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МотовиловаИН\Desktop\!Экспертные 2026\СКЭК Тайга\"/>
    </mc:Choice>
  </mc:AlternateContent>
  <xr:revisionPtr revIDLastSave="0" documentId="13_ncr:1_{E8844E70-AA4C-47A9-BF24-A055DE6CF349}" xr6:coauthVersionLast="47" xr6:coauthVersionMax="47" xr10:uidLastSave="{00000000-0000-0000-0000-000000000000}"/>
  <bookViews>
    <workbookView xWindow="1185" yWindow="120" windowWidth="27885" windowHeight="15600" tabRatio="858" firstSheet="21" activeTab="5"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4.4'!$T$1:$AE$436</definedName>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сведения'!$AE$241</definedName>
    <definedName name="AUTHORIZED_PERSON_FIO">'Общие сведения'!$AE$238</definedName>
    <definedName name="AUTHORIZED_PERSON_PHONE">'Общие сведения'!$AE$240</definedName>
    <definedName name="AUTHORIZED_PERSON_POSITION">'Общие сведения'!$AE$239</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(5.9)'!$BN$24:$BP$194</definedName>
    <definedName name="Calculation59_pIns_comm">'Калькуляция (5.9)'!$AB$199</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сведения'!$AE$250</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(5.9)'!$AE$194</definedName>
    <definedName name="END_ROW_wsCalculationMSA">'Калькуляция (МСА)'!$AE$108</definedName>
    <definedName name="END_ROW_wsGeneralInfo">'Общие сведения'!$AB$251</definedName>
    <definedName name="END_ROW_wsTM">ТМ!$AD$166</definedName>
    <definedName name="EnergyResources_LOAD_1">ЭнергоРесурсы!$AE$25:$BB$156</definedName>
    <definedName name="EnergyResources_LOAD_2">ЭнергоРесурсы!$BC$24:$BC$156</definedName>
    <definedName name="EnergyResources_pIns_comm">ЭнергоРесурсы!$AC$161</definedName>
    <definedName name="FIRST_TIME_REG">'Общие сведения'!$AE$183</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(5.9)'!$BQ$200</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ЭнергоРесурсы!$BD$162</definedName>
    <definedName name="flag_end_Fuel">'Топливо 4.4'!$CU$436</definedName>
    <definedName name="flag_end_GeneralInfo">'Общие сведения'!$AF$251</definedName>
    <definedName name="flag_end_HVSTN">'ХВС, ТН'!$BD$78</definedName>
    <definedName name="flag_end_IPSources">'ИП источники'!$BD$95</definedName>
    <definedName name="flag_end_ObjectList">'Список объектов'!$AI$52</definedName>
    <definedName name="flag_end_Operating51">'Операционные (5.1)'!$AP$109</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услуг'!$BD$102</definedName>
    <definedName name="flag_end_SheetList">'Список листов'!$AE$55</definedName>
    <definedName name="flag_end_Taxes">Налоги!$BD$75</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ФОТ!$AL$120</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сведения'!$AE$22:$AE$249</definedName>
    <definedName name="GeneralInfo_del_tariff_range">'Общие сведения'!$AF$187:$AF$236</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сведения'!$AE$115</definedName>
    <definedName name="GeneralInfo_pIns6">'Общие сведения'!$AE$135</definedName>
    <definedName name="GeneralInfo_pIns7">'Общие сведения'!$AE$155</definedName>
    <definedName name="GeneralInfo_tariff_start">'Общие сведения'!$Z$186</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сведения'!$AE$97:$AE$115</definedName>
    <definedName name="HAS_DOC6">'Общие сведения'!$AE$116</definedName>
    <definedName name="HAS_DOC6_block">'Общие сведения'!$AE$117:$AE$135</definedName>
    <definedName name="HAS_DOC7">'Общие сведения'!$AE$136</definedName>
    <definedName name="HAS_DOC7_block">'Общие сведения'!$AE$137:$AE$155</definedName>
    <definedName name="hasTranspVO">'Общие сведения'!$AG$181</definedName>
    <definedName name="hasTranspVS">'Общие сведения'!$AF$181</definedName>
    <definedName name="hasVO">'Общие сведения'!$AE$181</definedName>
    <definedName name="hasVS">'Общие сведения'!$AD$181</definedName>
    <definedName name="HVSTN_LOAD_1">'ХВС, ТН'!$AE$25:$BB$39</definedName>
    <definedName name="HVSTN_LOAD_2">'ХВС, ТН'!$BC$24:$BC$39</definedName>
    <definedName name="HVSTN_pIns_comm">'ХВС, ТН'!$AB$77</definedName>
    <definedName name="inn">'Общие сведения'!$AE$42</definedName>
    <definedName name="InsB_GeneralInfo_tariff">'Общие сведения'!$AD$236</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(5.9)'!$AB$197:$BP$199</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ЭнергоРесурсы!$AB$159:$BC$161</definedName>
    <definedName name="json_comms_HVSTN">'ХВС, ТН'!$AB$75:$BC$77</definedName>
    <definedName name="json_comms_IPSources">'ИП источники'!$AB$92:$BC$94</definedName>
    <definedName name="json_comms_Operating51">'Операционные (5.1)'!$AB$106:$AO$108</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услуг'!$AB$99:$BC$101</definedName>
    <definedName name="json_comms_Taxes">Налоги!$AB$72:$BC$74</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ФОТ!$AB$117:$AK$119</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(5.9)'!$AE$28:$BP$194</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ЭнергоРесурсы!$AE$28:$BC$156</definedName>
    <definedName name="json_preload_Fuel">'Топливо 4.4'!$AH$29:$CT$436</definedName>
    <definedName name="json_preload_HVSTN">'ХВС, ТН'!$AE$28:$BC$72</definedName>
    <definedName name="json_preload_IPSources">'ИП источники'!$AE$30:$BC$89</definedName>
    <definedName name="json_preload_ObjectList">'Список объектов'!$AH$28:$AH$52</definedName>
    <definedName name="json_preload_Operating51">'Операционные (5.1)'!$AE$28:$AO$103</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услуг'!$AE$28:$BC$96</definedName>
    <definedName name="json_preload_Taxes">Налоги!$AE$28:$BC$69</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ФОТ!$AE$28:$AK$114</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(5.1)'!$AE$25:$AK$103</definedName>
    <definedName name="Operating51_LOAD_2">'Операционные (5.1)'!$AM$24:$AO$103</definedName>
    <definedName name="Operating51_pIns_comm">'Операционные (5.1)'!$AB$108</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сведения'!$AB$187</definedName>
    <definedName name="ORG_DIRECTOR_POSITION">'Общие сведения'!$AE$51</definedName>
    <definedName name="ORG_EMAIL">'Общие сведения'!$AE$49</definedName>
    <definedName name="ORG_END_DATE">TEHSHEET!$M$12</definedName>
    <definedName name="ORG_EXECUTOR_EMAIL">'Общие сведения'!$AE$162</definedName>
    <definedName name="ORG_EXECUTOR_FIO">'Общие сведения'!$AE$159</definedName>
    <definedName name="ORG_EXECUTOR_PHONE">'Общие сведения'!$AE$161</definedName>
    <definedName name="ORG_EXECUTOR_POSITION">'Общие сведения'!$AE$160</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сведения'!$AE$157</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(5.9)'!$AB$194</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(5.1)'!$AB$103</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услуг'!$AB$96</definedName>
    <definedName name="pIns_Taxes_nalog">Налоги!$AC:$AC</definedName>
    <definedName name="pIns_Taxes_tariff">Налоги!$AB$69</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ФОТ!$AB$114</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услуг'!$AE$25:$BB$96</definedName>
    <definedName name="ServicePurchase_LOAD_2">'Покупка услуг'!$BC$24:$BC$96</definedName>
    <definedName name="ServicePurchase_pIns_comm">'Покупка услуг'!$AB$101</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сведения'!$AG$187</definedName>
    <definedName name="tariff_list">TEHSHEET!$K$12:$K$16</definedName>
    <definedName name="tariff_type_list">TEHSHEET!$U$2:$U$3</definedName>
    <definedName name="tax_system">'Общие сведения'!$AE$57</definedName>
    <definedName name="Taxes_LOAD_1">Налоги!$AE$25:$BB$69</definedName>
    <definedName name="Taxes_LOAD_2">Налоги!$BC$24:$BC$69</definedName>
    <definedName name="Taxes_pIns_comm">Налоги!$AB$74</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ФОТ!$AE$25:$AJ$114</definedName>
    <definedName name="WageFund_LOAD_2">ФОТ!$AK$24:$AK$114</definedName>
    <definedName name="wsCalculation46_PRELOAD">'Калькуляция (4.6)'!$AE$26:$AO$228</definedName>
    <definedName name="wsCalculation59_PRELOAD">'Калькуляция (5.9)'!$AE$26:$BP$194</definedName>
    <definedName name="wsCalculationMSA_PRELOAD">'Калькуляция (МСА)'!$AE$26:$BA$108</definedName>
    <definedName name="wsGeneralInfo_PRELOAD">'Общие сведения'!$AE$22:$AE$251</definedName>
    <definedName name="wsTM_PRELOAD">ТМ!$AD$27:$FW$166</definedName>
    <definedName name="YEAR_LIST">TEHSHEET!$Q$2:$Q$20</definedName>
    <definedName name="year_list2">TEHSHEET!$Q$11:$Q$20</definedName>
    <definedName name="YES_NO">TEHSHEET!$G$2:$G$3</definedName>
    <definedName name="_xlnm.Print_Titles" localSheetId="9">'Баланс Пр'!$B:$B,'Баланс Пр'!$2:$2</definedName>
    <definedName name="_xlnm.Print_Titles" localSheetId="5">'Список объектов'!$B:$B,'Список объектов'!$2:$2</definedName>
    <definedName name="_xlnm.Print_Area" localSheetId="9">'Баланс Пр'!$A$1:$BF$238</definedName>
    <definedName name="_xlnm.Print_Area" localSheetId="5">'Список объектов'!$A$1:$AS$52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20" i="36" l="1"/>
  <c r="M19" i="36"/>
  <c r="M16" i="36"/>
  <c r="M15" i="36"/>
  <c r="M12" i="36"/>
  <c r="M11" i="36"/>
  <c r="X34" i="35"/>
  <c r="T185" i="34"/>
  <c r="AN181" i="34" a="1"/>
  <c r="AN181" i="34" s="1"/>
  <c r="AB181" i="34"/>
  <c r="H181" i="34"/>
  <c r="B181" i="34"/>
  <c r="H180" i="34"/>
  <c r="AN179" i="34" a="1"/>
  <c r="AN179" i="34" s="1"/>
  <c r="AB179" i="34"/>
  <c r="H179" i="34"/>
  <c r="B179" i="34"/>
  <c r="H178" i="34"/>
  <c r="AN177" i="34" a="1"/>
  <c r="AN177" i="34" s="1"/>
  <c r="AB177" i="34"/>
  <c r="H177" i="34"/>
  <c r="B177" i="34"/>
  <c r="H176" i="34"/>
  <c r="AN175" i="34" a="1"/>
  <c r="AN175" i="34" s="1"/>
  <c r="AB175" i="34"/>
  <c r="H175" i="34"/>
  <c r="B175" i="34"/>
  <c r="H174" i="34"/>
  <c r="AN173" i="34" a="1"/>
  <c r="AN173" i="34" s="1"/>
  <c r="AB173" i="34"/>
  <c r="H173" i="34"/>
  <c r="B173" i="34"/>
  <c r="H172" i="34"/>
  <c r="AN171" i="34" a="1"/>
  <c r="AN171" i="34" s="1"/>
  <c r="AB171" i="34"/>
  <c r="H171" i="34"/>
  <c r="B171" i="34"/>
  <c r="H170" i="34"/>
  <c r="AN169" i="34" a="1"/>
  <c r="AN169" i="34" s="1"/>
  <c r="AB169" i="34"/>
  <c r="H169" i="34"/>
  <c r="B169" i="34"/>
  <c r="H168" i="34"/>
  <c r="AN167" i="34" a="1"/>
  <c r="AN167" i="34" s="1"/>
  <c r="AB167" i="34"/>
  <c r="H167" i="34"/>
  <c r="B167" i="34"/>
  <c r="H166" i="34"/>
  <c r="AN165" i="34" a="1"/>
  <c r="AN165" i="34" s="1"/>
  <c r="AB165" i="34"/>
  <c r="H165" i="34"/>
  <c r="B165" i="34"/>
  <c r="H164" i="34"/>
  <c r="AN163" i="34" a="1"/>
  <c r="AN163" i="34" s="1"/>
  <c r="AB163" i="34"/>
  <c r="H163" i="34"/>
  <c r="B163" i="34"/>
  <c r="H162" i="34"/>
  <c r="AN161" i="34" a="1"/>
  <c r="AN161" i="34" s="1"/>
  <c r="AB161" i="34"/>
  <c r="H161" i="34"/>
  <c r="B161" i="34"/>
  <c r="H160" i="34"/>
  <c r="AN159" i="34" a="1"/>
  <c r="AN159" i="34" s="1"/>
  <c r="AB159" i="34"/>
  <c r="H159" i="34"/>
  <c r="B159" i="34"/>
  <c r="H158" i="34"/>
  <c r="AN157" i="34" a="1"/>
  <c r="AN157" i="34" s="1"/>
  <c r="AB157" i="34"/>
  <c r="H157" i="34"/>
  <c r="B157" i="34"/>
  <c r="H156" i="34"/>
  <c r="AN155" i="34" a="1"/>
  <c r="AN155" i="34" s="1"/>
  <c r="AB155" i="34"/>
  <c r="H155" i="34"/>
  <c r="B155" i="34"/>
  <c r="H154" i="34"/>
  <c r="AN153" i="34" a="1"/>
  <c r="AN153" i="34" s="1"/>
  <c r="AB153" i="34"/>
  <c r="H153" i="34"/>
  <c r="B153" i="34"/>
  <c r="H152" i="34"/>
  <c r="AN151" i="34" a="1"/>
  <c r="AN151" i="34" s="1"/>
  <c r="AB151" i="34"/>
  <c r="H151" i="34"/>
  <c r="B151" i="34"/>
  <c r="H150" i="34"/>
  <c r="AN149" i="34" a="1"/>
  <c r="AN149" i="34" s="1"/>
  <c r="AB149" i="34"/>
  <c r="H149" i="34"/>
  <c r="B149" i="34"/>
  <c r="H148" i="34"/>
  <c r="AN147" i="34" a="1"/>
  <c r="AN147" i="34" s="1"/>
  <c r="AB147" i="34"/>
  <c r="H147" i="34"/>
  <c r="B147" i="34"/>
  <c r="H146" i="34"/>
  <c r="AN145" i="34" a="1"/>
  <c r="AN145" i="34" s="1"/>
  <c r="AB145" i="34"/>
  <c r="H145" i="34"/>
  <c r="B145" i="34"/>
  <c r="H144" i="34"/>
  <c r="AN143" i="34" a="1"/>
  <c r="AN143" i="34" s="1"/>
  <c r="AB143" i="34"/>
  <c r="H143" i="34"/>
  <c r="B143" i="34"/>
  <c r="H142" i="34"/>
  <c r="AN141" i="34" a="1"/>
  <c r="AN141" i="34" s="1"/>
  <c r="AB141" i="34"/>
  <c r="H141" i="34"/>
  <c r="B141" i="34"/>
  <c r="H140" i="34"/>
  <c r="AN139" i="34" a="1"/>
  <c r="AN139" i="34" s="1"/>
  <c r="AB139" i="34"/>
  <c r="H139" i="34"/>
  <c r="B139" i="34"/>
  <c r="H138" i="34"/>
  <c r="AN137" i="34" a="1"/>
  <c r="AN137" i="34" s="1"/>
  <c r="AB137" i="34"/>
  <c r="H137" i="34"/>
  <c r="B137" i="34"/>
  <c r="AN136" i="34"/>
  <c r="AB136" i="34"/>
  <c r="H136" i="34"/>
  <c r="AN136" i="34" s="1" a="1"/>
  <c r="B136" i="34"/>
  <c r="AN135" i="34"/>
  <c r="AB135" i="34"/>
  <c r="H135" i="34"/>
  <c r="AN135" i="34" s="1" a="1"/>
  <c r="B135" i="34"/>
  <c r="AN134" i="34"/>
  <c r="AB134" i="34"/>
  <c r="H134" i="34"/>
  <c r="AN134" i="34" s="1" a="1"/>
  <c r="B134" i="34"/>
  <c r="AN133" i="34"/>
  <c r="AB133" i="34"/>
  <c r="H133" i="34"/>
  <c r="AN133" i="34" s="1" a="1"/>
  <c r="B133" i="34"/>
  <c r="AC132" i="34"/>
  <c r="AB132" i="34"/>
  <c r="H132" i="34" a="1"/>
  <c r="H132" i="34"/>
  <c r="F132" i="34"/>
  <c r="F133" i="34" s="1" a="1"/>
  <c r="F133" i="34" s="1"/>
  <c r="F134" i="34" s="1" a="1"/>
  <c r="F134" i="34" s="1"/>
  <c r="F135" i="34" s="1" a="1"/>
  <c r="F135" i="34" s="1"/>
  <c r="F136" i="34" s="1" a="1"/>
  <c r="F136" i="34" s="1"/>
  <c r="F137" i="34" s="1" a="1"/>
  <c r="F137" i="34" s="1"/>
  <c r="T131" i="34"/>
  <c r="T132" i="34" s="1" a="1"/>
  <c r="T132" i="34" s="1"/>
  <c r="T133" i="34" s="1" a="1"/>
  <c r="T133" i="34" s="1"/>
  <c r="T134" i="34" s="1" a="1"/>
  <c r="T134" i="34" s="1"/>
  <c r="T135" i="34" s="1" a="1"/>
  <c r="T135" i="34" s="1"/>
  <c r="T136" i="34" s="1" a="1"/>
  <c r="T136" i="34" s="1"/>
  <c r="T137" i="34" s="1" a="1"/>
  <c r="T137" i="34" s="1"/>
  <c r="T138" i="34" s="1" a="1"/>
  <c r="T138" i="34" s="1"/>
  <c r="T139" i="34" s="1" a="1"/>
  <c r="T139" i="34" s="1"/>
  <c r="T140" i="34" s="1" a="1"/>
  <c r="T140" i="34" s="1"/>
  <c r="T141" i="34" s="1" a="1"/>
  <c r="T141" i="34" s="1"/>
  <c r="T142" i="34" s="1" a="1"/>
  <c r="T142" i="34" s="1"/>
  <c r="T143" i="34" s="1" a="1"/>
  <c r="T143" i="34" s="1"/>
  <c r="T144" i="34" s="1" a="1"/>
  <c r="T144" i="34" s="1"/>
  <c r="T145" i="34" s="1" a="1"/>
  <c r="T145" i="34" s="1"/>
  <c r="T146" i="34" s="1" a="1"/>
  <c r="T146" i="34" s="1"/>
  <c r="T147" i="34" s="1" a="1"/>
  <c r="T147" i="34" s="1"/>
  <c r="T148" i="34" s="1" a="1"/>
  <c r="T148" i="34" s="1"/>
  <c r="T149" i="34" s="1" a="1"/>
  <c r="T149" i="34" s="1"/>
  <c r="T150" i="34" s="1" a="1"/>
  <c r="T150" i="34" s="1"/>
  <c r="T151" i="34" s="1" a="1"/>
  <c r="T151" i="34" s="1"/>
  <c r="T152" i="34" s="1" a="1"/>
  <c r="T152" i="34" s="1"/>
  <c r="T153" i="34" s="1" a="1"/>
  <c r="T153" i="34" s="1"/>
  <c r="T154" i="34" s="1" a="1"/>
  <c r="T154" i="34" s="1"/>
  <c r="T155" i="34" s="1" a="1"/>
  <c r="T155" i="34" s="1"/>
  <c r="T156" i="34" s="1" a="1"/>
  <c r="T156" i="34" s="1"/>
  <c r="T157" i="34" s="1" a="1"/>
  <c r="T157" i="34" s="1"/>
  <c r="T158" i="34" s="1" a="1"/>
  <c r="T158" i="34" s="1"/>
  <c r="T159" i="34" s="1" a="1"/>
  <c r="T159" i="34" s="1"/>
  <c r="T160" i="34" s="1" a="1"/>
  <c r="T160" i="34" s="1"/>
  <c r="T161" i="34" s="1" a="1"/>
  <c r="T161" i="34" s="1"/>
  <c r="T162" i="34" s="1" a="1"/>
  <c r="T162" i="34" s="1"/>
  <c r="T163" i="34" s="1" a="1"/>
  <c r="T163" i="34" s="1"/>
  <c r="T164" i="34" s="1" a="1"/>
  <c r="T164" i="34" s="1"/>
  <c r="T165" i="34" s="1" a="1"/>
  <c r="T165" i="34" s="1"/>
  <c r="T166" i="34" s="1" a="1"/>
  <c r="T166" i="34" s="1"/>
  <c r="T167" i="34" s="1" a="1"/>
  <c r="T167" i="34" s="1"/>
  <c r="T168" i="34" s="1" a="1"/>
  <c r="T168" i="34" s="1"/>
  <c r="T169" i="34" s="1" a="1"/>
  <c r="T169" i="34" s="1"/>
  <c r="T170" i="34" s="1" a="1"/>
  <c r="T170" i="34" s="1"/>
  <c r="T171" i="34" s="1" a="1"/>
  <c r="T171" i="34" s="1"/>
  <c r="T172" i="34" s="1" a="1"/>
  <c r="T172" i="34" s="1"/>
  <c r="T173" i="34" s="1" a="1"/>
  <c r="T173" i="34" s="1"/>
  <c r="T174" i="34" s="1" a="1"/>
  <c r="T174" i="34" s="1"/>
  <c r="T175" i="34" s="1" a="1"/>
  <c r="T175" i="34" s="1"/>
  <c r="T176" i="34" s="1" a="1"/>
  <c r="T176" i="34" s="1"/>
  <c r="T177" i="34" s="1" a="1"/>
  <c r="T177" i="34" s="1"/>
  <c r="T178" i="34" s="1" a="1"/>
  <c r="T178" i="34" s="1"/>
  <c r="T179" i="34" s="1" a="1"/>
  <c r="T179" i="34" s="1"/>
  <c r="T180" i="34" s="1" a="1"/>
  <c r="T180" i="34" s="1"/>
  <c r="T181" i="34" s="1" a="1"/>
  <c r="T181" i="34" s="1"/>
  <c r="F131" i="34" a="1"/>
  <c r="F131" i="34"/>
  <c r="F132" i="34" s="1" a="1"/>
  <c r="H130" i="34"/>
  <c r="AN129" i="34" a="1"/>
  <c r="AN129" i="34" s="1"/>
  <c r="AB129" i="34"/>
  <c r="H129" i="34"/>
  <c r="B129" i="34"/>
  <c r="H128" i="34"/>
  <c r="AN127" i="34" a="1"/>
  <c r="AN127" i="34" s="1"/>
  <c r="AB127" i="34"/>
  <c r="H127" i="34"/>
  <c r="B127" i="34"/>
  <c r="H126" i="34"/>
  <c r="AN125" i="34" a="1"/>
  <c r="AN125" i="34" s="1"/>
  <c r="AB125" i="34"/>
  <c r="H125" i="34"/>
  <c r="B125" i="34"/>
  <c r="H124" i="34"/>
  <c r="AN123" i="34" a="1"/>
  <c r="AN123" i="34" s="1"/>
  <c r="AB123" i="34"/>
  <c r="H123" i="34"/>
  <c r="B123" i="34"/>
  <c r="H122" i="34"/>
  <c r="AN121" i="34" a="1"/>
  <c r="AN121" i="34" s="1"/>
  <c r="AB121" i="34"/>
  <c r="H121" i="34"/>
  <c r="B121" i="34"/>
  <c r="H120" i="34"/>
  <c r="AN119" i="34" a="1"/>
  <c r="AN119" i="34" s="1"/>
  <c r="AB119" i="34"/>
  <c r="H119" i="34"/>
  <c r="B119" i="34"/>
  <c r="H118" i="34"/>
  <c r="AN117" i="34" a="1"/>
  <c r="AN117" i="34" s="1"/>
  <c r="AB117" i="34"/>
  <c r="H117" i="34"/>
  <c r="B117" i="34"/>
  <c r="H116" i="34"/>
  <c r="AN115" i="34" a="1"/>
  <c r="AN115" i="34" s="1"/>
  <c r="AB115" i="34"/>
  <c r="H115" i="34"/>
  <c r="B115" i="34"/>
  <c r="H114" i="34"/>
  <c r="AN113" i="34" a="1"/>
  <c r="AN113" i="34" s="1"/>
  <c r="AB113" i="34"/>
  <c r="H113" i="34"/>
  <c r="B113" i="34"/>
  <c r="H112" i="34"/>
  <c r="AN111" i="34" a="1"/>
  <c r="AN111" i="34" s="1"/>
  <c r="AB111" i="34"/>
  <c r="H111" i="34"/>
  <c r="B111" i="34"/>
  <c r="H110" i="34"/>
  <c r="AN109" i="34" a="1"/>
  <c r="AN109" i="34" s="1"/>
  <c r="AB109" i="34"/>
  <c r="H109" i="34"/>
  <c r="B109" i="34"/>
  <c r="H108" i="34"/>
  <c r="AN107" i="34" a="1"/>
  <c r="AN107" i="34" s="1"/>
  <c r="AB107" i="34"/>
  <c r="H107" i="34"/>
  <c r="B107" i="34"/>
  <c r="H106" i="34"/>
  <c r="AN105" i="34" a="1"/>
  <c r="AN105" i="34" s="1"/>
  <c r="AB105" i="34"/>
  <c r="H105" i="34"/>
  <c r="B105" i="34"/>
  <c r="H104" i="34"/>
  <c r="AN103" i="34" a="1"/>
  <c r="AN103" i="34" s="1"/>
  <c r="AB103" i="34"/>
  <c r="H103" i="34"/>
  <c r="B103" i="34"/>
  <c r="H102" i="34"/>
  <c r="AN101" i="34" a="1"/>
  <c r="AN101" i="34" s="1"/>
  <c r="AB101" i="34"/>
  <c r="H101" i="34"/>
  <c r="B101" i="34"/>
  <c r="H100" i="34"/>
  <c r="AN99" i="34" a="1"/>
  <c r="AN99" i="34" s="1"/>
  <c r="AB99" i="34"/>
  <c r="H99" i="34"/>
  <c r="B99" i="34"/>
  <c r="H98" i="34"/>
  <c r="AN97" i="34" a="1"/>
  <c r="AN97" i="34" s="1"/>
  <c r="AB97" i="34"/>
  <c r="H97" i="34"/>
  <c r="B97" i="34"/>
  <c r="H96" i="34"/>
  <c r="AN95" i="34" a="1"/>
  <c r="AN95" i="34" s="1"/>
  <c r="AB95" i="34"/>
  <c r="H95" i="34"/>
  <c r="B95" i="34"/>
  <c r="H94" i="34"/>
  <c r="AN93" i="34" a="1"/>
  <c r="AN93" i="34" s="1"/>
  <c r="AB93" i="34"/>
  <c r="H93" i="34"/>
  <c r="B93" i="34"/>
  <c r="H92" i="34"/>
  <c r="AN91" i="34" a="1"/>
  <c r="AN91" i="34" s="1"/>
  <c r="AB91" i="34"/>
  <c r="H91" i="34"/>
  <c r="B91" i="34"/>
  <c r="H90" i="34"/>
  <c r="AN89" i="34" a="1"/>
  <c r="AN89" i="34" s="1"/>
  <c r="AB89" i="34"/>
  <c r="H89" i="34"/>
  <c r="B89" i="34"/>
  <c r="H88" i="34"/>
  <c r="AN87" i="34" a="1"/>
  <c r="AN87" i="34" s="1"/>
  <c r="AB87" i="34"/>
  <c r="H87" i="34"/>
  <c r="B87" i="34"/>
  <c r="H86" i="34"/>
  <c r="H85" i="34"/>
  <c r="AN84" i="34" a="1"/>
  <c r="AN84" i="34" s="1"/>
  <c r="H84" i="34"/>
  <c r="H83" i="34"/>
  <c r="AN82" i="34" a="1"/>
  <c r="AN82" i="34" s="1"/>
  <c r="T82" i="34"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2" i="34"/>
  <c r="AC81" i="34"/>
  <c r="T81" i="34" a="1"/>
  <c r="T81" i="34" s="1"/>
  <c r="H81" i="34" a="1"/>
  <c r="H81" i="34" s="1"/>
  <c r="AB81" i="34" s="1"/>
  <c r="B81" i="34"/>
  <c r="T80" i="34"/>
  <c r="F80" i="34" a="1"/>
  <c r="F80" i="34" s="1"/>
  <c r="F81" i="34" s="1" a="1"/>
  <c r="F81" i="34" s="1"/>
  <c r="F82" i="34" s="1" a="1"/>
  <c r="F82" i="34" s="1"/>
  <c r="F83" i="34" s="1" a="1"/>
  <c r="F83" i="34" s="1"/>
  <c r="F84" i="34" s="1" a="1"/>
  <c r="F84" i="34" s="1"/>
  <c r="F85" i="34" s="1" a="1"/>
  <c r="F85" i="34" s="1"/>
  <c r="F86" i="34" s="1" a="1"/>
  <c r="F86" i="34" s="1"/>
  <c r="F87" i="34" s="1" a="1"/>
  <c r="F87" i="34" s="1"/>
  <c r="AN79" i="34" a="1"/>
  <c r="AN79" i="34" s="1"/>
  <c r="AB79" i="34"/>
  <c r="H79" i="34"/>
  <c r="B79" i="34"/>
  <c r="H78" i="34"/>
  <c r="AN77" i="34" a="1"/>
  <c r="AN77" i="34" s="1"/>
  <c r="AB77" i="34"/>
  <c r="H77" i="34"/>
  <c r="B77" i="34"/>
  <c r="H76" i="34"/>
  <c r="AN75" i="34" a="1"/>
  <c r="AN75" i="34" s="1"/>
  <c r="AB75" i="34"/>
  <c r="H75" i="34"/>
  <c r="B75" i="34"/>
  <c r="H74" i="34"/>
  <c r="AN73" i="34" a="1"/>
  <c r="AN73" i="34" s="1"/>
  <c r="AB73" i="34"/>
  <c r="H73" i="34"/>
  <c r="B73" i="34"/>
  <c r="H72" i="34"/>
  <c r="AN71" i="34" a="1"/>
  <c r="AN71" i="34" s="1"/>
  <c r="AB71" i="34"/>
  <c r="H71" i="34"/>
  <c r="B71" i="34"/>
  <c r="H70" i="34"/>
  <c r="AN69" i="34" a="1"/>
  <c r="AN69" i="34" s="1"/>
  <c r="AB69" i="34"/>
  <c r="H69" i="34"/>
  <c r="B69" i="34"/>
  <c r="H68" i="34"/>
  <c r="AN67" i="34" a="1"/>
  <c r="AN67" i="34" s="1"/>
  <c r="AB67" i="34"/>
  <c r="H67" i="34"/>
  <c r="B67" i="34"/>
  <c r="H66" i="34"/>
  <c r="AN65" i="34" a="1"/>
  <c r="AN65" i="34" s="1"/>
  <c r="AB65" i="34"/>
  <c r="H65" i="34"/>
  <c r="B65" i="34"/>
  <c r="H64" i="34"/>
  <c r="AN63" i="34" a="1"/>
  <c r="AN63" i="34" s="1"/>
  <c r="AB63" i="34"/>
  <c r="H63" i="34"/>
  <c r="B63" i="34"/>
  <c r="H62" i="34"/>
  <c r="AN61" i="34" a="1"/>
  <c r="AN61" i="34" s="1"/>
  <c r="AB61" i="34"/>
  <c r="H61" i="34"/>
  <c r="B61" i="34"/>
  <c r="H60" i="34"/>
  <c r="AN59" i="34" a="1"/>
  <c r="AN59" i="34" s="1"/>
  <c r="AB59" i="34"/>
  <c r="H59" i="34"/>
  <c r="B59" i="34"/>
  <c r="H58" i="34"/>
  <c r="AN57" i="34" a="1"/>
  <c r="AN57" i="34" s="1"/>
  <c r="AB57" i="34"/>
  <c r="H57" i="34"/>
  <c r="B57" i="34"/>
  <c r="H56" i="34"/>
  <c r="AN55" i="34" a="1"/>
  <c r="AN55" i="34" s="1"/>
  <c r="AB55" i="34"/>
  <c r="H55" i="34"/>
  <c r="B55" i="34"/>
  <c r="H54" i="34"/>
  <c r="AN53" i="34" a="1"/>
  <c r="AN53" i="34" s="1"/>
  <c r="AB53" i="34"/>
  <c r="H53" i="34"/>
  <c r="B53" i="34"/>
  <c r="H52" i="34"/>
  <c r="AN51" i="34" a="1"/>
  <c r="AN51" i="34" s="1"/>
  <c r="AB51" i="34"/>
  <c r="H51" i="34"/>
  <c r="B51" i="34"/>
  <c r="H50" i="34"/>
  <c r="AN49" i="34" a="1"/>
  <c r="AN49" i="34" s="1"/>
  <c r="AB49" i="34"/>
  <c r="H49" i="34"/>
  <c r="B49" i="34"/>
  <c r="H48" i="34"/>
  <c r="AN47" i="34" a="1"/>
  <c r="AN47" i="34" s="1"/>
  <c r="AB47" i="34"/>
  <c r="H47" i="34"/>
  <c r="B47" i="34"/>
  <c r="H46" i="34"/>
  <c r="AN45" i="34" a="1"/>
  <c r="AN45" i="34" s="1"/>
  <c r="AB45" i="34"/>
  <c r="H45" i="34"/>
  <c r="B45" i="34"/>
  <c r="H44" i="34"/>
  <c r="AN43" i="34" a="1"/>
  <c r="AN43" i="34" s="1"/>
  <c r="AB43" i="34"/>
  <c r="H43" i="34"/>
  <c r="B43" i="34"/>
  <c r="H42" i="34"/>
  <c r="AN41" i="34" a="1"/>
  <c r="AN41" i="34" s="1"/>
  <c r="AB41" i="34"/>
  <c r="H41" i="34"/>
  <c r="B41" i="34"/>
  <c r="H40" i="34"/>
  <c r="H39" i="34"/>
  <c r="B39" i="34"/>
  <c r="H38" i="34"/>
  <c r="AN38" i="34" s="1" a="1"/>
  <c r="AN38" i="34" s="1"/>
  <c r="AN37" i="34" a="1"/>
  <c r="AN37" i="34" s="1"/>
  <c r="AB37" i="34"/>
  <c r="H37" i="34"/>
  <c r="B37" i="34"/>
  <c r="H36" i="34"/>
  <c r="AN36" i="34" s="1" a="1"/>
  <c r="AN36" i="34" s="1"/>
  <c r="AN35" i="34" a="1"/>
  <c r="AN35" i="34" s="1"/>
  <c r="AB35" i="34"/>
  <c r="H35" i="34"/>
  <c r="B35" i="34"/>
  <c r="AB34" i="34"/>
  <c r="H34" i="34"/>
  <c r="AN34" i="34" s="1" a="1"/>
  <c r="AN34" i="34" s="1"/>
  <c r="B34" i="34"/>
  <c r="AB33" i="34"/>
  <c r="H33" i="34"/>
  <c r="AN33" i="34" s="1" a="1"/>
  <c r="AN33" i="34" s="1"/>
  <c r="B33" i="34"/>
  <c r="AB32" i="34"/>
  <c r="H32" i="34"/>
  <c r="AN32" i="34" s="1" a="1"/>
  <c r="AN32" i="34" s="1"/>
  <c r="B32" i="34"/>
  <c r="AB31" i="34"/>
  <c r="H31" i="34"/>
  <c r="AN31" i="34" s="1" a="1"/>
  <c r="AN31" i="34" s="1"/>
  <c r="B31" i="34"/>
  <c r="AC30" i="34"/>
  <c r="H30" i="34" a="1"/>
  <c r="H30" i="34"/>
  <c r="AN30" i="34" s="1" a="1"/>
  <c r="AN30" i="34" s="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F29" i="34" a="1"/>
  <c r="F29" i="34"/>
  <c r="F30" i="34" s="1" a="1"/>
  <c r="F30" i="34" s="1"/>
  <c r="F31" i="34" s="1" a="1"/>
  <c r="F31" i="34" s="1"/>
  <c r="F32" i="34" s="1" a="1"/>
  <c r="F32" i="34" s="1"/>
  <c r="F33" i="34" s="1" a="1"/>
  <c r="F33" i="34" s="1"/>
  <c r="F34" i="34" s="1" a="1"/>
  <c r="F34" i="34" s="1"/>
  <c r="F35" i="34" s="1" a="1"/>
  <c r="F35" i="34" s="1"/>
  <c r="T170" i="33"/>
  <c r="FW164" i="33"/>
  <c r="FT164" i="33"/>
  <c r="FQ164" i="33"/>
  <c r="FN164" i="33"/>
  <c r="FK164" i="33"/>
  <c r="FH164" i="33"/>
  <c r="FE164" i="33"/>
  <c r="FB164" i="33"/>
  <c r="EY164" i="33"/>
  <c r="EV164" i="33"/>
  <c r="ES164" i="33"/>
  <c r="EP164" i="33"/>
  <c r="EM164" i="33"/>
  <c r="EJ164" i="33"/>
  <c r="EG164" i="33"/>
  <c r="ED164" i="33"/>
  <c r="EA164" i="33"/>
  <c r="DX164" i="33"/>
  <c r="DU164" i="33"/>
  <c r="DR164" i="33"/>
  <c r="DO164" i="33"/>
  <c r="DL164" i="33"/>
  <c r="DI164" i="33"/>
  <c r="DF164" i="33"/>
  <c r="DC164" i="33"/>
  <c r="CZ164" i="33"/>
  <c r="CW164" i="33"/>
  <c r="CT164" i="33"/>
  <c r="CQ164" i="33"/>
  <c r="CN164" i="33"/>
  <c r="CK164" i="33"/>
  <c r="CH164" i="33"/>
  <c r="CE164" i="33"/>
  <c r="CB164" i="33"/>
  <c r="BY164" i="33"/>
  <c r="BV164" i="33"/>
  <c r="BS164" i="33"/>
  <c r="BP164" i="33"/>
  <c r="BM164" i="33"/>
  <c r="BJ164" i="33"/>
  <c r="BG164" i="33"/>
  <c r="BD164" i="33"/>
  <c r="BA164" i="33"/>
  <c r="AX164" i="33"/>
  <c r="AU164" i="33"/>
  <c r="AR164" i="33"/>
  <c r="AO164" i="33"/>
  <c r="AL164" i="33"/>
  <c r="AI164" i="33"/>
  <c r="AF164" i="33"/>
  <c r="FW163" i="33"/>
  <c r="FT163" i="33"/>
  <c r="FQ163" i="33"/>
  <c r="FN163" i="33"/>
  <c r="FK163" i="33"/>
  <c r="FH163" i="33"/>
  <c r="FE163" i="33"/>
  <c r="FB163" i="33"/>
  <c r="EY163" i="33"/>
  <c r="EV163" i="33"/>
  <c r="ES163" i="33"/>
  <c r="EP163" i="33"/>
  <c r="EM163" i="33"/>
  <c r="EJ163" i="33"/>
  <c r="EG163" i="33"/>
  <c r="ED163" i="33"/>
  <c r="EA163" i="33"/>
  <c r="DX163" i="33"/>
  <c r="DU163" i="33"/>
  <c r="DR163" i="33"/>
  <c r="DO163" i="33"/>
  <c r="DL163" i="33"/>
  <c r="DI163" i="33"/>
  <c r="DF163" i="33"/>
  <c r="DC163" i="33"/>
  <c r="CZ163" i="33"/>
  <c r="CW163" i="33"/>
  <c r="CT163" i="33"/>
  <c r="CQ163" i="33"/>
  <c r="CN163" i="33"/>
  <c r="CK163" i="33"/>
  <c r="CH163" i="33"/>
  <c r="CE163" i="33"/>
  <c r="CB163" i="33"/>
  <c r="BY163" i="33"/>
  <c r="BV163" i="33"/>
  <c r="BS163" i="33"/>
  <c r="BP163" i="33"/>
  <c r="BM163" i="33"/>
  <c r="BJ163" i="33"/>
  <c r="BG163" i="33"/>
  <c r="BD163" i="33"/>
  <c r="BA163" i="33"/>
  <c r="AX163" i="33"/>
  <c r="AU163" i="33"/>
  <c r="AR163" i="33"/>
  <c r="AO163" i="33"/>
  <c r="AL163" i="33"/>
  <c r="AI163" i="33"/>
  <c r="AF163" i="33"/>
  <c r="FW162" i="33"/>
  <c r="FT162" i="33"/>
  <c r="FQ162" i="33"/>
  <c r="FN162" i="33"/>
  <c r="FK162" i="33"/>
  <c r="FH162" i="33"/>
  <c r="FE162" i="33"/>
  <c r="FB162" i="33"/>
  <c r="EY162" i="33"/>
  <c r="EV162" i="33"/>
  <c r="ES162" i="33"/>
  <c r="EP162" i="33"/>
  <c r="EM162" i="33"/>
  <c r="EJ162" i="33"/>
  <c r="EG162" i="33"/>
  <c r="ED162" i="33"/>
  <c r="EA162" i="33"/>
  <c r="DX162" i="33"/>
  <c r="DU162" i="33"/>
  <c r="DR162" i="33"/>
  <c r="DO162" i="33"/>
  <c r="DL162" i="33"/>
  <c r="DI162" i="33"/>
  <c r="DF162" i="33"/>
  <c r="DC162" i="33"/>
  <c r="CZ162" i="33"/>
  <c r="CW162" i="33"/>
  <c r="CT162" i="33"/>
  <c r="CQ162" i="33"/>
  <c r="CN162" i="33"/>
  <c r="CK162" i="33"/>
  <c r="CH162" i="33"/>
  <c r="CE162" i="33"/>
  <c r="CB162" i="33"/>
  <c r="BY162" i="33"/>
  <c r="BV162" i="33"/>
  <c r="BS162" i="33"/>
  <c r="BP162" i="33"/>
  <c r="BM162" i="33"/>
  <c r="BJ162" i="33"/>
  <c r="BG162" i="33"/>
  <c r="BD162" i="33"/>
  <c r="BA162" i="33"/>
  <c r="AX162" i="33"/>
  <c r="AU162" i="33"/>
  <c r="AR162" i="33"/>
  <c r="AO162" i="33"/>
  <c r="AL162" i="33"/>
  <c r="AI162" i="33"/>
  <c r="AF162" i="33"/>
  <c r="FW161" i="33"/>
  <c r="FT161" i="33"/>
  <c r="FQ161" i="33"/>
  <c r="FN161" i="33"/>
  <c r="FK161" i="33"/>
  <c r="FH161" i="33"/>
  <c r="FE161" i="33"/>
  <c r="FB161" i="33"/>
  <c r="EY161" i="33"/>
  <c r="EV161" i="33"/>
  <c r="ES161" i="33"/>
  <c r="EP161" i="33"/>
  <c r="EM161" i="33"/>
  <c r="EJ161" i="33"/>
  <c r="EG161" i="33"/>
  <c r="ED161" i="33"/>
  <c r="EA161" i="33"/>
  <c r="DX161" i="33"/>
  <c r="DU161" i="33"/>
  <c r="DR161" i="33"/>
  <c r="DO161" i="33"/>
  <c r="DL161" i="33"/>
  <c r="DI161" i="33"/>
  <c r="DF161" i="33"/>
  <c r="DC161" i="33"/>
  <c r="CZ161" i="33"/>
  <c r="CW161" i="33"/>
  <c r="CT161" i="33"/>
  <c r="CQ161" i="33"/>
  <c r="CN161" i="33"/>
  <c r="CK161" i="33"/>
  <c r="CH161" i="33"/>
  <c r="CE161" i="33"/>
  <c r="CB161" i="33"/>
  <c r="BY161" i="33"/>
  <c r="BV161" i="33"/>
  <c r="BS161" i="33"/>
  <c r="BP161" i="33"/>
  <c r="BM161" i="33"/>
  <c r="BJ161" i="33"/>
  <c r="BG161" i="33"/>
  <c r="BD161" i="33"/>
  <c r="BA161" i="33"/>
  <c r="AX161" i="33"/>
  <c r="AU161" i="33"/>
  <c r="AR161" i="33"/>
  <c r="AO161" i="33"/>
  <c r="AL161" i="33"/>
  <c r="AI161" i="33"/>
  <c r="AF161" i="33"/>
  <c r="FV160" i="33"/>
  <c r="FU160" i="33"/>
  <c r="FW160" i="33" s="1"/>
  <c r="FS160" i="33"/>
  <c r="FR160" i="33"/>
  <c r="FT160" i="33" s="1"/>
  <c r="FP160" i="33"/>
  <c r="FO160" i="33"/>
  <c r="FQ160" i="33" s="1"/>
  <c r="FM160" i="33"/>
  <c r="FL160" i="33"/>
  <c r="FN160" i="33" s="1"/>
  <c r="FJ160" i="33"/>
  <c r="FI160" i="33"/>
  <c r="FK160" i="33" s="1"/>
  <c r="FG160" i="33"/>
  <c r="FF160" i="33"/>
  <c r="FH160" i="33" s="1"/>
  <c r="FD160" i="33"/>
  <c r="FC160" i="33"/>
  <c r="FE160" i="33" s="1"/>
  <c r="FA160" i="33"/>
  <c r="EZ160" i="33"/>
  <c r="FB160" i="33" s="1"/>
  <c r="EX160" i="33"/>
  <c r="EW160" i="33"/>
  <c r="EY160" i="33" s="1"/>
  <c r="EU160" i="33"/>
  <c r="ET160" i="33"/>
  <c r="EV160" i="33" s="1"/>
  <c r="ER160" i="33"/>
  <c r="EQ160" i="33"/>
  <c r="ES160" i="33" s="1"/>
  <c r="EO160" i="33"/>
  <c r="EN160" i="33"/>
  <c r="EP160" i="33" s="1"/>
  <c r="EL160" i="33"/>
  <c r="EK160" i="33"/>
  <c r="EM160" i="33" s="1"/>
  <c r="EI160" i="33"/>
  <c r="EH160" i="33"/>
  <c r="EJ160" i="33" s="1"/>
  <c r="EF160" i="33"/>
  <c r="EE160" i="33"/>
  <c r="EG160" i="33" s="1"/>
  <c r="EC160" i="33"/>
  <c r="EB160" i="33"/>
  <c r="ED160" i="33" s="1"/>
  <c r="DZ160" i="33"/>
  <c r="DY160" i="33"/>
  <c r="EA160" i="33" s="1"/>
  <c r="DW160" i="33"/>
  <c r="DV160" i="33"/>
  <c r="DX160" i="33" s="1"/>
  <c r="DT160" i="33"/>
  <c r="DS160" i="33"/>
  <c r="DU160" i="33" s="1"/>
  <c r="DQ160" i="33"/>
  <c r="DP160" i="33"/>
  <c r="DR160" i="33" s="1"/>
  <c r="DN160" i="33"/>
  <c r="DM160" i="33"/>
  <c r="DO160" i="33" s="1"/>
  <c r="DK160" i="33"/>
  <c r="DJ160" i="33"/>
  <c r="DL160" i="33" s="1"/>
  <c r="DH160" i="33"/>
  <c r="DG160" i="33"/>
  <c r="DI160" i="33" s="1"/>
  <c r="DE160" i="33"/>
  <c r="DD160" i="33"/>
  <c r="DF160" i="33" s="1"/>
  <c r="DB160" i="33"/>
  <c r="DA160" i="33"/>
  <c r="DC160" i="33" s="1"/>
  <c r="CY160" i="33"/>
  <c r="CX160" i="33"/>
  <c r="CZ160" i="33" s="1"/>
  <c r="CV160" i="33"/>
  <c r="CU160" i="33"/>
  <c r="CW160" i="33" s="1"/>
  <c r="CS160" i="33"/>
  <c r="CR160" i="33"/>
  <c r="CT160" i="33" s="1"/>
  <c r="CP160" i="33"/>
  <c r="CO160" i="33"/>
  <c r="CQ160" i="33" s="1"/>
  <c r="CM160" i="33"/>
  <c r="CL160" i="33"/>
  <c r="CN160" i="33" s="1"/>
  <c r="CJ160" i="33"/>
  <c r="CI160" i="33"/>
  <c r="CK160" i="33" s="1"/>
  <c r="CG160" i="33"/>
  <c r="CF160" i="33"/>
  <c r="CH160" i="33" s="1"/>
  <c r="CD160" i="33"/>
  <c r="CC160" i="33"/>
  <c r="CE160" i="33" s="1"/>
  <c r="CA160" i="33"/>
  <c r="BZ160" i="33"/>
  <c r="CB160" i="33" s="1"/>
  <c r="BX160" i="33"/>
  <c r="BW160" i="33"/>
  <c r="BY160" i="33" s="1"/>
  <c r="BU160" i="33"/>
  <c r="BT160" i="33"/>
  <c r="BV160" i="33" s="1"/>
  <c r="BR160" i="33"/>
  <c r="BQ160" i="33"/>
  <c r="BS160" i="33" s="1"/>
  <c r="BO160" i="33"/>
  <c r="BN160" i="33"/>
  <c r="BP160" i="33" s="1"/>
  <c r="BL160" i="33"/>
  <c r="BK160" i="33"/>
  <c r="BM160" i="33" s="1"/>
  <c r="BI160" i="33"/>
  <c r="BH160" i="33"/>
  <c r="BJ160" i="33" s="1"/>
  <c r="BF160" i="33"/>
  <c r="BE160" i="33"/>
  <c r="BG160" i="33" s="1"/>
  <c r="BC160" i="33"/>
  <c r="BB160" i="33"/>
  <c r="BD160" i="33" s="1"/>
  <c r="AZ160" i="33"/>
  <c r="AY160" i="33"/>
  <c r="BA160" i="33" s="1"/>
  <c r="AW160" i="33"/>
  <c r="AV160" i="33"/>
  <c r="AX160" i="33" s="1"/>
  <c r="AT160" i="33"/>
  <c r="AS160" i="33"/>
  <c r="AU160" i="33" s="1"/>
  <c r="AQ160" i="33"/>
  <c r="AP160" i="33"/>
  <c r="AR160" i="33" s="1"/>
  <c r="AN160" i="33"/>
  <c r="AM160" i="33"/>
  <c r="AO160" i="33" s="1"/>
  <c r="AK160" i="33"/>
  <c r="AJ160" i="33"/>
  <c r="AL160" i="33" s="1"/>
  <c r="AH160" i="33"/>
  <c r="AG160" i="33"/>
  <c r="AI160" i="33" s="1"/>
  <c r="AE160" i="33"/>
  <c r="AD160" i="33"/>
  <c r="AF160" i="33" s="1"/>
  <c r="FW158" i="33"/>
  <c r="FT158" i="33"/>
  <c r="FQ158" i="33"/>
  <c r="FN158" i="33"/>
  <c r="FK158" i="33"/>
  <c r="FH158" i="33"/>
  <c r="FE158" i="33"/>
  <c r="FB158" i="33"/>
  <c r="EY158" i="33"/>
  <c r="EV158" i="33"/>
  <c r="ES158" i="33"/>
  <c r="EP158" i="33"/>
  <c r="EM158" i="33"/>
  <c r="EJ158" i="33"/>
  <c r="EG158" i="33"/>
  <c r="ED158" i="33"/>
  <c r="EA158" i="33"/>
  <c r="DX158" i="33"/>
  <c r="DU158" i="33"/>
  <c r="DR158" i="33"/>
  <c r="DO158" i="33"/>
  <c r="DL158" i="33"/>
  <c r="DI158" i="33"/>
  <c r="DF158" i="33"/>
  <c r="DC158" i="33"/>
  <c r="CZ158" i="33"/>
  <c r="CW158" i="33"/>
  <c r="CT158" i="33"/>
  <c r="CQ158" i="33"/>
  <c r="CN158" i="33"/>
  <c r="CK158" i="33"/>
  <c r="CH158" i="33"/>
  <c r="CE158" i="33"/>
  <c r="CB158" i="33"/>
  <c r="BY158" i="33"/>
  <c r="BV158" i="33"/>
  <c r="BS158" i="33"/>
  <c r="BP158" i="33"/>
  <c r="BM158" i="33"/>
  <c r="BJ158" i="33"/>
  <c r="BG158" i="33"/>
  <c r="BD158" i="33"/>
  <c r="BA158" i="33"/>
  <c r="AX158" i="33"/>
  <c r="AU158" i="33"/>
  <c r="AR158" i="33"/>
  <c r="AO158" i="33"/>
  <c r="AL158" i="33"/>
  <c r="AI158" i="33"/>
  <c r="AF158" i="33"/>
  <c r="FW157" i="33"/>
  <c r="FT157" i="33"/>
  <c r="FQ157" i="33"/>
  <c r="FN157" i="33"/>
  <c r="FK157" i="33"/>
  <c r="FH157" i="33"/>
  <c r="FE157" i="33"/>
  <c r="FB157" i="33"/>
  <c r="EY157" i="33"/>
  <c r="EV157" i="33"/>
  <c r="ES157" i="33"/>
  <c r="EP157" i="33"/>
  <c r="EM157" i="33"/>
  <c r="EJ157" i="33"/>
  <c r="EG157" i="33"/>
  <c r="ED157" i="33"/>
  <c r="EA157" i="33"/>
  <c r="DX157" i="33"/>
  <c r="DU157" i="33"/>
  <c r="DR157" i="33"/>
  <c r="DO157" i="33"/>
  <c r="DL157" i="33"/>
  <c r="DI157" i="33"/>
  <c r="DF157" i="33"/>
  <c r="DC157" i="33"/>
  <c r="CZ157" i="33"/>
  <c r="CW157" i="33"/>
  <c r="CT157" i="33"/>
  <c r="CQ157" i="33"/>
  <c r="CN157" i="33"/>
  <c r="CK157" i="33"/>
  <c r="CH157" i="33"/>
  <c r="CE157" i="33"/>
  <c r="CB157" i="33"/>
  <c r="BY157" i="33"/>
  <c r="BV157" i="33"/>
  <c r="BS157" i="33"/>
  <c r="BP157" i="33"/>
  <c r="BM157" i="33"/>
  <c r="BJ157" i="33"/>
  <c r="BG157" i="33"/>
  <c r="BD157" i="33"/>
  <c r="BA157" i="33"/>
  <c r="AX157" i="33"/>
  <c r="AU157" i="33"/>
  <c r="AR157" i="33"/>
  <c r="AO157" i="33"/>
  <c r="AL157" i="33"/>
  <c r="AI157" i="33"/>
  <c r="AF157" i="33"/>
  <c r="FW156" i="33"/>
  <c r="FT156" i="33"/>
  <c r="FQ156" i="33"/>
  <c r="FN156" i="33"/>
  <c r="FK156" i="33"/>
  <c r="FH156" i="33"/>
  <c r="FE156" i="33"/>
  <c r="FB156" i="33"/>
  <c r="EY156" i="33"/>
  <c r="EV156" i="33"/>
  <c r="ES156" i="33"/>
  <c r="EP156" i="33"/>
  <c r="EM156" i="33"/>
  <c r="EJ156" i="33"/>
  <c r="EG156" i="33"/>
  <c r="ED156" i="33"/>
  <c r="EA156" i="33"/>
  <c r="DX156" i="33"/>
  <c r="DU156" i="33"/>
  <c r="DR156" i="33"/>
  <c r="DO156" i="33"/>
  <c r="DL156" i="33"/>
  <c r="DI156" i="33"/>
  <c r="DF156" i="33"/>
  <c r="DC156" i="33"/>
  <c r="CZ156" i="33"/>
  <c r="CW156" i="33"/>
  <c r="CT156" i="33"/>
  <c r="CQ156" i="33"/>
  <c r="CN156" i="33"/>
  <c r="CK156" i="33"/>
  <c r="CH156" i="33"/>
  <c r="CE156" i="33"/>
  <c r="CB156" i="33"/>
  <c r="BY156" i="33"/>
  <c r="BV156" i="33"/>
  <c r="BS156" i="33"/>
  <c r="BP156" i="33"/>
  <c r="BM156" i="33"/>
  <c r="BJ156" i="33"/>
  <c r="BG156" i="33"/>
  <c r="BD156" i="33"/>
  <c r="BA156" i="33"/>
  <c r="AX156" i="33"/>
  <c r="AU156" i="33"/>
  <c r="AR156" i="33"/>
  <c r="AO156" i="33"/>
  <c r="AL156" i="33"/>
  <c r="AI156" i="33"/>
  <c r="AF156" i="33"/>
  <c r="FW155" i="33"/>
  <c r="FT155" i="33"/>
  <c r="FQ155" i="33"/>
  <c r="FN155" i="33"/>
  <c r="FK155" i="33"/>
  <c r="FH155" i="33"/>
  <c r="FE155" i="33"/>
  <c r="FB155" i="33"/>
  <c r="EY155" i="33"/>
  <c r="EV155" i="33"/>
  <c r="ES155" i="33"/>
  <c r="EP155" i="33"/>
  <c r="EM155" i="33"/>
  <c r="EJ155" i="33"/>
  <c r="EG155" i="33"/>
  <c r="ED155" i="33"/>
  <c r="EA155" i="33"/>
  <c r="DX155" i="33"/>
  <c r="DU155" i="33"/>
  <c r="DR155" i="33"/>
  <c r="DO155" i="33"/>
  <c r="DL155" i="33"/>
  <c r="DI155" i="33"/>
  <c r="DF155" i="33"/>
  <c r="DC155" i="33"/>
  <c r="CZ155" i="33"/>
  <c r="CW155" i="33"/>
  <c r="CT155" i="33"/>
  <c r="CQ155" i="33"/>
  <c r="CN155" i="33"/>
  <c r="CK155" i="33"/>
  <c r="CH155" i="33"/>
  <c r="CE155" i="33"/>
  <c r="CB155" i="33"/>
  <c r="BY155" i="33"/>
  <c r="BV155" i="33"/>
  <c r="BS155" i="33"/>
  <c r="BP155" i="33"/>
  <c r="BM155" i="33"/>
  <c r="BJ155" i="33"/>
  <c r="BG155" i="33"/>
  <c r="BD155" i="33"/>
  <c r="BA155" i="33"/>
  <c r="AX155" i="33"/>
  <c r="AU155" i="33"/>
  <c r="AR155" i="33"/>
  <c r="AO155" i="33"/>
  <c r="AL155" i="33"/>
  <c r="AI155" i="33"/>
  <c r="AF155" i="33"/>
  <c r="FV154" i="33"/>
  <c r="FU154" i="33"/>
  <c r="FW154" i="33" s="1"/>
  <c r="FS154" i="33"/>
  <c r="FR154" i="33"/>
  <c r="FT154" i="33" s="1"/>
  <c r="FP154" i="33"/>
  <c r="FO154" i="33"/>
  <c r="FQ154" i="33" s="1"/>
  <c r="FM154" i="33"/>
  <c r="FL154" i="33"/>
  <c r="FN154" i="33" s="1"/>
  <c r="FJ154" i="33"/>
  <c r="FI154" i="33"/>
  <c r="FK154" i="33" s="1"/>
  <c r="FG154" i="33"/>
  <c r="FF154" i="33"/>
  <c r="FH154" i="33" s="1"/>
  <c r="FD154" i="33"/>
  <c r="FC154" i="33"/>
  <c r="FE154" i="33" s="1"/>
  <c r="FA154" i="33"/>
  <c r="EZ154" i="33"/>
  <c r="FB154" i="33" s="1"/>
  <c r="EX154" i="33"/>
  <c r="EW154" i="33"/>
  <c r="EY154" i="33" s="1"/>
  <c r="EU154" i="33"/>
  <c r="ET154" i="33"/>
  <c r="EV154" i="33" s="1"/>
  <c r="ER154" i="33"/>
  <c r="EQ154" i="33"/>
  <c r="ES154" i="33" s="1"/>
  <c r="EO154" i="33"/>
  <c r="EN154" i="33"/>
  <c r="EP154" i="33" s="1"/>
  <c r="EL154" i="33"/>
  <c r="EK154" i="33"/>
  <c r="EM154" i="33" s="1"/>
  <c r="EI154" i="33"/>
  <c r="EH154" i="33"/>
  <c r="EJ154" i="33" s="1"/>
  <c r="EF154" i="33"/>
  <c r="EE154" i="33"/>
  <c r="EG154" i="33" s="1"/>
  <c r="EC154" i="33"/>
  <c r="EB154" i="33"/>
  <c r="ED154" i="33" s="1"/>
  <c r="DZ154" i="33"/>
  <c r="DY154" i="33"/>
  <c r="EA154" i="33" s="1"/>
  <c r="DW154" i="33"/>
  <c r="DV154" i="33"/>
  <c r="DX154" i="33" s="1"/>
  <c r="DT154" i="33"/>
  <c r="DS154" i="33"/>
  <c r="DU154" i="33" s="1"/>
  <c r="DQ154" i="33"/>
  <c r="DP154" i="33"/>
  <c r="DR154" i="33" s="1"/>
  <c r="DN154" i="33"/>
  <c r="DM154" i="33"/>
  <c r="DO154" i="33" s="1"/>
  <c r="DK154" i="33"/>
  <c r="DJ154" i="33"/>
  <c r="DL154" i="33" s="1"/>
  <c r="DH154" i="33"/>
  <c r="DG154" i="33"/>
  <c r="DI154" i="33" s="1"/>
  <c r="DE154" i="33"/>
  <c r="DD154" i="33"/>
  <c r="DF154" i="33" s="1"/>
  <c r="DB154" i="33"/>
  <c r="DA154" i="33"/>
  <c r="DC154" i="33" s="1"/>
  <c r="CY154" i="33"/>
  <c r="CX154" i="33"/>
  <c r="CZ154" i="33" s="1"/>
  <c r="CV154" i="33"/>
  <c r="CU154" i="33"/>
  <c r="CW154" i="33" s="1"/>
  <c r="CS154" i="33"/>
  <c r="CR154" i="33"/>
  <c r="CT154" i="33" s="1"/>
  <c r="CP154" i="33"/>
  <c r="CO154" i="33"/>
  <c r="CQ154" i="33" s="1"/>
  <c r="CM154" i="33"/>
  <c r="CL154" i="33"/>
  <c r="CN154" i="33" s="1"/>
  <c r="CJ154" i="33"/>
  <c r="CI154" i="33"/>
  <c r="CK154" i="33" s="1"/>
  <c r="CG154" i="33"/>
  <c r="CF154" i="33"/>
  <c r="CH154" i="33" s="1"/>
  <c r="CD154" i="33"/>
  <c r="CC154" i="33"/>
  <c r="CE154" i="33" s="1"/>
  <c r="CA154" i="33"/>
  <c r="BZ154" i="33"/>
  <c r="CB154" i="33" s="1"/>
  <c r="BX154" i="33"/>
  <c r="BW154" i="33"/>
  <c r="BY154" i="33" s="1"/>
  <c r="BU154" i="33"/>
  <c r="BT154" i="33"/>
  <c r="BV154" i="33" s="1"/>
  <c r="BR154" i="33"/>
  <c r="BQ154" i="33"/>
  <c r="BS154" i="33" s="1"/>
  <c r="BO154" i="33"/>
  <c r="BN154" i="33"/>
  <c r="BP154" i="33" s="1"/>
  <c r="BL154" i="33"/>
  <c r="BK154" i="33"/>
  <c r="BM154" i="33" s="1"/>
  <c r="BI154" i="33"/>
  <c r="BH154" i="33"/>
  <c r="BJ154" i="33" s="1"/>
  <c r="BF154" i="33"/>
  <c r="BE154" i="33"/>
  <c r="BG154" i="33" s="1"/>
  <c r="BC154" i="33"/>
  <c r="BB154" i="33"/>
  <c r="BD154" i="33" s="1"/>
  <c r="AZ154" i="33"/>
  <c r="AY154" i="33"/>
  <c r="BA154" i="33" s="1"/>
  <c r="AW154" i="33"/>
  <c r="AV154" i="33"/>
  <c r="AX154" i="33" s="1"/>
  <c r="AT154" i="33"/>
  <c r="AS154" i="33"/>
  <c r="AU154" i="33" s="1"/>
  <c r="AQ154" i="33"/>
  <c r="AP154" i="33"/>
  <c r="AR154" i="33" s="1"/>
  <c r="AN154" i="33"/>
  <c r="AM154" i="33"/>
  <c r="AO154" i="33" s="1"/>
  <c r="AK154" i="33"/>
  <c r="AJ154" i="33"/>
  <c r="AL154" i="33" s="1"/>
  <c r="AH154" i="33"/>
  <c r="AG154" i="33"/>
  <c r="AI154" i="33" s="1"/>
  <c r="AE154" i="33"/>
  <c r="AD154" i="33"/>
  <c r="AF154" i="33" s="1"/>
  <c r="FW152" i="33"/>
  <c r="FT152" i="33"/>
  <c r="FQ152" i="33"/>
  <c r="FN152" i="33"/>
  <c r="FK152" i="33"/>
  <c r="FH152" i="33"/>
  <c r="FE152" i="33"/>
  <c r="FB152" i="33"/>
  <c r="EY152" i="33"/>
  <c r="EV152" i="33"/>
  <c r="ES152" i="33"/>
  <c r="EP152" i="33"/>
  <c r="EM152" i="33"/>
  <c r="EJ152" i="33"/>
  <c r="EG152" i="33"/>
  <c r="ED152" i="33"/>
  <c r="EA152" i="33"/>
  <c r="DX152" i="33"/>
  <c r="DU152" i="33"/>
  <c r="DR152" i="33"/>
  <c r="DO152" i="33"/>
  <c r="DL152" i="33"/>
  <c r="DI152" i="33"/>
  <c r="DF152" i="33"/>
  <c r="DC152" i="33"/>
  <c r="CZ152" i="33"/>
  <c r="CW152" i="33"/>
  <c r="CT152" i="33"/>
  <c r="CQ152" i="33"/>
  <c r="CN152" i="33"/>
  <c r="CK152" i="33"/>
  <c r="CH152" i="33"/>
  <c r="CE152" i="33"/>
  <c r="CB152" i="33"/>
  <c r="BY152" i="33"/>
  <c r="BV152" i="33"/>
  <c r="BS152" i="33"/>
  <c r="BP152" i="33"/>
  <c r="BM152" i="33"/>
  <c r="BJ152" i="33"/>
  <c r="FW151" i="33"/>
  <c r="FT151" i="33"/>
  <c r="FQ151" i="33"/>
  <c r="FN151" i="33"/>
  <c r="FK151" i="33"/>
  <c r="FH151" i="33"/>
  <c r="FE151" i="33"/>
  <c r="FB151" i="33"/>
  <c r="EY151" i="33"/>
  <c r="EV151" i="33"/>
  <c r="ES151" i="33"/>
  <c r="EP151" i="33"/>
  <c r="EM151" i="33"/>
  <c r="EJ151" i="33"/>
  <c r="EG151" i="33"/>
  <c r="ED151" i="33"/>
  <c r="EA151" i="33"/>
  <c r="DX151" i="33"/>
  <c r="DU151" i="33"/>
  <c r="DR151" i="33"/>
  <c r="DO151" i="33"/>
  <c r="DL151" i="33"/>
  <c r="DI151" i="33"/>
  <c r="DF151" i="33"/>
  <c r="DC151" i="33"/>
  <c r="CZ151" i="33"/>
  <c r="CW151" i="33"/>
  <c r="CT151" i="33"/>
  <c r="CQ151" i="33"/>
  <c r="CN151" i="33"/>
  <c r="CK151" i="33"/>
  <c r="CH151" i="33"/>
  <c r="CE151" i="33"/>
  <c r="CB151" i="33"/>
  <c r="BY151" i="33"/>
  <c r="BV151" i="33"/>
  <c r="BS151" i="33"/>
  <c r="BP151" i="33"/>
  <c r="BM151" i="33"/>
  <c r="BJ151" i="33"/>
  <c r="FW150" i="33"/>
  <c r="FT150" i="33"/>
  <c r="FQ150" i="33"/>
  <c r="FN150" i="33"/>
  <c r="FK150" i="33"/>
  <c r="FH150" i="33"/>
  <c r="FE150" i="33"/>
  <c r="FB150" i="33"/>
  <c r="EY150" i="33"/>
  <c r="EV150" i="33"/>
  <c r="ES150" i="33"/>
  <c r="EP150" i="33"/>
  <c r="EM150" i="33"/>
  <c r="EJ150" i="33"/>
  <c r="EG150" i="33"/>
  <c r="ED150" i="33"/>
  <c r="EA150" i="33"/>
  <c r="DX150" i="33"/>
  <c r="DU150" i="33"/>
  <c r="DR150" i="33"/>
  <c r="DO150" i="33"/>
  <c r="DL150" i="33"/>
  <c r="DI150" i="33"/>
  <c r="DF150" i="33"/>
  <c r="DC150" i="33"/>
  <c r="CZ150" i="33"/>
  <c r="CW150" i="33"/>
  <c r="CT150" i="33"/>
  <c r="CQ150" i="33"/>
  <c r="CN150" i="33"/>
  <c r="CK150" i="33"/>
  <c r="CH150" i="33"/>
  <c r="CE150" i="33"/>
  <c r="CB150" i="33"/>
  <c r="BY150" i="33"/>
  <c r="BV150" i="33"/>
  <c r="BS150" i="33"/>
  <c r="BP150" i="33"/>
  <c r="BM150" i="33"/>
  <c r="BJ150" i="33"/>
  <c r="FW149" i="33"/>
  <c r="FT149" i="33"/>
  <c r="FQ149" i="33"/>
  <c r="FN149" i="33"/>
  <c r="FK149" i="33"/>
  <c r="FH149" i="33"/>
  <c r="FE149" i="33"/>
  <c r="FB149" i="33"/>
  <c r="EY149" i="33"/>
  <c r="EV149" i="33"/>
  <c r="ES149" i="33"/>
  <c r="EP149" i="33"/>
  <c r="EM149" i="33"/>
  <c r="EJ149" i="33"/>
  <c r="EG149" i="33"/>
  <c r="ED149" i="33"/>
  <c r="EA149" i="33"/>
  <c r="DX149" i="33"/>
  <c r="DU149" i="33"/>
  <c r="DR149" i="33"/>
  <c r="DO149" i="33"/>
  <c r="DL149" i="33"/>
  <c r="DI149" i="33"/>
  <c r="DF149" i="33"/>
  <c r="DC149" i="33"/>
  <c r="CZ149" i="33"/>
  <c r="CW149" i="33"/>
  <c r="CT149" i="33"/>
  <c r="CQ149" i="33"/>
  <c r="CN149" i="33"/>
  <c r="CK149" i="33"/>
  <c r="CH149" i="33"/>
  <c r="CE149" i="33"/>
  <c r="CB149" i="33"/>
  <c r="BY149" i="33"/>
  <c r="BV149" i="33"/>
  <c r="BS149" i="33"/>
  <c r="BP149" i="33"/>
  <c r="BM149" i="33"/>
  <c r="BJ149" i="33"/>
  <c r="FV148" i="33"/>
  <c r="FU148" i="33"/>
  <c r="FW148" i="33" s="1"/>
  <c r="FS148" i="33"/>
  <c r="FR148" i="33"/>
  <c r="FT148" i="33" s="1"/>
  <c r="FP148" i="33"/>
  <c r="FO148" i="33"/>
  <c r="FQ148" i="33" s="1"/>
  <c r="FM148" i="33"/>
  <c r="FL148" i="33"/>
  <c r="FN148" i="33" s="1"/>
  <c r="FJ148" i="33"/>
  <c r="FI148" i="33"/>
  <c r="FK148" i="33" s="1"/>
  <c r="FG148" i="33"/>
  <c r="FF148" i="33"/>
  <c r="FH148" i="33" s="1"/>
  <c r="FD148" i="33"/>
  <c r="FC148" i="33"/>
  <c r="FE148" i="33" s="1"/>
  <c r="FA148" i="33"/>
  <c r="EZ148" i="33"/>
  <c r="FB148" i="33" s="1"/>
  <c r="EX148" i="33"/>
  <c r="EW148" i="33"/>
  <c r="EY148" i="33" s="1"/>
  <c r="EU148" i="33"/>
  <c r="ET148" i="33"/>
  <c r="EV148" i="33" s="1"/>
  <c r="ER148" i="33"/>
  <c r="EQ148" i="33"/>
  <c r="ES148" i="33" s="1"/>
  <c r="EO148" i="33"/>
  <c r="EN148" i="33"/>
  <c r="EP148" i="33" s="1"/>
  <c r="EL148" i="33"/>
  <c r="EK148" i="33"/>
  <c r="EM148" i="33" s="1"/>
  <c r="EI148" i="33"/>
  <c r="EH148" i="33"/>
  <c r="EJ148" i="33" s="1"/>
  <c r="EF148" i="33"/>
  <c r="EE148" i="33"/>
  <c r="EG148" i="33" s="1"/>
  <c r="EC148" i="33"/>
  <c r="EB148" i="33"/>
  <c r="ED148" i="33" s="1"/>
  <c r="DZ148" i="33"/>
  <c r="DY148" i="33"/>
  <c r="EA148" i="33" s="1"/>
  <c r="DW148" i="33"/>
  <c r="DV148" i="33"/>
  <c r="DX148" i="33" s="1"/>
  <c r="DT148" i="33"/>
  <c r="DS148" i="33"/>
  <c r="DU148" i="33" s="1"/>
  <c r="DQ148" i="33"/>
  <c r="DP148" i="33"/>
  <c r="DR148" i="33" s="1"/>
  <c r="DN148" i="33"/>
  <c r="DM148" i="33"/>
  <c r="DO148" i="33" s="1"/>
  <c r="DK148" i="33"/>
  <c r="DJ148" i="33"/>
  <c r="DL148" i="33" s="1"/>
  <c r="DH148" i="33"/>
  <c r="DG148" i="33"/>
  <c r="DI148" i="33" s="1"/>
  <c r="DE148" i="33"/>
  <c r="DD148" i="33"/>
  <c r="DF148" i="33" s="1"/>
  <c r="DB148" i="33"/>
  <c r="DA148" i="33"/>
  <c r="DC148" i="33" s="1"/>
  <c r="CY148" i="33"/>
  <c r="CX148" i="33"/>
  <c r="CZ148" i="33" s="1"/>
  <c r="CV148" i="33"/>
  <c r="CU148" i="33"/>
  <c r="CW148" i="33" s="1"/>
  <c r="CS148" i="33"/>
  <c r="CR148" i="33"/>
  <c r="CT148" i="33" s="1"/>
  <c r="CP148" i="33"/>
  <c r="CO148" i="33"/>
  <c r="CQ148" i="33" s="1"/>
  <c r="CM148" i="33"/>
  <c r="CL148" i="33"/>
  <c r="CN148" i="33" s="1"/>
  <c r="CJ148" i="33"/>
  <c r="CI148" i="33"/>
  <c r="CK148" i="33" s="1"/>
  <c r="CG148" i="33"/>
  <c r="CF148" i="33"/>
  <c r="CH148" i="33" s="1"/>
  <c r="CD148" i="33"/>
  <c r="CC148" i="33"/>
  <c r="CE148" i="33" s="1"/>
  <c r="CA148" i="33"/>
  <c r="BZ148" i="33"/>
  <c r="CB148" i="33" s="1"/>
  <c r="BX148" i="33"/>
  <c r="BW148" i="33"/>
  <c r="BY148" i="33" s="1"/>
  <c r="BU148" i="33"/>
  <c r="BT148" i="33"/>
  <c r="BV148" i="33" s="1"/>
  <c r="BR148" i="33"/>
  <c r="BQ148" i="33"/>
  <c r="BS148" i="33" s="1"/>
  <c r="BO148" i="33"/>
  <c r="BN148" i="33"/>
  <c r="BP148" i="33" s="1"/>
  <c r="BL148" i="33"/>
  <c r="BK148" i="33"/>
  <c r="BM148" i="33" s="1"/>
  <c r="BI148" i="33"/>
  <c r="BH148" i="33"/>
  <c r="BJ148" i="33" s="1"/>
  <c r="FW146" i="33"/>
  <c r="FT146" i="33"/>
  <c r="FQ146" i="33"/>
  <c r="FN146" i="33"/>
  <c r="FK146" i="33"/>
  <c r="FH146" i="33"/>
  <c r="FE146" i="33"/>
  <c r="FB146" i="33"/>
  <c r="EY146" i="33"/>
  <c r="EV146" i="33"/>
  <c r="ES146" i="33"/>
  <c r="EP146" i="33"/>
  <c r="EM146" i="33"/>
  <c r="EJ146" i="33"/>
  <c r="EG146" i="33"/>
  <c r="ED146" i="33"/>
  <c r="EA146" i="33"/>
  <c r="DX146" i="33"/>
  <c r="DU146" i="33"/>
  <c r="DR146" i="33"/>
  <c r="DO146" i="33"/>
  <c r="DL146" i="33"/>
  <c r="DI146" i="33"/>
  <c r="DF146" i="33"/>
  <c r="DC146" i="33"/>
  <c r="CZ146" i="33"/>
  <c r="CW146" i="33"/>
  <c r="CT146" i="33"/>
  <c r="CQ146" i="33"/>
  <c r="CN146" i="33"/>
  <c r="CK146" i="33"/>
  <c r="CH146" i="33"/>
  <c r="CE146" i="33"/>
  <c r="CB146" i="33"/>
  <c r="BY146" i="33"/>
  <c r="BV146" i="33"/>
  <c r="BS146" i="33"/>
  <c r="BP146" i="33"/>
  <c r="BM146" i="33"/>
  <c r="BJ146" i="33"/>
  <c r="FW145" i="33"/>
  <c r="FT145" i="33"/>
  <c r="FQ145" i="33"/>
  <c r="FN145" i="33"/>
  <c r="FK145" i="33"/>
  <c r="FH145" i="33"/>
  <c r="FE145" i="33"/>
  <c r="FB145" i="33"/>
  <c r="EY145" i="33"/>
  <c r="EV145" i="33"/>
  <c r="ES145" i="33"/>
  <c r="EP145" i="33"/>
  <c r="EM145" i="33"/>
  <c r="EJ145" i="33"/>
  <c r="EG145" i="33"/>
  <c r="ED145" i="33"/>
  <c r="EA145" i="33"/>
  <c r="DX145" i="33"/>
  <c r="DU145" i="33"/>
  <c r="DR145" i="33"/>
  <c r="DO145" i="33"/>
  <c r="DL145" i="33"/>
  <c r="DI145" i="33"/>
  <c r="DF145" i="33"/>
  <c r="DC145" i="33"/>
  <c r="CZ145" i="33"/>
  <c r="CW145" i="33"/>
  <c r="CT145" i="33"/>
  <c r="CQ145" i="33"/>
  <c r="CN145" i="33"/>
  <c r="CK145" i="33"/>
  <c r="CH145" i="33"/>
  <c r="CE145" i="33"/>
  <c r="CB145" i="33"/>
  <c r="BY145" i="33"/>
  <c r="BV145" i="33"/>
  <c r="BS145" i="33"/>
  <c r="BP145" i="33"/>
  <c r="BM145" i="33"/>
  <c r="BJ145" i="33"/>
  <c r="FW144" i="33"/>
  <c r="FT144" i="33"/>
  <c r="FQ144" i="33"/>
  <c r="FN144" i="33"/>
  <c r="FK144" i="33"/>
  <c r="FH144" i="33"/>
  <c r="FE144" i="33"/>
  <c r="FB144" i="33"/>
  <c r="EY144" i="33"/>
  <c r="EV144" i="33"/>
  <c r="ES144" i="33"/>
  <c r="EP144" i="33"/>
  <c r="EM144" i="33"/>
  <c r="EJ144" i="33"/>
  <c r="EG144" i="33"/>
  <c r="ED144" i="33"/>
  <c r="EA144" i="33"/>
  <c r="DX144" i="33"/>
  <c r="DU144" i="33"/>
  <c r="DR144" i="33"/>
  <c r="DO144" i="33"/>
  <c r="DL144" i="33"/>
  <c r="DI144" i="33"/>
  <c r="DF144" i="33"/>
  <c r="DC144" i="33"/>
  <c r="CZ144" i="33"/>
  <c r="CW144" i="33"/>
  <c r="CT144" i="33"/>
  <c r="CQ144" i="33"/>
  <c r="CN144" i="33"/>
  <c r="CK144" i="33"/>
  <c r="CH144" i="33"/>
  <c r="CE144" i="33"/>
  <c r="CB144" i="33"/>
  <c r="BY144" i="33"/>
  <c r="BV144" i="33"/>
  <c r="BS144" i="33"/>
  <c r="BP144" i="33"/>
  <c r="BM144" i="33"/>
  <c r="BJ144" i="33"/>
  <c r="FW143" i="33"/>
  <c r="FT143" i="33"/>
  <c r="FQ143" i="33"/>
  <c r="FN143" i="33"/>
  <c r="FK143" i="33"/>
  <c r="FH143" i="33"/>
  <c r="FE143" i="33"/>
  <c r="FB143" i="33"/>
  <c r="EY143" i="33"/>
  <c r="EV143" i="33"/>
  <c r="ES143" i="33"/>
  <c r="EP143" i="33"/>
  <c r="EM143" i="33"/>
  <c r="EJ143" i="33"/>
  <c r="EG143" i="33"/>
  <c r="ED143" i="33"/>
  <c r="EA143" i="33"/>
  <c r="DX143" i="33"/>
  <c r="DU143" i="33"/>
  <c r="DR143" i="33"/>
  <c r="DO143" i="33"/>
  <c r="DL143" i="33"/>
  <c r="DI143" i="33"/>
  <c r="DF143" i="33"/>
  <c r="DC143" i="33"/>
  <c r="CZ143" i="33"/>
  <c r="CW143" i="33"/>
  <c r="CT143" i="33"/>
  <c r="CQ143" i="33"/>
  <c r="CN143" i="33"/>
  <c r="CK143" i="33"/>
  <c r="CH143" i="33"/>
  <c r="CE143" i="33"/>
  <c r="CB143" i="33"/>
  <c r="BY143" i="33"/>
  <c r="BV143" i="33"/>
  <c r="BS143" i="33"/>
  <c r="BP143" i="33"/>
  <c r="BM143" i="33"/>
  <c r="BJ143" i="33"/>
  <c r="FV142" i="33"/>
  <c r="FU142" i="33"/>
  <c r="FW142" i="33" s="1"/>
  <c r="FS142" i="33"/>
  <c r="FR142" i="33"/>
  <c r="FT142" i="33" s="1"/>
  <c r="FP142" i="33"/>
  <c r="FO142" i="33"/>
  <c r="FQ142" i="33" s="1"/>
  <c r="FM142" i="33"/>
  <c r="FL142" i="33"/>
  <c r="FN142" i="33" s="1"/>
  <c r="FJ142" i="33"/>
  <c r="FI142" i="33"/>
  <c r="FK142" i="33" s="1"/>
  <c r="FG142" i="33"/>
  <c r="FF142" i="33"/>
  <c r="FH142" i="33" s="1"/>
  <c r="FD142" i="33"/>
  <c r="FC142" i="33"/>
  <c r="FE142" i="33" s="1"/>
  <c r="FA142" i="33"/>
  <c r="EZ142" i="33"/>
  <c r="FB142" i="33" s="1"/>
  <c r="EX142" i="33"/>
  <c r="EW142" i="33"/>
  <c r="EY142" i="33" s="1"/>
  <c r="EU142" i="33"/>
  <c r="ET142" i="33"/>
  <c r="EV142" i="33" s="1"/>
  <c r="ER142" i="33"/>
  <c r="EQ142" i="33"/>
  <c r="ES142" i="33" s="1"/>
  <c r="EO142" i="33"/>
  <c r="EN142" i="33"/>
  <c r="EP142" i="33" s="1"/>
  <c r="EL142" i="33"/>
  <c r="EK142" i="33"/>
  <c r="EM142" i="33" s="1"/>
  <c r="EI142" i="33"/>
  <c r="EH142" i="33"/>
  <c r="EJ142" i="33" s="1"/>
  <c r="EF142" i="33"/>
  <c r="EE142" i="33"/>
  <c r="EG142" i="33" s="1"/>
  <c r="EC142" i="33"/>
  <c r="EB142" i="33"/>
  <c r="ED142" i="33" s="1"/>
  <c r="DZ142" i="33"/>
  <c r="DY142" i="33"/>
  <c r="EA142" i="33" s="1"/>
  <c r="DW142" i="33"/>
  <c r="DV142" i="33"/>
  <c r="DX142" i="33" s="1"/>
  <c r="DT142" i="33"/>
  <c r="DS142" i="33"/>
  <c r="DU142" i="33" s="1"/>
  <c r="DQ142" i="33"/>
  <c r="DP142" i="33"/>
  <c r="DR142" i="33" s="1"/>
  <c r="DN142" i="33"/>
  <c r="DM142" i="33"/>
  <c r="DO142" i="33" s="1"/>
  <c r="DK142" i="33"/>
  <c r="DJ142" i="33"/>
  <c r="DL142" i="33" s="1"/>
  <c r="DH142" i="33"/>
  <c r="DG142" i="33"/>
  <c r="DI142" i="33" s="1"/>
  <c r="DE142" i="33"/>
  <c r="DD142" i="33"/>
  <c r="DF142" i="33" s="1"/>
  <c r="DB142" i="33"/>
  <c r="DA142" i="33"/>
  <c r="DC142" i="33" s="1"/>
  <c r="CY142" i="33"/>
  <c r="CX142" i="33"/>
  <c r="CZ142" i="33" s="1"/>
  <c r="CV142" i="33"/>
  <c r="CU142" i="33"/>
  <c r="CW142" i="33" s="1"/>
  <c r="CS142" i="33"/>
  <c r="CR142" i="33"/>
  <c r="CT142" i="33" s="1"/>
  <c r="CP142" i="33"/>
  <c r="CO142" i="33"/>
  <c r="CQ142" i="33" s="1"/>
  <c r="CM142" i="33"/>
  <c r="CL142" i="33"/>
  <c r="CN142" i="33" s="1"/>
  <c r="CJ142" i="33"/>
  <c r="CI142" i="33"/>
  <c r="CK142" i="33" s="1"/>
  <c r="CG142" i="33"/>
  <c r="CF142" i="33"/>
  <c r="CH142" i="33" s="1"/>
  <c r="CD142" i="33"/>
  <c r="CC142" i="33"/>
  <c r="CE142" i="33" s="1"/>
  <c r="CA142" i="33"/>
  <c r="BZ142" i="33"/>
  <c r="CB142" i="33" s="1"/>
  <c r="BX142" i="33"/>
  <c r="BW142" i="33"/>
  <c r="BY142" i="33" s="1"/>
  <c r="BU142" i="33"/>
  <c r="BT142" i="33"/>
  <c r="BV142" i="33" s="1"/>
  <c r="BR142" i="33"/>
  <c r="BQ142" i="33"/>
  <c r="BS142" i="33" s="1"/>
  <c r="BO142" i="33"/>
  <c r="BN142" i="33"/>
  <c r="BP142" i="33" s="1"/>
  <c r="BL142" i="33"/>
  <c r="BK142" i="33"/>
  <c r="BM142" i="33" s="1"/>
  <c r="BI142" i="33"/>
  <c r="BH142" i="33"/>
  <c r="BJ142" i="33" s="1"/>
  <c r="FW138" i="33"/>
  <c r="FT138" i="33"/>
  <c r="FQ138" i="33"/>
  <c r="FN138" i="33"/>
  <c r="FK138" i="33"/>
  <c r="FH138" i="33"/>
  <c r="FE138" i="33"/>
  <c r="FB138" i="33"/>
  <c r="EY138" i="33"/>
  <c r="EV138" i="33"/>
  <c r="ES138" i="33"/>
  <c r="EP138" i="33"/>
  <c r="EM138" i="33"/>
  <c r="EJ138" i="33"/>
  <c r="EG138" i="33"/>
  <c r="ED138" i="33"/>
  <c r="EA138" i="33"/>
  <c r="DX138" i="33"/>
  <c r="DU138" i="33"/>
  <c r="DR138" i="33"/>
  <c r="DO138" i="33"/>
  <c r="DL138" i="33"/>
  <c r="DI138" i="33"/>
  <c r="DF138" i="33"/>
  <c r="DC138" i="33"/>
  <c r="CZ138" i="33"/>
  <c r="CW138" i="33"/>
  <c r="CT138" i="33"/>
  <c r="CQ138" i="33"/>
  <c r="CN138" i="33"/>
  <c r="CK138" i="33"/>
  <c r="CH138" i="33"/>
  <c r="CE138" i="33"/>
  <c r="CB138" i="33"/>
  <c r="BY138" i="33"/>
  <c r="BV138" i="33"/>
  <c r="BS138" i="33"/>
  <c r="BP138" i="33"/>
  <c r="BM138" i="33"/>
  <c r="BJ138" i="33"/>
  <c r="BG138" i="33"/>
  <c r="BD138" i="33"/>
  <c r="BA138" i="33"/>
  <c r="AX138" i="33"/>
  <c r="AU138" i="33"/>
  <c r="AR138" i="33"/>
  <c r="AO138" i="33"/>
  <c r="AL138" i="33"/>
  <c r="AI138" i="33"/>
  <c r="AF138" i="33"/>
  <c r="Q138" i="33" a="1"/>
  <c r="Q138" i="33"/>
  <c r="GB137" i="33" a="1"/>
  <c r="GB137" i="33"/>
  <c r="GB138" i="33" s="1" a="1"/>
  <c r="GB138" i="33" s="1"/>
  <c r="FW137" i="33"/>
  <c r="FT137" i="33"/>
  <c r="FQ137" i="33"/>
  <c r="FN137" i="33"/>
  <c r="FK137" i="33"/>
  <c r="FH137" i="33"/>
  <c r="FE137" i="33"/>
  <c r="FB137" i="33"/>
  <c r="EY137" i="33"/>
  <c r="EV137" i="33"/>
  <c r="ES137" i="33"/>
  <c r="EP137" i="33"/>
  <c r="EM137" i="33"/>
  <c r="EJ137" i="33"/>
  <c r="EG137" i="33"/>
  <c r="ED137" i="33"/>
  <c r="EA137" i="33"/>
  <c r="DX137" i="33"/>
  <c r="DU137" i="33"/>
  <c r="DR137" i="33"/>
  <c r="DO137" i="33"/>
  <c r="DL137" i="33"/>
  <c r="DI137" i="33"/>
  <c r="DF137" i="33"/>
  <c r="DC137" i="33"/>
  <c r="CZ137" i="33"/>
  <c r="CW137" i="33"/>
  <c r="CT137" i="33"/>
  <c r="CQ137" i="33"/>
  <c r="CN137" i="33"/>
  <c r="CK137" i="33"/>
  <c r="CH137" i="33"/>
  <c r="CE137" i="33"/>
  <c r="CB137" i="33"/>
  <c r="BY137" i="33"/>
  <c r="BV137" i="33"/>
  <c r="BS137" i="33"/>
  <c r="BP137" i="33"/>
  <c r="BM137" i="33"/>
  <c r="BJ137" i="33"/>
  <c r="BG137" i="33"/>
  <c r="BD137" i="33"/>
  <c r="BA137" i="33"/>
  <c r="AX137" i="33"/>
  <c r="AU137" i="33"/>
  <c r="AR137" i="33"/>
  <c r="AO137" i="33"/>
  <c r="AL137" i="33"/>
  <c r="AI137" i="33"/>
  <c r="AF137" i="33"/>
  <c r="Q137" i="33" a="1"/>
  <c r="Q137" i="33" s="1"/>
  <c r="FW136" i="33"/>
  <c r="FT136" i="33"/>
  <c r="FQ136" i="33"/>
  <c r="FN136" i="33"/>
  <c r="FK136" i="33"/>
  <c r="FH136" i="33"/>
  <c r="FE136" i="33"/>
  <c r="FB136" i="33"/>
  <c r="EY136" i="33"/>
  <c r="EV136" i="33"/>
  <c r="ES136" i="33"/>
  <c r="EP136" i="33"/>
  <c r="EM136" i="33"/>
  <c r="EJ136" i="33"/>
  <c r="EG136" i="33"/>
  <c r="ED136" i="33"/>
  <c r="EA136" i="33"/>
  <c r="DX136" i="33"/>
  <c r="DU136" i="33"/>
  <c r="DR136" i="33"/>
  <c r="DO136" i="33"/>
  <c r="DL136" i="33"/>
  <c r="DI136" i="33"/>
  <c r="DF136" i="33"/>
  <c r="DC136" i="33"/>
  <c r="CZ136" i="33"/>
  <c r="CW136" i="33"/>
  <c r="CT136" i="33"/>
  <c r="CQ136" i="33"/>
  <c r="CN136" i="33"/>
  <c r="CK136" i="33"/>
  <c r="CH136" i="33"/>
  <c r="CE136" i="33"/>
  <c r="CB136" i="33"/>
  <c r="BY136" i="33"/>
  <c r="BV136" i="33"/>
  <c r="BS136" i="33"/>
  <c r="BP136" i="33"/>
  <c r="BM136" i="33"/>
  <c r="BJ136" i="33"/>
  <c r="BG136" i="33"/>
  <c r="BD136" i="33"/>
  <c r="BA136" i="33"/>
  <c r="AX136" i="33"/>
  <c r="AU136" i="33"/>
  <c r="AR136" i="33"/>
  <c r="AO136" i="33"/>
  <c r="AL136" i="33"/>
  <c r="AI136" i="33"/>
  <c r="AF136" i="33"/>
  <c r="FW135" i="33"/>
  <c r="FT135" i="33"/>
  <c r="FQ135" i="33"/>
  <c r="FN135" i="33"/>
  <c r="FK135" i="33"/>
  <c r="FH135" i="33"/>
  <c r="FE135" i="33"/>
  <c r="FB135" i="33"/>
  <c r="EY135" i="33"/>
  <c r="EV135" i="33"/>
  <c r="ES135" i="33"/>
  <c r="EP135" i="33"/>
  <c r="EM135" i="33"/>
  <c r="EJ135" i="33"/>
  <c r="EG135" i="33"/>
  <c r="ED135" i="33"/>
  <c r="EA135" i="33"/>
  <c r="DX135" i="33"/>
  <c r="DU135" i="33"/>
  <c r="DR135" i="33"/>
  <c r="DO135" i="33"/>
  <c r="DL135" i="33"/>
  <c r="DI135" i="33"/>
  <c r="DF135" i="33"/>
  <c r="DC135" i="33"/>
  <c r="CZ135" i="33"/>
  <c r="CW135" i="33"/>
  <c r="CT135" i="33"/>
  <c r="CQ135" i="33"/>
  <c r="CN135" i="33"/>
  <c r="CK135" i="33"/>
  <c r="CH135" i="33"/>
  <c r="CE135" i="33"/>
  <c r="CB135" i="33"/>
  <c r="BY135" i="33"/>
  <c r="BV135" i="33"/>
  <c r="BS135" i="33"/>
  <c r="BP135" i="33"/>
  <c r="BM135" i="33"/>
  <c r="BJ135" i="33"/>
  <c r="BG135" i="33"/>
  <c r="BD135" i="33"/>
  <c r="BA135" i="33"/>
  <c r="AX135" i="33"/>
  <c r="AU135" i="33"/>
  <c r="AR135" i="33"/>
  <c r="AO135" i="33"/>
  <c r="AL135" i="33"/>
  <c r="AI135" i="33"/>
  <c r="AF135" i="33"/>
  <c r="FV134" i="33"/>
  <c r="FU134" i="33"/>
  <c r="FW134" i="33" s="1"/>
  <c r="FS134" i="33"/>
  <c r="FR134" i="33"/>
  <c r="FT134" i="33" s="1"/>
  <c r="FP134" i="33"/>
  <c r="FO134" i="33"/>
  <c r="FQ134" i="33" s="1"/>
  <c r="FM134" i="33"/>
  <c r="FL134" i="33"/>
  <c r="FN134" i="33" s="1"/>
  <c r="FJ134" i="33"/>
  <c r="FI134" i="33"/>
  <c r="FK134" i="33" s="1"/>
  <c r="FG134" i="33"/>
  <c r="FF134" i="33"/>
  <c r="FH134" i="33" s="1"/>
  <c r="FD134" i="33"/>
  <c r="FC134" i="33"/>
  <c r="FE134" i="33" s="1"/>
  <c r="FA134" i="33"/>
  <c r="EZ134" i="33"/>
  <c r="FB134" i="33" s="1"/>
  <c r="EX134" i="33"/>
  <c r="EW134" i="33"/>
  <c r="EY134" i="33" s="1"/>
  <c r="EU134" i="33"/>
  <c r="ET134" i="33"/>
  <c r="EV134" i="33" s="1"/>
  <c r="ER134" i="33"/>
  <c r="EQ134" i="33"/>
  <c r="ES134" i="33" s="1"/>
  <c r="EO134" i="33"/>
  <c r="EN134" i="33"/>
  <c r="EP134" i="33" s="1"/>
  <c r="EL134" i="33"/>
  <c r="EK134" i="33"/>
  <c r="EM134" i="33" s="1"/>
  <c r="EI134" i="33"/>
  <c r="EH134" i="33"/>
  <c r="EJ134" i="33" s="1"/>
  <c r="EF134" i="33"/>
  <c r="EE134" i="33"/>
  <c r="EG134" i="33" s="1"/>
  <c r="EC134" i="33"/>
  <c r="EB134" i="33"/>
  <c r="ED134" i="33" s="1"/>
  <c r="DZ134" i="33"/>
  <c r="DY134" i="33"/>
  <c r="EA134" i="33" s="1"/>
  <c r="DW134" i="33"/>
  <c r="DV134" i="33"/>
  <c r="DX134" i="33" s="1"/>
  <c r="DT134" i="33"/>
  <c r="DS134" i="33"/>
  <c r="DU134" i="33" s="1"/>
  <c r="DQ134" i="33"/>
  <c r="DP134" i="33"/>
  <c r="DR134" i="33" s="1"/>
  <c r="DN134" i="33"/>
  <c r="DM134" i="33"/>
  <c r="DO134" i="33" s="1"/>
  <c r="DK134" i="33"/>
  <c r="DJ134" i="33"/>
  <c r="DL134" i="33" s="1"/>
  <c r="DH134" i="33"/>
  <c r="DG134" i="33"/>
  <c r="DI134" i="33" s="1"/>
  <c r="DE134" i="33"/>
  <c r="DD134" i="33"/>
  <c r="DF134" i="33" s="1"/>
  <c r="DB134" i="33"/>
  <c r="DA134" i="33"/>
  <c r="DC134" i="33" s="1"/>
  <c r="CY134" i="33"/>
  <c r="CX134" i="33"/>
  <c r="CZ134" i="33" s="1"/>
  <c r="CV134" i="33"/>
  <c r="CU134" i="33"/>
  <c r="CW134" i="33" s="1"/>
  <c r="CS134" i="33"/>
  <c r="CR134" i="33"/>
  <c r="CT134" i="33" s="1"/>
  <c r="CP134" i="33"/>
  <c r="CO134" i="33"/>
  <c r="CQ134" i="33" s="1"/>
  <c r="CM134" i="33"/>
  <c r="CL134" i="33"/>
  <c r="CN134" i="33" s="1"/>
  <c r="CJ134" i="33"/>
  <c r="CI134" i="33"/>
  <c r="CK134" i="33" s="1"/>
  <c r="CG134" i="33"/>
  <c r="CF134" i="33"/>
  <c r="CH134" i="33" s="1"/>
  <c r="CD134" i="33"/>
  <c r="CC134" i="33"/>
  <c r="CE134" i="33" s="1"/>
  <c r="CA134" i="33"/>
  <c r="BZ134" i="33"/>
  <c r="CB134" i="33" s="1"/>
  <c r="BX134" i="33"/>
  <c r="BW134" i="33"/>
  <c r="BY134" i="33" s="1"/>
  <c r="BU134" i="33"/>
  <c r="BT134" i="33"/>
  <c r="BV134" i="33" s="1"/>
  <c r="BR134" i="33"/>
  <c r="BQ134" i="33"/>
  <c r="BS134" i="33" s="1"/>
  <c r="BO134" i="33"/>
  <c r="BN134" i="33"/>
  <c r="BP134" i="33" s="1"/>
  <c r="BL134" i="33"/>
  <c r="BK134" i="33"/>
  <c r="BM134" i="33" s="1"/>
  <c r="BI134" i="33"/>
  <c r="BH134" i="33"/>
  <c r="BJ134" i="33" s="1"/>
  <c r="FV133" i="33"/>
  <c r="FU133" i="33"/>
  <c r="FS133" i="33"/>
  <c r="FR133" i="33"/>
  <c r="FP133" i="33"/>
  <c r="FO133" i="33"/>
  <c r="FM133" i="33"/>
  <c r="FL133" i="33"/>
  <c r="FJ133" i="33"/>
  <c r="FI133" i="33"/>
  <c r="FG133" i="33"/>
  <c r="FF133" i="33"/>
  <c r="FD133" i="33"/>
  <c r="FC133" i="33"/>
  <c r="FA133" i="33"/>
  <c r="EZ133" i="33"/>
  <c r="EX133" i="33"/>
  <c r="EW133" i="33"/>
  <c r="EU133" i="33"/>
  <c r="ET133" i="33"/>
  <c r="ER133" i="33"/>
  <c r="EQ133" i="33"/>
  <c r="EO133" i="33"/>
  <c r="EN133" i="33"/>
  <c r="EL133" i="33"/>
  <c r="EK133" i="33"/>
  <c r="EI133" i="33"/>
  <c r="EH133" i="33"/>
  <c r="EF133" i="33"/>
  <c r="EE133" i="33"/>
  <c r="EC133" i="33"/>
  <c r="EB133" i="33"/>
  <c r="DZ133" i="33"/>
  <c r="DY133" i="33"/>
  <c r="DW133" i="33"/>
  <c r="DV133" i="33"/>
  <c r="DT133" i="33"/>
  <c r="DS133" i="33"/>
  <c r="DQ133" i="33"/>
  <c r="DP133" i="33"/>
  <c r="DN133" i="33"/>
  <c r="DM133" i="33"/>
  <c r="DK133" i="33"/>
  <c r="DJ133" i="33"/>
  <c r="DH133" i="33"/>
  <c r="DG133" i="33"/>
  <c r="DE133" i="33"/>
  <c r="DD133" i="33"/>
  <c r="DB133" i="33"/>
  <c r="DA133" i="33"/>
  <c r="CY133" i="33"/>
  <c r="CX133" i="33"/>
  <c r="CV133" i="33"/>
  <c r="CU133" i="33"/>
  <c r="CS133" i="33"/>
  <c r="CR133" i="33"/>
  <c r="CP133" i="33"/>
  <c r="CO133" i="33"/>
  <c r="CM133" i="33"/>
  <c r="CL133" i="33"/>
  <c r="CJ133" i="33"/>
  <c r="CI133" i="33"/>
  <c r="CG133" i="33"/>
  <c r="CF133" i="33"/>
  <c r="CD133" i="33"/>
  <c r="CC133" i="33"/>
  <c r="CA133" i="33"/>
  <c r="BZ133" i="33"/>
  <c r="BX133" i="33"/>
  <c r="BW133" i="33"/>
  <c r="BU133" i="33"/>
  <c r="BT133" i="33"/>
  <c r="BR133" i="33"/>
  <c r="BQ133" i="33"/>
  <c r="BO133" i="33"/>
  <c r="BN133" i="33"/>
  <c r="BL133" i="33"/>
  <c r="BK133" i="33"/>
  <c r="BI133" i="33"/>
  <c r="BH133" i="33"/>
  <c r="AE133" i="33"/>
  <c r="FW132" i="33"/>
  <c r="FT132" i="33"/>
  <c r="FQ132" i="33"/>
  <c r="FN132" i="33"/>
  <c r="FK132" i="33"/>
  <c r="FH132" i="33"/>
  <c r="FE132" i="33"/>
  <c r="FB132" i="33"/>
  <c r="EY132" i="33"/>
  <c r="EV132" i="33"/>
  <c r="ES132" i="33"/>
  <c r="EP132" i="33"/>
  <c r="EM132" i="33"/>
  <c r="EJ132" i="33"/>
  <c r="EG132" i="33"/>
  <c r="ED132" i="33"/>
  <c r="EA132" i="33"/>
  <c r="DX132" i="33"/>
  <c r="DU132" i="33"/>
  <c r="DR132" i="33"/>
  <c r="DO132" i="33"/>
  <c r="DL132" i="33"/>
  <c r="DI132" i="33"/>
  <c r="DF132" i="33"/>
  <c r="DC132" i="33"/>
  <c r="CZ132" i="33"/>
  <c r="CW132" i="33"/>
  <c r="CT132" i="33"/>
  <c r="CQ132" i="33"/>
  <c r="CN132" i="33"/>
  <c r="CK132" i="33"/>
  <c r="CH132" i="33"/>
  <c r="CE132" i="33"/>
  <c r="CB132" i="33"/>
  <c r="BY132" i="33"/>
  <c r="BV132" i="33"/>
  <c r="BS132" i="33"/>
  <c r="BP132" i="33"/>
  <c r="BM132" i="33"/>
  <c r="BJ132" i="33"/>
  <c r="FW131" i="33"/>
  <c r="FT131" i="33"/>
  <c r="FQ131" i="33"/>
  <c r="FN131" i="33"/>
  <c r="FK131" i="33"/>
  <c r="FH131" i="33"/>
  <c r="FE131" i="33"/>
  <c r="FB131" i="33"/>
  <c r="EY131" i="33"/>
  <c r="EV131" i="33"/>
  <c r="ES131" i="33"/>
  <c r="EP131" i="33"/>
  <c r="EM131" i="33"/>
  <c r="EJ131" i="33"/>
  <c r="EG131" i="33"/>
  <c r="ED131" i="33"/>
  <c r="EA131" i="33"/>
  <c r="DX131" i="33"/>
  <c r="DU131" i="33"/>
  <c r="DR131" i="33"/>
  <c r="DO131" i="33"/>
  <c r="DL131" i="33"/>
  <c r="DI131" i="33"/>
  <c r="DF131" i="33"/>
  <c r="DC131" i="33"/>
  <c r="CZ131" i="33"/>
  <c r="CW131" i="33"/>
  <c r="CT131" i="33"/>
  <c r="CQ131" i="33"/>
  <c r="CN131" i="33"/>
  <c r="CK131" i="33"/>
  <c r="CH131" i="33"/>
  <c r="CE131" i="33"/>
  <c r="CB131" i="33"/>
  <c r="BY131" i="33"/>
  <c r="BV131" i="33"/>
  <c r="BS131" i="33"/>
  <c r="BP131" i="33"/>
  <c r="BM131" i="33"/>
  <c r="BJ131" i="33"/>
  <c r="FW130" i="33"/>
  <c r="FT130" i="33"/>
  <c r="FQ130" i="33"/>
  <c r="FN130" i="33"/>
  <c r="FK130" i="33"/>
  <c r="FH130" i="33"/>
  <c r="FE130" i="33"/>
  <c r="FB130" i="33"/>
  <c r="EY130" i="33"/>
  <c r="EV130" i="33"/>
  <c r="ES130" i="33"/>
  <c r="EP130" i="33"/>
  <c r="EM130" i="33"/>
  <c r="EJ130" i="33"/>
  <c r="EG130" i="33"/>
  <c r="ED130" i="33"/>
  <c r="EA130" i="33"/>
  <c r="DX130" i="33"/>
  <c r="DU130" i="33"/>
  <c r="DR130" i="33"/>
  <c r="DO130" i="33"/>
  <c r="DL130" i="33"/>
  <c r="DI130" i="33"/>
  <c r="DF130" i="33"/>
  <c r="DC130" i="33"/>
  <c r="CZ130" i="33"/>
  <c r="CW130" i="33"/>
  <c r="CT130" i="33"/>
  <c r="CQ130" i="33"/>
  <c r="CN130" i="33"/>
  <c r="CK130" i="33"/>
  <c r="CH130" i="33"/>
  <c r="CE130" i="33"/>
  <c r="CB130" i="33"/>
  <c r="BY130" i="33"/>
  <c r="BV130" i="33"/>
  <c r="BS130" i="33"/>
  <c r="BP130" i="33"/>
  <c r="BM130" i="33"/>
  <c r="BJ130" i="33"/>
  <c r="FW129" i="33"/>
  <c r="FT129" i="33"/>
  <c r="FQ129" i="33"/>
  <c r="FN129" i="33"/>
  <c r="FK129" i="33"/>
  <c r="FH129" i="33"/>
  <c r="FE129" i="33"/>
  <c r="FB129" i="33"/>
  <c r="EY129" i="33"/>
  <c r="EV129" i="33"/>
  <c r="ES129" i="33"/>
  <c r="EP129" i="33"/>
  <c r="EM129" i="33"/>
  <c r="EJ129" i="33"/>
  <c r="EG129" i="33"/>
  <c r="ED129" i="33"/>
  <c r="EA129" i="33"/>
  <c r="DX129" i="33"/>
  <c r="DU129" i="33"/>
  <c r="DR129" i="33"/>
  <c r="DO129" i="33"/>
  <c r="DL129" i="33"/>
  <c r="DI129" i="33"/>
  <c r="DF129" i="33"/>
  <c r="DC129" i="33"/>
  <c r="CZ129" i="33"/>
  <c r="CW129" i="33"/>
  <c r="CT129" i="33"/>
  <c r="CQ129" i="33"/>
  <c r="CN129" i="33"/>
  <c r="CK129" i="33"/>
  <c r="CH129" i="33"/>
  <c r="CE129" i="33"/>
  <c r="CB129" i="33"/>
  <c r="BY129" i="33"/>
  <c r="BV129" i="33"/>
  <c r="BS129" i="33"/>
  <c r="BP129" i="33"/>
  <c r="BM129" i="33"/>
  <c r="BJ129" i="33"/>
  <c r="FV128" i="33"/>
  <c r="FU128" i="33"/>
  <c r="FW128" i="33" s="1"/>
  <c r="FS128" i="33"/>
  <c r="FR128" i="33"/>
  <c r="FT128" i="33" s="1"/>
  <c r="FP128" i="33"/>
  <c r="FO128" i="33"/>
  <c r="FQ128" i="33" s="1"/>
  <c r="FM128" i="33"/>
  <c r="FL128" i="33"/>
  <c r="FN128" i="33" s="1"/>
  <c r="FJ128" i="33"/>
  <c r="FI128" i="33"/>
  <c r="FK128" i="33" s="1"/>
  <c r="FG128" i="33"/>
  <c r="FF128" i="33"/>
  <c r="FH128" i="33" s="1"/>
  <c r="FD128" i="33"/>
  <c r="FC128" i="33"/>
  <c r="FE128" i="33" s="1"/>
  <c r="FA128" i="33"/>
  <c r="EZ128" i="33"/>
  <c r="FB128" i="33" s="1"/>
  <c r="EX128" i="33"/>
  <c r="EW128" i="33"/>
  <c r="EY128" i="33" s="1"/>
  <c r="EU128" i="33"/>
  <c r="ET128" i="33"/>
  <c r="EV128" i="33" s="1"/>
  <c r="ER128" i="33"/>
  <c r="EQ128" i="33"/>
  <c r="ES128" i="33" s="1"/>
  <c r="EO128" i="33"/>
  <c r="EN128" i="33"/>
  <c r="EP128" i="33" s="1"/>
  <c r="EL128" i="33"/>
  <c r="EK128" i="33"/>
  <c r="EM128" i="33" s="1"/>
  <c r="EI128" i="33"/>
  <c r="EH128" i="33"/>
  <c r="EJ128" i="33" s="1"/>
  <c r="EF128" i="33"/>
  <c r="EE128" i="33"/>
  <c r="EG128" i="33" s="1"/>
  <c r="EC128" i="33"/>
  <c r="EB128" i="33"/>
  <c r="ED128" i="33" s="1"/>
  <c r="DZ128" i="33"/>
  <c r="DY128" i="33"/>
  <c r="EA128" i="33" s="1"/>
  <c r="DW128" i="33"/>
  <c r="DV128" i="33"/>
  <c r="DX128" i="33" s="1"/>
  <c r="DT128" i="33"/>
  <c r="DS128" i="33"/>
  <c r="DU128" i="33" s="1"/>
  <c r="DQ128" i="33"/>
  <c r="DP128" i="33"/>
  <c r="DR128" i="33" s="1"/>
  <c r="DN128" i="33"/>
  <c r="DM128" i="33"/>
  <c r="DO128" i="33" s="1"/>
  <c r="DK128" i="33"/>
  <c r="DJ128" i="33"/>
  <c r="DL128" i="33" s="1"/>
  <c r="DH128" i="33"/>
  <c r="DG128" i="33"/>
  <c r="DI128" i="33" s="1"/>
  <c r="DE128" i="33"/>
  <c r="DD128" i="33"/>
  <c r="DF128" i="33" s="1"/>
  <c r="DB128" i="33"/>
  <c r="DA128" i="33"/>
  <c r="DC128" i="33" s="1"/>
  <c r="CY128" i="33"/>
  <c r="CX128" i="33"/>
  <c r="CZ128" i="33" s="1"/>
  <c r="CV128" i="33"/>
  <c r="CU128" i="33"/>
  <c r="CW128" i="33" s="1"/>
  <c r="CS128" i="33"/>
  <c r="CR128" i="33"/>
  <c r="CT128" i="33" s="1"/>
  <c r="CP128" i="33"/>
  <c r="CO128" i="33"/>
  <c r="CQ128" i="33" s="1"/>
  <c r="CM128" i="33"/>
  <c r="CL128" i="33"/>
  <c r="CN128" i="33" s="1"/>
  <c r="CJ128" i="33"/>
  <c r="CI128" i="33"/>
  <c r="CK128" i="33" s="1"/>
  <c r="CG128" i="33"/>
  <c r="CF128" i="33"/>
  <c r="CH128" i="33" s="1"/>
  <c r="CD128" i="33"/>
  <c r="CC128" i="33"/>
  <c r="CE128" i="33" s="1"/>
  <c r="CA128" i="33"/>
  <c r="BZ128" i="33"/>
  <c r="CB128" i="33" s="1"/>
  <c r="BX128" i="33"/>
  <c r="BW128" i="33"/>
  <c r="BY128" i="33" s="1"/>
  <c r="BU128" i="33"/>
  <c r="BT128" i="33"/>
  <c r="BV128" i="33" s="1"/>
  <c r="BR128" i="33"/>
  <c r="BQ128" i="33"/>
  <c r="BS128" i="33" s="1"/>
  <c r="BO128" i="33"/>
  <c r="BN128" i="33"/>
  <c r="BP128" i="33" s="1"/>
  <c r="BL128" i="33"/>
  <c r="BK128" i="33"/>
  <c r="BM128" i="33" s="1"/>
  <c r="BI128" i="33"/>
  <c r="BH128" i="33"/>
  <c r="BJ128" i="33" s="1"/>
  <c r="FV127" i="33"/>
  <c r="FU127" i="33"/>
  <c r="FS127" i="33"/>
  <c r="FR127" i="33"/>
  <c r="FP127" i="33"/>
  <c r="FO127" i="33"/>
  <c r="FM127" i="33"/>
  <c r="FL127" i="33"/>
  <c r="FJ127" i="33"/>
  <c r="FI127" i="33"/>
  <c r="FG127" i="33"/>
  <c r="FF127" i="33"/>
  <c r="FD127" i="33"/>
  <c r="FC127" i="33"/>
  <c r="FA127" i="33"/>
  <c r="EZ127" i="33"/>
  <c r="EX127" i="33"/>
  <c r="EW127" i="33"/>
  <c r="EU127" i="33"/>
  <c r="ET127" i="33"/>
  <c r="ER127" i="33"/>
  <c r="EQ127" i="33"/>
  <c r="EO127" i="33"/>
  <c r="EN127" i="33"/>
  <c r="EL127" i="33"/>
  <c r="EK127" i="33"/>
  <c r="EI127" i="33"/>
  <c r="EH127" i="33"/>
  <c r="EF127" i="33"/>
  <c r="EE127" i="33"/>
  <c r="EC127" i="33"/>
  <c r="EB127" i="33"/>
  <c r="DZ127" i="33"/>
  <c r="DY127" i="33"/>
  <c r="DW127" i="33"/>
  <c r="DV127" i="33"/>
  <c r="DT127" i="33"/>
  <c r="DS127" i="33"/>
  <c r="DQ127" i="33"/>
  <c r="DP127" i="33"/>
  <c r="DN127" i="33"/>
  <c r="DM127" i="33"/>
  <c r="DK127" i="33"/>
  <c r="DJ127" i="33"/>
  <c r="DH127" i="33"/>
  <c r="DG127" i="33"/>
  <c r="DE127" i="33"/>
  <c r="DD127" i="33"/>
  <c r="DB127" i="33"/>
  <c r="DA127" i="33"/>
  <c r="CY127" i="33"/>
  <c r="CX127" i="33"/>
  <c r="CV127" i="33"/>
  <c r="CU127" i="33"/>
  <c r="CS127" i="33"/>
  <c r="CR127" i="33"/>
  <c r="CP127" i="33"/>
  <c r="CO127" i="33"/>
  <c r="CM127" i="33"/>
  <c r="CL127" i="33"/>
  <c r="CJ127" i="33"/>
  <c r="CI127" i="33"/>
  <c r="CG127" i="33"/>
  <c r="CF127" i="33"/>
  <c r="CD127" i="33"/>
  <c r="CC127" i="33"/>
  <c r="CA127" i="33"/>
  <c r="BZ127" i="33"/>
  <c r="BX127" i="33"/>
  <c r="BW127" i="33"/>
  <c r="BU127" i="33"/>
  <c r="BT127" i="33"/>
  <c r="BR127" i="33"/>
  <c r="BQ127" i="33"/>
  <c r="BO127" i="33"/>
  <c r="BN127" i="33"/>
  <c r="BL127" i="33"/>
  <c r="BK127" i="33"/>
  <c r="BI127" i="33"/>
  <c r="BH127" i="33"/>
  <c r="FW126" i="33"/>
  <c r="FT126" i="33"/>
  <c r="FQ126" i="33"/>
  <c r="FN126" i="33"/>
  <c r="FK126" i="33"/>
  <c r="FH126" i="33"/>
  <c r="FE126" i="33"/>
  <c r="FB126" i="33"/>
  <c r="EY126" i="33"/>
  <c r="EV126" i="33"/>
  <c r="ES126" i="33"/>
  <c r="EP126" i="33"/>
  <c r="EM126" i="33"/>
  <c r="EJ126" i="33"/>
  <c r="EG126" i="33"/>
  <c r="ED126" i="33"/>
  <c r="EA126" i="33"/>
  <c r="DX126" i="33"/>
  <c r="DU126" i="33"/>
  <c r="DR126" i="33"/>
  <c r="DO126" i="33"/>
  <c r="DL126" i="33"/>
  <c r="DI126" i="33"/>
  <c r="DF126" i="33"/>
  <c r="DC126" i="33"/>
  <c r="CZ126" i="33"/>
  <c r="CW126" i="33"/>
  <c r="CT126" i="33"/>
  <c r="CQ126" i="33"/>
  <c r="CN126" i="33"/>
  <c r="CK126" i="33"/>
  <c r="CH126" i="33"/>
  <c r="CE126" i="33"/>
  <c r="CB126" i="33"/>
  <c r="BY126" i="33"/>
  <c r="BV126" i="33"/>
  <c r="BS126" i="33"/>
  <c r="BP126" i="33"/>
  <c r="BM126" i="33"/>
  <c r="BJ126" i="33"/>
  <c r="FW125" i="33"/>
  <c r="FT125" i="33"/>
  <c r="FQ125" i="33"/>
  <c r="FN125" i="33"/>
  <c r="FK125" i="33"/>
  <c r="FH125" i="33"/>
  <c r="FE125" i="33"/>
  <c r="FB125" i="33"/>
  <c r="EY125" i="33"/>
  <c r="EV125" i="33"/>
  <c r="ES125" i="33"/>
  <c r="EP125" i="33"/>
  <c r="EM125" i="33"/>
  <c r="EJ125" i="33"/>
  <c r="EG125" i="33"/>
  <c r="ED125" i="33"/>
  <c r="EA125" i="33"/>
  <c r="DX125" i="33"/>
  <c r="DU125" i="33"/>
  <c r="DR125" i="33"/>
  <c r="DO125" i="33"/>
  <c r="DL125" i="33"/>
  <c r="DI125" i="33"/>
  <c r="DF125" i="33"/>
  <c r="DC125" i="33"/>
  <c r="CZ125" i="33"/>
  <c r="CW125" i="33"/>
  <c r="CT125" i="33"/>
  <c r="CQ125" i="33"/>
  <c r="CN125" i="33"/>
  <c r="CK125" i="33"/>
  <c r="CH125" i="33"/>
  <c r="CE125" i="33"/>
  <c r="CB125" i="33"/>
  <c r="BY125" i="33"/>
  <c r="BV125" i="33"/>
  <c r="BS125" i="33"/>
  <c r="BP125" i="33"/>
  <c r="BM125" i="33"/>
  <c r="BJ125" i="33"/>
  <c r="T122" i="33" a="1"/>
  <c r="T122" i="33" s="1"/>
  <c r="T123" i="33" s="1" a="1"/>
  <c r="T123" i="33" s="1"/>
  <c r="T120" i="33"/>
  <c r="F120" i="33" a="1"/>
  <c r="F120" i="33" s="1"/>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s="1"/>
  <c r="GB91" i="33" a="1"/>
  <c r="GB91" i="33" s="1"/>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4" i="33"/>
  <c r="T76" i="33" s="1" a="1"/>
  <c r="T76" i="33" s="1"/>
  <c r="T77" i="33" s="1" a="1"/>
  <c r="T77" i="33" s="1"/>
  <c r="F74" i="33" a="1"/>
  <c r="F74" i="33"/>
  <c r="F75" i="33" s="1" a="1"/>
  <c r="F75" i="33" s="1"/>
  <c r="F76" i="33" s="1" a="1"/>
  <c r="F76"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30" i="33" a="1"/>
  <c r="T30" i="33" s="1"/>
  <c r="T31" i="33" s="1" a="1"/>
  <c r="T31" i="33" s="1"/>
  <c r="T28" i="33"/>
  <c r="F28" i="33" a="1"/>
  <c r="F28" i="33" s="1"/>
  <c r="FW10" i="33" a="1"/>
  <c r="FW10" i="33"/>
  <c r="FV10" i="33" a="1"/>
  <c r="FV10" i="33"/>
  <c r="FU10" i="33" a="1"/>
  <c r="FU10" i="33"/>
  <c r="FT10" i="33" a="1"/>
  <c r="FT10" i="33"/>
  <c r="FS10" i="33" a="1"/>
  <c r="FS10" i="33"/>
  <c r="FR10" i="33" a="1"/>
  <c r="FR10" i="33"/>
  <c r="FQ10" i="33" a="1"/>
  <c r="FQ10" i="33"/>
  <c r="FP10" i="33" a="1"/>
  <c r="FP10" i="33"/>
  <c r="FO10" i="33" a="1"/>
  <c r="FO10" i="33"/>
  <c r="FN10" i="33" a="1"/>
  <c r="FN10" i="33"/>
  <c r="FM10" i="33" a="1"/>
  <c r="FM10" i="33"/>
  <c r="FL10" i="33" a="1"/>
  <c r="FL10" i="33"/>
  <c r="FK10" i="33" a="1"/>
  <c r="FK10" i="33"/>
  <c r="FJ10" i="33" a="1"/>
  <c r="FJ10" i="33"/>
  <c r="FI10" i="33" a="1"/>
  <c r="FI10" i="33"/>
  <c r="FH10" i="33" a="1"/>
  <c r="FH10" i="33"/>
  <c r="FG10" i="33" a="1"/>
  <c r="FG10" i="33"/>
  <c r="FF10" i="33" a="1"/>
  <c r="FF10" i="33"/>
  <c r="FE10" i="33" a="1"/>
  <c r="FE10" i="33"/>
  <c r="FD10" i="33" a="1"/>
  <c r="FD10" i="33"/>
  <c r="FC10" i="33" a="1"/>
  <c r="FC10" i="33"/>
  <c r="FB10" i="33" a="1"/>
  <c r="FB10" i="33"/>
  <c r="FA10" i="33" a="1"/>
  <c r="FA10" i="33"/>
  <c r="EZ10" i="33" a="1"/>
  <c r="EZ10" i="33"/>
  <c r="EY10" i="33" a="1"/>
  <c r="EY10" i="33"/>
  <c r="EX10" i="33" a="1"/>
  <c r="EX10" i="33"/>
  <c r="EW10" i="33" a="1"/>
  <c r="EW10" i="33"/>
  <c r="EV10" i="33" a="1"/>
  <c r="EV10" i="33"/>
  <c r="EU10" i="33" a="1"/>
  <c r="EU10" i="33"/>
  <c r="ET10" i="33" a="1"/>
  <c r="ET10" i="33"/>
  <c r="ES10" i="33" a="1"/>
  <c r="ES10" i="33"/>
  <c r="ER10" i="33" a="1"/>
  <c r="ER10" i="33"/>
  <c r="EQ10" i="33" a="1"/>
  <c r="EQ10" i="33"/>
  <c r="EP10" i="33" a="1"/>
  <c r="EP10" i="33"/>
  <c r="EO10" i="33" a="1"/>
  <c r="EO10" i="33"/>
  <c r="EN10" i="33" a="1"/>
  <c r="EN10" i="33"/>
  <c r="EM10" i="33" a="1"/>
  <c r="EM10" i="33"/>
  <c r="EL10" i="33" a="1"/>
  <c r="EL10" i="33"/>
  <c r="EK10" i="33" a="1"/>
  <c r="EK10" i="33"/>
  <c r="EJ10" i="33" a="1"/>
  <c r="EJ10" i="33"/>
  <c r="EI10" i="33" a="1"/>
  <c r="EI10" i="33"/>
  <c r="EH10" i="33" a="1"/>
  <c r="EH10" i="33"/>
  <c r="EG10" i="33" a="1"/>
  <c r="EG10" i="33"/>
  <c r="EF10" i="33" a="1"/>
  <c r="EF10" i="33"/>
  <c r="EE10" i="33" a="1"/>
  <c r="EE10" i="33"/>
  <c r="ED10" i="33" a="1"/>
  <c r="ED10" i="33"/>
  <c r="EC10" i="33" a="1"/>
  <c r="EC10" i="33"/>
  <c r="EB10" i="33" a="1"/>
  <c r="EB10" i="33"/>
  <c r="EA10" i="33" a="1"/>
  <c r="EA10" i="33"/>
  <c r="DZ10" i="33" a="1"/>
  <c r="DZ10" i="33"/>
  <c r="DY10" i="33" a="1"/>
  <c r="DY10" i="33"/>
  <c r="DX10" i="33" a="1"/>
  <c r="DX10" i="33"/>
  <c r="DW10" i="33" a="1"/>
  <c r="DW10" i="33"/>
  <c r="DV10" i="33" a="1"/>
  <c r="DV10" i="33"/>
  <c r="DU10" i="33" a="1"/>
  <c r="DU10" i="33"/>
  <c r="DT10" i="33" a="1"/>
  <c r="DT10" i="33"/>
  <c r="DS10" i="33" a="1"/>
  <c r="DS10" i="33"/>
  <c r="DR10" i="33" a="1"/>
  <c r="DR10" i="33"/>
  <c r="DQ10" i="33" a="1"/>
  <c r="DQ10" i="33"/>
  <c r="DP10" i="33" a="1"/>
  <c r="DP10" i="33"/>
  <c r="DO10" i="33" a="1"/>
  <c r="DO10" i="33"/>
  <c r="DN10" i="33" a="1"/>
  <c r="DN10" i="33"/>
  <c r="DM10" i="33" a="1"/>
  <c r="DM10" i="33"/>
  <c r="DL10" i="33" a="1"/>
  <c r="DL10" i="33"/>
  <c r="DK10" i="33" a="1"/>
  <c r="DK10" i="33"/>
  <c r="DJ10" i="33" a="1"/>
  <c r="DJ10" i="33"/>
  <c r="DI10" i="33" a="1"/>
  <c r="DI10" i="33"/>
  <c r="DH10" i="33" a="1"/>
  <c r="DH10" i="33"/>
  <c r="DG10" i="33" a="1"/>
  <c r="DG10" i="33"/>
  <c r="DF10" i="33" a="1"/>
  <c r="DF10" i="33"/>
  <c r="DE10" i="33" a="1"/>
  <c r="DE10" i="33"/>
  <c r="DD10" i="33" a="1"/>
  <c r="DD10" i="33"/>
  <c r="DC10" i="33" a="1"/>
  <c r="DC10" i="33"/>
  <c r="DB10" i="33" a="1"/>
  <c r="DB10" i="33"/>
  <c r="DA10" i="33" a="1"/>
  <c r="DA10" i="33"/>
  <c r="CZ10" i="33" a="1"/>
  <c r="CZ10" i="33"/>
  <c r="CY10" i="33" a="1"/>
  <c r="CY10" i="33"/>
  <c r="CX10" i="33" a="1"/>
  <c r="CX10" i="33"/>
  <c r="CW10" i="33" a="1"/>
  <c r="CW10" i="33"/>
  <c r="CV10" i="33" a="1"/>
  <c r="CV10" i="33"/>
  <c r="CU10" i="33" a="1"/>
  <c r="CU10" i="33"/>
  <c r="CT10" i="33" a="1"/>
  <c r="CT10" i="33"/>
  <c r="CS10" i="33" a="1"/>
  <c r="CS10" i="33"/>
  <c r="CR10" i="33" a="1"/>
  <c r="CR10" i="33"/>
  <c r="CQ10" i="33" a="1"/>
  <c r="CQ10" i="33"/>
  <c r="CP10" i="33" a="1"/>
  <c r="CP10" i="33"/>
  <c r="CO10" i="33" a="1"/>
  <c r="CO10" i="33"/>
  <c r="CN10" i="33" a="1"/>
  <c r="CN10" i="33"/>
  <c r="CM10" i="33" a="1"/>
  <c r="CM10" i="33"/>
  <c r="CL10" i="33" a="1"/>
  <c r="CL10" i="33"/>
  <c r="CK10" i="33" a="1"/>
  <c r="CK10" i="33"/>
  <c r="CJ10" i="33" a="1"/>
  <c r="CJ10" i="33"/>
  <c r="CI10" i="33" a="1"/>
  <c r="CI10" i="33"/>
  <c r="CH10" i="33" a="1"/>
  <c r="CH10" i="33"/>
  <c r="CG10" i="33" a="1"/>
  <c r="CG10" i="33"/>
  <c r="CF10" i="33" a="1"/>
  <c r="CF10" i="33"/>
  <c r="CE10" i="33" a="1"/>
  <c r="CE10" i="33"/>
  <c r="CD10" i="33" a="1"/>
  <c r="CD10" i="33"/>
  <c r="CC10" i="33" a="1"/>
  <c r="CC10" i="33"/>
  <c r="CB10" i="33" a="1"/>
  <c r="CB10" i="33"/>
  <c r="CA10" i="33" a="1"/>
  <c r="CA10" i="33"/>
  <c r="BZ10" i="33" a="1"/>
  <c r="BZ10" i="33"/>
  <c r="BY10" i="33" a="1"/>
  <c r="BY10" i="33"/>
  <c r="BX10" i="33" a="1"/>
  <c r="BX10" i="33"/>
  <c r="BW10" i="33" a="1"/>
  <c r="BW10" i="33"/>
  <c r="BV10" i="33" a="1"/>
  <c r="BV10" i="33"/>
  <c r="BU10" i="33" a="1"/>
  <c r="BU10" i="33"/>
  <c r="BT10" i="33" a="1"/>
  <c r="BT10" i="33"/>
  <c r="BS10" i="33" a="1"/>
  <c r="BS10" i="33"/>
  <c r="BR10" i="33" a="1"/>
  <c r="BR10" i="33"/>
  <c r="BQ10" i="33" a="1"/>
  <c r="BQ10" i="33"/>
  <c r="BP10" i="33" a="1"/>
  <c r="BP10" i="33"/>
  <c r="BO10" i="33" a="1"/>
  <c r="BO10" i="33"/>
  <c r="BN10" i="33" a="1"/>
  <c r="BN10" i="33"/>
  <c r="BM10" i="33" a="1"/>
  <c r="BM10" i="33"/>
  <c r="BL10" i="33" a="1"/>
  <c r="BL10" i="33"/>
  <c r="BK10" i="33" a="1"/>
  <c r="BK10" i="33"/>
  <c r="BJ10" i="33" a="1"/>
  <c r="BJ10" i="33"/>
  <c r="BI10" i="33" a="1"/>
  <c r="BI10" i="33"/>
  <c r="BH10" i="33" a="1"/>
  <c r="BH10" i="33"/>
  <c r="BG10" i="33" a="1"/>
  <c r="BG10" i="33"/>
  <c r="BF10" i="33" a="1"/>
  <c r="BF10" i="33"/>
  <c r="BE10" i="33" a="1"/>
  <c r="BE10" i="33"/>
  <c r="BD10" i="33" a="1"/>
  <c r="BD10" i="33"/>
  <c r="BC10" i="33" a="1"/>
  <c r="BC10" i="33"/>
  <c r="BB10" i="33" a="1"/>
  <c r="BB10" i="33"/>
  <c r="BA10" i="33" a="1"/>
  <c r="BA10" i="33"/>
  <c r="AZ10" i="33" a="1"/>
  <c r="AZ10" i="33"/>
  <c r="AY10" i="33" a="1"/>
  <c r="AY10" i="33"/>
  <c r="AX10" i="33" a="1"/>
  <c r="AX10" i="33"/>
  <c r="AW10" i="33" a="1"/>
  <c r="AW10" i="33"/>
  <c r="AV10" i="33" a="1"/>
  <c r="AV10" i="33"/>
  <c r="AU10" i="33" a="1"/>
  <c r="AU10" i="33"/>
  <c r="AT10" i="33" a="1"/>
  <c r="AT10" i="33"/>
  <c r="AS10" i="33" a="1"/>
  <c r="AS10" i="33"/>
  <c r="AR10" i="33" a="1"/>
  <c r="AR10" i="33"/>
  <c r="AQ10" i="33" a="1"/>
  <c r="AQ10" i="33"/>
  <c r="AP10" i="33" a="1"/>
  <c r="AP10" i="33"/>
  <c r="AO10" i="33" a="1"/>
  <c r="AO10" i="33"/>
  <c r="AN10" i="33" a="1"/>
  <c r="AN10" i="33"/>
  <c r="AM10" i="33" a="1"/>
  <c r="AM10" i="33"/>
  <c r="AL10" i="33" a="1"/>
  <c r="AL10" i="33"/>
  <c r="AK10" i="33" a="1"/>
  <c r="AK10" i="33"/>
  <c r="AJ10" i="33" a="1"/>
  <c r="AJ10" i="33"/>
  <c r="AI10" i="33" a="1"/>
  <c r="AI10" i="33"/>
  <c r="AH10" i="33" a="1"/>
  <c r="AH10" i="33"/>
  <c r="AG10" i="33" a="1"/>
  <c r="AG10" i="33"/>
  <c r="AF10" i="33" a="1"/>
  <c r="AF10" i="33"/>
  <c r="AE10" i="33" a="1"/>
  <c r="AE10" i="33"/>
  <c r="AD10" i="33" a="1"/>
  <c r="AD10" i="33"/>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s="1"/>
  <c r="AE9" i="33" a="1"/>
  <c r="AE9" i="33" s="1"/>
  <c r="AD9" i="33" a="1"/>
  <c r="AD9" i="33" s="1"/>
  <c r="FW7" i="33" a="1"/>
  <c r="FW7" i="33" s="1"/>
  <c r="FV7" i="33" a="1"/>
  <c r="FV7" i="33" s="1"/>
  <c r="FU7" i="33" a="1"/>
  <c r="FU7" i="33" s="1"/>
  <c r="FT7" i="33" a="1"/>
  <c r="FT7" i="33" s="1"/>
  <c r="FS7" i="33" a="1"/>
  <c r="FS7" i="33" s="1"/>
  <c r="FR7" i="33" a="1"/>
  <c r="FR7" i="33" s="1"/>
  <c r="FQ7" i="33" a="1"/>
  <c r="FQ7" i="33" s="1"/>
  <c r="FP7" i="33" a="1"/>
  <c r="FP7" i="33" s="1"/>
  <c r="FO7" i="33" a="1"/>
  <c r="FO7" i="33" s="1"/>
  <c r="FN7" i="33" a="1"/>
  <c r="FN7" i="33" s="1"/>
  <c r="FM7" i="33" a="1"/>
  <c r="FM7" i="33" s="1"/>
  <c r="FL7" i="33" a="1"/>
  <c r="FL7" i="33" s="1"/>
  <c r="FK7" i="33" a="1"/>
  <c r="FK7" i="33" s="1"/>
  <c r="FJ7" i="33" a="1"/>
  <c r="FJ7" i="33" s="1"/>
  <c r="FI7" i="33" a="1"/>
  <c r="FI7" i="33" s="1"/>
  <c r="FH7" i="33" a="1"/>
  <c r="FH7" i="33" s="1"/>
  <c r="FG7" i="33" a="1"/>
  <c r="FG7" i="33" s="1"/>
  <c r="FF7" i="33" a="1"/>
  <c r="FF7" i="33" s="1"/>
  <c r="FE7" i="33" a="1"/>
  <c r="FE7" i="33" s="1"/>
  <c r="FD7" i="33" a="1"/>
  <c r="FD7" i="33" s="1"/>
  <c r="FC7" i="33" a="1"/>
  <c r="FC7" i="33" s="1"/>
  <c r="FB7" i="33" a="1"/>
  <c r="FB7" i="33" s="1"/>
  <c r="FA7" i="33" a="1"/>
  <c r="FA7" i="33" s="1"/>
  <c r="EZ7" i="33" a="1"/>
  <c r="EZ7" i="33" s="1"/>
  <c r="EY7" i="33" a="1"/>
  <c r="EY7" i="33" s="1"/>
  <c r="EX7" i="33" a="1"/>
  <c r="EX7" i="33" s="1"/>
  <c r="EW7" i="33" a="1"/>
  <c r="EW7" i="33" s="1"/>
  <c r="EV7" i="33" a="1"/>
  <c r="EV7" i="33" s="1"/>
  <c r="EU7" i="33" a="1"/>
  <c r="EU7" i="33" s="1"/>
  <c r="ET7" i="33" a="1"/>
  <c r="ET7" i="33" s="1"/>
  <c r="ES7" i="33" a="1"/>
  <c r="ES7" i="33" s="1"/>
  <c r="ER7" i="33" a="1"/>
  <c r="ER7" i="33" s="1"/>
  <c r="EQ7" i="33" a="1"/>
  <c r="EQ7" i="33" s="1"/>
  <c r="EP7" i="33" a="1"/>
  <c r="EP7" i="33" s="1"/>
  <c r="EO7" i="33" a="1"/>
  <c r="EO7" i="33" s="1"/>
  <c r="EN7" i="33" a="1"/>
  <c r="EN7" i="33" s="1"/>
  <c r="EM7" i="33" a="1"/>
  <c r="EM7" i="33" s="1"/>
  <c r="EL7" i="33" a="1"/>
  <c r="EL7" i="33" s="1"/>
  <c r="EK7" i="33" a="1"/>
  <c r="EK7" i="33" s="1"/>
  <c r="EJ7" i="33" a="1"/>
  <c r="EJ7" i="33" s="1"/>
  <c r="EI7" i="33" a="1"/>
  <c r="EI7" i="33" s="1"/>
  <c r="EH7" i="33" a="1"/>
  <c r="EH7" i="33" s="1"/>
  <c r="EG7" i="33" a="1"/>
  <c r="EG7" i="33" s="1"/>
  <c r="EF7" i="33" a="1"/>
  <c r="EF7" i="33" s="1"/>
  <c r="EE7" i="33" a="1"/>
  <c r="EE7" i="33" s="1"/>
  <c r="ED7" i="33" a="1"/>
  <c r="ED7" i="33" s="1"/>
  <c r="EC7" i="33" a="1"/>
  <c r="EC7" i="33" s="1"/>
  <c r="EB7" i="33" a="1"/>
  <c r="EB7" i="33" s="1"/>
  <c r="EA7" i="33" a="1"/>
  <c r="EA7" i="33" s="1"/>
  <c r="DZ7" i="33" a="1"/>
  <c r="DZ7" i="33" s="1"/>
  <c r="DY7" i="33" a="1"/>
  <c r="DY7" i="33" s="1"/>
  <c r="DX7" i="33" a="1"/>
  <c r="DX7" i="33" s="1"/>
  <c r="DW7" i="33" a="1"/>
  <c r="DW7" i="33" s="1"/>
  <c r="DV7" i="33" a="1"/>
  <c r="DV7" i="33" s="1"/>
  <c r="DU7" i="33" a="1"/>
  <c r="DU7" i="33" s="1"/>
  <c r="DT7" i="33" a="1"/>
  <c r="DT7" i="33" s="1"/>
  <c r="DS7" i="33" a="1"/>
  <c r="DS7" i="33" s="1"/>
  <c r="DR7" i="33" a="1"/>
  <c r="DR7" i="33" s="1"/>
  <c r="DQ7" i="33" a="1"/>
  <c r="DQ7" i="33" s="1"/>
  <c r="DP7" i="33" a="1"/>
  <c r="DP7" i="33" s="1"/>
  <c r="DO7" i="33" a="1"/>
  <c r="DO7" i="33" s="1"/>
  <c r="DN7" i="33" a="1"/>
  <c r="DN7" i="33" s="1"/>
  <c r="DM7" i="33" a="1"/>
  <c r="DM7" i="33" s="1"/>
  <c r="DL7" i="33" a="1"/>
  <c r="DL7" i="33" s="1"/>
  <c r="DK7" i="33" a="1"/>
  <c r="DK7" i="33" s="1"/>
  <c r="DJ7" i="33" a="1"/>
  <c r="DJ7" i="33" s="1"/>
  <c r="DI7" i="33" a="1"/>
  <c r="DI7" i="33" s="1"/>
  <c r="DH7" i="33" a="1"/>
  <c r="DH7" i="33" s="1"/>
  <c r="DG7" i="33" a="1"/>
  <c r="DG7" i="33" s="1"/>
  <c r="DF7" i="33" a="1"/>
  <c r="DF7" i="33" s="1"/>
  <c r="DE7" i="33" a="1"/>
  <c r="DE7" i="33" s="1"/>
  <c r="DD7" i="33" a="1"/>
  <c r="DD7" i="33" s="1"/>
  <c r="DC7" i="33" a="1"/>
  <c r="DC7" i="33" s="1"/>
  <c r="DB7" i="33" a="1"/>
  <c r="DB7" i="33" s="1"/>
  <c r="DA7" i="33" a="1"/>
  <c r="DA7" i="33" s="1"/>
  <c r="CZ7" i="33" a="1"/>
  <c r="CZ7" i="33" s="1"/>
  <c r="CY7" i="33" a="1"/>
  <c r="CY7" i="33" s="1"/>
  <c r="CX7" i="33" a="1"/>
  <c r="CX7" i="33" s="1"/>
  <c r="CW7" i="33" a="1"/>
  <c r="CW7" i="33" s="1"/>
  <c r="CV7" i="33" a="1"/>
  <c r="CV7" i="33" s="1"/>
  <c r="CU7" i="33" a="1"/>
  <c r="CU7" i="33" s="1"/>
  <c r="CT7" i="33" a="1"/>
  <c r="CT7" i="33" s="1"/>
  <c r="CS7" i="33" a="1"/>
  <c r="CS7" i="33" s="1"/>
  <c r="CR7" i="33" a="1"/>
  <c r="CR7" i="33" s="1"/>
  <c r="CQ7" i="33" a="1"/>
  <c r="CQ7" i="33" s="1"/>
  <c r="CP7" i="33" a="1"/>
  <c r="CP7" i="33" s="1"/>
  <c r="CO7" i="33" a="1"/>
  <c r="CO7" i="33" s="1"/>
  <c r="CN7" i="33" a="1"/>
  <c r="CN7" i="33" s="1"/>
  <c r="CM7" i="33" a="1"/>
  <c r="CM7" i="33" s="1"/>
  <c r="CL7" i="33" a="1"/>
  <c r="CL7" i="33" s="1"/>
  <c r="CK7" i="33" a="1"/>
  <c r="CK7" i="33" s="1"/>
  <c r="CJ7" i="33" a="1"/>
  <c r="CJ7" i="33" s="1"/>
  <c r="CI7" i="33" a="1"/>
  <c r="CI7" i="33" s="1"/>
  <c r="CH7" i="33" a="1"/>
  <c r="CH7" i="33" s="1"/>
  <c r="CG7" i="33" a="1"/>
  <c r="CG7" i="33" s="1"/>
  <c r="CF7" i="33" a="1"/>
  <c r="CF7" i="33" s="1"/>
  <c r="CE7" i="33" a="1"/>
  <c r="CE7" i="33" s="1"/>
  <c r="CD7" i="33" a="1"/>
  <c r="CD7" i="33" s="1"/>
  <c r="CC7" i="33" a="1"/>
  <c r="CC7" i="33" s="1"/>
  <c r="CB7" i="33" a="1"/>
  <c r="CB7" i="33" s="1"/>
  <c r="CA7" i="33" a="1"/>
  <c r="CA7" i="33" s="1"/>
  <c r="BZ7" i="33" a="1"/>
  <c r="BZ7" i="33" s="1"/>
  <c r="BY7" i="33" a="1"/>
  <c r="BY7" i="33" s="1"/>
  <c r="BX7" i="33" a="1"/>
  <c r="BX7" i="33" s="1"/>
  <c r="BW7" i="33" a="1"/>
  <c r="BW7" i="33" s="1"/>
  <c r="BV7" i="33" a="1"/>
  <c r="BV7" i="33" s="1"/>
  <c r="BU7" i="33" a="1"/>
  <c r="BU7" i="33" s="1"/>
  <c r="BT7" i="33" a="1"/>
  <c r="BT7" i="33" s="1"/>
  <c r="BS7" i="33" a="1"/>
  <c r="BS7" i="33" s="1"/>
  <c r="BR7" i="33" a="1"/>
  <c r="BR7" i="33" s="1"/>
  <c r="BQ7" i="33" a="1"/>
  <c r="BQ7" i="33" s="1"/>
  <c r="BP7" i="33" a="1"/>
  <c r="BP7" i="33" s="1"/>
  <c r="BO7" i="33" a="1"/>
  <c r="BO7" i="33" s="1"/>
  <c r="BN7" i="33" a="1"/>
  <c r="BN7" i="33" s="1"/>
  <c r="BM7" i="33" a="1"/>
  <c r="BM7" i="33" s="1"/>
  <c r="BL7" i="33" a="1"/>
  <c r="BL7" i="33" s="1"/>
  <c r="BK7" i="33" a="1"/>
  <c r="BK7" i="33" s="1"/>
  <c r="BJ7" i="33" a="1"/>
  <c r="BJ7" i="33" s="1"/>
  <c r="BI7" i="33" a="1"/>
  <c r="BI7" i="33" s="1"/>
  <c r="BH7" i="33" a="1"/>
  <c r="BH7" i="33" s="1"/>
  <c r="BG7" i="33" a="1"/>
  <c r="BG7" i="33" s="1"/>
  <c r="BF7" i="33" a="1"/>
  <c r="BF7" i="33" s="1"/>
  <c r="BE7" i="33" a="1"/>
  <c r="BE7" i="33" s="1"/>
  <c r="BD7" i="33" a="1"/>
  <c r="BD7" i="33" s="1"/>
  <c r="BC7" i="33" a="1"/>
  <c r="BC7" i="33" s="1"/>
  <c r="BB7" i="33" a="1"/>
  <c r="BB7" i="33" s="1"/>
  <c r="BA7" i="33" a="1"/>
  <c r="BA7" i="33" s="1"/>
  <c r="AZ7" i="33" a="1"/>
  <c r="AZ7" i="33" s="1"/>
  <c r="AY7" i="33" a="1"/>
  <c r="AY7" i="33" s="1"/>
  <c r="AX7" i="33" a="1"/>
  <c r="AX7" i="33" s="1"/>
  <c r="AW7" i="33" a="1"/>
  <c r="AW7" i="33" s="1"/>
  <c r="AV7" i="33" a="1"/>
  <c r="AV7" i="33" s="1"/>
  <c r="AU7" i="33" a="1"/>
  <c r="AU7" i="33" s="1"/>
  <c r="AT7" i="33" a="1"/>
  <c r="AT7" i="33" s="1"/>
  <c r="AS7" i="33" a="1"/>
  <c r="AS7" i="33" s="1"/>
  <c r="AR7" i="33" a="1"/>
  <c r="AR7" i="33" s="1"/>
  <c r="AQ7" i="33" a="1"/>
  <c r="AQ7" i="33" s="1"/>
  <c r="AP7" i="33" a="1"/>
  <c r="AP7" i="33" s="1"/>
  <c r="AO7" i="33" a="1"/>
  <c r="AO7" i="33" s="1"/>
  <c r="AN7" i="33" a="1"/>
  <c r="AN7" i="33" s="1"/>
  <c r="AM7" i="33" a="1"/>
  <c r="AM7" i="33" s="1"/>
  <c r="AL7" i="33" a="1"/>
  <c r="AL7" i="33" s="1"/>
  <c r="AK7" i="33" a="1"/>
  <c r="AK7" i="33" s="1"/>
  <c r="AJ7" i="33" a="1"/>
  <c r="AJ7" i="33" s="1"/>
  <c r="AI7" i="33" a="1"/>
  <c r="AI7" i="33" s="1"/>
  <c r="AH7" i="33" a="1"/>
  <c r="AH7" i="33" s="1"/>
  <c r="AG7" i="33" a="1"/>
  <c r="AG7" i="33" s="1"/>
  <c r="AF7" i="33" a="1"/>
  <c r="AF7" i="33" s="1"/>
  <c r="AE7" i="33" a="1"/>
  <c r="AE7" i="33" s="1"/>
  <c r="AD7" i="33" a="1"/>
  <c r="AD7" i="33" s="1"/>
  <c r="FW6" i="33"/>
  <c r="FW8" i="33" s="1"/>
  <c r="FV6" i="33"/>
  <c r="FV12" i="33" s="1" a="1"/>
  <c r="FV12" i="33" s="1"/>
  <c r="FU6" i="33"/>
  <c r="FU8" i="33" s="1"/>
  <c r="FT6" i="33"/>
  <c r="FT12" i="33" s="1" a="1"/>
  <c r="FT12" i="33" s="1"/>
  <c r="FS6" i="33"/>
  <c r="FS8" i="33" s="1"/>
  <c r="FR6" i="33"/>
  <c r="FR25" i="33" s="1"/>
  <c r="FQ6" i="33"/>
  <c r="FQ8" i="33" s="1"/>
  <c r="FP6" i="33"/>
  <c r="FP12" i="33" s="1" a="1"/>
  <c r="FP12" i="33" s="1"/>
  <c r="FO6" i="33"/>
  <c r="FO8" i="33" s="1"/>
  <c r="FN6" i="33"/>
  <c r="FN12" i="33" s="1" a="1"/>
  <c r="FN12" i="33" s="1"/>
  <c r="FM6" i="33"/>
  <c r="FM8" i="33" s="1"/>
  <c r="FL6" i="33"/>
  <c r="FL25" i="33" s="1"/>
  <c r="FK6" i="33"/>
  <c r="FK8" i="33" s="1"/>
  <c r="FJ6" i="33"/>
  <c r="FJ12" i="33" s="1" a="1"/>
  <c r="FJ12" i="33" s="1"/>
  <c r="FI6" i="33"/>
  <c r="FI8" i="33" s="1"/>
  <c r="FH6" i="33"/>
  <c r="FH12" i="33" s="1" a="1"/>
  <c r="FH12" i="33" s="1"/>
  <c r="FG6" i="33"/>
  <c r="FG8" i="33" s="1"/>
  <c r="FF6" i="33"/>
  <c r="FF25" i="33" s="1"/>
  <c r="FE6" i="33"/>
  <c r="FE8" i="33" s="1"/>
  <c r="FD6" i="33"/>
  <c r="FD12" i="33" s="1" a="1"/>
  <c r="FD12" i="33" s="1"/>
  <c r="FC6" i="33"/>
  <c r="FC8" i="33" s="1"/>
  <c r="FB6" i="33"/>
  <c r="FB12" i="33" s="1" a="1"/>
  <c r="FB12" i="33" s="1"/>
  <c r="FA6" i="33"/>
  <c r="FA8" i="33" s="1"/>
  <c r="EZ6" i="33"/>
  <c r="EZ25" i="33" s="1"/>
  <c r="EY6" i="33"/>
  <c r="EY8" i="33" s="1"/>
  <c r="EX6" i="33"/>
  <c r="EX12" i="33" s="1" a="1"/>
  <c r="EX12" i="33" s="1"/>
  <c r="EW6" i="33"/>
  <c r="EW8" i="33" s="1"/>
  <c r="EV6" i="33"/>
  <c r="EV12" i="33" s="1" a="1"/>
  <c r="EV12" i="33" s="1"/>
  <c r="EU6" i="33"/>
  <c r="EU8" i="33" s="1"/>
  <c r="ET6" i="33"/>
  <c r="ET25" i="33" s="1"/>
  <c r="ES6" i="33"/>
  <c r="ES8" i="33" s="1"/>
  <c r="ER6" i="33"/>
  <c r="ER12" i="33" s="1" a="1"/>
  <c r="ER12" i="33" s="1"/>
  <c r="EQ6" i="33"/>
  <c r="EQ8" i="33" s="1"/>
  <c r="EP6" i="33"/>
  <c r="EP12" i="33" s="1" a="1"/>
  <c r="EP12" i="33" s="1"/>
  <c r="EO6" i="33"/>
  <c r="EO8" i="33" s="1"/>
  <c r="EN6" i="33"/>
  <c r="EN25" i="33" s="1"/>
  <c r="EM6" i="33"/>
  <c r="EM8" i="33" s="1"/>
  <c r="EL6" i="33"/>
  <c r="EL12" i="33" s="1" a="1"/>
  <c r="EL12" i="33" s="1"/>
  <c r="EK6" i="33"/>
  <c r="EK8" i="33" s="1"/>
  <c r="EJ6" i="33"/>
  <c r="EJ12" i="33" s="1" a="1"/>
  <c r="EJ12" i="33" s="1"/>
  <c r="EI6" i="33"/>
  <c r="EI8" i="33" s="1"/>
  <c r="EH6" i="33"/>
  <c r="EH25" i="33" s="1"/>
  <c r="EG6" i="33"/>
  <c r="EG8" i="33" s="1"/>
  <c r="EF6" i="33"/>
  <c r="EF12" i="33" s="1" a="1"/>
  <c r="EF12" i="33" s="1"/>
  <c r="EE6" i="33"/>
  <c r="EE8" i="33" s="1"/>
  <c r="ED6" i="33"/>
  <c r="ED12" i="33" s="1" a="1"/>
  <c r="ED12" i="33" s="1"/>
  <c r="EC6" i="33"/>
  <c r="EC8" i="33" s="1"/>
  <c r="EB6" i="33"/>
  <c r="EB25" i="33" s="1"/>
  <c r="EA6" i="33"/>
  <c r="EA8" i="33" s="1"/>
  <c r="DZ6" i="33"/>
  <c r="DZ12" i="33" s="1" a="1"/>
  <c r="DZ12" i="33" s="1"/>
  <c r="DY6" i="33"/>
  <c r="DY8" i="33" s="1"/>
  <c r="DX6" i="33"/>
  <c r="DX12" i="33" s="1" a="1"/>
  <c r="DX12" i="33" s="1"/>
  <c r="DW6" i="33"/>
  <c r="DW8" i="33" s="1"/>
  <c r="DV6" i="33"/>
  <c r="DV25" i="33" s="1"/>
  <c r="DU6" i="33"/>
  <c r="DU8" i="33" s="1"/>
  <c r="DT6" i="33"/>
  <c r="DT12" i="33" s="1" a="1"/>
  <c r="DT12" i="33" s="1"/>
  <c r="DS6" i="33"/>
  <c r="DS8" i="33" s="1"/>
  <c r="DR6" i="33"/>
  <c r="DR12" i="33" s="1" a="1"/>
  <c r="DR12" i="33" s="1"/>
  <c r="DQ6" i="33"/>
  <c r="DQ8" i="33" s="1"/>
  <c r="DP6" i="33"/>
  <c r="DP25" i="33" s="1"/>
  <c r="DO6" i="33"/>
  <c r="DO8" i="33" s="1"/>
  <c r="DN6" i="33"/>
  <c r="DN12" i="33" s="1" a="1"/>
  <c r="DN12" i="33" s="1"/>
  <c r="DM6" i="33"/>
  <c r="DM8" i="33" s="1"/>
  <c r="DL6" i="33"/>
  <c r="DL12" i="33" s="1" a="1"/>
  <c r="DL12" i="33" s="1"/>
  <c r="DK6" i="33"/>
  <c r="DK8" i="33" s="1"/>
  <c r="DJ6" i="33"/>
  <c r="DJ25" i="33" s="1"/>
  <c r="DI6" i="33"/>
  <c r="DI8" i="33" s="1"/>
  <c r="DH6" i="33"/>
  <c r="DH12" i="33" s="1" a="1"/>
  <c r="DH12" i="33" s="1"/>
  <c r="DG6" i="33"/>
  <c r="DG8" i="33" s="1"/>
  <c r="DF6" i="33"/>
  <c r="DF12" i="33" s="1" a="1"/>
  <c r="DF12" i="33" s="1"/>
  <c r="DE6" i="33"/>
  <c r="DE8" i="33" s="1"/>
  <c r="DD6" i="33"/>
  <c r="DD25" i="33" s="1"/>
  <c r="DC6" i="33"/>
  <c r="DC8" i="33" s="1"/>
  <c r="DB6" i="33"/>
  <c r="DB12" i="33" s="1" a="1"/>
  <c r="DB12" i="33" s="1"/>
  <c r="DA6" i="33"/>
  <c r="DA8" i="33" s="1"/>
  <c r="CZ6" i="33"/>
  <c r="CZ12" i="33" s="1" a="1"/>
  <c r="CZ12" i="33" s="1"/>
  <c r="CY6" i="33"/>
  <c r="CY8" i="33" s="1"/>
  <c r="CX6" i="33"/>
  <c r="CX25" i="33" s="1"/>
  <c r="CW6" i="33"/>
  <c r="CW8" i="33" s="1"/>
  <c r="CV6" i="33"/>
  <c r="CV12" i="33" s="1" a="1"/>
  <c r="CV12" i="33" s="1"/>
  <c r="CU6" i="33"/>
  <c r="CU8" i="33" s="1"/>
  <c r="CT6" i="33"/>
  <c r="CT12" i="33" s="1" a="1"/>
  <c r="CT12" i="33" s="1"/>
  <c r="CS6" i="33"/>
  <c r="CS8" i="33" s="1"/>
  <c r="CR6" i="33"/>
  <c r="CR25" i="33" s="1"/>
  <c r="CQ6" i="33"/>
  <c r="CQ8" i="33" s="1"/>
  <c r="CP6" i="33"/>
  <c r="CP12" i="33" s="1" a="1"/>
  <c r="CP12" i="33" s="1"/>
  <c r="CO6" i="33"/>
  <c r="CO8" i="33" s="1"/>
  <c r="CN6" i="33"/>
  <c r="CN12" i="33" s="1" a="1"/>
  <c r="CN12" i="33" s="1"/>
  <c r="CM6" i="33"/>
  <c r="CM8" i="33" s="1"/>
  <c r="CL6" i="33"/>
  <c r="CL25" i="33" s="1"/>
  <c r="CK6" i="33"/>
  <c r="CK8" i="33" s="1"/>
  <c r="CJ6" i="33"/>
  <c r="CJ12" i="33" s="1" a="1"/>
  <c r="CJ12" i="33" s="1"/>
  <c r="CI6" i="33"/>
  <c r="CI8" i="33" s="1"/>
  <c r="CH6" i="33"/>
  <c r="CH12" i="33" s="1" a="1"/>
  <c r="CH12" i="33" s="1"/>
  <c r="CG6" i="33"/>
  <c r="CG8" i="33" s="1"/>
  <c r="CF6" i="33"/>
  <c r="CF25" i="33" s="1"/>
  <c r="CE6" i="33"/>
  <c r="CE8" i="33" s="1"/>
  <c r="CD6" i="33"/>
  <c r="CD12" i="33" s="1" a="1"/>
  <c r="CD12" i="33" s="1"/>
  <c r="CC6" i="33"/>
  <c r="CC8" i="33" s="1"/>
  <c r="CB6" i="33"/>
  <c r="CB12" i="33" s="1" a="1"/>
  <c r="CB12" i="33" s="1"/>
  <c r="CA6" i="33"/>
  <c r="CA8" i="33" s="1"/>
  <c r="BZ6" i="33"/>
  <c r="BZ25" i="33" s="1"/>
  <c r="BY6" i="33"/>
  <c r="BY8" i="33" s="1"/>
  <c r="BX6" i="33"/>
  <c r="BX12" i="33" s="1" a="1"/>
  <c r="BX12" i="33" s="1"/>
  <c r="BW6" i="33"/>
  <c r="BW8" i="33" s="1"/>
  <c r="BV6" i="33"/>
  <c r="BV12" i="33" s="1" a="1"/>
  <c r="BV12" i="33" s="1"/>
  <c r="BU6" i="33"/>
  <c r="BU8" i="33" s="1"/>
  <c r="BT6" i="33"/>
  <c r="BT25" i="33" s="1"/>
  <c r="BS6" i="33"/>
  <c r="BS8" i="33" s="1"/>
  <c r="BR6" i="33"/>
  <c r="BR12" i="33" s="1" a="1"/>
  <c r="BR12" i="33" s="1"/>
  <c r="BQ6" i="33"/>
  <c r="BQ8" i="33" s="1"/>
  <c r="BP6" i="33"/>
  <c r="BP12" i="33" s="1" a="1"/>
  <c r="BP12" i="33" s="1"/>
  <c r="BO6" i="33"/>
  <c r="BO8" i="33" s="1"/>
  <c r="BN6" i="33"/>
  <c r="BN25" i="33" s="1"/>
  <c r="BM6" i="33"/>
  <c r="BM8" i="33" s="1"/>
  <c r="BL6" i="33"/>
  <c r="BL12" i="33" s="1" a="1"/>
  <c r="BL12" i="33" s="1"/>
  <c r="BK6" i="33"/>
  <c r="BK8" i="33" s="1"/>
  <c r="BJ6" i="33"/>
  <c r="BJ12" i="33" s="1" a="1"/>
  <c r="BJ12" i="33" s="1"/>
  <c r="BI6" i="33"/>
  <c r="BI8" i="33" s="1"/>
  <c r="BH6" i="33"/>
  <c r="BH25" i="33" s="1"/>
  <c r="BG6" i="33"/>
  <c r="BG8" i="33" s="1"/>
  <c r="BF6" i="33"/>
  <c r="BF12" i="33" s="1" a="1"/>
  <c r="BF12" i="33" s="1"/>
  <c r="BE6" i="33"/>
  <c r="BE8" i="33" s="1"/>
  <c r="BD6" i="33"/>
  <c r="BD12" i="33" s="1" a="1"/>
  <c r="BD12" i="33" s="1"/>
  <c r="BC6" i="33"/>
  <c r="BC8" i="33" s="1"/>
  <c r="BB6" i="33"/>
  <c r="BB25" i="33" s="1"/>
  <c r="BA6" i="33"/>
  <c r="BA8" i="33" s="1"/>
  <c r="AZ6" i="33"/>
  <c r="AZ12" i="33" s="1" a="1"/>
  <c r="AZ12" i="33" s="1"/>
  <c r="AY6" i="33"/>
  <c r="AY8" i="33" s="1"/>
  <c r="AX6" i="33"/>
  <c r="AX12" i="33" s="1" a="1"/>
  <c r="AX12" i="33" s="1"/>
  <c r="AW6" i="33"/>
  <c r="AW8" i="33" s="1"/>
  <c r="AV6" i="33"/>
  <c r="AV25" i="33" s="1"/>
  <c r="AU6" i="33"/>
  <c r="AU8" i="33" s="1"/>
  <c r="AT6" i="33"/>
  <c r="AT12" i="33" s="1" a="1"/>
  <c r="AT12" i="33" s="1"/>
  <c r="AS6" i="33"/>
  <c r="AS8" i="33" s="1"/>
  <c r="AR6" i="33"/>
  <c r="AR12" i="33" s="1" a="1"/>
  <c r="AR12" i="33" s="1"/>
  <c r="AQ6" i="33"/>
  <c r="AQ8" i="33" s="1"/>
  <c r="AP6" i="33"/>
  <c r="AP25" i="33" s="1"/>
  <c r="AO6" i="33"/>
  <c r="AO8" i="33" s="1"/>
  <c r="AN6" i="33"/>
  <c r="AN12" i="33" s="1" a="1"/>
  <c r="AN12" i="33" s="1"/>
  <c r="AM6" i="33"/>
  <c r="AM8" i="33" s="1"/>
  <c r="AL6" i="33"/>
  <c r="AL12" i="33" s="1" a="1"/>
  <c r="AL12" i="33" s="1"/>
  <c r="AK6" i="33"/>
  <c r="AK8" i="33" s="1"/>
  <c r="AJ6" i="33"/>
  <c r="AJ25" i="33" s="1"/>
  <c r="AI6" i="33"/>
  <c r="AI8" i="33" s="1"/>
  <c r="AH6" i="33"/>
  <c r="AH12" i="33" s="1" a="1"/>
  <c r="AH12" i="33" s="1"/>
  <c r="AG6" i="33"/>
  <c r="AG8" i="33" s="1"/>
  <c r="AF6" i="33" a="1"/>
  <c r="AF6" i="33"/>
  <c r="AF12" i="33" s="1" a="1"/>
  <c r="AF12" i="33" s="1"/>
  <c r="AE6" i="33" a="1"/>
  <c r="AE6" i="33"/>
  <c r="AE8" i="33" s="1"/>
  <c r="AD6" i="33" a="1"/>
  <c r="AD6" i="33"/>
  <c r="AD25" i="33" s="1"/>
  <c r="T93" i="32"/>
  <c r="BB84" i="32"/>
  <c r="BA84" i="32"/>
  <c r="AZ84" i="32"/>
  <c r="AY84" i="32"/>
  <c r="AX84" i="32"/>
  <c r="AW84" i="32"/>
  <c r="AV84" i="32"/>
  <c r="AU84" i="32"/>
  <c r="AT84" i="32"/>
  <c r="AS84" i="32"/>
  <c r="AR84" i="32"/>
  <c r="AQ84" i="32"/>
  <c r="AP84" i="32"/>
  <c r="AO84" i="32"/>
  <c r="AN84" i="32"/>
  <c r="AM84" i="32"/>
  <c r="AL84" i="32"/>
  <c r="AK84" i="32"/>
  <c r="AJ84" i="32"/>
  <c r="AI84" i="32"/>
  <c r="AH84" i="32"/>
  <c r="AG84" i="32"/>
  <c r="AF84" i="32"/>
  <c r="AE84" i="32"/>
  <c r="BB80" i="32"/>
  <c r="BA80" i="32"/>
  <c r="AZ80" i="32"/>
  <c r="AY80" i="32"/>
  <c r="AX80" i="32"/>
  <c r="AW80" i="32"/>
  <c r="AV80" i="32"/>
  <c r="AU80" i="32"/>
  <c r="AT80" i="32"/>
  <c r="AS80" i="32"/>
  <c r="AR80" i="32"/>
  <c r="AQ80" i="32"/>
  <c r="AP80" i="32"/>
  <c r="AO80" i="32"/>
  <c r="AN80" i="32"/>
  <c r="AM80" i="32"/>
  <c r="AL80" i="32"/>
  <c r="AK80" i="32"/>
  <c r="AJ80" i="32"/>
  <c r="AI80" i="32"/>
  <c r="AH80" i="32"/>
  <c r="AG80" i="32"/>
  <c r="AF80" i="32"/>
  <c r="AE80" i="32"/>
  <c r="BB71" i="32"/>
  <c r="BA71" i="32"/>
  <c r="AZ71" i="32"/>
  <c r="AY71" i="32"/>
  <c r="AX71" i="32"/>
  <c r="AW71" i="32"/>
  <c r="AV71" i="32"/>
  <c r="AU71" i="32"/>
  <c r="AT71" i="32"/>
  <c r="AS71" i="32"/>
  <c r="AR71" i="32"/>
  <c r="AQ71" i="32"/>
  <c r="AP71" i="32"/>
  <c r="AO71" i="32"/>
  <c r="AN71" i="32"/>
  <c r="AM71" i="32"/>
  <c r="AL71" i="32"/>
  <c r="AK71" i="32"/>
  <c r="AJ71" i="32"/>
  <c r="AI71" i="32"/>
  <c r="AH71" i="32"/>
  <c r="AG71" i="32"/>
  <c r="AF71" i="32"/>
  <c r="AE71" i="32"/>
  <c r="BB70" i="32"/>
  <c r="BA70" i="32"/>
  <c r="AZ70" i="32"/>
  <c r="AY70" i="32"/>
  <c r="AX70" i="32"/>
  <c r="AW70" i="32"/>
  <c r="AV70" i="32"/>
  <c r="AU70" i="32"/>
  <c r="AT70" i="32"/>
  <c r="AS70" i="32"/>
  <c r="AR70" i="32"/>
  <c r="AQ70" i="32"/>
  <c r="AP70" i="32"/>
  <c r="AO70" i="32"/>
  <c r="AN70" i="32"/>
  <c r="AM70" i="32"/>
  <c r="AL70" i="32"/>
  <c r="AK70" i="32"/>
  <c r="AJ70" i="32"/>
  <c r="AI70" i="32"/>
  <c r="AH70" i="32"/>
  <c r="AG70" i="32"/>
  <c r="AF70" i="32"/>
  <c r="AE70" i="32"/>
  <c r="T69" i="32"/>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T80" i="32" s="1" a="1"/>
  <c r="T80" i="32" s="1"/>
  <c r="T81" i="32" s="1" a="1"/>
  <c r="T81" i="32" s="1"/>
  <c r="T82" i="32" s="1" a="1"/>
  <c r="T82" i="32" s="1"/>
  <c r="T83" i="32" s="1" a="1"/>
  <c r="T83" i="32" s="1"/>
  <c r="T84" i="32" s="1" a="1"/>
  <c r="T84" i="32" s="1"/>
  <c r="T85" i="32" s="1" a="1"/>
  <c r="T85" i="32" s="1"/>
  <c r="T86" i="32" s="1" a="1"/>
  <c r="T86" i="32" s="1"/>
  <c r="T87" i="32" s="1" a="1"/>
  <c r="T87" i="32" s="1"/>
  <c r="T88" i="32" s="1" a="1"/>
  <c r="T88" i="32" s="1"/>
  <c r="F69" i="32"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F81" i="32" s="1" a="1"/>
  <c r="F81" i="32" s="1"/>
  <c r="F82" i="32" s="1" a="1"/>
  <c r="F82" i="32" s="1"/>
  <c r="F83" i="32" s="1" a="1"/>
  <c r="F83" i="32" s="1"/>
  <c r="F84" i="32" s="1" a="1"/>
  <c r="F84" i="32" s="1"/>
  <c r="F85" i="32" s="1" a="1"/>
  <c r="F85" i="32" s="1"/>
  <c r="F86" i="32" s="1" a="1"/>
  <c r="F86" i="32" s="1"/>
  <c r="F87" i="32" s="1" a="1"/>
  <c r="F87" i="32" s="1"/>
  <c r="F88" i="32" s="1" a="1"/>
  <c r="F88" i="32" s="1"/>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112" i="31"/>
  <c r="BD98" i="31"/>
  <c r="BF97" i="31" a="1"/>
  <c r="BF97" i="31" s="1"/>
  <c r="AB97" i="31"/>
  <c r="L97" i="31" a="1"/>
  <c r="L97" i="31" s="1"/>
  <c r="AX96" i="31"/>
  <c r="AW96" i="31"/>
  <c r="AV96" i="31"/>
  <c r="AU96" i="31"/>
  <c r="AT96" i="31"/>
  <c r="AS96" i="31"/>
  <c r="AR96" i="31"/>
  <c r="AQ96" i="31"/>
  <c r="AP96" i="31"/>
  <c r="AO96" i="31"/>
  <c r="AN96" i="31"/>
  <c r="AM96" i="31"/>
  <c r="AL96" i="31"/>
  <c r="AK96" i="31"/>
  <c r="AJ96" i="31"/>
  <c r="AI96" i="31"/>
  <c r="AH96" i="31"/>
  <c r="AG96" i="31"/>
  <c r="AF96" i="31"/>
  <c r="AE96" i="31"/>
  <c r="BD95" i="31"/>
  <c r="BF94" i="31" a="1"/>
  <c r="BF94" i="31"/>
  <c r="AB94" i="31"/>
  <c r="L94" i="31" a="1"/>
  <c r="L94" i="31"/>
  <c r="AX93" i="31"/>
  <c r="AW93" i="31"/>
  <c r="AV93" i="31"/>
  <c r="AU93" i="31"/>
  <c r="AT93" i="31"/>
  <c r="AS93" i="31"/>
  <c r="AR93" i="31"/>
  <c r="AQ93" i="31"/>
  <c r="AP93" i="31"/>
  <c r="AO93" i="31"/>
  <c r="AN93" i="31"/>
  <c r="AM93" i="31"/>
  <c r="AL93" i="31"/>
  <c r="AK93" i="31"/>
  <c r="AJ93" i="31"/>
  <c r="AI93" i="31"/>
  <c r="AH93" i="31"/>
  <c r="AG93" i="31"/>
  <c r="AF93" i="31"/>
  <c r="AE93" i="31"/>
  <c r="BD92" i="31"/>
  <c r="BF91" i="31" a="1"/>
  <c r="BF91" i="31" s="1"/>
  <c r="AB91" i="31"/>
  <c r="L91" i="31" a="1"/>
  <c r="L91" i="31" s="1"/>
  <c r="AX90" i="31"/>
  <c r="AX89" i="31" s="1"/>
  <c r="AX82" i="31" s="1"/>
  <c r="AW90" i="31"/>
  <c r="AV90" i="31"/>
  <c r="AV89" i="31" s="1"/>
  <c r="AV82" i="31" s="1"/>
  <c r="AU90" i="31"/>
  <c r="AT90" i="31"/>
  <c r="AT89" i="31" s="1"/>
  <c r="AT82" i="31" s="1"/>
  <c r="AS90" i="31"/>
  <c r="AR90" i="31"/>
  <c r="AR89" i="31" s="1"/>
  <c r="AR82" i="31" s="1"/>
  <c r="AQ90" i="31"/>
  <c r="AP90" i="31"/>
  <c r="AP89" i="31" s="1"/>
  <c r="AP82" i="31" s="1"/>
  <c r="AO90" i="31"/>
  <c r="AN90" i="31"/>
  <c r="AN89" i="31" s="1"/>
  <c r="AN82" i="31" s="1"/>
  <c r="AM90" i="31"/>
  <c r="AL90" i="31"/>
  <c r="AL89" i="31" s="1"/>
  <c r="AL82" i="31" s="1"/>
  <c r="AK90" i="31"/>
  <c r="AJ90" i="31"/>
  <c r="AJ89" i="31" s="1"/>
  <c r="AJ82" i="31" s="1"/>
  <c r="AI90" i="31"/>
  <c r="AH90" i="31"/>
  <c r="AH89" i="31" s="1"/>
  <c r="AH82" i="31" s="1"/>
  <c r="AG90" i="31"/>
  <c r="AF90" i="31"/>
  <c r="AF89" i="31" s="1"/>
  <c r="AF82" i="31" s="1"/>
  <c r="AE90" i="31"/>
  <c r="AW89" i="31"/>
  <c r="AU89" i="31"/>
  <c r="AS89" i="31"/>
  <c r="AQ89" i="31"/>
  <c r="AO89" i="31"/>
  <c r="AM89" i="31"/>
  <c r="AK89" i="31"/>
  <c r="AI89" i="31"/>
  <c r="AG89" i="31"/>
  <c r="AE89" i="31"/>
  <c r="AX83" i="31"/>
  <c r="AW83" i="31"/>
  <c r="AW82" i="31" s="1"/>
  <c r="AV83" i="31"/>
  <c r="AU83" i="31"/>
  <c r="AU82" i="31" s="1"/>
  <c r="AT83" i="31"/>
  <c r="AS83" i="31"/>
  <c r="AS82" i="31" s="1"/>
  <c r="AR83" i="31"/>
  <c r="AQ83" i="31"/>
  <c r="AQ82" i="31" s="1"/>
  <c r="AP83" i="31"/>
  <c r="AO83" i="31"/>
  <c r="AO82" i="31" s="1"/>
  <c r="AN83" i="31"/>
  <c r="AM83" i="31"/>
  <c r="AM82" i="31" s="1"/>
  <c r="AL83" i="31"/>
  <c r="AK83" i="31"/>
  <c r="AK82" i="31" s="1"/>
  <c r="AJ83" i="31"/>
  <c r="AI83" i="31"/>
  <c r="AI82" i="31" s="1"/>
  <c r="AH83" i="31"/>
  <c r="AG83" i="31"/>
  <c r="AG82" i="31" s="1"/>
  <c r="AF83" i="31"/>
  <c r="AE83" i="31"/>
  <c r="AE82" i="31" s="1"/>
  <c r="F81" i="31" a="1"/>
  <c r="F81" i="31" s="1"/>
  <c r="BD71" i="31"/>
  <c r="BF70" i="31" a="1"/>
  <c r="BF70" i="31"/>
  <c r="AB70" i="31"/>
  <c r="L70" i="31" a="1"/>
  <c r="L70" i="3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s="1"/>
  <c r="AB67" i="31"/>
  <c r="L67" i="31" a="1"/>
  <c r="L67" i="31" s="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c r="AB64" i="31"/>
  <c r="L64" i="31" a="1"/>
  <c r="L64" i="31"/>
  <c r="AX63" i="31"/>
  <c r="AW63" i="31"/>
  <c r="AV63" i="31"/>
  <c r="AU63" i="31"/>
  <c r="AT63" i="31"/>
  <c r="AS63" i="31"/>
  <c r="AR63" i="31"/>
  <c r="AQ63" i="31"/>
  <c r="AP63" i="31"/>
  <c r="AP62" i="31" s="1"/>
  <c r="AP55" i="31" s="1"/>
  <c r="AO63" i="31"/>
  <c r="AN63" i="31"/>
  <c r="AN62" i="31" s="1"/>
  <c r="AN55" i="31" s="1"/>
  <c r="AM63" i="31"/>
  <c r="AL63" i="31"/>
  <c r="AL62" i="31" s="1"/>
  <c r="AL55" i="31" s="1"/>
  <c r="AK63" i="31"/>
  <c r="AJ63" i="31"/>
  <c r="AJ62" i="31" s="1"/>
  <c r="AJ55" i="31" s="1"/>
  <c r="AI63" i="31"/>
  <c r="AH63" i="31"/>
  <c r="AH62" i="31" s="1"/>
  <c r="AH55" i="31" s="1"/>
  <c r="AG63" i="31"/>
  <c r="AF63" i="31"/>
  <c r="AF62" i="31" s="1"/>
  <c r="AF55" i="31" s="1"/>
  <c r="AE63" i="31"/>
  <c r="AX62" i="31"/>
  <c r="AW62" i="31"/>
  <c r="AV62" i="31"/>
  <c r="AU62" i="31"/>
  <c r="AT62" i="31"/>
  <c r="AS62" i="31"/>
  <c r="AR62" i="31"/>
  <c r="AQ62" i="31"/>
  <c r="AO62" i="31"/>
  <c r="AM62" i="31"/>
  <c r="AK62" i="31"/>
  <c r="AI62" i="31"/>
  <c r="AG62" i="31"/>
  <c r="AE62" i="31"/>
  <c r="AX56" i="31"/>
  <c r="AW56" i="31"/>
  <c r="AW55" i="31" s="1"/>
  <c r="AV56" i="31"/>
  <c r="AU56" i="31"/>
  <c r="AU55" i="31" s="1"/>
  <c r="AT56" i="31"/>
  <c r="AS56" i="31"/>
  <c r="AS55" i="31" s="1"/>
  <c r="AR56" i="31"/>
  <c r="AQ56" i="31"/>
  <c r="AQ55" i="31" s="1"/>
  <c r="AP56" i="31"/>
  <c r="AO56" i="31"/>
  <c r="AO55" i="31" s="1"/>
  <c r="AN56" i="31"/>
  <c r="AM56" i="31"/>
  <c r="AM55" i="31" s="1"/>
  <c r="AL56" i="31"/>
  <c r="AK56" i="31"/>
  <c r="AK55" i="31" s="1"/>
  <c r="AJ56" i="31"/>
  <c r="AI56" i="31"/>
  <c r="AI55" i="31" s="1"/>
  <c r="AH56" i="31"/>
  <c r="AG56" i="31"/>
  <c r="AG55" i="31" s="1"/>
  <c r="AF56" i="31"/>
  <c r="AE56" i="31"/>
  <c r="AE55" i="31" s="1"/>
  <c r="AX55" i="31"/>
  <c r="AX79" i="31" s="1"/>
  <c r="AV55" i="31"/>
  <c r="AV79" i="31" s="1"/>
  <c r="AT55" i="31"/>
  <c r="AT79" i="31" s="1"/>
  <c r="AR55" i="31"/>
  <c r="AR79" i="31" s="1"/>
  <c r="F54" i="31" a="1"/>
  <c r="F54" i="31" s="1"/>
  <c r="BD44" i="31"/>
  <c r="BF43" i="31" a="1"/>
  <c r="BF43" i="31"/>
  <c r="AB43" i="31"/>
  <c r="L43" i="31" a="1"/>
  <c r="L43" i="3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s="1"/>
  <c r="AB40" i="31"/>
  <c r="L40" i="31" a="1"/>
  <c r="L40" i="31" s="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c r="AB37" i="31"/>
  <c r="L37" i="31" a="1"/>
  <c r="L37" i="31"/>
  <c r="AX36" i="31"/>
  <c r="AW36" i="31"/>
  <c r="AW35" i="31" s="1"/>
  <c r="AW28" i="31" s="1"/>
  <c r="AV36" i="31"/>
  <c r="AU36" i="31"/>
  <c r="AU35" i="31" s="1"/>
  <c r="AU28" i="31" s="1"/>
  <c r="AT36" i="31"/>
  <c r="AS36" i="31"/>
  <c r="AS35" i="31" s="1"/>
  <c r="AS28" i="31" s="1"/>
  <c r="AR36" i="31"/>
  <c r="AQ36" i="31"/>
  <c r="AQ35" i="31" s="1"/>
  <c r="AQ28" i="31" s="1"/>
  <c r="AP36" i="31"/>
  <c r="AO36" i="31"/>
  <c r="AO35" i="31" s="1"/>
  <c r="AO28" i="31" s="1"/>
  <c r="AN36" i="31"/>
  <c r="AM36" i="31"/>
  <c r="AM35" i="31" s="1"/>
  <c r="AM28" i="31" s="1"/>
  <c r="AL36" i="31"/>
  <c r="AK36" i="31"/>
  <c r="AK35" i="31" s="1"/>
  <c r="AK28" i="31" s="1"/>
  <c r="AJ36" i="31"/>
  <c r="AI36" i="31"/>
  <c r="AI35" i="31" s="1"/>
  <c r="AI28" i="31" s="1"/>
  <c r="AH36" i="31"/>
  <c r="AG36" i="31"/>
  <c r="AG35" i="31" s="1"/>
  <c r="AG28" i="31" s="1"/>
  <c r="AF36" i="31"/>
  <c r="AE36" i="31"/>
  <c r="AE35" i="31" s="1"/>
  <c r="AE28" i="31" s="1"/>
  <c r="AX35" i="31"/>
  <c r="AV35" i="31"/>
  <c r="AT35" i="31"/>
  <c r="AR35" i="31"/>
  <c r="AP35" i="31"/>
  <c r="AN35" i="31"/>
  <c r="AL35" i="31"/>
  <c r="AJ35" i="31"/>
  <c r="AH35" i="31"/>
  <c r="AF35" i="31"/>
  <c r="AX29" i="31"/>
  <c r="AX28" i="31" s="1"/>
  <c r="AW29" i="31"/>
  <c r="AV29" i="31"/>
  <c r="AV28" i="31" s="1"/>
  <c r="AU29" i="31"/>
  <c r="AT29" i="31"/>
  <c r="AT28" i="31" s="1"/>
  <c r="AS29" i="31"/>
  <c r="AR29" i="31"/>
  <c r="AR28" i="31" s="1"/>
  <c r="AQ29" i="31"/>
  <c r="AP29" i="31"/>
  <c r="AP28" i="31" s="1"/>
  <c r="AO29" i="31"/>
  <c r="AN29" i="31"/>
  <c r="AN28" i="31" s="1"/>
  <c r="AM29" i="31"/>
  <c r="AL29" i="31"/>
  <c r="AL28" i="31" s="1"/>
  <c r="AK29" i="31"/>
  <c r="AJ29" i="31"/>
  <c r="AJ28" i="31" s="1"/>
  <c r="AI29" i="31"/>
  <c r="AH29" i="31"/>
  <c r="AH28" i="31" s="1"/>
  <c r="AG29" i="31"/>
  <c r="AF29" i="31"/>
  <c r="AF28" i="31" s="1"/>
  <c r="AE29" i="31"/>
  <c r="F27" i="31" a="1"/>
  <c r="F27" i="31"/>
  <c r="AX24" i="31"/>
  <c r="AW24" i="31"/>
  <c r="AV24" i="31"/>
  <c r="AU24" i="31"/>
  <c r="AT24" i="31"/>
  <c r="AS24" i="31"/>
  <c r="AR24" i="31"/>
  <c r="AQ24" i="31"/>
  <c r="AP24" i="31"/>
  <c r="AO24" i="31"/>
  <c r="AN24" i="31"/>
  <c r="AM24" i="31"/>
  <c r="AL24" i="31"/>
  <c r="AK24" i="31"/>
  <c r="AJ24" i="31"/>
  <c r="AI24" i="31"/>
  <c r="AH24" i="31"/>
  <c r="AG24" i="31"/>
  <c r="AF24" i="31"/>
  <c r="AE24" i="31"/>
  <c r="AO14" i="31" a="1"/>
  <c r="AO14" i="31" s="1"/>
  <c r="AP14" i="31" s="1"/>
  <c r="AQ14" i="31" s="1"/>
  <c r="AR14" i="31" s="1"/>
  <c r="AS14" i="31" s="1"/>
  <c r="AT14" i="31" s="1"/>
  <c r="AU14" i="31" s="1"/>
  <c r="AV14" i="31" s="1"/>
  <c r="AW14" i="31" s="1"/>
  <c r="AX14" i="31" s="1"/>
  <c r="AE14" i="31" a="1"/>
  <c r="AE14" i="31"/>
  <c r="AF14" i="31" s="1"/>
  <c r="AG14" i="31" s="1"/>
  <c r="AH14" i="31" s="1"/>
  <c r="AI14" i="31" s="1"/>
  <c r="AJ14" i="31" s="1"/>
  <c r="AK14" i="31" s="1"/>
  <c r="AL14" i="31" s="1"/>
  <c r="AM14" i="31" s="1"/>
  <c r="AN14" i="31" s="1"/>
  <c r="BA11" i="31" a="1"/>
  <c r="BA11" i="31"/>
  <c r="AZ11" i="31" a="1"/>
  <c r="AZ11" i="31"/>
  <c r="AY11" i="31" a="1"/>
  <c r="AY11" i="31"/>
  <c r="AX10" i="31" a="1"/>
  <c r="AX10" i="31"/>
  <c r="AW10" i="31" a="1"/>
  <c r="AW10" i="31"/>
  <c r="AV10" i="31" a="1"/>
  <c r="AV10" i="31"/>
  <c r="AU10" i="31" a="1"/>
  <c r="AU10" i="31"/>
  <c r="AT10" i="31" a="1"/>
  <c r="AT10" i="31"/>
  <c r="AS10" i="31" a="1"/>
  <c r="AS10" i="31"/>
  <c r="AR10" i="31" a="1"/>
  <c r="AR10" i="31"/>
  <c r="AQ10" i="31" a="1"/>
  <c r="AQ10" i="31"/>
  <c r="AP10" i="31" a="1"/>
  <c r="AP10" i="31"/>
  <c r="AO10" i="31" a="1"/>
  <c r="AO10" i="31"/>
  <c r="AN10" i="31" a="1"/>
  <c r="AN10" i="31"/>
  <c r="AM10" i="31" a="1"/>
  <c r="AM10" i="31"/>
  <c r="AL10" i="31" a="1"/>
  <c r="AL10" i="31"/>
  <c r="AK10" i="31" a="1"/>
  <c r="AK10" i="31"/>
  <c r="AJ10" i="31" a="1"/>
  <c r="AJ10" i="31"/>
  <c r="AI10" i="31" a="1"/>
  <c r="AI10" i="31"/>
  <c r="AH10" i="31" a="1"/>
  <c r="AH10" i="31"/>
  <c r="AG10" i="31" a="1"/>
  <c r="AG10" i="31"/>
  <c r="AF10" i="31" a="1"/>
  <c r="AF10" i="3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c r="AX7" i="31" a="1"/>
  <c r="AX7" i="31"/>
  <c r="AW7" i="31" a="1"/>
  <c r="AW7" i="31"/>
  <c r="AV7" i="31" a="1"/>
  <c r="AV7" i="31"/>
  <c r="AU7" i="31" a="1"/>
  <c r="AU7" i="31"/>
  <c r="AT7" i="31" a="1"/>
  <c r="AT7" i="31"/>
  <c r="AS7" i="31" a="1"/>
  <c r="AS7" i="31"/>
  <c r="AR7" i="31" a="1"/>
  <c r="AR7" i="31"/>
  <c r="AQ7" i="31" a="1"/>
  <c r="AQ7" i="31"/>
  <c r="AP7" i="31" a="1"/>
  <c r="AP7" i="31"/>
  <c r="AO7" i="31" a="1"/>
  <c r="AO7" i="31"/>
  <c r="AN7" i="31" a="1"/>
  <c r="AN7" i="31"/>
  <c r="AM7" i="31" a="1"/>
  <c r="AM7" i="31"/>
  <c r="AM8" i="31" s="1"/>
  <c r="AL7" i="31" a="1"/>
  <c r="AL7" i="31"/>
  <c r="AK7" i="31" a="1"/>
  <c r="AK7" i="31"/>
  <c r="AK8" i="31" s="1"/>
  <c r="AJ7" i="31" a="1"/>
  <c r="AJ7" i="31"/>
  <c r="AI7" i="31" a="1"/>
  <c r="AI7" i="31"/>
  <c r="AI8" i="31" s="1"/>
  <c r="AH7" i="31" a="1"/>
  <c r="AH7" i="31"/>
  <c r="AG7" i="31" a="1"/>
  <c r="AG7" i="31"/>
  <c r="AG8" i="31" s="1"/>
  <c r="AF7" i="31" a="1"/>
  <c r="AF7" i="31"/>
  <c r="AE7" i="31" a="1"/>
  <c r="AE7" i="31"/>
  <c r="AX6" i="31"/>
  <c r="AX8" i="31" s="1"/>
  <c r="AW6" i="31"/>
  <c r="AW8" i="31" s="1"/>
  <c r="AV6" i="31"/>
  <c r="AV8" i="31" s="1"/>
  <c r="AU6" i="31"/>
  <c r="AU8" i="31" s="1"/>
  <c r="AT6" i="31"/>
  <c r="AT8" i="31" s="1"/>
  <c r="AS6" i="31"/>
  <c r="AS8" i="31" s="1"/>
  <c r="AR6" i="31"/>
  <c r="AR8" i="31" s="1"/>
  <c r="AQ6" i="31"/>
  <c r="AQ8" i="31" s="1"/>
  <c r="AP6" i="31"/>
  <c r="AP8" i="31" s="1"/>
  <c r="AO6" i="31" a="1"/>
  <c r="AO6" i="31" s="1"/>
  <c r="AN6" i="31"/>
  <c r="AN8" i="31" s="1"/>
  <c r="AM6" i="31"/>
  <c r="AL6" i="31"/>
  <c r="AL8" i="31" s="1"/>
  <c r="AK6" i="31"/>
  <c r="AJ6" i="31"/>
  <c r="AJ8" i="31" s="1"/>
  <c r="AI6" i="31"/>
  <c r="AH6" i="31"/>
  <c r="AH8" i="31" s="1"/>
  <c r="AG6" i="31"/>
  <c r="AF6" i="31"/>
  <c r="AF8" i="31" s="1"/>
  <c r="AE6" i="31" a="1"/>
  <c r="AE6" i="31"/>
  <c r="AE8" i="31" s="1"/>
  <c r="T103" i="30"/>
  <c r="AL91" i="30"/>
  <c r="AN90" i="30" a="1"/>
  <c r="AN90" i="30"/>
  <c r="AB90" i="30"/>
  <c r="AF89" i="30"/>
  <c r="AE89" i="30"/>
  <c r="AL88" i="30"/>
  <c r="AN87" i="30" a="1"/>
  <c r="AN87" i="30" s="1"/>
  <c r="AB87" i="30"/>
  <c r="AF86" i="30"/>
  <c r="AF94" i="30" s="1"/>
  <c r="AF97" i="30" s="1"/>
  <c r="AE86" i="30"/>
  <c r="AE94" i="30" s="1"/>
  <c r="AE97" i="30" s="1"/>
  <c r="AF79" i="30"/>
  <c r="AF81" i="30" s="1"/>
  <c r="AF84" i="30" s="1"/>
  <c r="AE79" i="30"/>
  <c r="AE81" i="30" s="1"/>
  <c r="AE84" i="30" s="1"/>
  <c r="F75" i="30" a="1"/>
  <c r="F75" i="30" s="1"/>
  <c r="AL67" i="30"/>
  <c r="AN66" i="30" a="1"/>
  <c r="AN66" i="30"/>
  <c r="AB66" i="30"/>
  <c r="AF65" i="30"/>
  <c r="AE65" i="30"/>
  <c r="AL64" i="30"/>
  <c r="AN63" i="30" a="1"/>
  <c r="AN63" i="30" s="1"/>
  <c r="AB63" i="30"/>
  <c r="AF62" i="30"/>
  <c r="AF70" i="30" s="1"/>
  <c r="AF73" i="30" s="1"/>
  <c r="AE62" i="30"/>
  <c r="AE70" i="30" s="1"/>
  <c r="AE73" i="30" s="1"/>
  <c r="AE57" i="30"/>
  <c r="AE60" i="30" s="1"/>
  <c r="AF55" i="30"/>
  <c r="AF57" i="30" s="1"/>
  <c r="AF60" i="30" s="1"/>
  <c r="AE55" i="30"/>
  <c r="F51" i="30" a="1"/>
  <c r="F51" i="30" s="1"/>
  <c r="AL43" i="30"/>
  <c r="AN42" i="30" a="1"/>
  <c r="AN42" i="30"/>
  <c r="AB42" i="30"/>
  <c r="AF41" i="30"/>
  <c r="AE41" i="30"/>
  <c r="AL40" i="30"/>
  <c r="AN39" i="30" a="1"/>
  <c r="AN39" i="30" s="1"/>
  <c r="AB39" i="30"/>
  <c r="AF38" i="30"/>
  <c r="AF46" i="30" s="1"/>
  <c r="AF49" i="30" s="1"/>
  <c r="AE38" i="30"/>
  <c r="AE46" i="30" s="1"/>
  <c r="AE49" i="30" s="1"/>
  <c r="AE33" i="30"/>
  <c r="AE36" i="30" s="1"/>
  <c r="AF31" i="30"/>
  <c r="AF33" i="30" s="1"/>
  <c r="AF36" i="30" s="1"/>
  <c r="AE31" i="30"/>
  <c r="F27" i="30" a="1"/>
  <c r="F27" i="30" s="1"/>
  <c r="AF24" i="30"/>
  <c r="AE24" i="30"/>
  <c r="AI11" i="30" a="1"/>
  <c r="AI11" i="30" s="1"/>
  <c r="AH11" i="30" a="1"/>
  <c r="AH11" i="30" s="1"/>
  <c r="AG11" i="30" a="1"/>
  <c r="AG11" i="30" s="1"/>
  <c r="AF10" i="30" a="1"/>
  <c r="AF10" i="30" s="1"/>
  <c r="AE10" i="30" a="1"/>
  <c r="AE10" i="30" s="1"/>
  <c r="AF9" i="30" a="1"/>
  <c r="AF9" i="30" s="1"/>
  <c r="AE9" i="30"/>
  <c r="AF7" i="30" a="1"/>
  <c r="AF7" i="30"/>
  <c r="AE7" i="30" a="1"/>
  <c r="AE7" i="30"/>
  <c r="AE8" i="30" s="1"/>
  <c r="AF6" i="30" a="1"/>
  <c r="AF6" i="30"/>
  <c r="AF8" i="30" s="1"/>
  <c r="AE6" i="30"/>
  <c r="T73" i="29"/>
  <c r="AF65" i="29"/>
  <c r="AE65" i="29"/>
  <c r="AF59" i="29"/>
  <c r="AE59" i="29"/>
  <c r="T55" i="29"/>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F55" i="29" a="1"/>
  <c r="F55"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c r="AH11" i="29" a="1"/>
  <c r="AH11" i="29"/>
  <c r="AG11" i="29" a="1"/>
  <c r="AG11" i="29"/>
  <c r="AF10" i="29" a="1"/>
  <c r="AF10" i="29"/>
  <c r="AE10" i="29" a="1"/>
  <c r="AE10" i="29"/>
  <c r="AF9" i="29" a="1"/>
  <c r="AF9" i="29"/>
  <c r="AE9" i="29"/>
  <c r="AF7" i="29" a="1"/>
  <c r="AF7" i="29" s="1"/>
  <c r="AE7" i="29" a="1"/>
  <c r="AE7" i="29" s="1"/>
  <c r="AF6" i="29" a="1"/>
  <c r="AF6" i="29" s="1"/>
  <c r="AF8" i="29" s="1"/>
  <c r="AE6" i="29"/>
  <c r="AE8" i="29" s="1"/>
  <c r="T232" i="28"/>
  <c r="AL227" i="28"/>
  <c r="AH227" i="28"/>
  <c r="AB226" i="28"/>
  <c r="AB225" i="28"/>
  <c r="AL224" i="28"/>
  <c r="AB224" i="28"/>
  <c r="AB222" i="28"/>
  <c r="AB221" i="28"/>
  <c r="AL220" i="28"/>
  <c r="AB220" i="28"/>
  <c r="AB218" i="28"/>
  <c r="AB217" i="28"/>
  <c r="AB215" i="28"/>
  <c r="AB214" i="28"/>
  <c r="AB213" i="28"/>
  <c r="AB212" i="28"/>
  <c r="AL211" i="28"/>
  <c r="AB211" i="28"/>
  <c r="AL210" i="28"/>
  <c r="AB210" i="28"/>
  <c r="AB208" i="28"/>
  <c r="AL207" i="28"/>
  <c r="AH207" i="28"/>
  <c r="AB207" i="28"/>
  <c r="AL205" i="28"/>
  <c r="AH205" i="28"/>
  <c r="AL203" i="28"/>
  <c r="AH203" i="28"/>
  <c r="AL202" i="28"/>
  <c r="AH202" i="28"/>
  <c r="AL200" i="28"/>
  <c r="AH200" i="28"/>
  <c r="AL199" i="28"/>
  <c r="AH199" i="28"/>
  <c r="AL198" i="28"/>
  <c r="AH198" i="28"/>
  <c r="AL197" i="28"/>
  <c r="AH197" i="28"/>
  <c r="AK196" i="28"/>
  <c r="AJ196" i="28"/>
  <c r="AI196" i="28"/>
  <c r="AL196" i="28" s="1"/>
  <c r="AG196" i="28"/>
  <c r="AH196" i="28" s="1"/>
  <c r="AF196" i="28"/>
  <c r="AE196" i="28"/>
  <c r="AL195" i="28"/>
  <c r="AH195" i="28"/>
  <c r="AL194" i="28"/>
  <c r="AH194" i="28"/>
  <c r="AK193" i="28"/>
  <c r="AJ193" i="28"/>
  <c r="AI193" i="28"/>
  <c r="AL193" i="28" s="1"/>
  <c r="AG193" i="28"/>
  <c r="AH193" i="28" s="1"/>
  <c r="AF193" i="28"/>
  <c r="AE193" i="28"/>
  <c r="AL192" i="28"/>
  <c r="AH192" i="28"/>
  <c r="AL191" i="28"/>
  <c r="AH191" i="28"/>
  <c r="AL190" i="28"/>
  <c r="AH190" i="28"/>
  <c r="AK189" i="28"/>
  <c r="AJ189" i="28"/>
  <c r="AI189" i="28"/>
  <c r="AL189" i="28" s="1"/>
  <c r="AG189" i="28"/>
  <c r="AH189" i="28" s="1"/>
  <c r="AF189" i="28"/>
  <c r="AE189" i="28"/>
  <c r="AL181" i="28"/>
  <c r="AH181" i="28"/>
  <c r="AL180" i="28"/>
  <c r="AH180" i="28"/>
  <c r="AL177" i="28"/>
  <c r="AH177" i="28"/>
  <c r="AL176" i="28"/>
  <c r="AH176" i="28"/>
  <c r="AL174" i="28"/>
  <c r="AH174" i="28"/>
  <c r="AL173" i="28"/>
  <c r="AH173" i="28"/>
  <c r="AL172" i="28"/>
  <c r="AH172" i="28"/>
  <c r="AL163" i="28"/>
  <c r="AH163" i="28"/>
  <c r="T161" i="28"/>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F161" i="28" a="1"/>
  <c r="F161"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L126" i="28"/>
  <c r="AK126" i="28"/>
  <c r="AJ126" i="28"/>
  <c r="AI126" i="28"/>
  <c r="AG126" i="28"/>
  <c r="AF126" i="28"/>
  <c r="AH126" i="28" s="1"/>
  <c r="AE126" i="28"/>
  <c r="AL125" i="28"/>
  <c r="AH125" i="28"/>
  <c r="AL124" i="28"/>
  <c r="AH124" i="28"/>
  <c r="AL123" i="28"/>
  <c r="AH123" i="28"/>
  <c r="AL122" i="28"/>
  <c r="AK122" i="28"/>
  <c r="AJ122" i="28"/>
  <c r="AI122" i="28"/>
  <c r="AG122" i="28"/>
  <c r="AF122" i="28"/>
  <c r="AH122" i="28" s="1"/>
  <c r="AE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4" i="28" a="1"/>
  <c r="F94" i="28"/>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K62" i="28"/>
  <c r="AJ62" i="28"/>
  <c r="AI62" i="28"/>
  <c r="AL62" i="28" s="1"/>
  <c r="AG62" i="28"/>
  <c r="AH62" i="28" s="1"/>
  <c r="AF62" i="28"/>
  <c r="AE62" i="28"/>
  <c r="AL61" i="28"/>
  <c r="AH61" i="28"/>
  <c r="AL60" i="28"/>
  <c r="AH60" i="28"/>
  <c r="AK59" i="28"/>
  <c r="AJ59" i="28"/>
  <c r="AI59" i="28"/>
  <c r="AL59" i="28" s="1"/>
  <c r="AG59" i="28"/>
  <c r="AH59" i="28" s="1"/>
  <c r="AF59" i="28"/>
  <c r="AE59" i="28"/>
  <c r="AL58" i="28"/>
  <c r="AH58" i="28"/>
  <c r="AL57" i="28"/>
  <c r="AH57" i="28"/>
  <c r="AL56" i="28"/>
  <c r="AH56" i="28"/>
  <c r="AK55" i="28"/>
  <c r="AJ55" i="28"/>
  <c r="AI55" i="28"/>
  <c r="AL55" i="28" s="1"/>
  <c r="AG55" i="28"/>
  <c r="AH55" i="28" s="1"/>
  <c r="AF55" i="28"/>
  <c r="AE55" i="28"/>
  <c r="AL47" i="28"/>
  <c r="AH47" i="28"/>
  <c r="AL46" i="28"/>
  <c r="AH46" i="28"/>
  <c r="AL43" i="28"/>
  <c r="AH43" i="28"/>
  <c r="AL42" i="28"/>
  <c r="AH42" i="28"/>
  <c r="AL40" i="28"/>
  <c r="AH40" i="28"/>
  <c r="AL39" i="28"/>
  <c r="AH39" i="28"/>
  <c r="AL38" i="28"/>
  <c r="AH38" i="28"/>
  <c r="AL29" i="28"/>
  <c r="AH29" i="28"/>
  <c r="T28" i="28"/>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27" i="28"/>
  <c r="T28" i="28" s="1" a="1"/>
  <c r="F27" i="28" a="1"/>
  <c r="F27" i="28" s="1"/>
  <c r="AL24" i="28"/>
  <c r="AK24" i="28"/>
  <c r="AJ24" i="28"/>
  <c r="AI24" i="28"/>
  <c r="AH24" i="28"/>
  <c r="AG24" i="28"/>
  <c r="AF24" i="28"/>
  <c r="AE24" i="28"/>
  <c r="AH13" i="28" a="1"/>
  <c r="AH13" i="28" s="1"/>
  <c r="AF13" i="28" a="1"/>
  <c r="AF13" i="28" s="1"/>
  <c r="AO11" i="28" a="1"/>
  <c r="AO11" i="28" s="1"/>
  <c r="AN11" i="28" a="1"/>
  <c r="AN11" i="28" s="1"/>
  <c r="AM11" i="28" a="1"/>
  <c r="AM11" i="28" s="1"/>
  <c r="AL10" i="28" a="1"/>
  <c r="AL10" i="28" s="1"/>
  <c r="AK10" i="28" a="1"/>
  <c r="AK10" i="28" s="1"/>
  <c r="AJ10" i="28" a="1"/>
  <c r="AJ10" i="28" s="1"/>
  <c r="AI10" i="28" a="1"/>
  <c r="AI10" i="28" s="1"/>
  <c r="AH10" i="28" a="1"/>
  <c r="AH10" i="28" s="1"/>
  <c r="AG10" i="28" a="1"/>
  <c r="AG10" i="28" s="1"/>
  <c r="AF10" i="28" a="1"/>
  <c r="AF10" i="28" s="1"/>
  <c r="AE10" i="28" a="1"/>
  <c r="AE10" i="28" s="1"/>
  <c r="AL9" i="28" a="1"/>
  <c r="AL9" i="28" s="1"/>
  <c r="AK9" i="28" a="1"/>
  <c r="AK9" i="28" s="1"/>
  <c r="AJ9" i="28" a="1"/>
  <c r="AJ9" i="28" s="1"/>
  <c r="AI9" i="28"/>
  <c r="AH9" i="28"/>
  <c r="AG9" i="28"/>
  <c r="AF9" i="28"/>
  <c r="AE9" i="28"/>
  <c r="AK7" i="28" a="1"/>
  <c r="AK7" i="28" s="1"/>
  <c r="AJ7" i="28" a="1"/>
  <c r="AJ7" i="28" s="1"/>
  <c r="AI7" i="28" a="1"/>
  <c r="AI7" i="28" s="1"/>
  <c r="AH7" i="28" a="1"/>
  <c r="AH7" i="28" s="1"/>
  <c r="AH8" i="28" s="1"/>
  <c r="AG7" i="28" a="1"/>
  <c r="AG7" i="28" s="1"/>
  <c r="AF7" i="28" a="1"/>
  <c r="AF7" i="28" s="1"/>
  <c r="AF8" i="28" s="1"/>
  <c r="AE7" i="28" a="1"/>
  <c r="AE7" i="28" s="1"/>
  <c r="AL6" i="28" a="1"/>
  <c r="AL6" i="28" s="1"/>
  <c r="AK6" i="28" a="1"/>
  <c r="AK6" i="28" s="1"/>
  <c r="AJ6" i="28" a="1"/>
  <c r="AJ6" i="28" s="1"/>
  <c r="AI6" i="28"/>
  <c r="AI13" i="28" s="1" a="1"/>
  <c r="AI13" i="28" s="1"/>
  <c r="AH6" i="28"/>
  <c r="AG6" i="28"/>
  <c r="AG13" i="28" s="1" a="1"/>
  <c r="AG13" i="28" s="1"/>
  <c r="AF6" i="28"/>
  <c r="AE6" i="28"/>
  <c r="AE13" i="28" s="1" a="1"/>
  <c r="AE13" i="28" s="1"/>
  <c r="T198" i="27"/>
  <c r="BM193" i="27"/>
  <c r="BL193" i="27"/>
  <c r="BK193" i="27"/>
  <c r="BJ193" i="27"/>
  <c r="BI193" i="27"/>
  <c r="BH193" i="27"/>
  <c r="BG193" i="27"/>
  <c r="BF193" i="27"/>
  <c r="BE193" i="27"/>
  <c r="BD193" i="27"/>
  <c r="AH193" i="27"/>
  <c r="AB192" i="27"/>
  <c r="AB191" i="27"/>
  <c r="AB190" i="27"/>
  <c r="AB188" i="27"/>
  <c r="AB187" i="27"/>
  <c r="AB186" i="27"/>
  <c r="AB184" i="27"/>
  <c r="AB183" i="27"/>
  <c r="AB181" i="27"/>
  <c r="AT180" i="27"/>
  <c r="AI180" i="27"/>
  <c r="AE180" i="27"/>
  <c r="AB180" i="27"/>
  <c r="AB179" i="27"/>
  <c r="AB178" i="27"/>
  <c r="AB177" i="27"/>
  <c r="AB176" i="27"/>
  <c r="AB174" i="27"/>
  <c r="AB173" i="27"/>
  <c r="BM171" i="27"/>
  <c r="BL171" i="27"/>
  <c r="BK171" i="27"/>
  <c r="BJ171" i="27"/>
  <c r="BI171" i="27"/>
  <c r="BH171" i="27"/>
  <c r="BG171" i="27"/>
  <c r="BF171" i="27"/>
  <c r="BE171" i="27"/>
  <c r="BD171" i="27"/>
  <c r="AH171" i="27"/>
  <c r="BS169" i="27"/>
  <c r="BU168" i="27" a="1"/>
  <c r="BU168" i="27" s="1"/>
  <c r="BM168" i="27"/>
  <c r="BL168" i="27"/>
  <c r="BK168" i="27"/>
  <c r="BJ168" i="27"/>
  <c r="BI168" i="27"/>
  <c r="BH168" i="27"/>
  <c r="BG168" i="27"/>
  <c r="BF168" i="27"/>
  <c r="BE168" i="27"/>
  <c r="BD168" i="27"/>
  <c r="AH168" i="27"/>
  <c r="AB168" i="27"/>
  <c r="M168" i="27" a="1"/>
  <c r="M168" i="27"/>
  <c r="BS167" i="27"/>
  <c r="BM166" i="27"/>
  <c r="BK166" i="27"/>
  <c r="BI166" i="27"/>
  <c r="BG166" i="27"/>
  <c r="BE166" i="27"/>
  <c r="BC166" i="27"/>
  <c r="BB166" i="27"/>
  <c r="BA166" i="27"/>
  <c r="BL166" i="27" s="1"/>
  <c r="AZ166" i="27"/>
  <c r="AY166" i="27"/>
  <c r="BJ166" i="27" s="1"/>
  <c r="AX166" i="27"/>
  <c r="AW166" i="27"/>
  <c r="BH166" i="27" s="1"/>
  <c r="AV166" i="27"/>
  <c r="AU166" i="27"/>
  <c r="BF166" i="27" s="1"/>
  <c r="AT166" i="27"/>
  <c r="AS166" i="27"/>
  <c r="AR166" i="27"/>
  <c r="AQ166" i="27"/>
  <c r="AP166" i="27"/>
  <c r="AO166" i="27"/>
  <c r="AN166" i="27"/>
  <c r="AM166" i="27"/>
  <c r="AL166" i="27"/>
  <c r="AK166" i="27"/>
  <c r="AJ166" i="27"/>
  <c r="AI166" i="27"/>
  <c r="BD166" i="27" s="1"/>
  <c r="AG166" i="27"/>
  <c r="AH166" i="27" s="1"/>
  <c r="AF166" i="27"/>
  <c r="AE166" i="27"/>
  <c r="BM165" i="27"/>
  <c r="BL165" i="27"/>
  <c r="BK165" i="27"/>
  <c r="BJ165" i="27"/>
  <c r="BI165" i="27"/>
  <c r="BH165" i="27"/>
  <c r="BG165" i="27"/>
  <c r="BF165" i="27"/>
  <c r="BE165" i="27"/>
  <c r="BD165" i="27"/>
  <c r="AH165" i="27"/>
  <c r="BM164" i="27"/>
  <c r="BL164" i="27"/>
  <c r="BK164" i="27"/>
  <c r="BJ164" i="27"/>
  <c r="BI164" i="27"/>
  <c r="BH164" i="27"/>
  <c r="BG164" i="27"/>
  <c r="BF164" i="27"/>
  <c r="BE164" i="27"/>
  <c r="BD164" i="27"/>
  <c r="AH164" i="27"/>
  <c r="BM163" i="27"/>
  <c r="BL163" i="27"/>
  <c r="BK163" i="27"/>
  <c r="BJ163" i="27"/>
  <c r="BI163" i="27"/>
  <c r="BH163" i="27"/>
  <c r="BG163" i="27"/>
  <c r="BF163" i="27"/>
  <c r="BE163" i="27"/>
  <c r="BD163" i="27"/>
  <c r="AH163" i="27"/>
  <c r="BM162" i="27"/>
  <c r="BL162" i="27"/>
  <c r="BK162" i="27"/>
  <c r="BJ162" i="27"/>
  <c r="BI162" i="27"/>
  <c r="BH162" i="27"/>
  <c r="BG162" i="27"/>
  <c r="BF162" i="27"/>
  <c r="BD162" i="27"/>
  <c r="AH162" i="27"/>
  <c r="BM161" i="27"/>
  <c r="BL161" i="27"/>
  <c r="BK161" i="27"/>
  <c r="BJ161" i="27"/>
  <c r="BI161" i="27"/>
  <c r="BH161" i="27"/>
  <c r="BG161" i="27"/>
  <c r="BF161" i="27"/>
  <c r="BE161" i="27"/>
  <c r="BD161" i="27"/>
  <c r="AH161" i="27"/>
  <c r="BM160" i="27"/>
  <c r="BL160" i="27"/>
  <c r="BK160" i="27"/>
  <c r="BJ160" i="27"/>
  <c r="BI160" i="27"/>
  <c r="BH160" i="27"/>
  <c r="BG160" i="27"/>
  <c r="BF160" i="27"/>
  <c r="BE160" i="27"/>
  <c r="BD160" i="27"/>
  <c r="AH160" i="27"/>
  <c r="BM159" i="27"/>
  <c r="BL159" i="27"/>
  <c r="BK159" i="27"/>
  <c r="BJ159" i="27"/>
  <c r="BI159" i="27"/>
  <c r="BH159" i="27"/>
  <c r="BG159" i="27"/>
  <c r="BF159" i="27"/>
  <c r="BE159" i="27"/>
  <c r="BD159" i="27"/>
  <c r="AH159" i="27"/>
  <c r="BM158" i="27"/>
  <c r="BL158" i="27"/>
  <c r="BK158" i="27"/>
  <c r="BJ158" i="27"/>
  <c r="BI158" i="27"/>
  <c r="BH158" i="27"/>
  <c r="BG158" i="27"/>
  <c r="BF158" i="27"/>
  <c r="BE158" i="27"/>
  <c r="BD158" i="27"/>
  <c r="AH158" i="27"/>
  <c r="BM157" i="27"/>
  <c r="BL157" i="27"/>
  <c r="BK157" i="27"/>
  <c r="BJ157" i="27"/>
  <c r="BI157" i="27"/>
  <c r="BH157" i="27"/>
  <c r="BG157" i="27"/>
  <c r="BF157" i="27"/>
  <c r="BE157" i="27"/>
  <c r="BD157" i="27"/>
  <c r="AH157" i="27"/>
  <c r="BM156" i="27"/>
  <c r="BL156" i="27"/>
  <c r="BK156" i="27"/>
  <c r="BJ156" i="27"/>
  <c r="BI156" i="27"/>
  <c r="BH156" i="27"/>
  <c r="BG156" i="27"/>
  <c r="BF156" i="27"/>
  <c r="BE156" i="27"/>
  <c r="BD156" i="27"/>
  <c r="AH156" i="27"/>
  <c r="BM155" i="27"/>
  <c r="BK155" i="27"/>
  <c r="BI155" i="27"/>
  <c r="BG155" i="27"/>
  <c r="BC155" i="27"/>
  <c r="BB155" i="27"/>
  <c r="BA155" i="27"/>
  <c r="BL155" i="27" s="1"/>
  <c r="AZ155" i="27"/>
  <c r="AY155" i="27"/>
  <c r="BJ155" i="27" s="1"/>
  <c r="AX155" i="27"/>
  <c r="AW155" i="27"/>
  <c r="BH155" i="27" s="1"/>
  <c r="AV155" i="27"/>
  <c r="AU155" i="27"/>
  <c r="BF155" i="27" s="1"/>
  <c r="AT155" i="27"/>
  <c r="AS155" i="27"/>
  <c r="AR155" i="27"/>
  <c r="AQ155" i="27"/>
  <c r="AP155" i="27"/>
  <c r="AO155" i="27"/>
  <c r="AN155" i="27"/>
  <c r="AM155" i="27"/>
  <c r="AL155" i="27"/>
  <c r="AK155" i="27"/>
  <c r="AJ155" i="27"/>
  <c r="AI155" i="27"/>
  <c r="BD155" i="27" s="1"/>
  <c r="AG155" i="27"/>
  <c r="AH155" i="27" s="1"/>
  <c r="AF155" i="27"/>
  <c r="AE155" i="27"/>
  <c r="BM154" i="27"/>
  <c r="BL154" i="27"/>
  <c r="BK154" i="27"/>
  <c r="BJ154" i="27"/>
  <c r="BI154" i="27"/>
  <c r="BH154" i="27"/>
  <c r="BG154" i="27"/>
  <c r="BF154" i="27"/>
  <c r="BE154" i="27"/>
  <c r="BD154" i="27"/>
  <c r="AH154" i="27"/>
  <c r="BM153" i="27"/>
  <c r="BL153" i="27"/>
  <c r="BK153" i="27"/>
  <c r="BJ153" i="27"/>
  <c r="BI153" i="27"/>
  <c r="BH153" i="27"/>
  <c r="BG153" i="27"/>
  <c r="BF153" i="27"/>
  <c r="BE153" i="27"/>
  <c r="BD153" i="27"/>
  <c r="AH153" i="27"/>
  <c r="BM152" i="27"/>
  <c r="BL152" i="27"/>
  <c r="BK152" i="27"/>
  <c r="BJ152" i="27"/>
  <c r="BI152" i="27"/>
  <c r="BH152" i="27"/>
  <c r="BG152" i="27"/>
  <c r="BF152" i="27"/>
  <c r="BE152" i="27"/>
  <c r="BD152" i="27"/>
  <c r="AH152" i="27"/>
  <c r="BM151" i="27"/>
  <c r="BL151" i="27"/>
  <c r="BK151" i="27"/>
  <c r="BJ151" i="27"/>
  <c r="BI151" i="27"/>
  <c r="BH151" i="27"/>
  <c r="BG151" i="27"/>
  <c r="BF151" i="27"/>
  <c r="BE151" i="27"/>
  <c r="BD151" i="27"/>
  <c r="AH151" i="27"/>
  <c r="BM150" i="27"/>
  <c r="BL150" i="27"/>
  <c r="BK150" i="27"/>
  <c r="BJ150" i="27"/>
  <c r="BI150" i="27"/>
  <c r="BH150" i="27"/>
  <c r="BG150" i="27"/>
  <c r="BF150" i="27"/>
  <c r="BE150" i="27"/>
  <c r="BD150" i="27"/>
  <c r="AH150" i="27"/>
  <c r="BM149" i="27"/>
  <c r="BL149" i="27"/>
  <c r="BK149" i="27"/>
  <c r="BJ149" i="27"/>
  <c r="BI149" i="27"/>
  <c r="BH149" i="27"/>
  <c r="BG149" i="27"/>
  <c r="BF149" i="27"/>
  <c r="BE149" i="27"/>
  <c r="BD149" i="27"/>
  <c r="AH149" i="27"/>
  <c r="BM148" i="27"/>
  <c r="BL148" i="27"/>
  <c r="BK148" i="27"/>
  <c r="BJ148" i="27"/>
  <c r="BI148" i="27"/>
  <c r="BH148" i="27"/>
  <c r="BG148" i="27"/>
  <c r="BF148" i="27"/>
  <c r="BE148" i="27"/>
  <c r="BD148" i="27"/>
  <c r="AH148" i="27"/>
  <c r="BM147" i="27"/>
  <c r="BL147" i="27"/>
  <c r="BK147" i="27"/>
  <c r="BJ147" i="27"/>
  <c r="BI147" i="27"/>
  <c r="BH147" i="27"/>
  <c r="BG147" i="27"/>
  <c r="BF147" i="27"/>
  <c r="BE147" i="27"/>
  <c r="BD147" i="27"/>
  <c r="AH147" i="27"/>
  <c r="BM146" i="27"/>
  <c r="BL146" i="27"/>
  <c r="BK146" i="27"/>
  <c r="BJ146" i="27"/>
  <c r="BI146" i="27"/>
  <c r="BH146" i="27"/>
  <c r="BG146" i="27"/>
  <c r="BF146" i="27"/>
  <c r="BE146" i="27"/>
  <c r="BD146" i="27"/>
  <c r="AH146" i="27"/>
  <c r="BM145" i="27"/>
  <c r="BL145" i="27"/>
  <c r="BK145" i="27"/>
  <c r="BJ145" i="27"/>
  <c r="BI145" i="27"/>
  <c r="BH145" i="27"/>
  <c r="BG145" i="27"/>
  <c r="BF145" i="27"/>
  <c r="BE145" i="27"/>
  <c r="BD145" i="27"/>
  <c r="AH145" i="27"/>
  <c r="BM144" i="27"/>
  <c r="BL144" i="27"/>
  <c r="BK144" i="27"/>
  <c r="BJ144" i="27"/>
  <c r="BI144" i="27"/>
  <c r="BH144" i="27"/>
  <c r="BG144" i="27"/>
  <c r="BF144" i="27"/>
  <c r="BE144" i="27"/>
  <c r="BD144" i="27"/>
  <c r="AH144" i="27"/>
  <c r="BM143" i="27"/>
  <c r="BL143" i="27"/>
  <c r="BK143" i="27"/>
  <c r="BJ143" i="27"/>
  <c r="BI143" i="27"/>
  <c r="BH143" i="27"/>
  <c r="BG143" i="27"/>
  <c r="BF143" i="27"/>
  <c r="BE143" i="27"/>
  <c r="BD143" i="27"/>
  <c r="AH143" i="27"/>
  <c r="T139" i="27"/>
  <c r="T140" i="27" s="1" a="1"/>
  <c r="T140" i="27" s="1"/>
  <c r="T141" i="27" s="1" a="1"/>
  <c r="T141" i="27" s="1"/>
  <c r="T142" i="27" s="1" a="1"/>
  <c r="T142" i="27" s="1"/>
  <c r="F139" i="27" a="1"/>
  <c r="F139" i="27" s="1"/>
  <c r="BM138" i="27"/>
  <c r="BL138" i="27"/>
  <c r="BK138" i="27"/>
  <c r="BJ138" i="27"/>
  <c r="BI138" i="27"/>
  <c r="BH138" i="27"/>
  <c r="BG138" i="27"/>
  <c r="BF138" i="27"/>
  <c r="BE138" i="27"/>
  <c r="BD138" i="27"/>
  <c r="AH138" i="27"/>
  <c r="AB137" i="27"/>
  <c r="AB136" i="27"/>
  <c r="AB135" i="27"/>
  <c r="AB133" i="27"/>
  <c r="AB132" i="27"/>
  <c r="AB131" i="27"/>
  <c r="AB129" i="27"/>
  <c r="AB128" i="27"/>
  <c r="AB126" i="27"/>
  <c r="AT125" i="27"/>
  <c r="AI125" i="27"/>
  <c r="AE125" i="27"/>
  <c r="AB125" i="27"/>
  <c r="AB124" i="27"/>
  <c r="AB123" i="27"/>
  <c r="AB122" i="27"/>
  <c r="AB121" i="27"/>
  <c r="AB119" i="27"/>
  <c r="AB118" i="27"/>
  <c r="BM116" i="27"/>
  <c r="BL116" i="27"/>
  <c r="BK116" i="27"/>
  <c r="BJ116" i="27"/>
  <c r="BI116" i="27"/>
  <c r="BH116" i="27"/>
  <c r="BG116" i="27"/>
  <c r="BF116" i="27"/>
  <c r="BE116" i="27"/>
  <c r="BD116" i="27"/>
  <c r="AH116" i="27"/>
  <c r="BS114" i="27"/>
  <c r="BU113" i="27" a="1"/>
  <c r="BU113" i="27" s="1"/>
  <c r="BM113" i="27"/>
  <c r="BL113" i="27"/>
  <c r="BK113" i="27"/>
  <c r="BJ113" i="27"/>
  <c r="BI113" i="27"/>
  <c r="BH113" i="27"/>
  <c r="BG113" i="27"/>
  <c r="BF113" i="27"/>
  <c r="AT113" i="27"/>
  <c r="BE113" i="27" s="1"/>
  <c r="AH113" i="27"/>
  <c r="AB113" i="27"/>
  <c r="M113" i="27" a="1"/>
  <c r="M113" i="27" s="1"/>
  <c r="BU112" i="27" a="1"/>
  <c r="BU112" i="27" s="1"/>
  <c r="BM112" i="27"/>
  <c r="BL112" i="27"/>
  <c r="BK112" i="27"/>
  <c r="BJ112" i="27"/>
  <c r="BI112" i="27"/>
  <c r="BH112" i="27"/>
  <c r="BG112" i="27"/>
  <c r="BF112" i="27"/>
  <c r="BE112" i="27"/>
  <c r="BD112" i="27"/>
  <c r="AH112" i="27"/>
  <c r="AB112" i="27"/>
  <c r="M112" i="27" a="1"/>
  <c r="M112" i="27"/>
  <c r="BU111" i="27" a="1"/>
  <c r="BU111" i="27"/>
  <c r="BM111" i="27"/>
  <c r="BL111" i="27"/>
  <c r="BK111" i="27"/>
  <c r="BJ111" i="27"/>
  <c r="BI111" i="27"/>
  <c r="BH111" i="27"/>
  <c r="BG111" i="27"/>
  <c r="BF111" i="27"/>
  <c r="BE111" i="27"/>
  <c r="BD111" i="27"/>
  <c r="AH111" i="27"/>
  <c r="AB111" i="27"/>
  <c r="M111" i="27" a="1"/>
  <c r="M111" i="27" s="1"/>
  <c r="BS110" i="27"/>
  <c r="BL109" i="27"/>
  <c r="BJ109" i="27"/>
  <c r="BH109" i="27"/>
  <c r="BF109" i="27"/>
  <c r="BC109" i="27"/>
  <c r="BB109" i="27"/>
  <c r="BM109" i="27" s="1"/>
  <c r="BA109" i="27"/>
  <c r="AZ109" i="27"/>
  <c r="BK109" i="27" s="1"/>
  <c r="AY109" i="27"/>
  <c r="AX109" i="27"/>
  <c r="BI109" i="27" s="1"/>
  <c r="AW109" i="27"/>
  <c r="AV109" i="27"/>
  <c r="BG109" i="27" s="1"/>
  <c r="AU109" i="27"/>
  <c r="AT109" i="27"/>
  <c r="BD109" i="27" s="1"/>
  <c r="AS109" i="27"/>
  <c r="AR109" i="27"/>
  <c r="AQ109" i="27"/>
  <c r="AP109" i="27"/>
  <c r="AO109" i="27"/>
  <c r="AN109" i="27"/>
  <c r="AM109" i="27"/>
  <c r="AL109" i="27"/>
  <c r="AK109" i="27"/>
  <c r="AJ109" i="27"/>
  <c r="AI109" i="27"/>
  <c r="AG109" i="27"/>
  <c r="AF109" i="27"/>
  <c r="AH109" i="27" s="1"/>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BE105" i="27"/>
  <c r="BD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L98" i="27"/>
  <c r="BJ98" i="27"/>
  <c r="BH98" i="27"/>
  <c r="BF98" i="27"/>
  <c r="BC98" i="27"/>
  <c r="BB98" i="27"/>
  <c r="BM98" i="27" s="1"/>
  <c r="BA98" i="27"/>
  <c r="AZ98" i="27"/>
  <c r="BK98" i="27" s="1"/>
  <c r="AY98" i="27"/>
  <c r="AX98" i="27"/>
  <c r="BI98" i="27" s="1"/>
  <c r="AW98" i="27"/>
  <c r="AV98" i="27"/>
  <c r="BG98" i="27" s="1"/>
  <c r="AU98" i="27"/>
  <c r="AT98" i="27"/>
  <c r="BD98" i="27" s="1"/>
  <c r="AS98" i="27"/>
  <c r="AR98" i="27"/>
  <c r="AQ98" i="27"/>
  <c r="AP98" i="27"/>
  <c r="AO98" i="27"/>
  <c r="AN98" i="27"/>
  <c r="AM98" i="27"/>
  <c r="AL98" i="27"/>
  <c r="AK98" i="27"/>
  <c r="AJ98" i="27"/>
  <c r="AI98" i="27"/>
  <c r="AG98" i="27"/>
  <c r="AF98" i="27"/>
  <c r="AH98" i="27" s="1"/>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F83" i="27" s="1" a="1"/>
  <c r="F83"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s="1"/>
  <c r="BS55" i="27"/>
  <c r="BL54" i="27"/>
  <c r="BJ54" i="27"/>
  <c r="BH54" i="27"/>
  <c r="BF54" i="27"/>
  <c r="BD54" i="27"/>
  <c r="BC54" i="27"/>
  <c r="BB54" i="27"/>
  <c r="BM54" i="27" s="1"/>
  <c r="BA54" i="27"/>
  <c r="AZ54" i="27"/>
  <c r="BK54" i="27" s="1"/>
  <c r="AY54" i="27"/>
  <c r="AX54" i="27"/>
  <c r="BI54" i="27" s="1"/>
  <c r="AW54" i="27"/>
  <c r="AV54" i="27"/>
  <c r="BG54" i="27" s="1"/>
  <c r="AU54" i="27"/>
  <c r="AT54" i="27"/>
  <c r="BE54" i="27" s="1"/>
  <c r="AS54" i="27"/>
  <c r="AR54" i="27"/>
  <c r="AQ54" i="27"/>
  <c r="AP54" i="27"/>
  <c r="AO54" i="27"/>
  <c r="AN54" i="27"/>
  <c r="AM54" i="27"/>
  <c r="AL54" i="27"/>
  <c r="AK54" i="27"/>
  <c r="AJ54" i="27"/>
  <c r="AI54" i="27"/>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L43" i="27"/>
  <c r="BJ43" i="27"/>
  <c r="BH43" i="27"/>
  <c r="BF43" i="27"/>
  <c r="BD43" i="27"/>
  <c r="BC43" i="27"/>
  <c r="BB43" i="27"/>
  <c r="BM43" i="27" s="1"/>
  <c r="BA43" i="27"/>
  <c r="AZ43" i="27"/>
  <c r="BK43" i="27" s="1"/>
  <c r="AY43" i="27"/>
  <c r="AX43" i="27"/>
  <c r="BI43" i="27" s="1"/>
  <c r="AW43" i="27"/>
  <c r="AV43" i="27"/>
  <c r="BG43" i="27" s="1"/>
  <c r="AU43" i="27"/>
  <c r="AT43" i="27"/>
  <c r="BE43" i="27" s="1"/>
  <c r="AS43" i="27"/>
  <c r="AR43" i="27"/>
  <c r="AQ43" i="27"/>
  <c r="AP43" i="27"/>
  <c r="AO43" i="27"/>
  <c r="AN43" i="27"/>
  <c r="AM43" i="27"/>
  <c r="AL43" i="27"/>
  <c r="AK43" i="27"/>
  <c r="AJ43" i="27"/>
  <c r="AI43" i="27"/>
  <c r="AG43" i="27"/>
  <c r="AF43" i="27"/>
  <c r="AH43" i="27" s="1"/>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B14" i="27" a="1"/>
  <c r="BB14" i="27" s="1"/>
  <c r="AZ14" i="27" a="1"/>
  <c r="AZ14" i="27" s="1"/>
  <c r="AX14" i="27" a="1"/>
  <c r="AX14" i="27" s="1"/>
  <c r="AV14" i="27" a="1"/>
  <c r="AV14" i="27" s="1"/>
  <c r="AS14" i="27" a="1"/>
  <c r="AS14" i="27" s="1"/>
  <c r="AQ14" i="27" a="1"/>
  <c r="AQ14" i="27" s="1"/>
  <c r="AO14" i="27" a="1"/>
  <c r="AO14" i="27" s="1"/>
  <c r="AM14" i="27" a="1"/>
  <c r="AM14" i="27" s="1"/>
  <c r="AK14" i="27" a="1"/>
  <c r="AK14" i="27" s="1"/>
  <c r="AH14" i="27" a="1"/>
  <c r="AH14" i="27" s="1"/>
  <c r="AF14" i="27" a="1"/>
  <c r="AF14" i="27" s="1"/>
  <c r="BP11" i="27" a="1"/>
  <c r="BP11" i="27" s="1"/>
  <c r="BO11" i="27" a="1"/>
  <c r="BO11" i="27" s="1"/>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S8" i="27" s="1"/>
  <c r="AR7" i="27" a="1"/>
  <c r="AR7" i="27"/>
  <c r="AQ7" i="27" a="1"/>
  <c r="AQ7" i="27"/>
  <c r="AQ8" i="27" s="1"/>
  <c r="AP7" i="27" a="1"/>
  <c r="AP7" i="27"/>
  <c r="AO7" i="27" a="1"/>
  <c r="AO7" i="27"/>
  <c r="AO8" i="27" s="1"/>
  <c r="AN7" i="27" a="1"/>
  <c r="AN7" i="27"/>
  <c r="AM7" i="27" a="1"/>
  <c r="AM7" i="27"/>
  <c r="AM8" i="27" s="1"/>
  <c r="AL7" i="27" a="1"/>
  <c r="AL7" i="27"/>
  <c r="AK7" i="27" a="1"/>
  <c r="AK7" i="27"/>
  <c r="AK8" i="27" s="1"/>
  <c r="AJ7" i="27" a="1"/>
  <c r="AJ7" i="27"/>
  <c r="AI7" i="27" a="1"/>
  <c r="AI7" i="27"/>
  <c r="AH7" i="27" a="1"/>
  <c r="AH7" i="27"/>
  <c r="AG7" i="27" a="1"/>
  <c r="AG7" i="27"/>
  <c r="AF7" i="27" a="1"/>
  <c r="AF7" i="27"/>
  <c r="AE7" i="27" a="1"/>
  <c r="AE7" i="27"/>
  <c r="BM6" i="27"/>
  <c r="BL6" i="27"/>
  <c r="BL14" i="27" s="1" a="1"/>
  <c r="BL14" i="27" s="1"/>
  <c r="BK6" i="27"/>
  <c r="BJ6" i="27"/>
  <c r="BJ14" i="27" s="1" a="1"/>
  <c r="BJ14" i="27" s="1"/>
  <c r="BI6" i="27"/>
  <c r="BH6" i="27"/>
  <c r="BH14" i="27" s="1" a="1"/>
  <c r="BH14" i="27" s="1"/>
  <c r="BG6" i="27"/>
  <c r="BF6" i="27"/>
  <c r="BF14" i="27" s="1" a="1"/>
  <c r="BF14" i="27" s="1"/>
  <c r="BE6" i="27"/>
  <c r="BD6" i="27" a="1"/>
  <c r="BD6" i="27" s="1"/>
  <c r="BC6" i="27"/>
  <c r="BB6" i="27"/>
  <c r="BB8" i="27" s="1"/>
  <c r="BA6" i="27"/>
  <c r="AZ6" i="27"/>
  <c r="AZ8" i="27" s="1"/>
  <c r="AY6" i="27"/>
  <c r="AX6" i="27"/>
  <c r="AX8" i="27" s="1"/>
  <c r="AW6" i="27"/>
  <c r="AV6" i="27"/>
  <c r="AV8" i="27" s="1"/>
  <c r="AU6" i="27"/>
  <c r="AT6" i="27" a="1"/>
  <c r="AT6" i="27"/>
  <c r="AT8" i="27" s="1"/>
  <c r="AS6" i="27"/>
  <c r="AR6" i="27"/>
  <c r="AR8" i="27" s="1"/>
  <c r="AQ6" i="27"/>
  <c r="AP6" i="27"/>
  <c r="AP8" i="27" s="1"/>
  <c r="AO6" i="27"/>
  <c r="AN6" i="27"/>
  <c r="AN8" i="27" s="1"/>
  <c r="AM6" i="27"/>
  <c r="AL6" i="27"/>
  <c r="AL8" i="27" s="1"/>
  <c r="AK6" i="27"/>
  <c r="AJ6" i="27" a="1"/>
  <c r="AJ6" i="27" s="1"/>
  <c r="AI6" i="27"/>
  <c r="AI14" i="27" s="1" a="1"/>
  <c r="AI14" i="27" s="1"/>
  <c r="AH6" i="27"/>
  <c r="AH8" i="27" s="1"/>
  <c r="AG6" i="27"/>
  <c r="AG14" i="27" s="1" a="1"/>
  <c r="AG14" i="27" s="1"/>
  <c r="AF6" i="27"/>
  <c r="AF8" i="27" s="1"/>
  <c r="AE6" i="27"/>
  <c r="AE14" i="27" s="1" a="1"/>
  <c r="AE14" i="27" s="1"/>
  <c r="AG49" i="26"/>
  <c r="AG50" i="26" s="1"/>
  <c r="AF49" i="26"/>
  <c r="AF50" i="26" s="1"/>
  <c r="AE49" i="26"/>
  <c r="AH49" i="26" s="1"/>
  <c r="AK48" i="26" a="1"/>
  <c r="AK48" i="26" s="1"/>
  <c r="AJ48" i="26" a="1"/>
  <c r="AJ48" i="26" s="1"/>
  <c r="AI48" i="26" a="1"/>
  <c r="AI48" i="26" s="1"/>
  <c r="AH48" i="26"/>
  <c r="AK47" i="26" a="1"/>
  <c r="AK47" i="26" s="1"/>
  <c r="AJ47" i="26" a="1"/>
  <c r="AJ47" i="26" s="1"/>
  <c r="AI47" i="26" a="1"/>
  <c r="AI47" i="26" s="1"/>
  <c r="AH47" i="26"/>
  <c r="AK46" i="26" a="1"/>
  <c r="AK46" i="26" s="1"/>
  <c r="AJ46" i="26" a="1"/>
  <c r="AJ46" i="26" s="1"/>
  <c r="AI46" i="26" a="1"/>
  <c r="AI46" i="26" s="1"/>
  <c r="AH46" i="26"/>
  <c r="AK45" i="26" a="1"/>
  <c r="AK45" i="26" s="1"/>
  <c r="AJ45" i="26" a="1"/>
  <c r="AJ45" i="26" s="1"/>
  <c r="AI45" i="26" a="1"/>
  <c r="AI45" i="26" s="1"/>
  <c r="AH45" i="26"/>
  <c r="AK44" i="26" a="1"/>
  <c r="AK44" i="26" s="1"/>
  <c r="AK43" i="26" s="1"/>
  <c r="AJ44" i="26" a="1"/>
  <c r="AJ44" i="26" s="1"/>
  <c r="AJ43" i="26" s="1"/>
  <c r="AI44" i="26" a="1"/>
  <c r="AI44" i="26" s="1"/>
  <c r="AH44" i="26"/>
  <c r="AG43" i="26"/>
  <c r="AF43" i="26"/>
  <c r="AE43" i="26"/>
  <c r="AH43" i="26" s="1"/>
  <c r="AK42" i="26" a="1"/>
  <c r="AK42" i="26"/>
  <c r="AJ42" i="26" a="1"/>
  <c r="AJ42" i="26"/>
  <c r="AI42" i="26" a="1"/>
  <c r="AI42" i="26"/>
  <c r="AK41" i="26" a="1"/>
  <c r="AK41" i="26"/>
  <c r="AK49" i="26" s="1"/>
  <c r="AK50" i="26" s="1"/>
  <c r="AJ41" i="26" a="1"/>
  <c r="AJ41" i="26"/>
  <c r="AJ49" i="26" s="1"/>
  <c r="AJ50" i="26" s="1"/>
  <c r="AI41" i="26" a="1"/>
  <c r="AI41" i="26"/>
  <c r="AI49" i="26" s="1"/>
  <c r="AK40" i="26" a="1"/>
  <c r="AK40" i="26" s="1"/>
  <c r="AJ40" i="26" a="1"/>
  <c r="AJ40" i="26" s="1"/>
  <c r="AI40" i="26" a="1"/>
  <c r="AI40" i="26" s="1"/>
  <c r="AL40" i="26" s="1"/>
  <c r="AH40" i="26"/>
  <c r="AK39" i="26" a="1"/>
  <c r="AK39" i="26" s="1"/>
  <c r="AJ39" i="26" a="1"/>
  <c r="AJ39" i="26" s="1"/>
  <c r="AI39" i="26" a="1"/>
  <c r="AI39" i="26" s="1"/>
  <c r="AL39" i="26" s="1"/>
  <c r="AH39" i="26"/>
  <c r="AK38" i="26" a="1"/>
  <c r="AK38" i="26" s="1"/>
  <c r="AJ38" i="26" a="1"/>
  <c r="AJ38" i="26" s="1"/>
  <c r="AI38" i="26" a="1"/>
  <c r="AI38" i="26" s="1"/>
  <c r="AL38" i="26" s="1"/>
  <c r="AH38" i="26"/>
  <c r="AK37" i="26" a="1"/>
  <c r="AK37" i="26" s="1"/>
  <c r="AJ37" i="26" a="1"/>
  <c r="AJ37" i="26" s="1"/>
  <c r="AI37" i="26" a="1"/>
  <c r="AI37" i="26" s="1"/>
  <c r="AL37" i="26" s="1"/>
  <c r="AH37" i="26"/>
  <c r="AK36" i="26" a="1"/>
  <c r="AK36" i="26" s="1"/>
  <c r="AK35" i="26" s="1"/>
  <c r="AJ36" i="26" a="1"/>
  <c r="AJ36" i="26" s="1"/>
  <c r="AJ35" i="26" s="1"/>
  <c r="AI36" i="26" a="1"/>
  <c r="AI36" i="26" s="1"/>
  <c r="AH36" i="26"/>
  <c r="AG35" i="26"/>
  <c r="AF35" i="26"/>
  <c r="AE35" i="26"/>
  <c r="AH35" i="26" s="1"/>
  <c r="AK34" i="26" a="1"/>
  <c r="AK34" i="26" s="1"/>
  <c r="AJ34" i="26" a="1"/>
  <c r="AJ34" i="26" s="1"/>
  <c r="AI34" i="26" a="1"/>
  <c r="AI34" i="26" s="1"/>
  <c r="AH34" i="26"/>
  <c r="AK33" i="26" a="1"/>
  <c r="AK33" i="26" s="1"/>
  <c r="AJ33" i="26" a="1"/>
  <c r="AJ33" i="26" s="1"/>
  <c r="AI33" i="26" a="1"/>
  <c r="AI33" i="26" s="1"/>
  <c r="AH33" i="26"/>
  <c r="AK32" i="26" a="1"/>
  <c r="AK32" i="26" s="1"/>
  <c r="AJ32" i="26" a="1"/>
  <c r="AJ32" i="26" s="1"/>
  <c r="AI32" i="26" a="1"/>
  <c r="AI32" i="26" s="1"/>
  <c r="AH32" i="26"/>
  <c r="AK31" i="26" a="1"/>
  <c r="AK31" i="26" s="1"/>
  <c r="AJ31" i="26" a="1"/>
  <c r="AJ31" i="26" s="1"/>
  <c r="AI31" i="26" a="1"/>
  <c r="AI31" i="26" s="1"/>
  <c r="AH31" i="26"/>
  <c r="AK30" i="26" a="1"/>
  <c r="AK30" i="26" s="1"/>
  <c r="AK29" i="26" s="1"/>
  <c r="AJ30" i="26" a="1"/>
  <c r="AJ30" i="26" s="1"/>
  <c r="AJ29" i="26" s="1"/>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68" i="25"/>
  <c r="AQ168" i="25"/>
  <c r="AP168" i="25"/>
  <c r="AO168" i="25"/>
  <c r="AN168" i="25"/>
  <c r="AL168" i="25"/>
  <c r="AK168" i="25"/>
  <c r="AJ168" i="25"/>
  <c r="AI168" i="25"/>
  <c r="AH168" i="25"/>
  <c r="AF168" i="25" a="1"/>
  <c r="AF168" i="25" s="1"/>
  <c r="AE168" i="25" a="1"/>
  <c r="AE168" i="25" s="1"/>
  <c r="AM167" i="25"/>
  <c r="AG167" i="25"/>
  <c r="AM166" i="25" a="1"/>
  <c r="AM166" i="25" s="1"/>
  <c r="AM168" i="25" s="1"/>
  <c r="AR164" i="25"/>
  <c r="AQ164" i="25"/>
  <c r="AP164" i="25"/>
  <c r="AO164" i="25"/>
  <c r="AN164" i="25" a="1"/>
  <c r="AN164" i="25" s="1"/>
  <c r="AL164" i="25"/>
  <c r="AK164" i="25"/>
  <c r="AJ164" i="25"/>
  <c r="AI164" i="25"/>
  <c r="AH164" i="25" a="1"/>
  <c r="AH164" i="25" s="1"/>
  <c r="AF164" i="25"/>
  <c r="AE164" i="25"/>
  <c r="AG123" i="25"/>
  <c r="T122" i="25"/>
  <c r="T123" i="25" s="1" a="1"/>
  <c r="T123" i="25" s="1"/>
  <c r="T124" i="25" s="1" a="1"/>
  <c r="T124" i="25" s="1"/>
  <c r="T125" i="25" s="1" a="1"/>
  <c r="T125" i="25" s="1"/>
  <c r="T126" i="25" s="1" a="1"/>
  <c r="T126" i="25" s="1"/>
  <c r="T127" i="25" s="1" a="1"/>
  <c r="T127" i="25" s="1"/>
  <c r="T128" i="25" s="1" a="1"/>
  <c r="T128" i="25" s="1"/>
  <c r="T129" i="25" s="1" a="1"/>
  <c r="T129" i="25" s="1"/>
  <c r="T130" i="25" s="1" a="1"/>
  <c r="T130" i="25" s="1"/>
  <c r="T131" i="25" s="1" a="1"/>
  <c r="T131" i="25" s="1"/>
  <c r="T132" i="25" s="1" a="1"/>
  <c r="T132" i="25" s="1"/>
  <c r="T133" i="25" s="1" a="1"/>
  <c r="T133" i="25" s="1"/>
  <c r="T134" i="25" s="1" a="1"/>
  <c r="T134" i="25" s="1"/>
  <c r="T135" i="25" s="1" a="1"/>
  <c r="T135" i="25" s="1"/>
  <c r="T136" i="25" s="1" a="1"/>
  <c r="T136" i="25" s="1"/>
  <c r="T137" i="25" s="1" a="1"/>
  <c r="T137" i="25" s="1"/>
  <c r="T138" i="25" s="1" a="1"/>
  <c r="T138" i="25" s="1"/>
  <c r="T139" i="25" s="1" a="1"/>
  <c r="T139" i="25" s="1"/>
  <c r="T140" i="25" s="1" a="1"/>
  <c r="T140" i="25" s="1"/>
  <c r="T141" i="25" s="1" a="1"/>
  <c r="T141" i="25" s="1"/>
  <c r="T142" i="25" s="1" a="1"/>
  <c r="T142" i="25" s="1"/>
  <c r="T143" i="25" s="1" a="1"/>
  <c r="T143" i="25" s="1"/>
  <c r="T144" i="25" s="1" a="1"/>
  <c r="T144" i="25" s="1"/>
  <c r="T145" i="25" s="1" a="1"/>
  <c r="T145" i="25" s="1"/>
  <c r="T146" i="25" s="1" a="1"/>
  <c r="T146" i="25" s="1"/>
  <c r="T147" i="25" s="1" a="1"/>
  <c r="T147" i="25" s="1"/>
  <c r="T148" i="25" s="1" a="1"/>
  <c r="T148" i="25" s="1"/>
  <c r="T149" i="25" s="1" a="1"/>
  <c r="T149" i="25" s="1"/>
  <c r="T150" i="25" s="1" a="1"/>
  <c r="T150" i="25" s="1"/>
  <c r="T151" i="25" s="1" a="1"/>
  <c r="T151" i="25" s="1"/>
  <c r="T152" i="25" s="1" a="1"/>
  <c r="T152" i="25" s="1"/>
  <c r="T153" i="25" s="1" a="1"/>
  <c r="T153" i="25" s="1"/>
  <c r="T154" i="25" s="1" a="1"/>
  <c r="T154" i="25" s="1"/>
  <c r="F122" i="25" a="1"/>
  <c r="F122" i="25" s="1"/>
  <c r="F123" i="25" s="1" a="1"/>
  <c r="F123" i="25" s="1"/>
  <c r="F124" i="25" s="1" a="1"/>
  <c r="F124" i="25" s="1"/>
  <c r="F125" i="25" s="1" a="1"/>
  <c r="F125" i="25" s="1"/>
  <c r="F126" i="25" s="1" a="1"/>
  <c r="F126" i="25" s="1"/>
  <c r="AR121" i="25"/>
  <c r="AQ121" i="25"/>
  <c r="AP121" i="25"/>
  <c r="AO121" i="25"/>
  <c r="AN121" i="25"/>
  <c r="AL121" i="25"/>
  <c r="AK121" i="25"/>
  <c r="AJ121" i="25"/>
  <c r="AI121" i="25"/>
  <c r="AH121" i="25"/>
  <c r="AF121" i="25" a="1"/>
  <c r="AF121" i="25" s="1"/>
  <c r="AE121" i="25" a="1"/>
  <c r="AE121" i="25" s="1"/>
  <c r="AM120" i="25"/>
  <c r="AG120" i="25"/>
  <c r="AM119" i="25" a="1"/>
  <c r="AM119" i="25" s="1"/>
  <c r="AM121" i="25" s="1"/>
  <c r="AR117" i="25"/>
  <c r="AQ117" i="25"/>
  <c r="AP117" i="25"/>
  <c r="AO117" i="25"/>
  <c r="AN117" i="25" a="1"/>
  <c r="AN117" i="25" s="1"/>
  <c r="AL117" i="25"/>
  <c r="AK117" i="25"/>
  <c r="AJ117" i="25"/>
  <c r="AI117" i="25"/>
  <c r="AH117" i="25" a="1"/>
  <c r="AH117" i="25" s="1"/>
  <c r="AF117" i="25"/>
  <c r="AE117" i="25"/>
  <c r="AG76"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s="1"/>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s="1"/>
  <c r="AM73" i="25"/>
  <c r="AG73" i="25"/>
  <c r="AR70" i="25"/>
  <c r="AQ70" i="25"/>
  <c r="AP70" i="25"/>
  <c r="AO70" i="25"/>
  <c r="AN70" i="25" a="1"/>
  <c r="AN70" i="25" s="1"/>
  <c r="AL70" i="25"/>
  <c r="AK70" i="25"/>
  <c r="AJ70" i="25"/>
  <c r="AI70" i="25"/>
  <c r="AH70" i="25" a="1"/>
  <c r="AH70" i="25" s="1"/>
  <c r="AF70" i="25"/>
  <c r="AE70" i="25"/>
  <c r="T28" i="25"/>
  <c r="T29" i="25" s="1"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F28" i="25" a="1"/>
  <c r="F28" i="25"/>
  <c r="F29" i="25" s="1" a="1"/>
  <c r="F29" i="25" s="1"/>
  <c r="F30" i="25" s="1" a="1"/>
  <c r="F30" i="25" s="1"/>
  <c r="F31" i="25" s="1" a="1"/>
  <c r="F31" i="25" s="1"/>
  <c r="F32" i="25" s="1" a="1"/>
  <c r="F32" i="25" s="1"/>
  <c r="AG25" i="25"/>
  <c r="AF25" i="25"/>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M9" i="25" a="1"/>
  <c r="AM9" i="25" s="1"/>
  <c r="AL9" i="25" a="1"/>
  <c r="AL9" i="25" s="1"/>
  <c r="AK9" i="25" a="1"/>
  <c r="AK9" i="25" s="1"/>
  <c r="AJ9" i="25" a="1"/>
  <c r="AJ9" i="25" s="1"/>
  <c r="AG9" i="25" a="1"/>
  <c r="AG9" i="25" s="1"/>
  <c r="AF9" i="25" a="1"/>
  <c r="AF9" i="25" s="1"/>
  <c r="AG7" i="25" a="1"/>
  <c r="AG7" i="25" s="1"/>
  <c r="AF7" i="25" a="1"/>
  <c r="AF7" i="25" s="1"/>
  <c r="AR6" i="25" a="1"/>
  <c r="AR6" i="25" s="1"/>
  <c r="AQ6" i="25" a="1"/>
  <c r="AQ6" i="25" s="1"/>
  <c r="AP6" i="25" a="1"/>
  <c r="AP6" i="25" s="1"/>
  <c r="AO6" i="25" a="1"/>
  <c r="AO6" i="25" s="1"/>
  <c r="AL6" i="25" a="1"/>
  <c r="AL6" i="25" s="1"/>
  <c r="AK6" i="25" a="1"/>
  <c r="AK6" i="25" s="1"/>
  <c r="AJ6" i="25" a="1"/>
  <c r="AJ6" i="25" s="1"/>
  <c r="AI6" i="25" a="1"/>
  <c r="AI6" i="25" s="1"/>
  <c r="AG6" i="25" a="1"/>
  <c r="AG6" i="25" s="1"/>
  <c r="AG8" i="25" s="1"/>
  <c r="AF6" i="25" a="1"/>
  <c r="AF6" i="25" s="1"/>
  <c r="AF8" i="25" s="1"/>
  <c r="T61" i="24"/>
  <c r="L48" i="24" a="1"/>
  <c r="L48" i="24" s="1"/>
  <c r="BS47" i="24"/>
  <c r="T47" i="24"/>
  <c r="T48" i="24" s="1" a="1"/>
  <c r="T48" i="24" s="1"/>
  <c r="T49" i="24" s="1" a="1"/>
  <c r="T49" i="24" s="1"/>
  <c r="T50" i="24" s="1" a="1"/>
  <c r="T50" i="24" s="1"/>
  <c r="T51" i="24" s="1" a="1"/>
  <c r="T51" i="24" s="1"/>
  <c r="T53" i="24" s="1" a="1"/>
  <c r="T53" i="24" s="1"/>
  <c r="T54" i="24" s="1" a="1"/>
  <c r="T54" i="24" s="1"/>
  <c r="T55" i="24" s="1" a="1"/>
  <c r="T55" i="24" s="1"/>
  <c r="F47" i="24" a="1"/>
  <c r="F47" i="24" s="1"/>
  <c r="BC42" i="24" a="1"/>
  <c r="BC42" i="24" s="1"/>
  <c r="BB42" i="24" a="1"/>
  <c r="BB42" i="24" s="1"/>
  <c r="BM42" i="24" s="1"/>
  <c r="BA42" i="24" a="1"/>
  <c r="BA42" i="24" s="1"/>
  <c r="BL42" i="24" s="1"/>
  <c r="AZ42" i="24" a="1"/>
  <c r="AZ42" i="24" s="1"/>
  <c r="BK42" i="24" s="1"/>
  <c r="AY42" i="24" a="1"/>
  <c r="AY42" i="24" s="1"/>
  <c r="BJ42" i="24" s="1"/>
  <c r="AX42" i="24" a="1"/>
  <c r="AX42" i="24" s="1"/>
  <c r="BI42" i="24" s="1"/>
  <c r="AW42" i="24" a="1"/>
  <c r="AW42" i="24" s="1"/>
  <c r="BH42" i="24" s="1"/>
  <c r="AV42" i="24" a="1"/>
  <c r="AV42" i="24" s="1"/>
  <c r="BG42" i="24" s="1"/>
  <c r="AU42" i="24" a="1"/>
  <c r="AU42" i="24" s="1"/>
  <c r="BF42" i="24" s="1"/>
  <c r="AT42" i="24" a="1"/>
  <c r="AT42" i="24" s="1"/>
  <c r="BE42" i="24" s="1"/>
  <c r="AS42" i="24" a="1"/>
  <c r="AS42" i="24" s="1"/>
  <c r="AR42" i="24" a="1"/>
  <c r="AR42" i="24" s="1"/>
  <c r="AQ42" i="24" a="1"/>
  <c r="AQ42" i="24" s="1"/>
  <c r="AP42" i="24" a="1"/>
  <c r="AP42" i="24" s="1"/>
  <c r="AO42" i="24" a="1"/>
  <c r="AO42" i="24" s="1"/>
  <c r="AN42" i="24" a="1"/>
  <c r="AN42" i="24" s="1"/>
  <c r="AM42" i="24" a="1"/>
  <c r="AM42" i="24" s="1"/>
  <c r="AL42" i="24" a="1"/>
  <c r="AL42" i="24" s="1"/>
  <c r="AK42" i="24" a="1"/>
  <c r="AK42" i="24" s="1"/>
  <c r="AJ42" i="24" a="1"/>
  <c r="AJ42" i="24" s="1"/>
  <c r="AI42" i="24" a="1"/>
  <c r="AI42" i="24" s="1"/>
  <c r="BD42" i="24" s="1"/>
  <c r="T38" i="24" a="1"/>
  <c r="T38" i="24" s="1"/>
  <c r="T39" i="24" s="1" a="1"/>
  <c r="T39" i="24" s="1"/>
  <c r="T40" i="24" s="1" a="1"/>
  <c r="T40" i="24" s="1"/>
  <c r="T41" i="24" s="1" a="1"/>
  <c r="T41" i="24" s="1"/>
  <c r="T43" i="24" s="1" a="1"/>
  <c r="T43" i="24" s="1"/>
  <c r="T44" i="24" s="1" a="1"/>
  <c r="T44" i="24" s="1"/>
  <c r="T45" i="24" s="1" a="1"/>
  <c r="T45" i="24" s="1"/>
  <c r="L38" i="24" a="1"/>
  <c r="L38" i="24" s="1"/>
  <c r="BS37" i="24"/>
  <c r="T37" i="24"/>
  <c r="F37" i="24" a="1"/>
  <c r="F37" i="24"/>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AZ7" i="24" a="1"/>
  <c r="AZ7" i="24"/>
  <c r="AY7" i="24" a="1"/>
  <c r="AY7" i="24"/>
  <c r="AX7" i="24" a="1"/>
  <c r="AX7" i="24"/>
  <c r="AW7" i="24" a="1"/>
  <c r="AW7" i="24"/>
  <c r="AV7" i="24" a="1"/>
  <c r="AV7" i="24"/>
  <c r="AU7" i="24" a="1"/>
  <c r="AU7" i="24"/>
  <c r="AT7" i="24" a="1"/>
  <c r="AT7" i="24"/>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BM6" i="24"/>
  <c r="BL6" i="24"/>
  <c r="BK6" i="24"/>
  <c r="BJ6" i="24"/>
  <c r="BI6" i="24"/>
  <c r="BH6" i="24"/>
  <c r="BG6" i="24"/>
  <c r="BF6" i="24"/>
  <c r="BE6" i="24"/>
  <c r="BD6" i="24" a="1"/>
  <c r="BD6" i="24"/>
  <c r="BC6" i="24"/>
  <c r="BC8" i="24" s="1"/>
  <c r="BB6" i="24"/>
  <c r="BA6" i="24"/>
  <c r="BA8" i="24" s="1"/>
  <c r="AZ6" i="24"/>
  <c r="AY6" i="24"/>
  <c r="AY8" i="24" s="1"/>
  <c r="AX6" i="24"/>
  <c r="AW6" i="24"/>
  <c r="AW8" i="24" s="1"/>
  <c r="AV6" i="24"/>
  <c r="AU6" i="24"/>
  <c r="AU8" i="24" s="1"/>
  <c r="AT6" i="24" a="1"/>
  <c r="AT6" i="24" s="1"/>
  <c r="AS6" i="24"/>
  <c r="AS8" i="24" s="1"/>
  <c r="AR6" i="24"/>
  <c r="AR8" i="24" s="1"/>
  <c r="AQ6" i="24"/>
  <c r="AQ8" i="24" s="1"/>
  <c r="AP6" i="24"/>
  <c r="AP8" i="24" s="1"/>
  <c r="AO6" i="24"/>
  <c r="AO8" i="24" s="1"/>
  <c r="AN6" i="24"/>
  <c r="AN8" i="24" s="1"/>
  <c r="AM6" i="24"/>
  <c r="AM8" i="24" s="1"/>
  <c r="AL6" i="24"/>
  <c r="AL8" i="24" s="1"/>
  <c r="AK6" i="24"/>
  <c r="AK8" i="24" s="1"/>
  <c r="AJ6" i="24" a="1"/>
  <c r="AJ6" i="24"/>
  <c r="AI6" i="24"/>
  <c r="AH6" i="24"/>
  <c r="AH8" i="24" s="1"/>
  <c r="AG6" i="24"/>
  <c r="AF6" i="24"/>
  <c r="AF8" i="24" s="1"/>
  <c r="AE6" i="24"/>
  <c r="T91" i="23"/>
  <c r="BM85" i="23"/>
  <c r="BL85" i="23"/>
  <c r="BK85" i="23"/>
  <c r="BJ85" i="23"/>
  <c r="BI85" i="23"/>
  <c r="BH85" i="23"/>
  <c r="BG85" i="23"/>
  <c r="BF85" i="23"/>
  <c r="BE85" i="23"/>
  <c r="BD85" i="23"/>
  <c r="AH85" i="23"/>
  <c r="BD84" i="23"/>
  <c r="AH84" i="23"/>
  <c r="BM81" i="23"/>
  <c r="BL81" i="23"/>
  <c r="BK81" i="23"/>
  <c r="BJ81" i="23"/>
  <c r="BI81" i="23"/>
  <c r="BH81" i="23"/>
  <c r="BG81" i="23"/>
  <c r="BF81" i="23"/>
  <c r="BE81" i="23"/>
  <c r="BD81" i="23"/>
  <c r="AH81" i="23"/>
  <c r="BM80" i="23"/>
  <c r="BL80" i="23"/>
  <c r="BK80" i="23"/>
  <c r="BJ80" i="23"/>
  <c r="BI80" i="23"/>
  <c r="BH80" i="23"/>
  <c r="BG80" i="23"/>
  <c r="BF80" i="23"/>
  <c r="BE80" i="23"/>
  <c r="BD80" i="23"/>
  <c r="AH80" i="23"/>
  <c r="BM78" i="23"/>
  <c r="BL78" i="23"/>
  <c r="BK78" i="23"/>
  <c r="BJ78" i="23"/>
  <c r="BI78" i="23"/>
  <c r="BH78" i="23"/>
  <c r="BG78" i="23"/>
  <c r="BF78" i="23"/>
  <c r="BE78" i="23"/>
  <c r="BD78" i="23"/>
  <c r="AH78" i="23"/>
  <c r="BM77" i="23"/>
  <c r="BL77" i="23"/>
  <c r="BK77" i="23"/>
  <c r="BJ77" i="23"/>
  <c r="BI77" i="23"/>
  <c r="BH77" i="23"/>
  <c r="BG77" i="23"/>
  <c r="BF77" i="23"/>
  <c r="BE77" i="23"/>
  <c r="BD77" i="23"/>
  <c r="AH77" i="23"/>
  <c r="BM76" i="23"/>
  <c r="BL76" i="23"/>
  <c r="BK76" i="23"/>
  <c r="BJ76" i="23"/>
  <c r="BI76" i="23"/>
  <c r="BH76" i="23"/>
  <c r="BG76" i="23"/>
  <c r="BF76" i="23"/>
  <c r="BE76" i="23"/>
  <c r="BD76" i="23"/>
  <c r="AH76" i="23"/>
  <c r="L68" i="23" a="1"/>
  <c r="L68" i="23"/>
  <c r="T67" i="23"/>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F67" i="23" a="1"/>
  <c r="F67" i="23"/>
  <c r="I67" i="23" s="1" a="1"/>
  <c r="I67" i="23" s="1"/>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L48" i="23" a="1"/>
  <c r="L48" i="23"/>
  <c r="T47" i="23"/>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F47" i="23" a="1"/>
  <c r="F47" i="23"/>
  <c r="I47" i="23" s="1" a="1"/>
  <c r="I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s="1"/>
  <c r="AI9" i="23"/>
  <c r="AH9" i="23"/>
  <c r="AG9" i="23"/>
  <c r="AF9" i="23"/>
  <c r="AE9" i="23"/>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R8" i="23" s="1"/>
  <c r="AQ7" i="23" a="1"/>
  <c r="AQ7" i="23" s="1"/>
  <c r="AP7" i="23" a="1"/>
  <c r="AP7" i="23" s="1"/>
  <c r="AP8" i="23" s="1"/>
  <c r="AO7" i="23" a="1"/>
  <c r="AO7" i="23" s="1"/>
  <c r="AN7" i="23" a="1"/>
  <c r="AN7" i="23" s="1"/>
  <c r="AN8" i="23" s="1"/>
  <c r="AM7" i="23" a="1"/>
  <c r="AM7" i="23" s="1"/>
  <c r="AL7" i="23" a="1"/>
  <c r="AL7" i="23" s="1"/>
  <c r="AL8" i="23" s="1"/>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C8" i="23" s="1"/>
  <c r="BB6" i="23"/>
  <c r="BB8" i="23" s="1"/>
  <c r="BA6" i="23"/>
  <c r="BA8" i="23" s="1"/>
  <c r="AZ6" i="23"/>
  <c r="AZ8" i="23" s="1"/>
  <c r="AY6" i="23"/>
  <c r="AY8" i="23" s="1"/>
  <c r="AX6" i="23"/>
  <c r="AX8" i="23" s="1"/>
  <c r="AW6" i="23"/>
  <c r="AW8" i="23" s="1"/>
  <c r="AV6" i="23"/>
  <c r="AV8" i="23" s="1"/>
  <c r="AU6" i="23"/>
  <c r="AU8" i="23" s="1"/>
  <c r="AT6" i="23" a="1"/>
  <c r="AT6" i="23" s="1"/>
  <c r="AS6" i="23"/>
  <c r="AS8" i="23" s="1"/>
  <c r="AR6" i="23"/>
  <c r="AQ6" i="23"/>
  <c r="AQ8" i="23" s="1"/>
  <c r="AP6" i="23"/>
  <c r="AO6" i="23"/>
  <c r="AO8" i="23" s="1"/>
  <c r="AN6" i="23"/>
  <c r="AM6" i="23"/>
  <c r="AM8" i="23" s="1"/>
  <c r="AL6" i="23"/>
  <c r="AK6" i="23"/>
  <c r="AK8" i="23" s="1"/>
  <c r="AJ6" i="23" a="1"/>
  <c r="AJ6" i="23"/>
  <c r="AI6" i="23"/>
  <c r="AI8" i="23" s="1"/>
  <c r="AH6" i="23"/>
  <c r="AG6" i="23"/>
  <c r="AG8" i="23" s="1"/>
  <c r="AF6" i="23"/>
  <c r="AE6" i="23"/>
  <c r="AE8" i="23" s="1"/>
  <c r="T58" i="22"/>
  <c r="AH52" i="22" a="1"/>
  <c r="AH52" i="22" s="1"/>
  <c r="AG52" i="22" a="1"/>
  <c r="AG52" i="22" s="1"/>
  <c r="AF52" i="22" a="1"/>
  <c r="AF52" i="22" s="1"/>
  <c r="AE52" i="22" a="1"/>
  <c r="AE52" i="22" s="1"/>
  <c r="L52" i="22" a="1"/>
  <c r="L52" i="22" s="1"/>
  <c r="T45" i="22"/>
  <c r="T46" i="22" s="1" a="1"/>
  <c r="T46" i="22" s="1"/>
  <c r="T47" i="22" s="1" a="1"/>
  <c r="T47" i="22" s="1"/>
  <c r="T48" i="22" s="1" a="1"/>
  <c r="T48" i="22" s="1"/>
  <c r="T49" i="22" s="1" a="1"/>
  <c r="T49" i="22" s="1"/>
  <c r="T50" i="22" s="1" a="1"/>
  <c r="T50" i="22" s="1"/>
  <c r="T51" i="22" s="1" a="1"/>
  <c r="T51" i="22" s="1"/>
  <c r="T52" i="22" s="1" a="1"/>
  <c r="T52" i="22" s="1"/>
  <c r="T53" i="22" s="1" a="1"/>
  <c r="T53" i="22" s="1"/>
  <c r="F45" i="22" a="1"/>
  <c r="F45" i="22"/>
  <c r="F46" i="22" s="1" a="1"/>
  <c r="F46" i="22" s="1"/>
  <c r="AG43" i="22" a="1"/>
  <c r="AG43" i="22" s="1"/>
  <c r="AF43" i="22" a="1"/>
  <c r="AF43" i="22" s="1"/>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F37" i="22" s="1" a="1"/>
  <c r="F37" i="22" s="1"/>
  <c r="L34" i="22" a="1"/>
  <c r="L34" i="22"/>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c r="AG13" i="22" a="1"/>
  <c r="AG13" i="22"/>
  <c r="AF13" i="22" a="1"/>
  <c r="AF13" i="22"/>
  <c r="AE13" i="22" a="1"/>
  <c r="AE13" i="22"/>
  <c r="AH12" i="22"/>
  <c r="AH14" i="22" s="1"/>
  <c r="AG12" i="22"/>
  <c r="AG14" i="22" s="1"/>
  <c r="AF12" i="22"/>
  <c r="AF14" i="22" s="1"/>
  <c r="AE12" i="22"/>
  <c r="AE14" i="22" s="1"/>
  <c r="BP11" i="22" a="1"/>
  <c r="BP11" i="22"/>
  <c r="BO11" i="22" a="1"/>
  <c r="BO11" i="22"/>
  <c r="BN11" i="22" a="1"/>
  <c r="BN11" i="22"/>
  <c r="BC10" i="22" a="1"/>
  <c r="BC10"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BM9" i="22"/>
  <c r="BL9" i="22"/>
  <c r="BK9" i="22"/>
  <c r="BJ9" i="22"/>
  <c r="BI9" i="22"/>
  <c r="BH9" i="22"/>
  <c r="BG9" i="22"/>
  <c r="BF9" i="22"/>
  <c r="BE9" i="22"/>
  <c r="BD9" i="22" a="1"/>
  <c r="BD9" i="22" s="1"/>
  <c r="BC9" i="22"/>
  <c r="BB9" i="22"/>
  <c r="BA9" i="22"/>
  <c r="AZ9" i="22"/>
  <c r="AY9" i="22"/>
  <c r="AX9" i="22"/>
  <c r="AW9" i="22"/>
  <c r="AV9" i="22"/>
  <c r="AU9" i="22"/>
  <c r="AT9" i="22" a="1"/>
  <c r="AT9" i="22"/>
  <c r="AS9" i="22"/>
  <c r="AR9" i="22"/>
  <c r="AQ9" i="22"/>
  <c r="AP9" i="22"/>
  <c r="AO9" i="22"/>
  <c r="AN9" i="22"/>
  <c r="AM9" i="22"/>
  <c r="AL9" i="22"/>
  <c r="AK9" i="22"/>
  <c r="AJ9" i="22" a="1"/>
  <c r="AJ9" i="22" s="1"/>
  <c r="AI9" i="22"/>
  <c r="BC7" i="22" a="1"/>
  <c r="BC7"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R8" i="22" s="1"/>
  <c r="AQ7" i="22" a="1"/>
  <c r="AQ7" i="22" s="1"/>
  <c r="AP7" i="22" a="1"/>
  <c r="AP7" i="22" s="1"/>
  <c r="AP8" i="22" s="1"/>
  <c r="AO7" i="22" a="1"/>
  <c r="AO7" i="22" s="1"/>
  <c r="AN7" i="22" a="1"/>
  <c r="AN7" i="22" s="1"/>
  <c r="AN8" i="22" s="1"/>
  <c r="AM7" i="22" a="1"/>
  <c r="AM7" i="22" s="1"/>
  <c r="AL7" i="22" a="1"/>
  <c r="AL7" i="22" s="1"/>
  <c r="AL8" i="22" s="1"/>
  <c r="AK7" i="22" a="1"/>
  <c r="AK7" i="22" s="1"/>
  <c r="AJ7" i="22" a="1"/>
  <c r="AJ7" i="22" s="1"/>
  <c r="AI7" i="22" a="1"/>
  <c r="AI7" i="22" s="1"/>
  <c r="BM6" i="22"/>
  <c r="BL6" i="22"/>
  <c r="BK6" i="22"/>
  <c r="BJ6" i="22"/>
  <c r="BI6" i="22"/>
  <c r="BH6" i="22"/>
  <c r="BG6" i="22"/>
  <c r="BF6" i="22"/>
  <c r="BE6" i="22"/>
  <c r="BD6" i="22" a="1"/>
  <c r="BD6" i="22"/>
  <c r="BC6" i="22"/>
  <c r="BC8" i="22" s="1"/>
  <c r="BB6" i="22"/>
  <c r="BB8" i="22" s="1"/>
  <c r="BA6" i="22"/>
  <c r="BA8" i="22" s="1"/>
  <c r="AZ6" i="22"/>
  <c r="AZ8" i="22" s="1"/>
  <c r="AY6" i="22"/>
  <c r="AY8" i="22" s="1"/>
  <c r="AX6" i="22"/>
  <c r="AX8" i="22" s="1"/>
  <c r="AW6" i="22"/>
  <c r="AW8" i="22" s="1"/>
  <c r="AV6" i="22"/>
  <c r="AV8" i="22" s="1"/>
  <c r="AU6" i="22"/>
  <c r="AU8" i="22" s="1"/>
  <c r="AT6" i="22" a="1"/>
  <c r="AT6" i="22" s="1"/>
  <c r="AS6" i="22"/>
  <c r="AS8" i="22" s="1"/>
  <c r="AR6" i="22"/>
  <c r="AQ6" i="22"/>
  <c r="AQ8" i="22" s="1"/>
  <c r="AP6" i="22"/>
  <c r="AO6" i="22"/>
  <c r="AO8" i="22" s="1"/>
  <c r="AN6" i="22"/>
  <c r="AM6" i="22"/>
  <c r="AM8" i="22" s="1"/>
  <c r="AL6" i="22"/>
  <c r="AK6" i="22"/>
  <c r="AK8" i="22" s="1"/>
  <c r="AJ6" i="22" a="1"/>
  <c r="AJ6" i="22"/>
  <c r="AJ8" i="22" s="1"/>
  <c r="AI6" i="22"/>
  <c r="T107" i="21"/>
  <c r="AT101" i="21" a="1"/>
  <c r="AT101" i="21" s="1"/>
  <c r="AL101" i="21"/>
  <c r="AH101" i="21"/>
  <c r="AB101" i="21"/>
  <c r="AR100" i="21"/>
  <c r="AL99" i="21"/>
  <c r="AK99" i="21"/>
  <c r="AJ99" i="21"/>
  <c r="AI99" i="21"/>
  <c r="AG99" i="21"/>
  <c r="AF99" i="21"/>
  <c r="AH99" i="21" s="1"/>
  <c r="AE99" i="21"/>
  <c r="AR98" i="21"/>
  <c r="AT97" i="21" a="1"/>
  <c r="AT97" i="21"/>
  <c r="AL97" i="21"/>
  <c r="AH97" i="21"/>
  <c r="AB97" i="21"/>
  <c r="AT96" i="21" a="1"/>
  <c r="AT96" i="21"/>
  <c r="AK96" i="21"/>
  <c r="AL96" i="21" s="1"/>
  <c r="AH96" i="21"/>
  <c r="AB96" i="21"/>
  <c r="AT95" i="21" a="1"/>
  <c r="AT95" i="21" s="1"/>
  <c r="AL95" i="21"/>
  <c r="AH95" i="21"/>
  <c r="AB95" i="21"/>
  <c r="AR94" i="21"/>
  <c r="AK93" i="21"/>
  <c r="AJ93" i="21"/>
  <c r="AI93" i="21"/>
  <c r="AL93" i="21" s="1"/>
  <c r="AG93" i="21"/>
  <c r="AH93" i="21" s="1"/>
  <c r="AF93" i="21"/>
  <c r="AE93" i="21"/>
  <c r="AL90" i="21"/>
  <c r="AH90" i="21"/>
  <c r="AL89" i="21"/>
  <c r="AH89" i="21"/>
  <c r="AL88" i="21"/>
  <c r="AH88" i="21"/>
  <c r="AL87" i="21"/>
  <c r="AH87" i="21"/>
  <c r="AL86" i="21"/>
  <c r="AH86" i="21"/>
  <c r="AL85" i="21"/>
  <c r="AH85" i="21"/>
  <c r="AL84" i="21"/>
  <c r="AH84" i="21"/>
  <c r="AK83" i="21"/>
  <c r="AJ83" i="21"/>
  <c r="AI83" i="21"/>
  <c r="AL83" i="21" s="1"/>
  <c r="AG83" i="21"/>
  <c r="AH83" i="21" s="1"/>
  <c r="AF83" i="21"/>
  <c r="AE83" i="21"/>
  <c r="AL82" i="21"/>
  <c r="AH82" i="21"/>
  <c r="AL80" i="21"/>
  <c r="AH80" i="21"/>
  <c r="AL79" i="21"/>
  <c r="AH79" i="21"/>
  <c r="T77" i="21"/>
  <c r="T78" i="21" s="1" a="1"/>
  <c r="T78" i="21" s="1"/>
  <c r="T79" i="21" s="1" a="1"/>
  <c r="T79" i="21" s="1"/>
  <c r="T80" i="21" s="1" a="1"/>
  <c r="T80" i="21" s="1"/>
  <c r="T81" i="21" s="1" a="1"/>
  <c r="T81" i="21" s="1"/>
  <c r="T82" i="21" s="1" a="1"/>
  <c r="T82" i="21" s="1"/>
  <c r="T83" i="21" s="1" a="1"/>
  <c r="T83" i="21" s="1"/>
  <c r="T84" i="21" s="1" a="1"/>
  <c r="T84" i="21" s="1"/>
  <c r="T85" i="21" s="1" a="1"/>
  <c r="T85" i="21" s="1"/>
  <c r="T86" i="21" s="1" a="1"/>
  <c r="T86" i="21" s="1"/>
  <c r="T87" i="21" s="1" a="1"/>
  <c r="T87" i="21" s="1"/>
  <c r="T88" i="21" s="1" a="1"/>
  <c r="T88" i="21" s="1"/>
  <c r="T89" i="21" s="1" a="1"/>
  <c r="T89" i="21" s="1"/>
  <c r="T90" i="21" s="1" a="1"/>
  <c r="T90" i="21" s="1"/>
  <c r="T91" i="21" s="1" a="1"/>
  <c r="T91" i="21" s="1"/>
  <c r="T92" i="21" s="1" a="1"/>
  <c r="T92" i="21" s="1"/>
  <c r="T93" i="21" s="1" a="1"/>
  <c r="T93" i="21" s="1"/>
  <c r="T94" i="21" s="1" a="1"/>
  <c r="T94" i="21" s="1"/>
  <c r="F77" i="21" a="1"/>
  <c r="F77" i="21" s="1"/>
  <c r="AT75" i="21" a="1"/>
  <c r="AT75" i="21"/>
  <c r="AL75" i="21"/>
  <c r="AH75" i="21"/>
  <c r="AB75" i="21"/>
  <c r="AR74" i="21"/>
  <c r="AK73" i="21"/>
  <c r="AJ73" i="21"/>
  <c r="AI73" i="21"/>
  <c r="AL73" i="21" s="1"/>
  <c r="AG73" i="21"/>
  <c r="AH73" i="21" s="1"/>
  <c r="AF73" i="21"/>
  <c r="AE73" i="21"/>
  <c r="AR72" i="21"/>
  <c r="AT71" i="21" a="1"/>
  <c r="AT71" i="21" s="1"/>
  <c r="AL71" i="21"/>
  <c r="AH71" i="21"/>
  <c r="AB71" i="21"/>
  <c r="AT70" i="21" a="1"/>
  <c r="AT70" i="21" s="1"/>
  <c r="AK70" i="21"/>
  <c r="AI70" i="21"/>
  <c r="AL70" i="21" s="1"/>
  <c r="AH70" i="21"/>
  <c r="AB70" i="21"/>
  <c r="AT69" i="21" a="1"/>
  <c r="AT69" i="21" s="1"/>
  <c r="AL69" i="21"/>
  <c r="AH69" i="21"/>
  <c r="AB69" i="21"/>
  <c r="AR68" i="21"/>
  <c r="AK67" i="21"/>
  <c r="AJ67" i="21"/>
  <c r="AI67" i="21"/>
  <c r="AL67" i="21" s="1"/>
  <c r="AG67" i="21"/>
  <c r="AH67" i="21" s="1"/>
  <c r="AF67" i="21"/>
  <c r="AE67" i="21"/>
  <c r="AL64" i="21"/>
  <c r="AH64" i="21"/>
  <c r="AL63" i="21"/>
  <c r="AH63" i="21"/>
  <c r="AL62" i="21"/>
  <c r="AH62" i="21"/>
  <c r="AL61" i="21"/>
  <c r="AH61" i="21"/>
  <c r="AL60" i="21"/>
  <c r="AH60" i="21"/>
  <c r="AL59" i="21"/>
  <c r="AH59" i="21"/>
  <c r="AL58" i="21"/>
  <c r="AH58" i="21"/>
  <c r="AL57" i="21"/>
  <c r="AK57" i="21"/>
  <c r="AJ57" i="21"/>
  <c r="AI57" i="21"/>
  <c r="AG57" i="21"/>
  <c r="AF57" i="21"/>
  <c r="AH57" i="21" s="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I51" i="21" s="1" a="1"/>
  <c r="I51" i="21" s="1"/>
  <c r="AT49" i="21" a="1"/>
  <c r="AT49" i="21" s="1"/>
  <c r="AL49" i="21"/>
  <c r="AH49" i="21"/>
  <c r="AB49" i="21"/>
  <c r="AR48" i="21"/>
  <c r="AL47" i="21"/>
  <c r="AK47" i="21"/>
  <c r="AJ47" i="21"/>
  <c r="AI47" i="21"/>
  <c r="AG47" i="21"/>
  <c r="AF47" i="21"/>
  <c r="AH47" i="21" s="1"/>
  <c r="AE47" i="21"/>
  <c r="AR46" i="21"/>
  <c r="AT45" i="21" a="1"/>
  <c r="AT45" i="21"/>
  <c r="AL45" i="21"/>
  <c r="AH45" i="21"/>
  <c r="AB45" i="21"/>
  <c r="AR44" i="21"/>
  <c r="AL43" i="21"/>
  <c r="AK43" i="21"/>
  <c r="AJ43" i="21"/>
  <c r="AI43" i="21"/>
  <c r="AG43" i="21"/>
  <c r="AF43" i="21"/>
  <c r="AH43" i="21" s="1"/>
  <c r="AE43" i="21"/>
  <c r="AL40" i="21"/>
  <c r="AH40" i="21"/>
  <c r="AL39" i="21"/>
  <c r="AH39" i="21"/>
  <c r="AL38" i="21"/>
  <c r="AH38" i="21"/>
  <c r="AL37" i="21"/>
  <c r="AH37" i="21"/>
  <c r="AH43" i="22" s="1" a="1"/>
  <c r="AH43" i="22" s="1"/>
  <c r="AL36" i="21"/>
  <c r="AH36" i="21"/>
  <c r="AL35" i="21"/>
  <c r="AH35" i="21"/>
  <c r="AL34" i="21"/>
  <c r="AH34" i="21"/>
  <c r="AL33" i="21"/>
  <c r="AK33" i="21"/>
  <c r="AJ33" i="21"/>
  <c r="AI33" i="21"/>
  <c r="AG33" i="21"/>
  <c r="AF33" i="21"/>
  <c r="AH33" i="21" s="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I27" i="21" s="1" a="1"/>
  <c r="I27" i="21" s="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c r="AL9" i="21" a="1"/>
  <c r="AL9" i="21"/>
  <c r="AK9" i="21" a="1"/>
  <c r="AK9" i="21"/>
  <c r="AJ9" i="21" a="1"/>
  <c r="AJ9" i="21"/>
  <c r="AI9" i="21"/>
  <c r="AH9" i="21"/>
  <c r="AG9" i="21"/>
  <c r="AF9" i="21"/>
  <c r="AE9" i="21"/>
  <c r="AK7" i="21" a="1"/>
  <c r="AK7" i="21"/>
  <c r="AJ7" i="21" a="1"/>
  <c r="AJ7" i="21"/>
  <c r="AI7" i="21" a="1"/>
  <c r="AI7" i="21"/>
  <c r="AI8" i="21" s="1"/>
  <c r="AH7" i="21" a="1"/>
  <c r="AH7" i="21"/>
  <c r="AG7" i="21" a="1"/>
  <c r="AG7" i="21"/>
  <c r="AG8" i="21" s="1"/>
  <c r="AF7" i="21" a="1"/>
  <c r="AF7" i="21"/>
  <c r="AE7" i="21" a="1"/>
  <c r="AE7" i="21"/>
  <c r="AE8" i="21" s="1"/>
  <c r="AL6" i="21" a="1"/>
  <c r="AL6" i="21"/>
  <c r="AK6" i="21" a="1"/>
  <c r="AK6" i="21"/>
  <c r="AK8" i="21" s="1"/>
  <c r="AJ6" i="21" a="1"/>
  <c r="AJ6" i="21"/>
  <c r="AJ8" i="21" s="1"/>
  <c r="AI6" i="21"/>
  <c r="AH6" i="21"/>
  <c r="AH8" i="21" s="1"/>
  <c r="AG6" i="21"/>
  <c r="AF6" i="21"/>
  <c r="AF8" i="21" s="1"/>
  <c r="AE6" i="21"/>
  <c r="T55" i="20"/>
  <c r="AX44" i="20"/>
  <c r="AW44" i="20"/>
  <c r="AV44" i="20"/>
  <c r="AU44" i="20"/>
  <c r="AT44" i="20"/>
  <c r="AS44" i="20"/>
  <c r="AR44" i="20"/>
  <c r="AQ44" i="20"/>
  <c r="AP44" i="20"/>
  <c r="AO44" i="20"/>
  <c r="AN44" i="20"/>
  <c r="AM44" i="20"/>
  <c r="AL44" i="20"/>
  <c r="AK44" i="20"/>
  <c r="AJ44" i="20"/>
  <c r="AI44" i="20"/>
  <c r="AH44" i="20"/>
  <c r="AG44" i="20"/>
  <c r="AF44" i="20"/>
  <c r="AE44" i="20"/>
  <c r="T43" i="20"/>
  <c r="T44" i="20" s="1" a="1"/>
  <c r="T44" i="20" s="1"/>
  <c r="T45" i="20" s="1" a="1"/>
  <c r="T45" i="20" s="1"/>
  <c r="T46" i="20" s="1" a="1"/>
  <c r="T46" i="20" s="1"/>
  <c r="T47" i="20" s="1" a="1"/>
  <c r="T47" i="20" s="1"/>
  <c r="T48" i="20" s="1" a="1"/>
  <c r="T48" i="20" s="1"/>
  <c r="T49" i="20" s="1" a="1"/>
  <c r="T49" i="20" s="1"/>
  <c r="T50" i="20" s="1" a="1"/>
  <c r="T50" i="20" s="1"/>
  <c r="F43" i="20" a="1"/>
  <c r="F43" i="20" s="1"/>
  <c r="F44" i="20" s="1" a="1"/>
  <c r="F44" i="20" s="1"/>
  <c r="F45" i="20" s="1" a="1"/>
  <c r="F45" i="20" s="1"/>
  <c r="F46" i="20" s="1" a="1"/>
  <c r="F46" i="20" s="1"/>
  <c r="F47" i="20" s="1" a="1"/>
  <c r="F47" i="20" s="1"/>
  <c r="F48" i="20" s="1" a="1"/>
  <c r="F48" i="20" s="1"/>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73" i="19"/>
  <c r="BH67" i="19" a="1"/>
  <c r="BH67" i="19"/>
  <c r="AB67" i="19"/>
  <c r="H67" i="19" a="1"/>
  <c r="H67" i="19"/>
  <c r="BF66" i="19"/>
  <c r="BB65" i="19"/>
  <c r="BA65" i="19"/>
  <c r="AZ65" i="19"/>
  <c r="AY65" i="19"/>
  <c r="AX65" i="19"/>
  <c r="AW65" i="19"/>
  <c r="AV65" i="19"/>
  <c r="AU65" i="19"/>
  <c r="AT65" i="19"/>
  <c r="AS65" i="19"/>
  <c r="AR65" i="19"/>
  <c r="AQ65" i="19"/>
  <c r="AP65" i="19"/>
  <c r="AO65" i="19"/>
  <c r="AN65" i="19"/>
  <c r="AM65" i="19"/>
  <c r="AL65" i="19"/>
  <c r="AK65" i="19"/>
  <c r="AJ65" i="19"/>
  <c r="AI65" i="19"/>
  <c r="AH65" i="19"/>
  <c r="AG65" i="19"/>
  <c r="AF65" i="19"/>
  <c r="AE65" i="19"/>
  <c r="BB56" i="19"/>
  <c r="BA56" i="19"/>
  <c r="AZ56" i="19"/>
  <c r="AY56" i="19"/>
  <c r="AX56" i="19"/>
  <c r="AW56" i="19"/>
  <c r="AV56" i="19"/>
  <c r="AU56" i="19"/>
  <c r="AT56" i="19"/>
  <c r="AS56" i="19"/>
  <c r="AR56" i="19"/>
  <c r="AQ56" i="19"/>
  <c r="AP56" i="19"/>
  <c r="AO56" i="19"/>
  <c r="AN56" i="19"/>
  <c r="AM56" i="19"/>
  <c r="AL56" i="19"/>
  <c r="AK56" i="19"/>
  <c r="AJ56" i="19"/>
  <c r="AI56" i="19"/>
  <c r="AH56" i="19"/>
  <c r="AG56" i="19"/>
  <c r="AF56" i="19"/>
  <c r="AE56" i="19"/>
  <c r="T55" i="19"/>
  <c r="T56" i="19" s="1" a="1"/>
  <c r="T56" i="19" s="1"/>
  <c r="T57" i="19" s="1" a="1"/>
  <c r="T57" i="19" s="1"/>
  <c r="T58" i="19" s="1" a="1"/>
  <c r="T58" i="19" s="1"/>
  <c r="T59" i="19" s="1" a="1"/>
  <c r="T59" i="19" s="1"/>
  <c r="T60" i="19" s="1" a="1"/>
  <c r="T60" i="19" s="1"/>
  <c r="T61" i="19" s="1" a="1"/>
  <c r="T61" i="19" s="1"/>
  <c r="T62" i="19" s="1" a="1"/>
  <c r="T62" i="19" s="1"/>
  <c r="T63" i="19" s="1" a="1"/>
  <c r="T63" i="19" s="1"/>
  <c r="T64" i="19" s="1" a="1"/>
  <c r="T64" i="19" s="1"/>
  <c r="T65" i="19" s="1" a="1"/>
  <c r="T65" i="19" s="1"/>
  <c r="F55" i="19" a="1"/>
  <c r="F55" i="19"/>
  <c r="F56" i="19" s="1" a="1"/>
  <c r="F56" i="19" s="1"/>
  <c r="F57" i="19" s="1" a="1"/>
  <c r="F57" i="19" s="1"/>
  <c r="F58" i="19" s="1" a="1"/>
  <c r="F58" i="19" s="1"/>
  <c r="F59" i="19" s="1" a="1"/>
  <c r="F59" i="19" s="1"/>
  <c r="F60" i="19" s="1" a="1"/>
  <c r="F60" i="19" s="1"/>
  <c r="F61" i="19" s="1" a="1"/>
  <c r="F61" i="19" s="1"/>
  <c r="F62" i="19" s="1" a="1"/>
  <c r="F62" i="19" s="1"/>
  <c r="F63" i="19" s="1" a="1"/>
  <c r="F63" i="19" s="1"/>
  <c r="F64" i="19" s="1" a="1"/>
  <c r="F64" i="19" s="1"/>
  <c r="F65" i="19" s="1" a="1"/>
  <c r="F65" i="19" s="1"/>
  <c r="F66" i="19" s="1" a="1"/>
  <c r="F66" i="19" s="1"/>
  <c r="F67" i="19" s="1" a="1"/>
  <c r="F67" i="19" s="1"/>
  <c r="F68" i="19" s="1" a="1"/>
  <c r="F68" i="19" s="1"/>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c r="F28" i="19" s="1"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c r="AF10" i="19" a="1"/>
  <c r="AF10" i="19"/>
  <c r="AE10" i="19" a="1"/>
  <c r="AE10" i="19"/>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c r="BA7" i="19" a="1"/>
  <c r="BA7" i="19"/>
  <c r="AZ7" i="19" a="1"/>
  <c r="AZ7" i="19"/>
  <c r="AY7" i="19" a="1"/>
  <c r="AY7" i="19"/>
  <c r="AX7" i="19" a="1"/>
  <c r="AX7" i="19"/>
  <c r="AW7" i="19" a="1"/>
  <c r="AW7" i="19"/>
  <c r="AV7" i="19" a="1"/>
  <c r="AV7" i="19"/>
  <c r="AU7" i="19" a="1"/>
  <c r="AU7" i="19"/>
  <c r="AT7" i="19" a="1"/>
  <c r="AT7" i="19"/>
  <c r="AS7" i="19" a="1"/>
  <c r="AS7" i="19"/>
  <c r="AR7" i="19" a="1"/>
  <c r="AR7" i="19"/>
  <c r="AQ7" i="19" a="1"/>
  <c r="AQ7" i="19"/>
  <c r="AP7" i="19" a="1"/>
  <c r="AP7" i="19"/>
  <c r="AO7" i="19" a="1"/>
  <c r="AO7" i="19"/>
  <c r="AN7" i="19" a="1"/>
  <c r="AN7" i="19"/>
  <c r="AM7" i="19" a="1"/>
  <c r="AM7" i="19"/>
  <c r="AL7" i="19" a="1"/>
  <c r="AL7" i="19"/>
  <c r="AK7" i="19" a="1"/>
  <c r="AK7" i="19"/>
  <c r="AJ7" i="19" a="1"/>
  <c r="AJ7" i="19"/>
  <c r="AI7" i="19" a="1"/>
  <c r="AI7" i="19"/>
  <c r="AH7" i="19" a="1"/>
  <c r="AH7" i="19"/>
  <c r="AG7" i="19" a="1"/>
  <c r="AG7" i="19"/>
  <c r="AF7" i="19" a="1"/>
  <c r="AF7" i="19"/>
  <c r="AE7" i="19" a="1"/>
  <c r="AE7" i="19"/>
  <c r="BB6" i="19"/>
  <c r="BA6" i="19"/>
  <c r="AZ6" i="19"/>
  <c r="AY6" i="19"/>
  <c r="AX6" i="19"/>
  <c r="AW6" i="19"/>
  <c r="AV6" i="19"/>
  <c r="AU6" i="19"/>
  <c r="AT6" i="19"/>
  <c r="AS6" i="19" a="1"/>
  <c r="AS6" i="19" s="1"/>
  <c r="AR6" i="19"/>
  <c r="AQ6" i="19"/>
  <c r="AP6" i="19"/>
  <c r="AO6" i="19"/>
  <c r="AN6" i="19"/>
  <c r="AM6" i="19"/>
  <c r="AL6" i="19"/>
  <c r="AK6" i="19"/>
  <c r="AJ6" i="19"/>
  <c r="AI6" i="19" a="1"/>
  <c r="AI6" i="19"/>
  <c r="AH6" i="19"/>
  <c r="AG6" i="19"/>
  <c r="AF6" i="19"/>
  <c r="AE6" i="19"/>
  <c r="T118" i="18"/>
  <c r="H112" i="18"/>
  <c r="H111" i="18"/>
  <c r="AP110" i="18" a="1"/>
  <c r="AP110" i="18" s="1"/>
  <c r="AP111" i="18" s="1" a="1"/>
  <c r="AP111" i="18" s="1"/>
  <c r="AP112" i="18" s="1" a="1"/>
  <c r="AP112" i="18" s="1"/>
  <c r="AJ110" i="18"/>
  <c r="AJ108" i="18" s="1"/>
  <c r="AI110" i="18"/>
  <c r="AB110" i="18"/>
  <c r="AB112" i="18" s="1"/>
  <c r="I110" i="18" a="1"/>
  <c r="I110" i="18" s="1"/>
  <c r="I111" i="18" s="1" a="1"/>
  <c r="I111" i="18" s="1"/>
  <c r="I112" i="18" s="1" a="1"/>
  <c r="I112" i="18" s="1"/>
  <c r="AI108" i="18"/>
  <c r="H106" i="18"/>
  <c r="H105" i="18"/>
  <c r="AP104" i="18" a="1"/>
  <c r="AP104" i="18" s="1"/>
  <c r="AP105" i="18" s="1" a="1"/>
  <c r="AP105" i="18" s="1"/>
  <c r="AP106" i="18" s="1" a="1"/>
  <c r="AP106" i="18" s="1"/>
  <c r="AJ104" i="18"/>
  <c r="AI104" i="18"/>
  <c r="AB104" i="18"/>
  <c r="AB106" i="18" s="1"/>
  <c r="I104" i="18" a="1"/>
  <c r="I104" i="18" s="1"/>
  <c r="I105" i="18" s="1" a="1"/>
  <c r="I105" i="18" s="1"/>
  <c r="I106" i="18" s="1" a="1"/>
  <c r="I106" i="18" s="1"/>
  <c r="H103" i="18"/>
  <c r="H102" i="18"/>
  <c r="AP101" i="18" a="1"/>
  <c r="AP101" i="18" s="1"/>
  <c r="AP102" i="18" s="1" a="1"/>
  <c r="AP102" i="18" s="1"/>
  <c r="AP103" i="18" s="1" a="1"/>
  <c r="AP103" i="18" s="1"/>
  <c r="AJ101" i="18"/>
  <c r="AJ99" i="18" s="1"/>
  <c r="AI101" i="18"/>
  <c r="AB101" i="18"/>
  <c r="AB103" i="18" s="1"/>
  <c r="I101" i="18" a="1"/>
  <c r="I101" i="18" s="1"/>
  <c r="I102" i="18" s="1" a="1"/>
  <c r="I102" i="18" s="1"/>
  <c r="I103" i="18" s="1" a="1"/>
  <c r="I103" i="18" s="1"/>
  <c r="AI99" i="18"/>
  <c r="H97" i="18"/>
  <c r="H96" i="18"/>
  <c r="AP95" i="18" a="1"/>
  <c r="AP95" i="18" s="1"/>
  <c r="AP96" i="18" s="1" a="1"/>
  <c r="AP96" i="18" s="1"/>
  <c r="AP97" i="18" s="1" a="1"/>
  <c r="AP97" i="18" s="1"/>
  <c r="AJ95" i="18"/>
  <c r="AJ93" i="18" s="1"/>
  <c r="AI95" i="18"/>
  <c r="AB95" i="18"/>
  <c r="AB97" i="18" s="1"/>
  <c r="I95" i="18" a="1"/>
  <c r="I95" i="18" s="1"/>
  <c r="I96" i="18" s="1" a="1"/>
  <c r="I96" i="18" s="1"/>
  <c r="I97" i="18" s="1" a="1"/>
  <c r="I97" i="18" s="1"/>
  <c r="AI93" i="18"/>
  <c r="H91" i="18"/>
  <c r="H90" i="18"/>
  <c r="AP89" i="18" a="1"/>
  <c r="AP89" i="18" s="1"/>
  <c r="AP90" i="18" s="1" a="1"/>
  <c r="AP90" i="18" s="1"/>
  <c r="AP91" i="18" s="1" a="1"/>
  <c r="AP91" i="18" s="1"/>
  <c r="AJ89" i="18"/>
  <c r="AI89" i="18"/>
  <c r="AB89" i="18"/>
  <c r="AB91" i="18" s="1"/>
  <c r="I89" i="18" a="1"/>
  <c r="I89" i="18" s="1"/>
  <c r="I90" i="18" s="1" a="1"/>
  <c r="I90" i="18" s="1"/>
  <c r="I91" i="18" s="1" a="1"/>
  <c r="I91" i="18" s="1"/>
  <c r="H88" i="18"/>
  <c r="H87" i="18"/>
  <c r="AP86" i="18" a="1"/>
  <c r="AP86" i="18" s="1"/>
  <c r="AP87" i="18" s="1" a="1"/>
  <c r="AP87" i="18" s="1"/>
  <c r="AP88" i="18" s="1" a="1"/>
  <c r="AP88" i="18" s="1"/>
  <c r="AJ86" i="18"/>
  <c r="AJ84" i="18" s="1"/>
  <c r="AI86" i="18"/>
  <c r="AB86" i="18"/>
  <c r="AB88" i="18" s="1"/>
  <c r="I86" i="18" a="1"/>
  <c r="I86" i="18" s="1"/>
  <c r="I87" i="18" s="1" a="1"/>
  <c r="I87" i="18" s="1"/>
  <c r="I88" i="18" s="1" a="1"/>
  <c r="I88" i="18" s="1"/>
  <c r="AI84" i="18"/>
  <c r="AI83" i="18" s="1"/>
  <c r="AH83" i="18"/>
  <c r="AG83" i="18"/>
  <c r="AF83" i="18"/>
  <c r="AE83" i="18"/>
  <c r="F83" i="18" a="1"/>
  <c r="F83" i="18"/>
  <c r="F84" i="18" s="1" a="1"/>
  <c r="F84" i="18" s="1"/>
  <c r="H81" i="18"/>
  <c r="H80" i="18"/>
  <c r="AP79" i="18" a="1"/>
  <c r="AP79" i="18"/>
  <c r="AP80" i="18" s="1" a="1"/>
  <c r="AP80" i="18" s="1"/>
  <c r="AP81" i="18" s="1" a="1"/>
  <c r="AP81" i="18" s="1"/>
  <c r="AJ79" i="18"/>
  <c r="AI79" i="18"/>
  <c r="AI77" i="18" s="1"/>
  <c r="AB79" i="18"/>
  <c r="AB81" i="18" s="1"/>
  <c r="I79" i="18" a="1"/>
  <c r="I79" i="18"/>
  <c r="I80" i="18" s="1" a="1"/>
  <c r="I80" i="18" s="1"/>
  <c r="I81" i="18" s="1" a="1"/>
  <c r="I81" i="18" s="1"/>
  <c r="AJ77" i="18"/>
  <c r="H75" i="18"/>
  <c r="H74" i="18"/>
  <c r="AP73" i="18" a="1"/>
  <c r="AP73" i="18"/>
  <c r="AP74" i="18" s="1" a="1"/>
  <c r="AP74" i="18" s="1"/>
  <c r="AP75" i="18" s="1" a="1"/>
  <c r="AP75" i="18" s="1"/>
  <c r="AJ73" i="18"/>
  <c r="AI73" i="18"/>
  <c r="AB73" i="18"/>
  <c r="AB75" i="18" s="1"/>
  <c r="I73" i="18" a="1"/>
  <c r="I73" i="18"/>
  <c r="I74" i="18" s="1" a="1"/>
  <c r="I74" i="18" s="1"/>
  <c r="I75" i="18" s="1" a="1"/>
  <c r="I75" i="18" s="1"/>
  <c r="H72" i="18"/>
  <c r="H71" i="18"/>
  <c r="AP70" i="18" a="1"/>
  <c r="AP70" i="18"/>
  <c r="AP71" i="18" s="1" a="1"/>
  <c r="AP71" i="18" s="1"/>
  <c r="AP72" i="18" s="1" a="1"/>
  <c r="AP72" i="18" s="1"/>
  <c r="AJ70" i="18"/>
  <c r="AI70" i="18"/>
  <c r="AI68" i="18" s="1"/>
  <c r="AB70" i="18"/>
  <c r="AB72" i="18" s="1"/>
  <c r="I70" i="18" a="1"/>
  <c r="I70" i="18"/>
  <c r="I71" i="18" s="1" a="1"/>
  <c r="I71" i="18" s="1"/>
  <c r="I72" i="18" s="1" a="1"/>
  <c r="I72" i="18" s="1"/>
  <c r="AJ68" i="18"/>
  <c r="H66" i="18"/>
  <c r="H65" i="18"/>
  <c r="AP64" i="18" a="1"/>
  <c r="AP64" i="18"/>
  <c r="AP65" i="18" s="1" a="1"/>
  <c r="AP65" i="18" s="1"/>
  <c r="AP66" i="18" s="1" a="1"/>
  <c r="AP66" i="18" s="1"/>
  <c r="AJ64" i="18"/>
  <c r="AI64" i="18"/>
  <c r="AI62" i="18" s="1"/>
  <c r="AB64" i="18"/>
  <c r="AB66" i="18" s="1"/>
  <c r="I64" i="18" a="1"/>
  <c r="I64" i="18"/>
  <c r="I65" i="18" s="1" a="1"/>
  <c r="I65" i="18" s="1"/>
  <c r="I66" i="18" s="1" a="1"/>
  <c r="I66" i="18" s="1"/>
  <c r="AJ62" i="18"/>
  <c r="H60" i="18"/>
  <c r="H59" i="18"/>
  <c r="AP58" i="18" a="1"/>
  <c r="AP58" i="18"/>
  <c r="AP59" i="18" s="1" a="1"/>
  <c r="AP59" i="18" s="1"/>
  <c r="AP60" i="18" s="1" a="1"/>
  <c r="AP60" i="18" s="1"/>
  <c r="AJ58" i="18"/>
  <c r="AI58" i="18"/>
  <c r="AB58" i="18"/>
  <c r="AB60" i="18" s="1"/>
  <c r="I58" i="18" a="1"/>
  <c r="I58" i="18"/>
  <c r="I59" i="18" s="1" a="1"/>
  <c r="I59" i="18" s="1"/>
  <c r="I60" i="18" s="1" a="1"/>
  <c r="I60" i="18" s="1"/>
  <c r="H57" i="18"/>
  <c r="H56" i="18"/>
  <c r="AP55" i="18" a="1"/>
  <c r="AP55" i="18"/>
  <c r="AP56" i="18" s="1" a="1"/>
  <c r="AP56" i="18" s="1"/>
  <c r="AP57" i="18" s="1" a="1"/>
  <c r="AP57" i="18" s="1"/>
  <c r="AJ55" i="18"/>
  <c r="AI55" i="18"/>
  <c r="AI53" i="18" s="1"/>
  <c r="AB55" i="18"/>
  <c r="AB57" i="18" s="1"/>
  <c r="I55" i="18" a="1"/>
  <c r="I55" i="18"/>
  <c r="I56" i="18" s="1" a="1"/>
  <c r="I56" i="18" s="1"/>
  <c r="I57" i="18" s="1" a="1"/>
  <c r="I57" i="18" s="1"/>
  <c r="AJ53" i="18"/>
  <c r="AJ52" i="18" s="1"/>
  <c r="AH52" i="18"/>
  <c r="AG52" i="18"/>
  <c r="AF52" i="18"/>
  <c r="AE52" i="18"/>
  <c r="F52" i="18" a="1"/>
  <c r="F52" i="18" s="1"/>
  <c r="H50" i="18"/>
  <c r="H49" i="18"/>
  <c r="AP48" i="18" a="1"/>
  <c r="AP48" i="18" s="1"/>
  <c r="AP49" i="18" s="1" a="1"/>
  <c r="AP49" i="18" s="1"/>
  <c r="AP50" i="18" s="1" a="1"/>
  <c r="AP50" i="18" s="1"/>
  <c r="AJ48" i="18"/>
  <c r="AJ46" i="18" s="1"/>
  <c r="AI48" i="18"/>
  <c r="AB48" i="18"/>
  <c r="AB50" i="18" s="1"/>
  <c r="I48" i="18" a="1"/>
  <c r="I48" i="18" s="1"/>
  <c r="I49" i="18" s="1" a="1"/>
  <c r="I49" i="18" s="1"/>
  <c r="I50" i="18" s="1" a="1"/>
  <c r="I50" i="18" s="1"/>
  <c r="AI46" i="18"/>
  <c r="H44" i="18"/>
  <c r="H43" i="18"/>
  <c r="AP42" i="18" a="1"/>
  <c r="AP42" i="18" s="1"/>
  <c r="AP43" i="18" s="1" a="1"/>
  <c r="AP43" i="18" s="1"/>
  <c r="AP44" i="18" s="1" a="1"/>
  <c r="AP44" i="18" s="1"/>
  <c r="AJ42" i="18"/>
  <c r="AJ40" i="18" s="1"/>
  <c r="AI42" i="18"/>
  <c r="AB42" i="18"/>
  <c r="AB44" i="18" s="1"/>
  <c r="I42" i="18" a="1"/>
  <c r="I42" i="18" s="1"/>
  <c r="I43" i="18" s="1" a="1"/>
  <c r="I43" i="18" s="1"/>
  <c r="I44" i="18" s="1" a="1"/>
  <c r="I44" i="18" s="1"/>
  <c r="AI40" i="18"/>
  <c r="H38" i="18"/>
  <c r="H37" i="18"/>
  <c r="AP36" i="18" a="1"/>
  <c r="AP36" i="18" s="1"/>
  <c r="AP37" i="18" s="1" a="1"/>
  <c r="AP37" i="18" s="1"/>
  <c r="AP38" i="18" s="1" a="1"/>
  <c r="AP38" i="18" s="1"/>
  <c r="AJ36" i="18"/>
  <c r="AJ34" i="18" s="1"/>
  <c r="AI36" i="18"/>
  <c r="AB36" i="18"/>
  <c r="AB38" i="18" s="1"/>
  <c r="I36" i="18" a="1"/>
  <c r="I36" i="18" s="1"/>
  <c r="I37" i="18" s="1" a="1"/>
  <c r="I37" i="18" s="1"/>
  <c r="I38" i="18" s="1" a="1"/>
  <c r="I38" i="18" s="1"/>
  <c r="AI34" i="18"/>
  <c r="H32" i="18"/>
  <c r="H31" i="18"/>
  <c r="AP30" i="18" a="1"/>
  <c r="AP30" i="18" s="1"/>
  <c r="AP31" i="18" s="1" a="1"/>
  <c r="AP31" i="18" s="1"/>
  <c r="AP32" i="18" s="1" a="1"/>
  <c r="AP32" i="18" s="1"/>
  <c r="AJ30" i="18"/>
  <c r="AJ28" i="18" s="1"/>
  <c r="AJ27" i="18" s="1"/>
  <c r="AI30" i="18"/>
  <c r="AB30" i="18"/>
  <c r="AB32" i="18" s="1"/>
  <c r="I30" i="18" a="1"/>
  <c r="I30" i="18" s="1"/>
  <c r="I31" i="18" s="1" a="1"/>
  <c r="I31" i="18" s="1"/>
  <c r="I32" i="18" s="1" a="1"/>
  <c r="I32" i="18" s="1"/>
  <c r="AI28" i="18"/>
  <c r="AI27" i="18" s="1"/>
  <c r="AH27" i="18"/>
  <c r="AG27" i="18"/>
  <c r="AF27" i="18"/>
  <c r="AE27" i="18"/>
  <c r="F27" i="18" a="1"/>
  <c r="F27" i="18"/>
  <c r="F28" i="18" s="1" a="1"/>
  <c r="F28" i="18" s="1"/>
  <c r="AJ24" i="18"/>
  <c r="AI24" i="18"/>
  <c r="AH24" i="18"/>
  <c r="AG24" i="18"/>
  <c r="AF24" i="18"/>
  <c r="AE24" i="18"/>
  <c r="AK11" i="18" a="1"/>
  <c r="AK11" i="18"/>
  <c r="AJ10" i="18" a="1"/>
  <c r="AJ10" i="18"/>
  <c r="AI10" i="18" a="1"/>
  <c r="AI10" i="18"/>
  <c r="AH10" i="18" a="1"/>
  <c r="AH10" i="18"/>
  <c r="AG10" i="18" a="1"/>
  <c r="AG10" i="18"/>
  <c r="AF10" i="18" a="1"/>
  <c r="AF10" i="18"/>
  <c r="AE10" i="18" a="1"/>
  <c r="AE10" i="18"/>
  <c r="AJ9" i="18" a="1"/>
  <c r="AJ9" i="18"/>
  <c r="AI9" i="18" a="1"/>
  <c r="AI9" i="18"/>
  <c r="AH9" i="18"/>
  <c r="AG9" i="18"/>
  <c r="AF9" i="18"/>
  <c r="AE9" i="18"/>
  <c r="AJ7" i="18" a="1"/>
  <c r="AJ7" i="18"/>
  <c r="AI7" i="18" a="1"/>
  <c r="AI7" i="18"/>
  <c r="AH7" i="18" a="1"/>
  <c r="AH7" i="18"/>
  <c r="AG7" i="18" a="1"/>
  <c r="AG7" i="18"/>
  <c r="AF7" i="18" a="1"/>
  <c r="AF7" i="18"/>
  <c r="AE7" i="18" a="1"/>
  <c r="AE7" i="18"/>
  <c r="AJ6" i="18" a="1"/>
  <c r="AJ6" i="18"/>
  <c r="AJ8" i="18" s="1"/>
  <c r="AI6" i="18" a="1"/>
  <c r="AI6" i="18"/>
  <c r="AI8" i="18" s="1"/>
  <c r="AH6" i="18"/>
  <c r="AH8" i="18" s="1"/>
  <c r="AG6" i="18"/>
  <c r="AG8" i="18" s="1"/>
  <c r="AF6" i="18"/>
  <c r="AF8" i="18" s="1"/>
  <c r="AE6" i="18"/>
  <c r="AE8" i="18" s="1"/>
  <c r="T100" i="17"/>
  <c r="AB94" i="17"/>
  <c r="AR93" i="17"/>
  <c r="AQ93" i="17"/>
  <c r="AP93" i="17"/>
  <c r="AO93" i="17"/>
  <c r="AN93" i="17"/>
  <c r="AM93" i="17"/>
  <c r="AL93" i="17"/>
  <c r="AK93" i="17"/>
  <c r="AJ93" i="17"/>
  <c r="AI93" i="17"/>
  <c r="AG93" i="17"/>
  <c r="AF93" i="17"/>
  <c r="AB93" i="17"/>
  <c r="BI92" i="17" a="1"/>
  <c r="BI92" i="17"/>
  <c r="BI94" i="17" s="1" a="1"/>
  <c r="BI94" i="17" s="1"/>
  <c r="BH92" i="17" a="1"/>
  <c r="BH92" i="17"/>
  <c r="BH94" i="17" s="1" a="1"/>
  <c r="BH94" i="17" s="1"/>
  <c r="BB92" i="17"/>
  <c r="BA92" i="17"/>
  <c r="AZ92" i="17"/>
  <c r="AY92" i="17"/>
  <c r="AX92" i="17"/>
  <c r="AW92" i="17"/>
  <c r="AV92" i="17"/>
  <c r="AU92" i="17"/>
  <c r="AT92" i="17"/>
  <c r="AS92" i="17"/>
  <c r="AH92" i="17"/>
  <c r="AE92" i="17"/>
  <c r="AB92" i="17"/>
  <c r="H92" i="17" a="1"/>
  <c r="H92" i="17"/>
  <c r="H94" i="17" s="1" a="1"/>
  <c r="H94" i="17" s="1"/>
  <c r="BF91" i="17"/>
  <c r="BB90" i="17"/>
  <c r="BA90" i="17"/>
  <c r="AZ90" i="17"/>
  <c r="AY90" i="17"/>
  <c r="AX90" i="17"/>
  <c r="AW90" i="17"/>
  <c r="AV90" i="17"/>
  <c r="AU90" i="17"/>
  <c r="AT90" i="17"/>
  <c r="AS90" i="17"/>
  <c r="AR90" i="17"/>
  <c r="AQ90" i="17"/>
  <c r="AP90" i="17"/>
  <c r="AO90" i="17"/>
  <c r="AN90" i="17"/>
  <c r="AM90" i="17"/>
  <c r="AL90" i="17"/>
  <c r="AK90" i="17"/>
  <c r="AJ90" i="17"/>
  <c r="AI90" i="17"/>
  <c r="AH90" i="17"/>
  <c r="AG90" i="17"/>
  <c r="AF90" i="17"/>
  <c r="AE90" i="17"/>
  <c r="BF89" i="17"/>
  <c r="AR87" i="17"/>
  <c r="AQ87" i="17"/>
  <c r="AP87" i="17"/>
  <c r="AO87" i="17"/>
  <c r="AN87" i="17"/>
  <c r="AM87" i="17"/>
  <c r="AL87" i="17"/>
  <c r="AK87" i="17"/>
  <c r="AJ87" i="17"/>
  <c r="AI87" i="17"/>
  <c r="AG87" i="17"/>
  <c r="AF87" i="17"/>
  <c r="BI86" i="17" a="1"/>
  <c r="BI86" i="17" s="1"/>
  <c r="BH86" i="17" a="1"/>
  <c r="BH86" i="17" s="1"/>
  <c r="BB86" i="17"/>
  <c r="BA86" i="17"/>
  <c r="AZ86" i="17"/>
  <c r="AY86" i="17"/>
  <c r="AX86" i="17"/>
  <c r="AW86" i="17"/>
  <c r="AV86" i="17"/>
  <c r="AU86" i="17"/>
  <c r="AT86" i="17"/>
  <c r="AS86" i="17"/>
  <c r="AH86" i="17"/>
  <c r="AE86" i="17"/>
  <c r="AB86" i="17"/>
  <c r="AB88" i="17" s="1"/>
  <c r="H86" i="17" a="1"/>
  <c r="H86" i="17" s="1"/>
  <c r="AR84" i="17"/>
  <c r="AQ84" i="17"/>
  <c r="AP84" i="17"/>
  <c r="AO84" i="17"/>
  <c r="AN84" i="17"/>
  <c r="AM84" i="17"/>
  <c r="AL84" i="17"/>
  <c r="AK84" i="17"/>
  <c r="AJ84" i="17"/>
  <c r="AI84" i="17"/>
  <c r="AG84" i="17"/>
  <c r="AF84" i="17"/>
  <c r="BI83" i="17" a="1"/>
  <c r="BI83" i="17" s="1"/>
  <c r="BH83" i="17" a="1"/>
  <c r="BH83" i="17" s="1"/>
  <c r="BB83" i="17"/>
  <c r="BA83" i="17"/>
  <c r="AZ83" i="17"/>
  <c r="AY83" i="17"/>
  <c r="AX83" i="17"/>
  <c r="AW83" i="17"/>
  <c r="AV83" i="17"/>
  <c r="AU83" i="17"/>
  <c r="AT83" i="17"/>
  <c r="AS83" i="17"/>
  <c r="AH83" i="17"/>
  <c r="AE83" i="17"/>
  <c r="AB83" i="17"/>
  <c r="AB85" i="17" s="1"/>
  <c r="H83" i="17" a="1"/>
  <c r="H83" i="17" s="1"/>
  <c r="BF82" i="17"/>
  <c r="BB81" i="17"/>
  <c r="BA81" i="17"/>
  <c r="AZ81" i="17"/>
  <c r="AY81" i="17"/>
  <c r="AX81" i="17"/>
  <c r="AW81" i="17"/>
  <c r="AV81" i="17"/>
  <c r="AU81" i="17"/>
  <c r="AT81" i="17"/>
  <c r="AS81" i="17"/>
  <c r="AR81" i="17"/>
  <c r="AQ81" i="17"/>
  <c r="AP81" i="17"/>
  <c r="AO81" i="17"/>
  <c r="AN81" i="17"/>
  <c r="AM81" i="17"/>
  <c r="AL81" i="17"/>
  <c r="AK81" i="17"/>
  <c r="AK71" i="17" s="1"/>
  <c r="AJ81" i="17"/>
  <c r="AI81" i="17"/>
  <c r="AI71" i="17" s="1"/>
  <c r="AH81" i="17"/>
  <c r="AG81" i="17"/>
  <c r="AG71" i="17" s="1"/>
  <c r="AF81" i="17"/>
  <c r="AE81" i="17"/>
  <c r="AE71" i="17" s="1"/>
  <c r="BF80" i="17"/>
  <c r="AR78" i="17"/>
  <c r="AQ78" i="17"/>
  <c r="AP78" i="17"/>
  <c r="AO78" i="17"/>
  <c r="AN78" i="17"/>
  <c r="AM78" i="17"/>
  <c r="AL78" i="17"/>
  <c r="AK78" i="17"/>
  <c r="AJ78" i="17"/>
  <c r="AI78" i="17"/>
  <c r="AG78" i="17"/>
  <c r="AF78" i="17"/>
  <c r="BI77" i="17" a="1"/>
  <c r="BI77" i="17" s="1"/>
  <c r="BH77" i="17" a="1"/>
  <c r="BH77" i="17" s="1"/>
  <c r="BB77" i="17"/>
  <c r="BA77" i="17"/>
  <c r="AZ77" i="17"/>
  <c r="AY77" i="17"/>
  <c r="AX77" i="17"/>
  <c r="AW77" i="17"/>
  <c r="AV77" i="17"/>
  <c r="AU77" i="17"/>
  <c r="AT77" i="17"/>
  <c r="AS77" i="17"/>
  <c r="AH77" i="17"/>
  <c r="AE77" i="17"/>
  <c r="AB77" i="17"/>
  <c r="AB79" i="17" s="1"/>
  <c r="H77" i="17" a="1"/>
  <c r="H77" i="17" s="1"/>
  <c r="AR75" i="17"/>
  <c r="AQ75" i="17"/>
  <c r="AP75" i="17"/>
  <c r="AO75" i="17"/>
  <c r="AN75" i="17"/>
  <c r="AM75" i="17"/>
  <c r="AL75" i="17"/>
  <c r="AK75" i="17"/>
  <c r="AJ75" i="17"/>
  <c r="AI75" i="17"/>
  <c r="AG75" i="17"/>
  <c r="AF75" i="17"/>
  <c r="BI74" i="17" a="1"/>
  <c r="BI74" i="17" s="1"/>
  <c r="BH74" i="17" a="1"/>
  <c r="BH74" i="17" s="1"/>
  <c r="BB74" i="17"/>
  <c r="BA74" i="17"/>
  <c r="AZ74" i="17"/>
  <c r="AY74" i="17"/>
  <c r="AX74" i="17"/>
  <c r="AW74" i="17"/>
  <c r="AV74" i="17"/>
  <c r="AU74" i="17"/>
  <c r="AT74" i="17"/>
  <c r="AS74" i="17"/>
  <c r="AH74" i="17"/>
  <c r="AE74" i="17"/>
  <c r="AB74" i="17"/>
  <c r="AB76" i="17" s="1"/>
  <c r="H74" i="17" a="1"/>
  <c r="H74" i="17" s="1"/>
  <c r="BF73" i="17"/>
  <c r="BB72" i="17"/>
  <c r="BA72" i="17"/>
  <c r="AZ72" i="17"/>
  <c r="AY72" i="17"/>
  <c r="AX72" i="17"/>
  <c r="AW72" i="17"/>
  <c r="AV72" i="17"/>
  <c r="AU72" i="17"/>
  <c r="AT72" i="17"/>
  <c r="AS72" i="17"/>
  <c r="AR72" i="17"/>
  <c r="AQ72" i="17"/>
  <c r="AP72" i="17"/>
  <c r="AO72" i="17"/>
  <c r="AN72" i="17"/>
  <c r="AM72" i="17"/>
  <c r="AL72" i="17"/>
  <c r="AK72" i="17"/>
  <c r="AJ72" i="17"/>
  <c r="AI72" i="17"/>
  <c r="AH72" i="17"/>
  <c r="AG72" i="17"/>
  <c r="AF72" i="17"/>
  <c r="AE72" i="17"/>
  <c r="BB71" i="17"/>
  <c r="BA71" i="17"/>
  <c r="AZ71" i="17"/>
  <c r="AY71" i="17"/>
  <c r="AX71" i="17"/>
  <c r="AW71" i="17"/>
  <c r="AV71" i="17"/>
  <c r="AU71" i="17"/>
  <c r="AT71" i="17"/>
  <c r="AS71" i="17"/>
  <c r="AR71" i="17"/>
  <c r="AQ71" i="17"/>
  <c r="AP71" i="17"/>
  <c r="AO71" i="17"/>
  <c r="AN71" i="17"/>
  <c r="AM71" i="17"/>
  <c r="AL71" i="17"/>
  <c r="AJ71" i="17"/>
  <c r="AH71" i="17"/>
  <c r="AF71" i="17"/>
  <c r="T71" i="17"/>
  <c r="T72" i="17" s="1" a="1"/>
  <c r="T72" i="17" s="1"/>
  <c r="F71" i="17" a="1"/>
  <c r="F71" i="17"/>
  <c r="F72" i="17" s="1" a="1"/>
  <c r="F72" i="17" s="1"/>
  <c r="F73" i="17" s="1" a="1"/>
  <c r="F73" i="17" s="1"/>
  <c r="AR68" i="17"/>
  <c r="AQ68" i="17"/>
  <c r="AP68" i="17"/>
  <c r="AO68" i="17"/>
  <c r="AN68" i="17"/>
  <c r="AM68" i="17"/>
  <c r="AL68" i="17"/>
  <c r="AK68" i="17"/>
  <c r="AJ68" i="17"/>
  <c r="AI68" i="17"/>
  <c r="AG68" i="17"/>
  <c r="AF68" i="17"/>
  <c r="BI67" i="17" a="1"/>
  <c r="BI67" i="17" s="1"/>
  <c r="BH67" i="17" a="1"/>
  <c r="BH67" i="17" s="1"/>
  <c r="BB67" i="17"/>
  <c r="BA67" i="17"/>
  <c r="AZ67" i="17"/>
  <c r="AY67" i="17"/>
  <c r="AX67" i="17"/>
  <c r="AW67" i="17"/>
  <c r="AV67" i="17"/>
  <c r="AU67" i="17"/>
  <c r="AT67" i="17"/>
  <c r="AS67" i="17"/>
  <c r="AH67" i="17"/>
  <c r="AE67" i="17"/>
  <c r="AB67" i="17"/>
  <c r="AB69" i="17" s="1"/>
  <c r="H67" i="17" a="1"/>
  <c r="H67" i="17" s="1"/>
  <c r="BF66" i="17"/>
  <c r="BB65" i="17"/>
  <c r="BA65" i="17"/>
  <c r="AZ65" i="17"/>
  <c r="AY65" i="17"/>
  <c r="AX65" i="17"/>
  <c r="AW65" i="17"/>
  <c r="AV65" i="17"/>
  <c r="AU65" i="17"/>
  <c r="AT65" i="17"/>
  <c r="AS65" i="17"/>
  <c r="AR65" i="17"/>
  <c r="AQ65" i="17"/>
  <c r="AP65" i="17"/>
  <c r="AO65" i="17"/>
  <c r="AN65" i="17"/>
  <c r="AM65" i="17"/>
  <c r="AL65" i="17"/>
  <c r="AK65" i="17"/>
  <c r="AJ65" i="17"/>
  <c r="AI65" i="17"/>
  <c r="AH65" i="17"/>
  <c r="AG65" i="17"/>
  <c r="AF65" i="17"/>
  <c r="AE65" i="17"/>
  <c r="BF64" i="17"/>
  <c r="AB63" i="17"/>
  <c r="AR62" i="17"/>
  <c r="AQ62" i="17"/>
  <c r="AP62" i="17"/>
  <c r="AO62" i="17"/>
  <c r="AN62" i="17"/>
  <c r="AM62" i="17"/>
  <c r="AL62" i="17"/>
  <c r="AK62" i="17"/>
  <c r="AJ62" i="17"/>
  <c r="AI62" i="17"/>
  <c r="AG62" i="17"/>
  <c r="AF62" i="17"/>
  <c r="AB62" i="17"/>
  <c r="BI61" i="17" a="1"/>
  <c r="BI61" i="17"/>
  <c r="BI63" i="17" s="1" a="1"/>
  <c r="BI63" i="17" s="1"/>
  <c r="BH61" i="17" a="1"/>
  <c r="BH61" i="17"/>
  <c r="BH63" i="17" s="1" a="1"/>
  <c r="BH63" i="17" s="1"/>
  <c r="BB61" i="17"/>
  <c r="BA61" i="17"/>
  <c r="AZ61" i="17"/>
  <c r="AY61" i="17"/>
  <c r="AX61" i="17"/>
  <c r="AW61" i="17"/>
  <c r="AV61" i="17"/>
  <c r="AU61" i="17"/>
  <c r="AT61" i="17"/>
  <c r="AS61" i="17"/>
  <c r="AH61" i="17"/>
  <c r="AE61" i="17"/>
  <c r="AB61" i="17"/>
  <c r="H61" i="17" a="1"/>
  <c r="H61" i="17"/>
  <c r="H63" i="17" s="1" a="1"/>
  <c r="H63" i="17" s="1"/>
  <c r="AB60" i="17"/>
  <c r="AR59" i="17"/>
  <c r="AQ59" i="17"/>
  <c r="AP59" i="17"/>
  <c r="AO59" i="17"/>
  <c r="AN59" i="17"/>
  <c r="AM59" i="17"/>
  <c r="AL59" i="17"/>
  <c r="AK59" i="17"/>
  <c r="AJ59" i="17"/>
  <c r="AI59" i="17"/>
  <c r="AG59" i="17"/>
  <c r="AF59" i="17"/>
  <c r="AB59" i="17"/>
  <c r="BI58" i="17" a="1"/>
  <c r="BI58" i="17"/>
  <c r="BI60" i="17" s="1" a="1"/>
  <c r="BI60" i="17" s="1"/>
  <c r="BH58" i="17" a="1"/>
  <c r="BH58" i="17"/>
  <c r="BH60" i="17" s="1" a="1"/>
  <c r="BH60" i="17" s="1"/>
  <c r="BB58" i="17"/>
  <c r="BA58" i="17"/>
  <c r="AZ58" i="17"/>
  <c r="AY58" i="17"/>
  <c r="AX58" i="17"/>
  <c r="AW58" i="17"/>
  <c r="AV58" i="17"/>
  <c r="AU58" i="17"/>
  <c r="AT58" i="17"/>
  <c r="AS58" i="17"/>
  <c r="AH58" i="17"/>
  <c r="AE58" i="17"/>
  <c r="AB58" i="17"/>
  <c r="H58" i="17" a="1"/>
  <c r="H58" i="17"/>
  <c r="H60" i="17" s="1" a="1"/>
  <c r="H60" i="17" s="1"/>
  <c r="BF57" i="17"/>
  <c r="BB56" i="17"/>
  <c r="BA56" i="17"/>
  <c r="AZ56" i="17"/>
  <c r="AY56" i="17"/>
  <c r="AX56" i="17"/>
  <c r="AW56" i="17"/>
  <c r="AV56" i="17"/>
  <c r="AU56" i="17"/>
  <c r="AT56" i="17"/>
  <c r="AS56" i="17"/>
  <c r="AR56" i="17"/>
  <c r="AQ56" i="17"/>
  <c r="AP56" i="17"/>
  <c r="AO56" i="17"/>
  <c r="AN56" i="17"/>
  <c r="AM56" i="17"/>
  <c r="AL56" i="17"/>
  <c r="AK56" i="17"/>
  <c r="AJ56" i="17"/>
  <c r="AI56" i="17"/>
  <c r="AH56" i="17"/>
  <c r="AG56" i="17"/>
  <c r="AF56" i="17"/>
  <c r="AE56" i="17"/>
  <c r="BF55" i="17"/>
  <c r="AR53" i="17"/>
  <c r="AQ53" i="17"/>
  <c r="AP53" i="17"/>
  <c r="AO53" i="17"/>
  <c r="AN53" i="17"/>
  <c r="AM53" i="17"/>
  <c r="AL53" i="17"/>
  <c r="AK53" i="17"/>
  <c r="AJ53" i="17"/>
  <c r="AI53" i="17"/>
  <c r="AG53" i="17"/>
  <c r="AF53" i="17"/>
  <c r="BI52" i="17" a="1"/>
  <c r="BI52" i="17" s="1"/>
  <c r="BH52" i="17" a="1"/>
  <c r="BH52" i="17" s="1"/>
  <c r="BB52" i="17"/>
  <c r="BA52" i="17"/>
  <c r="AZ52" i="17"/>
  <c r="AY52" i="17"/>
  <c r="AX52" i="17"/>
  <c r="AW52" i="17"/>
  <c r="AV52" i="17"/>
  <c r="AU52" i="17"/>
  <c r="AT52" i="17"/>
  <c r="AS52" i="17"/>
  <c r="AH52" i="17"/>
  <c r="AE52" i="17"/>
  <c r="AB52" i="17"/>
  <c r="AB54" i="17" s="1"/>
  <c r="H52" i="17" a="1"/>
  <c r="H52" i="17" s="1"/>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AB51" i="17" s="1"/>
  <c r="H49" i="17" a="1"/>
  <c r="H49" i="17" s="1"/>
  <c r="BF48"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T46" i="17"/>
  <c r="T47" i="17" s="1" a="1"/>
  <c r="T47" i="17" s="1"/>
  <c r="F46" i="17" a="1"/>
  <c r="F46" i="17" s="1"/>
  <c r="F47" i="17" s="1" a="1"/>
  <c r="F47" i="17" s="1"/>
  <c r="F48" i="17" s="1" a="1"/>
  <c r="F48" i="17" s="1"/>
  <c r="AB44" i="17"/>
  <c r="AR43" i="17"/>
  <c r="AQ43" i="17"/>
  <c r="AP43" i="17"/>
  <c r="AO43" i="17"/>
  <c r="AN43" i="17"/>
  <c r="AM43" i="17"/>
  <c r="AL43" i="17"/>
  <c r="AK43" i="17"/>
  <c r="AJ43" i="17"/>
  <c r="AI43" i="17"/>
  <c r="AG43" i="17"/>
  <c r="AF43" i="17"/>
  <c r="AB43" i="17"/>
  <c r="BI42" i="17" a="1"/>
  <c r="BI42" i="17"/>
  <c r="BI44" i="17" s="1" a="1"/>
  <c r="BI44" i="17" s="1"/>
  <c r="BH42" i="17" a="1"/>
  <c r="BH42" i="17"/>
  <c r="BH44" i="17" s="1" a="1"/>
  <c r="BH44" i="17" s="1"/>
  <c r="BB42" i="17"/>
  <c r="BA42" i="17"/>
  <c r="AZ42" i="17"/>
  <c r="AY42" i="17"/>
  <c r="AX42" i="17"/>
  <c r="AW42" i="17"/>
  <c r="AV42" i="17"/>
  <c r="AU42" i="17"/>
  <c r="AT42" i="17"/>
  <c r="AS42" i="17"/>
  <c r="AH42" i="17"/>
  <c r="AE42" i="17"/>
  <c r="AB42" i="17"/>
  <c r="H42" i="17" a="1"/>
  <c r="H42" i="17"/>
  <c r="H44" i="17" s="1" a="1"/>
  <c r="H44"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R37" i="17"/>
  <c r="AQ37" i="17"/>
  <c r="AP37" i="17"/>
  <c r="AO37" i="17"/>
  <c r="AN37" i="17"/>
  <c r="AM37" i="17"/>
  <c r="AL37" i="17"/>
  <c r="AK37" i="17"/>
  <c r="AJ37" i="17"/>
  <c r="AI37" i="17"/>
  <c r="AG37" i="17"/>
  <c r="AF37" i="17"/>
  <c r="BI36" i="17" a="1"/>
  <c r="BI36" i="17" s="1"/>
  <c r="BH36" i="17" a="1"/>
  <c r="BH36" i="17" s="1"/>
  <c r="BB36" i="17"/>
  <c r="BA36" i="17"/>
  <c r="AZ36" i="17"/>
  <c r="AY36" i="17"/>
  <c r="AX36" i="17"/>
  <c r="AW36" i="17"/>
  <c r="AV36" i="17"/>
  <c r="AU36" i="17"/>
  <c r="AT36" i="17"/>
  <c r="AS36" i="17"/>
  <c r="AH36" i="17"/>
  <c r="AE36" i="17"/>
  <c r="AB36" i="17"/>
  <c r="AB38" i="17" s="1"/>
  <c r="H36" i="17" a="1"/>
  <c r="H36" i="17" s="1"/>
  <c r="BF35" i="17"/>
  <c r="BB34" i="17"/>
  <c r="BB27" i="17" s="1"/>
  <c r="BA34" i="17"/>
  <c r="AZ34" i="17"/>
  <c r="AZ27" i="17" s="1"/>
  <c r="AY34" i="17"/>
  <c r="AX34" i="17"/>
  <c r="AX27" i="17" s="1"/>
  <c r="AW34" i="17"/>
  <c r="AV34" i="17"/>
  <c r="AV27" i="17" s="1"/>
  <c r="AU34" i="17"/>
  <c r="AT34" i="17"/>
  <c r="AT27" i="17" s="1"/>
  <c r="AS34" i="17"/>
  <c r="AR34" i="17"/>
  <c r="AR27" i="17" s="1"/>
  <c r="AQ34" i="17"/>
  <c r="AP34" i="17"/>
  <c r="AP27" i="17" s="1"/>
  <c r="AO34" i="17"/>
  <c r="AN34" i="17"/>
  <c r="AN27" i="17" s="1"/>
  <c r="AM34" i="17"/>
  <c r="AL34" i="17"/>
  <c r="AL27" i="17" s="1"/>
  <c r="AK34" i="17"/>
  <c r="AJ34" i="17"/>
  <c r="AJ27" i="17" s="1"/>
  <c r="AI34" i="17"/>
  <c r="AH34" i="17"/>
  <c r="AH27" i="17" s="1"/>
  <c r="AG34" i="17"/>
  <c r="AF34" i="17"/>
  <c r="AF27" i="17" s="1"/>
  <c r="AE34" i="17"/>
  <c r="BF33" i="17"/>
  <c r="AB32" i="17"/>
  <c r="AR31" i="17"/>
  <c r="AQ31" i="17"/>
  <c r="AP31" i="17"/>
  <c r="AO31" i="17"/>
  <c r="AN31" i="17"/>
  <c r="AM31" i="17"/>
  <c r="AL31" i="17"/>
  <c r="AK31" i="17"/>
  <c r="AJ31" i="17"/>
  <c r="AI31" i="17"/>
  <c r="AG31" i="17"/>
  <c r="AF31" i="17"/>
  <c r="AB31" i="17"/>
  <c r="BI30" i="17" a="1"/>
  <c r="BI30" i="17"/>
  <c r="BI32" i="17" s="1" a="1"/>
  <c r="BI32" i="17" s="1"/>
  <c r="BH30" i="17" a="1"/>
  <c r="BH30" i="17"/>
  <c r="BH32" i="17" s="1" a="1"/>
  <c r="BH32" i="17" s="1"/>
  <c r="BB30" i="17"/>
  <c r="BA30" i="17"/>
  <c r="AZ30" i="17"/>
  <c r="AY30" i="17"/>
  <c r="AX30" i="17"/>
  <c r="AW30" i="17"/>
  <c r="AV30" i="17"/>
  <c r="AU30" i="17"/>
  <c r="AT30" i="17"/>
  <c r="AS30" i="17"/>
  <c r="AH30" i="17"/>
  <c r="AE30" i="17"/>
  <c r="AB30" i="17"/>
  <c r="H30" i="17" a="1"/>
  <c r="H30" i="17"/>
  <c r="H32" i="17" s="1" a="1"/>
  <c r="H32"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A27" i="17"/>
  <c r="AY27" i="17"/>
  <c r="AW27" i="17"/>
  <c r="AU27" i="17"/>
  <c r="AS27" i="17"/>
  <c r="AQ27" i="17"/>
  <c r="AO27" i="17"/>
  <c r="AM27" i="17"/>
  <c r="AK27" i="17"/>
  <c r="AI27" i="17"/>
  <c r="AG27" i="17"/>
  <c r="AE27" i="17"/>
  <c r="T27" i="17"/>
  <c r="T28" i="17" s="1" a="1"/>
  <c r="T28" i="17" s="1"/>
  <c r="F27" i="17" a="1"/>
  <c r="F27"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67" i="16"/>
  <c r="BB60" i="16"/>
  <c r="BA60" i="16"/>
  <c r="AZ60" i="16"/>
  <c r="AY60" i="16"/>
  <c r="AX60" i="16"/>
  <c r="AW60" i="16"/>
  <c r="AV60" i="16"/>
  <c r="AU60" i="16"/>
  <c r="AT60" i="16"/>
  <c r="AS60" i="16"/>
  <c r="AR60" i="16"/>
  <c r="AQ60" i="16"/>
  <c r="AP60" i="16"/>
  <c r="AO60" i="16"/>
  <c r="AN60" i="16"/>
  <c r="AM60" i="16"/>
  <c r="AL60" i="16"/>
  <c r="AK60" i="16"/>
  <c r="AJ60" i="16"/>
  <c r="AI60" i="16"/>
  <c r="AH60" i="16"/>
  <c r="AG60" i="16"/>
  <c r="AF60" i="16"/>
  <c r="AE60" i="16"/>
  <c r="BB57" i="16"/>
  <c r="BA57" i="16"/>
  <c r="AZ57" i="16"/>
  <c r="AY57" i="16"/>
  <c r="AX57" i="16"/>
  <c r="AW57" i="16"/>
  <c r="AV57" i="16"/>
  <c r="AU57" i="16"/>
  <c r="AT57" i="16"/>
  <c r="AS57" i="16"/>
  <c r="AR57" i="16"/>
  <c r="AQ57" i="16"/>
  <c r="AP57" i="16"/>
  <c r="AO57" i="16"/>
  <c r="AN57" i="16"/>
  <c r="AM57" i="16"/>
  <c r="AL57" i="16"/>
  <c r="AK57" i="16"/>
  <c r="AJ57" i="16"/>
  <c r="AI57" i="16"/>
  <c r="AH57" i="16"/>
  <c r="AG57" i="16"/>
  <c r="AF57" i="16"/>
  <c r="AE57" i="16"/>
  <c r="BB53" i="16"/>
  <c r="BA53" i="16"/>
  <c r="AZ53" i="16"/>
  <c r="AY53" i="16"/>
  <c r="AX53" i="16"/>
  <c r="AW53" i="16"/>
  <c r="AV53" i="16"/>
  <c r="AU53" i="16"/>
  <c r="AT53" i="16"/>
  <c r="AS53" i="16"/>
  <c r="AR53" i="16"/>
  <c r="AQ53" i="16"/>
  <c r="AP53" i="16"/>
  <c r="AO53" i="16"/>
  <c r="AN53" i="16"/>
  <c r="AM53" i="16"/>
  <c r="AL53" i="16"/>
  <c r="AK53" i="16"/>
  <c r="AJ53" i="16"/>
  <c r="AI53" i="16"/>
  <c r="AH53" i="16"/>
  <c r="AG53" i="16"/>
  <c r="AF53" i="16"/>
  <c r="AE53" i="16"/>
  <c r="BB52" i="16"/>
  <c r="BA52" i="16"/>
  <c r="AZ52" i="16"/>
  <c r="AY52" i="16"/>
  <c r="AX52" i="16"/>
  <c r="AW52" i="16"/>
  <c r="AV52" i="16"/>
  <c r="AU52" i="16"/>
  <c r="AT52" i="16"/>
  <c r="AS52" i="16"/>
  <c r="AR52" i="16"/>
  <c r="AQ52" i="16"/>
  <c r="AP52" i="16"/>
  <c r="AO52" i="16"/>
  <c r="AN52" i="16"/>
  <c r="AM52" i="16"/>
  <c r="AL52" i="16"/>
  <c r="AK52" i="16"/>
  <c r="AJ52" i="16"/>
  <c r="AI52" i="16"/>
  <c r="AH52" i="16"/>
  <c r="AG52" i="16"/>
  <c r="AF52" i="16"/>
  <c r="AE52" i="16"/>
  <c r="T51" i="16"/>
  <c r="T52" i="16" s="1" a="1"/>
  <c r="T52" i="16" s="1"/>
  <c r="T53" i="16" s="1" a="1"/>
  <c r="T53" i="16" s="1"/>
  <c r="T54" i="16" s="1" a="1"/>
  <c r="T54" i="16" s="1"/>
  <c r="T55" i="16" s="1" a="1"/>
  <c r="T55" i="16" s="1"/>
  <c r="T56" i="16" s="1" a="1"/>
  <c r="T56" i="16" s="1"/>
  <c r="T57" i="16" s="1" a="1"/>
  <c r="T57" i="16" s="1"/>
  <c r="T58" i="16" s="1" a="1"/>
  <c r="T58" i="16" s="1"/>
  <c r="T59" i="16" s="1" a="1"/>
  <c r="T59" i="16" s="1"/>
  <c r="T60" i="16" s="1" a="1"/>
  <c r="T60" i="16" s="1"/>
  <c r="T61" i="16" s="1" a="1"/>
  <c r="T61" i="16" s="1"/>
  <c r="T62" i="16" s="1" a="1"/>
  <c r="T62" i="16" s="1"/>
  <c r="F51" i="16" a="1"/>
  <c r="F51" i="16" s="1"/>
  <c r="F52" i="16" s="1" a="1"/>
  <c r="F52" i="16" s="1"/>
  <c r="F53" i="16" s="1" a="1"/>
  <c r="F53" i="16" s="1"/>
  <c r="F54" i="16" s="1" a="1"/>
  <c r="F54" i="16" s="1"/>
  <c r="F55" i="16" s="1" a="1"/>
  <c r="F55" i="16" s="1"/>
  <c r="F56" i="16" s="1" a="1"/>
  <c r="F56" i="16" s="1"/>
  <c r="F57" i="16" s="1" a="1"/>
  <c r="F57" i="16" s="1"/>
  <c r="F58" i="16" s="1" a="1"/>
  <c r="F58" i="16" s="1"/>
  <c r="F59" i="16" s="1" a="1"/>
  <c r="F59" i="16" s="1"/>
  <c r="F60" i="16" s="1" a="1"/>
  <c r="F60" i="16" s="1"/>
  <c r="F61" i="16" s="1" a="1"/>
  <c r="F61" i="16" s="1"/>
  <c r="F62" i="16" s="1" a="1"/>
  <c r="F62" i="16" s="1"/>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328" i="15"/>
  <c r="AB323" i="15"/>
  <c r="AB322" i="15"/>
  <c r="AB321" i="15"/>
  <c r="AB320" i="15"/>
  <c r="BB314" i="15"/>
  <c r="BA314" i="15"/>
  <c r="AZ314" i="15"/>
  <c r="AY314" i="15"/>
  <c r="AX314" i="15"/>
  <c r="AW314" i="15"/>
  <c r="AV314" i="15"/>
  <c r="AU314" i="15"/>
  <c r="AT314" i="15"/>
  <c r="AS314" i="15"/>
  <c r="AR314" i="15"/>
  <c r="AR310" i="15" s="1"/>
  <c r="AQ314" i="15"/>
  <c r="AP314" i="15"/>
  <c r="AP310" i="15" s="1"/>
  <c r="AO314" i="15"/>
  <c r="AN314" i="15"/>
  <c r="AN310" i="15" s="1"/>
  <c r="AM314" i="15"/>
  <c r="AL314" i="15"/>
  <c r="AL310" i="15" s="1"/>
  <c r="AK314" i="15"/>
  <c r="AJ314" i="15"/>
  <c r="AJ310" i="15" s="1"/>
  <c r="AI314" i="15"/>
  <c r="AH314" i="15"/>
  <c r="AG314" i="15"/>
  <c r="AF314" i="15"/>
  <c r="AE314" i="15"/>
  <c r="AB314" i="15"/>
  <c r="AB319" i="15" s="1"/>
  <c r="AB313" i="15"/>
  <c r="AB312" i="15"/>
  <c r="AB311" i="15"/>
  <c r="BB310" i="15"/>
  <c r="BA310" i="15"/>
  <c r="AZ310" i="15"/>
  <c r="AY310" i="15"/>
  <c r="AX310" i="15"/>
  <c r="AW310" i="15"/>
  <c r="AV310" i="15"/>
  <c r="AU310" i="15"/>
  <c r="AT310" i="15"/>
  <c r="AQ310" i="15"/>
  <c r="AO310" i="15"/>
  <c r="AM310" i="15"/>
  <c r="AK310" i="15"/>
  <c r="AI310" i="15"/>
  <c r="AG310" i="15"/>
  <c r="AF310" i="15"/>
  <c r="AE310" i="15"/>
  <c r="BB309" i="15"/>
  <c r="AZ309" i="15"/>
  <c r="AX309" i="15"/>
  <c r="AV309" i="15"/>
  <c r="AT309" i="15"/>
  <c r="AR309" i="15"/>
  <c r="AP309" i="15"/>
  <c r="AN309" i="15"/>
  <c r="AL309" i="15"/>
  <c r="AJ309" i="15"/>
  <c r="AH309" i="15"/>
  <c r="AF309" i="15"/>
  <c r="AB309" i="15"/>
  <c r="BA308" i="15"/>
  <c r="AY308" i="15"/>
  <c r="AW308" i="15"/>
  <c r="AU308" i="15"/>
  <c r="AS308" i="15"/>
  <c r="AQ308" i="15"/>
  <c r="AO308" i="15"/>
  <c r="AM308" i="15"/>
  <c r="AK308" i="15"/>
  <c r="AI308" i="15"/>
  <c r="AG308" i="15"/>
  <c r="AE308" i="15"/>
  <c r="AB308" i="15"/>
  <c r="BB307" i="15"/>
  <c r="AZ307" i="15"/>
  <c r="AX307" i="15"/>
  <c r="AV307" i="15"/>
  <c r="AT307" i="15"/>
  <c r="AR307" i="15"/>
  <c r="AP307" i="15"/>
  <c r="AN307" i="15"/>
  <c r="AL307" i="15"/>
  <c r="AJ307" i="15"/>
  <c r="AH307" i="15"/>
  <c r="AF307" i="15"/>
  <c r="AB307" i="15"/>
  <c r="BA306" i="15"/>
  <c r="AY306" i="15"/>
  <c r="AW306" i="15"/>
  <c r="AU306" i="15"/>
  <c r="AS306" i="15"/>
  <c r="AQ306" i="15"/>
  <c r="AO306" i="15"/>
  <c r="AM306" i="15"/>
  <c r="AK306" i="15"/>
  <c r="AI306" i="15"/>
  <c r="AG306" i="15"/>
  <c r="AE306" i="15"/>
  <c r="AB306" i="15"/>
  <c r="BB305" i="15"/>
  <c r="AZ305" i="15"/>
  <c r="AX305" i="15"/>
  <c r="AV305" i="15"/>
  <c r="AT305" i="15"/>
  <c r="AR305" i="15"/>
  <c r="AP305" i="15"/>
  <c r="AN305" i="15"/>
  <c r="AL305" i="15"/>
  <c r="AJ305" i="15"/>
  <c r="AH305" i="15"/>
  <c r="AF305" i="15"/>
  <c r="AB305" i="15"/>
  <c r="BA304" i="15"/>
  <c r="AY304" i="15"/>
  <c r="AW304" i="15"/>
  <c r="AU304" i="15"/>
  <c r="AS304" i="15"/>
  <c r="AQ304" i="15"/>
  <c r="AO304" i="15"/>
  <c r="AM304" i="15"/>
  <c r="AK304" i="15"/>
  <c r="AI304" i="15"/>
  <c r="AG304" i="15"/>
  <c r="AE304" i="15"/>
  <c r="BB303" i="15"/>
  <c r="AZ303" i="15"/>
  <c r="AX303" i="15"/>
  <c r="AV303" i="15"/>
  <c r="AT303" i="15"/>
  <c r="AR303" i="15"/>
  <c r="AP303" i="15"/>
  <c r="AN303" i="15"/>
  <c r="AL303" i="15"/>
  <c r="AJ303" i="15"/>
  <c r="AH303" i="15"/>
  <c r="AF303" i="15"/>
  <c r="AB303" i="15"/>
  <c r="BA302" i="15"/>
  <c r="AY302" i="15"/>
  <c r="AW302" i="15"/>
  <c r="AU302" i="15"/>
  <c r="AS302" i="15"/>
  <c r="AQ302" i="15"/>
  <c r="AO302" i="15"/>
  <c r="AM302" i="15"/>
  <c r="AK302" i="15"/>
  <c r="AI302" i="15"/>
  <c r="AG302" i="15"/>
  <c r="AE302" i="15"/>
  <c r="BB301" i="15"/>
  <c r="AZ301" i="15"/>
  <c r="AX301" i="15"/>
  <c r="AV301" i="15"/>
  <c r="AT301" i="15"/>
  <c r="AR301" i="15"/>
  <c r="AP301" i="15"/>
  <c r="AN301" i="15"/>
  <c r="AL301" i="15"/>
  <c r="AJ301" i="15"/>
  <c r="AH301" i="15"/>
  <c r="AF301" i="15"/>
  <c r="AB301" i="15"/>
  <c r="AB300" i="15"/>
  <c r="AB304" i="15" s="1"/>
  <c r="BB299" i="15"/>
  <c r="AZ299" i="15"/>
  <c r="AX299" i="15"/>
  <c r="AV299" i="15"/>
  <c r="AT299" i="15"/>
  <c r="AR299" i="15"/>
  <c r="AP299" i="15"/>
  <c r="AN299" i="15"/>
  <c r="AL299" i="15"/>
  <c r="AJ299" i="15"/>
  <c r="AH299" i="15"/>
  <c r="AF299" i="15"/>
  <c r="AB299" i="15"/>
  <c r="BA298" i="15"/>
  <c r="AY298" i="15"/>
  <c r="AW298" i="15"/>
  <c r="AU298" i="15"/>
  <c r="AS298" i="15"/>
  <c r="AQ298" i="15"/>
  <c r="AO298" i="15"/>
  <c r="AM298" i="15"/>
  <c r="AK298" i="15"/>
  <c r="AI298" i="15"/>
  <c r="AG298" i="15"/>
  <c r="AE298" i="15"/>
  <c r="AB298" i="15"/>
  <c r="BB297" i="15"/>
  <c r="AZ297" i="15"/>
  <c r="AX297" i="15"/>
  <c r="AV297" i="15"/>
  <c r="AT297" i="15"/>
  <c r="AR297" i="15"/>
  <c r="AP297" i="15"/>
  <c r="AN297" i="15"/>
  <c r="AL297" i="15"/>
  <c r="AJ297" i="15"/>
  <c r="AH297" i="15"/>
  <c r="AF297" i="15"/>
  <c r="AB297" i="15"/>
  <c r="BB295" i="15"/>
  <c r="BA295" i="15"/>
  <c r="BA309" i="15" s="1"/>
  <c r="AZ295" i="15"/>
  <c r="AY295" i="15"/>
  <c r="AY309" i="15" s="1"/>
  <c r="AX295" i="15"/>
  <c r="AW295" i="15"/>
  <c r="AW309" i="15" s="1"/>
  <c r="AV295" i="15"/>
  <c r="AU295" i="15"/>
  <c r="AU309" i="15" s="1"/>
  <c r="AT295" i="15"/>
  <c r="AS295" i="15"/>
  <c r="AS309" i="15" s="1"/>
  <c r="AR295" i="15"/>
  <c r="AQ295" i="15"/>
  <c r="AQ309" i="15" s="1"/>
  <c r="AP295" i="15"/>
  <c r="AO295" i="15"/>
  <c r="AO309" i="15" s="1"/>
  <c r="AN295" i="15"/>
  <c r="AM295" i="15"/>
  <c r="AM309" i="15" s="1"/>
  <c r="AL295" i="15"/>
  <c r="AK295" i="15"/>
  <c r="AK309" i="15" s="1"/>
  <c r="AJ295" i="15"/>
  <c r="AI295" i="15"/>
  <c r="AI309" i="15" s="1"/>
  <c r="AH295" i="15"/>
  <c r="AG295" i="15"/>
  <c r="AG309" i="15" s="1"/>
  <c r="AF295" i="15"/>
  <c r="AE295" i="15"/>
  <c r="AE309" i="15" s="1"/>
  <c r="AB295" i="15"/>
  <c r="BB294" i="15"/>
  <c r="BB308" i="15" s="1"/>
  <c r="BA294" i="15"/>
  <c r="AZ294" i="15"/>
  <c r="AZ308" i="15" s="1"/>
  <c r="AY294" i="15"/>
  <c r="AX294" i="15"/>
  <c r="AX308" i="15" s="1"/>
  <c r="AW294" i="15"/>
  <c r="AV294" i="15"/>
  <c r="AV308" i="15" s="1"/>
  <c r="AU294" i="15"/>
  <c r="AT294" i="15"/>
  <c r="AT308" i="15" s="1"/>
  <c r="AS294" i="15"/>
  <c r="AR294" i="15"/>
  <c r="AR308" i="15" s="1"/>
  <c r="AQ294" i="15"/>
  <c r="AP294" i="15"/>
  <c r="AP308" i="15" s="1"/>
  <c r="AO294" i="15"/>
  <c r="AN294" i="15"/>
  <c r="AN308" i="15" s="1"/>
  <c r="AM294" i="15"/>
  <c r="AL294" i="15"/>
  <c r="AL308" i="15" s="1"/>
  <c r="AK294" i="15"/>
  <c r="AJ294" i="15"/>
  <c r="AJ308" i="15" s="1"/>
  <c r="AI294" i="15"/>
  <c r="AH294" i="15"/>
  <c r="AH308" i="15" s="1"/>
  <c r="AG294" i="15"/>
  <c r="AF294" i="15"/>
  <c r="AF308" i="15" s="1"/>
  <c r="AE294" i="15"/>
  <c r="AB294" i="15"/>
  <c r="BB293" i="15"/>
  <c r="BA293" i="15"/>
  <c r="BA307" i="15" s="1"/>
  <c r="AZ293" i="15"/>
  <c r="AY293" i="15"/>
  <c r="AY307" i="15" s="1"/>
  <c r="AX293" i="15"/>
  <c r="AW293" i="15"/>
  <c r="AW307" i="15" s="1"/>
  <c r="AV293" i="15"/>
  <c r="AU293" i="15"/>
  <c r="AU307" i="15" s="1"/>
  <c r="AT293" i="15"/>
  <c r="AS293" i="15"/>
  <c r="AS307" i="15" s="1"/>
  <c r="AR293" i="15"/>
  <c r="AQ293" i="15"/>
  <c r="AQ307" i="15" s="1"/>
  <c r="AP293" i="15"/>
  <c r="AO293" i="15"/>
  <c r="AO307" i="15" s="1"/>
  <c r="AN293" i="15"/>
  <c r="AM293" i="15"/>
  <c r="AM307" i="15" s="1"/>
  <c r="AL293" i="15"/>
  <c r="AK293" i="15"/>
  <c r="AK307" i="15" s="1"/>
  <c r="AJ293" i="15"/>
  <c r="AI293" i="15"/>
  <c r="AI307" i="15" s="1"/>
  <c r="AH293" i="15"/>
  <c r="AG293" i="15"/>
  <c r="AG307" i="15" s="1"/>
  <c r="AF293" i="15"/>
  <c r="AE293" i="15"/>
  <c r="AE307" i="15" s="1"/>
  <c r="AB293" i="15"/>
  <c r="BB292" i="15"/>
  <c r="BB306" i="15" s="1"/>
  <c r="BA292" i="15"/>
  <c r="AZ292" i="15"/>
  <c r="AZ306" i="15" s="1"/>
  <c r="AY292" i="15"/>
  <c r="AX292" i="15"/>
  <c r="AX306" i="15" s="1"/>
  <c r="AW292" i="15"/>
  <c r="AV292" i="15"/>
  <c r="AV306" i="15" s="1"/>
  <c r="AU292" i="15"/>
  <c r="AT292" i="15"/>
  <c r="AT306" i="15" s="1"/>
  <c r="AS292" i="15"/>
  <c r="AR292" i="15"/>
  <c r="AR306" i="15" s="1"/>
  <c r="AQ292" i="15"/>
  <c r="AP292" i="15"/>
  <c r="AP306" i="15" s="1"/>
  <c r="AO292" i="15"/>
  <c r="AN292" i="15"/>
  <c r="AN306" i="15" s="1"/>
  <c r="AM292" i="15"/>
  <c r="AL292" i="15"/>
  <c r="AL306" i="15" s="1"/>
  <c r="AK292" i="15"/>
  <c r="AJ292" i="15"/>
  <c r="AJ306" i="15" s="1"/>
  <c r="AI292" i="15"/>
  <c r="AH292" i="15"/>
  <c r="AH306" i="15" s="1"/>
  <c r="AG292" i="15"/>
  <c r="AF292" i="15"/>
  <c r="AF306" i="15" s="1"/>
  <c r="AE292" i="15"/>
  <c r="AB292" i="15"/>
  <c r="BB291" i="15"/>
  <c r="BA291" i="15"/>
  <c r="BA305" i="15" s="1"/>
  <c r="AZ291" i="15"/>
  <c r="AY291" i="15"/>
  <c r="AY305" i="15" s="1"/>
  <c r="AX291" i="15"/>
  <c r="AW291" i="15"/>
  <c r="AW305" i="15" s="1"/>
  <c r="AV291" i="15"/>
  <c r="AU291" i="15"/>
  <c r="AU305" i="15" s="1"/>
  <c r="AT291" i="15"/>
  <c r="AS291" i="15"/>
  <c r="AS305" i="15" s="1"/>
  <c r="AR291" i="15"/>
  <c r="AQ291" i="15"/>
  <c r="AQ305" i="15" s="1"/>
  <c r="AP291" i="15"/>
  <c r="AO291" i="15"/>
  <c r="AO305" i="15" s="1"/>
  <c r="AN291" i="15"/>
  <c r="AM291" i="15"/>
  <c r="AM305" i="15" s="1"/>
  <c r="AL291" i="15"/>
  <c r="AK291" i="15"/>
  <c r="AK305" i="15" s="1"/>
  <c r="AJ291" i="15"/>
  <c r="AI291" i="15"/>
  <c r="AI305" i="15" s="1"/>
  <c r="AH291" i="15"/>
  <c r="AG291" i="15"/>
  <c r="AG305" i="15" s="1"/>
  <c r="AF291" i="15"/>
  <c r="AE291" i="15"/>
  <c r="AE305" i="15" s="1"/>
  <c r="BB290" i="15"/>
  <c r="BB304" i="15" s="1"/>
  <c r="BA290" i="15"/>
  <c r="AZ290" i="15"/>
  <c r="AZ304" i="15" s="1"/>
  <c r="AY290" i="15"/>
  <c r="AX290" i="15"/>
  <c r="AX304" i="15" s="1"/>
  <c r="AW290" i="15"/>
  <c r="AV290" i="15"/>
  <c r="AV304" i="15" s="1"/>
  <c r="AU290" i="15"/>
  <c r="AT290" i="15"/>
  <c r="AT304" i="15" s="1"/>
  <c r="AS290" i="15"/>
  <c r="AR290" i="15"/>
  <c r="AR304" i="15" s="1"/>
  <c r="AQ290" i="15"/>
  <c r="AP290" i="15"/>
  <c r="AP304" i="15" s="1"/>
  <c r="AO290" i="15"/>
  <c r="AN290" i="15"/>
  <c r="AN304" i="15" s="1"/>
  <c r="AM290" i="15"/>
  <c r="AL290" i="15"/>
  <c r="AL304" i="15" s="1"/>
  <c r="AK290" i="15"/>
  <c r="AJ290" i="15"/>
  <c r="AJ304" i="15" s="1"/>
  <c r="AI290" i="15"/>
  <c r="AH290" i="15"/>
  <c r="AH304" i="15" s="1"/>
  <c r="AG290" i="15"/>
  <c r="AF290" i="15"/>
  <c r="AF304" i="15" s="1"/>
  <c r="AE290" i="15"/>
  <c r="BB289" i="15"/>
  <c r="BA289" i="15"/>
  <c r="BA303" i="15" s="1"/>
  <c r="AZ289" i="15"/>
  <c r="AY289" i="15"/>
  <c r="AY303" i="15" s="1"/>
  <c r="AX289" i="15"/>
  <c r="AW289" i="15"/>
  <c r="AW303" i="15" s="1"/>
  <c r="AV289" i="15"/>
  <c r="AU289" i="15"/>
  <c r="AU303" i="15" s="1"/>
  <c r="AT289" i="15"/>
  <c r="AS289" i="15"/>
  <c r="AS303" i="15" s="1"/>
  <c r="AR289" i="15"/>
  <c r="AQ289" i="15"/>
  <c r="AQ303" i="15" s="1"/>
  <c r="AP289" i="15"/>
  <c r="AO289" i="15"/>
  <c r="AO303" i="15" s="1"/>
  <c r="AN289" i="15"/>
  <c r="AM289" i="15"/>
  <c r="AM303" i="15" s="1"/>
  <c r="AL289" i="15"/>
  <c r="AK289" i="15"/>
  <c r="AK303" i="15" s="1"/>
  <c r="AJ289" i="15"/>
  <c r="AI289" i="15"/>
  <c r="AI303" i="15" s="1"/>
  <c r="AH289" i="15"/>
  <c r="AG289" i="15"/>
  <c r="AG303" i="15" s="1"/>
  <c r="AF289" i="15"/>
  <c r="AE289" i="15"/>
  <c r="AE303" i="15" s="1"/>
  <c r="BB288" i="15"/>
  <c r="BB302" i="15" s="1"/>
  <c r="BA288" i="15"/>
  <c r="AZ288" i="15"/>
  <c r="AZ302" i="15" s="1"/>
  <c r="AY288" i="15"/>
  <c r="AX288" i="15"/>
  <c r="AX302" i="15" s="1"/>
  <c r="AW288" i="15"/>
  <c r="AV288" i="15"/>
  <c r="AV302" i="15" s="1"/>
  <c r="AU288" i="15"/>
  <c r="AT288" i="15"/>
  <c r="AT302" i="15" s="1"/>
  <c r="AS288" i="15"/>
  <c r="AR288" i="15"/>
  <c r="AR302" i="15" s="1"/>
  <c r="AQ288" i="15"/>
  <c r="AP288" i="15"/>
  <c r="AP302" i="15" s="1"/>
  <c r="AO288" i="15"/>
  <c r="AN288" i="15"/>
  <c r="AN302" i="15" s="1"/>
  <c r="AM288" i="15"/>
  <c r="AL288" i="15"/>
  <c r="AL302" i="15" s="1"/>
  <c r="AK288" i="15"/>
  <c r="AJ288" i="15"/>
  <c r="AJ302" i="15" s="1"/>
  <c r="AI288" i="15"/>
  <c r="AH288" i="15"/>
  <c r="AH302" i="15" s="1"/>
  <c r="AG288" i="15"/>
  <c r="AF288" i="15"/>
  <c r="AF302" i="15" s="1"/>
  <c r="AE288" i="15"/>
  <c r="BB287" i="15"/>
  <c r="BA287" i="15"/>
  <c r="BA301" i="15" s="1"/>
  <c r="AZ287" i="15"/>
  <c r="AY287" i="15"/>
  <c r="AY301" i="15" s="1"/>
  <c r="AX287" i="15"/>
  <c r="AW287" i="15"/>
  <c r="AW301" i="15" s="1"/>
  <c r="AV287" i="15"/>
  <c r="AU287" i="15"/>
  <c r="AU301" i="15" s="1"/>
  <c r="AT287" i="15"/>
  <c r="AS287" i="15"/>
  <c r="AS301" i="15" s="1"/>
  <c r="AR287" i="15"/>
  <c r="AQ287" i="15"/>
  <c r="AQ301" i="15" s="1"/>
  <c r="AP287" i="15"/>
  <c r="AO287" i="15"/>
  <c r="AO301" i="15" s="1"/>
  <c r="AN287" i="15"/>
  <c r="AM287" i="15"/>
  <c r="AM301" i="15" s="1"/>
  <c r="AL287" i="15"/>
  <c r="AK287" i="15"/>
  <c r="AK301" i="15" s="1"/>
  <c r="AJ287" i="15"/>
  <c r="AI287" i="15"/>
  <c r="AI301" i="15" s="1"/>
  <c r="AH287" i="15"/>
  <c r="AG287" i="15"/>
  <c r="AG301" i="15" s="1"/>
  <c r="AF287" i="15"/>
  <c r="AE287" i="15"/>
  <c r="AE301" i="15" s="1"/>
  <c r="BB286" i="15"/>
  <c r="BB300" i="15" s="1"/>
  <c r="AZ286" i="15"/>
  <c r="AZ300" i="15" s="1"/>
  <c r="AX286" i="15"/>
  <c r="AX300" i="15" s="1"/>
  <c r="AV286" i="15"/>
  <c r="AV300" i="15" s="1"/>
  <c r="AT286" i="15"/>
  <c r="AT300" i="15" s="1"/>
  <c r="AR286" i="15"/>
  <c r="AR300" i="15" s="1"/>
  <c r="AP286" i="15"/>
  <c r="AP300" i="15" s="1"/>
  <c r="AN286" i="15"/>
  <c r="AN300" i="15" s="1"/>
  <c r="AL286" i="15"/>
  <c r="AL300" i="15" s="1"/>
  <c r="AJ286" i="15"/>
  <c r="AJ300" i="15" s="1"/>
  <c r="AH286" i="15"/>
  <c r="AH300" i="15" s="1"/>
  <c r="AF286" i="15"/>
  <c r="AF300" i="15" s="1"/>
  <c r="AB286" i="15"/>
  <c r="AB291" i="15" s="1"/>
  <c r="BB285" i="15"/>
  <c r="BA285" i="15"/>
  <c r="BA299" i="15" s="1"/>
  <c r="AZ285" i="15"/>
  <c r="AY285" i="15"/>
  <c r="AY299" i="15" s="1"/>
  <c r="AX285" i="15"/>
  <c r="AW285" i="15"/>
  <c r="AW299" i="15" s="1"/>
  <c r="AV285" i="15"/>
  <c r="AU285" i="15"/>
  <c r="AU299" i="15" s="1"/>
  <c r="AT285" i="15"/>
  <c r="AS285" i="15"/>
  <c r="AS299" i="15" s="1"/>
  <c r="AR285" i="15"/>
  <c r="AQ285" i="15"/>
  <c r="AQ299" i="15" s="1"/>
  <c r="AP285" i="15"/>
  <c r="AO285" i="15"/>
  <c r="AO299" i="15" s="1"/>
  <c r="AN285" i="15"/>
  <c r="AM285" i="15"/>
  <c r="AM299" i="15" s="1"/>
  <c r="AL285" i="15"/>
  <c r="AK285" i="15"/>
  <c r="AK299" i="15" s="1"/>
  <c r="AJ285" i="15"/>
  <c r="AI285" i="15"/>
  <c r="AI299" i="15" s="1"/>
  <c r="AH285" i="15"/>
  <c r="AG285" i="15"/>
  <c r="AG299" i="15" s="1"/>
  <c r="AF285" i="15"/>
  <c r="AE285" i="15"/>
  <c r="AE299" i="15" s="1"/>
  <c r="AB285" i="15"/>
  <c r="BB284" i="15"/>
  <c r="BB298" i="15" s="1"/>
  <c r="BA284" i="15"/>
  <c r="AZ284" i="15"/>
  <c r="AZ298" i="15" s="1"/>
  <c r="AY284" i="15"/>
  <c r="AX284" i="15"/>
  <c r="AX298" i="15" s="1"/>
  <c r="AW284" i="15"/>
  <c r="AV284" i="15"/>
  <c r="AV298" i="15" s="1"/>
  <c r="AU284" i="15"/>
  <c r="AT284" i="15"/>
  <c r="AT298" i="15" s="1"/>
  <c r="AS284" i="15"/>
  <c r="AR284" i="15"/>
  <c r="AR298" i="15" s="1"/>
  <c r="AQ284" i="15"/>
  <c r="AP284" i="15"/>
  <c r="AP298" i="15" s="1"/>
  <c r="AO284" i="15"/>
  <c r="AN284" i="15"/>
  <c r="AN298" i="15" s="1"/>
  <c r="AM284" i="15"/>
  <c r="AL284" i="15"/>
  <c r="AL298" i="15" s="1"/>
  <c r="AK284" i="15"/>
  <c r="AJ284" i="15"/>
  <c r="AJ298" i="15" s="1"/>
  <c r="AI284" i="15"/>
  <c r="AH284" i="15"/>
  <c r="AH298" i="15" s="1"/>
  <c r="AG284" i="15"/>
  <c r="AF284" i="15"/>
  <c r="AF298" i="15" s="1"/>
  <c r="AE284" i="15"/>
  <c r="AB284" i="15"/>
  <c r="BB283" i="15"/>
  <c r="BA283" i="15"/>
  <c r="BA297" i="15" s="1"/>
  <c r="AZ283" i="15"/>
  <c r="AY283" i="15"/>
  <c r="AY297" i="15" s="1"/>
  <c r="AX283" i="15"/>
  <c r="AW283" i="15"/>
  <c r="AW297" i="15" s="1"/>
  <c r="AV283" i="15"/>
  <c r="AU283" i="15"/>
  <c r="AU297" i="15" s="1"/>
  <c r="AT283" i="15"/>
  <c r="AS283" i="15"/>
  <c r="AS297" i="15" s="1"/>
  <c r="AR283" i="15"/>
  <c r="AQ283" i="15"/>
  <c r="AQ297" i="15" s="1"/>
  <c r="AP283" i="15"/>
  <c r="AO283" i="15"/>
  <c r="AO297" i="15" s="1"/>
  <c r="AN283" i="15"/>
  <c r="AM283" i="15"/>
  <c r="AM297" i="15" s="1"/>
  <c r="AL283" i="15"/>
  <c r="AK283" i="15"/>
  <c r="AK297" i="15" s="1"/>
  <c r="AJ283" i="15"/>
  <c r="AI283" i="15"/>
  <c r="AI297" i="15" s="1"/>
  <c r="AH283" i="15"/>
  <c r="AG283" i="15"/>
  <c r="AG297" i="15" s="1"/>
  <c r="AF283" i="15"/>
  <c r="AE283" i="15"/>
  <c r="AE297" i="15" s="1"/>
  <c r="AB283" i="15"/>
  <c r="BB282" i="15"/>
  <c r="AZ282" i="15"/>
  <c r="AX282" i="15"/>
  <c r="AV282" i="15"/>
  <c r="AT282" i="15"/>
  <c r="AR282" i="15"/>
  <c r="AP282" i="15"/>
  <c r="AN282" i="15"/>
  <c r="AL282" i="15"/>
  <c r="AJ282" i="15"/>
  <c r="AH282" i="15"/>
  <c r="AF282" i="15"/>
  <c r="AB281" i="15"/>
  <c r="AB280" i="15"/>
  <c r="AB279" i="15"/>
  <c r="AB278" i="15"/>
  <c r="AB277" i="15"/>
  <c r="AB275" i="15"/>
  <c r="AB273" i="15"/>
  <c r="BB272" i="15"/>
  <c r="BA272" i="15"/>
  <c r="AZ272" i="15"/>
  <c r="AY272" i="15"/>
  <c r="AX272" i="15"/>
  <c r="AW272" i="15"/>
  <c r="AV272" i="15"/>
  <c r="AU272" i="15"/>
  <c r="AT272" i="15"/>
  <c r="AS272" i="15"/>
  <c r="AR272" i="15"/>
  <c r="AQ272" i="15"/>
  <c r="AP272" i="15"/>
  <c r="AO272" i="15"/>
  <c r="AN272" i="15"/>
  <c r="AM272" i="15"/>
  <c r="AL272" i="15"/>
  <c r="AK272" i="15"/>
  <c r="AJ272" i="15"/>
  <c r="AI272" i="15"/>
  <c r="AH272" i="15"/>
  <c r="AG272" i="15"/>
  <c r="AF272" i="15"/>
  <c r="AE272" i="15"/>
  <c r="AB272" i="15"/>
  <c r="AB276" i="15" s="1"/>
  <c r="AB271" i="15"/>
  <c r="AB270" i="15"/>
  <c r="AB269" i="15"/>
  <c r="BB268" i="15"/>
  <c r="BA268" i="15"/>
  <c r="AZ268" i="15"/>
  <c r="AY268" i="15"/>
  <c r="AX268" i="15"/>
  <c r="AW268" i="15"/>
  <c r="AV268" i="15"/>
  <c r="AU268" i="15"/>
  <c r="AT268" i="15"/>
  <c r="AS268" i="15"/>
  <c r="AR268" i="15"/>
  <c r="AQ268" i="15"/>
  <c r="AP268" i="15"/>
  <c r="AO268" i="15"/>
  <c r="AN268" i="15"/>
  <c r="AM268" i="15"/>
  <c r="AL268" i="15"/>
  <c r="AK268" i="15"/>
  <c r="AJ268" i="15"/>
  <c r="AI268" i="15"/>
  <c r="AH268" i="15"/>
  <c r="AG268" i="15"/>
  <c r="AF268" i="15"/>
  <c r="AE268" i="15"/>
  <c r="AB267" i="15"/>
  <c r="AB266" i="15"/>
  <c r="AB265" i="15"/>
  <c r="AB264" i="15"/>
  <c r="AB260" i="15"/>
  <c r="BB258" i="15"/>
  <c r="BA258" i="15"/>
  <c r="AZ258" i="15"/>
  <c r="AY258" i="15"/>
  <c r="AX258" i="15"/>
  <c r="AW258" i="15"/>
  <c r="AV258" i="15"/>
  <c r="AU258" i="15"/>
  <c r="AT258" i="15"/>
  <c r="AS258" i="15"/>
  <c r="AR258" i="15"/>
  <c r="AQ258" i="15"/>
  <c r="AP258" i="15"/>
  <c r="AO258" i="15"/>
  <c r="AN258" i="15"/>
  <c r="AM258" i="15"/>
  <c r="AL258" i="15"/>
  <c r="AK258" i="15"/>
  <c r="AJ258" i="15"/>
  <c r="AI258" i="15"/>
  <c r="AH258" i="15"/>
  <c r="AG258" i="15"/>
  <c r="AF258" i="15"/>
  <c r="AE258" i="15"/>
  <c r="AB258" i="15"/>
  <c r="AB257" i="15"/>
  <c r="AB256" i="15"/>
  <c r="AB255" i="15"/>
  <c r="BB254" i="15"/>
  <c r="BA254" i="15"/>
  <c r="AZ254" i="15"/>
  <c r="AY254" i="15"/>
  <c r="AX254" i="15"/>
  <c r="AW254" i="15"/>
  <c r="AV254" i="15"/>
  <c r="AU254" i="15"/>
  <c r="AT254" i="15"/>
  <c r="AS254" i="15"/>
  <c r="AR254" i="15"/>
  <c r="AQ254" i="15"/>
  <c r="AP254" i="15"/>
  <c r="AO254" i="15"/>
  <c r="AN254" i="15"/>
  <c r="AM254" i="15"/>
  <c r="AL254" i="15"/>
  <c r="AK254" i="15"/>
  <c r="AJ254" i="15"/>
  <c r="AI254" i="15"/>
  <c r="AH254" i="15"/>
  <c r="AG254" i="15"/>
  <c r="AF254" i="15"/>
  <c r="AE254" i="15"/>
  <c r="AB253" i="15"/>
  <c r="AB252" i="15"/>
  <c r="AB251" i="15"/>
  <c r="AB250" i="15"/>
  <c r="AB249" i="15"/>
  <c r="AB247" i="15"/>
  <c r="AB245" i="15"/>
  <c r="BB244" i="15"/>
  <c r="BA244" i="15"/>
  <c r="AZ244" i="15"/>
  <c r="AY244" i="15"/>
  <c r="AX244" i="15"/>
  <c r="AW244" i="15"/>
  <c r="AV244" i="15"/>
  <c r="AU244" i="15"/>
  <c r="AT244" i="15"/>
  <c r="AS244" i="15"/>
  <c r="AR244" i="15"/>
  <c r="AQ244" i="15"/>
  <c r="AP244" i="15"/>
  <c r="AO244" i="15"/>
  <c r="AN244" i="15"/>
  <c r="AM244" i="15"/>
  <c r="AL244" i="15"/>
  <c r="AK244" i="15"/>
  <c r="AJ244" i="15"/>
  <c r="AI244" i="15"/>
  <c r="AH244" i="15"/>
  <c r="AG244" i="15"/>
  <c r="AF244" i="15"/>
  <c r="AE244" i="15"/>
  <c r="AB244" i="15"/>
  <c r="AB248" i="15" s="1"/>
  <c r="AB243" i="15"/>
  <c r="AB242" i="15"/>
  <c r="AB241" i="15"/>
  <c r="BB240" i="15"/>
  <c r="BA240" i="15"/>
  <c r="AZ240" i="15"/>
  <c r="AY240" i="15"/>
  <c r="AX240" i="15"/>
  <c r="AW240" i="15"/>
  <c r="AV240" i="15"/>
  <c r="AU240" i="15"/>
  <c r="AT240" i="15"/>
  <c r="AS240" i="15"/>
  <c r="AR240" i="15"/>
  <c r="AQ240" i="15"/>
  <c r="AP240" i="15"/>
  <c r="AO240" i="15"/>
  <c r="AN240" i="15"/>
  <c r="AM240" i="15"/>
  <c r="AL240" i="15"/>
  <c r="AK240" i="15"/>
  <c r="AJ240" i="15"/>
  <c r="AI240" i="15"/>
  <c r="AH240" i="15"/>
  <c r="AG240" i="15"/>
  <c r="AF240" i="15"/>
  <c r="AE240" i="15"/>
  <c r="BB230" i="15"/>
  <c r="BA230" i="15"/>
  <c r="AZ230" i="15"/>
  <c r="AY230" i="15"/>
  <c r="AX230" i="15"/>
  <c r="AW230" i="15"/>
  <c r="AV230" i="15"/>
  <c r="AU230" i="15"/>
  <c r="AT230" i="15"/>
  <c r="AS230" i="15"/>
  <c r="AR230" i="15"/>
  <c r="AQ230" i="15"/>
  <c r="AP230" i="15"/>
  <c r="AO230" i="15"/>
  <c r="AN230" i="15"/>
  <c r="AM230" i="15"/>
  <c r="AL230" i="15"/>
  <c r="AK230" i="15"/>
  <c r="AJ230" i="15"/>
  <c r="AI230" i="15"/>
  <c r="AH230" i="15"/>
  <c r="AG230" i="15"/>
  <c r="AF230" i="15"/>
  <c r="AE230" i="15"/>
  <c r="BB226" i="15"/>
  <c r="BA226" i="15"/>
  <c r="AZ226" i="15"/>
  <c r="AY226" i="15"/>
  <c r="AX226" i="15"/>
  <c r="AW226" i="15"/>
  <c r="AV226" i="15"/>
  <c r="AU226" i="15"/>
  <c r="AT226" i="15"/>
  <c r="AS226" i="15"/>
  <c r="AR226" i="15"/>
  <c r="AQ226" i="15"/>
  <c r="AP226" i="15"/>
  <c r="AO226" i="15"/>
  <c r="AN226" i="15"/>
  <c r="AM226" i="15"/>
  <c r="AL226" i="15"/>
  <c r="AK226" i="15"/>
  <c r="AJ226" i="15"/>
  <c r="AI226" i="15"/>
  <c r="AH226" i="15"/>
  <c r="AG226" i="15"/>
  <c r="AF226" i="15"/>
  <c r="AE226" i="15"/>
  <c r="T225" i="15"/>
  <c r="T226" i="15" s="1" a="1"/>
  <c r="T226" i="15" s="1"/>
  <c r="T227" i="15" s="1" a="1"/>
  <c r="T227" i="15" s="1"/>
  <c r="T228" i="15" s="1" a="1"/>
  <c r="T228" i="15" s="1"/>
  <c r="T229" i="15" s="1" a="1"/>
  <c r="T229" i="15" s="1"/>
  <c r="T230" i="15" s="1" a="1"/>
  <c r="T230" i="15" s="1"/>
  <c r="T231" i="15" s="1" a="1"/>
  <c r="T231" i="15" s="1"/>
  <c r="T232" i="15" s="1" a="1"/>
  <c r="T232" i="15" s="1"/>
  <c r="T233" i="15" s="1" a="1"/>
  <c r="T233" i="15" s="1"/>
  <c r="T234" i="15" s="1" a="1"/>
  <c r="T234" i="15" s="1"/>
  <c r="T235" i="15" s="1" a="1"/>
  <c r="T235" i="15" s="1"/>
  <c r="T236" i="15" s="1" a="1"/>
  <c r="T236" i="15" s="1"/>
  <c r="T237" i="15" s="1" a="1"/>
  <c r="T237" i="15" s="1"/>
  <c r="T238" i="15" s="1" a="1"/>
  <c r="T238" i="15" s="1"/>
  <c r="T239" i="15" s="1" a="1"/>
  <c r="T239" i="15" s="1"/>
  <c r="T240" i="15" s="1" a="1"/>
  <c r="T240" i="15" s="1"/>
  <c r="T241" i="15" s="1" a="1"/>
  <c r="T241" i="15" s="1"/>
  <c r="T242" i="15" s="1" a="1"/>
  <c r="T242" i="15" s="1"/>
  <c r="T243" i="15" s="1" a="1"/>
  <c r="T243" i="15" s="1"/>
  <c r="T244" i="15" s="1" a="1"/>
  <c r="T244" i="15" s="1"/>
  <c r="T245" i="15" s="1" a="1"/>
  <c r="T245" i="15" s="1"/>
  <c r="T246" i="15" s="1" a="1"/>
  <c r="T246" i="15" s="1"/>
  <c r="T247" i="15" s="1" a="1"/>
  <c r="T247" i="15" s="1"/>
  <c r="T248" i="15" s="1" a="1"/>
  <c r="T248" i="15" s="1"/>
  <c r="T249" i="15" s="1" a="1"/>
  <c r="T249" i="15" s="1"/>
  <c r="T250" i="15" s="1" a="1"/>
  <c r="T250" i="15" s="1"/>
  <c r="T251" i="15" s="1" a="1"/>
  <c r="T251" i="15" s="1"/>
  <c r="T252" i="15" s="1" a="1"/>
  <c r="T252" i="15" s="1"/>
  <c r="T253" i="15" s="1" a="1"/>
  <c r="T253" i="15" s="1"/>
  <c r="T254" i="15" s="1" a="1"/>
  <c r="T254" i="15" s="1"/>
  <c r="T255" i="15" s="1" a="1"/>
  <c r="T255" i="15" s="1"/>
  <c r="T256" i="15" s="1" a="1"/>
  <c r="T256" i="15" s="1"/>
  <c r="T257" i="15" s="1" a="1"/>
  <c r="T257" i="15" s="1"/>
  <c r="T258" i="15" s="1" a="1"/>
  <c r="T258" i="15" s="1"/>
  <c r="T259" i="15" s="1" a="1"/>
  <c r="T259" i="15" s="1"/>
  <c r="T260" i="15" s="1" a="1"/>
  <c r="T260" i="15" s="1"/>
  <c r="T261" i="15" s="1" a="1"/>
  <c r="T261" i="15" s="1"/>
  <c r="T262" i="15" s="1" a="1"/>
  <c r="T262" i="15" s="1"/>
  <c r="T263" i="15" s="1" a="1"/>
  <c r="T263" i="15" s="1"/>
  <c r="T264" i="15" s="1" a="1"/>
  <c r="T264" i="15" s="1"/>
  <c r="T265" i="15" s="1" a="1"/>
  <c r="T265" i="15" s="1"/>
  <c r="T266" i="15" s="1" a="1"/>
  <c r="T266" i="15" s="1"/>
  <c r="T267" i="15" s="1" a="1"/>
  <c r="T267" i="15" s="1"/>
  <c r="T268" i="15" s="1" a="1"/>
  <c r="T268" i="15" s="1"/>
  <c r="T269" i="15" s="1" a="1"/>
  <c r="T269" i="15" s="1"/>
  <c r="T270" i="15" s="1" a="1"/>
  <c r="T270" i="15" s="1"/>
  <c r="T271" i="15" s="1" a="1"/>
  <c r="T271" i="15" s="1"/>
  <c r="T272" i="15" s="1" a="1"/>
  <c r="T272" i="15" s="1"/>
  <c r="T273" i="15" s="1" a="1"/>
  <c r="T273" i="15" s="1"/>
  <c r="T274" i="15" s="1" a="1"/>
  <c r="T274" i="15" s="1"/>
  <c r="T275" i="15" s="1" a="1"/>
  <c r="T275" i="15" s="1"/>
  <c r="T276" i="15" s="1" a="1"/>
  <c r="T276" i="15" s="1"/>
  <c r="T277" i="15" s="1" a="1"/>
  <c r="T277" i="15" s="1"/>
  <c r="T278" i="15" s="1" a="1"/>
  <c r="T278" i="15" s="1"/>
  <c r="T279" i="15" s="1" a="1"/>
  <c r="T279" i="15" s="1"/>
  <c r="T280" i="15" s="1" a="1"/>
  <c r="T280" i="15" s="1"/>
  <c r="T281" i="15" s="1" a="1"/>
  <c r="T281" i="15" s="1"/>
  <c r="T282" i="15" s="1" a="1"/>
  <c r="T282" i="15" s="1"/>
  <c r="T283" i="15" s="1" a="1"/>
  <c r="T283" i="15" s="1"/>
  <c r="T284" i="15" s="1" a="1"/>
  <c r="T284" i="15" s="1"/>
  <c r="T285" i="15" s="1" a="1"/>
  <c r="T285" i="15" s="1"/>
  <c r="T286" i="15" s="1" a="1"/>
  <c r="T286" i="15" s="1"/>
  <c r="T287" i="15" s="1" a="1"/>
  <c r="T287" i="15" s="1"/>
  <c r="T288" i="15" s="1" a="1"/>
  <c r="T288" i="15" s="1"/>
  <c r="T289" i="15" s="1" a="1"/>
  <c r="T289" i="15" s="1"/>
  <c r="T290" i="15" s="1" a="1"/>
  <c r="T290" i="15" s="1"/>
  <c r="T291" i="15" s="1" a="1"/>
  <c r="T291" i="15" s="1"/>
  <c r="T292" i="15" s="1" a="1"/>
  <c r="T292" i="15" s="1"/>
  <c r="T293" i="15" s="1" a="1"/>
  <c r="T293" i="15" s="1"/>
  <c r="T294" i="15" s="1" a="1"/>
  <c r="T294" i="15" s="1"/>
  <c r="T295" i="15" s="1" a="1"/>
  <c r="T295" i="15" s="1"/>
  <c r="T296" i="15" s="1" a="1"/>
  <c r="T296" i="15" s="1"/>
  <c r="T297" i="15" s="1" a="1"/>
  <c r="T297" i="15" s="1"/>
  <c r="T298" i="15" s="1" a="1"/>
  <c r="T298" i="15" s="1"/>
  <c r="T299" i="15" s="1" a="1"/>
  <c r="T299" i="15" s="1"/>
  <c r="T300" i="15" s="1" a="1"/>
  <c r="T300" i="15" s="1"/>
  <c r="T301" i="15" s="1" a="1"/>
  <c r="T301" i="15" s="1"/>
  <c r="T302" i="15" s="1" a="1"/>
  <c r="T302" i="15" s="1"/>
  <c r="T303" i="15" s="1" a="1"/>
  <c r="T303" i="15" s="1"/>
  <c r="T304" i="15" s="1" a="1"/>
  <c r="T304" i="15" s="1"/>
  <c r="T305" i="15" s="1" a="1"/>
  <c r="T305" i="15" s="1"/>
  <c r="T306" i="15" s="1" a="1"/>
  <c r="T306" i="15" s="1"/>
  <c r="T307" i="15" s="1" a="1"/>
  <c r="T307" i="15" s="1"/>
  <c r="T308" i="15" s="1" a="1"/>
  <c r="T308" i="15" s="1"/>
  <c r="T309" i="15" s="1" a="1"/>
  <c r="T309" i="15" s="1"/>
  <c r="T310" i="15" s="1" a="1"/>
  <c r="T310" i="15" s="1"/>
  <c r="T311" i="15" s="1" a="1"/>
  <c r="T311" i="15" s="1"/>
  <c r="T312" i="15" s="1" a="1"/>
  <c r="T312" i="15" s="1"/>
  <c r="T313" i="15" s="1" a="1"/>
  <c r="T313" i="15" s="1"/>
  <c r="T314" i="15" s="1" a="1"/>
  <c r="T314" i="15" s="1"/>
  <c r="T315" i="15" s="1" a="1"/>
  <c r="T315" i="15" s="1"/>
  <c r="T316" i="15" s="1" a="1"/>
  <c r="T316" i="15" s="1"/>
  <c r="T317" i="15" s="1" a="1"/>
  <c r="T317" i="15" s="1"/>
  <c r="T318" i="15" s="1" a="1"/>
  <c r="T318" i="15" s="1"/>
  <c r="T319" i="15" s="1" a="1"/>
  <c r="T319" i="15" s="1"/>
  <c r="T320" i="15" s="1" a="1"/>
  <c r="T320" i="15" s="1"/>
  <c r="T321" i="15" s="1" a="1"/>
  <c r="T321" i="15" s="1"/>
  <c r="T322" i="15" s="1" a="1"/>
  <c r="T322" i="15" s="1"/>
  <c r="T323" i="15" s="1" a="1"/>
  <c r="T323" i="15" s="1"/>
  <c r="F225" i="15" a="1"/>
  <c r="F225" i="15" s="1"/>
  <c r="F226" i="15" s="1" a="1"/>
  <c r="F226" i="15" s="1"/>
  <c r="F227" i="15" s="1" a="1"/>
  <c r="F227" i="15" s="1"/>
  <c r="F228" i="15" s="1" a="1"/>
  <c r="F228" i="15" s="1"/>
  <c r="F229" i="15" s="1" a="1"/>
  <c r="F229" i="15" s="1"/>
  <c r="F230" i="15" s="1" a="1"/>
  <c r="F230" i="15" s="1"/>
  <c r="F231" i="15" s="1" a="1"/>
  <c r="F231" i="15" s="1"/>
  <c r="F232" i="15" s="1" a="1"/>
  <c r="F232" i="15" s="1"/>
  <c r="F233" i="15" s="1" a="1"/>
  <c r="F233" i="15" s="1"/>
  <c r="F234" i="15" s="1" a="1"/>
  <c r="F234" i="15" s="1"/>
  <c r="F235" i="15" s="1" a="1"/>
  <c r="F235" i="15" s="1"/>
  <c r="F236" i="15" s="1" a="1"/>
  <c r="F236" i="15" s="1"/>
  <c r="F237" i="15" s="1" a="1"/>
  <c r="F237" i="15" s="1"/>
  <c r="F238" i="15" s="1" a="1"/>
  <c r="F238" i="15" s="1"/>
  <c r="F239" i="15" s="1" a="1"/>
  <c r="F239" i="15" s="1"/>
  <c r="F240" i="15" s="1" a="1"/>
  <c r="F240" i="15" s="1"/>
  <c r="F241" i="15" s="1" a="1"/>
  <c r="F241" i="15" s="1"/>
  <c r="F242" i="15" s="1" a="1"/>
  <c r="F242" i="15" s="1"/>
  <c r="F243" i="15" s="1" a="1"/>
  <c r="F243" i="15" s="1"/>
  <c r="F244" i="15" s="1" a="1"/>
  <c r="F244" i="15" s="1"/>
  <c r="F245" i="15" s="1" a="1"/>
  <c r="F245" i="15" s="1"/>
  <c r="F246" i="15" s="1" a="1"/>
  <c r="F246" i="15" s="1"/>
  <c r="F247" i="15" s="1" a="1"/>
  <c r="F247" i="15" s="1"/>
  <c r="F248" i="15" s="1" a="1"/>
  <c r="F248" i="15" s="1"/>
  <c r="F249" i="15" s="1" a="1"/>
  <c r="F249" i="15" s="1"/>
  <c r="F250" i="15" s="1" a="1"/>
  <c r="F250" i="15" s="1"/>
  <c r="F251" i="15" s="1" a="1"/>
  <c r="F251" i="15" s="1"/>
  <c r="F252" i="15" s="1" a="1"/>
  <c r="F252" i="15" s="1"/>
  <c r="F253" i="15" s="1" a="1"/>
  <c r="F253" i="15" s="1"/>
  <c r="F254" i="15" s="1" a="1"/>
  <c r="F254" i="15" s="1"/>
  <c r="F255" i="15" s="1" a="1"/>
  <c r="F255" i="15" s="1"/>
  <c r="F256" i="15" s="1" a="1"/>
  <c r="F256" i="15" s="1"/>
  <c r="F257" i="15" s="1" a="1"/>
  <c r="F257" i="15" s="1"/>
  <c r="F258" i="15" s="1" a="1"/>
  <c r="F258" i="15" s="1"/>
  <c r="F259" i="15" s="1" a="1"/>
  <c r="F259" i="15" s="1"/>
  <c r="F260" i="15" s="1" a="1"/>
  <c r="F260" i="15" s="1"/>
  <c r="F261" i="15" s="1" a="1"/>
  <c r="F261" i="15" s="1"/>
  <c r="F262" i="15" s="1" a="1"/>
  <c r="F262" i="15" s="1"/>
  <c r="F263" i="15" s="1" a="1"/>
  <c r="F263" i="15" s="1"/>
  <c r="F264" i="15" s="1" a="1"/>
  <c r="F264" i="15" s="1"/>
  <c r="F265" i="15" s="1" a="1"/>
  <c r="F265" i="15" s="1"/>
  <c r="F266" i="15" s="1" a="1"/>
  <c r="F266" i="15" s="1"/>
  <c r="F267" i="15" s="1" a="1"/>
  <c r="F267" i="15" s="1"/>
  <c r="F268" i="15" s="1" a="1"/>
  <c r="F268" i="15" s="1"/>
  <c r="F269" i="15" s="1" a="1"/>
  <c r="F269" i="15" s="1"/>
  <c r="F270" i="15" s="1" a="1"/>
  <c r="F270" i="15" s="1"/>
  <c r="F271" i="15" s="1" a="1"/>
  <c r="F271" i="15" s="1"/>
  <c r="F272" i="15" s="1" a="1"/>
  <c r="F272" i="15" s="1"/>
  <c r="F273" i="15" s="1" a="1"/>
  <c r="F273" i="15" s="1"/>
  <c r="F274" i="15" s="1" a="1"/>
  <c r="F274" i="15" s="1"/>
  <c r="F275" i="15" s="1" a="1"/>
  <c r="F275" i="15" s="1"/>
  <c r="F276" i="15" s="1" a="1"/>
  <c r="F276" i="15" s="1"/>
  <c r="F277" i="15" s="1" a="1"/>
  <c r="F277" i="15" s="1"/>
  <c r="F278" i="15" s="1" a="1"/>
  <c r="F278" i="15" s="1"/>
  <c r="F279" i="15" s="1" a="1"/>
  <c r="F279" i="15" s="1"/>
  <c r="F280" i="15" s="1" a="1"/>
  <c r="F280" i="15" s="1"/>
  <c r="F281" i="15" s="1" a="1"/>
  <c r="F281" i="15" s="1"/>
  <c r="F282" i="15" s="1" a="1"/>
  <c r="F282" i="15" s="1"/>
  <c r="F283" i="15" s="1" a="1"/>
  <c r="F283" i="15" s="1"/>
  <c r="F284" i="15" s="1" a="1"/>
  <c r="F284" i="15" s="1"/>
  <c r="F285" i="15" s="1" a="1"/>
  <c r="F285" i="15" s="1"/>
  <c r="F286" i="15" s="1" a="1"/>
  <c r="F286" i="15" s="1"/>
  <c r="F287" i="15" s="1" a="1"/>
  <c r="F287" i="15" s="1"/>
  <c r="F288" i="15" s="1" a="1"/>
  <c r="F288" i="15" s="1"/>
  <c r="F289" i="15" s="1" a="1"/>
  <c r="F289" i="15" s="1"/>
  <c r="F290" i="15" s="1" a="1"/>
  <c r="F290" i="15" s="1"/>
  <c r="F291" i="15" s="1" a="1"/>
  <c r="F291" i="15" s="1"/>
  <c r="F292" i="15" s="1" a="1"/>
  <c r="F292" i="15" s="1"/>
  <c r="F293" i="15" s="1" a="1"/>
  <c r="F293" i="15" s="1"/>
  <c r="F294" i="15" s="1" a="1"/>
  <c r="F294" i="15" s="1"/>
  <c r="F295" i="15" s="1" a="1"/>
  <c r="F295" i="15" s="1"/>
  <c r="F296" i="15" s="1" a="1"/>
  <c r="F296" i="15" s="1"/>
  <c r="F297" i="15" s="1" a="1"/>
  <c r="F297" i="15" s="1"/>
  <c r="F298" i="15" s="1" a="1"/>
  <c r="F298" i="15" s="1"/>
  <c r="F299" i="15" s="1" a="1"/>
  <c r="F299" i="15" s="1"/>
  <c r="F300" i="15" s="1" a="1"/>
  <c r="F300" i="15" s="1"/>
  <c r="F301" i="15" s="1" a="1"/>
  <c r="F301" i="15" s="1"/>
  <c r="F302" i="15" s="1" a="1"/>
  <c r="F302" i="15" s="1"/>
  <c r="F303" i="15" s="1" a="1"/>
  <c r="F303" i="15" s="1"/>
  <c r="F304" i="15" s="1" a="1"/>
  <c r="F304" i="15" s="1"/>
  <c r="F305" i="15" s="1" a="1"/>
  <c r="F305" i="15" s="1"/>
  <c r="F306" i="15" s="1" a="1"/>
  <c r="F306" i="15" s="1"/>
  <c r="F307" i="15" s="1" a="1"/>
  <c r="F307" i="15" s="1"/>
  <c r="F308" i="15" s="1" a="1"/>
  <c r="F308" i="15" s="1"/>
  <c r="F309" i="15" s="1" a="1"/>
  <c r="F309" i="15" s="1"/>
  <c r="F310" i="15" s="1" a="1"/>
  <c r="F310" i="15" s="1"/>
  <c r="F311" i="15" s="1" a="1"/>
  <c r="F311" i="15" s="1"/>
  <c r="F312" i="15" s="1" a="1"/>
  <c r="F312" i="15" s="1"/>
  <c r="F313" i="15" s="1" a="1"/>
  <c r="F313" i="15" s="1"/>
  <c r="F314" i="15" s="1" a="1"/>
  <c r="F314" i="15" s="1"/>
  <c r="F315" i="15" s="1" a="1"/>
  <c r="F315" i="15" s="1"/>
  <c r="F316" i="15" s="1" a="1"/>
  <c r="F316" i="15" s="1"/>
  <c r="F317" i="15" s="1" a="1"/>
  <c r="F317" i="15" s="1"/>
  <c r="F318" i="15" s="1" a="1"/>
  <c r="F318" i="15" s="1"/>
  <c r="F319" i="15" s="1" a="1"/>
  <c r="F319" i="15" s="1"/>
  <c r="F320" i="15" s="1" a="1"/>
  <c r="F320" i="15" s="1"/>
  <c r="F321" i="15" s="1" a="1"/>
  <c r="F321" i="15" s="1"/>
  <c r="F322" i="15" s="1" a="1"/>
  <c r="F322" i="15" s="1"/>
  <c r="F323" i="15" s="1" a="1"/>
  <c r="F323" i="15" s="1"/>
  <c r="AB224" i="15"/>
  <c r="AB223" i="15"/>
  <c r="AB222" i="15"/>
  <c r="AB221" i="15"/>
  <c r="AB220" i="15"/>
  <c r="AB218" i="15"/>
  <c r="AB216" i="15"/>
  <c r="BB215" i="15"/>
  <c r="BA215" i="15"/>
  <c r="AZ215" i="15"/>
  <c r="AY215" i="15"/>
  <c r="AX215" i="15"/>
  <c r="AW215" i="15"/>
  <c r="AV215" i="15"/>
  <c r="AU215" i="15"/>
  <c r="AT215" i="15"/>
  <c r="AS215" i="15"/>
  <c r="AR215" i="15"/>
  <c r="AQ215" i="15"/>
  <c r="AQ211" i="15" s="1"/>
  <c r="AP215" i="15"/>
  <c r="AO215" i="15"/>
  <c r="AO211" i="15" s="1"/>
  <c r="AN215" i="15"/>
  <c r="AM215" i="15"/>
  <c r="AM211" i="15" s="1"/>
  <c r="AL215" i="15"/>
  <c r="AK215" i="15"/>
  <c r="AK211" i="15" s="1"/>
  <c r="AJ215" i="15"/>
  <c r="AI215" i="15"/>
  <c r="AI211" i="15" s="1"/>
  <c r="AH215" i="15"/>
  <c r="AG215" i="15"/>
  <c r="AG211" i="15" s="1"/>
  <c r="AF215" i="15"/>
  <c r="AE215" i="15"/>
  <c r="AE211" i="15" s="1"/>
  <c r="AB215" i="15"/>
  <c r="AB219" i="15" s="1"/>
  <c r="AB214" i="15"/>
  <c r="AB213" i="15"/>
  <c r="AB212" i="15"/>
  <c r="BB211" i="15"/>
  <c r="BA211" i="15"/>
  <c r="AZ211" i="15"/>
  <c r="AY211" i="15"/>
  <c r="AX211" i="15"/>
  <c r="AW211" i="15"/>
  <c r="AV211" i="15"/>
  <c r="AU211" i="15"/>
  <c r="AT211" i="15"/>
  <c r="AR211" i="15"/>
  <c r="AP211" i="15"/>
  <c r="AN211" i="15"/>
  <c r="AL211" i="15"/>
  <c r="AJ211" i="15"/>
  <c r="AF211" i="15"/>
  <c r="BA210" i="15"/>
  <c r="AY210" i="15"/>
  <c r="AW210" i="15"/>
  <c r="AU210" i="15"/>
  <c r="AS210" i="15"/>
  <c r="AQ210" i="15"/>
  <c r="AO210" i="15"/>
  <c r="AM210" i="15"/>
  <c r="AK210" i="15"/>
  <c r="AI210" i="15"/>
  <c r="AG210" i="15"/>
  <c r="AE210" i="15"/>
  <c r="AB210" i="15"/>
  <c r="BB209" i="15"/>
  <c r="AZ209" i="15"/>
  <c r="AX209" i="15"/>
  <c r="AV209" i="15"/>
  <c r="AT209" i="15"/>
  <c r="AR209" i="15"/>
  <c r="AP209" i="15"/>
  <c r="AN209" i="15"/>
  <c r="AL209" i="15"/>
  <c r="AJ209" i="15"/>
  <c r="AH209" i="15"/>
  <c r="AF209" i="15"/>
  <c r="AB209" i="15"/>
  <c r="BA208" i="15"/>
  <c r="AY208" i="15"/>
  <c r="AW208" i="15"/>
  <c r="AU208" i="15"/>
  <c r="AS208" i="15"/>
  <c r="AQ208" i="15"/>
  <c r="AO208" i="15"/>
  <c r="AM208" i="15"/>
  <c r="AK208" i="15"/>
  <c r="AI208" i="15"/>
  <c r="AG208" i="15"/>
  <c r="AE208" i="15"/>
  <c r="AB208" i="15"/>
  <c r="BB207" i="15"/>
  <c r="AZ207" i="15"/>
  <c r="AX207" i="15"/>
  <c r="AV207" i="15"/>
  <c r="AT207" i="15"/>
  <c r="AR207" i="15"/>
  <c r="AP207" i="15"/>
  <c r="AN207" i="15"/>
  <c r="AL207" i="15"/>
  <c r="AJ207" i="15"/>
  <c r="AH207" i="15"/>
  <c r="AF207" i="15"/>
  <c r="AB207" i="15"/>
  <c r="BA206" i="15"/>
  <c r="AY206" i="15"/>
  <c r="AW206" i="15"/>
  <c r="AU206" i="15"/>
  <c r="AS206" i="15"/>
  <c r="AQ206" i="15"/>
  <c r="AO206" i="15"/>
  <c r="AM206" i="15"/>
  <c r="AK206" i="15"/>
  <c r="AI206" i="15"/>
  <c r="AG206" i="15"/>
  <c r="AE206" i="15"/>
  <c r="BB205" i="15"/>
  <c r="AZ205" i="15"/>
  <c r="AX205" i="15"/>
  <c r="AV205" i="15"/>
  <c r="AT205" i="15"/>
  <c r="AR205" i="15"/>
  <c r="AP205" i="15"/>
  <c r="AN205" i="15"/>
  <c r="AL205" i="15"/>
  <c r="AJ205" i="15"/>
  <c r="AH205" i="15"/>
  <c r="AF205" i="15"/>
  <c r="BA204" i="15"/>
  <c r="AY204" i="15"/>
  <c r="AW204" i="15"/>
  <c r="AU204" i="15"/>
  <c r="AS204" i="15"/>
  <c r="AQ204" i="15"/>
  <c r="AO204" i="15"/>
  <c r="AM204" i="15"/>
  <c r="AK204" i="15"/>
  <c r="AI204" i="15"/>
  <c r="AG204" i="15"/>
  <c r="AE204" i="15"/>
  <c r="BB203" i="15"/>
  <c r="AZ203" i="15"/>
  <c r="AX203" i="15"/>
  <c r="AV203" i="15"/>
  <c r="AT203" i="15"/>
  <c r="AR203" i="15"/>
  <c r="AP203" i="15"/>
  <c r="AN203" i="15"/>
  <c r="AL203" i="15"/>
  <c r="AJ203" i="15"/>
  <c r="AH203" i="15"/>
  <c r="AF203" i="15"/>
  <c r="BA202" i="15"/>
  <c r="AY202" i="15"/>
  <c r="AW202" i="15"/>
  <c r="AU202" i="15"/>
  <c r="AS202" i="15"/>
  <c r="AQ202" i="15"/>
  <c r="AO202" i="15"/>
  <c r="AM202" i="15"/>
  <c r="AK202" i="15"/>
  <c r="AI202" i="15"/>
  <c r="AG202" i="15"/>
  <c r="AE202" i="15"/>
  <c r="AB201" i="15"/>
  <c r="AB203" i="15" s="1"/>
  <c r="BA200" i="15"/>
  <c r="AY200" i="15"/>
  <c r="AW200" i="15"/>
  <c r="AU200" i="15"/>
  <c r="AS200" i="15"/>
  <c r="AQ200" i="15"/>
  <c r="AO200" i="15"/>
  <c r="AM200" i="15"/>
  <c r="AK200" i="15"/>
  <c r="AI200" i="15"/>
  <c r="AG200" i="15"/>
  <c r="AE200" i="15"/>
  <c r="AB200" i="15"/>
  <c r="BB199" i="15"/>
  <c r="AZ199" i="15"/>
  <c r="AX199" i="15"/>
  <c r="AV199" i="15"/>
  <c r="AT199" i="15"/>
  <c r="AR199" i="15"/>
  <c r="AP199" i="15"/>
  <c r="AN199" i="15"/>
  <c r="AL199" i="15"/>
  <c r="AJ199" i="15"/>
  <c r="AH199" i="15"/>
  <c r="AF199" i="15"/>
  <c r="AB199" i="15"/>
  <c r="BA198" i="15"/>
  <c r="AY198" i="15"/>
  <c r="AW198" i="15"/>
  <c r="AU198" i="15"/>
  <c r="AS198" i="15"/>
  <c r="AQ198" i="15"/>
  <c r="AO198" i="15"/>
  <c r="AM198" i="15"/>
  <c r="AK198" i="15"/>
  <c r="AI198" i="15"/>
  <c r="AG198" i="15"/>
  <c r="AE198" i="15"/>
  <c r="AB198" i="15"/>
  <c r="BB196" i="15"/>
  <c r="BB210" i="15" s="1"/>
  <c r="BA196" i="15"/>
  <c r="AZ196" i="15"/>
  <c r="AZ210" i="15" s="1"/>
  <c r="AY196" i="15"/>
  <c r="AX196" i="15"/>
  <c r="AX210" i="15" s="1"/>
  <c r="AW196" i="15"/>
  <c r="AV196" i="15"/>
  <c r="AV210" i="15" s="1"/>
  <c r="AU196" i="15"/>
  <c r="AT196" i="15"/>
  <c r="AT210" i="15" s="1"/>
  <c r="AS196" i="15"/>
  <c r="AR196" i="15"/>
  <c r="AR210" i="15" s="1"/>
  <c r="AQ196" i="15"/>
  <c r="AP196" i="15"/>
  <c r="AP210" i="15" s="1"/>
  <c r="AO196" i="15"/>
  <c r="AN196" i="15"/>
  <c r="AN210" i="15" s="1"/>
  <c r="AM196" i="15"/>
  <c r="AL196" i="15"/>
  <c r="AL210" i="15" s="1"/>
  <c r="AK196" i="15"/>
  <c r="AJ196" i="15"/>
  <c r="AJ210" i="15" s="1"/>
  <c r="AI196" i="15"/>
  <c r="AH196" i="15"/>
  <c r="AH210" i="15" s="1"/>
  <c r="AG196" i="15"/>
  <c r="AF196" i="15"/>
  <c r="AF210" i="15" s="1"/>
  <c r="AE196" i="15"/>
  <c r="AB196" i="15"/>
  <c r="BB195" i="15"/>
  <c r="BA195" i="15"/>
  <c r="BA209" i="15" s="1"/>
  <c r="AZ195" i="15"/>
  <c r="AY195" i="15"/>
  <c r="AY209" i="15" s="1"/>
  <c r="AX195" i="15"/>
  <c r="AW195" i="15"/>
  <c r="AW209" i="15" s="1"/>
  <c r="AV195" i="15"/>
  <c r="AU195" i="15"/>
  <c r="AU209" i="15" s="1"/>
  <c r="AT195" i="15"/>
  <c r="AS195" i="15"/>
  <c r="AS209" i="15" s="1"/>
  <c r="AR195" i="15"/>
  <c r="AQ195" i="15"/>
  <c r="AQ209" i="15" s="1"/>
  <c r="AP195" i="15"/>
  <c r="AO195" i="15"/>
  <c r="AO209" i="15" s="1"/>
  <c r="AN195" i="15"/>
  <c r="AM195" i="15"/>
  <c r="AM209" i="15" s="1"/>
  <c r="AL195" i="15"/>
  <c r="AK195" i="15"/>
  <c r="AK209" i="15" s="1"/>
  <c r="AJ195" i="15"/>
  <c r="AI195" i="15"/>
  <c r="AI209" i="15" s="1"/>
  <c r="AH195" i="15"/>
  <c r="AG195" i="15"/>
  <c r="AG209" i="15" s="1"/>
  <c r="AF195" i="15"/>
  <c r="AE195" i="15"/>
  <c r="AE209" i="15" s="1"/>
  <c r="AB195" i="15"/>
  <c r="BB194" i="15"/>
  <c r="BB208" i="15" s="1"/>
  <c r="BA194" i="15"/>
  <c r="AZ194" i="15"/>
  <c r="AZ208" i="15" s="1"/>
  <c r="AY194" i="15"/>
  <c r="AX194" i="15"/>
  <c r="AX208" i="15" s="1"/>
  <c r="AW194" i="15"/>
  <c r="AV194" i="15"/>
  <c r="AV208" i="15" s="1"/>
  <c r="AU194" i="15"/>
  <c r="AT194" i="15"/>
  <c r="AT208" i="15" s="1"/>
  <c r="AS194" i="15"/>
  <c r="AR194" i="15"/>
  <c r="AR208" i="15" s="1"/>
  <c r="AQ194" i="15"/>
  <c r="AP194" i="15"/>
  <c r="AP208" i="15" s="1"/>
  <c r="AO194" i="15"/>
  <c r="AN194" i="15"/>
  <c r="AN208" i="15" s="1"/>
  <c r="AM194" i="15"/>
  <c r="AL194" i="15"/>
  <c r="AL208" i="15" s="1"/>
  <c r="AK194" i="15"/>
  <c r="AJ194" i="15"/>
  <c r="AJ208" i="15" s="1"/>
  <c r="AI194" i="15"/>
  <c r="AH194" i="15"/>
  <c r="AH208" i="15" s="1"/>
  <c r="AG194" i="15"/>
  <c r="AF194" i="15"/>
  <c r="AF208" i="15" s="1"/>
  <c r="AE194" i="15"/>
  <c r="AB194" i="15"/>
  <c r="BB193" i="15"/>
  <c r="BA193" i="15"/>
  <c r="BA207" i="15" s="1"/>
  <c r="AZ193" i="15"/>
  <c r="AY193" i="15"/>
  <c r="AY207" i="15" s="1"/>
  <c r="AX193" i="15"/>
  <c r="AW193" i="15"/>
  <c r="AW207" i="15" s="1"/>
  <c r="AV193" i="15"/>
  <c r="AU193" i="15"/>
  <c r="AU207" i="15" s="1"/>
  <c r="AT193" i="15"/>
  <c r="AS193" i="15"/>
  <c r="AS207" i="15" s="1"/>
  <c r="AR193" i="15"/>
  <c r="AQ193" i="15"/>
  <c r="AQ207" i="15" s="1"/>
  <c r="AP193" i="15"/>
  <c r="AO193" i="15"/>
  <c r="AO207" i="15" s="1"/>
  <c r="AN193" i="15"/>
  <c r="AM193" i="15"/>
  <c r="AM207" i="15" s="1"/>
  <c r="AL193" i="15"/>
  <c r="AK193" i="15"/>
  <c r="AK207" i="15" s="1"/>
  <c r="AJ193" i="15"/>
  <c r="AI193" i="15"/>
  <c r="AI207" i="15" s="1"/>
  <c r="AH193" i="15"/>
  <c r="AG193" i="15"/>
  <c r="AG207" i="15" s="1"/>
  <c r="AF193" i="15"/>
  <c r="AE193" i="15"/>
  <c r="AE207" i="15" s="1"/>
  <c r="AB193" i="15"/>
  <c r="BB192" i="15"/>
  <c r="BB206" i="15" s="1"/>
  <c r="BA192" i="15"/>
  <c r="AZ192" i="15"/>
  <c r="AZ206" i="15" s="1"/>
  <c r="AY192" i="15"/>
  <c r="AX192" i="15"/>
  <c r="AX206" i="15" s="1"/>
  <c r="AW192" i="15"/>
  <c r="AV192" i="15"/>
  <c r="AV206" i="15" s="1"/>
  <c r="AU192" i="15"/>
  <c r="AT192" i="15"/>
  <c r="AT206" i="15" s="1"/>
  <c r="AS192" i="15"/>
  <c r="AR192" i="15"/>
  <c r="AR206" i="15" s="1"/>
  <c r="AQ192" i="15"/>
  <c r="AP192" i="15"/>
  <c r="AP206" i="15" s="1"/>
  <c r="AO192" i="15"/>
  <c r="AN192" i="15"/>
  <c r="AN206" i="15" s="1"/>
  <c r="AM192" i="15"/>
  <c r="AL192" i="15"/>
  <c r="AL206" i="15" s="1"/>
  <c r="AK192" i="15"/>
  <c r="AJ192" i="15"/>
  <c r="AJ206" i="15" s="1"/>
  <c r="AI192" i="15"/>
  <c r="AH192" i="15"/>
  <c r="AH206" i="15" s="1"/>
  <c r="AG192" i="15"/>
  <c r="AF192" i="15"/>
  <c r="AF206" i="15" s="1"/>
  <c r="AE192" i="15"/>
  <c r="AB192" i="15"/>
  <c r="BB191" i="15"/>
  <c r="BA191" i="15"/>
  <c r="BA205" i="15" s="1"/>
  <c r="AZ191" i="15"/>
  <c r="AY191" i="15"/>
  <c r="AY205" i="15" s="1"/>
  <c r="AX191" i="15"/>
  <c r="AW191" i="15"/>
  <c r="AW205" i="15" s="1"/>
  <c r="AV191" i="15"/>
  <c r="AU191" i="15"/>
  <c r="AU205" i="15" s="1"/>
  <c r="AT191" i="15"/>
  <c r="AS191" i="15"/>
  <c r="AS205" i="15" s="1"/>
  <c r="AR191" i="15"/>
  <c r="AQ191" i="15"/>
  <c r="AQ205" i="15" s="1"/>
  <c r="AP191" i="15"/>
  <c r="AO191" i="15"/>
  <c r="AO205" i="15" s="1"/>
  <c r="AN191" i="15"/>
  <c r="AM191" i="15"/>
  <c r="AM205" i="15" s="1"/>
  <c r="AL191" i="15"/>
  <c r="AK191" i="15"/>
  <c r="AK205" i="15" s="1"/>
  <c r="AJ191" i="15"/>
  <c r="AI191" i="15"/>
  <c r="AI205" i="15" s="1"/>
  <c r="AH191" i="15"/>
  <c r="AG191" i="15"/>
  <c r="AG205" i="15" s="1"/>
  <c r="AF191" i="15"/>
  <c r="AE191" i="15"/>
  <c r="AE205" i="15" s="1"/>
  <c r="BB190" i="15"/>
  <c r="BB204" i="15" s="1"/>
  <c r="BA190" i="15"/>
  <c r="AZ190" i="15"/>
  <c r="AZ204" i="15" s="1"/>
  <c r="AY190" i="15"/>
  <c r="AX190" i="15"/>
  <c r="AX204" i="15" s="1"/>
  <c r="AW190" i="15"/>
  <c r="AV190" i="15"/>
  <c r="AV204" i="15" s="1"/>
  <c r="AU190" i="15"/>
  <c r="AT190" i="15"/>
  <c r="AT204" i="15" s="1"/>
  <c r="AS190" i="15"/>
  <c r="AR190" i="15"/>
  <c r="AR204" i="15" s="1"/>
  <c r="AQ190" i="15"/>
  <c r="AP190" i="15"/>
  <c r="AP204" i="15" s="1"/>
  <c r="AO190" i="15"/>
  <c r="AN190" i="15"/>
  <c r="AN204" i="15" s="1"/>
  <c r="AM190" i="15"/>
  <c r="AL190" i="15"/>
  <c r="AL204" i="15" s="1"/>
  <c r="AK190" i="15"/>
  <c r="AJ190" i="15"/>
  <c r="AJ204" i="15" s="1"/>
  <c r="AI190" i="15"/>
  <c r="AH190" i="15"/>
  <c r="AH204" i="15" s="1"/>
  <c r="AG190" i="15"/>
  <c r="AF190" i="15"/>
  <c r="AF204" i="15" s="1"/>
  <c r="AE190" i="15"/>
  <c r="AB190" i="15"/>
  <c r="BB189" i="15"/>
  <c r="BA189" i="15"/>
  <c r="BA203" i="15" s="1"/>
  <c r="AZ189" i="15"/>
  <c r="AY189" i="15"/>
  <c r="AY203" i="15" s="1"/>
  <c r="AX189" i="15"/>
  <c r="AW189" i="15"/>
  <c r="AW203" i="15" s="1"/>
  <c r="AV189" i="15"/>
  <c r="AU189" i="15"/>
  <c r="AU203" i="15" s="1"/>
  <c r="AT189" i="15"/>
  <c r="AS189" i="15"/>
  <c r="AS203" i="15" s="1"/>
  <c r="AR189" i="15"/>
  <c r="AQ189" i="15"/>
  <c r="AQ203" i="15" s="1"/>
  <c r="AP189" i="15"/>
  <c r="AO189" i="15"/>
  <c r="AO203" i="15" s="1"/>
  <c r="AN189" i="15"/>
  <c r="AM189" i="15"/>
  <c r="AM203" i="15" s="1"/>
  <c r="AL189" i="15"/>
  <c r="AK189" i="15"/>
  <c r="AK203" i="15" s="1"/>
  <c r="AJ189" i="15"/>
  <c r="AI189" i="15"/>
  <c r="AI203" i="15" s="1"/>
  <c r="AH189" i="15"/>
  <c r="AG189" i="15"/>
  <c r="AG203" i="15" s="1"/>
  <c r="AF189" i="15"/>
  <c r="AE189" i="15"/>
  <c r="AE203" i="15" s="1"/>
  <c r="BB188" i="15"/>
  <c r="BA188" i="15"/>
  <c r="AZ188" i="15"/>
  <c r="AY188" i="15"/>
  <c r="AX188" i="15"/>
  <c r="AW188" i="15"/>
  <c r="AV188" i="15"/>
  <c r="AU188" i="15"/>
  <c r="AT188" i="15"/>
  <c r="AS188" i="15"/>
  <c r="AR188" i="15"/>
  <c r="AQ188" i="15"/>
  <c r="AP188" i="15"/>
  <c r="AO188" i="15"/>
  <c r="AN188" i="15"/>
  <c r="AM188" i="15"/>
  <c r="AL188" i="15"/>
  <c r="AK188" i="15"/>
  <c r="AJ188" i="15"/>
  <c r="AI188" i="15"/>
  <c r="AH188" i="15"/>
  <c r="AG188" i="15"/>
  <c r="AF188" i="15"/>
  <c r="AE188" i="15"/>
  <c r="AB188" i="15"/>
  <c r="AY187" i="15"/>
  <c r="AY201" i="15" s="1"/>
  <c r="AU187" i="15"/>
  <c r="AU201" i="15" s="1"/>
  <c r="AQ187" i="15"/>
  <c r="AQ201" i="15" s="1"/>
  <c r="AM187" i="15"/>
  <c r="AM201" i="15" s="1"/>
  <c r="AI187" i="15"/>
  <c r="AI201" i="15" s="1"/>
  <c r="AE187" i="15"/>
  <c r="AE201" i="15" s="1"/>
  <c r="AB187" i="15"/>
  <c r="AB191" i="15" s="1"/>
  <c r="BB186" i="15"/>
  <c r="BB200" i="15" s="1"/>
  <c r="BA186" i="15"/>
  <c r="AZ186" i="15"/>
  <c r="AZ200" i="15" s="1"/>
  <c r="AY186" i="15"/>
  <c r="AX186" i="15"/>
  <c r="AX200" i="15" s="1"/>
  <c r="AW186" i="15"/>
  <c r="AV186" i="15"/>
  <c r="AV200" i="15" s="1"/>
  <c r="AU186" i="15"/>
  <c r="AT186" i="15"/>
  <c r="AT200" i="15" s="1"/>
  <c r="AS186" i="15"/>
  <c r="AR186" i="15"/>
  <c r="AR200" i="15" s="1"/>
  <c r="AQ186" i="15"/>
  <c r="AP186" i="15"/>
  <c r="AP200" i="15" s="1"/>
  <c r="AO186" i="15"/>
  <c r="AN186" i="15"/>
  <c r="AN200" i="15" s="1"/>
  <c r="AM186" i="15"/>
  <c r="AL186" i="15"/>
  <c r="AL200" i="15" s="1"/>
  <c r="AK186" i="15"/>
  <c r="AJ186" i="15"/>
  <c r="AJ200" i="15" s="1"/>
  <c r="AI186" i="15"/>
  <c r="AH186" i="15"/>
  <c r="AH200" i="15" s="1"/>
  <c r="AG186" i="15"/>
  <c r="AF186" i="15"/>
  <c r="AF200" i="15" s="1"/>
  <c r="AE186" i="15"/>
  <c r="AB186" i="15"/>
  <c r="BB185" i="15"/>
  <c r="BA185" i="15"/>
  <c r="BA199" i="15" s="1"/>
  <c r="AZ185" i="15"/>
  <c r="AY185" i="15"/>
  <c r="AY199" i="15" s="1"/>
  <c r="AX185" i="15"/>
  <c r="AW185" i="15"/>
  <c r="AW199" i="15" s="1"/>
  <c r="AV185" i="15"/>
  <c r="AU185" i="15"/>
  <c r="AU199" i="15" s="1"/>
  <c r="AT185" i="15"/>
  <c r="AS185" i="15"/>
  <c r="AS199" i="15" s="1"/>
  <c r="AR185" i="15"/>
  <c r="AQ185" i="15"/>
  <c r="AQ199" i="15" s="1"/>
  <c r="AP185" i="15"/>
  <c r="AO185" i="15"/>
  <c r="AO199" i="15" s="1"/>
  <c r="AN185" i="15"/>
  <c r="AM185" i="15"/>
  <c r="AM199" i="15" s="1"/>
  <c r="AL185" i="15"/>
  <c r="AK185" i="15"/>
  <c r="AK199" i="15" s="1"/>
  <c r="AJ185" i="15"/>
  <c r="AI185" i="15"/>
  <c r="AI199" i="15" s="1"/>
  <c r="AH185" i="15"/>
  <c r="AG185" i="15"/>
  <c r="AG199" i="15" s="1"/>
  <c r="AF185" i="15"/>
  <c r="AE185" i="15"/>
  <c r="AE199" i="15" s="1"/>
  <c r="AB185" i="15"/>
  <c r="BB184" i="15"/>
  <c r="BA184" i="15"/>
  <c r="AZ184" i="15"/>
  <c r="AY184" i="15"/>
  <c r="AX184" i="15"/>
  <c r="AW184" i="15"/>
  <c r="AV184" i="15"/>
  <c r="AU184" i="15"/>
  <c r="AT184" i="15"/>
  <c r="AS184" i="15"/>
  <c r="AR184" i="15"/>
  <c r="AQ184" i="15"/>
  <c r="AP184" i="15"/>
  <c r="AO184" i="15"/>
  <c r="AN184" i="15"/>
  <c r="AM184" i="15"/>
  <c r="AL184" i="15"/>
  <c r="AK184" i="15"/>
  <c r="AJ184" i="15"/>
  <c r="AI184" i="15"/>
  <c r="AH184" i="15"/>
  <c r="AG184" i="15"/>
  <c r="AF184" i="15"/>
  <c r="AE184" i="15"/>
  <c r="AB184" i="15"/>
  <c r="AY183" i="15"/>
  <c r="AU183" i="15"/>
  <c r="AQ183" i="15"/>
  <c r="AM183" i="15"/>
  <c r="AI183" i="15"/>
  <c r="AE183" i="15"/>
  <c r="AB182" i="15"/>
  <c r="AB181" i="15"/>
  <c r="AB180" i="15"/>
  <c r="AB179" i="15"/>
  <c r="AB175"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4" i="15"/>
  <c r="AB162" i="15"/>
  <c r="AB160"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3"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7"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18"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A111" i="15"/>
  <c r="AY111" i="15"/>
  <c r="AW111" i="15"/>
  <c r="AU111" i="15"/>
  <c r="AS111" i="15"/>
  <c r="AQ111" i="15"/>
  <c r="AO111" i="15"/>
  <c r="AM111" i="15"/>
  <c r="AK111" i="15"/>
  <c r="AI111" i="15"/>
  <c r="AG111" i="15"/>
  <c r="AE111" i="15"/>
  <c r="AB111" i="15"/>
  <c r="BB110" i="15"/>
  <c r="AZ110" i="15"/>
  <c r="AX110" i="15"/>
  <c r="AV110" i="15"/>
  <c r="AT110" i="15"/>
  <c r="AR110" i="15"/>
  <c r="AP110" i="15"/>
  <c r="AN110" i="15"/>
  <c r="AL110" i="15"/>
  <c r="AJ110" i="15"/>
  <c r="AH110" i="15"/>
  <c r="AF110" i="15"/>
  <c r="AB110" i="15"/>
  <c r="BA109" i="15"/>
  <c r="AY109" i="15"/>
  <c r="AW109" i="15"/>
  <c r="AU109" i="15"/>
  <c r="AS109" i="15"/>
  <c r="AQ109" i="15"/>
  <c r="AO109" i="15"/>
  <c r="AM109" i="15"/>
  <c r="AK109" i="15"/>
  <c r="AI109" i="15"/>
  <c r="AG109" i="15"/>
  <c r="AE109" i="15"/>
  <c r="AB109" i="15"/>
  <c r="BB108" i="15"/>
  <c r="AZ108" i="15"/>
  <c r="AX108" i="15"/>
  <c r="AV108" i="15"/>
  <c r="AT108" i="15"/>
  <c r="AR108" i="15"/>
  <c r="AP108" i="15"/>
  <c r="AN108" i="15"/>
  <c r="AL108" i="15"/>
  <c r="AJ108" i="15"/>
  <c r="AH108" i="15"/>
  <c r="AF108" i="15"/>
  <c r="AB108" i="15"/>
  <c r="BA107" i="15"/>
  <c r="AY107" i="15"/>
  <c r="AW107" i="15"/>
  <c r="AU107" i="15"/>
  <c r="AS107" i="15"/>
  <c r="AQ107" i="15"/>
  <c r="AO107" i="15"/>
  <c r="AM107" i="15"/>
  <c r="AK107" i="15"/>
  <c r="AI107" i="15"/>
  <c r="AG107" i="15"/>
  <c r="AE107" i="15"/>
  <c r="BB106" i="15"/>
  <c r="AZ106" i="15"/>
  <c r="AX106" i="15"/>
  <c r="AV106" i="15"/>
  <c r="AT106" i="15"/>
  <c r="AR106" i="15"/>
  <c r="AP106" i="15"/>
  <c r="AN106" i="15"/>
  <c r="AL106" i="15"/>
  <c r="AJ106" i="15"/>
  <c r="AH106" i="15"/>
  <c r="AF106" i="15"/>
  <c r="BA105" i="15"/>
  <c r="AY105" i="15"/>
  <c r="AW105" i="15"/>
  <c r="AU105" i="15"/>
  <c r="AS105" i="15"/>
  <c r="AQ105" i="15"/>
  <c r="AO105" i="15"/>
  <c r="AM105" i="15"/>
  <c r="AK105" i="15"/>
  <c r="AI105" i="15"/>
  <c r="AG105" i="15"/>
  <c r="AE105" i="15"/>
  <c r="BB104" i="15"/>
  <c r="AZ104" i="15"/>
  <c r="AX104" i="15"/>
  <c r="AV104" i="15"/>
  <c r="AT104" i="15"/>
  <c r="AR104" i="15"/>
  <c r="AP104" i="15"/>
  <c r="AN104" i="15"/>
  <c r="AL104" i="15"/>
  <c r="AJ104" i="15"/>
  <c r="AH104" i="15"/>
  <c r="AF104" i="15"/>
  <c r="BA103" i="15"/>
  <c r="AY103" i="15"/>
  <c r="AW103" i="15"/>
  <c r="AU103" i="15"/>
  <c r="AS103" i="15"/>
  <c r="AQ103" i="15"/>
  <c r="AO103" i="15"/>
  <c r="AM103" i="15"/>
  <c r="AK103" i="15"/>
  <c r="AI103" i="15"/>
  <c r="AG103" i="15"/>
  <c r="AE103" i="15"/>
  <c r="AB102" i="15"/>
  <c r="AB106" i="15" s="1"/>
  <c r="BA101" i="15"/>
  <c r="AY101" i="15"/>
  <c r="AW101" i="15"/>
  <c r="AU101" i="15"/>
  <c r="AS101" i="15"/>
  <c r="AQ101" i="15"/>
  <c r="AO101" i="15"/>
  <c r="AM101" i="15"/>
  <c r="AK101" i="15"/>
  <c r="AI101" i="15"/>
  <c r="AG101" i="15"/>
  <c r="AE101" i="15"/>
  <c r="AB101" i="15"/>
  <c r="BB100" i="15"/>
  <c r="AZ100" i="15"/>
  <c r="AX100" i="15"/>
  <c r="AV100" i="15"/>
  <c r="AT100" i="15"/>
  <c r="AR100" i="15"/>
  <c r="AP100" i="15"/>
  <c r="AN100" i="15"/>
  <c r="AL100" i="15"/>
  <c r="AJ100" i="15"/>
  <c r="AH100" i="15"/>
  <c r="AF100" i="15"/>
  <c r="AB100" i="15"/>
  <c r="BA99" i="15"/>
  <c r="AY99" i="15"/>
  <c r="AW99" i="15"/>
  <c r="AU99" i="15"/>
  <c r="AS99" i="15"/>
  <c r="AQ99" i="15"/>
  <c r="AO99" i="15"/>
  <c r="AM99" i="15"/>
  <c r="AK99" i="15"/>
  <c r="AI99" i="15"/>
  <c r="AG99" i="15"/>
  <c r="AE99" i="15"/>
  <c r="AB99" i="15"/>
  <c r="BB97" i="15"/>
  <c r="BB111" i="15" s="1"/>
  <c r="BA97" i="15"/>
  <c r="AZ97" i="15"/>
  <c r="AZ111" i="15" s="1"/>
  <c r="AY97" i="15"/>
  <c r="AX97" i="15"/>
  <c r="AX111" i="15" s="1"/>
  <c r="AW97" i="15"/>
  <c r="AV97" i="15"/>
  <c r="AV111" i="15" s="1"/>
  <c r="AU97" i="15"/>
  <c r="AT97" i="15"/>
  <c r="AT111" i="15" s="1"/>
  <c r="AS97" i="15"/>
  <c r="AR97" i="15"/>
  <c r="AR111" i="15" s="1"/>
  <c r="AQ97" i="15"/>
  <c r="AP97" i="15"/>
  <c r="AP111" i="15" s="1"/>
  <c r="AO97" i="15"/>
  <c r="AN97" i="15"/>
  <c r="AN111" i="15" s="1"/>
  <c r="AM97" i="15"/>
  <c r="AL97" i="15"/>
  <c r="AL111" i="15" s="1"/>
  <c r="AK97" i="15"/>
  <c r="AJ97" i="15"/>
  <c r="AJ111" i="15" s="1"/>
  <c r="AI97" i="15"/>
  <c r="AH97" i="15"/>
  <c r="AH111" i="15" s="1"/>
  <c r="AG97" i="15"/>
  <c r="AF97" i="15"/>
  <c r="AF111" i="15" s="1"/>
  <c r="AE97" i="15"/>
  <c r="AB97" i="15"/>
  <c r="BB96" i="15"/>
  <c r="BA96" i="15"/>
  <c r="BA110" i="15" s="1"/>
  <c r="AZ96" i="15"/>
  <c r="AY96" i="15"/>
  <c r="AY110" i="15" s="1"/>
  <c r="AX96" i="15"/>
  <c r="AW96" i="15"/>
  <c r="AW110" i="15" s="1"/>
  <c r="AV96" i="15"/>
  <c r="AU96" i="15"/>
  <c r="AU110" i="15" s="1"/>
  <c r="AT96" i="15"/>
  <c r="AS96" i="15"/>
  <c r="AS110" i="15" s="1"/>
  <c r="AR96" i="15"/>
  <c r="AQ96" i="15"/>
  <c r="AQ110" i="15" s="1"/>
  <c r="AP96" i="15"/>
  <c r="AO96" i="15"/>
  <c r="AO110" i="15" s="1"/>
  <c r="AN96" i="15"/>
  <c r="AM96" i="15"/>
  <c r="AM110" i="15" s="1"/>
  <c r="AL96" i="15"/>
  <c r="AK96" i="15"/>
  <c r="AK110" i="15" s="1"/>
  <c r="AJ96" i="15"/>
  <c r="AI96" i="15"/>
  <c r="AI110" i="15" s="1"/>
  <c r="AH96" i="15"/>
  <c r="AG96" i="15"/>
  <c r="AG110" i="15" s="1"/>
  <c r="AF96" i="15"/>
  <c r="AE96" i="15"/>
  <c r="AE110" i="15" s="1"/>
  <c r="AB96" i="15"/>
  <c r="BB95" i="15"/>
  <c r="BB109" i="15" s="1"/>
  <c r="BA95" i="15"/>
  <c r="AZ95" i="15"/>
  <c r="AZ109" i="15" s="1"/>
  <c r="AY95" i="15"/>
  <c r="AX95" i="15"/>
  <c r="AX109" i="15" s="1"/>
  <c r="AW95" i="15"/>
  <c r="AV95" i="15"/>
  <c r="AV109" i="15" s="1"/>
  <c r="AU95" i="15"/>
  <c r="AT95" i="15"/>
  <c r="AT109" i="15" s="1"/>
  <c r="AS95" i="15"/>
  <c r="AR95" i="15"/>
  <c r="AR109" i="15" s="1"/>
  <c r="AQ95" i="15"/>
  <c r="AP95" i="15"/>
  <c r="AP109" i="15" s="1"/>
  <c r="AO95" i="15"/>
  <c r="AN95" i="15"/>
  <c r="AN109" i="15" s="1"/>
  <c r="AM95" i="15"/>
  <c r="AL95" i="15"/>
  <c r="AL109" i="15" s="1"/>
  <c r="AK95" i="15"/>
  <c r="AJ95" i="15"/>
  <c r="AJ109" i="15" s="1"/>
  <c r="AI95" i="15"/>
  <c r="AH95" i="15"/>
  <c r="AH109" i="15" s="1"/>
  <c r="AG95" i="15"/>
  <c r="AF95" i="15"/>
  <c r="AF109" i="15" s="1"/>
  <c r="AE95" i="15"/>
  <c r="AB95" i="15"/>
  <c r="BB94" i="15"/>
  <c r="BA94" i="15"/>
  <c r="BA108" i="15" s="1"/>
  <c r="AZ94" i="15"/>
  <c r="AY94" i="15"/>
  <c r="AY108" i="15" s="1"/>
  <c r="AX94" i="15"/>
  <c r="AW94" i="15"/>
  <c r="AW108" i="15" s="1"/>
  <c r="AV94" i="15"/>
  <c r="AU94" i="15"/>
  <c r="AU108" i="15" s="1"/>
  <c r="AT94" i="15"/>
  <c r="AS94" i="15"/>
  <c r="AS108" i="15" s="1"/>
  <c r="AR94" i="15"/>
  <c r="AQ94" i="15"/>
  <c r="AQ108" i="15" s="1"/>
  <c r="AP94" i="15"/>
  <c r="AO94" i="15"/>
  <c r="AO108" i="15" s="1"/>
  <c r="AN94" i="15"/>
  <c r="AM94" i="15"/>
  <c r="AM108" i="15" s="1"/>
  <c r="AL94" i="15"/>
  <c r="AK94" i="15"/>
  <c r="AK108" i="15" s="1"/>
  <c r="AJ94" i="15"/>
  <c r="AI94" i="15"/>
  <c r="AI108" i="15" s="1"/>
  <c r="AH94" i="15"/>
  <c r="AG94" i="15"/>
  <c r="AG108" i="15" s="1"/>
  <c r="AF94" i="15"/>
  <c r="AE94" i="15"/>
  <c r="AE108" i="15" s="1"/>
  <c r="AB94" i="15"/>
  <c r="BB93" i="15"/>
  <c r="BB107" i="15" s="1"/>
  <c r="BA93" i="15"/>
  <c r="AZ93" i="15"/>
  <c r="AZ107" i="15" s="1"/>
  <c r="AY93" i="15"/>
  <c r="AX93" i="15"/>
  <c r="AX107" i="15" s="1"/>
  <c r="AW93" i="15"/>
  <c r="AV93" i="15"/>
  <c r="AV107" i="15" s="1"/>
  <c r="AU93" i="15"/>
  <c r="AT93" i="15"/>
  <c r="AT107" i="15" s="1"/>
  <c r="AS93" i="15"/>
  <c r="AR93" i="15"/>
  <c r="AR107" i="15" s="1"/>
  <c r="AQ93" i="15"/>
  <c r="AP93" i="15"/>
  <c r="AP107" i="15" s="1"/>
  <c r="AO93" i="15"/>
  <c r="AN93" i="15"/>
  <c r="AN107" i="15" s="1"/>
  <c r="AM93" i="15"/>
  <c r="AL93" i="15"/>
  <c r="AL107" i="15" s="1"/>
  <c r="AK93" i="15"/>
  <c r="AJ93" i="15"/>
  <c r="AJ107" i="15" s="1"/>
  <c r="AI93" i="15"/>
  <c r="AH93" i="15"/>
  <c r="AH107" i="15" s="1"/>
  <c r="AG93" i="15"/>
  <c r="AF93" i="15"/>
  <c r="AF107" i="15" s="1"/>
  <c r="AE93" i="15"/>
  <c r="AB93" i="15"/>
  <c r="BB92" i="15"/>
  <c r="BA92" i="15"/>
  <c r="BA106" i="15" s="1"/>
  <c r="AZ92" i="15"/>
  <c r="AY92" i="15"/>
  <c r="AY106" i="15" s="1"/>
  <c r="AX92" i="15"/>
  <c r="AW92" i="15"/>
  <c r="AW106" i="15" s="1"/>
  <c r="AV92" i="15"/>
  <c r="AU92" i="15"/>
  <c r="AU106" i="15" s="1"/>
  <c r="AT92" i="15"/>
  <c r="AS92" i="15"/>
  <c r="AS106" i="15" s="1"/>
  <c r="AR92" i="15"/>
  <c r="AQ92" i="15"/>
  <c r="AQ106" i="15" s="1"/>
  <c r="AP92" i="15"/>
  <c r="AO92" i="15"/>
  <c r="AO106" i="15" s="1"/>
  <c r="AN92" i="15"/>
  <c r="AM92" i="15"/>
  <c r="AM106" i="15" s="1"/>
  <c r="AL92" i="15"/>
  <c r="AK92" i="15"/>
  <c r="AK106" i="15" s="1"/>
  <c r="AJ92" i="15"/>
  <c r="AI92" i="15"/>
  <c r="AI106" i="15" s="1"/>
  <c r="AH92" i="15"/>
  <c r="AG92" i="15"/>
  <c r="AG106" i="15" s="1"/>
  <c r="AF92" i="15"/>
  <c r="AE92" i="15"/>
  <c r="AE106" i="15" s="1"/>
  <c r="BB91" i="15"/>
  <c r="BB105" i="15" s="1"/>
  <c r="BA91" i="15"/>
  <c r="AZ91" i="15"/>
  <c r="AZ105" i="15" s="1"/>
  <c r="AY91" i="15"/>
  <c r="AX91" i="15"/>
  <c r="AX105" i="15" s="1"/>
  <c r="AW91" i="15"/>
  <c r="AV91" i="15"/>
  <c r="AV105" i="15" s="1"/>
  <c r="AU91" i="15"/>
  <c r="AT91" i="15"/>
  <c r="AT105" i="15" s="1"/>
  <c r="AS91" i="15"/>
  <c r="AR91" i="15"/>
  <c r="AR105" i="15" s="1"/>
  <c r="AQ91" i="15"/>
  <c r="AP91" i="15"/>
  <c r="AP105" i="15" s="1"/>
  <c r="AO91" i="15"/>
  <c r="AN91" i="15"/>
  <c r="AN105" i="15" s="1"/>
  <c r="AM91" i="15"/>
  <c r="AL91" i="15"/>
  <c r="AL105" i="15" s="1"/>
  <c r="AK91" i="15"/>
  <c r="AJ91" i="15"/>
  <c r="AJ105" i="15" s="1"/>
  <c r="AI91" i="15"/>
  <c r="AH91" i="15"/>
  <c r="AH105" i="15" s="1"/>
  <c r="AG91" i="15"/>
  <c r="AF91" i="15"/>
  <c r="AF105" i="15" s="1"/>
  <c r="AE91" i="15"/>
  <c r="AB91" i="15"/>
  <c r="BB90" i="15"/>
  <c r="BA90" i="15"/>
  <c r="BA104" i="15" s="1"/>
  <c r="AZ90" i="15"/>
  <c r="AY90" i="15"/>
  <c r="AY104" i="15" s="1"/>
  <c r="AX90" i="15"/>
  <c r="AW90" i="15"/>
  <c r="AW104" i="15" s="1"/>
  <c r="AV90" i="15"/>
  <c r="AU90" i="15"/>
  <c r="AU104" i="15" s="1"/>
  <c r="AT90" i="15"/>
  <c r="AS90" i="15"/>
  <c r="AS104" i="15" s="1"/>
  <c r="AR90" i="15"/>
  <c r="AQ90" i="15"/>
  <c r="AQ104" i="15" s="1"/>
  <c r="AP90" i="15"/>
  <c r="AO90" i="15"/>
  <c r="AO104" i="15" s="1"/>
  <c r="AN90" i="15"/>
  <c r="AM90" i="15"/>
  <c r="AM104" i="15" s="1"/>
  <c r="AL90" i="15"/>
  <c r="AK90" i="15"/>
  <c r="AK104" i="15" s="1"/>
  <c r="AJ90" i="15"/>
  <c r="AI90" i="15"/>
  <c r="AI104" i="15" s="1"/>
  <c r="AH90" i="15"/>
  <c r="AG90" i="15"/>
  <c r="AG104" i="15" s="1"/>
  <c r="AF90" i="15"/>
  <c r="AE90" i="15"/>
  <c r="AE104" i="15" s="1"/>
  <c r="BB89" i="15"/>
  <c r="BB103" i="15" s="1"/>
  <c r="BA89" i="15"/>
  <c r="AZ89" i="15"/>
  <c r="AZ103" i="15" s="1"/>
  <c r="AY89" i="15"/>
  <c r="AX89" i="15"/>
  <c r="AX103" i="15" s="1"/>
  <c r="AW89" i="15"/>
  <c r="AV89" i="15"/>
  <c r="AV103" i="15" s="1"/>
  <c r="AU89" i="15"/>
  <c r="AT89" i="15"/>
  <c r="AT103" i="15" s="1"/>
  <c r="AS89" i="15"/>
  <c r="AR89" i="15"/>
  <c r="AR103" i="15" s="1"/>
  <c r="AQ89" i="15"/>
  <c r="AP89" i="15"/>
  <c r="AP103" i="15" s="1"/>
  <c r="AO89" i="15"/>
  <c r="AN89" i="15"/>
  <c r="AN103" i="15" s="1"/>
  <c r="AM89" i="15"/>
  <c r="AL89" i="15"/>
  <c r="AL103" i="15" s="1"/>
  <c r="AK89" i="15"/>
  <c r="AJ89" i="15"/>
  <c r="AJ103" i="15" s="1"/>
  <c r="AI89" i="15"/>
  <c r="AH89" i="15"/>
  <c r="AH103" i="15" s="1"/>
  <c r="AG89" i="15"/>
  <c r="AF89" i="15"/>
  <c r="AF103" i="15" s="1"/>
  <c r="AE89" i="15"/>
  <c r="AB89" i="15"/>
  <c r="BA88" i="15"/>
  <c r="BA102" i="15" s="1"/>
  <c r="AY88" i="15"/>
  <c r="AY102" i="15" s="1"/>
  <c r="AW88" i="15"/>
  <c r="AW102" i="15" s="1"/>
  <c r="AU88" i="15"/>
  <c r="AU102" i="15" s="1"/>
  <c r="AS88" i="15"/>
  <c r="AS102" i="15" s="1"/>
  <c r="AQ88" i="15"/>
  <c r="AQ102" i="15" s="1"/>
  <c r="AO88" i="15"/>
  <c r="AO102" i="15" s="1"/>
  <c r="AM88" i="15"/>
  <c r="AM102" i="15" s="1"/>
  <c r="AK88" i="15"/>
  <c r="AK102" i="15" s="1"/>
  <c r="AI88" i="15"/>
  <c r="AI102" i="15" s="1"/>
  <c r="AG88" i="15"/>
  <c r="AG102" i="15" s="1"/>
  <c r="AE88" i="15"/>
  <c r="AE102" i="15" s="1"/>
  <c r="AB88" i="15"/>
  <c r="AB92" i="15" s="1"/>
  <c r="BB87" i="15"/>
  <c r="BB101" i="15" s="1"/>
  <c r="BA87" i="15"/>
  <c r="AZ87" i="15"/>
  <c r="AZ101" i="15" s="1"/>
  <c r="AY87" i="15"/>
  <c r="AX87" i="15"/>
  <c r="AX101" i="15" s="1"/>
  <c r="AW87" i="15"/>
  <c r="AV87" i="15"/>
  <c r="AV101" i="15" s="1"/>
  <c r="AU87" i="15"/>
  <c r="AT87" i="15"/>
  <c r="AT101" i="15" s="1"/>
  <c r="AS87" i="15"/>
  <c r="AR87" i="15"/>
  <c r="AR101" i="15" s="1"/>
  <c r="AQ87" i="15"/>
  <c r="AP87" i="15"/>
  <c r="AP101" i="15" s="1"/>
  <c r="AO87" i="15"/>
  <c r="AN87" i="15"/>
  <c r="AN101" i="15" s="1"/>
  <c r="AM87" i="15"/>
  <c r="AL87" i="15"/>
  <c r="AL101" i="15" s="1"/>
  <c r="AK87" i="15"/>
  <c r="AJ87" i="15"/>
  <c r="AJ101" i="15" s="1"/>
  <c r="AI87" i="15"/>
  <c r="AH87" i="15"/>
  <c r="AH101" i="15" s="1"/>
  <c r="AG87" i="15"/>
  <c r="AF87" i="15"/>
  <c r="AF101" i="15" s="1"/>
  <c r="AE87" i="15"/>
  <c r="AB87" i="15"/>
  <c r="BB86" i="15"/>
  <c r="BA86" i="15"/>
  <c r="BA100" i="15" s="1"/>
  <c r="AZ86" i="15"/>
  <c r="AY86" i="15"/>
  <c r="AY100" i="15" s="1"/>
  <c r="AX86" i="15"/>
  <c r="AW86" i="15"/>
  <c r="AW100" i="15" s="1"/>
  <c r="AV86" i="15"/>
  <c r="AU86" i="15"/>
  <c r="AU100" i="15" s="1"/>
  <c r="AT86" i="15"/>
  <c r="AS86" i="15"/>
  <c r="AS100" i="15" s="1"/>
  <c r="AR86" i="15"/>
  <c r="AQ86" i="15"/>
  <c r="AQ100" i="15" s="1"/>
  <c r="AP86" i="15"/>
  <c r="AO86" i="15"/>
  <c r="AO100" i="15" s="1"/>
  <c r="AN86" i="15"/>
  <c r="AM86" i="15"/>
  <c r="AM100" i="15" s="1"/>
  <c r="AL86" i="15"/>
  <c r="AK86" i="15"/>
  <c r="AK100" i="15" s="1"/>
  <c r="AJ86" i="15"/>
  <c r="AI86" i="15"/>
  <c r="AI100" i="15" s="1"/>
  <c r="AH86" i="15"/>
  <c r="AG86" i="15"/>
  <c r="AG100" i="15" s="1"/>
  <c r="AF86" i="15"/>
  <c r="AE86" i="15"/>
  <c r="AE100" i="15" s="1"/>
  <c r="AB86" i="15"/>
  <c r="BB85" i="15"/>
  <c r="BB99" i="15" s="1"/>
  <c r="BA85" i="15"/>
  <c r="AZ85" i="15"/>
  <c r="AZ99" i="15" s="1"/>
  <c r="AY85" i="15"/>
  <c r="AX85" i="15"/>
  <c r="AX99" i="15" s="1"/>
  <c r="AW85" i="15"/>
  <c r="AV85" i="15"/>
  <c r="AV99" i="15" s="1"/>
  <c r="AU85" i="15"/>
  <c r="AT85" i="15"/>
  <c r="AT99" i="15" s="1"/>
  <c r="AS85" i="15"/>
  <c r="AR85" i="15"/>
  <c r="AR99" i="15" s="1"/>
  <c r="AQ85" i="15"/>
  <c r="AP85" i="15"/>
  <c r="AP99" i="15" s="1"/>
  <c r="AO85" i="15"/>
  <c r="AN85" i="15"/>
  <c r="AN99" i="15" s="1"/>
  <c r="AM85" i="15"/>
  <c r="AL85" i="15"/>
  <c r="AL99" i="15" s="1"/>
  <c r="AK85" i="15"/>
  <c r="AJ85" i="15"/>
  <c r="AJ99" i="15" s="1"/>
  <c r="AI85" i="15"/>
  <c r="AH85" i="15"/>
  <c r="AH99" i="15" s="1"/>
  <c r="AG85" i="15"/>
  <c r="AF85" i="15"/>
  <c r="AF99" i="15" s="1"/>
  <c r="AE85" i="15"/>
  <c r="AB85" i="15"/>
  <c r="BA84" i="15"/>
  <c r="AY84" i="15"/>
  <c r="AW84" i="15"/>
  <c r="AU84" i="15"/>
  <c r="AS84" i="15"/>
  <c r="AQ84" i="15"/>
  <c r="AO84" i="15"/>
  <c r="AM84" i="15"/>
  <c r="AK84" i="15"/>
  <c r="AI84" i="15"/>
  <c r="AG84" i="15"/>
  <c r="AE84" i="15"/>
  <c r="AB83" i="15"/>
  <c r="AB82" i="15"/>
  <c r="AB81" i="15"/>
  <c r="AB80"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9" i="15"/>
  <c r="BA9" i="15"/>
  <c r="AZ9" i="15"/>
  <c r="AY9" i="15"/>
  <c r="AX9" i="15"/>
  <c r="AW9" i="15"/>
  <c r="AV9" i="15"/>
  <c r="AU9" i="15"/>
  <c r="AT9" i="15"/>
  <c r="AS9" i="15" a="1"/>
  <c r="AS9" i="15" s="1"/>
  <c r="AR9" i="15"/>
  <c r="AQ9" i="15"/>
  <c r="AP9" i="15"/>
  <c r="AO9" i="15"/>
  <c r="AN9" i="15"/>
  <c r="AM9" i="15"/>
  <c r="AL9" i="15"/>
  <c r="AK9" i="15"/>
  <c r="AJ9" i="15"/>
  <c r="AI9" i="15" a="1"/>
  <c r="AI9" i="15"/>
  <c r="AH9" i="15"/>
  <c r="AG9" i="15"/>
  <c r="AF9" i="15"/>
  <c r="AE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T76" i="14"/>
  <c r="AR69" i="14"/>
  <c r="AQ69" i="14"/>
  <c r="AP69" i="14"/>
  <c r="AO69" i="14"/>
  <c r="AN69" i="14"/>
  <c r="AM69" i="14"/>
  <c r="AL69" i="14"/>
  <c r="AK69" i="14"/>
  <c r="AJ69" i="14"/>
  <c r="AI69" i="14"/>
  <c r="AG69" i="14"/>
  <c r="AF69" i="14"/>
  <c r="BH68" i="14" a="1"/>
  <c r="BH68" i="14" s="1"/>
  <c r="BB68" i="14"/>
  <c r="BB66" i="14" s="1"/>
  <c r="BB56" i="14" s="1"/>
  <c r="BA68" i="14"/>
  <c r="AZ68" i="14"/>
  <c r="AZ66" i="14" s="1"/>
  <c r="AZ56" i="14" s="1"/>
  <c r="AY68" i="14"/>
  <c r="AX68" i="14"/>
  <c r="AX66" i="14" s="1"/>
  <c r="AX56" i="14" s="1"/>
  <c r="AW68" i="14"/>
  <c r="AV68" i="14"/>
  <c r="AV66" i="14" s="1"/>
  <c r="AV56" i="14" s="1"/>
  <c r="AU68" i="14"/>
  <c r="AT68" i="14"/>
  <c r="AT66" i="14" s="1"/>
  <c r="AT56" i="14" s="1"/>
  <c r="AS68" i="14"/>
  <c r="AH68" i="14"/>
  <c r="AH66" i="14" s="1"/>
  <c r="AH56" i="14" s="1"/>
  <c r="AE68" i="14"/>
  <c r="AB68" i="14"/>
  <c r="AB70" i="14" s="1"/>
  <c r="H68" i="14" a="1"/>
  <c r="H68" i="14" s="1"/>
  <c r="BF67" i="14"/>
  <c r="BA66" i="14"/>
  <c r="AY66" i="14"/>
  <c r="AW66" i="14"/>
  <c r="AU66" i="14"/>
  <c r="AS66" i="14"/>
  <c r="AR66" i="14"/>
  <c r="AQ66" i="14"/>
  <c r="AP66" i="14"/>
  <c r="AO66" i="14"/>
  <c r="AN66" i="14"/>
  <c r="AM66" i="14"/>
  <c r="AL66" i="14"/>
  <c r="AK66" i="14"/>
  <c r="AJ66" i="14"/>
  <c r="AI66" i="14"/>
  <c r="AG66" i="14"/>
  <c r="AF66" i="14"/>
  <c r="AE66" i="14"/>
  <c r="BF65" i="14"/>
  <c r="AB64" i="14"/>
  <c r="AR63" i="14"/>
  <c r="AQ63" i="14"/>
  <c r="AP63" i="14"/>
  <c r="AO63" i="14"/>
  <c r="AN63" i="14"/>
  <c r="AM63" i="14"/>
  <c r="AL63" i="14"/>
  <c r="AK63" i="14"/>
  <c r="AJ63" i="14"/>
  <c r="AI63" i="14"/>
  <c r="AG63" i="14"/>
  <c r="AF63" i="14"/>
  <c r="AB63" i="14"/>
  <c r="BH62" i="14" a="1"/>
  <c r="BH62" i="14"/>
  <c r="BH64" i="14" s="1" a="1"/>
  <c r="BH64" i="14" s="1"/>
  <c r="BB62" i="14"/>
  <c r="BA62" i="14"/>
  <c r="AZ62" i="14"/>
  <c r="AY62" i="14"/>
  <c r="AX62" i="14"/>
  <c r="AW62" i="14"/>
  <c r="AV62" i="14"/>
  <c r="AU62" i="14"/>
  <c r="AT62" i="14"/>
  <c r="AS62" i="14"/>
  <c r="AH62" i="14"/>
  <c r="AE62" i="14"/>
  <c r="AB62" i="14"/>
  <c r="H62" i="14" a="1"/>
  <c r="H62" i="14"/>
  <c r="H64" i="14" s="1" a="1"/>
  <c r="H64" i="14" s="1"/>
  <c r="AB61" i="14"/>
  <c r="AR60" i="14"/>
  <c r="AQ60" i="14"/>
  <c r="AP60" i="14"/>
  <c r="AO60" i="14"/>
  <c r="AN60" i="14"/>
  <c r="AM60" i="14"/>
  <c r="AL60" i="14"/>
  <c r="AK60" i="14"/>
  <c r="AJ60" i="14"/>
  <c r="AI60" i="14"/>
  <c r="AG60" i="14"/>
  <c r="AF60" i="14"/>
  <c r="AB60" i="14"/>
  <c r="BH59" i="14" a="1"/>
  <c r="BH59" i="14"/>
  <c r="BH61" i="14" s="1" a="1"/>
  <c r="BH61" i="14" s="1"/>
  <c r="BB59" i="14"/>
  <c r="BA59" i="14"/>
  <c r="AZ59" i="14"/>
  <c r="AY59" i="14"/>
  <c r="AX59" i="14"/>
  <c r="AW59" i="14"/>
  <c r="AV59" i="14"/>
  <c r="AU59" i="14"/>
  <c r="AT59" i="14"/>
  <c r="AS59" i="14"/>
  <c r="AH59" i="14"/>
  <c r="AE59" i="14"/>
  <c r="AB59" i="14"/>
  <c r="H59" i="14" a="1"/>
  <c r="H59" i="14"/>
  <c r="H61" i="14" s="1" a="1"/>
  <c r="H61" i="14" s="1"/>
  <c r="BF58" i="14"/>
  <c r="BB57" i="14"/>
  <c r="BA57" i="14"/>
  <c r="AZ57" i="14"/>
  <c r="AY57" i="14"/>
  <c r="AX57" i="14"/>
  <c r="AW57" i="14"/>
  <c r="AV57" i="14"/>
  <c r="AU57" i="14"/>
  <c r="AT57" i="14"/>
  <c r="AS57" i="14"/>
  <c r="AR57" i="14"/>
  <c r="AQ57" i="14"/>
  <c r="AP57" i="14"/>
  <c r="AO57" i="14"/>
  <c r="AN57" i="14"/>
  <c r="AM57" i="14"/>
  <c r="AL57" i="14"/>
  <c r="AK57" i="14"/>
  <c r="AJ57" i="14"/>
  <c r="AI57" i="14"/>
  <c r="AH57" i="14"/>
  <c r="AG57" i="14"/>
  <c r="AF57" i="14"/>
  <c r="AE57" i="14"/>
  <c r="BA56" i="14"/>
  <c r="AY56" i="14"/>
  <c r="AW56" i="14"/>
  <c r="AU56" i="14"/>
  <c r="AS56" i="14"/>
  <c r="AR56" i="14"/>
  <c r="AQ56" i="14"/>
  <c r="AP56" i="14"/>
  <c r="AO56" i="14"/>
  <c r="AN56" i="14"/>
  <c r="AM56" i="14"/>
  <c r="AL56" i="14"/>
  <c r="AK56" i="14"/>
  <c r="AJ56" i="14"/>
  <c r="AI56" i="14"/>
  <c r="AG56" i="14"/>
  <c r="AF56" i="14"/>
  <c r="AE56" i="14"/>
  <c r="T56" i="14"/>
  <c r="T57" i="14" s="1" a="1"/>
  <c r="T57" i="14" s="1"/>
  <c r="T58" i="14" s="1" a="1"/>
  <c r="T58" i="14" s="1"/>
  <c r="F56" i="14" a="1"/>
  <c r="F56" i="14" s="1"/>
  <c r="F57" i="14" s="1" a="1"/>
  <c r="F57" i="14" s="1"/>
  <c r="F58" i="14" s="1" a="1"/>
  <c r="F58" i="14" s="1"/>
  <c r="AR53" i="14"/>
  <c r="AQ53" i="14"/>
  <c r="AP53" i="14"/>
  <c r="AO53" i="14"/>
  <c r="AN53" i="14"/>
  <c r="AM53" i="14"/>
  <c r="AL53" i="14"/>
  <c r="AK53" i="14"/>
  <c r="AJ53" i="14"/>
  <c r="AI53" i="14"/>
  <c r="AG53" i="14"/>
  <c r="AF53" i="14"/>
  <c r="BH52" i="14" a="1"/>
  <c r="BH52" i="14" s="1"/>
  <c r="BB52" i="14"/>
  <c r="BB50" i="14" s="1"/>
  <c r="BB40" i="14" s="1"/>
  <c r="BA52" i="14"/>
  <c r="AZ52" i="14"/>
  <c r="AZ50" i="14" s="1"/>
  <c r="AZ40" i="14" s="1"/>
  <c r="AY52" i="14"/>
  <c r="AX52" i="14"/>
  <c r="AX50" i="14" s="1"/>
  <c r="AX40" i="14" s="1"/>
  <c r="AW52" i="14"/>
  <c r="AV52" i="14"/>
  <c r="AV50" i="14" s="1"/>
  <c r="AV40" i="14" s="1"/>
  <c r="AU52" i="14"/>
  <c r="AT52" i="14"/>
  <c r="AT50" i="14" s="1"/>
  <c r="AT40" i="14" s="1"/>
  <c r="AS52" i="14"/>
  <c r="AH52" i="14"/>
  <c r="AH50" i="14" s="1"/>
  <c r="AH40" i="14" s="1"/>
  <c r="AE52" i="14"/>
  <c r="AB52" i="14"/>
  <c r="AB54" i="14" s="1"/>
  <c r="H52" i="14" a="1"/>
  <c r="H52" i="14" s="1"/>
  <c r="BF51" i="14"/>
  <c r="BA50" i="14"/>
  <c r="AY50" i="14"/>
  <c r="AW50" i="14"/>
  <c r="AU50" i="14"/>
  <c r="AS50" i="14"/>
  <c r="AR50" i="14"/>
  <c r="AQ50" i="14"/>
  <c r="AP50" i="14"/>
  <c r="AO50" i="14"/>
  <c r="AN50" i="14"/>
  <c r="AM50" i="14"/>
  <c r="AL50" i="14"/>
  <c r="AK50" i="14"/>
  <c r="AJ50" i="14"/>
  <c r="AI50" i="14"/>
  <c r="AG50" i="14"/>
  <c r="AF50" i="14"/>
  <c r="AE50" i="14"/>
  <c r="BF49" i="14"/>
  <c r="AB48" i="14"/>
  <c r="AR47" i="14"/>
  <c r="AQ47" i="14"/>
  <c r="AP47" i="14"/>
  <c r="AO47" i="14"/>
  <c r="AN47" i="14"/>
  <c r="AM47" i="14"/>
  <c r="AL47" i="14"/>
  <c r="AK47" i="14"/>
  <c r="AJ47" i="14"/>
  <c r="AI47" i="14"/>
  <c r="AG47" i="14"/>
  <c r="AF47" i="14"/>
  <c r="AB47" i="14"/>
  <c r="BH46" i="14" a="1"/>
  <c r="BH46" i="14"/>
  <c r="BH48" i="14" s="1" a="1"/>
  <c r="BH48" i="14" s="1"/>
  <c r="BB46" i="14"/>
  <c r="BA46" i="14"/>
  <c r="AZ46" i="14"/>
  <c r="AY46" i="14"/>
  <c r="AX46" i="14"/>
  <c r="AW46" i="14"/>
  <c r="AV46" i="14"/>
  <c r="AU46" i="14"/>
  <c r="AT46" i="14"/>
  <c r="AS46" i="14"/>
  <c r="AH46" i="14"/>
  <c r="AE46" i="14"/>
  <c r="AB46" i="14"/>
  <c r="H46" i="14" a="1"/>
  <c r="H46" i="14"/>
  <c r="H48" i="14" s="1" a="1"/>
  <c r="H48" i="14" s="1"/>
  <c r="AB45" i="14"/>
  <c r="AR44" i="14"/>
  <c r="AQ44" i="14"/>
  <c r="AP44" i="14"/>
  <c r="AO44" i="14"/>
  <c r="AN44" i="14"/>
  <c r="AM44" i="14"/>
  <c r="AL44" i="14"/>
  <c r="AK44" i="14"/>
  <c r="AJ44" i="14"/>
  <c r="AI44" i="14"/>
  <c r="AG44" i="14"/>
  <c r="AF44" i="14"/>
  <c r="AB44" i="14"/>
  <c r="BH43" i="14" a="1"/>
  <c r="BH43" i="14"/>
  <c r="BH45" i="14" s="1" a="1"/>
  <c r="BH45" i="14" s="1"/>
  <c r="BB43" i="14"/>
  <c r="BA43" i="14"/>
  <c r="AZ43" i="14"/>
  <c r="AY43" i="14"/>
  <c r="AX43" i="14"/>
  <c r="AW43" i="14"/>
  <c r="AV43" i="14"/>
  <c r="AU43" i="14"/>
  <c r="AT43" i="14"/>
  <c r="AS43" i="14"/>
  <c r="AH43" i="14"/>
  <c r="AE43" i="14"/>
  <c r="AB43" i="14"/>
  <c r="H43" i="14" a="1"/>
  <c r="H43" i="14"/>
  <c r="H45" i="14" s="1" a="1"/>
  <c r="H45" i="14" s="1"/>
  <c r="BF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A40" i="14"/>
  <c r="AY40" i="14"/>
  <c r="AW40" i="14"/>
  <c r="AU40" i="14"/>
  <c r="AS40" i="14"/>
  <c r="AR40" i="14"/>
  <c r="AQ40" i="14"/>
  <c r="AP40" i="14"/>
  <c r="AO40" i="14"/>
  <c r="AN40" i="14"/>
  <c r="AM40" i="14"/>
  <c r="AL40" i="14"/>
  <c r="AK40" i="14"/>
  <c r="AJ40" i="14"/>
  <c r="AI40" i="14"/>
  <c r="AG40" i="14"/>
  <c r="AF40" i="14"/>
  <c r="AE40" i="14"/>
  <c r="T40" i="14"/>
  <c r="T41" i="14" s="1" a="1"/>
  <c r="T41" i="14" s="1"/>
  <c r="T42" i="14" s="1" a="1"/>
  <c r="T42" i="14" s="1"/>
  <c r="F40" i="14" a="1"/>
  <c r="F40" i="14" s="1"/>
  <c r="F41" i="14" s="1" a="1"/>
  <c r="F41" i="14" s="1"/>
  <c r="F42" i="14" s="1" a="1"/>
  <c r="F42" i="14" s="1"/>
  <c r="AR37" i="14"/>
  <c r="AQ37" i="14"/>
  <c r="AP37" i="14"/>
  <c r="AO37" i="14"/>
  <c r="AN37" i="14"/>
  <c r="AM37" i="14"/>
  <c r="AL37" i="14"/>
  <c r="AK37" i="14"/>
  <c r="AJ37" i="14"/>
  <c r="AI37" i="14"/>
  <c r="AG37" i="14"/>
  <c r="AF37" i="14"/>
  <c r="BH36" i="14" a="1"/>
  <c r="BH36" i="14" s="1"/>
  <c r="BB36" i="14"/>
  <c r="BB34" i="14" s="1"/>
  <c r="BB27" i="14" s="1"/>
  <c r="BA36" i="14"/>
  <c r="AZ36" i="14"/>
  <c r="AZ34" i="14" s="1"/>
  <c r="AZ27" i="14" s="1"/>
  <c r="AY36" i="14"/>
  <c r="AX36" i="14"/>
  <c r="AX34" i="14" s="1"/>
  <c r="AX27" i="14" s="1"/>
  <c r="AW36" i="14"/>
  <c r="AV36" i="14"/>
  <c r="AV34" i="14" s="1"/>
  <c r="AV27" i="14" s="1"/>
  <c r="AU36" i="14"/>
  <c r="AT36" i="14"/>
  <c r="AT34" i="14" s="1"/>
  <c r="AT27" i="14" s="1"/>
  <c r="AS36" i="14"/>
  <c r="AH36" i="14"/>
  <c r="AH34" i="14" s="1"/>
  <c r="AH27" i="14" s="1"/>
  <c r="AE36" i="14"/>
  <c r="AB36" i="14"/>
  <c r="AB38" i="14" s="1"/>
  <c r="H36" i="14" a="1"/>
  <c r="H36" i="14" s="1"/>
  <c r="BF35" i="14"/>
  <c r="BA34" i="14"/>
  <c r="AY34" i="14"/>
  <c r="AW34" i="14"/>
  <c r="AU34" i="14"/>
  <c r="AS34" i="14"/>
  <c r="AR34" i="14"/>
  <c r="AQ34" i="14"/>
  <c r="AP34" i="14"/>
  <c r="AO34" i="14"/>
  <c r="AN34" i="14"/>
  <c r="AM34" i="14"/>
  <c r="AL34" i="14"/>
  <c r="AK34" i="14"/>
  <c r="AJ34" i="14"/>
  <c r="AI34" i="14"/>
  <c r="AG34" i="14"/>
  <c r="AF34" i="14"/>
  <c r="AE34" i="14"/>
  <c r="BF33" i="14"/>
  <c r="AB32" i="14"/>
  <c r="AR31" i="14"/>
  <c r="AQ31" i="14"/>
  <c r="AP31" i="14"/>
  <c r="AO31" i="14"/>
  <c r="AN31" i="14"/>
  <c r="AM31" i="14"/>
  <c r="AL31" i="14"/>
  <c r="AK31" i="14"/>
  <c r="AJ31" i="14"/>
  <c r="AI31" i="14"/>
  <c r="AG31" i="14"/>
  <c r="AF31" i="14"/>
  <c r="AB31" i="14"/>
  <c r="BH30" i="14" a="1"/>
  <c r="BH30" i="14"/>
  <c r="BH32" i="14" s="1" a="1"/>
  <c r="BH32" i="14" s="1"/>
  <c r="BB30" i="14"/>
  <c r="BA30" i="14"/>
  <c r="AZ30" i="14"/>
  <c r="AY30" i="14"/>
  <c r="AX30" i="14"/>
  <c r="AW30" i="14"/>
  <c r="AV30" i="14"/>
  <c r="AU30" i="14"/>
  <c r="AT30" i="14"/>
  <c r="AS30" i="14"/>
  <c r="AH30" i="14"/>
  <c r="AE30" i="14"/>
  <c r="AB30" i="14"/>
  <c r="H30" i="14" a="1"/>
  <c r="H30" i="14"/>
  <c r="H32" i="14" s="1" a="1"/>
  <c r="H32"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BA27" i="14"/>
  <c r="AY27" i="14"/>
  <c r="AW27" i="14"/>
  <c r="AU27" i="14"/>
  <c r="AS27" i="14"/>
  <c r="AR27" i="14"/>
  <c r="AQ27" i="14"/>
  <c r="AP27" i="14"/>
  <c r="AO27" i="14"/>
  <c r="AN27" i="14"/>
  <c r="AM27" i="14"/>
  <c r="AL27" i="14"/>
  <c r="AK27" i="14"/>
  <c r="AJ27" i="14"/>
  <c r="AI27" i="14"/>
  <c r="AG27" i="14"/>
  <c r="AF27" i="14"/>
  <c r="AE27" i="14"/>
  <c r="T27" i="14"/>
  <c r="T28" i="14" s="1" a="1"/>
  <c r="T28" i="14" s="1"/>
  <c r="T29" i="14" s="1" a="1"/>
  <c r="T29"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B9" i="14"/>
  <c r="BA9" i="14"/>
  <c r="AZ9" i="14"/>
  <c r="AY9" i="14"/>
  <c r="AX9" i="14"/>
  <c r="AW9" i="14"/>
  <c r="AV9" i="14"/>
  <c r="AU9" i="14"/>
  <c r="AT9" i="14"/>
  <c r="AS9" i="14" a="1"/>
  <c r="AS9" i="14"/>
  <c r="AR9" i="14"/>
  <c r="AQ9" i="14"/>
  <c r="AP9" i="14"/>
  <c r="AO9" i="14"/>
  <c r="AN9" i="14"/>
  <c r="AM9" i="14"/>
  <c r="AL9" i="14"/>
  <c r="AK9" i="14"/>
  <c r="AJ9" i="14"/>
  <c r="AI9" i="14" a="1"/>
  <c r="AI9" i="14" s="1"/>
  <c r="AH9" i="14"/>
  <c r="AG9" i="14"/>
  <c r="AF9" i="14"/>
  <c r="AE9"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O7" i="14" a="1"/>
  <c r="AO7" i="14" s="1"/>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60" i="13"/>
  <c r="AR150" i="13"/>
  <c r="AQ150" i="13"/>
  <c r="AP150" i="13"/>
  <c r="AO150" i="13"/>
  <c r="AN150" i="13"/>
  <c r="AM150" i="13"/>
  <c r="AL150" i="13"/>
  <c r="AK150" i="13"/>
  <c r="AJ150" i="13"/>
  <c r="AI150" i="13"/>
  <c r="AG150" i="13"/>
  <c r="AF150" i="13"/>
  <c r="BH148" i="13" a="1"/>
  <c r="BH148" i="13" s="1"/>
  <c r="BH149" i="13" s="1" a="1"/>
  <c r="BH149" i="13" s="1"/>
  <c r="BB148" i="13"/>
  <c r="BA148" i="13"/>
  <c r="AZ148" i="13"/>
  <c r="AY148" i="13"/>
  <c r="AX148" i="13"/>
  <c r="AW148" i="13"/>
  <c r="AV148" i="13"/>
  <c r="AU148" i="13"/>
  <c r="AT148" i="13"/>
  <c r="AS148" i="13"/>
  <c r="AR148" i="13"/>
  <c r="AQ148" i="13"/>
  <c r="AP148" i="13"/>
  <c r="AO148" i="13"/>
  <c r="AN148" i="13"/>
  <c r="AM148" i="13"/>
  <c r="AL148" i="13"/>
  <c r="AK148" i="13"/>
  <c r="AJ148" i="13"/>
  <c r="AI148" i="13"/>
  <c r="AH148" i="13"/>
  <c r="AG148" i="13"/>
  <c r="AF148" i="13"/>
  <c r="AE148" i="13"/>
  <c r="AB148" i="13"/>
  <c r="AB153" i="13" s="1"/>
  <c r="AB154" i="13" s="1"/>
  <c r="H148" i="13" a="1"/>
  <c r="H148" i="13" s="1"/>
  <c r="AR143" i="13"/>
  <c r="AQ143" i="13"/>
  <c r="AP143" i="13"/>
  <c r="AO143" i="13"/>
  <c r="AN143" i="13"/>
  <c r="AM143" i="13"/>
  <c r="AL143" i="13"/>
  <c r="AK143" i="13"/>
  <c r="AJ143" i="13"/>
  <c r="AI143" i="13"/>
  <c r="AG143" i="13"/>
  <c r="AF143" i="13"/>
  <c r="BH141" i="13" a="1"/>
  <c r="BH141" i="13"/>
  <c r="BH142" i="13" s="1" a="1"/>
  <c r="BH142" i="13" s="1"/>
  <c r="BB141" i="13"/>
  <c r="BA141" i="13"/>
  <c r="AZ141" i="13"/>
  <c r="AY141" i="13"/>
  <c r="AX141" i="13"/>
  <c r="AW141" i="13"/>
  <c r="AV141" i="13"/>
  <c r="AU141" i="13"/>
  <c r="AT141" i="13"/>
  <c r="AS141" i="13"/>
  <c r="AH141" i="13"/>
  <c r="AE141" i="13"/>
  <c r="AB141" i="13"/>
  <c r="AB144" i="13" s="1"/>
  <c r="H141" i="13" a="1"/>
  <c r="H141" i="13"/>
  <c r="H144" i="13" s="1" a="1"/>
  <c r="H144" i="13" s="1"/>
  <c r="BB137" i="13"/>
  <c r="BB138" i="13" s="1"/>
  <c r="BA137" i="13"/>
  <c r="BA138" i="13" s="1"/>
  <c r="AZ137" i="13"/>
  <c r="AZ138" i="13" s="1"/>
  <c r="AY137" i="13"/>
  <c r="AY138" i="13" s="1"/>
  <c r="AX137" i="13"/>
  <c r="AX138" i="13" s="1"/>
  <c r="AW137" i="13"/>
  <c r="AW138" i="13" s="1"/>
  <c r="AV137" i="13"/>
  <c r="AV138" i="13" s="1"/>
  <c r="AU137" i="13"/>
  <c r="AU138" i="13" s="1"/>
  <c r="AT137" i="13"/>
  <c r="AT138" i="13" s="1"/>
  <c r="AS137" i="13"/>
  <c r="AS138" i="13" s="1"/>
  <c r="AR137" i="13"/>
  <c r="AR138" i="13" s="1"/>
  <c r="AQ137" i="13"/>
  <c r="AQ138" i="13" s="1"/>
  <c r="AP137" i="13"/>
  <c r="AP138" i="13" s="1"/>
  <c r="AO137" i="13"/>
  <c r="AO138" i="13" s="1"/>
  <c r="AN137" i="13"/>
  <c r="AN138" i="13" s="1"/>
  <c r="AM137" i="13"/>
  <c r="AM138" i="13" s="1"/>
  <c r="AL137" i="13"/>
  <c r="AL138" i="13" s="1"/>
  <c r="AK137" i="13"/>
  <c r="AK138" i="13" s="1"/>
  <c r="AJ137" i="13"/>
  <c r="AJ138" i="13" s="1"/>
  <c r="AI137" i="13"/>
  <c r="AI138" i="13" s="1"/>
  <c r="AH137" i="13"/>
  <c r="AH138" i="13" s="1"/>
  <c r="AG137" i="13"/>
  <c r="AG138" i="13" s="1"/>
  <c r="AF137" i="13"/>
  <c r="AF138" i="13" s="1"/>
  <c r="AE137" i="13"/>
  <c r="AE138" i="13" s="1"/>
  <c r="BB136" i="13"/>
  <c r="BA136" i="13"/>
  <c r="AZ136" i="13"/>
  <c r="AY136" i="13"/>
  <c r="AX136" i="13"/>
  <c r="AW136" i="13"/>
  <c r="AV136" i="13"/>
  <c r="AU136" i="13"/>
  <c r="AT136" i="13"/>
  <c r="AS136" i="13"/>
  <c r="AR136" i="13"/>
  <c r="AQ136" i="13"/>
  <c r="AP136" i="13"/>
  <c r="AO136" i="13"/>
  <c r="AN136" i="13"/>
  <c r="AM136" i="13"/>
  <c r="AL136" i="13"/>
  <c r="AK136" i="13"/>
  <c r="AJ136" i="13"/>
  <c r="AI136" i="13"/>
  <c r="AH136" i="13"/>
  <c r="AG136" i="13"/>
  <c r="AF136" i="13"/>
  <c r="AE136" i="13"/>
  <c r="BB135" i="13"/>
  <c r="BA135" i="13"/>
  <c r="AZ135" i="13"/>
  <c r="AY135" i="13"/>
  <c r="AX135" i="13"/>
  <c r="AW135" i="13"/>
  <c r="AV135" i="13"/>
  <c r="AU135" i="13"/>
  <c r="AT135" i="13"/>
  <c r="AS135" i="13"/>
  <c r="AR135" i="13"/>
  <c r="AQ135" i="13"/>
  <c r="AP135" i="13"/>
  <c r="AO135" i="13"/>
  <c r="AN135" i="13"/>
  <c r="AM135" i="13"/>
  <c r="AL135" i="13"/>
  <c r="AK135" i="13"/>
  <c r="AJ135" i="13"/>
  <c r="AI135" i="13"/>
  <c r="AH135" i="13"/>
  <c r="AG135" i="13"/>
  <c r="AF135" i="13"/>
  <c r="AE135" i="13"/>
  <c r="AR128" i="13"/>
  <c r="AQ128" i="13"/>
  <c r="AP128" i="13"/>
  <c r="AO128" i="13"/>
  <c r="AN128" i="13"/>
  <c r="AM128" i="13"/>
  <c r="AL128" i="13"/>
  <c r="AK128" i="13"/>
  <c r="AJ128" i="13"/>
  <c r="AI128" i="13"/>
  <c r="AG128" i="13"/>
  <c r="AF128" i="13"/>
  <c r="BH127" i="13" a="1"/>
  <c r="BH127" i="13" s="1"/>
  <c r="BB127" i="13"/>
  <c r="BA127" i="13"/>
  <c r="AZ127" i="13"/>
  <c r="AY127" i="13"/>
  <c r="AX127" i="13"/>
  <c r="AW127" i="13"/>
  <c r="AV127" i="13"/>
  <c r="AU127" i="13"/>
  <c r="AT127" i="13"/>
  <c r="AS127" i="13"/>
  <c r="AR127" i="13"/>
  <c r="AQ127" i="13"/>
  <c r="AP127" i="13"/>
  <c r="AO127" i="13"/>
  <c r="AN127" i="13"/>
  <c r="AM127" i="13"/>
  <c r="AL127" i="13"/>
  <c r="AK127" i="13"/>
  <c r="AJ127" i="13"/>
  <c r="AI127" i="13"/>
  <c r="AH127" i="13"/>
  <c r="AG127" i="13"/>
  <c r="AF127" i="13"/>
  <c r="AE127" i="13"/>
  <c r="AB127" i="13"/>
  <c r="AB132" i="13" s="1"/>
  <c r="H127" i="13" a="1"/>
  <c r="H127" i="13" s="1"/>
  <c r="AB124" i="13"/>
  <c r="AR123" i="13"/>
  <c r="AQ123" i="13"/>
  <c r="AP123" i="13"/>
  <c r="AO123" i="13"/>
  <c r="AN123" i="13"/>
  <c r="AM123" i="13"/>
  <c r="AL123" i="13"/>
  <c r="AK123" i="13"/>
  <c r="AJ123" i="13"/>
  <c r="AI123" i="13"/>
  <c r="AG123" i="13"/>
  <c r="AF123" i="13"/>
  <c r="AB123" i="13"/>
  <c r="BH122" i="13" a="1"/>
  <c r="BH122" i="13"/>
  <c r="BH124" i="13" s="1" a="1"/>
  <c r="BH124" i="13" s="1"/>
  <c r="BB122" i="13"/>
  <c r="BA122" i="13"/>
  <c r="AZ122" i="13"/>
  <c r="AY122" i="13"/>
  <c r="AX122" i="13"/>
  <c r="AW122" i="13"/>
  <c r="AV122" i="13"/>
  <c r="AU122" i="13"/>
  <c r="AT122" i="13"/>
  <c r="AS122" i="13"/>
  <c r="AH122" i="13"/>
  <c r="AE122" i="13"/>
  <c r="AB122" i="13"/>
  <c r="H122" i="13" a="1"/>
  <c r="H122" i="13"/>
  <c r="H124" i="13" s="1" a="1"/>
  <c r="H124" i="13" s="1"/>
  <c r="AB121" i="13"/>
  <c r="AR120" i="13"/>
  <c r="AQ120" i="13"/>
  <c r="AP120" i="13"/>
  <c r="AO120" i="13"/>
  <c r="AN120" i="13"/>
  <c r="AM120" i="13"/>
  <c r="AL120" i="13"/>
  <c r="AK120" i="13"/>
  <c r="AJ120" i="13"/>
  <c r="AI120" i="13"/>
  <c r="AG120" i="13"/>
  <c r="AF120" i="13"/>
  <c r="AB120" i="13"/>
  <c r="BH119" i="13" a="1"/>
  <c r="BH119" i="13"/>
  <c r="BH121" i="13" s="1" a="1"/>
  <c r="BH121" i="13" s="1"/>
  <c r="BB119" i="13"/>
  <c r="BA119" i="13"/>
  <c r="AZ119" i="13"/>
  <c r="AY119" i="13"/>
  <c r="AX119" i="13"/>
  <c r="AW119" i="13"/>
  <c r="AV119" i="13"/>
  <c r="AU119" i="13"/>
  <c r="AT119" i="13"/>
  <c r="AS119" i="13"/>
  <c r="AH119" i="13"/>
  <c r="AE119" i="13"/>
  <c r="AB119" i="13"/>
  <c r="H119" i="13" a="1"/>
  <c r="H119" i="13"/>
  <c r="H121" i="13" s="1" a="1"/>
  <c r="H121" i="13" s="1"/>
  <c r="BB114" i="13"/>
  <c r="BB116" i="13" s="1"/>
  <c r="BA114" i="13"/>
  <c r="BA116" i="13" s="1"/>
  <c r="AZ114" i="13"/>
  <c r="AZ116" i="13" s="1"/>
  <c r="AY114" i="13"/>
  <c r="AY116" i="13" s="1"/>
  <c r="AX114" i="13"/>
  <c r="AX116" i="13" s="1"/>
  <c r="AW114" i="13"/>
  <c r="AW116" i="13" s="1"/>
  <c r="AV114" i="13"/>
  <c r="AV116" i="13" s="1"/>
  <c r="AU114" i="13"/>
  <c r="AU116" i="13" s="1"/>
  <c r="AT114" i="13"/>
  <c r="AT116" i="13" s="1"/>
  <c r="AS114" i="13"/>
  <c r="AS116" i="13" s="1"/>
  <c r="AR114" i="13"/>
  <c r="AR116" i="13" s="1"/>
  <c r="AQ114" i="13"/>
  <c r="AQ116" i="13" s="1"/>
  <c r="AP114" i="13"/>
  <c r="AP116" i="13" s="1"/>
  <c r="AO114" i="13"/>
  <c r="AO116" i="13" s="1"/>
  <c r="AN114" i="13"/>
  <c r="AN116" i="13" s="1"/>
  <c r="AM114" i="13"/>
  <c r="AM116" i="13" s="1"/>
  <c r="AL114" i="13"/>
  <c r="AL116" i="13" s="1"/>
  <c r="AK114" i="13"/>
  <c r="AK116" i="13" s="1"/>
  <c r="AJ114" i="13"/>
  <c r="AJ116" i="13" s="1"/>
  <c r="AI114" i="13"/>
  <c r="AI116" i="13" s="1"/>
  <c r="AH114" i="13"/>
  <c r="AH116" i="13" s="1"/>
  <c r="AG114" i="13"/>
  <c r="AG116" i="13" s="1"/>
  <c r="AF114" i="13"/>
  <c r="AF116" i="13" s="1"/>
  <c r="AE114" i="13"/>
  <c r="AE116" i="13" s="1"/>
  <c r="BB113" i="13"/>
  <c r="BA113" i="13"/>
  <c r="AZ113" i="13"/>
  <c r="AY113" i="13"/>
  <c r="AX113" i="13"/>
  <c r="AW113" i="13"/>
  <c r="AV113" i="13"/>
  <c r="AU113" i="13"/>
  <c r="AT113" i="13"/>
  <c r="AS113" i="13"/>
  <c r="AR113" i="13"/>
  <c r="AQ113" i="13"/>
  <c r="AP113" i="13"/>
  <c r="AO113" i="13"/>
  <c r="AN113" i="13"/>
  <c r="AM113" i="13"/>
  <c r="AL113" i="13"/>
  <c r="AK113" i="13"/>
  <c r="AJ113" i="13"/>
  <c r="AI113" i="13"/>
  <c r="AH113" i="13"/>
  <c r="AG113" i="13"/>
  <c r="AF113" i="13"/>
  <c r="AE113" i="13"/>
  <c r="BB112" i="13"/>
  <c r="BA112" i="13"/>
  <c r="AZ112" i="13"/>
  <c r="AY112" i="13"/>
  <c r="AX112" i="13"/>
  <c r="AW112" i="13"/>
  <c r="AV112" i="13"/>
  <c r="AU112" i="13"/>
  <c r="AT112" i="13"/>
  <c r="AS112" i="13"/>
  <c r="AR112" i="13"/>
  <c r="AQ112" i="13"/>
  <c r="AP112" i="13"/>
  <c r="AO112" i="13"/>
  <c r="AN112" i="13"/>
  <c r="AM112" i="13"/>
  <c r="AL112" i="13"/>
  <c r="AK112" i="13"/>
  <c r="AJ112" i="13"/>
  <c r="AI112" i="13"/>
  <c r="AH112" i="13"/>
  <c r="AG112" i="13"/>
  <c r="AF112" i="13"/>
  <c r="AE112" i="13"/>
  <c r="T112" i="13"/>
  <c r="T113" i="13" s="1" a="1"/>
  <c r="T113" i="13" s="1"/>
  <c r="T114" i="13" s="1" a="1"/>
  <c r="T114" i="13" s="1"/>
  <c r="T115" i="13" s="1" a="1"/>
  <c r="T115" i="13" s="1"/>
  <c r="T116" i="13" s="1" a="1"/>
  <c r="T116" i="13" s="1"/>
  <c r="T117" i="13" s="1" a="1"/>
  <c r="T117" i="13" s="1"/>
  <c r="T118" i="13" s="1" a="1"/>
  <c r="T118" i="13" s="1"/>
  <c r="F112" i="13" a="1"/>
  <c r="F112" i="13" s="1"/>
  <c r="AR106" i="13"/>
  <c r="AQ106" i="13"/>
  <c r="AP106" i="13"/>
  <c r="AO106" i="13"/>
  <c r="AN106" i="13"/>
  <c r="AM106" i="13"/>
  <c r="AL106" i="13"/>
  <c r="AK106" i="13"/>
  <c r="AJ106" i="13"/>
  <c r="AI106" i="13"/>
  <c r="AG106" i="13"/>
  <c r="AF106" i="13"/>
  <c r="BH104" i="13" a="1"/>
  <c r="BH104" i="13"/>
  <c r="BH105" i="13" s="1" a="1"/>
  <c r="BH105" i="13" s="1"/>
  <c r="BB104" i="13"/>
  <c r="BA104" i="13"/>
  <c r="AZ104" i="13"/>
  <c r="AY104" i="13"/>
  <c r="AX104" i="13"/>
  <c r="AW104" i="13"/>
  <c r="AV104" i="13"/>
  <c r="AU104" i="13"/>
  <c r="AT104" i="13"/>
  <c r="AS104" i="13"/>
  <c r="AR104" i="13"/>
  <c r="AQ104" i="13"/>
  <c r="AP104" i="13"/>
  <c r="AO104" i="13"/>
  <c r="AN104" i="13"/>
  <c r="AM104" i="13"/>
  <c r="AL104" i="13"/>
  <c r="AK104" i="13"/>
  <c r="AJ104" i="13"/>
  <c r="AI104" i="13"/>
  <c r="AH104" i="13"/>
  <c r="AG104" i="13"/>
  <c r="AF104" i="13"/>
  <c r="AE104" i="13"/>
  <c r="AB104" i="13"/>
  <c r="AB109" i="13" s="1"/>
  <c r="AB110" i="13" s="1"/>
  <c r="H104" i="13" a="1"/>
  <c r="H104" i="13"/>
  <c r="H110" i="13" s="1" a="1"/>
  <c r="H110" i="13" s="1"/>
  <c r="AR99" i="13"/>
  <c r="AQ99" i="13"/>
  <c r="AP99" i="13"/>
  <c r="AO99" i="13"/>
  <c r="AN99" i="13"/>
  <c r="AM99" i="13"/>
  <c r="AL99" i="13"/>
  <c r="AK99" i="13"/>
  <c r="AJ99" i="13"/>
  <c r="AI99" i="13"/>
  <c r="AG99" i="13"/>
  <c r="AF99" i="13"/>
  <c r="BH97" i="13" a="1"/>
  <c r="BH97" i="13" s="1"/>
  <c r="BH98" i="13" s="1" a="1"/>
  <c r="BH98" i="13" s="1"/>
  <c r="BB97" i="13"/>
  <c r="BA97" i="13"/>
  <c r="AZ97" i="13"/>
  <c r="AY97" i="13"/>
  <c r="AX97" i="13"/>
  <c r="AW97" i="13"/>
  <c r="AV97" i="13"/>
  <c r="AU97" i="13"/>
  <c r="AT97" i="13"/>
  <c r="AS97" i="13"/>
  <c r="AH97" i="13"/>
  <c r="AE97" i="13"/>
  <c r="AB97" i="13"/>
  <c r="AB100" i="13" s="1"/>
  <c r="H97" i="13" a="1"/>
  <c r="H97"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BA91" i="13"/>
  <c r="AZ91" i="13"/>
  <c r="AY91" i="13"/>
  <c r="AX91" i="13"/>
  <c r="AW91" i="13"/>
  <c r="AV91" i="13"/>
  <c r="AU91" i="13"/>
  <c r="AT91" i="13"/>
  <c r="AS91" i="13"/>
  <c r="AR91" i="13"/>
  <c r="AQ91" i="13"/>
  <c r="AP91" i="13"/>
  <c r="AO91" i="13"/>
  <c r="AN91" i="13"/>
  <c r="AM91" i="13"/>
  <c r="AL91" i="13"/>
  <c r="AK91" i="13"/>
  <c r="AJ91" i="13"/>
  <c r="AI91" i="13"/>
  <c r="AH91" i="13"/>
  <c r="AG91" i="13"/>
  <c r="AF91" i="13"/>
  <c r="AE91" i="13"/>
  <c r="AB88" i="13"/>
  <c r="AB87" i="13"/>
  <c r="AB86" i="13"/>
  <c r="AB85" i="13"/>
  <c r="AR84" i="13"/>
  <c r="AQ84" i="13"/>
  <c r="AP84" i="13"/>
  <c r="AO84" i="13"/>
  <c r="AN84" i="13"/>
  <c r="AM84" i="13"/>
  <c r="AL84" i="13"/>
  <c r="AK84" i="13"/>
  <c r="AJ84" i="13"/>
  <c r="AI84" i="13"/>
  <c r="AG84" i="13"/>
  <c r="AF84" i="13"/>
  <c r="AB84" i="13"/>
  <c r="BH83" i="13" a="1"/>
  <c r="BH83" i="13"/>
  <c r="BH85" i="13" s="1" a="1"/>
  <c r="BH85" i="13" s="1"/>
  <c r="BH86" i="13" s="1" a="1"/>
  <c r="BH86" i="13" s="1"/>
  <c r="BH87" i="13" s="1" a="1"/>
  <c r="BH87" i="13" s="1"/>
  <c r="BH88" i="13" s="1" a="1"/>
  <c r="BH88"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c r="H85" i="13" s="1" a="1"/>
  <c r="H85" i="13" s="1"/>
  <c r="H86" i="13" s="1" a="1"/>
  <c r="H86" i="13" s="1"/>
  <c r="H87" i="13" s="1" a="1"/>
  <c r="H87" i="13" s="1"/>
  <c r="H88" i="13" s="1" a="1"/>
  <c r="H88" i="13" s="1"/>
  <c r="AR79" i="13"/>
  <c r="AQ79" i="13"/>
  <c r="AP79" i="13"/>
  <c r="AO79" i="13"/>
  <c r="AN79" i="13"/>
  <c r="AM79" i="13"/>
  <c r="AL79" i="13"/>
  <c r="AK79" i="13"/>
  <c r="AJ79" i="13"/>
  <c r="AI79" i="13"/>
  <c r="AG79" i="13"/>
  <c r="AF79" i="13"/>
  <c r="BH78" i="13" a="1"/>
  <c r="BH78" i="13" s="1"/>
  <c r="BB78" i="13"/>
  <c r="BA78" i="13"/>
  <c r="AZ78" i="13"/>
  <c r="AY78" i="13"/>
  <c r="AX78" i="13"/>
  <c r="AW78" i="13"/>
  <c r="AV78" i="13"/>
  <c r="AU78" i="13"/>
  <c r="AT78" i="13"/>
  <c r="AS78" i="13"/>
  <c r="AH78" i="13"/>
  <c r="AE78" i="13"/>
  <c r="AB78" i="13"/>
  <c r="AB80" i="13" s="1"/>
  <c r="H78" i="13" a="1"/>
  <c r="H78" i="13" s="1"/>
  <c r="AR76" i="13"/>
  <c r="AQ76" i="13"/>
  <c r="AP76" i="13"/>
  <c r="AO76" i="13"/>
  <c r="AN76" i="13"/>
  <c r="AM76" i="13"/>
  <c r="AL76" i="13"/>
  <c r="AK76" i="13"/>
  <c r="AJ76" i="13"/>
  <c r="AI76" i="13"/>
  <c r="AG76" i="13"/>
  <c r="AF76" i="13"/>
  <c r="BH75" i="13" a="1"/>
  <c r="BH75" i="13" s="1"/>
  <c r="BB75" i="13"/>
  <c r="BA75" i="13"/>
  <c r="AZ75" i="13"/>
  <c r="AY75" i="13"/>
  <c r="AX75" i="13"/>
  <c r="AW75" i="13"/>
  <c r="AV75" i="13"/>
  <c r="AU75" i="13"/>
  <c r="AT75" i="13"/>
  <c r="AS75" i="13"/>
  <c r="AH75" i="13"/>
  <c r="AE75" i="13"/>
  <c r="AB75" i="13"/>
  <c r="AB77" i="13" s="1"/>
  <c r="H75" i="13" a="1"/>
  <c r="H75" i="13" s="1"/>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L72" i="13" s="1"/>
  <c r="AK70" i="13"/>
  <c r="AK72" i="13" s="1"/>
  <c r="AJ70" i="13"/>
  <c r="AJ72" i="13" s="1"/>
  <c r="AI70" i="13"/>
  <c r="AI72" i="13" s="1"/>
  <c r="AH70" i="13"/>
  <c r="AH72" i="13" s="1"/>
  <c r="AG70" i="13"/>
  <c r="AG72" i="13" s="1"/>
  <c r="AF70" i="13"/>
  <c r="AF72" i="13" s="1"/>
  <c r="AE70" i="13"/>
  <c r="AE72" i="13" s="1"/>
  <c r="BB69" i="13"/>
  <c r="BA69" i="13"/>
  <c r="AZ69" i="13"/>
  <c r="AY69" i="13"/>
  <c r="AX69" i="13"/>
  <c r="AW69" i="13"/>
  <c r="AV69" i="13"/>
  <c r="AU69" i="13"/>
  <c r="AT69" i="13"/>
  <c r="AS69" i="13"/>
  <c r="AR69" i="13"/>
  <c r="AQ69" i="13"/>
  <c r="AP69" i="13"/>
  <c r="AO69" i="13"/>
  <c r="AN69" i="13"/>
  <c r="AM69" i="13"/>
  <c r="AL69" i="13"/>
  <c r="AK69" i="13"/>
  <c r="AJ69" i="13"/>
  <c r="AI69" i="13"/>
  <c r="AH69" i="13"/>
  <c r="AG69" i="13"/>
  <c r="AF69" i="13"/>
  <c r="AE69" i="13"/>
  <c r="BB68" i="13"/>
  <c r="BC52" i="24" s="1" a="1"/>
  <c r="BC52" i="24" s="1"/>
  <c r="BA68" i="13"/>
  <c r="BB52" i="24" s="1" a="1"/>
  <c r="BB52" i="24" s="1"/>
  <c r="BM52" i="24" s="1"/>
  <c r="AZ68" i="13"/>
  <c r="BA52" i="24" s="1" a="1"/>
  <c r="BA52" i="24" s="1"/>
  <c r="BL52" i="24" s="1"/>
  <c r="AY68" i="13"/>
  <c r="AZ52" i="24" s="1" a="1"/>
  <c r="AZ52" i="24" s="1"/>
  <c r="BK52" i="24" s="1"/>
  <c r="AX68" i="13"/>
  <c r="AY52" i="24" s="1" a="1"/>
  <c r="AY52" i="24" s="1"/>
  <c r="BJ52" i="24" s="1"/>
  <c r="AW68" i="13"/>
  <c r="AX52" i="24" s="1" a="1"/>
  <c r="AX52" i="24" s="1"/>
  <c r="BI52" i="24" s="1"/>
  <c r="AV68" i="13"/>
  <c r="AW52" i="24" s="1" a="1"/>
  <c r="AW52" i="24" s="1"/>
  <c r="BH52" i="24" s="1"/>
  <c r="AU68" i="13"/>
  <c r="AV52" i="24" s="1" a="1"/>
  <c r="AV52" i="24" s="1"/>
  <c r="BG52" i="24" s="1"/>
  <c r="AT68" i="13"/>
  <c r="AU52" i="24" s="1" a="1"/>
  <c r="AU52" i="24" s="1"/>
  <c r="BF52" i="24" s="1"/>
  <c r="AS68" i="13"/>
  <c r="AT52" i="24" s="1" a="1"/>
  <c r="AT52" i="24" s="1"/>
  <c r="AR68" i="13"/>
  <c r="AS52" i="24" s="1" a="1"/>
  <c r="AS52" i="24" s="1"/>
  <c r="AQ68" i="13"/>
  <c r="AR52" i="24" s="1" a="1"/>
  <c r="AR52" i="24" s="1"/>
  <c r="AP68" i="13"/>
  <c r="AQ52" i="24" s="1" a="1"/>
  <c r="AQ52" i="24" s="1"/>
  <c r="AO68" i="13"/>
  <c r="AP52" i="24" s="1" a="1"/>
  <c r="AP52" i="24" s="1"/>
  <c r="AN68" i="13"/>
  <c r="AO52" i="24" s="1" a="1"/>
  <c r="AO52" i="24" s="1"/>
  <c r="AM68" i="13"/>
  <c r="AN52" i="24" s="1" a="1"/>
  <c r="AN52" i="24" s="1"/>
  <c r="AL68" i="13"/>
  <c r="AM52" i="24" s="1" a="1"/>
  <c r="AM52" i="24" s="1"/>
  <c r="AK68" i="13"/>
  <c r="AL52" i="24" s="1" a="1"/>
  <c r="AL52" i="24" s="1"/>
  <c r="AJ68" i="13"/>
  <c r="AK52" i="24" s="1" a="1"/>
  <c r="AK52" i="24" s="1"/>
  <c r="AI68" i="13"/>
  <c r="AJ52" i="24" s="1" a="1"/>
  <c r="AJ52" i="24" s="1"/>
  <c r="AH68" i="13"/>
  <c r="AI52" i="24" s="1" a="1"/>
  <c r="AI52" i="24" s="1"/>
  <c r="BD52" i="24" s="1"/>
  <c r="AG68" i="13"/>
  <c r="AF68" i="13"/>
  <c r="AE68" i="13"/>
  <c r="T68" i="13"/>
  <c r="T69" i="13" s="1" a="1"/>
  <c r="T69" i="13" s="1"/>
  <c r="T70" i="13" s="1" a="1"/>
  <c r="T70" i="13" s="1"/>
  <c r="T71" i="13" s="1" a="1"/>
  <c r="T71" i="13" s="1"/>
  <c r="T72" i="13" s="1" a="1"/>
  <c r="T72" i="13" s="1"/>
  <c r="T73" i="13" s="1" a="1"/>
  <c r="T73" i="13" s="1"/>
  <c r="T74" i="13" s="1" a="1"/>
  <c r="T74" i="13" s="1"/>
  <c r="F68" i="13" a="1"/>
  <c r="F68" i="13"/>
  <c r="F69" i="13" s="1" a="1"/>
  <c r="F69" i="13" s="1"/>
  <c r="F70" i="13" s="1" a="1"/>
  <c r="F70" i="13" s="1"/>
  <c r="F71" i="13" s="1" a="1"/>
  <c r="F71" i="13" s="1"/>
  <c r="F72" i="13" s="1" a="1"/>
  <c r="F72" i="13" s="1"/>
  <c r="F73" i="13" s="1" a="1"/>
  <c r="F73" i="13" s="1"/>
  <c r="F74" i="13" s="1" a="1"/>
  <c r="F74" i="13" s="1"/>
  <c r="F75" i="13" s="1" a="1"/>
  <c r="F75" i="13" s="1"/>
  <c r="AR62" i="13"/>
  <c r="AQ62" i="13"/>
  <c r="AP62" i="13"/>
  <c r="AO62" i="13"/>
  <c r="AN62" i="13"/>
  <c r="AM62" i="13"/>
  <c r="AL62" i="13"/>
  <c r="AK62" i="13"/>
  <c r="AJ62" i="13"/>
  <c r="AI62" i="13"/>
  <c r="AG62" i="13"/>
  <c r="AF62" i="13"/>
  <c r="BH60" i="13" a="1"/>
  <c r="BH60" i="13" s="1"/>
  <c r="BH61" i="13" s="1" a="1"/>
  <c r="BH61" i="13" s="1"/>
  <c r="BB60" i="13"/>
  <c r="BA60" i="13"/>
  <c r="AZ60" i="13"/>
  <c r="AY60" i="13"/>
  <c r="AX60" i="13"/>
  <c r="AW60" i="13"/>
  <c r="AV60" i="13"/>
  <c r="AU60" i="13"/>
  <c r="AT60" i="13"/>
  <c r="AS60" i="13"/>
  <c r="AR60" i="13"/>
  <c r="AQ60" i="13"/>
  <c r="AP60" i="13"/>
  <c r="AO60" i="13"/>
  <c r="AN60" i="13"/>
  <c r="AM60" i="13"/>
  <c r="AL60" i="13"/>
  <c r="AK60" i="13"/>
  <c r="AJ60" i="13"/>
  <c r="AI60" i="13"/>
  <c r="AH60" i="13"/>
  <c r="AG60" i="13"/>
  <c r="AF60" i="13"/>
  <c r="AE60" i="13"/>
  <c r="AB60" i="13"/>
  <c r="AB65" i="13" s="1"/>
  <c r="AB66" i="13" s="1"/>
  <c r="H60" i="13" a="1"/>
  <c r="H60" i="13" s="1"/>
  <c r="AR55" i="13"/>
  <c r="AQ55" i="13"/>
  <c r="AP55" i="13"/>
  <c r="AO55" i="13"/>
  <c r="AN55" i="13"/>
  <c r="AM55" i="13"/>
  <c r="AL55" i="13"/>
  <c r="AK55" i="13"/>
  <c r="AJ55" i="13"/>
  <c r="AI55" i="13"/>
  <c r="AG55" i="13"/>
  <c r="AF55" i="13"/>
  <c r="BH53" i="13" a="1"/>
  <c r="BH53" i="13"/>
  <c r="BH54" i="13" s="1" a="1"/>
  <c r="BH54" i="13" s="1"/>
  <c r="BB53" i="13"/>
  <c r="BA53" i="13"/>
  <c r="AZ53" i="13"/>
  <c r="AY53" i="13"/>
  <c r="AX53" i="13"/>
  <c r="AW53" i="13"/>
  <c r="AV53" i="13"/>
  <c r="AU53" i="13"/>
  <c r="AT53" i="13"/>
  <c r="AS53" i="13"/>
  <c r="AH53" i="13"/>
  <c r="AE53" i="13"/>
  <c r="AB53" i="13"/>
  <c r="AB56" i="13" s="1"/>
  <c r="H53" i="13" a="1"/>
  <c r="H53" i="13"/>
  <c r="H56" i="13" s="1" a="1"/>
  <c r="H56"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BA47" i="13"/>
  <c r="AZ47" i="13"/>
  <c r="AY47" i="13"/>
  <c r="AX47" i="13"/>
  <c r="AW47" i="13"/>
  <c r="AV47" i="13"/>
  <c r="AU47" i="13"/>
  <c r="AT47" i="13"/>
  <c r="AS47" i="13"/>
  <c r="AR47" i="13"/>
  <c r="AQ47" i="13"/>
  <c r="AP47" i="13"/>
  <c r="AO47" i="13"/>
  <c r="AN47" i="13"/>
  <c r="AM47" i="13"/>
  <c r="AL47" i="13"/>
  <c r="AK47" i="13"/>
  <c r="AJ47" i="13"/>
  <c r="AI47" i="13"/>
  <c r="AH47" i="13"/>
  <c r="AG47" i="13"/>
  <c r="AF47" i="13"/>
  <c r="AE47" i="13"/>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AB44" i="13" s="1"/>
  <c r="H39" i="13" a="1"/>
  <c r="H39" i="13" s="1"/>
  <c r="AB36" i="13"/>
  <c r="AR35" i="13"/>
  <c r="AQ35" i="13"/>
  <c r="AP35" i="13"/>
  <c r="AO35" i="13"/>
  <c r="AN35" i="13"/>
  <c r="AM35" i="13"/>
  <c r="AL35" i="13"/>
  <c r="AK35" i="13"/>
  <c r="AJ35" i="13"/>
  <c r="AI35" i="13"/>
  <c r="AG35" i="13"/>
  <c r="AF35" i="13"/>
  <c r="AB35" i="13"/>
  <c r="BH34" i="13" a="1"/>
  <c r="BH34" i="13"/>
  <c r="BH36" i="13" s="1" a="1"/>
  <c r="BH36" i="13" s="1"/>
  <c r="BB34" i="13"/>
  <c r="BA34" i="13"/>
  <c r="AZ34" i="13"/>
  <c r="AY34" i="13"/>
  <c r="AX34" i="13"/>
  <c r="AW34" i="13"/>
  <c r="AV34" i="13"/>
  <c r="AU34" i="13"/>
  <c r="AT34" i="13"/>
  <c r="AS34" i="13"/>
  <c r="AH34" i="13"/>
  <c r="AE34" i="13"/>
  <c r="AB34" i="13"/>
  <c r="H34" i="13" a="1"/>
  <c r="H34" i="13"/>
  <c r="H36" i="13" s="1" a="1"/>
  <c r="H36" i="13" s="1"/>
  <c r="BB29" i="13"/>
  <c r="BB31" i="13" s="1"/>
  <c r="BA29" i="13"/>
  <c r="BA31" i="13" s="1"/>
  <c r="AZ29" i="13"/>
  <c r="AZ31" i="13" s="1"/>
  <c r="AY29" i="13"/>
  <c r="AY31" i="13" s="1"/>
  <c r="AX29" i="13"/>
  <c r="AX31" i="13" s="1"/>
  <c r="AW29" i="13"/>
  <c r="AW31" i="13" s="1"/>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BB27" i="13"/>
  <c r="BA27" i="13"/>
  <c r="AZ27" i="13"/>
  <c r="AY27" i="13"/>
  <c r="AX27" i="13"/>
  <c r="AW27" i="13"/>
  <c r="AV27" i="13"/>
  <c r="AU27" i="13"/>
  <c r="AT27" i="13"/>
  <c r="AS27" i="13"/>
  <c r="AR27" i="13"/>
  <c r="AQ27" i="13"/>
  <c r="AP27" i="13"/>
  <c r="AO27" i="13"/>
  <c r="AN27" i="13"/>
  <c r="AM27" i="13"/>
  <c r="AL27" i="13"/>
  <c r="AK27" i="13"/>
  <c r="AJ27" i="13"/>
  <c r="AI27" i="13"/>
  <c r="AH27" i="13"/>
  <c r="AG27" i="13"/>
  <c r="AF27" i="13"/>
  <c r="AE27" i="13"/>
  <c r="T27" i="13"/>
  <c r="T28" i="13" s="1" a="1"/>
  <c r="T28" i="13" s="1"/>
  <c r="T29" i="13" s="1" a="1"/>
  <c r="T29" i="13" s="1"/>
  <c r="T30" i="13" s="1" a="1"/>
  <c r="T30" i="13" s="1"/>
  <c r="T31" i="13" s="1" a="1"/>
  <c r="T31" i="13" s="1"/>
  <c r="T32" i="13" s="1" a="1"/>
  <c r="T32" i="13" s="1"/>
  <c r="T33" i="13" s="1" a="1"/>
  <c r="T33" i="13" s="1"/>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B9" i="13"/>
  <c r="BA9" i="13"/>
  <c r="AZ9" i="13"/>
  <c r="AY9" i="13"/>
  <c r="AX9" i="13"/>
  <c r="AW9" i="13"/>
  <c r="AV9" i="13"/>
  <c r="AU9" i="13"/>
  <c r="AT9" i="13"/>
  <c r="AS9" i="13" a="1"/>
  <c r="AS9" i="13" s="1"/>
  <c r="AR9" i="13"/>
  <c r="AQ9" i="13"/>
  <c r="AP9" i="13"/>
  <c r="AO9" i="13"/>
  <c r="AN9" i="13"/>
  <c r="AM9" i="13"/>
  <c r="AL9" i="13"/>
  <c r="AK9" i="13"/>
  <c r="AJ9" i="13"/>
  <c r="AI9" i="13" a="1"/>
  <c r="AI9" i="13"/>
  <c r="AH9" i="13"/>
  <c r="AG9" i="13"/>
  <c r="AF9" i="13"/>
  <c r="AE9"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P7" i="13" a="1"/>
  <c r="AP7" i="13"/>
  <c r="AO7" i="13" a="1"/>
  <c r="AO7" i="13"/>
  <c r="AN7" i="13" a="1"/>
  <c r="AN7" i="13"/>
  <c r="AM7" i="13" a="1"/>
  <c r="AM7" i="13" s="1"/>
  <c r="AL7" i="13" a="1"/>
  <c r="AL7" i="13" s="1"/>
  <c r="AK7" i="13" a="1"/>
  <c r="AK7" i="13" s="1"/>
  <c r="AJ7" i="13" a="1"/>
  <c r="AJ7" i="13" s="1"/>
  <c r="AI7" i="13" a="1"/>
  <c r="AI7" i="13" s="1"/>
  <c r="AH7" i="13" a="1"/>
  <c r="AH7" i="13" s="1"/>
  <c r="AG7" i="13" a="1"/>
  <c r="AG7" i="13" s="1"/>
  <c r="AF7" i="13" a="1"/>
  <c r="AF7" i="13" s="1"/>
  <c r="AE7" i="13" a="1"/>
  <c r="AE7" i="13" s="1"/>
  <c r="BB6" i="13"/>
  <c r="BB8" i="13" s="1"/>
  <c r="BA6" i="13"/>
  <c r="BA8" i="13" s="1"/>
  <c r="AZ6" i="13"/>
  <c r="AZ8" i="13" s="1"/>
  <c r="AY6" i="13"/>
  <c r="AY8" i="13" s="1"/>
  <c r="AX6" i="13"/>
  <c r="AX8" i="13" s="1"/>
  <c r="AW6" i="13"/>
  <c r="AW8" i="13" s="1"/>
  <c r="AV6" i="13"/>
  <c r="AV8" i="13" s="1"/>
  <c r="AU6" i="13"/>
  <c r="AU8" i="13" s="1"/>
  <c r="AT6" i="13"/>
  <c r="AT8" i="13" s="1"/>
  <c r="AS6" i="13" a="1"/>
  <c r="AS6" i="13"/>
  <c r="AS8" i="13" s="1"/>
  <c r="AR6" i="13"/>
  <c r="AR8" i="13" s="1"/>
  <c r="AQ6" i="13"/>
  <c r="AQ8" i="13" s="1"/>
  <c r="AP6" i="13"/>
  <c r="AP8" i="13" s="1"/>
  <c r="AO6" i="13"/>
  <c r="AO8" i="13" s="1"/>
  <c r="AN6" i="13"/>
  <c r="AN8" i="13" s="1"/>
  <c r="AM6" i="13"/>
  <c r="AM8" i="13" s="1"/>
  <c r="AL6" i="13"/>
  <c r="AK6" i="13"/>
  <c r="AK8" i="13" s="1"/>
  <c r="AJ6" i="13"/>
  <c r="AI6" i="13" a="1"/>
  <c r="AI6" i="13" s="1"/>
  <c r="AH6" i="13"/>
  <c r="AG6" i="13"/>
  <c r="AG8" i="13" s="1"/>
  <c r="AF6" i="13"/>
  <c r="AE6" i="13"/>
  <c r="AE8" i="13" s="1"/>
  <c r="CW434" i="12"/>
  <c r="X434" i="12"/>
  <c r="T433" i="12"/>
  <c r="CZ432" i="12" a="1"/>
  <c r="CZ432" i="12" s="1"/>
  <c r="CY432" i="12" a="1"/>
  <c r="CY432" i="12" s="1"/>
  <c r="AI432" i="12"/>
  <c r="AG432" i="12"/>
  <c r="T432" i="12"/>
  <c r="CW430" i="12"/>
  <c r="X430" i="12"/>
  <c r="T429" i="12"/>
  <c r="CZ428" i="12" a="1"/>
  <c r="CZ428" i="12" s="1"/>
  <c r="CY428" i="12" a="1"/>
  <c r="CY428" i="12" s="1"/>
  <c r="T428" i="12"/>
  <c r="AD427" i="12"/>
  <c r="CW425" i="12"/>
  <c r="X425" i="12"/>
  <c r="AK424" i="12"/>
  <c r="AJ424" i="12"/>
  <c r="AJ433" i="12" s="1"/>
  <c r="AI424" i="12"/>
  <c r="AI433" i="12" s="1"/>
  <c r="AH424" i="12"/>
  <c r="T424" i="12"/>
  <c r="CZ423" i="12" a="1"/>
  <c r="CZ423" i="12"/>
  <c r="CY423" i="12" a="1"/>
  <c r="CY423" i="12"/>
  <c r="AK423" i="12"/>
  <c r="AJ423" i="12"/>
  <c r="AJ432" i="12" s="1"/>
  <c r="AI423" i="12"/>
  <c r="AH423" i="12"/>
  <c r="T423" i="12"/>
  <c r="AD420" i="12"/>
  <c r="AK419" i="12"/>
  <c r="AI419" i="12"/>
  <c r="CW418" i="12"/>
  <c r="X418" i="12"/>
  <c r="CZ416" i="12" a="1"/>
  <c r="CZ416" i="12"/>
  <c r="CY416" i="12" a="1"/>
  <c r="CY416" i="12"/>
  <c r="CW414" i="12"/>
  <c r="X414" i="12"/>
  <c r="CQ413" i="12"/>
  <c r="CN413" i="12"/>
  <c r="CN410" i="12" s="1"/>
  <c r="CK413" i="12"/>
  <c r="CH413" i="12"/>
  <c r="CH410" i="12" s="1"/>
  <c r="CE413" i="12"/>
  <c r="CB413" i="12"/>
  <c r="CB410" i="12" s="1"/>
  <c r="BY413" i="12"/>
  <c r="BV413" i="12"/>
  <c r="BV410" i="12" s="1"/>
  <c r="BS413" i="12"/>
  <c r="BP413" i="12"/>
  <c r="BP410" i="12" s="1"/>
  <c r="BM413" i="12"/>
  <c r="BJ413" i="12"/>
  <c r="BJ410" i="12" s="1"/>
  <c r="BG413" i="12"/>
  <c r="BD413" i="12"/>
  <c r="BD410" i="12" s="1"/>
  <c r="BA413" i="12"/>
  <c r="AX413" i="12"/>
  <c r="AX410" i="12" s="1"/>
  <c r="AU413" i="12"/>
  <c r="AR413" i="12"/>
  <c r="AR410" i="12" s="1"/>
  <c r="AO413" i="12"/>
  <c r="AL413" i="12"/>
  <c r="AL410" i="12" s="1"/>
  <c r="T413" i="12"/>
  <c r="CZ412" i="12" a="1"/>
  <c r="CZ412" i="12" s="1"/>
  <c r="CY412" i="12" a="1"/>
  <c r="CY412" i="12" s="1"/>
  <c r="CQ412" i="12"/>
  <c r="CN412" i="12"/>
  <c r="CK412" i="12"/>
  <c r="CH412" i="12"/>
  <c r="CE412" i="12"/>
  <c r="CB412" i="12"/>
  <c r="BY412" i="12"/>
  <c r="BV412" i="12"/>
  <c r="BS412" i="12"/>
  <c r="BP412" i="12"/>
  <c r="BM412" i="12"/>
  <c r="BJ412" i="12"/>
  <c r="BG412" i="12"/>
  <c r="BD412" i="12"/>
  <c r="BA412" i="12"/>
  <c r="AX412" i="12"/>
  <c r="AU412" i="12"/>
  <c r="AR412" i="12"/>
  <c r="AO412" i="12"/>
  <c r="AL412" i="12"/>
  <c r="T412" i="12"/>
  <c r="AD411" i="12"/>
  <c r="CS410" i="12"/>
  <c r="CR410" i="12"/>
  <c r="CQ410" i="12"/>
  <c r="CP410" i="12"/>
  <c r="CO410" i="12"/>
  <c r="CM410" i="12"/>
  <c r="CL410" i="12"/>
  <c r="CK410" i="12"/>
  <c r="CJ410" i="12"/>
  <c r="CI410" i="12"/>
  <c r="CG410" i="12"/>
  <c r="CF410" i="12"/>
  <c r="CE410" i="12"/>
  <c r="CD410" i="12"/>
  <c r="CC410" i="12"/>
  <c r="CA410" i="12"/>
  <c r="BZ410" i="12"/>
  <c r="BY410" i="12"/>
  <c r="BX410" i="12"/>
  <c r="BW410" i="12"/>
  <c r="BU410" i="12"/>
  <c r="BT410" i="12"/>
  <c r="BS410" i="12"/>
  <c r="BR410" i="12"/>
  <c r="BQ410" i="12"/>
  <c r="BO410" i="12"/>
  <c r="BN410" i="12"/>
  <c r="BM410" i="12"/>
  <c r="BL410" i="12"/>
  <c r="BK410" i="12"/>
  <c r="BI410" i="12"/>
  <c r="BH410" i="12"/>
  <c r="BG410" i="12"/>
  <c r="BF410" i="12"/>
  <c r="BE410" i="12"/>
  <c r="BC410" i="12"/>
  <c r="BB410" i="12"/>
  <c r="BA410" i="12"/>
  <c r="AZ410" i="12"/>
  <c r="AY410" i="12"/>
  <c r="AW410" i="12"/>
  <c r="AV410" i="12"/>
  <c r="AU410" i="12"/>
  <c r="AT410" i="12"/>
  <c r="AS410" i="12"/>
  <c r="AQ410" i="12"/>
  <c r="AP410" i="12"/>
  <c r="AO410" i="12"/>
  <c r="AN410" i="12"/>
  <c r="AM410" i="12"/>
  <c r="AK410" i="12"/>
  <c r="AJ410" i="12"/>
  <c r="AI410" i="12"/>
  <c r="AH410" i="12"/>
  <c r="CW409" i="12"/>
  <c r="X409" i="12"/>
  <c r="CZ407" i="12" a="1"/>
  <c r="CZ407" i="12" s="1"/>
  <c r="CY407" i="12" a="1"/>
  <c r="CY407" i="12" s="1"/>
  <c r="CW405" i="12"/>
  <c r="X405" i="12"/>
  <c r="T404" i="12"/>
  <c r="CZ403" i="12" a="1"/>
  <c r="CZ403" i="12"/>
  <c r="CY403" i="12" a="1"/>
  <c r="CY403" i="12"/>
  <c r="T403" i="12"/>
  <c r="AD402" i="12"/>
  <c r="AK401" i="12"/>
  <c r="AJ401" i="12"/>
  <c r="AI401" i="12"/>
  <c r="AH401" i="12"/>
  <c r="CW400" i="12"/>
  <c r="X400" i="12"/>
  <c r="BR399" i="12" a="1"/>
  <c r="BR399" i="12" s="1"/>
  <c r="AJ399" i="12"/>
  <c r="AI399" i="12"/>
  <c r="T399" i="12"/>
  <c r="CZ398" i="12" a="1"/>
  <c r="CZ398" i="12"/>
  <c r="CY398" i="12" a="1"/>
  <c r="CY398" i="12"/>
  <c r="AJ398" i="12"/>
  <c r="AI398" i="12"/>
  <c r="AG398" i="12"/>
  <c r="T398" i="12"/>
  <c r="CW396" i="12"/>
  <c r="X396" i="12"/>
  <c r="T395" i="12"/>
  <c r="CZ394" i="12" a="1"/>
  <c r="CZ394" i="12"/>
  <c r="CY394" i="12" a="1"/>
  <c r="CY394" i="12"/>
  <c r="T394" i="12"/>
  <c r="CW392" i="12"/>
  <c r="X392" i="12"/>
  <c r="CZ390" i="12" a="1"/>
  <c r="CZ390" i="12" s="1"/>
  <c r="CY390" i="12" a="1"/>
  <c r="CY390" i="12" s="1"/>
  <c r="CW388" i="12"/>
  <c r="X388" i="12"/>
  <c r="T387" i="12"/>
  <c r="CZ386" i="12" a="1"/>
  <c r="CZ386" i="12"/>
  <c r="CY386" i="12" a="1"/>
  <c r="CY386" i="12"/>
  <c r="T386" i="12"/>
  <c r="AD385" i="12"/>
  <c r="AK384" i="12"/>
  <c r="AJ384" i="12"/>
  <c r="AI384" i="12"/>
  <c r="AH384" i="12"/>
  <c r="CW383" i="12"/>
  <c r="X383" i="12"/>
  <c r="BR382" i="12" a="1"/>
  <c r="BR382" i="12" s="1"/>
  <c r="AJ382" i="12"/>
  <c r="AI382" i="12"/>
  <c r="T382" i="12"/>
  <c r="CZ381" i="12" a="1"/>
  <c r="CZ381" i="12"/>
  <c r="CY381" i="12" a="1"/>
  <c r="CY381" i="12"/>
  <c r="AJ381" i="12"/>
  <c r="AI381" i="12"/>
  <c r="AG381" i="12"/>
  <c r="T381" i="12"/>
  <c r="CW379" i="12"/>
  <c r="X379" i="12"/>
  <c r="T378" i="12"/>
  <c r="CZ377" i="12" a="1"/>
  <c r="CZ377" i="12"/>
  <c r="CY377" i="12" a="1"/>
  <c r="CY377" i="12"/>
  <c r="T377" i="12"/>
  <c r="CW375" i="12"/>
  <c r="X375" i="12"/>
  <c r="CZ373" i="12" a="1"/>
  <c r="CZ373" i="12" s="1"/>
  <c r="CY373" i="12" a="1"/>
  <c r="CY373" i="12" s="1"/>
  <c r="CW371" i="12"/>
  <c r="X371" i="12"/>
  <c r="T370" i="12"/>
  <c r="CZ369" i="12" a="1"/>
  <c r="CZ369" i="12"/>
  <c r="CY369" i="12" a="1"/>
  <c r="CY369" i="12"/>
  <c r="T369" i="12"/>
  <c r="AD368" i="12"/>
  <c r="AK367" i="12"/>
  <c r="AJ367" i="12"/>
  <c r="AI367" i="12"/>
  <c r="AH367" i="12"/>
  <c r="CW366" i="12"/>
  <c r="X366" i="12"/>
  <c r="BR365" i="12" a="1"/>
  <c r="BR365" i="12" s="1"/>
  <c r="AJ365" i="12"/>
  <c r="AI365" i="12"/>
  <c r="T365" i="12"/>
  <c r="CZ364" i="12" a="1"/>
  <c r="CZ364" i="12"/>
  <c r="CY364" i="12" a="1"/>
  <c r="CY364" i="12"/>
  <c r="AJ364" i="12"/>
  <c r="AI364" i="12"/>
  <c r="AG364" i="12"/>
  <c r="T364" i="12"/>
  <c r="CW362" i="12"/>
  <c r="X362" i="12"/>
  <c r="T361" i="12"/>
  <c r="CZ360" i="12" a="1"/>
  <c r="CZ360" i="12"/>
  <c r="CY360" i="12" a="1"/>
  <c r="CY360" i="12"/>
  <c r="T360" i="12"/>
  <c r="CW358" i="12"/>
  <c r="X358" i="12"/>
  <c r="CZ356" i="12" a="1"/>
  <c r="CZ356" i="12" s="1"/>
  <c r="CY356" i="12" a="1"/>
  <c r="CY356" i="12" s="1"/>
  <c r="CW354" i="12"/>
  <c r="X354" i="12"/>
  <c r="T353" i="12"/>
  <c r="CZ352" i="12" a="1"/>
  <c r="CZ352" i="12"/>
  <c r="CY352" i="12" a="1"/>
  <c r="CY352" i="12"/>
  <c r="T352" i="12"/>
  <c r="AD351" i="12"/>
  <c r="AK350" i="12"/>
  <c r="AJ350" i="12"/>
  <c r="AI350" i="12"/>
  <c r="AH350" i="12"/>
  <c r="CW349" i="12"/>
  <c r="X349" i="12"/>
  <c r="BR348" i="12" a="1"/>
  <c r="BR348" i="12" s="1"/>
  <c r="AJ348" i="12"/>
  <c r="AI348" i="12"/>
  <c r="T348" i="12"/>
  <c r="CZ347" i="12" a="1"/>
  <c r="CZ347" i="12"/>
  <c r="CY347" i="12" a="1"/>
  <c r="CY347" i="12"/>
  <c r="AJ347" i="12"/>
  <c r="AI347" i="12"/>
  <c r="AG347" i="12"/>
  <c r="T347" i="12"/>
  <c r="CW345" i="12"/>
  <c r="X345" i="12"/>
  <c r="T344" i="12"/>
  <c r="CZ343" i="12" a="1"/>
  <c r="CZ343" i="12"/>
  <c r="CY343" i="12" a="1"/>
  <c r="CY343" i="12"/>
  <c r="T343" i="12"/>
  <c r="CW341" i="12"/>
  <c r="X341" i="12"/>
  <c r="AF340" i="12" a="1"/>
  <c r="AF340" i="12" s="1"/>
  <c r="CZ340" i="12" s="1" a="1"/>
  <c r="CZ340" i="12" s="1"/>
  <c r="T340" i="12"/>
  <c r="CZ339" i="12" a="1"/>
  <c r="CZ339" i="12"/>
  <c r="CY339" i="12" a="1"/>
  <c r="CY339" i="12"/>
  <c r="AG339" i="12"/>
  <c r="T339" i="12"/>
  <c r="CW337" i="12"/>
  <c r="X337" i="12"/>
  <c r="CS336" i="12" a="1"/>
  <c r="CS336" i="12" s="1"/>
  <c r="CP336" i="12" a="1"/>
  <c r="CP336" i="12"/>
  <c r="CM336" i="12" a="1"/>
  <c r="CM336" i="12" s="1"/>
  <c r="CJ336" i="12" a="1"/>
  <c r="CJ336" i="12"/>
  <c r="CG336" i="12" a="1"/>
  <c r="CG336" i="12" s="1"/>
  <c r="CD336" i="12" a="1"/>
  <c r="CD336" i="12"/>
  <c r="CA336" i="12" a="1"/>
  <c r="CA336" i="12" s="1"/>
  <c r="BX336" i="12" a="1"/>
  <c r="BX336" i="12"/>
  <c r="BU336" i="12" a="1"/>
  <c r="BU336" i="12" s="1"/>
  <c r="BR336" i="12" a="1"/>
  <c r="BR336" i="12"/>
  <c r="BO336" i="12" a="1"/>
  <c r="BO336" i="12" s="1"/>
  <c r="BL336" i="12" a="1"/>
  <c r="BL336" i="12"/>
  <c r="BI336" i="12" a="1"/>
  <c r="BI336" i="12" s="1"/>
  <c r="BF336" i="12" a="1"/>
  <c r="BF336" i="12"/>
  <c r="BC336" i="12" a="1"/>
  <c r="BC336" i="12" s="1"/>
  <c r="AZ336" i="12" a="1"/>
  <c r="AZ336" i="12"/>
  <c r="AW336" i="12" a="1"/>
  <c r="AW336" i="12" s="1"/>
  <c r="AT336" i="12" a="1"/>
  <c r="AT336" i="12"/>
  <c r="AQ336" i="12" a="1"/>
  <c r="AQ336" i="12" s="1"/>
  <c r="AN336" i="12" a="1"/>
  <c r="AN336" i="12"/>
  <c r="AF336" i="12" a="1"/>
  <c r="AF336" i="12" s="1"/>
  <c r="CZ336" i="12" s="1" a="1"/>
  <c r="CZ336" i="12" s="1"/>
  <c r="AE336" i="12" a="1"/>
  <c r="AE336" i="12" s="1"/>
  <c r="X340" i="12" s="1"/>
  <c r="T336" i="12"/>
  <c r="CZ335" i="12" a="1"/>
  <c r="CZ335" i="12"/>
  <c r="CY335" i="12" a="1"/>
  <c r="CY335" i="12"/>
  <c r="CS335" i="12" a="1"/>
  <c r="CS335" i="12"/>
  <c r="CP335" i="12" a="1"/>
  <c r="CP335" i="12" s="1"/>
  <c r="CM335" i="12" a="1"/>
  <c r="CM335" i="12"/>
  <c r="CJ335" i="12" a="1"/>
  <c r="CJ335" i="12" s="1"/>
  <c r="CG335" i="12" a="1"/>
  <c r="CG335" i="12"/>
  <c r="CD335" i="12" a="1"/>
  <c r="CD335" i="12" s="1"/>
  <c r="CA335" i="12" a="1"/>
  <c r="CA335" i="12"/>
  <c r="BX335" i="12" a="1"/>
  <c r="BX335" i="12" s="1"/>
  <c r="BU335" i="12" a="1"/>
  <c r="BU335" i="12"/>
  <c r="BR335" i="12" a="1"/>
  <c r="BR335" i="12" s="1"/>
  <c r="BO335" i="12" a="1"/>
  <c r="BO335" i="12"/>
  <c r="BL335" i="12" a="1"/>
  <c r="BL335" i="12" s="1"/>
  <c r="BI335" i="12" a="1"/>
  <c r="BI335" i="12"/>
  <c r="BF335" i="12" a="1"/>
  <c r="BF335" i="12" s="1"/>
  <c r="BC335" i="12" a="1"/>
  <c r="BC335" i="12"/>
  <c r="AZ335" i="12" a="1"/>
  <c r="AZ335" i="12" s="1"/>
  <c r="AW335" i="12" a="1"/>
  <c r="AW335" i="12"/>
  <c r="AT335" i="12" a="1"/>
  <c r="AT335" i="12" s="1"/>
  <c r="AQ335" i="12" a="1"/>
  <c r="AQ335" i="12"/>
  <c r="AN335" i="12" a="1"/>
  <c r="AN335" i="12" s="1"/>
  <c r="T335" i="12"/>
  <c r="CW333" i="12"/>
  <c r="X333" i="12"/>
  <c r="CY332" i="12"/>
  <c r="AF332" i="12"/>
  <c r="CZ332" i="12" s="1" a="1"/>
  <c r="CZ332" i="12" s="1"/>
  <c r="AE332" i="12" a="1"/>
  <c r="AE332" i="12" s="1"/>
  <c r="CY332" i="12" s="1" a="1"/>
  <c r="X332" i="12"/>
  <c r="T332" i="12"/>
  <c r="CZ331" i="12" a="1"/>
  <c r="CZ331" i="12"/>
  <c r="CY331" i="12" a="1"/>
  <c r="CY331" i="12"/>
  <c r="T331" i="12"/>
  <c r="CS330" i="12"/>
  <c r="CR330" i="12"/>
  <c r="CP330" i="12"/>
  <c r="CO330" i="12"/>
  <c r="CM330" i="12"/>
  <c r="CL330" i="12"/>
  <c r="CJ330" i="12"/>
  <c r="CI330" i="12"/>
  <c r="CG330" i="12"/>
  <c r="CF330" i="12"/>
  <c r="CD330" i="12"/>
  <c r="CC330" i="12"/>
  <c r="CA330" i="12"/>
  <c r="BZ330" i="12"/>
  <c r="BX330" i="12"/>
  <c r="BW330" i="12"/>
  <c r="BU330" i="12"/>
  <c r="BT330" i="12"/>
  <c r="BR330" i="12"/>
  <c r="BQ330" i="12"/>
  <c r="BO330" i="12"/>
  <c r="BN330" i="12"/>
  <c r="BL330" i="12"/>
  <c r="BK330" i="12"/>
  <c r="BI330" i="12"/>
  <c r="BH330" i="12"/>
  <c r="BF330" i="12"/>
  <c r="BE330" i="12"/>
  <c r="BC330" i="12"/>
  <c r="BB330" i="12"/>
  <c r="AZ330" i="12"/>
  <c r="AY330" i="12"/>
  <c r="AW330" i="12"/>
  <c r="AV330" i="12"/>
  <c r="AT330" i="12"/>
  <c r="AS330" i="12"/>
  <c r="AQ330" i="12"/>
  <c r="AP330" i="12"/>
  <c r="AN330" i="12"/>
  <c r="AM330" i="12"/>
  <c r="AK330" i="12"/>
  <c r="AH330" i="12"/>
  <c r="CW329" i="12"/>
  <c r="X329" i="12"/>
  <c r="CZ328" i="12" a="1"/>
  <c r="CZ328" i="12"/>
  <c r="CY328" i="12" a="1"/>
  <c r="CY328" i="12"/>
  <c r="AJ328" i="12"/>
  <c r="AI328" i="12"/>
  <c r="T328" i="12"/>
  <c r="CZ327" i="12" a="1"/>
  <c r="CZ327" i="12"/>
  <c r="CY327" i="12" a="1"/>
  <c r="CY327" i="12"/>
  <c r="AJ327" i="12"/>
  <c r="AI327" i="12"/>
  <c r="AI428" i="12" s="1"/>
  <c r="T327" i="12"/>
  <c r="AI325" i="12"/>
  <c r="AI332" i="12" s="1"/>
  <c r="AK323" i="12"/>
  <c r="CS321" i="12" a="1"/>
  <c r="CS321" i="12" s="1"/>
  <c r="CR321" i="12" a="1"/>
  <c r="CR321" i="12" s="1"/>
  <c r="CR322" i="12" s="1"/>
  <c r="CP321" i="12" a="1"/>
  <c r="CP321" i="12" s="1"/>
  <c r="CO321" i="12" a="1"/>
  <c r="CO321" i="12" s="1"/>
  <c r="CO322" i="12" s="1"/>
  <c r="CM321" i="12" a="1"/>
  <c r="CM321" i="12" s="1"/>
  <c r="CL321" i="12" a="1"/>
  <c r="CL321" i="12" s="1"/>
  <c r="CL322" i="12" s="1"/>
  <c r="CJ321" i="12" a="1"/>
  <c r="CJ321" i="12" s="1"/>
  <c r="CI321" i="12" a="1"/>
  <c r="CI321" i="12" s="1"/>
  <c r="CI322" i="12" s="1"/>
  <c r="CI323" i="12" s="1"/>
  <c r="CG321" i="12" a="1"/>
  <c r="CG321" i="12" s="1"/>
  <c r="CF321" i="12" a="1"/>
  <c r="CF321" i="12" s="1"/>
  <c r="CF322" i="12" s="1"/>
  <c r="CD321" i="12" a="1"/>
  <c r="CD321" i="12" s="1"/>
  <c r="CC321" i="12" a="1"/>
  <c r="CC321" i="12" s="1"/>
  <c r="CC322" i="12" s="1"/>
  <c r="CA321" i="12" a="1"/>
  <c r="CA321" i="12" s="1"/>
  <c r="BZ321" i="12" a="1"/>
  <c r="BZ321" i="12" s="1"/>
  <c r="BZ322" i="12" s="1"/>
  <c r="BX321" i="12" a="1"/>
  <c r="BX321" i="12" s="1"/>
  <c r="BW321" i="12" a="1"/>
  <c r="BW321" i="12" s="1"/>
  <c r="BW322" i="12" s="1"/>
  <c r="BW323" i="12" s="1"/>
  <c r="BU321" i="12" a="1"/>
  <c r="BU321" i="12" s="1"/>
  <c r="BT321" i="12" a="1"/>
  <c r="BT321" i="12" s="1"/>
  <c r="BT322" i="12" s="1"/>
  <c r="BR321" i="12" a="1"/>
  <c r="BR321" i="12" s="1"/>
  <c r="BQ321" i="12" a="1"/>
  <c r="BQ321" i="12" s="1"/>
  <c r="BO321" i="12" a="1"/>
  <c r="BO321" i="12" s="1"/>
  <c r="BN321" i="12" a="1"/>
  <c r="BN321" i="12" s="1"/>
  <c r="BN322" i="12" s="1"/>
  <c r="BL321" i="12" a="1"/>
  <c r="BL321" i="12" s="1"/>
  <c r="BK321" i="12" a="1"/>
  <c r="BK321" i="12" s="1"/>
  <c r="BI321" i="12" a="1"/>
  <c r="BI321" i="12" s="1"/>
  <c r="BH321" i="12" a="1"/>
  <c r="BH321" i="12" s="1"/>
  <c r="BH322" i="12" s="1"/>
  <c r="BF321" i="12" a="1"/>
  <c r="BF321" i="12" s="1"/>
  <c r="BE321" i="12" a="1"/>
  <c r="BE321" i="12" s="1"/>
  <c r="BC321" i="12" a="1"/>
  <c r="BC321" i="12" s="1"/>
  <c r="BB321" i="12" a="1"/>
  <c r="BB321" i="12" s="1"/>
  <c r="BB322" i="12" s="1"/>
  <c r="AZ321" i="12" a="1"/>
  <c r="AZ321" i="12" s="1"/>
  <c r="AY321" i="12" a="1"/>
  <c r="AY321" i="12" s="1"/>
  <c r="AW321" i="12" a="1"/>
  <c r="AW321" i="12" s="1"/>
  <c r="AV321" i="12" a="1"/>
  <c r="AV321" i="12" s="1"/>
  <c r="AV322" i="12" s="1"/>
  <c r="AT321" i="12" a="1"/>
  <c r="AT321" i="12" s="1"/>
  <c r="AS321" i="12" a="1"/>
  <c r="AS321" i="12" s="1"/>
  <c r="AQ321" i="12" a="1"/>
  <c r="AQ321" i="12" s="1"/>
  <c r="AP321" i="12" a="1"/>
  <c r="AP321" i="12" s="1"/>
  <c r="AP322" i="12" s="1"/>
  <c r="AN321" i="12" a="1"/>
  <c r="AN321" i="12" s="1"/>
  <c r="AM321" i="12" a="1"/>
  <c r="AM321" i="12" s="1"/>
  <c r="CR320" i="12" a="1"/>
  <c r="CR320" i="12"/>
  <c r="CO320" i="12" a="1"/>
  <c r="CO320" i="12"/>
  <c r="CL320" i="12" a="1"/>
  <c r="CL320" i="12"/>
  <c r="CI320" i="12" a="1"/>
  <c r="CI320" i="12"/>
  <c r="CF320" i="12" a="1"/>
  <c r="CF320" i="12"/>
  <c r="CC320" i="12" a="1"/>
  <c r="CC320" i="12"/>
  <c r="BZ320" i="12" a="1"/>
  <c r="BZ320" i="12"/>
  <c r="BW320" i="12" a="1"/>
  <c r="BW320" i="12"/>
  <c r="BT320" i="12" a="1"/>
  <c r="BT320" i="12"/>
  <c r="BN320" i="12" a="1"/>
  <c r="BN320" i="12"/>
  <c r="BK320" i="12" a="1"/>
  <c r="BK320" i="12"/>
  <c r="BH320" i="12" a="1"/>
  <c r="BH320" i="12"/>
  <c r="BE320" i="12" a="1"/>
  <c r="BE320" i="12"/>
  <c r="BB320" i="12" a="1"/>
  <c r="BB320" i="12"/>
  <c r="AY320" i="12" a="1"/>
  <c r="AY320" i="12"/>
  <c r="AV320" i="12" a="1"/>
  <c r="AV320" i="12"/>
  <c r="AS320" i="12" a="1"/>
  <c r="AS320" i="12"/>
  <c r="AP320" i="12" a="1"/>
  <c r="AP320" i="12"/>
  <c r="AM320" i="12" a="1"/>
  <c r="AM320" i="12"/>
  <c r="CR319" i="12"/>
  <c r="CO319" i="12"/>
  <c r="CL319" i="12"/>
  <c r="CI319" i="12"/>
  <c r="CF319" i="12"/>
  <c r="CC319" i="12"/>
  <c r="BZ319" i="12"/>
  <c r="BW319" i="12"/>
  <c r="BT319" i="12"/>
  <c r="BQ319" i="12"/>
  <c r="BN319" i="12"/>
  <c r="BK319" i="12"/>
  <c r="BH319" i="12"/>
  <c r="BE319" i="12"/>
  <c r="BB319" i="12"/>
  <c r="AY319" i="12"/>
  <c r="AV319" i="12"/>
  <c r="AS319" i="12"/>
  <c r="AP319" i="12"/>
  <c r="AM319" i="12"/>
  <c r="AK319" i="12"/>
  <c r="AJ319" i="12"/>
  <c r="AJ323" i="12" s="1"/>
  <c r="AJ324" i="12" s="1"/>
  <c r="AI319" i="12"/>
  <c r="AI323" i="12" s="1"/>
  <c r="AI324" i="12" s="1"/>
  <c r="AH319" i="12"/>
  <c r="AH323" i="12" s="1"/>
  <c r="AH328" i="12" s="1"/>
  <c r="CS318" i="12" a="1"/>
  <c r="CS318" i="12"/>
  <c r="CS319" i="12" s="1"/>
  <c r="CQ319" i="12" s="1"/>
  <c r="CQ318" i="12" s="1"/>
  <c r="CP318" i="12" a="1"/>
  <c r="CP318" i="12" s="1"/>
  <c r="CP319" i="12" s="1"/>
  <c r="CM318" i="12" a="1"/>
  <c r="CM318" i="12"/>
  <c r="CM319" i="12" s="1"/>
  <c r="CK319" i="12" s="1"/>
  <c r="CK318" i="12" s="1"/>
  <c r="CJ318" i="12" a="1"/>
  <c r="CJ318" i="12" s="1"/>
  <c r="CJ319" i="12" s="1"/>
  <c r="CG318" i="12" a="1"/>
  <c r="CG318" i="12"/>
  <c r="CG319" i="12" s="1"/>
  <c r="CE319" i="12" s="1"/>
  <c r="CE318" i="12" s="1"/>
  <c r="CD318" i="12" a="1"/>
  <c r="CD318" i="12" s="1"/>
  <c r="CD319" i="12" s="1"/>
  <c r="CA318" i="12" a="1"/>
  <c r="CA318" i="12"/>
  <c r="CA319" i="12" s="1"/>
  <c r="BY319" i="12" s="1"/>
  <c r="BY318" i="12" s="1"/>
  <c r="BX318" i="12" a="1"/>
  <c r="BX318" i="12" s="1"/>
  <c r="BX319" i="12" s="1"/>
  <c r="BU318" i="12" a="1"/>
  <c r="BU318" i="12"/>
  <c r="BU319" i="12" s="1"/>
  <c r="BS319" i="12" s="1"/>
  <c r="BS318" i="12" s="1"/>
  <c r="BR318" i="12" a="1"/>
  <c r="BR318" i="12" s="1"/>
  <c r="BR319" i="12" s="1"/>
  <c r="BO318" i="12" a="1"/>
  <c r="BO318" i="12"/>
  <c r="BO319" i="12" s="1"/>
  <c r="BM319" i="12" s="1"/>
  <c r="BM318" i="12" s="1"/>
  <c r="BL318" i="12" a="1"/>
  <c r="BL318" i="12" s="1"/>
  <c r="BL319" i="12" s="1"/>
  <c r="BI318" i="12" a="1"/>
  <c r="BI318" i="12"/>
  <c r="BI319" i="12" s="1"/>
  <c r="BG319" i="12" s="1"/>
  <c r="BG318" i="12" s="1"/>
  <c r="BF318" i="12" a="1"/>
  <c r="BF318" i="12" s="1"/>
  <c r="BF319" i="12" s="1"/>
  <c r="BC318" i="12" a="1"/>
  <c r="BC318" i="12"/>
  <c r="BC319" i="12" s="1"/>
  <c r="BA319" i="12" s="1"/>
  <c r="BA318" i="12" s="1"/>
  <c r="AZ318" i="12" a="1"/>
  <c r="AZ318" i="12" s="1"/>
  <c r="AZ319" i="12" s="1"/>
  <c r="AW318" i="12" a="1"/>
  <c r="AW318" i="12"/>
  <c r="AW319" i="12" s="1"/>
  <c r="AU319" i="12" s="1"/>
  <c r="AU318" i="12" s="1"/>
  <c r="AT318" i="12" a="1"/>
  <c r="AT318" i="12" s="1"/>
  <c r="AT319" i="12" s="1"/>
  <c r="AQ318" i="12" a="1"/>
  <c r="AQ318" i="12"/>
  <c r="AQ319" i="12" s="1"/>
  <c r="AO319" i="12" s="1"/>
  <c r="AO318" i="12" s="1"/>
  <c r="AN318" i="12" a="1"/>
  <c r="AN318" i="12" s="1"/>
  <c r="AN319" i="12" s="1"/>
  <c r="CQ317" i="12"/>
  <c r="CN317" i="12"/>
  <c r="CK317" i="12"/>
  <c r="CH317" i="12"/>
  <c r="CE317" i="12"/>
  <c r="CB317" i="12"/>
  <c r="BY317" i="12"/>
  <c r="BV317" i="12"/>
  <c r="BS317" i="12"/>
  <c r="BP317" i="12"/>
  <c r="BM317" i="12"/>
  <c r="BJ317" i="12"/>
  <c r="BG317" i="12"/>
  <c r="BD317" i="12"/>
  <c r="BA317" i="12"/>
  <c r="AX317" i="12"/>
  <c r="AU317" i="12"/>
  <c r="AR317" i="12"/>
  <c r="AO317" i="12"/>
  <c r="AL317" i="12"/>
  <c r="CR316" i="12"/>
  <c r="CO316" i="12"/>
  <c r="CL316" i="12"/>
  <c r="CI316" i="12"/>
  <c r="CF316" i="12"/>
  <c r="CC316" i="12"/>
  <c r="BZ316" i="12"/>
  <c r="BW316" i="12"/>
  <c r="BT316" i="12"/>
  <c r="BN316" i="12"/>
  <c r="BK316" i="12"/>
  <c r="BH316" i="12"/>
  <c r="BE316" i="12"/>
  <c r="BB316" i="12"/>
  <c r="AY316" i="12"/>
  <c r="AV316" i="12"/>
  <c r="AS316" i="12"/>
  <c r="AP316" i="12"/>
  <c r="AM316" i="12"/>
  <c r="CR315" i="12"/>
  <c r="CO315" i="12"/>
  <c r="CL315" i="12"/>
  <c r="CI315" i="12"/>
  <c r="CF315" i="12"/>
  <c r="CC315" i="12"/>
  <c r="BZ315" i="12"/>
  <c r="BW315" i="12"/>
  <c r="BT315" i="12"/>
  <c r="BQ315" i="12"/>
  <c r="BN315" i="12"/>
  <c r="BK315" i="12"/>
  <c r="BH315" i="12"/>
  <c r="BE315" i="12"/>
  <c r="BB315" i="12"/>
  <c r="AY315" i="12"/>
  <c r="AV315" i="12"/>
  <c r="AS315" i="12"/>
  <c r="AP315" i="12"/>
  <c r="AM315" i="12"/>
  <c r="BQ313" i="12"/>
  <c r="BQ320" i="12" s="1" a="1"/>
  <c r="BQ320" i="12" s="1"/>
  <c r="CM312" i="12"/>
  <c r="CI312" i="12"/>
  <c r="CA312" i="12"/>
  <c r="BW312" i="12"/>
  <c r="BO312" i="12"/>
  <c r="BK312" i="12"/>
  <c r="BC312" i="12"/>
  <c r="AY312" i="12"/>
  <c r="AQ312" i="12"/>
  <c r="AM312" i="12"/>
  <c r="CQ310" i="12"/>
  <c r="CN310" i="12"/>
  <c r="CK310" i="12"/>
  <c r="CK311" i="12" s="1"/>
  <c r="CH310" i="12"/>
  <c r="CE310" i="12"/>
  <c r="CB310" i="12"/>
  <c r="BY310" i="12"/>
  <c r="BY311" i="12" s="1"/>
  <c r="BV310" i="12"/>
  <c r="BS310" i="12"/>
  <c r="BP310" i="12"/>
  <c r="BM310" i="12"/>
  <c r="BM311" i="12" s="1"/>
  <c r="BJ310" i="12"/>
  <c r="BG310" i="12"/>
  <c r="BD310" i="12"/>
  <c r="BA310" i="12"/>
  <c r="BA311" i="12" s="1"/>
  <c r="AX310" i="12"/>
  <c r="AU310" i="12"/>
  <c r="AR310" i="12"/>
  <c r="AO310" i="12"/>
  <c r="AO311" i="12" s="1"/>
  <c r="AL310" i="12"/>
  <c r="CP309" i="12"/>
  <c r="CL309" i="12"/>
  <c r="CD309" i="12"/>
  <c r="BZ309" i="12"/>
  <c r="BR309" i="12"/>
  <c r="BN309" i="12"/>
  <c r="BF309" i="12"/>
  <c r="BB309" i="12"/>
  <c r="AT309" i="12"/>
  <c r="AP309" i="12"/>
  <c r="AH309" i="12"/>
  <c r="CQ308" i="12"/>
  <c r="CN308" i="12"/>
  <c r="CK308" i="12"/>
  <c r="CH308" i="12"/>
  <c r="CE308" i="12"/>
  <c r="CB308" i="12"/>
  <c r="BY308" i="12"/>
  <c r="BV308" i="12"/>
  <c r="BS308" i="12"/>
  <c r="BP308" i="12"/>
  <c r="BM308" i="12"/>
  <c r="BJ308" i="12"/>
  <c r="BG308" i="12"/>
  <c r="BD308" i="12"/>
  <c r="BA308" i="12"/>
  <c r="AX308" i="12"/>
  <c r="AU308" i="12"/>
  <c r="AR308" i="12"/>
  <c r="AO308" i="12"/>
  <c r="AL308" i="12"/>
  <c r="CR307" i="12"/>
  <c r="CR312" i="12" s="1"/>
  <c r="CP307" i="12"/>
  <c r="CP312" i="12" s="1"/>
  <c r="CL307" i="12"/>
  <c r="CL312" i="12" s="1"/>
  <c r="CJ307" i="12"/>
  <c r="CJ312" i="12" s="1"/>
  <c r="CF307" i="12"/>
  <c r="CF312" i="12" s="1"/>
  <c r="CD307" i="12"/>
  <c r="CD312" i="12" s="1"/>
  <c r="BZ307" i="12"/>
  <c r="BZ312" i="12" s="1"/>
  <c r="BX307" i="12"/>
  <c r="BX312" i="12" s="1"/>
  <c r="BT307" i="12"/>
  <c r="BT312" i="12" s="1"/>
  <c r="BR307" i="12"/>
  <c r="BR312" i="12" s="1"/>
  <c r="BN307" i="12"/>
  <c r="BN312" i="12" s="1"/>
  <c r="BL307" i="12"/>
  <c r="BL312" i="12" s="1"/>
  <c r="BH307" i="12"/>
  <c r="BH312" i="12" s="1"/>
  <c r="BF307" i="12"/>
  <c r="BF312" i="12" s="1"/>
  <c r="BB307" i="12"/>
  <c r="BB312" i="12" s="1"/>
  <c r="AZ307" i="12"/>
  <c r="AZ312" i="12" s="1"/>
  <c r="AV307" i="12"/>
  <c r="AV312" i="12" s="1"/>
  <c r="AT307" i="12"/>
  <c r="AT312" i="12" s="1"/>
  <c r="AP307" i="12"/>
  <c r="AP312" i="12" s="1"/>
  <c r="AN307" i="12"/>
  <c r="AN312" i="12" s="1"/>
  <c r="AJ307" i="12"/>
  <c r="AJ312" i="12" s="1"/>
  <c r="AH307" i="12"/>
  <c r="AH312" i="12" s="1"/>
  <c r="CQ305" i="12"/>
  <c r="CN305" i="12"/>
  <c r="CK305" i="12"/>
  <c r="CH305" i="12"/>
  <c r="CE305" i="12"/>
  <c r="CB305" i="12"/>
  <c r="BY305" i="12"/>
  <c r="BV305" i="12"/>
  <c r="BS305" i="12"/>
  <c r="BP305" i="12"/>
  <c r="BM305" i="12"/>
  <c r="BJ305" i="12"/>
  <c r="BG305" i="12"/>
  <c r="BD305" i="12"/>
  <c r="BA305" i="12"/>
  <c r="AX305" i="12"/>
  <c r="AU305" i="12"/>
  <c r="AR305" i="12"/>
  <c r="AO305" i="12"/>
  <c r="AL305" i="12"/>
  <c r="CS304" i="12"/>
  <c r="CR304" i="12"/>
  <c r="CQ304" i="12"/>
  <c r="CP304" i="12"/>
  <c r="CO304" i="12"/>
  <c r="CM304" i="12"/>
  <c r="CL304" i="12"/>
  <c r="CK304" i="12"/>
  <c r="CJ304" i="12"/>
  <c r="CI304" i="12"/>
  <c r="CG304" i="12"/>
  <c r="CF304" i="12"/>
  <c r="CE304" i="12"/>
  <c r="CD304" i="12"/>
  <c r="CC304" i="12"/>
  <c r="CA304" i="12"/>
  <c r="BZ304" i="12"/>
  <c r="BY304" i="12"/>
  <c r="BX304" i="12"/>
  <c r="BW304" i="12"/>
  <c r="BU304" i="12"/>
  <c r="BT304" i="12"/>
  <c r="BS304" i="12"/>
  <c r="BR304" i="12"/>
  <c r="BQ304" i="12"/>
  <c r="BO304" i="12"/>
  <c r="BN304" i="12"/>
  <c r="BM304" i="12"/>
  <c r="BL304" i="12"/>
  <c r="BK304" i="12"/>
  <c r="BI304" i="12"/>
  <c r="BH304" i="12"/>
  <c r="BG304" i="12"/>
  <c r="BF304" i="12"/>
  <c r="BE304" i="12"/>
  <c r="BC304" i="12"/>
  <c r="BB304" i="12"/>
  <c r="BA304" i="12"/>
  <c r="AZ304" i="12"/>
  <c r="AY304" i="12"/>
  <c r="AW304" i="12"/>
  <c r="AV304" i="12"/>
  <c r="AU304" i="12"/>
  <c r="AT304" i="12"/>
  <c r="AS304" i="12"/>
  <c r="AQ304" i="12"/>
  <c r="AP304" i="12"/>
  <c r="AO304" i="12"/>
  <c r="AN304" i="12"/>
  <c r="AM304" i="12"/>
  <c r="AK304" i="12"/>
  <c r="AJ304" i="12"/>
  <c r="AI304" i="12"/>
  <c r="AH304" i="12"/>
  <c r="CQ303" i="12"/>
  <c r="CN303" i="12"/>
  <c r="CK303" i="12"/>
  <c r="CH303" i="12"/>
  <c r="CE303" i="12"/>
  <c r="CB303" i="12"/>
  <c r="BY303" i="12"/>
  <c r="BV303" i="12"/>
  <c r="BS303" i="12"/>
  <c r="BP303" i="12"/>
  <c r="BM303" i="12"/>
  <c r="BJ303" i="12"/>
  <c r="BG303" i="12"/>
  <c r="BD303" i="12"/>
  <c r="BA303" i="12"/>
  <c r="AX303" i="12"/>
  <c r="AU303" i="12"/>
  <c r="AR303" i="12"/>
  <c r="AO303" i="12"/>
  <c r="AL303" i="12"/>
  <c r="CS302" i="12"/>
  <c r="CS307" i="12" s="1"/>
  <c r="CS312" i="12" s="1"/>
  <c r="CR302" i="12"/>
  <c r="CQ302" i="12"/>
  <c r="CP302" i="12"/>
  <c r="CO302" i="12"/>
  <c r="CO307" i="12" s="1"/>
  <c r="CO312" i="12" s="1"/>
  <c r="CM302" i="12"/>
  <c r="CM307" i="12" s="1"/>
  <c r="CL302" i="12"/>
  <c r="CK302" i="12"/>
  <c r="CJ302" i="12"/>
  <c r="CI302" i="12"/>
  <c r="CI307" i="12" s="1"/>
  <c r="CG302" i="12"/>
  <c r="CG307" i="12" s="1"/>
  <c r="CG312" i="12" s="1"/>
  <c r="CF302" i="12"/>
  <c r="CE302" i="12"/>
  <c r="CD302" i="12"/>
  <c r="CC302" i="12"/>
  <c r="CC307" i="12" s="1"/>
  <c r="CC312" i="12" s="1"/>
  <c r="CA302" i="12"/>
  <c r="CA307" i="12" s="1"/>
  <c r="BZ302" i="12"/>
  <c r="BY302" i="12"/>
  <c r="BX302" i="12"/>
  <c r="BW302" i="12"/>
  <c r="BW307" i="12" s="1"/>
  <c r="BU302" i="12"/>
  <c r="BU307" i="12" s="1"/>
  <c r="BU312" i="12" s="1"/>
  <c r="BT302" i="12"/>
  <c r="BS302" i="12"/>
  <c r="BR302" i="12"/>
  <c r="BQ302" i="12"/>
  <c r="BQ307" i="12" s="1"/>
  <c r="BQ312" i="12" s="1"/>
  <c r="BO302" i="12"/>
  <c r="BO307" i="12" s="1"/>
  <c r="BN302" i="12"/>
  <c r="BM302" i="12"/>
  <c r="BL302" i="12"/>
  <c r="BK302" i="12"/>
  <c r="BK307" i="12" s="1"/>
  <c r="BI302" i="12"/>
  <c r="BI307" i="12" s="1"/>
  <c r="BI312" i="12" s="1"/>
  <c r="BH302" i="12"/>
  <c r="BG302" i="12"/>
  <c r="BF302" i="12"/>
  <c r="BE302" i="12"/>
  <c r="BE307" i="12" s="1"/>
  <c r="BE312" i="12" s="1"/>
  <c r="BC302" i="12"/>
  <c r="BC307" i="12" s="1"/>
  <c r="BB302" i="12"/>
  <c r="BA302" i="12"/>
  <c r="AZ302" i="12"/>
  <c r="AY302" i="12"/>
  <c r="AY307" i="12" s="1"/>
  <c r="AW302" i="12"/>
  <c r="AW307" i="12" s="1"/>
  <c r="AW312" i="12" s="1"/>
  <c r="AV302" i="12"/>
  <c r="AU302" i="12"/>
  <c r="AT302" i="12"/>
  <c r="AS302" i="12"/>
  <c r="AS307" i="12" s="1"/>
  <c r="AS312" i="12" s="1"/>
  <c r="AQ302" i="12"/>
  <c r="AQ307" i="12" s="1"/>
  <c r="AP302" i="12"/>
  <c r="AO302" i="12"/>
  <c r="AN302" i="12"/>
  <c r="AM302" i="12"/>
  <c r="AM307" i="12" s="1"/>
  <c r="AK302" i="12"/>
  <c r="AK307" i="12" s="1"/>
  <c r="AK312" i="12" s="1"/>
  <c r="AJ302" i="12"/>
  <c r="AI302" i="12"/>
  <c r="AI307" i="12" s="1"/>
  <c r="AH302" i="12"/>
  <c r="CQ301" i="12"/>
  <c r="CN301" i="12"/>
  <c r="CK301" i="12"/>
  <c r="CK307" i="12" s="1"/>
  <c r="CK312" i="12" s="1"/>
  <c r="CH301" i="12"/>
  <c r="CE301" i="12"/>
  <c r="CB301" i="12"/>
  <c r="BY301" i="12"/>
  <c r="BY307" i="12" s="1"/>
  <c r="BY312" i="12" s="1"/>
  <c r="BV301" i="12"/>
  <c r="BS301" i="12"/>
  <c r="BP301" i="12"/>
  <c r="BM301" i="12"/>
  <c r="BM307" i="12" s="1"/>
  <c r="BM312" i="12" s="1"/>
  <c r="BJ301" i="12"/>
  <c r="BG301" i="12"/>
  <c r="BD301" i="12"/>
  <c r="BA301" i="12"/>
  <c r="BA307" i="12" s="1"/>
  <c r="BA312" i="12" s="1"/>
  <c r="AX301" i="12"/>
  <c r="AU301" i="12"/>
  <c r="AR301" i="12"/>
  <c r="AO301" i="12"/>
  <c r="AO307" i="12" s="1"/>
  <c r="AO312" i="12" s="1"/>
  <c r="AL301" i="12"/>
  <c r="CW300" i="12"/>
  <c r="S300" i="12"/>
  <c r="U300" i="12" s="1"/>
  <c r="F300" i="12" a="1"/>
  <c r="F300" i="12"/>
  <c r="CW298" i="12"/>
  <c r="X298" i="12"/>
  <c r="AJ297" i="12"/>
  <c r="T297" i="12"/>
  <c r="T296" i="12"/>
  <c r="CZ295" i="12" a="1"/>
  <c r="CZ295" i="12"/>
  <c r="CY295" i="12" a="1"/>
  <c r="CY295" i="12"/>
  <c r="AJ295" i="12"/>
  <c r="AG295" i="12"/>
  <c r="T295" i="12"/>
  <c r="CW293" i="12"/>
  <c r="X293" i="12"/>
  <c r="T292" i="12"/>
  <c r="T291" i="12"/>
  <c r="CZ290" i="12" a="1"/>
  <c r="CZ290" i="12" s="1"/>
  <c r="CY290" i="12" a="1"/>
  <c r="CY290" i="12" s="1"/>
  <c r="T290" i="12"/>
  <c r="AD289" i="12"/>
  <c r="CW287" i="12"/>
  <c r="X287" i="12"/>
  <c r="AK286" i="12"/>
  <c r="AK292" i="12" s="1"/>
  <c r="AJ286" i="12"/>
  <c r="AI286" i="12"/>
  <c r="AI297" i="12" s="1"/>
  <c r="AH286" i="12"/>
  <c r="T286" i="12"/>
  <c r="AK285" i="12"/>
  <c r="AJ285" i="12"/>
  <c r="AJ291" i="12" s="1"/>
  <c r="AI285" i="12"/>
  <c r="AI296" i="12" s="1"/>
  <c r="AH285" i="12"/>
  <c r="T285" i="12"/>
  <c r="CZ284" i="12" a="1"/>
  <c r="CZ284" i="12" s="1"/>
  <c r="CY284" i="12" a="1"/>
  <c r="CY284" i="12" s="1"/>
  <c r="AK284" i="12"/>
  <c r="AJ284" i="12"/>
  <c r="AI284" i="12"/>
  <c r="AH284" i="12"/>
  <c r="T284" i="12"/>
  <c r="AD281" i="12"/>
  <c r="AJ280" i="12"/>
  <c r="AH280" i="12"/>
  <c r="CW279" i="12"/>
  <c r="X279" i="12"/>
  <c r="CZ276" i="12" a="1"/>
  <c r="CZ276" i="12"/>
  <c r="CY276" i="12" a="1"/>
  <c r="CY276" i="12"/>
  <c r="CW274" i="12"/>
  <c r="X274" i="12"/>
  <c r="CQ273" i="12"/>
  <c r="CN273" i="12"/>
  <c r="CK273" i="12"/>
  <c r="CH273" i="12"/>
  <c r="CE273" i="12"/>
  <c r="CB273" i="12"/>
  <c r="BY273" i="12"/>
  <c r="BV273" i="12"/>
  <c r="BS273" i="12"/>
  <c r="BP273" i="12"/>
  <c r="BM273" i="12"/>
  <c r="BJ273" i="12"/>
  <c r="BG273" i="12"/>
  <c r="BD273" i="12"/>
  <c r="BA273" i="12"/>
  <c r="AX273" i="12"/>
  <c r="AU273" i="12"/>
  <c r="AR273" i="12"/>
  <c r="AO273" i="12"/>
  <c r="AL273" i="12"/>
  <c r="T273" i="12"/>
  <c r="CQ272" i="12"/>
  <c r="CQ269" i="12" s="1"/>
  <c r="CN272" i="12"/>
  <c r="CK272" i="12"/>
  <c r="CK269" i="12" s="1"/>
  <c r="CH272" i="12"/>
  <c r="CE272" i="12"/>
  <c r="CE269" i="12" s="1"/>
  <c r="CB272" i="12"/>
  <c r="BY272" i="12"/>
  <c r="BY269" i="12" s="1"/>
  <c r="BV272" i="12"/>
  <c r="BS272" i="12"/>
  <c r="BS269" i="12" s="1"/>
  <c r="BP272" i="12"/>
  <c r="BM272" i="12"/>
  <c r="BM269" i="12" s="1"/>
  <c r="BJ272" i="12"/>
  <c r="BG272" i="12"/>
  <c r="BG269" i="12" s="1"/>
  <c r="BD272" i="12"/>
  <c r="BA272" i="12"/>
  <c r="BA269" i="12" s="1"/>
  <c r="AX272" i="12"/>
  <c r="AU272" i="12"/>
  <c r="AU269" i="12" s="1"/>
  <c r="AR272" i="12"/>
  <c r="AO272" i="12"/>
  <c r="AO269" i="12" s="1"/>
  <c r="AL272" i="12"/>
  <c r="T272" i="12"/>
  <c r="CZ271" i="12" a="1"/>
  <c r="CZ271" i="12"/>
  <c r="CY271" i="12" a="1"/>
  <c r="CY271" i="12"/>
  <c r="CQ271" i="12"/>
  <c r="CN271" i="12"/>
  <c r="CK271" i="12"/>
  <c r="CH271" i="12"/>
  <c r="CE271" i="12"/>
  <c r="CB271" i="12"/>
  <c r="BY271" i="12"/>
  <c r="BV271" i="12"/>
  <c r="BS271" i="12"/>
  <c r="BP271" i="12"/>
  <c r="BM271" i="12"/>
  <c r="BJ271" i="12"/>
  <c r="BG271" i="12"/>
  <c r="BD271" i="12"/>
  <c r="BA271" i="12"/>
  <c r="AX271" i="12"/>
  <c r="AU271" i="12"/>
  <c r="AR271" i="12"/>
  <c r="AO271" i="12"/>
  <c r="AL271" i="12"/>
  <c r="T271" i="12"/>
  <c r="AD270" i="12"/>
  <c r="CS269" i="12"/>
  <c r="CR269" i="12"/>
  <c r="CP269" i="12"/>
  <c r="CO269" i="12"/>
  <c r="CN269" i="12"/>
  <c r="CM269" i="12"/>
  <c r="CL269" i="12"/>
  <c r="CJ269" i="12"/>
  <c r="CI269" i="12"/>
  <c r="CH269" i="12"/>
  <c r="CG269" i="12"/>
  <c r="CF269" i="12"/>
  <c r="CD269" i="12"/>
  <c r="CC269" i="12"/>
  <c r="CB269" i="12"/>
  <c r="CA269" i="12"/>
  <c r="BZ269" i="12"/>
  <c r="BX269" i="12"/>
  <c r="BW269" i="12"/>
  <c r="BV269" i="12"/>
  <c r="BU269" i="12"/>
  <c r="BT269" i="12"/>
  <c r="BR269" i="12"/>
  <c r="BQ269" i="12"/>
  <c r="BP269" i="12"/>
  <c r="BO269" i="12"/>
  <c r="BN269" i="12"/>
  <c r="BL269" i="12"/>
  <c r="BK269" i="12"/>
  <c r="BJ269" i="12"/>
  <c r="BI269" i="12"/>
  <c r="BH269" i="12"/>
  <c r="BF269" i="12"/>
  <c r="BE269" i="12"/>
  <c r="BD269" i="12"/>
  <c r="BC269" i="12"/>
  <c r="BB269" i="12"/>
  <c r="AZ269" i="12"/>
  <c r="AY269" i="12"/>
  <c r="AX269" i="12"/>
  <c r="AW269" i="12"/>
  <c r="AV269" i="12"/>
  <c r="AT269" i="12"/>
  <c r="AS269" i="12"/>
  <c r="AR269" i="12"/>
  <c r="AQ269" i="12"/>
  <c r="AP269" i="12"/>
  <c r="AN269" i="12"/>
  <c r="AM269" i="12"/>
  <c r="AL269" i="12"/>
  <c r="AK269" i="12"/>
  <c r="AJ269" i="12"/>
  <c r="AI269" i="12"/>
  <c r="AH269" i="12"/>
  <c r="CW268" i="12"/>
  <c r="X268" i="12"/>
  <c r="CZ265" i="12" a="1"/>
  <c r="CZ265" i="12"/>
  <c r="CY265" i="12" a="1"/>
  <c r="CY265" i="12"/>
  <c r="CW263" i="12"/>
  <c r="X263" i="12"/>
  <c r="T262" i="12"/>
  <c r="T261" i="12"/>
  <c r="CZ260" i="12" a="1"/>
  <c r="CZ260" i="12"/>
  <c r="CY260" i="12" a="1"/>
  <c r="CY260" i="12"/>
  <c r="T260" i="12"/>
  <c r="AD259" i="12"/>
  <c r="AK258" i="12"/>
  <c r="AJ258" i="12"/>
  <c r="AI258" i="12"/>
  <c r="AH258" i="12"/>
  <c r="CW257" i="12"/>
  <c r="X257" i="12"/>
  <c r="AJ256" i="12"/>
  <c r="AI256" i="12"/>
  <c r="T256" i="12"/>
  <c r="AJ255" i="12"/>
  <c r="AI255" i="12"/>
  <c r="T255" i="12"/>
  <c r="CZ254" i="12" a="1"/>
  <c r="CZ254" i="12"/>
  <c r="CY254" i="12" a="1"/>
  <c r="CY254" i="12"/>
  <c r="AJ254" i="12"/>
  <c r="AI254" i="12"/>
  <c r="AG254" i="12"/>
  <c r="T254" i="12"/>
  <c r="CW252" i="12"/>
  <c r="X252" i="12"/>
  <c r="T251" i="12"/>
  <c r="T250" i="12"/>
  <c r="CZ249" i="12" a="1"/>
  <c r="CZ249" i="12" s="1"/>
  <c r="CY249" i="12" a="1"/>
  <c r="CY249" i="12" s="1"/>
  <c r="T249" i="12"/>
  <c r="CW247" i="12"/>
  <c r="X247" i="12"/>
  <c r="CZ244" i="12" a="1"/>
  <c r="CZ244" i="12" s="1"/>
  <c r="CY244" i="12" a="1"/>
  <c r="CY244" i="12" s="1"/>
  <c r="CW242" i="12"/>
  <c r="X242" i="12"/>
  <c r="T241" i="12"/>
  <c r="T240" i="12"/>
  <c r="CZ239" i="12" a="1"/>
  <c r="CZ239" i="12" s="1"/>
  <c r="CY239" i="12" a="1"/>
  <c r="CY239" i="12" s="1"/>
  <c r="T239" i="12"/>
  <c r="AD238" i="12"/>
  <c r="AK237" i="12"/>
  <c r="AJ237" i="12"/>
  <c r="AI237" i="12"/>
  <c r="AH237" i="12"/>
  <c r="CW236" i="12"/>
  <c r="X236" i="12"/>
  <c r="AJ235" i="12"/>
  <c r="AI235" i="12"/>
  <c r="T235" i="12"/>
  <c r="AJ234" i="12"/>
  <c r="AI234" i="12"/>
  <c r="T234" i="12"/>
  <c r="CZ233" i="12" a="1"/>
  <c r="CZ233" i="12"/>
  <c r="CY233" i="12" a="1"/>
  <c r="CY233" i="12"/>
  <c r="AJ233" i="12"/>
  <c r="AI233" i="12"/>
  <c r="AG233" i="12"/>
  <c r="T233" i="12"/>
  <c r="CW231" i="12"/>
  <c r="X231" i="12"/>
  <c r="T230" i="12"/>
  <c r="T229" i="12"/>
  <c r="CZ228" i="12" a="1"/>
  <c r="CZ228" i="12" s="1"/>
  <c r="CY228" i="12" a="1"/>
  <c r="CY228" i="12" s="1"/>
  <c r="T228" i="12"/>
  <c r="CW226" i="12"/>
  <c r="X226" i="12"/>
  <c r="CZ223" i="12" a="1"/>
  <c r="CZ223" i="12" s="1"/>
  <c r="CY223" i="12" a="1"/>
  <c r="CY223" i="12" s="1"/>
  <c r="CW221" i="12"/>
  <c r="X221" i="12"/>
  <c r="T220" i="12"/>
  <c r="T219" i="12"/>
  <c r="CZ218" i="12" a="1"/>
  <c r="CZ218" i="12" s="1"/>
  <c r="CY218" i="12" a="1"/>
  <c r="CY218" i="12" s="1"/>
  <c r="T218" i="12"/>
  <c r="AD217" i="12"/>
  <c r="AK216" i="12"/>
  <c r="AJ216" i="12"/>
  <c r="AI216" i="12"/>
  <c r="AH216" i="12"/>
  <c r="CW215" i="12"/>
  <c r="X215" i="12"/>
  <c r="AJ214" i="12"/>
  <c r="AI214" i="12"/>
  <c r="T214" i="12"/>
  <c r="AJ213" i="12"/>
  <c r="AI213" i="12"/>
  <c r="T213" i="12"/>
  <c r="CZ212" i="12" a="1"/>
  <c r="CZ212" i="12" s="1"/>
  <c r="CY212" i="12" a="1"/>
  <c r="CY212" i="12" s="1"/>
  <c r="AJ212" i="12"/>
  <c r="AI212" i="12"/>
  <c r="AG212" i="12"/>
  <c r="T212" i="12"/>
  <c r="CW210" i="12"/>
  <c r="X210" i="12"/>
  <c r="T209" i="12"/>
  <c r="T208" i="12"/>
  <c r="CZ207" i="12" a="1"/>
  <c r="CZ207" i="12"/>
  <c r="CY207" i="12" a="1"/>
  <c r="CY207" i="12"/>
  <c r="T207" i="12"/>
  <c r="CW205" i="12"/>
  <c r="X205" i="12"/>
  <c r="CZ202" i="12" a="1"/>
  <c r="CZ202" i="12"/>
  <c r="CY202" i="12" a="1"/>
  <c r="CY202" i="12"/>
  <c r="CW200" i="12"/>
  <c r="X200" i="12"/>
  <c r="T199" i="12"/>
  <c r="T198" i="12"/>
  <c r="CZ197" i="12" a="1"/>
  <c r="CZ197" i="12"/>
  <c r="CY197" i="12" a="1"/>
  <c r="CY197" i="12"/>
  <c r="T197" i="12"/>
  <c r="AD196" i="12"/>
  <c r="AK195" i="12"/>
  <c r="AJ195" i="12"/>
  <c r="AI195" i="12"/>
  <c r="AH195" i="12"/>
  <c r="CW194" i="12"/>
  <c r="X194" i="12"/>
  <c r="AJ193" i="12"/>
  <c r="AI193" i="12"/>
  <c r="T193" i="12"/>
  <c r="AJ192" i="12"/>
  <c r="AI192" i="12"/>
  <c r="T192" i="12"/>
  <c r="CZ191" i="12" a="1"/>
  <c r="CZ191" i="12"/>
  <c r="CY191" i="12" a="1"/>
  <c r="CY191" i="12"/>
  <c r="AJ191" i="12"/>
  <c r="AI191" i="12"/>
  <c r="AG191" i="12"/>
  <c r="T191" i="12"/>
  <c r="CW189" i="12"/>
  <c r="X189" i="12"/>
  <c r="T188" i="12"/>
  <c r="T187" i="12"/>
  <c r="CZ186" i="12" a="1"/>
  <c r="CZ186" i="12" s="1"/>
  <c r="CY186" i="12" a="1"/>
  <c r="CY186" i="12" s="1"/>
  <c r="T186" i="12"/>
  <c r="CW184" i="12"/>
  <c r="X184" i="12"/>
  <c r="AK183" i="12"/>
  <c r="AK256" i="12" s="1"/>
  <c r="T183" i="12"/>
  <c r="AK182" i="12"/>
  <c r="AK255" i="12" s="1"/>
  <c r="T182" i="12"/>
  <c r="CZ181" i="12" a="1"/>
  <c r="CZ181" i="12" s="1"/>
  <c r="CY181" i="12" a="1"/>
  <c r="CY181" i="12" s="1"/>
  <c r="AG181" i="12"/>
  <c r="T181" i="12"/>
  <c r="CW179" i="12"/>
  <c r="X179" i="12"/>
  <c r="CS178" i="12" a="1"/>
  <c r="CS178" i="12"/>
  <c r="CP178" i="12" a="1"/>
  <c r="CP178" i="12" s="1"/>
  <c r="CM178" i="12" a="1"/>
  <c r="CM178" i="12"/>
  <c r="CJ178" i="12" a="1"/>
  <c r="CJ178" i="12" s="1"/>
  <c r="CG178" i="12" a="1"/>
  <c r="CG178" i="12"/>
  <c r="CD178" i="12" a="1"/>
  <c r="CD178" i="12" s="1"/>
  <c r="CA178" i="12" a="1"/>
  <c r="CA178" i="12"/>
  <c r="BX178" i="12" a="1"/>
  <c r="BX178" i="12" s="1"/>
  <c r="BU178" i="12" a="1"/>
  <c r="BU178" i="12"/>
  <c r="BR178" i="12" a="1"/>
  <c r="BR178" i="12" s="1"/>
  <c r="BO178" i="12" a="1"/>
  <c r="BO178" i="12"/>
  <c r="BL178" i="12" a="1"/>
  <c r="BL178" i="12" s="1"/>
  <c r="BI178" i="12" a="1"/>
  <c r="BI178" i="12"/>
  <c r="BF178" i="12" a="1"/>
  <c r="BF178" i="12" s="1"/>
  <c r="BC178" i="12" a="1"/>
  <c r="BC178" i="12"/>
  <c r="AZ178" i="12" a="1"/>
  <c r="AZ178" i="12" s="1"/>
  <c r="AW178" i="12" a="1"/>
  <c r="AW178" i="12"/>
  <c r="AT178" i="12" a="1"/>
  <c r="AT178" i="12" s="1"/>
  <c r="AQ178" i="12" a="1"/>
  <c r="AQ178" i="12"/>
  <c r="AN178" i="12" a="1"/>
  <c r="AN178" i="12" s="1"/>
  <c r="T178" i="12"/>
  <c r="CS177" i="12" a="1"/>
  <c r="CS177" i="12" s="1"/>
  <c r="CP177" i="12" a="1"/>
  <c r="CP177" i="12"/>
  <c r="CM177" i="12" a="1"/>
  <c r="CM177" i="12" s="1"/>
  <c r="CJ177" i="12" a="1"/>
  <c r="CJ177" i="12"/>
  <c r="CG177" i="12" a="1"/>
  <c r="CG177" i="12" s="1"/>
  <c r="CD177" i="12" a="1"/>
  <c r="CD177" i="12"/>
  <c r="CA177" i="12" a="1"/>
  <c r="CA177" i="12" s="1"/>
  <c r="BX177" i="12" a="1"/>
  <c r="BX177" i="12"/>
  <c r="BU177" i="12" a="1"/>
  <c r="BU177" i="12" s="1"/>
  <c r="BR177" i="12" a="1"/>
  <c r="BR177" i="12"/>
  <c r="BO177" i="12" a="1"/>
  <c r="BO177" i="12" s="1"/>
  <c r="BL177" i="12" a="1"/>
  <c r="BL177" i="12"/>
  <c r="BI177" i="12" a="1"/>
  <c r="BI177" i="12" s="1"/>
  <c r="BF177" i="12" a="1"/>
  <c r="BF177" i="12"/>
  <c r="BC177" i="12" a="1"/>
  <c r="BC177" i="12" s="1"/>
  <c r="AZ177" i="12" a="1"/>
  <c r="AZ177" i="12"/>
  <c r="AW177" i="12" a="1"/>
  <c r="AW177" i="12" s="1"/>
  <c r="AT177" i="12" a="1"/>
  <c r="AT177" i="12"/>
  <c r="AQ177" i="12" a="1"/>
  <c r="AQ177" i="12" s="1"/>
  <c r="AN177" i="12" a="1"/>
  <c r="AN177" i="12"/>
  <c r="AF177" i="12" a="1"/>
  <c r="AF177" i="12" s="1"/>
  <c r="T177" i="12"/>
  <c r="CZ176" i="12" a="1"/>
  <c r="CZ176" i="12"/>
  <c r="CY176" i="12" a="1"/>
  <c r="CY176" i="12"/>
  <c r="CS176" i="12" a="1"/>
  <c r="CS176" i="12"/>
  <c r="CP176" i="12" a="1"/>
  <c r="CP176" i="12" s="1"/>
  <c r="CM176" i="12" a="1"/>
  <c r="CM176" i="12"/>
  <c r="CJ176" i="12" a="1"/>
  <c r="CJ176" i="12" s="1"/>
  <c r="CG176" i="12" a="1"/>
  <c r="CG176" i="12"/>
  <c r="CD176" i="12" a="1"/>
  <c r="CD176" i="12" s="1"/>
  <c r="CA176" i="12" a="1"/>
  <c r="CA176" i="12"/>
  <c r="BX176" i="12" a="1"/>
  <c r="BX176" i="12" s="1"/>
  <c r="BU176" i="12" a="1"/>
  <c r="BU176" i="12"/>
  <c r="BR176" i="12" a="1"/>
  <c r="BR176" i="12" s="1"/>
  <c r="BO176" i="12" a="1"/>
  <c r="BO176" i="12"/>
  <c r="BL176" i="12" a="1"/>
  <c r="BL176" i="12" s="1"/>
  <c r="BI176" i="12" a="1"/>
  <c r="BI176" i="12"/>
  <c r="BF176" i="12" a="1"/>
  <c r="BF176" i="12" s="1"/>
  <c r="BC176" i="12" a="1"/>
  <c r="BC176" i="12"/>
  <c r="AZ176" i="12" a="1"/>
  <c r="AZ176" i="12" s="1"/>
  <c r="AW176" i="12" a="1"/>
  <c r="AW176" i="12"/>
  <c r="AT176" i="12" a="1"/>
  <c r="AT176" i="12" s="1"/>
  <c r="AQ176" i="12" a="1"/>
  <c r="AQ176" i="12"/>
  <c r="AN176" i="12" a="1"/>
  <c r="AN176" i="12" s="1"/>
  <c r="T176" i="12"/>
  <c r="CW174" i="12"/>
  <c r="X174" i="12"/>
  <c r="AF173" i="12"/>
  <c r="AF178" i="12" s="1" a="1"/>
  <c r="AF178" i="12" s="1"/>
  <c r="AE173" i="12" a="1"/>
  <c r="AE173" i="12" s="1"/>
  <c r="X173" i="12"/>
  <c r="T173" i="12"/>
  <c r="AF172" i="12"/>
  <c r="CZ172" i="12" s="1" a="1"/>
  <c r="CZ172" i="12" s="1"/>
  <c r="AE172" i="12" a="1"/>
  <c r="AE172" i="12" s="1"/>
  <c r="X172" i="12"/>
  <c r="T172" i="12"/>
  <c r="CZ171" i="12" a="1"/>
  <c r="CZ171" i="12"/>
  <c r="CY171" i="12" a="1"/>
  <c r="CY171" i="12"/>
  <c r="T171" i="12"/>
  <c r="CS170" i="12"/>
  <c r="CR170" i="12"/>
  <c r="CP170" i="12"/>
  <c r="CO170" i="12"/>
  <c r="CM170" i="12"/>
  <c r="CL170" i="12"/>
  <c r="CJ170" i="12"/>
  <c r="CI170" i="12"/>
  <c r="CG170" i="12"/>
  <c r="CF170" i="12"/>
  <c r="CD170" i="12"/>
  <c r="CC170" i="12"/>
  <c r="CA170" i="12"/>
  <c r="BZ170" i="12"/>
  <c r="BX170" i="12"/>
  <c r="BW170" i="12"/>
  <c r="BU170" i="12"/>
  <c r="BT170" i="12"/>
  <c r="BR170" i="12"/>
  <c r="BQ170" i="12"/>
  <c r="BO170" i="12"/>
  <c r="BN170" i="12"/>
  <c r="BL170" i="12"/>
  <c r="BK170" i="12"/>
  <c r="BI170" i="12"/>
  <c r="BH170" i="12"/>
  <c r="BF170" i="12"/>
  <c r="BE170" i="12"/>
  <c r="BC170" i="12"/>
  <c r="BB170" i="12"/>
  <c r="AZ170" i="12"/>
  <c r="AY170" i="12"/>
  <c r="AW170" i="12"/>
  <c r="AV170" i="12"/>
  <c r="AT170" i="12"/>
  <c r="AS170" i="12"/>
  <c r="AQ170" i="12"/>
  <c r="AP170" i="12"/>
  <c r="AN170" i="12"/>
  <c r="AM170" i="12"/>
  <c r="AK170" i="12"/>
  <c r="AH170" i="12"/>
  <c r="CW169" i="12"/>
  <c r="X169" i="12"/>
  <c r="CZ168" i="12" a="1"/>
  <c r="CZ168" i="12"/>
  <c r="CY168" i="12" a="1"/>
  <c r="CY168" i="12"/>
  <c r="AJ168" i="12"/>
  <c r="AI168" i="12"/>
  <c r="AI173" i="12" s="1"/>
  <c r="T168" i="12"/>
  <c r="CZ167" i="12" a="1"/>
  <c r="CZ167" i="12" s="1"/>
  <c r="CY167" i="12" a="1"/>
  <c r="CY167" i="12" s="1"/>
  <c r="AJ167" i="12"/>
  <c r="AI167" i="12"/>
  <c r="T167" i="12"/>
  <c r="CZ166" i="12" a="1"/>
  <c r="CZ166" i="12"/>
  <c r="CY166" i="12" a="1"/>
  <c r="CY166" i="12"/>
  <c r="AJ166" i="12"/>
  <c r="AI166" i="12"/>
  <c r="T166" i="12"/>
  <c r="AI164" i="12"/>
  <c r="AI172" i="12" s="1"/>
  <c r="CS160" i="12" a="1"/>
  <c r="CS160" i="12" s="1"/>
  <c r="CR160" i="12" a="1"/>
  <c r="CR160" i="12" s="1"/>
  <c r="CR161" i="12" s="1"/>
  <c r="CP160" i="12" a="1"/>
  <c r="CP160" i="12" s="1"/>
  <c r="CO160" i="12" a="1"/>
  <c r="CO160" i="12" s="1"/>
  <c r="CO161" i="12" s="1"/>
  <c r="CM160" i="12" a="1"/>
  <c r="CM160" i="12" s="1"/>
  <c r="CL160" i="12" a="1"/>
  <c r="CL160" i="12" s="1"/>
  <c r="CL161" i="12" s="1"/>
  <c r="CJ160" i="12" a="1"/>
  <c r="CJ160" i="12" s="1"/>
  <c r="CI160" i="12" a="1"/>
  <c r="CI160" i="12" s="1"/>
  <c r="CI161" i="12" s="1"/>
  <c r="CG160" i="12" a="1"/>
  <c r="CG160" i="12" s="1"/>
  <c r="CF160" i="12" a="1"/>
  <c r="CF160" i="12" s="1"/>
  <c r="CF161" i="12" s="1"/>
  <c r="CD160" i="12" a="1"/>
  <c r="CD160" i="12" s="1"/>
  <c r="CC160" i="12" a="1"/>
  <c r="CC160" i="12" s="1"/>
  <c r="CC161" i="12" s="1"/>
  <c r="CA160" i="12" a="1"/>
  <c r="CA160" i="12" s="1"/>
  <c r="BZ160" i="12" a="1"/>
  <c r="BZ160" i="12" s="1"/>
  <c r="BZ161" i="12" s="1"/>
  <c r="BX160" i="12" a="1"/>
  <c r="BX160" i="12" s="1"/>
  <c r="BW160" i="12" a="1"/>
  <c r="BW160" i="12" s="1"/>
  <c r="BW161" i="12" s="1"/>
  <c r="BU160" i="12" a="1"/>
  <c r="BU160" i="12" s="1"/>
  <c r="BT160" i="12" a="1"/>
  <c r="BT160" i="12" s="1"/>
  <c r="BT161" i="12" s="1"/>
  <c r="BR160" i="12" a="1"/>
  <c r="BR160" i="12" s="1"/>
  <c r="BQ160" i="12" a="1"/>
  <c r="BQ160" i="12" s="1"/>
  <c r="BQ161" i="12" s="1"/>
  <c r="BO160" i="12" a="1"/>
  <c r="BO160" i="12" s="1"/>
  <c r="BN160" i="12" a="1"/>
  <c r="BN160" i="12" s="1"/>
  <c r="BN161" i="12" s="1"/>
  <c r="BL160" i="12" a="1"/>
  <c r="BL160" i="12" s="1"/>
  <c r="BK160" i="12" a="1"/>
  <c r="BK160" i="12" s="1"/>
  <c r="BK161" i="12" s="1"/>
  <c r="BI160" i="12" a="1"/>
  <c r="BI160" i="12" s="1"/>
  <c r="BH160" i="12" a="1"/>
  <c r="BH160" i="12" s="1"/>
  <c r="BH161" i="12" s="1"/>
  <c r="BF160" i="12" a="1"/>
  <c r="BF160" i="12" s="1"/>
  <c r="BE160" i="12" a="1"/>
  <c r="BE160" i="12" s="1"/>
  <c r="BE161" i="12" s="1"/>
  <c r="BC160" i="12" a="1"/>
  <c r="BC160" i="12" s="1"/>
  <c r="BB160" i="12" a="1"/>
  <c r="BB160" i="12" s="1"/>
  <c r="BB161" i="12" s="1"/>
  <c r="AZ160" i="12" a="1"/>
  <c r="AZ160" i="12" s="1"/>
  <c r="AY160" i="12" a="1"/>
  <c r="AY160" i="12" s="1"/>
  <c r="AY161" i="12" s="1"/>
  <c r="AW160" i="12" a="1"/>
  <c r="AW160" i="12" s="1"/>
  <c r="AV160" i="12" a="1"/>
  <c r="AV160" i="12" s="1"/>
  <c r="AV161" i="12" s="1"/>
  <c r="AT160" i="12" a="1"/>
  <c r="AT160" i="12" s="1"/>
  <c r="AS160" i="12" a="1"/>
  <c r="AS160" i="12" s="1"/>
  <c r="AS161" i="12" s="1"/>
  <c r="AQ160" i="12" a="1"/>
  <c r="AQ160" i="12" s="1"/>
  <c r="AP160" i="12" a="1"/>
  <c r="AP160" i="12" s="1"/>
  <c r="AP161" i="12" s="1"/>
  <c r="AN160" i="12" a="1"/>
  <c r="AN160" i="12" s="1"/>
  <c r="AM160" i="12" a="1"/>
  <c r="AM160" i="12" s="1"/>
  <c r="AM161" i="12" s="1"/>
  <c r="CR159" i="12" a="1"/>
  <c r="CR159" i="12"/>
  <c r="CO159" i="12" a="1"/>
  <c r="CO159" i="12"/>
  <c r="CL159" i="12" a="1"/>
  <c r="CL159" i="12"/>
  <c r="CI159" i="12" a="1"/>
  <c r="CI159" i="12"/>
  <c r="CF159" i="12" a="1"/>
  <c r="CF159" i="12"/>
  <c r="CC159" i="12" a="1"/>
  <c r="CC159" i="12"/>
  <c r="BZ159" i="12" a="1"/>
  <c r="BZ159" i="12"/>
  <c r="BW159" i="12" a="1"/>
  <c r="BW159" i="12"/>
  <c r="BT159" i="12" a="1"/>
  <c r="BT159" i="12"/>
  <c r="BQ159" i="12" a="1"/>
  <c r="BQ159" i="12"/>
  <c r="BN159" i="12" a="1"/>
  <c r="BN159" i="12"/>
  <c r="BK159" i="12" a="1"/>
  <c r="BK159" i="12"/>
  <c r="BH159" i="12" a="1"/>
  <c r="BH159" i="12"/>
  <c r="BE159" i="12" a="1"/>
  <c r="BE159" i="12"/>
  <c r="BB159" i="12" a="1"/>
  <c r="BB159" i="12"/>
  <c r="AY159" i="12" a="1"/>
  <c r="AY159" i="12"/>
  <c r="AV159" i="12" a="1"/>
  <c r="AV159" i="12"/>
  <c r="AS159" i="12" a="1"/>
  <c r="AS159" i="12"/>
  <c r="AP159" i="12" a="1"/>
  <c r="AP159" i="12"/>
  <c r="AM159" i="12" a="1"/>
  <c r="AM159" i="12"/>
  <c r="CR158" i="12"/>
  <c r="CO158" i="12"/>
  <c r="CL158" i="12"/>
  <c r="CI158" i="12"/>
  <c r="CF158" i="12"/>
  <c r="CC158" i="12"/>
  <c r="BZ158" i="12"/>
  <c r="BW158" i="12"/>
  <c r="BT158" i="12"/>
  <c r="BQ158" i="12"/>
  <c r="BN158" i="12"/>
  <c r="BK158" i="12"/>
  <c r="BH158" i="12"/>
  <c r="BE158" i="12"/>
  <c r="BB158" i="12"/>
  <c r="AY158" i="12"/>
  <c r="AV158" i="12"/>
  <c r="AS158" i="12"/>
  <c r="AP158" i="12"/>
  <c r="AM158" i="12"/>
  <c r="AK158" i="12"/>
  <c r="AK162" i="12" s="1"/>
  <c r="AJ158" i="12"/>
  <c r="AJ162" i="12" s="1"/>
  <c r="AJ163" i="12" s="1"/>
  <c r="AI158" i="12"/>
  <c r="AI162" i="12" s="1"/>
  <c r="AI163" i="12" s="1"/>
  <c r="AH158" i="12"/>
  <c r="AH162" i="12" s="1"/>
  <c r="CS157" i="12" a="1"/>
  <c r="CS157" i="12"/>
  <c r="CS158" i="12" s="1"/>
  <c r="CQ158" i="12" s="1"/>
  <c r="CQ157" i="12" s="1"/>
  <c r="CP157" i="12" a="1"/>
  <c r="CP157" i="12" s="1"/>
  <c r="CP158" i="12" s="1"/>
  <c r="CM157" i="12" a="1"/>
  <c r="CM157" i="12"/>
  <c r="CM158" i="12" s="1"/>
  <c r="CK158" i="12" s="1"/>
  <c r="CK157" i="12" s="1"/>
  <c r="CJ157" i="12" a="1"/>
  <c r="CJ157" i="12" s="1"/>
  <c r="CJ158" i="12" s="1"/>
  <c r="CG157" i="12" a="1"/>
  <c r="CG157" i="12"/>
  <c r="CG158" i="12" s="1"/>
  <c r="CE158" i="12" s="1"/>
  <c r="CE157" i="12" s="1"/>
  <c r="CD157" i="12" a="1"/>
  <c r="CD157" i="12" s="1"/>
  <c r="CD158" i="12" s="1"/>
  <c r="CA157" i="12" a="1"/>
  <c r="CA157" i="12"/>
  <c r="CA158" i="12" s="1"/>
  <c r="BY158" i="12" s="1"/>
  <c r="BY157" i="12" s="1"/>
  <c r="BX157" i="12" a="1"/>
  <c r="BX157" i="12" s="1"/>
  <c r="BX158" i="12" s="1"/>
  <c r="BU157" i="12" a="1"/>
  <c r="BU157" i="12"/>
  <c r="BU158" i="12" s="1"/>
  <c r="BS158" i="12" s="1"/>
  <c r="BS157" i="12" s="1"/>
  <c r="BR157" i="12" a="1"/>
  <c r="BR157" i="12" s="1"/>
  <c r="BR158" i="12" s="1"/>
  <c r="BO157" i="12" a="1"/>
  <c r="BO157" i="12"/>
  <c r="BO158" i="12" s="1"/>
  <c r="BM158" i="12" s="1"/>
  <c r="BM157" i="12" s="1"/>
  <c r="BL157" i="12" a="1"/>
  <c r="BL157" i="12" s="1"/>
  <c r="BL158" i="12" s="1"/>
  <c r="BI157" i="12" a="1"/>
  <c r="BI157" i="12"/>
  <c r="BI158" i="12" s="1"/>
  <c r="BG158" i="12" s="1"/>
  <c r="BG157" i="12" s="1"/>
  <c r="BF157" i="12" a="1"/>
  <c r="BF157" i="12" s="1"/>
  <c r="BF158" i="12" s="1"/>
  <c r="BC157" i="12" a="1"/>
  <c r="BC157" i="12"/>
  <c r="BC158" i="12" s="1"/>
  <c r="BA158" i="12" s="1"/>
  <c r="BA157" i="12" s="1"/>
  <c r="AZ157" i="12" a="1"/>
  <c r="AZ157" i="12" s="1"/>
  <c r="AZ158" i="12" s="1"/>
  <c r="AW157" i="12" a="1"/>
  <c r="AW157" i="12"/>
  <c r="AW158" i="12" s="1"/>
  <c r="AU158" i="12" s="1"/>
  <c r="AU157" i="12" s="1"/>
  <c r="AT157" i="12" a="1"/>
  <c r="AT157" i="12" s="1"/>
  <c r="AT158" i="12" s="1"/>
  <c r="AQ157" i="12" a="1"/>
  <c r="AQ157" i="12"/>
  <c r="AQ158" i="12" s="1"/>
  <c r="AO158" i="12" s="1"/>
  <c r="AO157" i="12" s="1"/>
  <c r="AN157" i="12" a="1"/>
  <c r="AN157" i="12" s="1"/>
  <c r="AN158"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Q149" i="12"/>
  <c r="CN149" i="12"/>
  <c r="CK149" i="12"/>
  <c r="CH149" i="12"/>
  <c r="CE149" i="12"/>
  <c r="CB149" i="12"/>
  <c r="BY149" i="12"/>
  <c r="BV149" i="12"/>
  <c r="BS149" i="12"/>
  <c r="BP149" i="12"/>
  <c r="BM149" i="12"/>
  <c r="BJ149" i="12"/>
  <c r="BG149" i="12"/>
  <c r="BD149" i="12"/>
  <c r="BA149" i="12"/>
  <c r="AX149" i="12"/>
  <c r="AU149" i="12"/>
  <c r="AR149" i="12"/>
  <c r="AO149" i="12"/>
  <c r="AL149" i="12"/>
  <c r="CQ147" i="12"/>
  <c r="CN147" i="12"/>
  <c r="CK147" i="12"/>
  <c r="CH147" i="12"/>
  <c r="CE147" i="12"/>
  <c r="CB147" i="12"/>
  <c r="BY147" i="12"/>
  <c r="BV147" i="12"/>
  <c r="BS147" i="12"/>
  <c r="BP147" i="12"/>
  <c r="BM147" i="12"/>
  <c r="BJ147" i="12"/>
  <c r="BG147" i="12"/>
  <c r="BD147" i="12"/>
  <c r="BA147" i="12"/>
  <c r="AX147" i="12"/>
  <c r="AU147" i="12"/>
  <c r="AR147" i="12"/>
  <c r="AO147" i="12"/>
  <c r="AL147" i="12"/>
  <c r="CS146" i="12"/>
  <c r="CS151" i="12" s="1"/>
  <c r="CO146" i="12"/>
  <c r="CO151" i="12" s="1"/>
  <c r="CM146" i="12"/>
  <c r="CM151" i="12" s="1"/>
  <c r="CI146" i="12"/>
  <c r="CI151" i="12" s="1"/>
  <c r="CG146" i="12"/>
  <c r="CG151" i="12" s="1"/>
  <c r="CC146" i="12"/>
  <c r="CC151" i="12" s="1"/>
  <c r="CA146" i="12"/>
  <c r="CA151" i="12" s="1"/>
  <c r="BW146" i="12"/>
  <c r="BW151" i="12" s="1"/>
  <c r="BU146" i="12"/>
  <c r="BU151" i="12" s="1"/>
  <c r="BQ146" i="12"/>
  <c r="BQ151" i="12" s="1"/>
  <c r="BO146" i="12"/>
  <c r="BO151" i="12" s="1"/>
  <c r="BK146" i="12"/>
  <c r="BK151" i="12" s="1"/>
  <c r="BI146" i="12"/>
  <c r="BI151" i="12" s="1"/>
  <c r="BE146" i="12"/>
  <c r="BE151" i="12" s="1"/>
  <c r="BC146" i="12"/>
  <c r="BC151" i="12" s="1"/>
  <c r="AY146" i="12"/>
  <c r="AY151" i="12" s="1"/>
  <c r="AW146" i="12"/>
  <c r="AW151" i="12" s="1"/>
  <c r="AS146" i="12"/>
  <c r="AS151" i="12" s="1"/>
  <c r="AQ146" i="12"/>
  <c r="AQ151" i="12" s="1"/>
  <c r="AM146" i="12"/>
  <c r="AM151" i="12" s="1"/>
  <c r="AK146" i="12"/>
  <c r="AK151" i="12" s="1"/>
  <c r="AI146" i="12"/>
  <c r="AI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P143" i="12"/>
  <c r="CO143" i="12"/>
  <c r="CN143" i="12"/>
  <c r="CM143" i="12"/>
  <c r="CL143" i="12"/>
  <c r="CJ143" i="12"/>
  <c r="CI143" i="12"/>
  <c r="CH143" i="12"/>
  <c r="CG143" i="12"/>
  <c r="CF143" i="12"/>
  <c r="CD143" i="12"/>
  <c r="CC143" i="12"/>
  <c r="CB143" i="12"/>
  <c r="CA143" i="12"/>
  <c r="BZ143" i="12"/>
  <c r="BX143" i="12"/>
  <c r="BW143" i="12"/>
  <c r="BV143" i="12"/>
  <c r="BU143" i="12"/>
  <c r="BT143" i="12"/>
  <c r="BR143" i="12"/>
  <c r="BQ143" i="12"/>
  <c r="BP143" i="12"/>
  <c r="BO143" i="12"/>
  <c r="BN143" i="12"/>
  <c r="BL143" i="12"/>
  <c r="BK143" i="12"/>
  <c r="BJ143" i="12"/>
  <c r="BI143" i="12"/>
  <c r="BH143" i="12"/>
  <c r="BF143" i="12"/>
  <c r="BE143" i="12"/>
  <c r="BD143" i="12"/>
  <c r="BC143" i="12"/>
  <c r="BB143" i="12"/>
  <c r="AZ143" i="12"/>
  <c r="AY143" i="12"/>
  <c r="AX143" i="12"/>
  <c r="AW143" i="12"/>
  <c r="AV143" i="12"/>
  <c r="AT143" i="12"/>
  <c r="AS143" i="12"/>
  <c r="AR143" i="12"/>
  <c r="AQ143" i="12"/>
  <c r="AP143" i="12"/>
  <c r="AN143" i="12"/>
  <c r="AM143" i="12"/>
  <c r="AL143" i="12"/>
  <c r="AK143" i="12"/>
  <c r="AJ143" i="12"/>
  <c r="AI143" i="12"/>
  <c r="AH143" i="12"/>
  <c r="CQ142" i="12"/>
  <c r="CQ143" i="12" s="1"/>
  <c r="CN142" i="12"/>
  <c r="CK142" i="12"/>
  <c r="CK143" i="12" s="1"/>
  <c r="CH142" i="12"/>
  <c r="CE142" i="12"/>
  <c r="CE143" i="12" s="1"/>
  <c r="CB142" i="12"/>
  <c r="BY142" i="12"/>
  <c r="BY143" i="12" s="1"/>
  <c r="BV142" i="12"/>
  <c r="BS142" i="12"/>
  <c r="BS143" i="12" s="1"/>
  <c r="BP142" i="12"/>
  <c r="BM142" i="12"/>
  <c r="BM143" i="12" s="1"/>
  <c r="BJ142" i="12"/>
  <c r="BG142" i="12"/>
  <c r="BG143" i="12" s="1"/>
  <c r="BD142" i="12"/>
  <c r="BA142" i="12"/>
  <c r="BA143" i="12" s="1"/>
  <c r="AX142" i="12"/>
  <c r="AU142" i="12"/>
  <c r="AU143" i="12" s="1"/>
  <c r="AR142" i="12"/>
  <c r="AO142" i="12"/>
  <c r="AO143" i="12" s="1"/>
  <c r="AL142" i="12"/>
  <c r="CS141" i="12"/>
  <c r="CR141" i="12"/>
  <c r="CR146" i="12" s="1"/>
  <c r="CP141" i="12"/>
  <c r="CP146" i="12" s="1"/>
  <c r="CO141" i="12"/>
  <c r="CN141" i="12"/>
  <c r="CM141" i="12"/>
  <c r="CL141" i="12"/>
  <c r="CL146" i="12" s="1"/>
  <c r="CJ141" i="12"/>
  <c r="CJ146" i="12" s="1"/>
  <c r="CI141" i="12"/>
  <c r="CH141" i="12"/>
  <c r="CG141" i="12"/>
  <c r="CF141" i="12"/>
  <c r="CF146" i="12" s="1"/>
  <c r="CD141" i="12"/>
  <c r="CD146" i="12" s="1"/>
  <c r="CC141" i="12"/>
  <c r="CB141" i="12"/>
  <c r="CA141" i="12"/>
  <c r="BZ141" i="12"/>
  <c r="BZ146" i="12" s="1"/>
  <c r="BX141" i="12"/>
  <c r="BX146" i="12" s="1"/>
  <c r="BW141" i="12"/>
  <c r="BV141" i="12"/>
  <c r="BU141" i="12"/>
  <c r="BT141" i="12"/>
  <c r="BT146" i="12" s="1"/>
  <c r="BR141" i="12"/>
  <c r="BR146" i="12" s="1"/>
  <c r="BQ141" i="12"/>
  <c r="BP141" i="12"/>
  <c r="BO141" i="12"/>
  <c r="BN141" i="12"/>
  <c r="BN146" i="12" s="1"/>
  <c r="BL141" i="12"/>
  <c r="BL146" i="12" s="1"/>
  <c r="BK141" i="12"/>
  <c r="BJ141" i="12"/>
  <c r="BI141" i="12"/>
  <c r="BH141" i="12"/>
  <c r="BH146" i="12" s="1"/>
  <c r="BF141" i="12"/>
  <c r="BF146" i="12" s="1"/>
  <c r="BE141" i="12"/>
  <c r="BD141" i="12"/>
  <c r="BC141" i="12"/>
  <c r="BB141" i="12"/>
  <c r="BB146" i="12" s="1"/>
  <c r="AZ141" i="12"/>
  <c r="AZ146" i="12" s="1"/>
  <c r="AY141" i="12"/>
  <c r="AX141" i="12"/>
  <c r="AW141" i="12"/>
  <c r="AV141" i="12"/>
  <c r="AV146" i="12" s="1"/>
  <c r="AT141" i="12"/>
  <c r="AT146" i="12" s="1"/>
  <c r="AS141" i="12"/>
  <c r="AR141" i="12"/>
  <c r="AQ141" i="12"/>
  <c r="AP141" i="12"/>
  <c r="AP146" i="12" s="1"/>
  <c r="AN141" i="12"/>
  <c r="AN146" i="12" s="1"/>
  <c r="AM141" i="12"/>
  <c r="AL141" i="12"/>
  <c r="AK141" i="12"/>
  <c r="AJ141" i="12"/>
  <c r="AJ146" i="12" s="1"/>
  <c r="AI141" i="12"/>
  <c r="AH141" i="12"/>
  <c r="AH146" i="12" s="1"/>
  <c r="CQ140" i="12"/>
  <c r="CN140" i="12"/>
  <c r="CN146" i="12" s="1"/>
  <c r="CN151" i="12" s="1"/>
  <c r="CK140" i="12"/>
  <c r="CH140" i="12"/>
  <c r="CH146" i="12" s="1"/>
  <c r="CH151" i="12" s="1"/>
  <c r="CE140" i="12"/>
  <c r="CB140" i="12"/>
  <c r="CB146" i="12" s="1"/>
  <c r="CB151" i="12" s="1"/>
  <c r="BY140" i="12"/>
  <c r="BV140" i="12"/>
  <c r="BV146" i="12" s="1"/>
  <c r="BV151" i="12" s="1"/>
  <c r="BS140" i="12"/>
  <c r="BP140" i="12"/>
  <c r="BP146" i="12" s="1"/>
  <c r="BP151" i="12" s="1"/>
  <c r="BM140" i="12"/>
  <c r="BJ140" i="12"/>
  <c r="BJ146" i="12" s="1"/>
  <c r="BJ151" i="12" s="1"/>
  <c r="BG140" i="12"/>
  <c r="BD140" i="12"/>
  <c r="BD146" i="12" s="1"/>
  <c r="BD151" i="12" s="1"/>
  <c r="BA140" i="12"/>
  <c r="AX140" i="12"/>
  <c r="AX146" i="12" s="1"/>
  <c r="AX151" i="12" s="1"/>
  <c r="AU140" i="12"/>
  <c r="AR140" i="12"/>
  <c r="AR146" i="12" s="1"/>
  <c r="AR151" i="12" s="1"/>
  <c r="AO140" i="12"/>
  <c r="AL140" i="12"/>
  <c r="AL146" i="12" s="1"/>
  <c r="AL151" i="12" s="1"/>
  <c r="CW139" i="12"/>
  <c r="U139" i="12"/>
  <c r="S139" i="12"/>
  <c r="S140" i="12" s="1"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F139" i="12" a="1"/>
  <c r="F139" i="12" s="1"/>
  <c r="CW137" i="12"/>
  <c r="X137" i="12"/>
  <c r="CZ136" i="12" a="1"/>
  <c r="CZ136" i="12" s="1"/>
  <c r="CY136" i="12" a="1"/>
  <c r="CY136" i="12" s="1"/>
  <c r="AI136" i="12"/>
  <c r="AG136" i="12"/>
  <c r="T136" i="12"/>
  <c r="CW134" i="12"/>
  <c r="X134" i="12"/>
  <c r="CZ133" i="12" a="1"/>
  <c r="CZ133" i="12"/>
  <c r="CY133" i="12" a="1"/>
  <c r="CY133" i="12"/>
  <c r="T133" i="12"/>
  <c r="AD132" i="12"/>
  <c r="CW130" i="12"/>
  <c r="X130" i="12"/>
  <c r="CZ129" i="12" a="1"/>
  <c r="CZ129" i="12"/>
  <c r="CY129" i="12" a="1"/>
  <c r="CY129" i="12"/>
  <c r="AK129" i="12"/>
  <c r="AJ129" i="12"/>
  <c r="AJ136" i="12" s="1"/>
  <c r="AI129" i="12"/>
  <c r="AI133" i="12" s="1"/>
  <c r="AH129" i="12"/>
  <c r="T129" i="12"/>
  <c r="AD126" i="12"/>
  <c r="AK125" i="12"/>
  <c r="AI125" i="12"/>
  <c r="AI131" i="12" s="1"/>
  <c r="CW124" i="12"/>
  <c r="X124" i="12"/>
  <c r="CZ123" i="12" a="1"/>
  <c r="CZ123" i="12" s="1"/>
  <c r="CY123" i="12" a="1"/>
  <c r="CY123" i="12" s="1"/>
  <c r="CW121" i="12"/>
  <c r="X121" i="12"/>
  <c r="CZ120" i="12" a="1"/>
  <c r="CZ120" i="12" s="1"/>
  <c r="CY120" i="12" a="1"/>
  <c r="CY120" i="12" s="1"/>
  <c r="CQ120" i="12"/>
  <c r="CN120" i="12"/>
  <c r="CK120" i="12"/>
  <c r="CH120" i="12"/>
  <c r="CE120" i="12"/>
  <c r="CB120" i="12"/>
  <c r="BY120" i="12"/>
  <c r="BV120" i="12"/>
  <c r="BS120" i="12"/>
  <c r="BP120" i="12"/>
  <c r="BM120" i="12"/>
  <c r="BJ120" i="12"/>
  <c r="BG120" i="12"/>
  <c r="BD120" i="12"/>
  <c r="BA120" i="12"/>
  <c r="AX120" i="12"/>
  <c r="AU120" i="12"/>
  <c r="AR120" i="12"/>
  <c r="AO120" i="12"/>
  <c r="AL120" i="12"/>
  <c r="T120" i="12"/>
  <c r="AD119"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CW117" i="12"/>
  <c r="X117" i="12"/>
  <c r="CZ116" i="12" a="1"/>
  <c r="CZ116" i="12" s="1"/>
  <c r="CY116" i="12" a="1"/>
  <c r="CY116" i="12" s="1"/>
  <c r="CW114" i="12"/>
  <c r="X114" i="12"/>
  <c r="CZ113" i="12" a="1"/>
  <c r="CZ113" i="12" s="1"/>
  <c r="CY113" i="12" a="1"/>
  <c r="CY113" i="12" s="1"/>
  <c r="T113" i="12"/>
  <c r="AD112" i="12"/>
  <c r="AK111" i="12"/>
  <c r="AJ111" i="12"/>
  <c r="AI111" i="12"/>
  <c r="AH111" i="12"/>
  <c r="CW110" i="12"/>
  <c r="X110" i="12"/>
  <c r="CZ109" i="12" a="1"/>
  <c r="CZ109" i="12" s="1"/>
  <c r="CY109" i="12" a="1"/>
  <c r="CY109" i="12" s="1"/>
  <c r="AJ109" i="12"/>
  <c r="AI109" i="12"/>
  <c r="AG109" i="12"/>
  <c r="T109" i="12"/>
  <c r="CW107" i="12"/>
  <c r="X107" i="12"/>
  <c r="CZ106" i="12" a="1"/>
  <c r="CZ106" i="12"/>
  <c r="CY106" i="12" a="1"/>
  <c r="CY106" i="12"/>
  <c r="T106" i="12"/>
  <c r="CW104" i="12"/>
  <c r="X104" i="12"/>
  <c r="CZ103" i="12" a="1"/>
  <c r="CZ103" i="12"/>
  <c r="CY103" i="12" a="1"/>
  <c r="CY103" i="12"/>
  <c r="CW101" i="12"/>
  <c r="X101" i="12"/>
  <c r="CZ100" i="12" a="1"/>
  <c r="CZ100" i="12"/>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s="1"/>
  <c r="T93" i="12"/>
  <c r="CW91" i="12"/>
  <c r="X91" i="12"/>
  <c r="CZ90" i="12" a="1"/>
  <c r="CZ90" i="12" s="1"/>
  <c r="CY90" i="12" a="1"/>
  <c r="CY90" i="12" s="1"/>
  <c r="CW88" i="12"/>
  <c r="X88" i="12"/>
  <c r="CZ87" i="12" a="1"/>
  <c r="CZ87" i="12" s="1"/>
  <c r="CY87" i="12" a="1"/>
  <c r="CY87" i="12" s="1"/>
  <c r="T87" i="12"/>
  <c r="AD86" i="12"/>
  <c r="AK85" i="12"/>
  <c r="AJ85" i="12"/>
  <c r="AI85" i="12"/>
  <c r="AH85" i="12"/>
  <c r="CW84" i="12"/>
  <c r="X84" i="12"/>
  <c r="CZ83" i="12" a="1"/>
  <c r="CZ83" i="12" s="1"/>
  <c r="CY83" i="12" a="1"/>
  <c r="CY83" i="12" s="1"/>
  <c r="AJ83" i="12"/>
  <c r="AI83" i="12"/>
  <c r="AG83" i="12"/>
  <c r="T83" i="12"/>
  <c r="CW81" i="12"/>
  <c r="X81" i="12"/>
  <c r="CZ80" i="12" a="1"/>
  <c r="CZ80" i="12"/>
  <c r="CY80" i="12" a="1"/>
  <c r="CY80" i="12"/>
  <c r="T80" i="12"/>
  <c r="CW78" i="12"/>
  <c r="X78" i="12"/>
  <c r="CZ77" i="12" a="1"/>
  <c r="CZ77" i="12"/>
  <c r="CY77" i="12" a="1"/>
  <c r="CY77" i="12"/>
  <c r="CW75" i="12"/>
  <c r="X75" i="12"/>
  <c r="CZ74" i="12" a="1"/>
  <c r="CZ74" i="12"/>
  <c r="CY74" i="12" a="1"/>
  <c r="CY74" i="12"/>
  <c r="T74" i="12"/>
  <c r="AD73" i="12"/>
  <c r="AK72" i="12"/>
  <c r="AJ72" i="12"/>
  <c r="AI72" i="12"/>
  <c r="AH72" i="12"/>
  <c r="CW71" i="12"/>
  <c r="X71" i="12"/>
  <c r="CZ70" i="12" a="1"/>
  <c r="CZ70" i="12"/>
  <c r="CY70" i="12" a="1"/>
  <c r="CY70" i="12"/>
  <c r="AJ70" i="12"/>
  <c r="AI70" i="12"/>
  <c r="AG70" i="12"/>
  <c r="T70" i="12"/>
  <c r="CW68" i="12"/>
  <c r="X68" i="12"/>
  <c r="CZ67" i="12" a="1"/>
  <c r="CZ67" i="12" s="1"/>
  <c r="CY67" i="12" a="1"/>
  <c r="CY67" i="12" s="1"/>
  <c r="T67" i="12"/>
  <c r="CW65" i="12"/>
  <c r="X65" i="12"/>
  <c r="CZ64" i="12" a="1"/>
  <c r="CZ64" i="12" s="1"/>
  <c r="CY64" i="12" a="1"/>
  <c r="CY64" i="12" s="1"/>
  <c r="AG64" i="12"/>
  <c r="T64" i="12"/>
  <c r="CW62" i="12"/>
  <c r="X62" i="12"/>
  <c r="CZ61" i="12" a="1"/>
  <c r="CZ61" i="12"/>
  <c r="CY61" i="12" a="1"/>
  <c r="CY61" i="12"/>
  <c r="CS61" i="12" a="1"/>
  <c r="CS61" i="12"/>
  <c r="CP61" i="12" a="1"/>
  <c r="CP61" i="12" s="1"/>
  <c r="CM61" i="12" a="1"/>
  <c r="CM61" i="12"/>
  <c r="CJ61" i="12" a="1"/>
  <c r="CJ61" i="12" s="1"/>
  <c r="CG61" i="12" a="1"/>
  <c r="CG61" i="12"/>
  <c r="CD61" i="12" a="1"/>
  <c r="CD61" i="12" s="1"/>
  <c r="CA61" i="12" a="1"/>
  <c r="CA61" i="12"/>
  <c r="BX61" i="12" a="1"/>
  <c r="BX61" i="12" s="1"/>
  <c r="BU61" i="12" a="1"/>
  <c r="BU61" i="12"/>
  <c r="BR61" i="12" a="1"/>
  <c r="BR61" i="12" s="1"/>
  <c r="BO61" i="12" a="1"/>
  <c r="BO61" i="12"/>
  <c r="BL61" i="12" a="1"/>
  <c r="BL61" i="12" s="1"/>
  <c r="BI61" i="12" a="1"/>
  <c r="BI61" i="12"/>
  <c r="BF61" i="12" a="1"/>
  <c r="BF61" i="12" s="1"/>
  <c r="BC61" i="12" a="1"/>
  <c r="BC61" i="12"/>
  <c r="AZ61" i="12" a="1"/>
  <c r="AZ61" i="12" s="1"/>
  <c r="AW61" i="12" a="1"/>
  <c r="AW61" i="12"/>
  <c r="AT61" i="12" a="1"/>
  <c r="AT61" i="12" s="1"/>
  <c r="AQ61" i="12" a="1"/>
  <c r="AQ61" i="12"/>
  <c r="AN61" i="12" a="1"/>
  <c r="AN61" i="12" s="1"/>
  <c r="T61" i="12"/>
  <c r="CW59" i="12"/>
  <c r="X59" i="12"/>
  <c r="CZ58" i="12" a="1"/>
  <c r="CZ58" i="12"/>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I53" i="12"/>
  <c r="AI58" i="12" s="1"/>
  <c r="AI57" i="12" s="1"/>
  <c r="CS49" i="12" a="1"/>
  <c r="CS49" i="12" s="1"/>
  <c r="CR49" i="12" a="1"/>
  <c r="CR49" i="12" s="1"/>
  <c r="CR50" i="12" s="1"/>
  <c r="CP49" i="12" a="1"/>
  <c r="CP49" i="12" s="1"/>
  <c r="CO49" i="12" a="1"/>
  <c r="CO49" i="12" s="1"/>
  <c r="CO50" i="12" s="1"/>
  <c r="CM49" i="12" a="1"/>
  <c r="CM49" i="12" s="1"/>
  <c r="CL49" i="12" a="1"/>
  <c r="CL49" i="12" s="1"/>
  <c r="CL50" i="12" s="1"/>
  <c r="CJ49" i="12" a="1"/>
  <c r="CJ49" i="12" s="1"/>
  <c r="CI49" i="12" a="1"/>
  <c r="CI49" i="12" s="1"/>
  <c r="CI50" i="12" s="1"/>
  <c r="CG49" i="12" a="1"/>
  <c r="CG49" i="12" s="1"/>
  <c r="CF49" i="12" a="1"/>
  <c r="CF49" i="12" s="1"/>
  <c r="CF50" i="12" s="1"/>
  <c r="CD49" i="12" a="1"/>
  <c r="CD49" i="12" s="1"/>
  <c r="CC49" i="12" a="1"/>
  <c r="CC49" i="12" s="1"/>
  <c r="CC50" i="12" s="1"/>
  <c r="CA49" i="12" a="1"/>
  <c r="CA49" i="12" s="1"/>
  <c r="BZ49" i="12" a="1"/>
  <c r="BZ49" i="12" s="1"/>
  <c r="BZ50"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N50" i="12" s="1"/>
  <c r="BL49" i="12" a="1"/>
  <c r="BL49" i="12" s="1"/>
  <c r="BK49" i="12" a="1"/>
  <c r="BK49" i="12" s="1"/>
  <c r="BK50" i="12" s="1"/>
  <c r="BI49" i="12" a="1"/>
  <c r="BI49" i="12" s="1"/>
  <c r="BH49" i="12" a="1"/>
  <c r="BH49" i="12" s="1"/>
  <c r="BH50" i="12" s="1"/>
  <c r="BF49" i="12" a="1"/>
  <c r="BF49" i="12" s="1"/>
  <c r="BE49" i="12" a="1"/>
  <c r="BE49" i="12" s="1"/>
  <c r="BE50" i="12" s="1"/>
  <c r="BC49" i="12" a="1"/>
  <c r="BC49" i="12" s="1"/>
  <c r="BB49" i="12" a="1"/>
  <c r="BB49" i="12" s="1"/>
  <c r="BB50" i="12" s="1"/>
  <c r="AZ49" i="12" a="1"/>
  <c r="AZ49" i="12" s="1"/>
  <c r="AY49" i="12" a="1"/>
  <c r="AY49" i="12" s="1"/>
  <c r="AY50" i="12" s="1"/>
  <c r="AW49" i="12" a="1"/>
  <c r="AW49" i="12" s="1"/>
  <c r="AV49" i="12" a="1"/>
  <c r="AV49" i="12" s="1"/>
  <c r="AV50" i="12" s="1"/>
  <c r="AT49" i="12" a="1"/>
  <c r="AT49" i="12" s="1"/>
  <c r="AS49" i="12" a="1"/>
  <c r="AS49" i="12" s="1"/>
  <c r="AS50" i="12" s="1"/>
  <c r="AQ49" i="12" a="1"/>
  <c r="AQ49" i="12" s="1"/>
  <c r="AP49" i="12" a="1"/>
  <c r="AP49" i="12" s="1"/>
  <c r="AP50"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E48" i="12" a="1"/>
  <c r="BE48" i="12"/>
  <c r="BB48" i="12" a="1"/>
  <c r="BB48" i="12"/>
  <c r="AY48" i="12" a="1"/>
  <c r="AY48" i="12"/>
  <c r="AV48" i="12" a="1"/>
  <c r="AV48" i="12"/>
  <c r="AS48" i="12" a="1"/>
  <c r="AS48" i="12"/>
  <c r="AP48" i="12" a="1"/>
  <c r="AP48" i="12"/>
  <c r="AM48" i="12" a="1"/>
  <c r="AM48" i="12"/>
  <c r="CR47" i="12"/>
  <c r="CO47" i="12"/>
  <c r="CN47" i="12" s="1"/>
  <c r="CN46" i="12" s="1"/>
  <c r="CL47" i="12"/>
  <c r="CI47" i="12"/>
  <c r="CF47" i="12"/>
  <c r="CC47" i="12"/>
  <c r="BZ47" i="12"/>
  <c r="BW47" i="12"/>
  <c r="BT47" i="12"/>
  <c r="BQ47" i="12"/>
  <c r="BN47" i="12"/>
  <c r="BK47" i="12"/>
  <c r="BH47" i="12"/>
  <c r="BE47" i="12"/>
  <c r="BB47" i="12"/>
  <c r="AY47" i="12"/>
  <c r="AV47" i="12"/>
  <c r="AS47" i="12"/>
  <c r="AP47" i="12"/>
  <c r="AM47" i="12"/>
  <c r="AK47" i="12"/>
  <c r="AK51" i="12" s="1"/>
  <c r="AJ47" i="12"/>
  <c r="AJ51" i="12" s="1"/>
  <c r="AJ52" i="12" s="1"/>
  <c r="AI47" i="12"/>
  <c r="AI51" i="12" s="1"/>
  <c r="AI52" i="12" s="1"/>
  <c r="AH47" i="12"/>
  <c r="AH51" i="12" s="1"/>
  <c r="CS46" i="12" a="1"/>
  <c r="CS46" i="12"/>
  <c r="CS47" i="12" s="1"/>
  <c r="CQ47" i="12" s="1"/>
  <c r="CP46" i="12" a="1"/>
  <c r="CP46" i="12" s="1"/>
  <c r="CP47" i="12" s="1"/>
  <c r="CM46" i="12" a="1"/>
  <c r="CM46" i="12"/>
  <c r="CM47" i="12" s="1"/>
  <c r="CK47" i="12" s="1"/>
  <c r="CJ46" i="12" a="1"/>
  <c r="CJ46" i="12" s="1"/>
  <c r="CJ47" i="12" s="1"/>
  <c r="CG46" i="12" a="1"/>
  <c r="CG46" i="12"/>
  <c r="CG47" i="12" s="1"/>
  <c r="CE47" i="12" s="1"/>
  <c r="CD46" i="12" a="1"/>
  <c r="CD46" i="12" s="1"/>
  <c r="CD47" i="12" s="1"/>
  <c r="CA46" i="12" a="1"/>
  <c r="CA46" i="12"/>
  <c r="CA47" i="12" s="1"/>
  <c r="BY47" i="12" s="1"/>
  <c r="BX46" i="12" a="1"/>
  <c r="BX46" i="12" s="1"/>
  <c r="BX47" i="12" s="1"/>
  <c r="BU46" i="12" a="1"/>
  <c r="BU46" i="12"/>
  <c r="BU47" i="12" s="1"/>
  <c r="BS47" i="12" s="1"/>
  <c r="BR46" i="12" a="1"/>
  <c r="BR46" i="12" s="1"/>
  <c r="BR47" i="12" s="1"/>
  <c r="BO46" i="12" a="1"/>
  <c r="BO46" i="12"/>
  <c r="BO47" i="12" s="1"/>
  <c r="BM47" i="12" s="1"/>
  <c r="BL46" i="12" a="1"/>
  <c r="BL46" i="12" s="1"/>
  <c r="BL47" i="12" s="1"/>
  <c r="BI46" i="12" a="1"/>
  <c r="BI46" i="12"/>
  <c r="BI47" i="12" s="1"/>
  <c r="BG47" i="12" s="1"/>
  <c r="BF46" i="12" a="1"/>
  <c r="BF46" i="12" s="1"/>
  <c r="BF47" i="12" s="1"/>
  <c r="BC46" i="12" a="1"/>
  <c r="BC46" i="12"/>
  <c r="BC47" i="12" s="1"/>
  <c r="BA47" i="12" s="1"/>
  <c r="AZ46" i="12" a="1"/>
  <c r="AZ46" i="12" s="1"/>
  <c r="AZ47" i="12" s="1"/>
  <c r="AW46" i="12" a="1"/>
  <c r="AW46" i="12"/>
  <c r="AW47" i="12" s="1"/>
  <c r="AU47" i="12" s="1"/>
  <c r="AT46" i="12" a="1"/>
  <c r="AT46" i="12" s="1"/>
  <c r="AT47" i="12" s="1"/>
  <c r="AQ46" i="12" a="1"/>
  <c r="AQ46" i="12"/>
  <c r="AQ47" i="12" s="1"/>
  <c r="AO47" i="12" s="1"/>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Q36" i="12"/>
  <c r="CN36" i="12"/>
  <c r="CK36" i="12"/>
  <c r="CH36" i="12"/>
  <c r="CE36" i="12"/>
  <c r="CB36" i="12"/>
  <c r="BY36" i="12"/>
  <c r="BV36" i="12"/>
  <c r="BS36" i="12"/>
  <c r="BP36" i="12"/>
  <c r="BM36" i="12"/>
  <c r="BJ36" i="12"/>
  <c r="BG36" i="12"/>
  <c r="BD36" i="12"/>
  <c r="BA36" i="12"/>
  <c r="AX36" i="12"/>
  <c r="AU36" i="12"/>
  <c r="AR36" i="12"/>
  <c r="AO36" i="12"/>
  <c r="AL36" i="12"/>
  <c r="CS35" i="12"/>
  <c r="CS40" i="12" s="1"/>
  <c r="CO35" i="12"/>
  <c r="CO40" i="12" s="1"/>
  <c r="CM35" i="12"/>
  <c r="CM40" i="12" s="1"/>
  <c r="CI35" i="12"/>
  <c r="CI40" i="12" s="1"/>
  <c r="CG35" i="12"/>
  <c r="CG40" i="12" s="1"/>
  <c r="CC35" i="12"/>
  <c r="CC40" i="12" s="1"/>
  <c r="CA35" i="12"/>
  <c r="CA40" i="12" s="1"/>
  <c r="BW35" i="12"/>
  <c r="BW40" i="12" s="1"/>
  <c r="BU35" i="12"/>
  <c r="BU40" i="12" s="1"/>
  <c r="BQ35" i="12"/>
  <c r="BQ40" i="12" s="1"/>
  <c r="BO35" i="12"/>
  <c r="BO40" i="12" s="1"/>
  <c r="BK35" i="12"/>
  <c r="BK40" i="12" s="1"/>
  <c r="BI35" i="12"/>
  <c r="BI40" i="12" s="1"/>
  <c r="BE35" i="12"/>
  <c r="BE40" i="12" s="1"/>
  <c r="BC35" i="12"/>
  <c r="BC40" i="12" s="1"/>
  <c r="AY35" i="12"/>
  <c r="AY40" i="12" s="1"/>
  <c r="AW35" i="12"/>
  <c r="AW40" i="12" s="1"/>
  <c r="AS35" i="12"/>
  <c r="AS40" i="12" s="1"/>
  <c r="AQ35" i="12"/>
  <c r="AQ40" i="12" s="1"/>
  <c r="AM35" i="12"/>
  <c r="AM40" i="12" s="1"/>
  <c r="AK35" i="12"/>
  <c r="AK40" i="12" s="1"/>
  <c r="AI35" i="12"/>
  <c r="AI40"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N31" i="12"/>
  <c r="CK31" i="12"/>
  <c r="CH31" i="12"/>
  <c r="CE31" i="12"/>
  <c r="CB31" i="12"/>
  <c r="BY31" i="12"/>
  <c r="BV31" i="12"/>
  <c r="BS31" i="12"/>
  <c r="BP31" i="12"/>
  <c r="BM31" i="12"/>
  <c r="BJ31" i="12"/>
  <c r="BG31" i="12"/>
  <c r="BD31" i="12"/>
  <c r="BA31" i="12"/>
  <c r="AX31" i="12"/>
  <c r="AU31" i="12"/>
  <c r="AR31" i="12"/>
  <c r="AO31" i="12"/>
  <c r="AL31" i="12"/>
  <c r="CS30" i="12"/>
  <c r="CR30" i="12"/>
  <c r="CR35" i="12" s="1"/>
  <c r="CP30" i="12"/>
  <c r="CP35" i="12" s="1"/>
  <c r="CO30" i="12"/>
  <c r="CN30" i="12"/>
  <c r="CM30" i="12"/>
  <c r="CL30" i="12"/>
  <c r="CL35" i="12" s="1"/>
  <c r="CJ30" i="12"/>
  <c r="CJ35" i="12" s="1"/>
  <c r="CI30" i="12"/>
  <c r="CH30" i="12"/>
  <c r="CG30" i="12"/>
  <c r="CF30" i="12"/>
  <c r="CF35" i="12" s="1"/>
  <c r="CD30" i="12"/>
  <c r="CD35" i="12" s="1"/>
  <c r="CC30" i="12"/>
  <c r="CB30" i="12"/>
  <c r="CA30" i="12"/>
  <c r="BZ30" i="12"/>
  <c r="BZ35" i="12" s="1"/>
  <c r="BX30" i="12"/>
  <c r="BX35" i="12" s="1"/>
  <c r="BW30" i="12"/>
  <c r="BV30" i="12"/>
  <c r="BU30" i="12"/>
  <c r="BT30" i="12"/>
  <c r="BT35" i="12" s="1"/>
  <c r="BR30" i="12"/>
  <c r="BR35" i="12" s="1"/>
  <c r="BQ30" i="12"/>
  <c r="BP30" i="12"/>
  <c r="BO30" i="12"/>
  <c r="BN30" i="12"/>
  <c r="BN35" i="12" s="1"/>
  <c r="BL30" i="12"/>
  <c r="BL35" i="12" s="1"/>
  <c r="BK30" i="12"/>
  <c r="BJ30" i="12"/>
  <c r="BI30" i="12"/>
  <c r="BH30" i="12"/>
  <c r="BH35" i="12" s="1"/>
  <c r="BF30" i="12"/>
  <c r="BF35" i="12" s="1"/>
  <c r="BE30" i="12"/>
  <c r="BD30" i="12"/>
  <c r="BC30" i="12"/>
  <c r="BB30" i="12"/>
  <c r="BB35" i="12" s="1"/>
  <c r="AZ30" i="12"/>
  <c r="AZ35" i="12" s="1"/>
  <c r="AY30" i="12"/>
  <c r="AX30" i="12"/>
  <c r="AW30" i="12"/>
  <c r="AV30" i="12"/>
  <c r="AV35" i="12" s="1"/>
  <c r="AT30" i="12"/>
  <c r="AT35" i="12" s="1"/>
  <c r="AS30" i="12"/>
  <c r="AR30" i="12"/>
  <c r="AQ30" i="12"/>
  <c r="AP30" i="12"/>
  <c r="AP35" i="12" s="1"/>
  <c r="AN30" i="12"/>
  <c r="AN35" i="12" s="1"/>
  <c r="AM30" i="12"/>
  <c r="AL30" i="12"/>
  <c r="AK30" i="12"/>
  <c r="AJ30" i="12"/>
  <c r="AJ35" i="12" s="1"/>
  <c r="AI30" i="12"/>
  <c r="AH30" i="12"/>
  <c r="AH35" i="12" s="1"/>
  <c r="CQ29" i="12"/>
  <c r="CN29" i="12"/>
  <c r="CN35" i="12" s="1"/>
  <c r="CN40" i="12" s="1"/>
  <c r="CK29" i="12"/>
  <c r="CH29" i="12"/>
  <c r="CH35" i="12" s="1"/>
  <c r="CH40" i="12" s="1"/>
  <c r="CE29" i="12"/>
  <c r="CB29" i="12"/>
  <c r="CB35" i="12" s="1"/>
  <c r="CB40" i="12" s="1"/>
  <c r="BY29" i="12"/>
  <c r="BV29" i="12"/>
  <c r="BV35" i="12" s="1"/>
  <c r="BV40" i="12" s="1"/>
  <c r="BS29" i="12"/>
  <c r="BP29" i="12"/>
  <c r="BP35" i="12" s="1"/>
  <c r="BP40" i="12" s="1"/>
  <c r="BM29" i="12"/>
  <c r="BJ29" i="12"/>
  <c r="BJ35" i="12" s="1"/>
  <c r="BJ40" i="12" s="1"/>
  <c r="BG29" i="12"/>
  <c r="BD29" i="12"/>
  <c r="BD35" i="12" s="1"/>
  <c r="BD40" i="12" s="1"/>
  <c r="BA29" i="12"/>
  <c r="AX29" i="12"/>
  <c r="AX35" i="12" s="1"/>
  <c r="AX40" i="12" s="1"/>
  <c r="AU29" i="12"/>
  <c r="AR29" i="12"/>
  <c r="AR35" i="12" s="1"/>
  <c r="AR40" i="12" s="1"/>
  <c r="AO29" i="12"/>
  <c r="AL29" i="12"/>
  <c r="AL35" i="12" s="1"/>
  <c r="AL40" i="12" s="1"/>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F28" i="12" a="1"/>
  <c r="F28" i="12" s="1"/>
  <c r="F29" i="12" s="1"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BU25" i="12"/>
  <c r="BT25" i="12"/>
  <c r="BR25" i="12"/>
  <c r="BR7" i="12" s="1"/>
  <c r="BQ25" i="12"/>
  <c r="AQ25" i="12"/>
  <c r="AP25" i="12"/>
  <c r="AN25" i="12"/>
  <c r="AN7" i="12" s="1"/>
  <c r="AM25" i="12"/>
  <c r="CQ24" i="12"/>
  <c r="CR24" i="12" s="1" a="1"/>
  <c r="CR24" i="12" s="1"/>
  <c r="CS24" i="12" s="1" a="1"/>
  <c r="CS24" i="12" s="1"/>
  <c r="CO24" i="12"/>
  <c r="CP24" i="12" s="1" a="1"/>
  <c r="CP24" i="12" s="1"/>
  <c r="CN24" i="12"/>
  <c r="CO24" i="12" s="1" a="1"/>
  <c r="CK24" i="12"/>
  <c r="CL24" i="12" s="1" a="1"/>
  <c r="CL24" i="12" s="1"/>
  <c r="CM24" i="12" s="1" a="1"/>
  <c r="CM24" i="12" s="1"/>
  <c r="CI24" i="12"/>
  <c r="CJ24" i="12" s="1" a="1"/>
  <c r="CJ24" i="12" s="1"/>
  <c r="CH24" i="12"/>
  <c r="CI24" i="12" s="1" a="1"/>
  <c r="CE24" i="12"/>
  <c r="CF24" i="12" s="1" a="1"/>
  <c r="CF24" i="12" s="1"/>
  <c r="CG24" i="12" s="1" a="1"/>
  <c r="CG24" i="12" s="1"/>
  <c r="CC24" i="12"/>
  <c r="CD24" i="12" s="1" a="1"/>
  <c r="CD24" i="12" s="1"/>
  <c r="CB24" i="12"/>
  <c r="CC24" i="12" s="1" a="1"/>
  <c r="BY24" i="12"/>
  <c r="BZ24" i="12" s="1" a="1"/>
  <c r="BZ24" i="12" s="1"/>
  <c r="CA24" i="12" s="1" a="1"/>
  <c r="CA24" i="12" s="1"/>
  <c r="BW24" i="12"/>
  <c r="BX24" i="12" s="1" a="1"/>
  <c r="BX24" i="12" s="1"/>
  <c r="BV24" i="12"/>
  <c r="BW24" i="12" s="1" a="1"/>
  <c r="BS24" i="12"/>
  <c r="BT24" i="12" s="1" a="1"/>
  <c r="BT24" i="12" s="1"/>
  <c r="BU24" i="12" s="1" a="1"/>
  <c r="BU24" i="12" s="1"/>
  <c r="BQ24" i="12"/>
  <c r="BR24" i="12" s="1" a="1"/>
  <c r="BR24" i="12" s="1"/>
  <c r="BP24" i="12"/>
  <c r="BQ24" i="12" s="1" a="1"/>
  <c r="BM24" i="12"/>
  <c r="BN24" i="12" s="1" a="1"/>
  <c r="BN24" i="12" s="1"/>
  <c r="BO24" i="12" s="1" a="1"/>
  <c r="BO24" i="12" s="1"/>
  <c r="BK24" i="12"/>
  <c r="BL24" i="12" s="1" a="1"/>
  <c r="BL24" i="12" s="1"/>
  <c r="BJ24" i="12"/>
  <c r="BK24" i="12" s="1" a="1"/>
  <c r="BG24" i="12"/>
  <c r="BH24" i="12" s="1" a="1"/>
  <c r="BH24" i="12" s="1"/>
  <c r="BI24" i="12" s="1" a="1"/>
  <c r="BI24" i="12" s="1"/>
  <c r="BE24" i="12"/>
  <c r="BF24" i="12" s="1" a="1"/>
  <c r="BF24" i="12" s="1"/>
  <c r="BD24" i="12"/>
  <c r="BE24" i="12" s="1" a="1"/>
  <c r="BA24" i="12"/>
  <c r="BB24" i="12" s="1" a="1"/>
  <c r="BB24" i="12" s="1"/>
  <c r="BC24" i="12" s="1" a="1"/>
  <c r="BC24" i="12" s="1"/>
  <c r="AY24" i="12"/>
  <c r="AZ24" i="12" s="1" a="1"/>
  <c r="AZ24" i="12" s="1"/>
  <c r="AX24" i="12"/>
  <c r="AY24" i="12" s="1" a="1"/>
  <c r="AU24" i="12"/>
  <c r="AV24" i="12" s="1" a="1"/>
  <c r="AV24" i="12" s="1"/>
  <c r="AW24" i="12" s="1" a="1"/>
  <c r="AW24" i="12" s="1"/>
  <c r="AS24" i="12"/>
  <c r="AT24" i="12" s="1" a="1"/>
  <c r="AT24" i="12" s="1"/>
  <c r="AR24" i="12"/>
  <c r="AS24" i="12" s="1" a="1"/>
  <c r="AO24" i="12"/>
  <c r="AP24" i="12" s="1" a="1"/>
  <c r="AP24" i="12" s="1"/>
  <c r="AQ24" i="12" s="1" a="1"/>
  <c r="AQ24" i="12" s="1"/>
  <c r="AM24" i="12"/>
  <c r="AN24" i="12" s="1" a="1"/>
  <c r="AN24" i="12" s="1"/>
  <c r="AL24" i="12"/>
  <c r="AM24" i="12" s="1" a="1"/>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53" i="11"/>
  <c r="AZ48" i="11"/>
  <c r="AV48" i="11"/>
  <c r="AR48" i="11"/>
  <c r="AN48" i="11"/>
  <c r="AJ48" i="11"/>
  <c r="AF48" i="11"/>
  <c r="BB46" i="11"/>
  <c r="BB48" i="11" s="1"/>
  <c r="BA46" i="11"/>
  <c r="BA48" i="11" s="1"/>
  <c r="AZ46" i="11"/>
  <c r="AY46" i="11"/>
  <c r="AY48" i="11" s="1"/>
  <c r="AX46" i="11"/>
  <c r="AX48" i="11" s="1"/>
  <c r="AW46" i="11"/>
  <c r="AW48" i="11" s="1"/>
  <c r="AV46" i="11"/>
  <c r="AU46" i="11"/>
  <c r="AU48" i="11" s="1"/>
  <c r="AT46" i="11"/>
  <c r="AT48" i="11" s="1"/>
  <c r="AS46" i="11"/>
  <c r="AS48" i="11" s="1"/>
  <c r="AR46" i="11"/>
  <c r="AQ46" i="11"/>
  <c r="AQ48" i="11" s="1"/>
  <c r="AP46" i="11"/>
  <c r="AP48" i="11" s="1"/>
  <c r="AO46" i="11"/>
  <c r="AO48" i="11" s="1"/>
  <c r="AN46" i="11"/>
  <c r="AM46" i="11"/>
  <c r="AM48" i="11" s="1"/>
  <c r="AL46" i="11"/>
  <c r="AL48" i="11" s="1"/>
  <c r="AK46" i="11"/>
  <c r="AK48" i="11" s="1"/>
  <c r="AJ46" i="11"/>
  <c r="AI46" i="11"/>
  <c r="AI48" i="11" s="1"/>
  <c r="AH46" i="11"/>
  <c r="AH48" i="11" s="1"/>
  <c r="AG46" i="11"/>
  <c r="AG48" i="11" s="1"/>
  <c r="AF46" i="11"/>
  <c r="AE46" i="11"/>
  <c r="AE48" i="11" s="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F42" i="11" a="1"/>
  <c r="F42"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s="1"/>
  <c r="F36" i="11" s="1" a="1"/>
  <c r="F36" i="11" s="1"/>
  <c r="F37" i="11" s="1" a="1"/>
  <c r="F37" i="11" s="1"/>
  <c r="F38" i="11" s="1" a="1"/>
  <c r="F38" i="11" s="1"/>
  <c r="F39" i="11" s="1" a="1"/>
  <c r="F39" i="11" s="1"/>
  <c r="F40" i="11" s="1" a="1"/>
  <c r="F40" i="11" s="1"/>
  <c r="F41" i="11" s="1" a="1"/>
  <c r="F41" i="11" s="1"/>
  <c r="AZ34" i="11"/>
  <c r="AV34" i="11"/>
  <c r="AR34" i="11"/>
  <c r="AN34" i="11"/>
  <c r="AJ34" i="11"/>
  <c r="AF34" i="11"/>
  <c r="BB32" i="11"/>
  <c r="BB34" i="11" s="1"/>
  <c r="BA32" i="11"/>
  <c r="BA34" i="11" s="1"/>
  <c r="AZ32" i="11"/>
  <c r="AY32" i="11"/>
  <c r="AY34" i="11" s="1"/>
  <c r="AX32" i="11"/>
  <c r="AX34" i="11" s="1"/>
  <c r="AW32" i="11"/>
  <c r="AW34" i="11" s="1"/>
  <c r="AV32" i="11"/>
  <c r="AU32" i="11"/>
  <c r="AU34" i="11" s="1"/>
  <c r="AT32" i="11"/>
  <c r="AT34" i="11" s="1"/>
  <c r="AS32" i="11"/>
  <c r="AS34" i="11" s="1"/>
  <c r="AR32" i="11"/>
  <c r="AQ32" i="11"/>
  <c r="AQ34" i="11" s="1"/>
  <c r="AP32" i="11"/>
  <c r="AP34" i="11" s="1"/>
  <c r="AO32" i="11"/>
  <c r="AO34" i="11" s="1"/>
  <c r="AN32" i="11"/>
  <c r="AM32" i="11"/>
  <c r="AM34" i="11" s="1"/>
  <c r="AL32" i="11"/>
  <c r="AL34" i="11" s="1"/>
  <c r="AK32" i="11"/>
  <c r="AK34" i="11" s="1"/>
  <c r="AJ32" i="11"/>
  <c r="AI32" i="11"/>
  <c r="AI34" i="11" s="1"/>
  <c r="AH32" i="11"/>
  <c r="AH34" i="11" s="1"/>
  <c r="AG32" i="11"/>
  <c r="AG34" i="11" s="1"/>
  <c r="AF32" i="1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9" i="11" a="1"/>
  <c r="F29" i="11" s="1"/>
  <c r="F30" i="11" s="1" a="1"/>
  <c r="F30" i="11" s="1"/>
  <c r="F31" i="11" s="1" a="1"/>
  <c r="F31" i="11" s="1"/>
  <c r="F32" i="11" s="1" a="1"/>
  <c r="F32" i="11" s="1"/>
  <c r="F33" i="11" s="1" a="1"/>
  <c r="F33" i="11" s="1"/>
  <c r="F34" i="11" s="1" a="1"/>
  <c r="F34" i="11" s="1"/>
  <c r="F28" i="11" a="1"/>
  <c r="F28"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c r="BB10" i="11" a="1"/>
  <c r="BB10" i="11"/>
  <c r="BA10" i="11" a="1"/>
  <c r="BA10" i="11"/>
  <c r="AZ10" i="11" a="1"/>
  <c r="AZ10" i="11"/>
  <c r="AY10" i="11" a="1"/>
  <c r="AY10" i="11"/>
  <c r="AX10" i="11" a="1"/>
  <c r="AX10" i="11"/>
  <c r="AW10" i="11" a="1"/>
  <c r="AW10" i="11"/>
  <c r="AV10" i="11" a="1"/>
  <c r="AV10" i="11"/>
  <c r="AU10" i="11" a="1"/>
  <c r="AU10" i="11"/>
  <c r="AT10" i="11" a="1"/>
  <c r="AT10" i="11"/>
  <c r="AS10" i="11" a="1"/>
  <c r="AS10" i="11"/>
  <c r="AR10" i="11" a="1"/>
  <c r="AR10" i="11"/>
  <c r="AQ10" i="11" a="1"/>
  <c r="AQ10" i="11"/>
  <c r="AP10" i="11" a="1"/>
  <c r="AP10" i="11"/>
  <c r="AO10" i="11" a="1"/>
  <c r="AO10" i="11"/>
  <c r="AN10" i="11" a="1"/>
  <c r="AN10" i="11"/>
  <c r="AM10" i="11" a="1"/>
  <c r="AM10" i="11"/>
  <c r="AL10" i="11" a="1"/>
  <c r="AL10" i="11"/>
  <c r="AK10" i="11" a="1"/>
  <c r="AK10" i="11"/>
  <c r="AJ10" i="11" a="1"/>
  <c r="AJ10" i="11"/>
  <c r="AI10" i="11" a="1"/>
  <c r="AI10" i="11"/>
  <c r="AH10" i="11" a="1"/>
  <c r="AH10" i="11"/>
  <c r="AG10" i="11" a="1"/>
  <c r="AG10" i="11"/>
  <c r="AF10" i="11" a="1"/>
  <c r="AF10" i="11"/>
  <c r="AE10" i="11" a="1"/>
  <c r="AE10" i="11"/>
  <c r="BB9" i="11"/>
  <c r="BA9" i="11"/>
  <c r="AZ9" i="11"/>
  <c r="AY9" i="11"/>
  <c r="AX9" i="11"/>
  <c r="AW9" i="11"/>
  <c r="AV9" i="11"/>
  <c r="AU9" i="11"/>
  <c r="AT9" i="11"/>
  <c r="AS9" i="11" a="1"/>
  <c r="AS9" i="11" s="1"/>
  <c r="AR9" i="11"/>
  <c r="AQ9" i="11"/>
  <c r="AP9" i="11"/>
  <c r="AO9" i="11"/>
  <c r="AN9" i="11"/>
  <c r="AM9" i="11"/>
  <c r="AL9" i="11"/>
  <c r="AK9" i="11"/>
  <c r="AJ9" i="11"/>
  <c r="AI9" i="11" a="1"/>
  <c r="AI9" i="11"/>
  <c r="AH9" i="11"/>
  <c r="AG9" i="11"/>
  <c r="AF9" i="11"/>
  <c r="AE9" i="11"/>
  <c r="BB7" i="11" a="1"/>
  <c r="BB7" i="11"/>
  <c r="BA7" i="11" a="1"/>
  <c r="BA7" i="11"/>
  <c r="AZ7" i="11" a="1"/>
  <c r="AZ7" i="11"/>
  <c r="AY7" i="11" a="1"/>
  <c r="AY7" i="11"/>
  <c r="AX7" i="11" a="1"/>
  <c r="AX7" i="11"/>
  <c r="AW7" i="11" a="1"/>
  <c r="AW7" i="11"/>
  <c r="AV7" i="11" a="1"/>
  <c r="AV7" i="11"/>
  <c r="AU7" i="11" a="1"/>
  <c r="AU7" i="11"/>
  <c r="AT7" i="11" a="1"/>
  <c r="AT7" i="11"/>
  <c r="AS7" i="11" a="1"/>
  <c r="AS7" i="11"/>
  <c r="AR7" i="11" a="1"/>
  <c r="AR7" i="11"/>
  <c r="AQ7" i="11" a="1"/>
  <c r="AQ7" i="11"/>
  <c r="AQ8" i="11" s="1"/>
  <c r="AP7" i="11" a="1"/>
  <c r="AP7" i="11"/>
  <c r="AO7" i="11" a="1"/>
  <c r="AO7" i="11"/>
  <c r="AO8" i="11" s="1"/>
  <c r="AN7" i="11" a="1"/>
  <c r="AN7" i="11"/>
  <c r="AM7" i="11" a="1"/>
  <c r="AM7" i="11"/>
  <c r="AM8" i="11" s="1"/>
  <c r="AL7" i="11" a="1"/>
  <c r="AL7" i="11"/>
  <c r="AK7" i="11" a="1"/>
  <c r="AK7" i="11"/>
  <c r="AK8" i="11" s="1"/>
  <c r="AJ7" i="11" a="1"/>
  <c r="AJ7" i="11"/>
  <c r="AI7" i="11" a="1"/>
  <c r="AI7" i="11"/>
  <c r="AH7" i="11" a="1"/>
  <c r="AH7" i="11"/>
  <c r="AG7" i="11" a="1"/>
  <c r="AG7" i="11"/>
  <c r="AF7" i="11" a="1"/>
  <c r="AF7" i="11"/>
  <c r="AE7" i="11" a="1"/>
  <c r="AE7" i="11"/>
  <c r="BB6" i="11"/>
  <c r="BB8" i="11" s="1"/>
  <c r="BA6" i="11"/>
  <c r="BA8" i="11" s="1"/>
  <c r="AZ6" i="11"/>
  <c r="AZ8" i="11" s="1"/>
  <c r="AY6" i="11"/>
  <c r="AY8" i="11" s="1"/>
  <c r="AX6" i="11"/>
  <c r="AX8" i="11" s="1"/>
  <c r="AW6" i="11"/>
  <c r="AW8" i="11" s="1"/>
  <c r="AV6" i="11"/>
  <c r="AV8" i="11" s="1"/>
  <c r="AU6" i="11"/>
  <c r="AU8" i="11" s="1"/>
  <c r="AT6" i="11"/>
  <c r="AT8" i="11" s="1"/>
  <c r="AS6" i="11" a="1"/>
  <c r="AS6" i="11" s="1"/>
  <c r="AS8" i="11" s="1"/>
  <c r="AR6" i="11"/>
  <c r="AQ6" i="11"/>
  <c r="AP6" i="11"/>
  <c r="AO6" i="11"/>
  <c r="AN6" i="11"/>
  <c r="AM6" i="11"/>
  <c r="AL6" i="11"/>
  <c r="AK6" i="11"/>
  <c r="AJ6" i="11"/>
  <c r="AI6" i="11" a="1"/>
  <c r="AI6" i="11"/>
  <c r="AI8" i="11" s="1"/>
  <c r="AH6" i="11"/>
  <c r="AH8" i="11" s="1"/>
  <c r="AG6" i="11"/>
  <c r="AG8" i="11" s="1"/>
  <c r="AF6" i="11"/>
  <c r="AF8" i="11" s="1"/>
  <c r="AE6" i="11"/>
  <c r="AE8" i="11" s="1"/>
  <c r="T236" i="10"/>
  <c r="AB230" i="10"/>
  <c r="AB229" i="10"/>
  <c r="AB228" i="10"/>
  <c r="AB227" i="10"/>
  <c r="BB226" i="10"/>
  <c r="BA226" i="10"/>
  <c r="AZ226" i="10"/>
  <c r="AY226" i="10"/>
  <c r="AX226" i="10"/>
  <c r="AW226" i="10"/>
  <c r="AV226" i="10"/>
  <c r="AU226" i="10"/>
  <c r="AT226" i="10"/>
  <c r="AS226" i="10"/>
  <c r="AR226" i="10"/>
  <c r="AQ226" i="10"/>
  <c r="AP226" i="10"/>
  <c r="AO226" i="10"/>
  <c r="AN226" i="10"/>
  <c r="AM226" i="10"/>
  <c r="AL226" i="10"/>
  <c r="AK226" i="10"/>
  <c r="AJ226" i="10"/>
  <c r="AI226" i="10"/>
  <c r="AH226" i="10"/>
  <c r="AG226" i="10"/>
  <c r="AF226" i="10"/>
  <c r="AE226" i="10"/>
  <c r="BB221" i="10"/>
  <c r="BA221" i="10"/>
  <c r="AZ221" i="10"/>
  <c r="AY221" i="10"/>
  <c r="AX221" i="10"/>
  <c r="AW221" i="10"/>
  <c r="AV221" i="10"/>
  <c r="AU221" i="10"/>
  <c r="AT221" i="10"/>
  <c r="AS221" i="10"/>
  <c r="AR221" i="10"/>
  <c r="AQ221" i="10"/>
  <c r="AP221" i="10"/>
  <c r="AO221" i="10"/>
  <c r="AN221" i="10"/>
  <c r="AM221" i="10"/>
  <c r="AL221" i="10"/>
  <c r="AK221" i="10"/>
  <c r="AJ221" i="10"/>
  <c r="AI221" i="10"/>
  <c r="AH221" i="10"/>
  <c r="AG221" i="10"/>
  <c r="AF221" i="10"/>
  <c r="AE221" i="10"/>
  <c r="AB219" i="10"/>
  <c r="BB214" i="10"/>
  <c r="BA214" i="10"/>
  <c r="AZ214" i="10"/>
  <c r="AY214" i="10"/>
  <c r="AX214" i="10"/>
  <c r="AW214" i="10"/>
  <c r="AV214" i="10"/>
  <c r="AU214" i="10"/>
  <c r="AT214" i="10"/>
  <c r="AS214" i="10"/>
  <c r="AR214" i="10"/>
  <c r="AQ214" i="10"/>
  <c r="AP214" i="10"/>
  <c r="AO214" i="10"/>
  <c r="AN214" i="10"/>
  <c r="AM214" i="10"/>
  <c r="AL214" i="10"/>
  <c r="AK214" i="10"/>
  <c r="AJ214" i="10"/>
  <c r="AI214" i="10"/>
  <c r="AH214" i="10"/>
  <c r="AG214" i="10"/>
  <c r="AF214" i="10"/>
  <c r="AE214" i="10"/>
  <c r="AB213" i="10"/>
  <c r="AB212" i="10"/>
  <c r="AB214" i="10" s="1"/>
  <c r="AB217" i="10" s="1"/>
  <c r="AB210" i="10"/>
  <c r="AB209" i="10"/>
  <c r="AB208" i="10"/>
  <c r="AB207" i="10"/>
  <c r="BB206" i="10"/>
  <c r="BA206" i="10"/>
  <c r="AZ206" i="10"/>
  <c r="AY206" i="10"/>
  <c r="AX206" i="10"/>
  <c r="AW206" i="10"/>
  <c r="AV206" i="10"/>
  <c r="AU206" i="10"/>
  <c r="AT206" i="10"/>
  <c r="AS206" i="10"/>
  <c r="AR206" i="10"/>
  <c r="AQ206" i="10"/>
  <c r="AP206" i="10"/>
  <c r="AO206" i="10"/>
  <c r="AN206" i="10"/>
  <c r="AM206" i="10"/>
  <c r="AL206" i="10"/>
  <c r="AK206" i="10"/>
  <c r="AJ206" i="10"/>
  <c r="AI206" i="10"/>
  <c r="AH206" i="10"/>
  <c r="AG206" i="10"/>
  <c r="AF206" i="10"/>
  <c r="AE206" i="10"/>
  <c r="BB205" i="10"/>
  <c r="BB219" i="10" s="1"/>
  <c r="BA205" i="10"/>
  <c r="BA219" i="10" s="1"/>
  <c r="AZ205" i="10"/>
  <c r="AZ210" i="10" s="1"/>
  <c r="AY205" i="10"/>
  <c r="AY219" i="10" s="1"/>
  <c r="AX205" i="10"/>
  <c r="AX219" i="10" s="1"/>
  <c r="AW205" i="10"/>
  <c r="AW219" i="10" s="1"/>
  <c r="AV205" i="10"/>
  <c r="AV210" i="10" s="1"/>
  <c r="AU205" i="10"/>
  <c r="AU219" i="10" s="1"/>
  <c r="AT205" i="10"/>
  <c r="AT219" i="10" s="1"/>
  <c r="AS205" i="10"/>
  <c r="AS219" i="10" s="1"/>
  <c r="AR205" i="10"/>
  <c r="AR210" i="10" s="1"/>
  <c r="AQ205" i="10"/>
  <c r="AQ219" i="10" s="1"/>
  <c r="AP205" i="10"/>
  <c r="AP219" i="10" s="1"/>
  <c r="AO205" i="10"/>
  <c r="AO219" i="10" s="1"/>
  <c r="AN205" i="10"/>
  <c r="AN210" i="10" s="1"/>
  <c r="AM205" i="10"/>
  <c r="AM219" i="10" s="1"/>
  <c r="AL205" i="10"/>
  <c r="AL219" i="10" s="1"/>
  <c r="AK205" i="10"/>
  <c r="AK219" i="10" s="1"/>
  <c r="AJ205" i="10"/>
  <c r="AJ210" i="10" s="1"/>
  <c r="AI205" i="10"/>
  <c r="AI219" i="10" s="1"/>
  <c r="AH205" i="10"/>
  <c r="AH219" i="10" s="1"/>
  <c r="AG205" i="10"/>
  <c r="AG219" i="10" s="1"/>
  <c r="AF205" i="10"/>
  <c r="AF210" i="10" s="1"/>
  <c r="AE205" i="10"/>
  <c r="AE219" i="10" s="1"/>
  <c r="AB205" i="10"/>
  <c r="AB204" i="10"/>
  <c r="AB202" i="10"/>
  <c r="BB196" i="10"/>
  <c r="BA196" i="10"/>
  <c r="AZ196" i="10"/>
  <c r="AY196" i="10"/>
  <c r="AX196" i="10"/>
  <c r="AW196" i="10"/>
  <c r="AV196" i="10"/>
  <c r="AU196" i="10"/>
  <c r="AT196" i="10"/>
  <c r="AS196" i="10"/>
  <c r="AR196" i="10"/>
  <c r="AQ196" i="10"/>
  <c r="AP196" i="10"/>
  <c r="AO196" i="10"/>
  <c r="AN196" i="10"/>
  <c r="AM196" i="10"/>
  <c r="AL196" i="10"/>
  <c r="AK196" i="10"/>
  <c r="AJ196" i="10"/>
  <c r="AI196" i="10"/>
  <c r="AH196" i="10"/>
  <c r="AG196" i="10"/>
  <c r="AF196" i="10"/>
  <c r="AE196" i="10"/>
  <c r="AB194" i="10"/>
  <c r="AB191" i="10"/>
  <c r="AB190" i="10"/>
  <c r="BB189" i="10"/>
  <c r="BA189" i="10"/>
  <c r="AZ189" i="10"/>
  <c r="AY189" i="10"/>
  <c r="AX189" i="10"/>
  <c r="AW189" i="10"/>
  <c r="AV189" i="10"/>
  <c r="AU189" i="10"/>
  <c r="AT189" i="10"/>
  <c r="AS189" i="10"/>
  <c r="AR189" i="10"/>
  <c r="AQ189" i="10"/>
  <c r="AP189" i="10"/>
  <c r="AO189" i="10"/>
  <c r="AN189" i="10"/>
  <c r="AM189" i="10"/>
  <c r="AL189" i="10"/>
  <c r="AK189" i="10"/>
  <c r="AJ189" i="10"/>
  <c r="AI189" i="10"/>
  <c r="AH189" i="10"/>
  <c r="AG189" i="10"/>
  <c r="AF189" i="10"/>
  <c r="AE189" i="10"/>
  <c r="AB188" i="10"/>
  <c r="BB187" i="10"/>
  <c r="BB185" i="10" s="1"/>
  <c r="BB181" i="10" s="1"/>
  <c r="BB193" i="10" s="1"/>
  <c r="BB194" i="10" s="1"/>
  <c r="BB201" i="10" s="1"/>
  <c r="BB204" i="10" s="1"/>
  <c r="BA187" i="10"/>
  <c r="AZ187" i="10"/>
  <c r="AY187" i="10"/>
  <c r="AX187" i="10"/>
  <c r="AX185" i="10" s="1"/>
  <c r="AX181" i="10" s="1"/>
  <c r="AX193" i="10" s="1"/>
  <c r="AX194" i="10" s="1"/>
  <c r="AX201" i="10" s="1"/>
  <c r="AX204" i="10" s="1"/>
  <c r="AW187" i="10"/>
  <c r="AV187" i="10"/>
  <c r="AU187" i="10"/>
  <c r="AT187" i="10"/>
  <c r="AT185" i="10" s="1"/>
  <c r="AT181" i="10" s="1"/>
  <c r="AT193" i="10" s="1"/>
  <c r="AT194" i="10" s="1"/>
  <c r="AT201" i="10" s="1"/>
  <c r="AT204" i="10" s="1"/>
  <c r="AS187" i="10"/>
  <c r="AR187" i="10"/>
  <c r="AQ187" i="10"/>
  <c r="AP187" i="10"/>
  <c r="AP185" i="10" s="1"/>
  <c r="AP181" i="10" s="1"/>
  <c r="AP193" i="10" s="1"/>
  <c r="AP194" i="10" s="1"/>
  <c r="AP201" i="10" s="1"/>
  <c r="AP204" i="10" s="1"/>
  <c r="AO187" i="10"/>
  <c r="AN187" i="10"/>
  <c r="AM187" i="10"/>
  <c r="AL187" i="10"/>
  <c r="AL185" i="10" s="1"/>
  <c r="AL181" i="10" s="1"/>
  <c r="AL193" i="10" s="1"/>
  <c r="AL194" i="10" s="1"/>
  <c r="AL201" i="10" s="1"/>
  <c r="AL204" i="10" s="1"/>
  <c r="AK187" i="10"/>
  <c r="AJ187" i="10"/>
  <c r="AI187" i="10"/>
  <c r="AH187" i="10"/>
  <c r="AH185" i="10" s="1"/>
  <c r="AH181" i="10" s="1"/>
  <c r="AH193" i="10" s="1"/>
  <c r="AH194" i="10" s="1"/>
  <c r="AH201" i="10" s="1"/>
  <c r="AH204" i="10" s="1"/>
  <c r="AG187" i="10"/>
  <c r="AF187" i="10"/>
  <c r="AE187" i="10"/>
  <c r="AB187" i="10"/>
  <c r="BB186" i="10"/>
  <c r="BA186" i="10"/>
  <c r="BA185" i="10" s="1"/>
  <c r="AZ186" i="10"/>
  <c r="AY186" i="10"/>
  <c r="AY185" i="10" s="1"/>
  <c r="AX186" i="10"/>
  <c r="AW186" i="10"/>
  <c r="AW185" i="10" s="1"/>
  <c r="AV186" i="10"/>
  <c r="AU186" i="10"/>
  <c r="AU185" i="10" s="1"/>
  <c r="AT186" i="10"/>
  <c r="AS186" i="10"/>
  <c r="AS185" i="10" s="1"/>
  <c r="AR186" i="10"/>
  <c r="AQ186" i="10"/>
  <c r="AQ185" i="10" s="1"/>
  <c r="AP186" i="10"/>
  <c r="AO186" i="10"/>
  <c r="AO185" i="10" s="1"/>
  <c r="AN186" i="10"/>
  <c r="AM186" i="10"/>
  <c r="AM185" i="10" s="1"/>
  <c r="AL186" i="10"/>
  <c r="AK186" i="10"/>
  <c r="AK185" i="10" s="1"/>
  <c r="AJ186" i="10"/>
  <c r="AI186" i="10"/>
  <c r="AI185" i="10" s="1"/>
  <c r="AH186" i="10"/>
  <c r="AG186" i="10"/>
  <c r="AG185" i="10" s="1"/>
  <c r="AF186" i="10"/>
  <c r="AE186" i="10"/>
  <c r="AE185" i="10" s="1"/>
  <c r="AZ185" i="10"/>
  <c r="AV185" i="10"/>
  <c r="AR185" i="10"/>
  <c r="AN185" i="10"/>
  <c r="AJ185" i="10"/>
  <c r="AF185" i="10"/>
  <c r="AB185" i="10"/>
  <c r="AB186" i="10" s="1"/>
  <c r="BB184" i="10"/>
  <c r="BA184" i="10"/>
  <c r="AZ184" i="10"/>
  <c r="AY184" i="10"/>
  <c r="AX184" i="10"/>
  <c r="AW184" i="10"/>
  <c r="AV184" i="10"/>
  <c r="AU184" i="10"/>
  <c r="AT184" i="10"/>
  <c r="AS184" i="10"/>
  <c r="AR184" i="10"/>
  <c r="AQ184" i="10"/>
  <c r="AP184" i="10"/>
  <c r="AO184" i="10"/>
  <c r="AN184" i="10"/>
  <c r="AM184" i="10"/>
  <c r="AL184" i="10"/>
  <c r="AK184" i="10"/>
  <c r="AJ184" i="10"/>
  <c r="AI184" i="10"/>
  <c r="AH184" i="10"/>
  <c r="AG184" i="10"/>
  <c r="AF184" i="10"/>
  <c r="AE184" i="10"/>
  <c r="BB183" i="10"/>
  <c r="BB182" i="10" s="1"/>
  <c r="BA183" i="10"/>
  <c r="AZ183" i="10"/>
  <c r="AZ182" i="10" s="1"/>
  <c r="AZ181" i="10" s="1"/>
  <c r="AZ193" i="10" s="1"/>
  <c r="AZ194" i="10" s="1"/>
  <c r="AZ201" i="10" s="1"/>
  <c r="AZ204" i="10" s="1"/>
  <c r="AY183" i="10"/>
  <c r="AX183" i="10"/>
  <c r="AX182" i="10" s="1"/>
  <c r="AW183" i="10"/>
  <c r="AV183" i="10"/>
  <c r="AV182" i="10" s="1"/>
  <c r="AV181" i="10" s="1"/>
  <c r="AV193" i="10" s="1"/>
  <c r="AV194" i="10" s="1"/>
  <c r="AV201" i="10" s="1"/>
  <c r="AV204" i="10" s="1"/>
  <c r="AU183" i="10"/>
  <c r="AT183" i="10"/>
  <c r="AT182" i="10" s="1"/>
  <c r="AS183" i="10"/>
  <c r="AR183" i="10"/>
  <c r="AR182" i="10" s="1"/>
  <c r="AR181" i="10" s="1"/>
  <c r="AR193" i="10" s="1"/>
  <c r="AR194" i="10" s="1"/>
  <c r="AR201" i="10" s="1"/>
  <c r="AR204" i="10" s="1"/>
  <c r="AQ183" i="10"/>
  <c r="AP183" i="10"/>
  <c r="AP182" i="10" s="1"/>
  <c r="AO183" i="10"/>
  <c r="AN183" i="10"/>
  <c r="AN182" i="10" s="1"/>
  <c r="AN181" i="10" s="1"/>
  <c r="AN193" i="10" s="1"/>
  <c r="AN194" i="10" s="1"/>
  <c r="AN201" i="10" s="1"/>
  <c r="AN204" i="10" s="1"/>
  <c r="AM183" i="10"/>
  <c r="AL183" i="10"/>
  <c r="AL182" i="10" s="1"/>
  <c r="AK183" i="10"/>
  <c r="AJ183" i="10"/>
  <c r="AJ182" i="10" s="1"/>
  <c r="AJ181" i="10" s="1"/>
  <c r="AJ193" i="10" s="1"/>
  <c r="AJ194" i="10" s="1"/>
  <c r="AJ201" i="10" s="1"/>
  <c r="AJ204" i="10" s="1"/>
  <c r="AI183" i="10"/>
  <c r="AH183" i="10"/>
  <c r="AH182" i="10" s="1"/>
  <c r="AG183" i="10"/>
  <c r="AF183" i="10"/>
  <c r="AF182" i="10" s="1"/>
  <c r="AF181" i="10" s="1"/>
  <c r="AF193" i="10" s="1"/>
  <c r="AF194" i="10" s="1"/>
  <c r="AF201" i="10" s="1"/>
  <c r="AF204" i="10" s="1"/>
  <c r="AE183" i="10"/>
  <c r="AB183" i="10"/>
  <c r="BA182" i="10"/>
  <c r="BA181" i="10" s="1"/>
  <c r="BA193" i="10" s="1"/>
  <c r="BA194" i="10" s="1"/>
  <c r="BA201" i="10" s="1"/>
  <c r="BA204" i="10" s="1"/>
  <c r="AY182" i="10"/>
  <c r="AY181" i="10" s="1"/>
  <c r="AY193" i="10" s="1"/>
  <c r="AY194" i="10" s="1"/>
  <c r="AY201" i="10" s="1"/>
  <c r="AY204" i="10" s="1"/>
  <c r="AW182" i="10"/>
  <c r="AW181" i="10" s="1"/>
  <c r="AW193" i="10" s="1"/>
  <c r="AW194" i="10" s="1"/>
  <c r="AW201" i="10" s="1"/>
  <c r="AW204" i="10" s="1"/>
  <c r="AU182" i="10"/>
  <c r="AU181" i="10" s="1"/>
  <c r="AU193" i="10" s="1"/>
  <c r="AU194" i="10" s="1"/>
  <c r="AU201" i="10" s="1"/>
  <c r="AU204" i="10" s="1"/>
  <c r="AS182" i="10"/>
  <c r="AS181" i="10" s="1"/>
  <c r="AS193" i="10" s="1"/>
  <c r="AS194" i="10" s="1"/>
  <c r="AS201" i="10" s="1"/>
  <c r="AS204" i="10" s="1"/>
  <c r="AQ182" i="10"/>
  <c r="AQ181" i="10" s="1"/>
  <c r="AQ193" i="10" s="1"/>
  <c r="AQ194" i="10" s="1"/>
  <c r="AQ201" i="10" s="1"/>
  <c r="AQ204" i="10" s="1"/>
  <c r="AO182" i="10"/>
  <c r="AO181" i="10" s="1"/>
  <c r="AO193" i="10" s="1"/>
  <c r="AO194" i="10" s="1"/>
  <c r="AO201" i="10" s="1"/>
  <c r="AO204" i="10" s="1"/>
  <c r="AM182" i="10"/>
  <c r="AM181" i="10" s="1"/>
  <c r="AM193" i="10" s="1"/>
  <c r="AM194" i="10" s="1"/>
  <c r="AM201" i="10" s="1"/>
  <c r="AM204" i="10" s="1"/>
  <c r="AK182" i="10"/>
  <c r="AI182" i="10"/>
  <c r="AI181" i="10" s="1"/>
  <c r="AI193" i="10" s="1"/>
  <c r="AI194" i="10" s="1"/>
  <c r="AI201" i="10" s="1"/>
  <c r="AI204" i="10" s="1"/>
  <c r="AG182" i="10"/>
  <c r="AE182" i="10"/>
  <c r="AE181" i="10" s="1"/>
  <c r="AE193" i="10" s="1"/>
  <c r="AE194" i="10" s="1"/>
  <c r="AE201" i="10" s="1"/>
  <c r="AE204" i="10" s="1"/>
  <c r="AB182" i="10"/>
  <c r="AB184" i="10" s="1"/>
  <c r="AB180" i="10"/>
  <c r="BB177" i="10"/>
  <c r="BA177" i="10"/>
  <c r="AZ177" i="10"/>
  <c r="AY177" i="10"/>
  <c r="AX177" i="10"/>
  <c r="AW177" i="10"/>
  <c r="AV177" i="10"/>
  <c r="AU177" i="10"/>
  <c r="AT177" i="10"/>
  <c r="AS177" i="10"/>
  <c r="AR177" i="10"/>
  <c r="AQ177" i="10"/>
  <c r="AP177" i="10"/>
  <c r="AO177" i="10"/>
  <c r="AN177" i="10"/>
  <c r="AM177" i="10"/>
  <c r="AL177" i="10"/>
  <c r="AK177" i="10"/>
  <c r="AJ177" i="10"/>
  <c r="AI177" i="10"/>
  <c r="AH177" i="10"/>
  <c r="AG177" i="10"/>
  <c r="AF177" i="10"/>
  <c r="AE177" i="10"/>
  <c r="AB176" i="10"/>
  <c r="BB174" i="10"/>
  <c r="BB173" i="10" s="1"/>
  <c r="BA174" i="10"/>
  <c r="AZ174" i="10"/>
  <c r="AZ173" i="10" s="1"/>
  <c r="AY174" i="10"/>
  <c r="AX174" i="10"/>
  <c r="AX173" i="10" s="1"/>
  <c r="AW174" i="10"/>
  <c r="AV174" i="10"/>
  <c r="AV173" i="10" s="1"/>
  <c r="AU174" i="10"/>
  <c r="AT174" i="10"/>
  <c r="AT173" i="10" s="1"/>
  <c r="AS174" i="10"/>
  <c r="AR174" i="10"/>
  <c r="AR173" i="10" s="1"/>
  <c r="AQ174" i="10"/>
  <c r="AP174" i="10"/>
  <c r="AP173" i="10" s="1"/>
  <c r="AO174" i="10"/>
  <c r="AN174" i="10"/>
  <c r="AN173" i="10" s="1"/>
  <c r="AM174" i="10"/>
  <c r="AL174" i="10"/>
  <c r="AL173" i="10" s="1"/>
  <c r="AK174" i="10"/>
  <c r="AJ174" i="10"/>
  <c r="AJ173" i="10" s="1"/>
  <c r="AI174" i="10"/>
  <c r="AH174" i="10"/>
  <c r="AH173" i="10" s="1"/>
  <c r="AG174" i="10"/>
  <c r="AF174" i="10"/>
  <c r="AF173" i="10" s="1"/>
  <c r="AE174" i="10"/>
  <c r="AB174" i="10"/>
  <c r="BA173" i="10"/>
  <c r="AY173" i="10"/>
  <c r="AW173" i="10"/>
  <c r="AU173" i="10"/>
  <c r="AS173" i="10"/>
  <c r="AQ173" i="10"/>
  <c r="AO173" i="10"/>
  <c r="AM173" i="10"/>
  <c r="AK173" i="10"/>
  <c r="AI173" i="10"/>
  <c r="AG173" i="10"/>
  <c r="AE173" i="10"/>
  <c r="AB172" i="10"/>
  <c r="BB169" i="10"/>
  <c r="BA169" i="10"/>
  <c r="AZ169" i="10"/>
  <c r="AY169" i="10"/>
  <c r="AX169" i="10"/>
  <c r="AW169" i="10"/>
  <c r="AV169" i="10"/>
  <c r="AU169" i="10"/>
  <c r="AT169" i="10"/>
  <c r="AS169" i="10"/>
  <c r="AR169" i="10"/>
  <c r="AQ169" i="10"/>
  <c r="AP169" i="10"/>
  <c r="AO169" i="10"/>
  <c r="AN169" i="10"/>
  <c r="AM169" i="10"/>
  <c r="AL169" i="10"/>
  <c r="AK169" i="10"/>
  <c r="AJ169" i="10"/>
  <c r="AI169" i="10"/>
  <c r="AH169" i="10"/>
  <c r="AG169" i="10"/>
  <c r="AF169" i="10"/>
  <c r="AE169" i="10"/>
  <c r="AB169" i="10"/>
  <c r="AB170" i="10" s="1"/>
  <c r="AB167" i="10"/>
  <c r="BB166" i="10"/>
  <c r="BA166" i="10"/>
  <c r="BA165" i="10" s="1"/>
  <c r="AZ166" i="10"/>
  <c r="AY166" i="10"/>
  <c r="AY165" i="10" s="1"/>
  <c r="AX166" i="10"/>
  <c r="AW166" i="10"/>
  <c r="AW165" i="10" s="1"/>
  <c r="AV166" i="10"/>
  <c r="AU166" i="10"/>
  <c r="AU165" i="10" s="1"/>
  <c r="AT166" i="10"/>
  <c r="AS166" i="10"/>
  <c r="AS165" i="10" s="1"/>
  <c r="AR166" i="10"/>
  <c r="AQ166" i="10"/>
  <c r="AQ165" i="10" s="1"/>
  <c r="AP166" i="10"/>
  <c r="AO166" i="10"/>
  <c r="AO165" i="10" s="1"/>
  <c r="AN166" i="10"/>
  <c r="AM166" i="10"/>
  <c r="AM165" i="10" s="1"/>
  <c r="AL166" i="10"/>
  <c r="AK166" i="10"/>
  <c r="AK165" i="10" s="1"/>
  <c r="AJ166" i="10"/>
  <c r="AI166" i="10"/>
  <c r="AI165" i="10" s="1"/>
  <c r="AH166" i="10"/>
  <c r="AG166" i="10"/>
  <c r="AG165" i="10" s="1"/>
  <c r="AF166" i="10"/>
  <c r="AE166" i="10"/>
  <c r="AE165" i="10" s="1"/>
  <c r="AB166" i="10"/>
  <c r="AB168" i="10" s="1"/>
  <c r="BB165" i="10"/>
  <c r="AZ165" i="10"/>
  <c r="AX165" i="10"/>
  <c r="AV165" i="10"/>
  <c r="AT165" i="10"/>
  <c r="AR165" i="10"/>
  <c r="AP165" i="10"/>
  <c r="AN165" i="10"/>
  <c r="AL165" i="10"/>
  <c r="AJ165" i="10"/>
  <c r="AH165" i="10"/>
  <c r="AF165" i="10"/>
  <c r="F164" i="10" a="1"/>
  <c r="F164" i="10"/>
  <c r="F165" i="10" s="1" a="1"/>
  <c r="F165" i="10" s="1"/>
  <c r="F166" i="10" s="1" a="1"/>
  <c r="F166" i="10" s="1"/>
  <c r="F167" i="10" s="1" a="1"/>
  <c r="F167" i="10" s="1"/>
  <c r="F168" i="10" s="1" a="1"/>
  <c r="F168" i="10" s="1"/>
  <c r="F169" i="10" s="1" a="1"/>
  <c r="F169" i="10" s="1"/>
  <c r="F170" i="10" s="1" a="1"/>
  <c r="F170" i="10" s="1"/>
  <c r="F171" i="10" s="1" a="1"/>
  <c r="F171" i="10" s="1"/>
  <c r="F172" i="10" s="1" a="1"/>
  <c r="F172" i="10" s="1"/>
  <c r="F173" i="10" s="1" a="1"/>
  <c r="F173" i="10" s="1"/>
  <c r="F174" i="10" s="1" a="1"/>
  <c r="F174" i="10" s="1"/>
  <c r="F175" i="10" s="1" a="1"/>
  <c r="F175" i="10" s="1"/>
  <c r="F176" i="10" s="1" a="1"/>
  <c r="F176" i="10" s="1"/>
  <c r="F177" i="10" s="1" a="1"/>
  <c r="F177" i="10" s="1"/>
  <c r="F178" i="10" s="1" a="1"/>
  <c r="F178" i="10" s="1"/>
  <c r="F179" i="10" s="1" a="1"/>
  <c r="F179" i="10" s="1"/>
  <c r="F180" i="10" s="1" a="1"/>
  <c r="F180" i="10" s="1"/>
  <c r="F181" i="10" s="1" a="1"/>
  <c r="F181" i="10" s="1"/>
  <c r="F182" i="10" s="1" a="1"/>
  <c r="F182" i="10" s="1"/>
  <c r="F183" i="10" s="1" a="1"/>
  <c r="F183" i="10" s="1"/>
  <c r="F184" i="10" s="1" a="1"/>
  <c r="F184" i="10" s="1"/>
  <c r="F185" i="10" s="1" a="1"/>
  <c r="F185" i="10" s="1"/>
  <c r="F186" i="10" s="1" a="1"/>
  <c r="F186" i="10" s="1"/>
  <c r="F187" i="10" s="1" a="1"/>
  <c r="F187" i="10" s="1"/>
  <c r="F188" i="10" s="1" a="1"/>
  <c r="F188" i="10" s="1"/>
  <c r="F189" i="10" s="1" a="1"/>
  <c r="F189" i="10" s="1"/>
  <c r="F190" i="10" s="1" a="1"/>
  <c r="F190" i="10" s="1"/>
  <c r="F191" i="10" s="1" a="1"/>
  <c r="F191" i="10" s="1"/>
  <c r="F192" i="10" s="1" a="1"/>
  <c r="F192" i="10" s="1"/>
  <c r="F193" i="10" s="1" a="1"/>
  <c r="F193" i="10" s="1"/>
  <c r="F194" i="10" s="1" a="1"/>
  <c r="F194" i="10" s="1"/>
  <c r="F195" i="10" s="1" a="1"/>
  <c r="F195" i="10" s="1"/>
  <c r="F196" i="10" s="1" a="1"/>
  <c r="F196" i="10" s="1"/>
  <c r="F197" i="10" s="1" a="1"/>
  <c r="F197" i="10" s="1"/>
  <c r="F198" i="10" s="1" a="1"/>
  <c r="F198" i="10" s="1"/>
  <c r="F199" i="10" s="1" a="1"/>
  <c r="F199" i="10" s="1"/>
  <c r="F200" i="10" s="1" a="1"/>
  <c r="F200" i="10" s="1"/>
  <c r="F201" i="10" s="1" a="1"/>
  <c r="F201" i="10" s="1"/>
  <c r="F202" i="10" s="1" a="1"/>
  <c r="F202" i="10" s="1"/>
  <c r="F203" i="10" s="1" a="1"/>
  <c r="F203" i="10" s="1"/>
  <c r="F204" i="10" s="1" a="1"/>
  <c r="F204" i="10" s="1"/>
  <c r="F205" i="10" s="1" a="1"/>
  <c r="F205" i="10" s="1"/>
  <c r="F206" i="10" s="1" a="1"/>
  <c r="F206" i="10" s="1"/>
  <c r="F207" i="10" s="1" a="1"/>
  <c r="F207" i="10" s="1"/>
  <c r="F208" i="10" s="1" a="1"/>
  <c r="F208" i="10" s="1"/>
  <c r="F209" i="10" s="1" a="1"/>
  <c r="F209" i="10" s="1"/>
  <c r="F210" i="10" s="1" a="1"/>
  <c r="F210" i="10" s="1"/>
  <c r="F211" i="10" s="1" a="1"/>
  <c r="F211" i="10" s="1"/>
  <c r="F212" i="10" s="1" a="1"/>
  <c r="F212" i="10" s="1"/>
  <c r="F213" i="10" s="1" a="1"/>
  <c r="F213" i="10" s="1"/>
  <c r="F214" i="10" s="1" a="1"/>
  <c r="F214" i="10" s="1"/>
  <c r="F215" i="10" s="1" a="1"/>
  <c r="F215" i="10" s="1"/>
  <c r="F216" i="10" s="1" a="1"/>
  <c r="F216" i="10" s="1"/>
  <c r="F217" i="10" s="1" a="1"/>
  <c r="F217" i="10" s="1"/>
  <c r="F218" i="10" s="1" a="1"/>
  <c r="F218" i="10" s="1"/>
  <c r="F219" i="10" s="1" a="1"/>
  <c r="F219" i="10" s="1"/>
  <c r="F220" i="10" s="1" a="1"/>
  <c r="F220" i="10" s="1"/>
  <c r="F221" i="10" s="1" a="1"/>
  <c r="F221" i="10" s="1"/>
  <c r="F222" i="10" s="1" a="1"/>
  <c r="F222" i="10" s="1"/>
  <c r="F223" i="10" s="1" a="1"/>
  <c r="F223" i="10" s="1"/>
  <c r="F224" i="10" s="1" a="1"/>
  <c r="F224" i="10" s="1"/>
  <c r="F225" i="10" s="1" a="1"/>
  <c r="F225" i="10" s="1"/>
  <c r="F226" i="10" s="1" a="1"/>
  <c r="F226" i="10" s="1"/>
  <c r="F227" i="10" s="1" a="1"/>
  <c r="F227" i="10" s="1"/>
  <c r="F228" i="10" s="1" a="1"/>
  <c r="F228" i="10" s="1"/>
  <c r="F229" i="10" s="1" a="1"/>
  <c r="F229" i="10" s="1"/>
  <c r="F230" i="10" s="1" a="1"/>
  <c r="F230" i="10" s="1"/>
  <c r="F231" i="10" s="1" a="1"/>
  <c r="F231" i="10" s="1"/>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BB151" i="10"/>
  <c r="AZ151" i="10"/>
  <c r="AX151" i="10"/>
  <c r="AV151" i="10"/>
  <c r="AT151" i="10"/>
  <c r="AS151" i="10"/>
  <c r="AH151" i="10"/>
  <c r="AF151" i="10"/>
  <c r="AB151" i="10"/>
  <c r="AS150" i="10"/>
  <c r="AH150" i="10"/>
  <c r="AS148"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H144" i="10"/>
  <c r="AB144" i="10"/>
  <c r="AB145" i="10" s="1"/>
  <c r="AS142" i="10"/>
  <c r="AQ142" i="10"/>
  <c r="AO142" i="10"/>
  <c r="AM142" i="10"/>
  <c r="AK142" i="10"/>
  <c r="AI142" i="10"/>
  <c r="AH142" i="10"/>
  <c r="AB141" i="10"/>
  <c r="AB142" i="10" s="1"/>
  <c r="AS140" i="10"/>
  <c r="AH140" i="10"/>
  <c r="AB139" i="10"/>
  <c r="AB140" i="10" s="1"/>
  <c r="BB138" i="10"/>
  <c r="BA138" i="10"/>
  <c r="AZ138" i="10"/>
  <c r="AY138" i="10"/>
  <c r="AX138" i="10"/>
  <c r="AW138" i="10"/>
  <c r="AV138" i="10"/>
  <c r="AU138" i="10"/>
  <c r="AT138" i="10"/>
  <c r="AS138" i="10"/>
  <c r="AS143" i="10" s="1"/>
  <c r="AR138" i="10"/>
  <c r="AQ138" i="10"/>
  <c r="AP138" i="10"/>
  <c r="AO138" i="10"/>
  <c r="AN138" i="10"/>
  <c r="AM138" i="10"/>
  <c r="AL138" i="10"/>
  <c r="AK138" i="10"/>
  <c r="AJ138" i="10"/>
  <c r="AI138" i="10"/>
  <c r="AH138" i="10"/>
  <c r="AG138" i="10"/>
  <c r="AF138" i="10"/>
  <c r="AE138" i="10"/>
  <c r="BB137" i="10"/>
  <c r="BB142" i="10" s="1"/>
  <c r="BA137" i="10"/>
  <c r="BA151" i="10" s="1"/>
  <c r="AZ137" i="10"/>
  <c r="AZ142" i="10" s="1"/>
  <c r="AY137" i="10"/>
  <c r="AY151" i="10" s="1"/>
  <c r="AX137" i="10"/>
  <c r="AX142" i="10" s="1"/>
  <c r="AW137" i="10"/>
  <c r="AW151" i="10" s="1"/>
  <c r="AV137" i="10"/>
  <c r="AV142" i="10" s="1"/>
  <c r="AU137" i="10"/>
  <c r="AU151" i="10" s="1"/>
  <c r="AT137" i="10"/>
  <c r="AT142" i="10" s="1"/>
  <c r="AR137" i="10"/>
  <c r="AR142" i="10" s="1"/>
  <c r="AQ137" i="10"/>
  <c r="AQ151" i="10" s="1"/>
  <c r="AP137" i="10"/>
  <c r="AP142" i="10" s="1"/>
  <c r="AO137" i="10"/>
  <c r="AO151" i="10" s="1"/>
  <c r="AN137" i="10"/>
  <c r="AN142" i="10" s="1"/>
  <c r="AM137" i="10"/>
  <c r="AM151" i="10" s="1"/>
  <c r="AL137" i="10"/>
  <c r="AL142" i="10" s="1"/>
  <c r="AK137" i="10"/>
  <c r="AK151" i="10" s="1"/>
  <c r="AJ137" i="10"/>
  <c r="AJ142" i="10" s="1"/>
  <c r="AI137" i="10"/>
  <c r="AI151" i="10" s="1"/>
  <c r="AG137" i="10"/>
  <c r="AG151" i="10" s="1"/>
  <c r="AF137" i="10"/>
  <c r="AF142" i="10" s="1"/>
  <c r="AE137" i="10"/>
  <c r="AE151" i="10" s="1"/>
  <c r="AB137" i="10"/>
  <c r="AS136" i="10"/>
  <c r="AS144" i="10" s="1"/>
  <c r="AB136" i="10"/>
  <c r="AS135" i="10"/>
  <c r="AH135" i="10"/>
  <c r="AH143" i="10" s="1"/>
  <c r="AB134" i="10"/>
  <c r="AH132" i="10"/>
  <c r="AH128" i="10" s="1"/>
  <c r="BB128" i="10"/>
  <c r="BA128" i="10"/>
  <c r="AZ128" i="10"/>
  <c r="AY128" i="10"/>
  <c r="AX128" i="10"/>
  <c r="AW128" i="10"/>
  <c r="AV128" i="10"/>
  <c r="AU128" i="10"/>
  <c r="AT128" i="10"/>
  <c r="AS128" i="10"/>
  <c r="AR128" i="10"/>
  <c r="AQ128" i="10"/>
  <c r="AP128" i="10"/>
  <c r="AO128" i="10"/>
  <c r="AN128" i="10"/>
  <c r="AM128" i="10"/>
  <c r="AL128" i="10"/>
  <c r="AK128" i="10"/>
  <c r="AJ128" i="10"/>
  <c r="AI128" i="10"/>
  <c r="AG128" i="10"/>
  <c r="AF128" i="10"/>
  <c r="AE128" i="10"/>
  <c r="AB127" i="10"/>
  <c r="AB126" i="10"/>
  <c r="AB133"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I118" i="10"/>
  <c r="AG118" i="10"/>
  <c r="AF118" i="10"/>
  <c r="AF117" i="10" s="1"/>
  <c r="AE118" i="10"/>
  <c r="AB118" i="10"/>
  <c r="BA117" i="10"/>
  <c r="AY117" i="10"/>
  <c r="AW117" i="10"/>
  <c r="AU117" i="10"/>
  <c r="AS117" i="10"/>
  <c r="AQ117" i="10"/>
  <c r="AO117" i="10"/>
  <c r="AM117" i="10"/>
  <c r="AK117" i="10"/>
  <c r="AI117" i="10"/>
  <c r="AG117" i="10"/>
  <c r="AE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A115" i="10"/>
  <c r="BA114" i="10" s="1"/>
  <c r="AZ115" i="10"/>
  <c r="AY115" i="10"/>
  <c r="AY114" i="10" s="1"/>
  <c r="AX115" i="10"/>
  <c r="AW115" i="10"/>
  <c r="AW114" i="10" s="1"/>
  <c r="AV115" i="10"/>
  <c r="AU115" i="10"/>
  <c r="AU114" i="10" s="1"/>
  <c r="AT115" i="10"/>
  <c r="AS115" i="10"/>
  <c r="AS114" i="10" s="1"/>
  <c r="AR115" i="10"/>
  <c r="AQ115" i="10"/>
  <c r="AQ114" i="10" s="1"/>
  <c r="AP115" i="10"/>
  <c r="AO115" i="10"/>
  <c r="AO114" i="10" s="1"/>
  <c r="AN115" i="10"/>
  <c r="AM115" i="10"/>
  <c r="AM114" i="10" s="1"/>
  <c r="AM113" i="10" s="1"/>
  <c r="AM125" i="10" s="1"/>
  <c r="AM126" i="10" s="1"/>
  <c r="AM133" i="10" s="1"/>
  <c r="AM136" i="10" s="1"/>
  <c r="AL115" i="10"/>
  <c r="AK115" i="10"/>
  <c r="AK114" i="10" s="1"/>
  <c r="AJ115" i="10"/>
  <c r="AI115" i="10"/>
  <c r="AI114" i="10" s="1"/>
  <c r="AI113" i="10" s="1"/>
  <c r="AI125" i="10" s="1"/>
  <c r="AI126" i="10" s="1"/>
  <c r="AI133" i="10" s="1"/>
  <c r="AI136" i="10" s="1"/>
  <c r="AH115" i="10"/>
  <c r="AG115" i="10"/>
  <c r="AG114" i="10" s="1"/>
  <c r="AF115" i="10"/>
  <c r="AE115" i="10"/>
  <c r="AE114" i="10" s="1"/>
  <c r="AE113" i="10" s="1"/>
  <c r="AE125" i="10" s="1"/>
  <c r="AE126" i="10" s="1"/>
  <c r="AE133" i="10" s="1"/>
  <c r="AE136" i="10" s="1"/>
  <c r="BB114" i="10"/>
  <c r="BB113" i="10" s="1"/>
  <c r="BB125" i="10" s="1"/>
  <c r="BB126" i="10" s="1"/>
  <c r="BB133" i="10" s="1"/>
  <c r="BB136" i="10" s="1"/>
  <c r="AZ114" i="10"/>
  <c r="AZ113" i="10" s="1"/>
  <c r="AZ125" i="10" s="1"/>
  <c r="AZ126" i="10" s="1"/>
  <c r="AZ133" i="10" s="1"/>
  <c r="AZ136" i="10" s="1"/>
  <c r="AX114" i="10"/>
  <c r="AX113" i="10" s="1"/>
  <c r="AX125" i="10" s="1"/>
  <c r="AX126" i="10" s="1"/>
  <c r="AX133" i="10" s="1"/>
  <c r="AX136" i="10" s="1"/>
  <c r="AV114" i="10"/>
  <c r="AV113" i="10" s="1"/>
  <c r="AV125" i="10" s="1"/>
  <c r="AV126" i="10" s="1"/>
  <c r="AV133" i="10" s="1"/>
  <c r="AV136" i="10" s="1"/>
  <c r="AT114" i="10"/>
  <c r="AT113" i="10" s="1"/>
  <c r="AT125" i="10" s="1"/>
  <c r="AT126" i="10" s="1"/>
  <c r="AT133" i="10" s="1"/>
  <c r="AT136" i="10" s="1"/>
  <c r="AR114" i="10"/>
  <c r="AR113" i="10" s="1"/>
  <c r="AR125" i="10" s="1"/>
  <c r="AR126" i="10" s="1"/>
  <c r="AR133" i="10" s="1"/>
  <c r="AR136" i="10" s="1"/>
  <c r="AP114" i="10"/>
  <c r="AP113" i="10" s="1"/>
  <c r="AP125" i="10" s="1"/>
  <c r="AP126" i="10" s="1"/>
  <c r="AP133" i="10" s="1"/>
  <c r="AP136" i="10" s="1"/>
  <c r="AN114" i="10"/>
  <c r="AN113" i="10" s="1"/>
  <c r="AN125" i="10" s="1"/>
  <c r="AN126" i="10" s="1"/>
  <c r="AN133" i="10" s="1"/>
  <c r="AN136" i="10" s="1"/>
  <c r="AL114" i="10"/>
  <c r="AL113" i="10" s="1"/>
  <c r="AL125" i="10" s="1"/>
  <c r="AL126" i="10" s="1"/>
  <c r="AL133" i="10" s="1"/>
  <c r="AL136" i="10" s="1"/>
  <c r="AJ114" i="10"/>
  <c r="AJ113" i="10" s="1"/>
  <c r="AJ125" i="10" s="1"/>
  <c r="AJ126" i="10" s="1"/>
  <c r="AJ133" i="10" s="1"/>
  <c r="AJ136" i="10" s="1"/>
  <c r="AH114" i="10"/>
  <c r="AF114" i="10"/>
  <c r="AF113" i="10" s="1"/>
  <c r="AF125" i="10" s="1"/>
  <c r="AF126" i="10" s="1"/>
  <c r="AF133" i="10" s="1"/>
  <c r="AF136" i="10" s="1"/>
  <c r="AB114" i="10"/>
  <c r="AB115" i="10" s="1"/>
  <c r="BA113" i="10"/>
  <c r="BA125" i="10" s="1"/>
  <c r="BA126" i="10" s="1"/>
  <c r="BA133" i="10" s="1"/>
  <c r="BA136" i="10" s="1"/>
  <c r="AY113" i="10"/>
  <c r="AY125" i="10" s="1"/>
  <c r="AY126" i="10" s="1"/>
  <c r="AY133" i="10" s="1"/>
  <c r="AY136" i="10" s="1"/>
  <c r="AW113" i="10"/>
  <c r="AW125" i="10" s="1"/>
  <c r="AW126" i="10" s="1"/>
  <c r="AW133" i="10" s="1"/>
  <c r="AW136" i="10" s="1"/>
  <c r="AU113" i="10"/>
  <c r="AU125" i="10" s="1"/>
  <c r="AU126" i="10" s="1"/>
  <c r="AU133" i="10" s="1"/>
  <c r="AU136" i="10" s="1"/>
  <c r="AS113" i="10"/>
  <c r="AS125" i="10" s="1"/>
  <c r="AS126" i="10" s="1"/>
  <c r="AQ113" i="10"/>
  <c r="AQ125" i="10" s="1"/>
  <c r="AQ126" i="10" s="1"/>
  <c r="AQ133" i="10" s="1"/>
  <c r="AQ136" i="10" s="1"/>
  <c r="AO113" i="10"/>
  <c r="AO125" i="10" s="1"/>
  <c r="AO126" i="10" s="1"/>
  <c r="AO133" i="10" s="1"/>
  <c r="AO136" i="10" s="1"/>
  <c r="AK113" i="10"/>
  <c r="AK125" i="10" s="1"/>
  <c r="AK126" i="10" s="1"/>
  <c r="AK133" i="10" s="1"/>
  <c r="AK136" i="10" s="1"/>
  <c r="AG113" i="10"/>
  <c r="AG125" i="10" s="1"/>
  <c r="AG126" i="10" s="1"/>
  <c r="AG133" i="10" s="1"/>
  <c r="AG136" i="10" s="1"/>
  <c r="AB112" i="10"/>
  <c r="BB109" i="10"/>
  <c r="BA109" i="10"/>
  <c r="AZ109" i="10"/>
  <c r="AY109" i="10"/>
  <c r="AX109" i="10"/>
  <c r="AW109" i="10"/>
  <c r="AV109" i="10"/>
  <c r="AU109" i="10"/>
  <c r="AT109" i="10"/>
  <c r="AT105" i="10" s="1"/>
  <c r="AS109" i="10"/>
  <c r="AR109" i="10"/>
  <c r="AQ109" i="10"/>
  <c r="AP109" i="10"/>
  <c r="AP105" i="10" s="1"/>
  <c r="AO109" i="10"/>
  <c r="AN109" i="10"/>
  <c r="AM109" i="10"/>
  <c r="AL109" i="10"/>
  <c r="AL105" i="10" s="1"/>
  <c r="AK109" i="10"/>
  <c r="AJ109" i="10"/>
  <c r="AI109" i="10"/>
  <c r="AH109" i="10"/>
  <c r="AH105" i="10" s="1"/>
  <c r="AG109" i="10"/>
  <c r="AF109" i="10"/>
  <c r="AE109" i="10"/>
  <c r="AB109" i="10"/>
  <c r="AB110"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BB105" i="10"/>
  <c r="AZ105" i="10"/>
  <c r="AX105" i="10"/>
  <c r="AV105" i="10"/>
  <c r="AR105" i="10"/>
  <c r="AN105" i="10"/>
  <c r="AJ105" i="10"/>
  <c r="AF105" i="10"/>
  <c r="AB104" i="10"/>
  <c r="AH102" i="10"/>
  <c r="AH118" i="10" s="1"/>
  <c r="AH117" i="10" s="1"/>
  <c r="BB101" i="10"/>
  <c r="BA101" i="10"/>
  <c r="AZ101" i="10"/>
  <c r="AY101" i="10"/>
  <c r="AX101" i="10"/>
  <c r="AW101" i="10"/>
  <c r="AV101" i="10"/>
  <c r="AU101" i="10"/>
  <c r="AT101" i="10"/>
  <c r="AS101" i="10"/>
  <c r="AR101" i="10"/>
  <c r="AQ101" i="10"/>
  <c r="AP101" i="10"/>
  <c r="AO101" i="10"/>
  <c r="AN101" i="10"/>
  <c r="AM101" i="10"/>
  <c r="AL101" i="10"/>
  <c r="AK101" i="10"/>
  <c r="AJ101" i="10"/>
  <c r="AI101" i="10"/>
  <c r="AG101" i="10"/>
  <c r="AF101" i="10"/>
  <c r="AE101" i="10"/>
  <c r="AB101" i="10"/>
  <c r="AB99" i="10"/>
  <c r="BB98" i="10"/>
  <c r="BA98" i="10"/>
  <c r="BA97" i="10" s="1"/>
  <c r="AZ98" i="10"/>
  <c r="AY98" i="10"/>
  <c r="AY97" i="10" s="1"/>
  <c r="AX98" i="10"/>
  <c r="AW98" i="10"/>
  <c r="AW97" i="10" s="1"/>
  <c r="AV98" i="10"/>
  <c r="AU98" i="10"/>
  <c r="AU97" i="10" s="1"/>
  <c r="AT98" i="10"/>
  <c r="AS98" i="10"/>
  <c r="AS97" i="10" s="1"/>
  <c r="AR98" i="10"/>
  <c r="AQ98" i="10"/>
  <c r="AQ97" i="10" s="1"/>
  <c r="AP98" i="10"/>
  <c r="AO98" i="10"/>
  <c r="AO97" i="10" s="1"/>
  <c r="AN98" i="10"/>
  <c r="AM98" i="10"/>
  <c r="AM97" i="10" s="1"/>
  <c r="AL98" i="10"/>
  <c r="AK98" i="10"/>
  <c r="AK97" i="10" s="1"/>
  <c r="AJ98" i="10"/>
  <c r="AI98" i="10"/>
  <c r="AI97" i="10" s="1"/>
  <c r="AH98" i="10"/>
  <c r="AG98" i="10"/>
  <c r="AG97" i="10" s="1"/>
  <c r="AF98" i="10"/>
  <c r="AE98" i="10"/>
  <c r="AE97" i="10" s="1"/>
  <c r="AB98" i="10"/>
  <c r="AB100" i="10" s="1"/>
  <c r="BB97" i="10"/>
  <c r="AZ97" i="10"/>
  <c r="AX97" i="10"/>
  <c r="AV97" i="10"/>
  <c r="AT97" i="10"/>
  <c r="AR97" i="10"/>
  <c r="AP97" i="10"/>
  <c r="AN97" i="10"/>
  <c r="AL97" i="10"/>
  <c r="AJ97" i="10"/>
  <c r="AF97" i="10"/>
  <c r="F96" i="10" a="1"/>
  <c r="F96" i="10"/>
  <c r="F97" i="10" s="1"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7" i="10"/>
  <c r="AB76" i="10"/>
  <c r="AB78" i="10" s="1"/>
  <c r="AB81" i="10" s="1"/>
  <c r="AZ74" i="10"/>
  <c r="AV74" i="10"/>
  <c r="AR74" i="10"/>
  <c r="AN74" i="10"/>
  <c r="AJ74" i="10"/>
  <c r="AF74" i="10"/>
  <c r="AB74" i="10"/>
  <c r="AB73" i="10"/>
  <c r="AB72" i="10"/>
  <c r="AB71"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60" i="10"/>
  <c r="AB62" i="10" s="1"/>
  <c r="AB58" i="10"/>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A50" i="10"/>
  <c r="BA49" i="10" s="1"/>
  <c r="AZ50" i="10"/>
  <c r="AY50" i="10"/>
  <c r="AY49" i="10" s="1"/>
  <c r="AX50" i="10"/>
  <c r="AW50" i="10"/>
  <c r="AW49" i="10" s="1"/>
  <c r="AV50" i="10"/>
  <c r="AU50" i="10"/>
  <c r="AU49" i="10" s="1"/>
  <c r="AT50" i="10"/>
  <c r="AS50" i="10"/>
  <c r="AS49" i="10" s="1"/>
  <c r="AR50" i="10"/>
  <c r="AQ50" i="10"/>
  <c r="AQ49" i="10" s="1"/>
  <c r="AP50" i="10"/>
  <c r="AO50" i="10"/>
  <c r="AO49" i="10" s="1"/>
  <c r="AN50" i="10"/>
  <c r="AM50" i="10"/>
  <c r="AM49" i="10" s="1"/>
  <c r="AL50" i="10"/>
  <c r="AK50" i="10"/>
  <c r="AK49" i="10" s="1"/>
  <c r="AJ50" i="10"/>
  <c r="AI50" i="10"/>
  <c r="AI49" i="10" s="1"/>
  <c r="AH50" i="10"/>
  <c r="AG50" i="10"/>
  <c r="AG49" i="10" s="1"/>
  <c r="AF50" i="10"/>
  <c r="AE50" i="10"/>
  <c r="AE49" i="10" s="1"/>
  <c r="BB49" i="10"/>
  <c r="BB45" i="10" s="1"/>
  <c r="BB57" i="10" s="1"/>
  <c r="BB58" i="10" s="1"/>
  <c r="BB65" i="10" s="1"/>
  <c r="BB68" i="10" s="1"/>
  <c r="AZ49" i="10"/>
  <c r="AX49" i="10"/>
  <c r="AX45" i="10" s="1"/>
  <c r="AX57" i="10" s="1"/>
  <c r="AX58" i="10" s="1"/>
  <c r="AX65" i="10" s="1"/>
  <c r="AX68" i="10" s="1"/>
  <c r="AV49" i="10"/>
  <c r="AT49" i="10"/>
  <c r="AT45" i="10" s="1"/>
  <c r="AT57" i="10" s="1"/>
  <c r="AT58" i="10" s="1"/>
  <c r="AT65" i="10" s="1"/>
  <c r="AT68" i="10" s="1"/>
  <c r="AR49" i="10"/>
  <c r="AP49" i="10"/>
  <c r="AP45" i="10" s="1"/>
  <c r="AP57" i="10" s="1"/>
  <c r="AP58" i="10" s="1"/>
  <c r="AP65" i="10" s="1"/>
  <c r="AP68" i="10" s="1"/>
  <c r="AN49" i="10"/>
  <c r="AL49" i="10"/>
  <c r="AL45" i="10" s="1"/>
  <c r="AL57" i="10" s="1"/>
  <c r="AL58" i="10" s="1"/>
  <c r="AL65" i="10" s="1"/>
  <c r="AL68" i="10" s="1"/>
  <c r="AJ49" i="10"/>
  <c r="AH49" i="10"/>
  <c r="AH45" i="10" s="1"/>
  <c r="AH57" i="10" s="1"/>
  <c r="AH58" i="10" s="1"/>
  <c r="AH65" i="10" s="1"/>
  <c r="AH68" i="10" s="1"/>
  <c r="AF49" i="10"/>
  <c r="AB49" i="10"/>
  <c r="AB50" i="10" s="1"/>
  <c r="BB48" i="10"/>
  <c r="BA48" i="10"/>
  <c r="AZ48" i="10"/>
  <c r="AY48" i="10"/>
  <c r="AY46" i="10" s="1"/>
  <c r="AY45" i="10" s="1"/>
  <c r="AY57" i="10" s="1"/>
  <c r="AY58" i="10" s="1"/>
  <c r="AY65" i="10" s="1"/>
  <c r="AY68" i="10" s="1"/>
  <c r="AX48" i="10"/>
  <c r="AW48" i="10"/>
  <c r="AV48" i="10"/>
  <c r="AU48" i="10"/>
  <c r="AU46" i="10" s="1"/>
  <c r="AU45" i="10" s="1"/>
  <c r="AU57" i="10" s="1"/>
  <c r="AU58" i="10" s="1"/>
  <c r="AU65" i="10" s="1"/>
  <c r="AU68" i="10" s="1"/>
  <c r="AT48" i="10"/>
  <c r="AS48" i="10"/>
  <c r="AR48" i="10"/>
  <c r="AQ48" i="10"/>
  <c r="AQ46" i="10" s="1"/>
  <c r="AQ45" i="10" s="1"/>
  <c r="AQ57" i="10" s="1"/>
  <c r="AQ58" i="10" s="1"/>
  <c r="AQ65" i="10" s="1"/>
  <c r="AQ68" i="10" s="1"/>
  <c r="AP48" i="10"/>
  <c r="AO48" i="10"/>
  <c r="AN48" i="10"/>
  <c r="AM48" i="10"/>
  <c r="AM46" i="10" s="1"/>
  <c r="AM45" i="10" s="1"/>
  <c r="AM57" i="10" s="1"/>
  <c r="AM58" i="10" s="1"/>
  <c r="AM65" i="10" s="1"/>
  <c r="AM68" i="10" s="1"/>
  <c r="AL48" i="10"/>
  <c r="AK48" i="10"/>
  <c r="AJ48" i="10"/>
  <c r="AI48" i="10"/>
  <c r="AI46" i="10" s="1"/>
  <c r="AI45" i="10" s="1"/>
  <c r="AI57" i="10" s="1"/>
  <c r="AI58" i="10" s="1"/>
  <c r="AI65" i="10" s="1"/>
  <c r="AI68" i="10" s="1"/>
  <c r="AH48" i="10"/>
  <c r="AG48" i="10"/>
  <c r="AF48" i="10"/>
  <c r="AE48" i="10"/>
  <c r="AE46" i="10" s="1"/>
  <c r="AE45" i="10" s="1"/>
  <c r="AE57" i="10" s="1"/>
  <c r="AE58" i="10" s="1"/>
  <c r="AE65" i="10" s="1"/>
  <c r="AE68" i="10" s="1"/>
  <c r="BB47" i="10"/>
  <c r="BB46" i="10" s="1"/>
  <c r="BA47" i="10"/>
  <c r="AZ47" i="10"/>
  <c r="AZ46" i="10" s="1"/>
  <c r="AY47" i="10"/>
  <c r="AX47" i="10"/>
  <c r="AX46" i="10" s="1"/>
  <c r="AW47" i="10"/>
  <c r="AV47" i="10"/>
  <c r="AV46" i="10" s="1"/>
  <c r="AU47" i="10"/>
  <c r="AT47" i="10"/>
  <c r="AT46" i="10" s="1"/>
  <c r="AS47" i="10"/>
  <c r="AR47" i="10"/>
  <c r="AR46" i="10" s="1"/>
  <c r="AQ47" i="10"/>
  <c r="AP47" i="10"/>
  <c r="AP46" i="10" s="1"/>
  <c r="AO47" i="10"/>
  <c r="AN47" i="10"/>
  <c r="AN46" i="10" s="1"/>
  <c r="AM47" i="10"/>
  <c r="AL47" i="10"/>
  <c r="AL46" i="10" s="1"/>
  <c r="AK47" i="10"/>
  <c r="AJ47" i="10"/>
  <c r="AJ46" i="10" s="1"/>
  <c r="AI47" i="10"/>
  <c r="AH47" i="10"/>
  <c r="AH46" i="10" s="1"/>
  <c r="AG47" i="10"/>
  <c r="AF47" i="10"/>
  <c r="AF46" i="10" s="1"/>
  <c r="AE47" i="10"/>
  <c r="AB47" i="10"/>
  <c r="BA46" i="10"/>
  <c r="BA45" i="10" s="1"/>
  <c r="BA57" i="10" s="1"/>
  <c r="BA58" i="10" s="1"/>
  <c r="BA65" i="10" s="1"/>
  <c r="BA68" i="10" s="1"/>
  <c r="AW46" i="10"/>
  <c r="AW45" i="10" s="1"/>
  <c r="AW57" i="10" s="1"/>
  <c r="AW58" i="10" s="1"/>
  <c r="AW65" i="10" s="1"/>
  <c r="AW68" i="10" s="1"/>
  <c r="AS46" i="10"/>
  <c r="AS45" i="10" s="1"/>
  <c r="AS57" i="10" s="1"/>
  <c r="AS58" i="10" s="1"/>
  <c r="AS65" i="10" s="1"/>
  <c r="AS68" i="10" s="1"/>
  <c r="AO46" i="10"/>
  <c r="AO45" i="10" s="1"/>
  <c r="AO57" i="10" s="1"/>
  <c r="AO58" i="10" s="1"/>
  <c r="AO65" i="10" s="1"/>
  <c r="AO68" i="10" s="1"/>
  <c r="AK46" i="10"/>
  <c r="AK45" i="10" s="1"/>
  <c r="AK57" i="10" s="1"/>
  <c r="AK58" i="10" s="1"/>
  <c r="AK65" i="10" s="1"/>
  <c r="AK68" i="10" s="1"/>
  <c r="AG46" i="10"/>
  <c r="AG45" i="10" s="1"/>
  <c r="AG57" i="10" s="1"/>
  <c r="AG58" i="10" s="1"/>
  <c r="AG65" i="10" s="1"/>
  <c r="AG68" i="10" s="1"/>
  <c r="AB46" i="10"/>
  <c r="AB48" i="10" s="1"/>
  <c r="AZ45" i="10"/>
  <c r="AZ57" i="10" s="1"/>
  <c r="AZ58" i="10" s="1"/>
  <c r="AZ65" i="10" s="1"/>
  <c r="AZ68" i="10" s="1"/>
  <c r="AV45" i="10"/>
  <c r="AV57" i="10" s="1"/>
  <c r="AV58" i="10" s="1"/>
  <c r="AV65" i="10" s="1"/>
  <c r="AV68" i="10" s="1"/>
  <c r="AR45" i="10"/>
  <c r="AR57" i="10" s="1"/>
  <c r="AR58" i="10" s="1"/>
  <c r="AR65" i="10" s="1"/>
  <c r="AR68" i="10" s="1"/>
  <c r="AN45" i="10"/>
  <c r="AN57" i="10" s="1"/>
  <c r="AN58" i="10" s="1"/>
  <c r="AN65" i="10" s="1"/>
  <c r="AN68" i="10" s="1"/>
  <c r="AJ45" i="10"/>
  <c r="AJ57" i="10" s="1"/>
  <c r="AJ58" i="10" s="1"/>
  <c r="AJ65" i="10" s="1"/>
  <c r="AJ68" i="10" s="1"/>
  <c r="AF45" i="10"/>
  <c r="AF57" i="10" s="1"/>
  <c r="AF58" i="10" s="1"/>
  <c r="AF65" i="10" s="1"/>
  <c r="AF68" i="10" s="1"/>
  <c r="AB44" i="10"/>
  <c r="BB41" i="10"/>
  <c r="BA41" i="10"/>
  <c r="BA37" i="10" s="1"/>
  <c r="AZ41" i="10"/>
  <c r="AY41" i="10"/>
  <c r="AX41" i="10"/>
  <c r="AW41" i="10"/>
  <c r="AW37" i="10" s="1"/>
  <c r="AV41" i="10"/>
  <c r="AU41" i="10"/>
  <c r="AT41" i="10"/>
  <c r="AS41" i="10"/>
  <c r="AS37" i="10" s="1"/>
  <c r="AR41" i="10"/>
  <c r="AQ41" i="10"/>
  <c r="AP41" i="10"/>
  <c r="AO41" i="10"/>
  <c r="AO37" i="10" s="1"/>
  <c r="AN41" i="10"/>
  <c r="AM41" i="10"/>
  <c r="AL41" i="10"/>
  <c r="AK41" i="10"/>
  <c r="AK37" i="10" s="1"/>
  <c r="AJ41" i="10"/>
  <c r="AI41" i="10"/>
  <c r="AH41" i="10"/>
  <c r="AG41" i="10"/>
  <c r="AG37" i="10" s="1"/>
  <c r="AF41" i="10"/>
  <c r="AE41" i="10"/>
  <c r="BB38" i="10"/>
  <c r="BB37" i="10" s="1"/>
  <c r="BA38" i="10"/>
  <c r="AZ38" i="10"/>
  <c r="AZ37" i="10" s="1"/>
  <c r="AY38" i="10"/>
  <c r="AX38" i="10"/>
  <c r="AX37" i="10" s="1"/>
  <c r="AW38" i="10"/>
  <c r="AV38" i="10"/>
  <c r="AV37" i="10" s="1"/>
  <c r="AU38" i="10"/>
  <c r="AT38" i="10"/>
  <c r="AT37" i="10" s="1"/>
  <c r="AS38" i="10"/>
  <c r="AR38" i="10"/>
  <c r="AR37" i="10" s="1"/>
  <c r="AQ38" i="10"/>
  <c r="AP38" i="10"/>
  <c r="AP37" i="10" s="1"/>
  <c r="AO38" i="10"/>
  <c r="AN38" i="10"/>
  <c r="AN37" i="10" s="1"/>
  <c r="AM38" i="10"/>
  <c r="AL38" i="10"/>
  <c r="AL37" i="10" s="1"/>
  <c r="AK38" i="10"/>
  <c r="AJ38" i="10"/>
  <c r="AJ37" i="10" s="1"/>
  <c r="AI38" i="10"/>
  <c r="AH38" i="10"/>
  <c r="AH37" i="10" s="1"/>
  <c r="AG38" i="10"/>
  <c r="AF38" i="10"/>
  <c r="AF37" i="10" s="1"/>
  <c r="AE38" i="10"/>
  <c r="AB38" i="10"/>
  <c r="AB40" i="10" s="1"/>
  <c r="AY37" i="10"/>
  <c r="AU37" i="10"/>
  <c r="AQ37" i="10"/>
  <c r="AM37" i="10"/>
  <c r="AI37" i="10"/>
  <c r="AE37" i="10"/>
  <c r="AB36" i="10"/>
  <c r="AB35"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4" i="10" s="1"/>
  <c r="AB31" i="10"/>
  <c r="BB30" i="10"/>
  <c r="BA30" i="10"/>
  <c r="BA29" i="10" s="1"/>
  <c r="AZ30" i="10"/>
  <c r="AY30" i="10"/>
  <c r="AY29" i="10" s="1"/>
  <c r="AX30" i="10"/>
  <c r="AW30" i="10"/>
  <c r="AW29" i="10" s="1"/>
  <c r="AV30" i="10"/>
  <c r="AU30" i="10"/>
  <c r="AU29" i="10" s="1"/>
  <c r="AT30" i="10"/>
  <c r="AS30" i="10"/>
  <c r="AS29" i="10" s="1"/>
  <c r="AR30" i="10"/>
  <c r="AQ30" i="10"/>
  <c r="AQ29" i="10" s="1"/>
  <c r="AP30" i="10"/>
  <c r="AO30" i="10"/>
  <c r="AO29" i="10" s="1"/>
  <c r="AN30" i="10"/>
  <c r="AM30" i="10"/>
  <c r="AM29" i="10" s="1"/>
  <c r="AL30" i="10"/>
  <c r="AK30" i="10"/>
  <c r="AK29" i="10" s="1"/>
  <c r="AJ30" i="10"/>
  <c r="AI30" i="10"/>
  <c r="AI29" i="10" s="1"/>
  <c r="AH30" i="10"/>
  <c r="AG30" i="10"/>
  <c r="AG29" i="10" s="1"/>
  <c r="AF30" i="10"/>
  <c r="AE30" i="10"/>
  <c r="AE29" i="10" s="1"/>
  <c r="AB30" i="10"/>
  <c r="AB32" i="10" s="1"/>
  <c r="BB29" i="10"/>
  <c r="AZ29" i="10"/>
  <c r="AX29" i="10"/>
  <c r="AV29" i="10"/>
  <c r="AT29" i="10"/>
  <c r="AR29" i="10"/>
  <c r="AP29" i="10"/>
  <c r="AN29" i="10"/>
  <c r="AL29" i="10"/>
  <c r="AJ29" i="10"/>
  <c r="AH29" i="10"/>
  <c r="AF29" i="10"/>
  <c r="F28" i="10" a="1"/>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c r="BB10" i="10" a="1"/>
  <c r="BB10"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BB9" i="10"/>
  <c r="BA9" i="10"/>
  <c r="AZ9" i="10"/>
  <c r="AY9" i="10"/>
  <c r="AX9" i="10"/>
  <c r="AW9" i="10"/>
  <c r="AV9" i="10"/>
  <c r="AU9" i="10"/>
  <c r="AT9" i="10"/>
  <c r="AS9" i="10" a="1"/>
  <c r="AS9" i="10" s="1"/>
  <c r="AR9" i="10"/>
  <c r="AQ9" i="10"/>
  <c r="AP9" i="10"/>
  <c r="AO9" i="10"/>
  <c r="AN9" i="10"/>
  <c r="AM9" i="10"/>
  <c r="AL9" i="10"/>
  <c r="AK9" i="10"/>
  <c r="AJ9" i="10"/>
  <c r="AI9" i="10" a="1"/>
  <c r="AI9" i="10"/>
  <c r="AH9" i="10"/>
  <c r="AG9" i="10"/>
  <c r="AF9" i="10"/>
  <c r="AE9" i="10"/>
  <c r="BA8" i="10"/>
  <c r="AW8" i="10"/>
  <c r="AS8" i="10"/>
  <c r="AO8" i="10"/>
  <c r="AK8" i="10"/>
  <c r="BB7" i="10" a="1"/>
  <c r="BB7" i="10"/>
  <c r="BA7" i="10" a="1"/>
  <c r="BA7" i="10"/>
  <c r="AZ7" i="10" a="1"/>
  <c r="AZ7" i="10"/>
  <c r="AY7" i="10" a="1"/>
  <c r="AY7" i="10"/>
  <c r="AX7" i="10" a="1"/>
  <c r="AX7" i="10"/>
  <c r="AW7" i="10" a="1"/>
  <c r="AW7" i="10"/>
  <c r="AV7" i="10" a="1"/>
  <c r="AV7" i="10"/>
  <c r="AU7" i="10" a="1"/>
  <c r="AU7" i="10"/>
  <c r="AT7" i="10" a="1"/>
  <c r="AT7" i="10"/>
  <c r="AS7" i="10" a="1"/>
  <c r="AS7" i="10"/>
  <c r="AR7" i="10" a="1"/>
  <c r="AR7" i="10"/>
  <c r="AQ7" i="10" a="1"/>
  <c r="AQ7" i="10"/>
  <c r="AQ8" i="10" s="1"/>
  <c r="AP7" i="10" a="1"/>
  <c r="AP7" i="10"/>
  <c r="AO7" i="10" a="1"/>
  <c r="AO7" i="10"/>
  <c r="AN7" i="10" a="1"/>
  <c r="AN7" i="10"/>
  <c r="AM7" i="10" a="1"/>
  <c r="AM7" i="10"/>
  <c r="AM8" i="10" s="1"/>
  <c r="AL7" i="10" a="1"/>
  <c r="AL7" i="10"/>
  <c r="AK7" i="10" a="1"/>
  <c r="AK7" i="10"/>
  <c r="AJ7" i="10" a="1"/>
  <c r="AJ7" i="10"/>
  <c r="AI7" i="10" a="1"/>
  <c r="AI7" i="10"/>
  <c r="AH7" i="10" a="1"/>
  <c r="AH7" i="10"/>
  <c r="AG7" i="10" a="1"/>
  <c r="AG7" i="10"/>
  <c r="AF7" i="10" a="1"/>
  <c r="AF7" i="10"/>
  <c r="AE7" i="10" a="1"/>
  <c r="AE7" i="10"/>
  <c r="BB6" i="10"/>
  <c r="BB8" i="10" s="1"/>
  <c r="BA6" i="10"/>
  <c r="AZ6" i="10"/>
  <c r="AZ8" i="10" s="1"/>
  <c r="AY6" i="10"/>
  <c r="AY8" i="10" s="1"/>
  <c r="AX6" i="10"/>
  <c r="AX8" i="10" s="1"/>
  <c r="AW6" i="10"/>
  <c r="AV6" i="10"/>
  <c r="AV8" i="10" s="1"/>
  <c r="AU6" i="10"/>
  <c r="AU8" i="10" s="1"/>
  <c r="AT6" i="10"/>
  <c r="AT8" i="10" s="1"/>
  <c r="AS6" i="10" a="1"/>
  <c r="AS6" i="10" s="1"/>
  <c r="AR6" i="10"/>
  <c r="AQ6" i="10"/>
  <c r="AP6" i="10"/>
  <c r="AO6" i="10"/>
  <c r="AN6" i="10"/>
  <c r="AM6" i="10"/>
  <c r="AL6" i="10"/>
  <c r="AK6" i="10"/>
  <c r="AJ6" i="10"/>
  <c r="AI6" i="10" a="1"/>
  <c r="AI6" i="10"/>
  <c r="AI8" i="10" s="1"/>
  <c r="AH6" i="10"/>
  <c r="AH8" i="10" s="1"/>
  <c r="AG6" i="10"/>
  <c r="AG8" i="10" s="1"/>
  <c r="AF6" i="10"/>
  <c r="AF8" i="10" s="1"/>
  <c r="AE6" i="10"/>
  <c r="AE8" i="10" s="1"/>
  <c r="AQ47" i="9" a="1"/>
  <c r="AQ47" i="9"/>
  <c r="AR47" i="9" s="1"/>
  <c r="AS47" i="9" s="1"/>
  <c r="AT47" i="9" s="1"/>
  <c r="AU47" i="9" s="1"/>
  <c r="AV47" i="9" s="1"/>
  <c r="AW47" i="9" s="1"/>
  <c r="AX47" i="9" s="1"/>
  <c r="AY47" i="9" s="1"/>
  <c r="AG47" i="9" a="1"/>
  <c r="AG47" i="9"/>
  <c r="AH47" i="9" s="1"/>
  <c r="AI47" i="9" s="1"/>
  <c r="AJ47" i="9" s="1"/>
  <c r="AK47" i="9" s="1"/>
  <c r="AL47" i="9" s="1"/>
  <c r="AM47" i="9" s="1"/>
  <c r="AN47" i="9" s="1"/>
  <c r="AO47" i="9" s="1"/>
  <c r="AQ45" i="9" a="1"/>
  <c r="AQ45" i="9"/>
  <c r="AR45" i="9" s="1"/>
  <c r="AS45" i="9" s="1"/>
  <c r="AT45" i="9" s="1"/>
  <c r="AU45" i="9" s="1"/>
  <c r="AV45" i="9" s="1"/>
  <c r="AW45" i="9" s="1"/>
  <c r="AX45" i="9" s="1"/>
  <c r="AY45" i="9" s="1"/>
  <c r="AG45" i="9" a="1"/>
  <c r="AG45" i="9"/>
  <c r="AH45" i="9" s="1"/>
  <c r="AI45" i="9" s="1"/>
  <c r="AJ45" i="9" s="1"/>
  <c r="AK45" i="9" s="1"/>
  <c r="AL45" i="9" s="1"/>
  <c r="AM45" i="9" s="1"/>
  <c r="AN45" i="9" s="1"/>
  <c r="AO45" i="9" s="1"/>
  <c r="F42" i="9" a="1"/>
  <c r="F42" i="9"/>
  <c r="U42" i="9" s="1"/>
  <c r="AQ40" i="9" a="1"/>
  <c r="AQ40" i="9" s="1"/>
  <c r="AR40" i="9" s="1"/>
  <c r="AS40" i="9" s="1"/>
  <c r="AT40" i="9" s="1"/>
  <c r="AU40" i="9" s="1"/>
  <c r="AV40" i="9" s="1"/>
  <c r="AW40" i="9" s="1"/>
  <c r="AX40" i="9" s="1"/>
  <c r="AY40" i="9" s="1"/>
  <c r="AI40" i="9"/>
  <c r="AJ40" i="9" s="1"/>
  <c r="AK40" i="9" s="1"/>
  <c r="AL40" i="9" s="1"/>
  <c r="AM40" i="9" s="1"/>
  <c r="AN40" i="9" s="1"/>
  <c r="AO40" i="9" s="1"/>
  <c r="AG40" i="9" a="1"/>
  <c r="AG40" i="9" s="1"/>
  <c r="AH40" i="9" s="1"/>
  <c r="AS38" i="9"/>
  <c r="AT38" i="9" s="1"/>
  <c r="AU38" i="9" s="1"/>
  <c r="AV38" i="9" s="1"/>
  <c r="AW38" i="9" s="1"/>
  <c r="AX38" i="9" s="1"/>
  <c r="AY38" i="9" s="1"/>
  <c r="AQ38" i="9" a="1"/>
  <c r="AQ38" i="9" s="1"/>
  <c r="AR38" i="9" s="1"/>
  <c r="AG38" i="9" a="1"/>
  <c r="AG38" i="9" s="1"/>
  <c r="AH38" i="9" s="1"/>
  <c r="AI38" i="9" s="1"/>
  <c r="AJ38" i="9" s="1"/>
  <c r="AK38" i="9" s="1"/>
  <c r="AL38" i="9" s="1"/>
  <c r="AM38" i="9" s="1"/>
  <c r="AN38" i="9" s="1"/>
  <c r="AO38" i="9" s="1"/>
  <c r="F35" i="9" a="1"/>
  <c r="F35" i="9" s="1"/>
  <c r="AQ33" i="9" a="1"/>
  <c r="AQ33" i="9"/>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G31" i="9" a="1"/>
  <c r="AG31" i="9"/>
  <c r="AH31" i="9" s="1"/>
  <c r="AI31" i="9" s="1"/>
  <c r="AJ31" i="9" s="1"/>
  <c r="AK31" i="9" s="1"/>
  <c r="AL31" i="9" s="1"/>
  <c r="AM31" i="9" s="1"/>
  <c r="AN31" i="9" s="1"/>
  <c r="AO31" i="9" s="1"/>
  <c r="F28" i="9" a="1"/>
  <c r="F28" i="9"/>
  <c r="F29" i="9" s="1" a="1"/>
  <c r="F29"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X8" i="9"/>
  <c r="AT8" i="9"/>
  <c r="AP8" i="9"/>
  <c r="AL8" i="9"/>
  <c r="AH8"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N8" i="9" s="1"/>
  <c r="AM7" i="9" a="1"/>
  <c r="AM7" i="9"/>
  <c r="AL7" i="9" a="1"/>
  <c r="AL7" i="9"/>
  <c r="AK7" i="9" a="1"/>
  <c r="AK7" i="9"/>
  <c r="AJ7" i="9" a="1"/>
  <c r="AJ7" i="9"/>
  <c r="AJ8" i="9" s="1"/>
  <c r="AI7" i="9" a="1"/>
  <c r="AI7" i="9"/>
  <c r="AH7" i="9" a="1"/>
  <c r="AH7" i="9"/>
  <c r="AG7" i="9" a="1"/>
  <c r="AG7" i="9"/>
  <c r="AF7" i="9" a="1"/>
  <c r="AF7" i="9"/>
  <c r="AY6" i="9"/>
  <c r="AY8" i="9" s="1"/>
  <c r="AX6" i="9"/>
  <c r="AW6" i="9"/>
  <c r="AW8" i="9" s="1"/>
  <c r="AV6" i="9"/>
  <c r="AV8" i="9" s="1"/>
  <c r="AU6" i="9"/>
  <c r="AU8" i="9" s="1"/>
  <c r="AT6" i="9"/>
  <c r="AS6" i="9"/>
  <c r="AS8" i="9" s="1"/>
  <c r="AR6" i="9"/>
  <c r="AR8" i="9" s="1"/>
  <c r="AQ6" i="9"/>
  <c r="AQ8" i="9" s="1"/>
  <c r="AP6" i="9" a="1"/>
  <c r="AP6" i="9" s="1"/>
  <c r="AO6" i="9"/>
  <c r="AN6" i="9"/>
  <c r="AM6" i="9"/>
  <c r="AL6" i="9"/>
  <c r="AK6" i="9"/>
  <c r="AJ6" i="9"/>
  <c r="AI6" i="9"/>
  <c r="AH6" i="9"/>
  <c r="AG6" i="9"/>
  <c r="AF6" i="9" a="1"/>
  <c r="AF6" i="9"/>
  <c r="AF8" i="9" s="1"/>
  <c r="AX103" i="8"/>
  <c r="AW103" i="8"/>
  <c r="AV103" i="8"/>
  <c r="AU103" i="8"/>
  <c r="AT103" i="8"/>
  <c r="AS103" i="8"/>
  <c r="AR103" i="8"/>
  <c r="AQ103" i="8"/>
  <c r="AP103" i="8"/>
  <c r="AO103" i="8"/>
  <c r="AN103" i="8"/>
  <c r="AM103" i="8"/>
  <c r="AL103" i="8"/>
  <c r="AK103" i="8"/>
  <c r="AJ103" i="8"/>
  <c r="AI103" i="8"/>
  <c r="AH103" i="8"/>
  <c r="AG103" i="8"/>
  <c r="AF103" i="8"/>
  <c r="AE103" i="8"/>
  <c r="AX97" i="8"/>
  <c r="AW97" i="8"/>
  <c r="AV97" i="8"/>
  <c r="AU97" i="8"/>
  <c r="AT97" i="8"/>
  <c r="AS97" i="8"/>
  <c r="AR97" i="8"/>
  <c r="AQ97" i="8"/>
  <c r="AP97" i="8"/>
  <c r="AO97" i="8"/>
  <c r="AN97" i="8"/>
  <c r="AM97" i="8"/>
  <c r="AL97" i="8"/>
  <c r="AK97" i="8"/>
  <c r="AJ97" i="8"/>
  <c r="AI97" i="8"/>
  <c r="AH97" i="8"/>
  <c r="AG97" i="8"/>
  <c r="AF97" i="8"/>
  <c r="AE97" i="8"/>
  <c r="AX95" i="8"/>
  <c r="AW95" i="8"/>
  <c r="AV95" i="8"/>
  <c r="AU95" i="8"/>
  <c r="AT95" i="8"/>
  <c r="AS95" i="8"/>
  <c r="AR95" i="8"/>
  <c r="AQ95" i="8"/>
  <c r="AP95" i="8"/>
  <c r="AO95" i="8"/>
  <c r="AN95" i="8"/>
  <c r="AM95" i="8"/>
  <c r="AL95" i="8"/>
  <c r="AK95" i="8"/>
  <c r="AJ95" i="8"/>
  <c r="AI95" i="8"/>
  <c r="AH95" i="8"/>
  <c r="AG95" i="8"/>
  <c r="AF95" i="8"/>
  <c r="AE95" i="8"/>
  <c r="BC87" i="8" a="1"/>
  <c r="BC87" i="8"/>
  <c r="F83" i="8" a="1"/>
  <c r="F83" i="8" s="1"/>
  <c r="F82" i="8" a="1"/>
  <c r="F82" i="8"/>
  <c r="U82" i="8"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s="1"/>
  <c r="F55" i="8" a="1"/>
  <c r="F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c r="F28" i="8" a="1"/>
  <c r="F28" i="8"/>
  <c r="F29" i="8" s="1" a="1"/>
  <c r="F29" i="8" s="1"/>
  <c r="AX24" i="8"/>
  <c r="AW24" i="8"/>
  <c r="AV24" i="8"/>
  <c r="AU24" i="8"/>
  <c r="AT24" i="8"/>
  <c r="AS24" i="8"/>
  <c r="AR24" i="8"/>
  <c r="AQ24" i="8"/>
  <c r="AP24" i="8"/>
  <c r="AO24" i="8"/>
  <c r="AN24" i="8"/>
  <c r="AM24" i="8"/>
  <c r="AL24" i="8"/>
  <c r="AK24" i="8"/>
  <c r="AJ24" i="8"/>
  <c r="AI24" i="8"/>
  <c r="AH24" i="8"/>
  <c r="AG24" i="8"/>
  <c r="AF24" i="8"/>
  <c r="AE24" i="8"/>
  <c r="AX10" i="8" a="1"/>
  <c r="AX10" i="8"/>
  <c r="AW10" i="8" a="1"/>
  <c r="AW10" i="8"/>
  <c r="AV10" i="8" a="1"/>
  <c r="AV10" i="8"/>
  <c r="AU10" i="8" a="1"/>
  <c r="AU10" i="8"/>
  <c r="AT10" i="8" a="1"/>
  <c r="AT10" i="8"/>
  <c r="AS10" i="8" a="1"/>
  <c r="AS10" i="8"/>
  <c r="AR10" i="8" a="1"/>
  <c r="AR10" i="8"/>
  <c r="AQ10" i="8" a="1"/>
  <c r="AQ10" i="8"/>
  <c r="AP10" i="8" a="1"/>
  <c r="AP10" i="8"/>
  <c r="AO10" i="8" a="1"/>
  <c r="AO10" i="8"/>
  <c r="AN10" i="8" a="1"/>
  <c r="AN10" i="8"/>
  <c r="AM10" i="8" a="1"/>
  <c r="AM10" i="8"/>
  <c r="AL10" i="8" a="1"/>
  <c r="AL10" i="8"/>
  <c r="AK10" i="8" a="1"/>
  <c r="AK10" i="8"/>
  <c r="AJ10" i="8" a="1"/>
  <c r="AJ10" i="8"/>
  <c r="AI10" i="8" a="1"/>
  <c r="AI10" i="8"/>
  <c r="AH10" i="8" a="1"/>
  <c r="AH10" i="8"/>
  <c r="AG10" i="8" a="1"/>
  <c r="AG10" i="8"/>
  <c r="AF10" i="8" a="1"/>
  <c r="AF10" i="8"/>
  <c r="AE10" i="8" a="1"/>
  <c r="AE10" i="8"/>
  <c r="AX9" i="8"/>
  <c r="AW9" i="8"/>
  <c r="AV9" i="8"/>
  <c r="AU9" i="8"/>
  <c r="AT9" i="8"/>
  <c r="AS9" i="8"/>
  <c r="AR9" i="8"/>
  <c r="AQ9" i="8"/>
  <c r="AP9" i="8"/>
  <c r="AO9" i="8" a="1"/>
  <c r="AO9" i="8" s="1"/>
  <c r="AN9" i="8"/>
  <c r="AM9" i="8"/>
  <c r="AL9" i="8"/>
  <c r="AK9" i="8"/>
  <c r="AJ9" i="8"/>
  <c r="AI9" i="8"/>
  <c r="AH9" i="8"/>
  <c r="AG9" i="8"/>
  <c r="AF9" i="8"/>
  <c r="AE9" i="8" a="1"/>
  <c r="AE9" i="8"/>
  <c r="AK8" i="8"/>
  <c r="AG8" i="8"/>
  <c r="AX7" i="8" a="1"/>
  <c r="AX7" i="8"/>
  <c r="AW7" i="8" a="1"/>
  <c r="AW7" i="8"/>
  <c r="AV7" i="8" a="1"/>
  <c r="AV7" i="8"/>
  <c r="AU7" i="8" a="1"/>
  <c r="AU7" i="8"/>
  <c r="AT7" i="8" a="1"/>
  <c r="AT7" i="8"/>
  <c r="AS7" i="8" a="1"/>
  <c r="AS7" i="8"/>
  <c r="AR7" i="8" a="1"/>
  <c r="AR7" i="8"/>
  <c r="AQ7" i="8" a="1"/>
  <c r="AQ7" i="8"/>
  <c r="AP7" i="8" a="1"/>
  <c r="AP7" i="8"/>
  <c r="AO7" i="8" a="1"/>
  <c r="AO7" i="8"/>
  <c r="AN7" i="8" a="1"/>
  <c r="AN7" i="8"/>
  <c r="AM7" i="8" a="1"/>
  <c r="AM7" i="8"/>
  <c r="AM8" i="8" s="1"/>
  <c r="AL7" i="8" a="1"/>
  <c r="AL7" i="8"/>
  <c r="AK7" i="8" a="1"/>
  <c r="AK7" i="8"/>
  <c r="AJ7" i="8" a="1"/>
  <c r="AJ7" i="8"/>
  <c r="AI7" i="8" a="1"/>
  <c r="AI7" i="8"/>
  <c r="AI8" i="8" s="1"/>
  <c r="AH7" i="8" a="1"/>
  <c r="AH7" i="8"/>
  <c r="AG7" i="8" a="1"/>
  <c r="AG7" i="8"/>
  <c r="AF7" i="8" a="1"/>
  <c r="AF7" i="8"/>
  <c r="AE7" i="8" a="1"/>
  <c r="AE7" i="8"/>
  <c r="AX6" i="8"/>
  <c r="AX8" i="8" s="1"/>
  <c r="AW6" i="8"/>
  <c r="AW8" i="8" s="1"/>
  <c r="AV6" i="8"/>
  <c r="AV8" i="8" s="1"/>
  <c r="AU6" i="8"/>
  <c r="AU8" i="8" s="1"/>
  <c r="AT6" i="8"/>
  <c r="AT8" i="8" s="1"/>
  <c r="AS6" i="8"/>
  <c r="AS8" i="8" s="1"/>
  <c r="AR6" i="8"/>
  <c r="AR8" i="8" s="1"/>
  <c r="AQ6" i="8"/>
  <c r="AQ8" i="8" s="1"/>
  <c r="AP6" i="8"/>
  <c r="AP8" i="8" s="1"/>
  <c r="AO6" i="8" a="1"/>
  <c r="AO6" i="8" s="1"/>
  <c r="AO8" i="8" s="1"/>
  <c r="AN6" i="8"/>
  <c r="AM6" i="8"/>
  <c r="AL6" i="8"/>
  <c r="AK6" i="8"/>
  <c r="AJ6" i="8"/>
  <c r="AI6" i="8"/>
  <c r="AH6" i="8"/>
  <c r="AG6" i="8"/>
  <c r="AF6" i="8"/>
  <c r="AE6" i="8" a="1"/>
  <c r="AE6" i="8"/>
  <c r="AE8" i="8" s="1"/>
  <c r="I86" i="7"/>
  <c r="AB83" i="7"/>
  <c r="AB82" i="7"/>
  <c r="AY81" i="7"/>
  <c r="AX81" i="7"/>
  <c r="AW81" i="7"/>
  <c r="AV81" i="7"/>
  <c r="AU81" i="7"/>
  <c r="AT81" i="7"/>
  <c r="AS81" i="7"/>
  <c r="AR81" i="7"/>
  <c r="AQ81" i="7"/>
  <c r="AP81" i="7"/>
  <c r="AO81" i="7"/>
  <c r="AN81" i="7"/>
  <c r="AM81" i="7"/>
  <c r="AL81" i="7"/>
  <c r="AK81" i="7"/>
  <c r="AJ81" i="7"/>
  <c r="AI81" i="7"/>
  <c r="AH81" i="7"/>
  <c r="AG81" i="7"/>
  <c r="AF81" i="7"/>
  <c r="AE81" i="7"/>
  <c r="I81" i="7"/>
  <c r="AB80" i="7"/>
  <c r="AB79" i="7"/>
  <c r="AY78" i="7"/>
  <c r="AX78" i="7"/>
  <c r="AW78" i="7"/>
  <c r="AV78" i="7"/>
  <c r="AU78" i="7"/>
  <c r="AT78" i="7"/>
  <c r="AS78" i="7"/>
  <c r="AR78" i="7"/>
  <c r="AQ78" i="7"/>
  <c r="AP78" i="7"/>
  <c r="AO78" i="7"/>
  <c r="AN78" i="7"/>
  <c r="AM78" i="7"/>
  <c r="AL78" i="7"/>
  <c r="AK78" i="7"/>
  <c r="AJ78" i="7"/>
  <c r="AI78" i="7"/>
  <c r="AH78" i="7"/>
  <c r="AG78" i="7"/>
  <c r="AF78" i="7"/>
  <c r="AE78" i="7"/>
  <c r="AB77" i="7"/>
  <c r="AB76" i="7"/>
  <c r="AY75" i="7"/>
  <c r="AX75" i="7"/>
  <c r="AW75" i="7"/>
  <c r="AW71" i="7" s="1"/>
  <c r="AW70" i="7" s="1"/>
  <c r="AV75" i="7"/>
  <c r="AU75" i="7"/>
  <c r="AT75" i="7"/>
  <c r="AS75" i="7"/>
  <c r="AS71" i="7" s="1"/>
  <c r="AS70" i="7" s="1"/>
  <c r="AR75" i="7"/>
  <c r="AQ75" i="7"/>
  <c r="AP75" i="7"/>
  <c r="AO75" i="7"/>
  <c r="AO71" i="7" s="1"/>
  <c r="AO70" i="7" s="1"/>
  <c r="AN75" i="7"/>
  <c r="AM75" i="7"/>
  <c r="AL75" i="7"/>
  <c r="AK75" i="7"/>
  <c r="AK71" i="7" s="1"/>
  <c r="AK70" i="7" s="1"/>
  <c r="AJ75" i="7"/>
  <c r="AI75" i="7"/>
  <c r="AH75" i="7"/>
  <c r="AG75" i="7"/>
  <c r="AG71" i="7" s="1"/>
  <c r="AG70" i="7" s="1"/>
  <c r="AF75" i="7"/>
  <c r="AE75" i="7"/>
  <c r="AB74" i="7"/>
  <c r="AB73" i="7"/>
  <c r="AY72" i="7"/>
  <c r="AX72" i="7"/>
  <c r="AX71" i="7" s="1"/>
  <c r="AX70" i="7" s="1"/>
  <c r="AW72" i="7"/>
  <c r="AV72" i="7"/>
  <c r="AV71" i="7" s="1"/>
  <c r="AU72" i="7"/>
  <c r="AT72" i="7"/>
  <c r="AT71" i="7" s="1"/>
  <c r="AT70" i="7" s="1"/>
  <c r="AS72" i="7"/>
  <c r="AR72" i="7"/>
  <c r="AR71" i="7" s="1"/>
  <c r="AQ72" i="7"/>
  <c r="AP72" i="7"/>
  <c r="AP71" i="7" s="1"/>
  <c r="AP70" i="7" s="1"/>
  <c r="AO72" i="7"/>
  <c r="AN72" i="7"/>
  <c r="AN71" i="7" s="1"/>
  <c r="AM72" i="7"/>
  <c r="AL72" i="7"/>
  <c r="AL71" i="7" s="1"/>
  <c r="AL70" i="7" s="1"/>
  <c r="AK72" i="7"/>
  <c r="AJ72" i="7"/>
  <c r="AJ71" i="7" s="1"/>
  <c r="AI72" i="7"/>
  <c r="AH72" i="7"/>
  <c r="AH71" i="7" s="1"/>
  <c r="AH70" i="7" s="1"/>
  <c r="AG72" i="7"/>
  <c r="AF72" i="7"/>
  <c r="AF71" i="7" s="1"/>
  <c r="AE72" i="7"/>
  <c r="AY71" i="7"/>
  <c r="AY70" i="7" s="1"/>
  <c r="AU71" i="7"/>
  <c r="AU70" i="7" s="1"/>
  <c r="AQ71" i="7"/>
  <c r="AQ70" i="7" s="1"/>
  <c r="AM71" i="7"/>
  <c r="AM70" i="7" s="1"/>
  <c r="AI71" i="7"/>
  <c r="AI70" i="7" s="1"/>
  <c r="AE71" i="7"/>
  <c r="AE70" i="7" s="1"/>
  <c r="AV70" i="7"/>
  <c r="AR70" i="7"/>
  <c r="AN70" i="7"/>
  <c r="AJ70" i="7"/>
  <c r="AF70" i="7"/>
  <c r="I69" i="7"/>
  <c r="AY68" i="7" a="1"/>
  <c r="AY68" i="7"/>
  <c r="AX68" i="7" a="1"/>
  <c r="AX68" i="7"/>
  <c r="AW68" i="7" a="1"/>
  <c r="AW68" i="7"/>
  <c r="AV68" i="7" a="1"/>
  <c r="AV68" i="7"/>
  <c r="AU68" i="7" a="1"/>
  <c r="AU68" i="7"/>
  <c r="AT68" i="7" a="1"/>
  <c r="AT68" i="7"/>
  <c r="AS68" i="7" a="1"/>
  <c r="AS68" i="7"/>
  <c r="AR68" i="7" a="1"/>
  <c r="AR68" i="7"/>
  <c r="AQ68" i="7" a="1"/>
  <c r="AQ68" i="7"/>
  <c r="AP68" i="7" a="1"/>
  <c r="AP68" i="7"/>
  <c r="AO68" i="7" a="1"/>
  <c r="AO68" i="7"/>
  <c r="AN68" i="7" a="1"/>
  <c r="AN68" i="7"/>
  <c r="AM68" i="7" a="1"/>
  <c r="AM68" i="7"/>
  <c r="AL68" i="7" a="1"/>
  <c r="AL68" i="7"/>
  <c r="AK68" i="7" a="1"/>
  <c r="AK68" i="7"/>
  <c r="AJ68" i="7" a="1"/>
  <c r="AJ68" i="7"/>
  <c r="AI68" i="7" a="1"/>
  <c r="AI68" i="7"/>
  <c r="AH68" i="7" a="1"/>
  <c r="AH68" i="7"/>
  <c r="AG68" i="7" a="1"/>
  <c r="AG68" i="7"/>
  <c r="AF68" i="7" a="1"/>
  <c r="AF68" i="7"/>
  <c r="AE68" i="7" a="1"/>
  <c r="AE68" i="7"/>
  <c r="U68" i="7"/>
  <c r="U69" i="7" s="1" a="1"/>
  <c r="U69" i="7" s="1"/>
  <c r="U70" i="7" s="1" a="1"/>
  <c r="U70" i="7" s="1"/>
  <c r="U71" i="7" s="1" a="1"/>
  <c r="U71" i="7" s="1"/>
  <c r="U72" i="7" s="1" a="1"/>
  <c r="U72" i="7" s="1"/>
  <c r="U73" i="7" s="1" a="1"/>
  <c r="U73" i="7" s="1"/>
  <c r="U74" i="7" s="1" a="1"/>
  <c r="U74" i="7" s="1"/>
  <c r="U75" i="7" s="1" a="1"/>
  <c r="U75" i="7" s="1"/>
  <c r="U76" i="7" s="1" a="1"/>
  <c r="U76" i="7" s="1"/>
  <c r="U77" i="7" s="1" a="1"/>
  <c r="U77" i="7" s="1"/>
  <c r="U78" i="7" s="1" a="1"/>
  <c r="U78" i="7" s="1"/>
  <c r="U79" i="7" s="1" a="1"/>
  <c r="U79" i="7" s="1"/>
  <c r="U80" i="7" s="1" a="1"/>
  <c r="U80" i="7" s="1"/>
  <c r="U81" i="7" s="1" a="1"/>
  <c r="U81" i="7" s="1"/>
  <c r="U82" i="7" s="1" a="1"/>
  <c r="U82" i="7" s="1"/>
  <c r="U83" i="7" s="1" a="1"/>
  <c r="U83" i="7" s="1"/>
  <c r="U84" i="7" s="1" a="1"/>
  <c r="U84" i="7" s="1"/>
  <c r="U85" i="7" s="1" a="1"/>
  <c r="U85" i="7" s="1"/>
  <c r="U86" i="7" s="1" a="1"/>
  <c r="U86" i="7" s="1"/>
  <c r="I68" i="7"/>
  <c r="F68" i="7" a="1"/>
  <c r="F68" i="7" s="1"/>
  <c r="F69" i="7" s="1" a="1"/>
  <c r="F69" i="7" s="1"/>
  <c r="F70" i="7" s="1" a="1"/>
  <c r="F70" i="7" s="1"/>
  <c r="F71" i="7" s="1" a="1"/>
  <c r="F71" i="7" s="1"/>
  <c r="F72" i="7" s="1" a="1"/>
  <c r="F72" i="7" s="1"/>
  <c r="F73" i="7" s="1" a="1"/>
  <c r="F73" i="7" s="1"/>
  <c r="F74" i="7" s="1" a="1"/>
  <c r="F74" i="7" s="1"/>
  <c r="F75" i="7" s="1" a="1"/>
  <c r="F75" i="7" s="1"/>
  <c r="F76" i="7" s="1" a="1"/>
  <c r="F76" i="7" s="1"/>
  <c r="F77" i="7" s="1" a="1"/>
  <c r="F77" i="7" s="1"/>
  <c r="F78" i="7" s="1" a="1"/>
  <c r="F78" i="7" s="1"/>
  <c r="F79" i="7" s="1" a="1"/>
  <c r="F79" i="7" s="1"/>
  <c r="F80" i="7" s="1" a="1"/>
  <c r="F80" i="7" s="1"/>
  <c r="F81" i="7" s="1" a="1"/>
  <c r="F81" i="7" s="1"/>
  <c r="F82" i="7" s="1" a="1"/>
  <c r="F82" i="7" s="1"/>
  <c r="F83" i="7" s="1" a="1"/>
  <c r="F83" i="7" s="1"/>
  <c r="F84" i="7" s="1" a="1"/>
  <c r="F84" i="7" s="1"/>
  <c r="F85" i="7" s="1" a="1"/>
  <c r="F85" i="7" s="1"/>
  <c r="F86" i="7" s="1" a="1"/>
  <c r="F86" i="7" s="1"/>
  <c r="U67" i="7"/>
  <c r="U68" i="7" s="1" a="1"/>
  <c r="F67" i="7" a="1"/>
  <c r="F67" i="7"/>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X52" i="7"/>
  <c r="AW52" i="7"/>
  <c r="AW51" i="7" s="1"/>
  <c r="AV52" i="7"/>
  <c r="AU52" i="7"/>
  <c r="AU51" i="7" s="1"/>
  <c r="AT52" i="7"/>
  <c r="AS52" i="7"/>
  <c r="AS51" i="7" s="1"/>
  <c r="AR52" i="7"/>
  <c r="AQ52" i="7"/>
  <c r="AQ51"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X51" i="7"/>
  <c r="AX50" i="7" s="1"/>
  <c r="AV51" i="7"/>
  <c r="AV50" i="7" s="1"/>
  <c r="AT51" i="7"/>
  <c r="AT50" i="7" s="1"/>
  <c r="AR51" i="7"/>
  <c r="AR50" i="7" s="1"/>
  <c r="AP51" i="7"/>
  <c r="AN51" i="7"/>
  <c r="AL51" i="7"/>
  <c r="AJ51" i="7"/>
  <c r="AH51" i="7"/>
  <c r="AF51" i="7"/>
  <c r="AY50" i="7"/>
  <c r="AW50" i="7"/>
  <c r="AU50" i="7"/>
  <c r="AS50" i="7"/>
  <c r="AQ50" i="7"/>
  <c r="AN50" i="7"/>
  <c r="AL50" i="7"/>
  <c r="AJ50" i="7"/>
  <c r="AH50" i="7"/>
  <c r="AF50" i="7"/>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W31" i="7" s="1"/>
  <c r="AW30" i="7" s="1"/>
  <c r="AV35" i="7"/>
  <c r="AU35" i="7"/>
  <c r="AT35" i="7"/>
  <c r="AS35" i="7"/>
  <c r="AS31" i="7" s="1"/>
  <c r="AS30" i="7" s="1"/>
  <c r="AR35" i="7"/>
  <c r="AQ35" i="7"/>
  <c r="AP35" i="7"/>
  <c r="AO35" i="7"/>
  <c r="AO31" i="7" s="1"/>
  <c r="AO30" i="7" s="1"/>
  <c r="AN35" i="7"/>
  <c r="AM35" i="7"/>
  <c r="AL35" i="7"/>
  <c r="AK35" i="7"/>
  <c r="AK31" i="7" s="1"/>
  <c r="AK30" i="7" s="1"/>
  <c r="AJ35" i="7"/>
  <c r="AI35" i="7"/>
  <c r="AH35" i="7"/>
  <c r="AG35" i="7"/>
  <c r="AG31" i="7" s="1"/>
  <c r="AG30" i="7" s="1"/>
  <c r="AF35" i="7"/>
  <c r="AE35" i="7"/>
  <c r="AB34" i="7"/>
  <c r="AB33" i="7"/>
  <c r="AY32" i="7"/>
  <c r="AX32" i="7"/>
  <c r="AX31" i="7" s="1"/>
  <c r="AX30" i="7" s="1"/>
  <c r="AW32" i="7"/>
  <c r="AV32" i="7"/>
  <c r="AV31" i="7" s="1"/>
  <c r="AU32" i="7"/>
  <c r="AT32" i="7"/>
  <c r="AT31" i="7" s="1"/>
  <c r="AT30" i="7" s="1"/>
  <c r="AS32" i="7"/>
  <c r="AR32" i="7"/>
  <c r="AR31" i="7" s="1"/>
  <c r="AQ32" i="7"/>
  <c r="AP32" i="7"/>
  <c r="AP31" i="7" s="1"/>
  <c r="AP30" i="7" s="1"/>
  <c r="AO32" i="7"/>
  <c r="AN32" i="7"/>
  <c r="AN31" i="7" s="1"/>
  <c r="AM32" i="7"/>
  <c r="AL32" i="7"/>
  <c r="AL31" i="7" s="1"/>
  <c r="AL30" i="7" s="1"/>
  <c r="AK32" i="7"/>
  <c r="AJ32" i="7"/>
  <c r="AJ31" i="7" s="1"/>
  <c r="AI32" i="7"/>
  <c r="AH32" i="7"/>
  <c r="AH31" i="7" s="1"/>
  <c r="AH30" i="7" s="1"/>
  <c r="AG32" i="7"/>
  <c r="AF32" i="7"/>
  <c r="AF31" i="7" s="1"/>
  <c r="AE32" i="7"/>
  <c r="AY31" i="7"/>
  <c r="AY30" i="7" s="1"/>
  <c r="AU31" i="7"/>
  <c r="AU30" i="7" s="1"/>
  <c r="AQ31" i="7"/>
  <c r="AQ30" i="7" s="1"/>
  <c r="AM31" i="7"/>
  <c r="AM30" i="7" s="1"/>
  <c r="AI31" i="7"/>
  <c r="AI30" i="7" s="1"/>
  <c r="AE31" i="7"/>
  <c r="AE30" i="7" s="1"/>
  <c r="AV30" i="7"/>
  <c r="AR30" i="7"/>
  <c r="AN30" i="7"/>
  <c r="AJ30" i="7"/>
  <c r="AF30" i="7"/>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AB27" i="7" s="1" a="1"/>
  <c r="AB27"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U6" i="7"/>
  <c r="AT6" i="7"/>
  <c r="AS6" i="7"/>
  <c r="AR6" i="7"/>
  <c r="AQ6" i="7"/>
  <c r="AP6" i="7" a="1"/>
  <c r="AP6" i="7"/>
  <c r="AP8" i="7" s="1"/>
  <c r="AO6" i="7"/>
  <c r="AO8" i="7" s="1"/>
  <c r="AN6" i="7"/>
  <c r="AN2" i="7" s="1"/>
  <c r="AM6" i="7"/>
  <c r="AM8" i="7" s="1"/>
  <c r="AL6" i="7"/>
  <c r="AL8" i="7" s="1"/>
  <c r="AK6" i="7"/>
  <c r="AK8" i="7" s="1"/>
  <c r="AJ6" i="7"/>
  <c r="AJ2" i="7" s="1"/>
  <c r="AI6" i="7"/>
  <c r="AI8" i="7" s="1"/>
  <c r="AH6" i="7"/>
  <c r="AH8" i="7" s="1"/>
  <c r="AG6" i="7"/>
  <c r="AG8" i="7" s="1"/>
  <c r="AF6" i="7" a="1"/>
  <c r="AF6" i="7" s="1"/>
  <c r="AF2" i="7" s="1"/>
  <c r="AE6" i="7"/>
  <c r="AE8" i="7" s="1"/>
  <c r="AQ50" i="6" a="1"/>
  <c r="AQ50" i="6" s="1"/>
  <c r="AP50" i="6" a="1"/>
  <c r="AP50" i="6" s="1"/>
  <c r="AO50" i="6" a="1"/>
  <c r="AO50" i="6" s="1"/>
  <c r="AN50" i="6" a="1"/>
  <c r="AN50" i="6" s="1"/>
  <c r="AC50" i="6"/>
  <c r="AM50" i="6" s="1" a="1"/>
  <c r="AM50" i="6" s="1"/>
  <c r="AQ49" i="6" a="1"/>
  <c r="AQ49" i="6" s="1"/>
  <c r="AP49" i="6" a="1"/>
  <c r="AP49" i="6" s="1"/>
  <c r="AO49" i="6" a="1"/>
  <c r="AO49" i="6" s="1"/>
  <c r="AN49" i="6" a="1"/>
  <c r="AN49" i="6" s="1"/>
  <c r="AM49" i="6" a="1"/>
  <c r="AM49" i="6" s="1"/>
  <c r="AC49" i="6"/>
  <c r="U47" i="6"/>
  <c r="F47" i="6" a="1"/>
  <c r="F47" i="6"/>
  <c r="F48" i="6" s="1" a="1"/>
  <c r="F48" i="6" s="1"/>
  <c r="F49" i="6" s="1" a="1"/>
  <c r="F49" i="6" s="1"/>
  <c r="AQ45" i="6" a="1"/>
  <c r="AQ45" i="6" s="1"/>
  <c r="AP45" i="6" a="1"/>
  <c r="AP45" i="6" s="1"/>
  <c r="AO45" i="6" a="1"/>
  <c r="AO45" i="6" s="1"/>
  <c r="AN45" i="6" a="1"/>
  <c r="AN45" i="6" s="1"/>
  <c r="AM45" i="6" a="1"/>
  <c r="AM45" i="6" s="1"/>
  <c r="AC45" i="6"/>
  <c r="AQ44" i="6" a="1"/>
  <c r="AQ44" i="6" s="1"/>
  <c r="AP44" i="6" a="1"/>
  <c r="AP44" i="6" s="1"/>
  <c r="AO44" i="6" a="1"/>
  <c r="AO44" i="6" s="1"/>
  <c r="AN44" i="6" a="1"/>
  <c r="AN44" i="6" s="1"/>
  <c r="AC44" i="6"/>
  <c r="AM44" i="6" s="1" a="1"/>
  <c r="AM44" i="6" s="1"/>
  <c r="AQ43" i="6" a="1"/>
  <c r="AQ43" i="6" s="1"/>
  <c r="AP43" i="6" a="1"/>
  <c r="AP43" i="6" s="1"/>
  <c r="AO43" i="6" a="1"/>
  <c r="AO43" i="6" s="1"/>
  <c r="AN43" i="6" a="1"/>
  <c r="AN43" i="6" s="1"/>
  <c r="AM43" i="6" a="1"/>
  <c r="AM43" i="6" s="1"/>
  <c r="AC43" i="6"/>
  <c r="AQ42" i="6" a="1"/>
  <c r="AQ42" i="6" s="1"/>
  <c r="AP42" i="6" a="1"/>
  <c r="AP42" i="6" s="1"/>
  <c r="AO42" i="6" a="1"/>
  <c r="AO42" i="6" s="1"/>
  <c r="AN42" i="6" a="1"/>
  <c r="AN42" i="6" s="1"/>
  <c r="AC42" i="6"/>
  <c r="AM42" i="6" s="1" a="1"/>
  <c r="AM42" i="6" s="1"/>
  <c r="AQ41" i="6" a="1"/>
  <c r="AQ41" i="6" s="1"/>
  <c r="AP41" i="6" a="1"/>
  <c r="AP41" i="6" s="1"/>
  <c r="AO41" i="6" a="1"/>
  <c r="AO41" i="6" s="1"/>
  <c r="AN41" i="6" a="1"/>
  <c r="AN41" i="6" s="1"/>
  <c r="AM41" i="6" a="1"/>
  <c r="AM41" i="6" s="1"/>
  <c r="AC41" i="6"/>
  <c r="AQ40" i="6" a="1"/>
  <c r="AQ40" i="6" s="1"/>
  <c r="AP40" i="6" a="1"/>
  <c r="AP40" i="6" s="1"/>
  <c r="AO40" i="6" a="1"/>
  <c r="AO40" i="6" s="1"/>
  <c r="AN40" i="6" a="1"/>
  <c r="AN40" i="6" s="1"/>
  <c r="AC40" i="6"/>
  <c r="AM40" i="6" s="1" a="1"/>
  <c r="AM40" i="6" s="1"/>
  <c r="AQ39" i="6" a="1"/>
  <c r="AQ39" i="6" s="1"/>
  <c r="AP39" i="6" a="1"/>
  <c r="AP39" i="6" s="1"/>
  <c r="AO39" i="6" a="1"/>
  <c r="AO39" i="6" s="1"/>
  <c r="AN39" i="6" a="1"/>
  <c r="AN39" i="6" s="1"/>
  <c r="AM39" i="6" a="1"/>
  <c r="AM39" i="6" s="1"/>
  <c r="AC39" i="6"/>
  <c r="AQ38" i="6" a="1"/>
  <c r="AQ38" i="6" s="1"/>
  <c r="AP38" i="6" a="1"/>
  <c r="AP38" i="6" s="1"/>
  <c r="AO38" i="6" a="1"/>
  <c r="AO38" i="6" s="1"/>
  <c r="AN38" i="6" a="1"/>
  <c r="AN38" i="6" s="1"/>
  <c r="AC38" i="6"/>
  <c r="AM38" i="6" s="1" a="1"/>
  <c r="AM38" i="6" s="1"/>
  <c r="AQ37" i="6" a="1"/>
  <c r="AQ37" i="6" s="1"/>
  <c r="AP37" i="6" a="1"/>
  <c r="AP37" i="6" s="1"/>
  <c r="AO37" i="6" a="1"/>
  <c r="AO37" i="6" s="1"/>
  <c r="AN37" i="6" a="1"/>
  <c r="AN37" i="6" s="1"/>
  <c r="AM37" i="6" a="1"/>
  <c r="AM37" i="6" s="1"/>
  <c r="AC37" i="6"/>
  <c r="AQ36" i="6" a="1"/>
  <c r="AQ36" i="6" s="1"/>
  <c r="AP36" i="6" a="1"/>
  <c r="AP36" i="6" s="1"/>
  <c r="AO36" i="6" a="1"/>
  <c r="AO36" i="6" s="1"/>
  <c r="AN36" i="6" a="1"/>
  <c r="AN36" i="6" s="1"/>
  <c r="AC36" i="6"/>
  <c r="AM36" i="6" s="1" a="1"/>
  <c r="AM36" i="6" s="1"/>
  <c r="AQ35" i="6" a="1"/>
  <c r="AQ35" i="6" s="1"/>
  <c r="AP35" i="6" a="1"/>
  <c r="AP35" i="6" s="1"/>
  <c r="AO35" i="6" a="1"/>
  <c r="AO35" i="6" s="1"/>
  <c r="AN35" i="6" a="1"/>
  <c r="AN35" i="6" s="1"/>
  <c r="AM35" i="6" a="1"/>
  <c r="AM35" i="6" s="1"/>
  <c r="AC35" i="6"/>
  <c r="AQ34" i="6" a="1"/>
  <c r="AQ34" i="6" s="1"/>
  <c r="AP34" i="6" a="1"/>
  <c r="AP34" i="6" s="1"/>
  <c r="AO34" i="6" a="1"/>
  <c r="AO34" i="6" s="1"/>
  <c r="AN34" i="6" a="1"/>
  <c r="AN34" i="6" s="1"/>
  <c r="AC34" i="6"/>
  <c r="AM34" i="6" s="1" a="1"/>
  <c r="AM34" i="6"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F31" i="6" a="1"/>
  <c r="F31" i="6" s="1"/>
  <c r="F32" i="6" s="1" a="1"/>
  <c r="F32" i="6" s="1"/>
  <c r="U30" i="6"/>
  <c r="F30" i="6" a="1"/>
  <c r="F30" i="6"/>
  <c r="AQ28" i="6" a="1"/>
  <c r="AQ28" i="6" s="1"/>
  <c r="AP28" i="6" a="1"/>
  <c r="AP28" i="6" s="1"/>
  <c r="AO28" i="6" a="1"/>
  <c r="AO28" i="6" s="1"/>
  <c r="AN28" i="6" a="1"/>
  <c r="AN28" i="6" s="1"/>
  <c r="AC28" i="6"/>
  <c r="AM28" i="6" s="1" a="1"/>
  <c r="AM28" i="6" s="1"/>
  <c r="U26" i="6"/>
  <c r="F26" i="6" a="1"/>
  <c r="F26" i="6"/>
  <c r="F27" i="6" s="1" a="1"/>
  <c r="F27" i="6" s="1"/>
  <c r="F28" i="6" s="1" a="1"/>
  <c r="F28" i="6" s="1"/>
  <c r="AH9" i="6" a="1"/>
  <c r="AH9" i="6"/>
  <c r="AH6" i="6" a="1"/>
  <c r="AH6" i="6"/>
  <c r="AG6" i="6" a="1"/>
  <c r="AG6" i="6"/>
  <c r="AF6" i="6"/>
  <c r="AE6" i="6"/>
  <c r="AN35" i="5" a="1"/>
  <c r="AN35" i="5"/>
  <c r="AM35" i="5" a="1"/>
  <c r="AM35" i="5"/>
  <c r="AL35" i="5" a="1"/>
  <c r="AL35" i="5"/>
  <c r="AN34" i="5" a="1"/>
  <c r="AN34" i="5" s="1"/>
  <c r="AM34" i="5" a="1"/>
  <c r="AM34" i="5" s="1"/>
  <c r="AL34" i="5" a="1"/>
  <c r="AL34" i="5" s="1"/>
  <c r="U33" i="5"/>
  <c r="U36" i="5" s="1" a="1"/>
  <c r="U36" i="5" s="1"/>
  <c r="U35" i="5" s="1"/>
  <c r="U34" i="5" s="1"/>
  <c r="F33" i="5" a="1"/>
  <c r="F33" i="5" s="1"/>
  <c r="F34" i="5" s="1" a="1"/>
  <c r="F34" i="5" s="1"/>
  <c r="F35" i="5" s="1" a="1"/>
  <c r="F35" i="5" s="1"/>
  <c r="F36" i="5" s="1" a="1"/>
  <c r="F36" i="5" s="1"/>
  <c r="AN31" i="5" a="1"/>
  <c r="AN31" i="5" s="1"/>
  <c r="AM31" i="5" a="1"/>
  <c r="AM31" i="5" s="1"/>
  <c r="AL31" i="5" a="1"/>
  <c r="AL31" i="5" s="1"/>
  <c r="AN30" i="5" a="1"/>
  <c r="AN30" i="5"/>
  <c r="AM30" i="5" a="1"/>
  <c r="AM30" i="5"/>
  <c r="AL30" i="5" a="1"/>
  <c r="AL30" i="5"/>
  <c r="U29" i="5"/>
  <c r="U32" i="5" s="1" a="1"/>
  <c r="U32" i="5" s="1"/>
  <c r="U31" i="5" s="1"/>
  <c r="U30" i="5" s="1"/>
  <c r="F29" i="5" a="1"/>
  <c r="F29" i="5"/>
  <c r="F30" i="5" s="1" a="1"/>
  <c r="F30" i="5" s="1"/>
  <c r="F31" i="5" s="1" a="1"/>
  <c r="F31" i="5" s="1"/>
  <c r="F32" i="5" s="1" a="1"/>
  <c r="F32" i="5" s="1"/>
  <c r="AN27" i="5" a="1"/>
  <c r="AN27" i="5"/>
  <c r="AM27" i="5" a="1"/>
  <c r="AM27" i="5"/>
  <c r="AL27" i="5" a="1"/>
  <c r="AL27" i="5"/>
  <c r="U26" i="5"/>
  <c r="U28" i="5" s="1" a="1"/>
  <c r="U28" i="5" s="1"/>
  <c r="U27" i="5" s="1"/>
  <c r="F26" i="5" a="1"/>
  <c r="F26" i="5"/>
  <c r="F27" i="5" s="1" a="1"/>
  <c r="F27" i="5" s="1"/>
  <c r="F28" i="5" s="1" a="1"/>
  <c r="F28" i="5" s="1"/>
  <c r="AG9" i="5" a="1"/>
  <c r="AG9" i="5"/>
  <c r="AF9" i="5" a="1"/>
  <c r="AF9" i="5"/>
  <c r="AE247" i="4" a="1"/>
  <c r="AE247" i="4"/>
  <c r="AE246" i="4" a="1"/>
  <c r="AE246" i="4"/>
  <c r="AE245" i="4" a="1"/>
  <c r="AE245" i="4"/>
  <c r="AE244" i="4" a="1"/>
  <c r="AE244" i="4"/>
  <c r="AO242" i="4" a="1"/>
  <c r="AO242" i="4"/>
  <c r="W242" i="4"/>
  <c r="AE235" i="4" a="1"/>
  <c r="AE235" i="4" s="1"/>
  <c r="B235" i="4"/>
  <c r="AE234" i="4" a="1"/>
  <c r="AE234" i="4"/>
  <c r="B234" i="4"/>
  <c r="AE233" i="4" a="1"/>
  <c r="AE233" i="4"/>
  <c r="AD234" i="4" s="1"/>
  <c r="AE232" i="4"/>
  <c r="B231" i="4"/>
  <c r="B229" i="4"/>
  <c r="N221" i="4" a="1"/>
  <c r="N221" i="4"/>
  <c r="AO220" i="4" a="1"/>
  <c r="AO220" i="4"/>
  <c r="AO221" i="4" s="1" a="1"/>
  <c r="AO221" i="4" s="1"/>
  <c r="AO222" i="4" s="1" a="1"/>
  <c r="AO222" i="4" s="1"/>
  <c r="AO223" i="4" s="1" a="1"/>
  <c r="AO223" i="4" s="1"/>
  <c r="AO224" i="4" s="1" a="1"/>
  <c r="AO224" i="4" s="1"/>
  <c r="AO225" i="4" s="1" a="1"/>
  <c r="AO225" i="4" s="1"/>
  <c r="AO226" i="4" s="1" a="1"/>
  <c r="AO226" i="4" s="1"/>
  <c r="AO227" i="4" s="1" a="1"/>
  <c r="AO227" i="4" s="1"/>
  <c r="AO228" i="4" s="1" a="1"/>
  <c r="AO228" i="4" s="1"/>
  <c r="AO229" i="4" s="1" a="1"/>
  <c r="AO229" i="4" s="1"/>
  <c r="AO230" i="4" s="1" a="1"/>
  <c r="AO230" i="4" s="1"/>
  <c r="AO231" i="4" s="1" a="1"/>
  <c r="AO231" i="4" s="1"/>
  <c r="AO232" i="4" s="1" a="1"/>
  <c r="AO232" i="4" s="1"/>
  <c r="AO233" i="4" s="1" a="1"/>
  <c r="AO233" i="4" s="1"/>
  <c r="AO234" i="4" s="1" a="1"/>
  <c r="AO234" i="4" s="1"/>
  <c r="AO235" i="4" s="1" a="1"/>
  <c r="AO235" i="4" s="1"/>
  <c r="AM220" i="4" a="1"/>
  <c r="AM220" i="4" s="1"/>
  <c r="AL220" i="4" a="1"/>
  <c r="AL220" i="4" s="1"/>
  <c r="AK220" i="4" a="1"/>
  <c r="AK220" i="4" s="1"/>
  <c r="G75" i="30" s="1" a="1"/>
  <c r="G75" i="30" s="1"/>
  <c r="AJ220" i="4" a="1"/>
  <c r="AJ220" i="4" s="1"/>
  <c r="AI220" i="4" a="1"/>
  <c r="AI220" i="4" s="1"/>
  <c r="AH220" i="4" a="1"/>
  <c r="AH220" i="4" s="1"/>
  <c r="AG220" i="4"/>
  <c r="AD220" i="4"/>
  <c r="W220" i="4"/>
  <c r="W221" i="4" s="1" a="1"/>
  <c r="W221" i="4" s="1"/>
  <c r="W222" i="4" s="1" a="1"/>
  <c r="W222" i="4" s="1"/>
  <c r="W223" i="4" s="1" a="1"/>
  <c r="W223" i="4" s="1"/>
  <c r="W224" i="4" s="1" a="1"/>
  <c r="W224" i="4" s="1"/>
  <c r="W225" i="4" s="1" a="1"/>
  <c r="W225" i="4" s="1"/>
  <c r="W227" i="4" s="1" a="1"/>
  <c r="W227" i="4" s="1"/>
  <c r="W228" i="4" s="1" a="1"/>
  <c r="W228" i="4" s="1"/>
  <c r="W229" i="4" s="1" a="1"/>
  <c r="W229" i="4" s="1"/>
  <c r="W230" i="4" s="1" a="1"/>
  <c r="W230" i="4" s="1"/>
  <c r="W231" i="4" s="1" a="1"/>
  <c r="W231" i="4" s="1"/>
  <c r="G220" i="4" a="1"/>
  <c r="G220" i="4"/>
  <c r="G221" i="4" s="1" a="1"/>
  <c r="G221" i="4" s="1"/>
  <c r="G222" i="4" s="1" a="1"/>
  <c r="G222" i="4" s="1"/>
  <c r="G223" i="4" s="1" a="1"/>
  <c r="G223" i="4" s="1"/>
  <c r="G224" i="4" s="1" a="1"/>
  <c r="G224" i="4" s="1"/>
  <c r="G225" i="4" s="1" a="1"/>
  <c r="G225" i="4" s="1"/>
  <c r="G226" i="4" s="1" a="1"/>
  <c r="G226" i="4" s="1"/>
  <c r="G227" i="4" s="1" a="1"/>
  <c r="G227" i="4" s="1"/>
  <c r="G228" i="4" s="1" a="1"/>
  <c r="G228" i="4" s="1"/>
  <c r="G229" i="4" s="1" a="1"/>
  <c r="G229" i="4" s="1"/>
  <c r="G230" i="4" s="1" a="1"/>
  <c r="G230" i="4" s="1"/>
  <c r="G231" i="4" s="1" a="1"/>
  <c r="G231" i="4" s="1"/>
  <c r="AE219" i="4" a="1"/>
  <c r="AE219" i="4"/>
  <c r="AE218" i="4" a="1"/>
  <c r="AE218" i="4" s="1"/>
  <c r="AE217" i="4" a="1"/>
  <c r="AE217" i="4" s="1"/>
  <c r="AD218" i="4" s="1"/>
  <c r="B217" i="4"/>
  <c r="AE216" i="4"/>
  <c r="B216" i="4"/>
  <c r="B214" i="4"/>
  <c r="W205" i="4" a="1"/>
  <c r="W205" i="4" s="1"/>
  <c r="W206" i="4" s="1" a="1"/>
  <c r="W206" i="4" s="1"/>
  <c r="W207" i="4" s="1" a="1"/>
  <c r="W207" i="4" s="1"/>
  <c r="W208" i="4" s="1" a="1"/>
  <c r="W208" i="4" s="1"/>
  <c r="W209" i="4" s="1" a="1"/>
  <c r="W209" i="4" s="1"/>
  <c r="W211" i="4" s="1" a="1"/>
  <c r="W211" i="4" s="1"/>
  <c r="W212" i="4" s="1" a="1"/>
  <c r="W212" i="4" s="1"/>
  <c r="W213" i="4" s="1" a="1"/>
  <c r="W213" i="4" s="1"/>
  <c r="W214" i="4" s="1" a="1"/>
  <c r="W214" i="4" s="1"/>
  <c r="W215" i="4" s="1" a="1"/>
  <c r="W215" i="4" s="1"/>
  <c r="N205" i="4" a="1"/>
  <c r="N205" i="4" s="1"/>
  <c r="G205" i="4" a="1"/>
  <c r="G205" i="4" s="1"/>
  <c r="G206" i="4" s="1" a="1"/>
  <c r="G206" i="4" s="1"/>
  <c r="G207" i="4" s="1" a="1"/>
  <c r="G207" i="4" s="1"/>
  <c r="G208" i="4" s="1" a="1"/>
  <c r="G208" i="4" s="1"/>
  <c r="G209" i="4" s="1" a="1"/>
  <c r="G209" i="4" s="1"/>
  <c r="G210" i="4" s="1" a="1"/>
  <c r="G210" i="4" s="1"/>
  <c r="G211" i="4" s="1" a="1"/>
  <c r="G211" i="4" s="1"/>
  <c r="G212" i="4" s="1" a="1"/>
  <c r="G212" i="4" s="1"/>
  <c r="G213" i="4" s="1" a="1"/>
  <c r="G213" i="4" s="1"/>
  <c r="G214" i="4" s="1" a="1"/>
  <c r="G214" i="4" s="1"/>
  <c r="G215" i="4" s="1" a="1"/>
  <c r="G215" i="4" s="1"/>
  <c r="AO204" i="4" a="1"/>
  <c r="AO204" i="4" s="1"/>
  <c r="AO205" i="4" s="1" a="1"/>
  <c r="AO205" i="4" s="1"/>
  <c r="AO206" i="4" s="1" a="1"/>
  <c r="AO206" i="4" s="1"/>
  <c r="AO207" i="4" s="1" a="1"/>
  <c r="AO207" i="4" s="1"/>
  <c r="AO208" i="4" s="1" a="1"/>
  <c r="AO208" i="4" s="1"/>
  <c r="AO209" i="4" s="1" a="1"/>
  <c r="AO209" i="4" s="1"/>
  <c r="AO210" i="4" s="1" a="1"/>
  <c r="AO210" i="4" s="1"/>
  <c r="AO211" i="4" s="1" a="1"/>
  <c r="AO211" i="4" s="1"/>
  <c r="AO212" i="4" s="1" a="1"/>
  <c r="AO212" i="4" s="1"/>
  <c r="AO213" i="4" s="1" a="1"/>
  <c r="AO213" i="4" s="1"/>
  <c r="AO214" i="4" s="1" a="1"/>
  <c r="AO214" i="4" s="1"/>
  <c r="AO215" i="4" s="1" a="1"/>
  <c r="AO215" i="4" s="1"/>
  <c r="AO216" i="4" s="1" a="1"/>
  <c r="AO216" i="4" s="1"/>
  <c r="AO217" i="4" s="1" a="1"/>
  <c r="AO217" i="4" s="1"/>
  <c r="AO218" i="4" s="1" a="1"/>
  <c r="AO218" i="4" s="1"/>
  <c r="AO219" i="4" s="1" a="1"/>
  <c r="AO219" i="4" s="1"/>
  <c r="AM204" i="4" a="1"/>
  <c r="AM204" i="4"/>
  <c r="AL204" i="4" a="1"/>
  <c r="AL204" i="4"/>
  <c r="K51" i="30" s="1" a="1"/>
  <c r="K51" i="30" s="1"/>
  <c r="AK204" i="4" a="1"/>
  <c r="AK204" i="4"/>
  <c r="G51" i="30" s="1" a="1"/>
  <c r="G51" i="30" s="1"/>
  <c r="AJ204" i="4" a="1"/>
  <c r="AJ204" i="4"/>
  <c r="AI204" i="4" a="1"/>
  <c r="AI204" i="4"/>
  <c r="AH204" i="4" a="1"/>
  <c r="AH204" i="4"/>
  <c r="AD204" i="4"/>
  <c r="AG204" i="4" s="1"/>
  <c r="W29" i="5" s="1" a="1"/>
  <c r="W29" i="5" s="1"/>
  <c r="W204" i="4"/>
  <c r="G204" i="4" a="1"/>
  <c r="G204" i="4" s="1"/>
  <c r="AE203" i="4" a="1"/>
  <c r="AE203" i="4" s="1"/>
  <c r="B203" i="4"/>
  <c r="AE202" i="4" a="1"/>
  <c r="AE202" i="4"/>
  <c r="B202" i="4"/>
  <c r="AE201" i="4" a="1"/>
  <c r="AE201" i="4"/>
  <c r="AD202" i="4" s="1"/>
  <c r="AE200" i="4"/>
  <c r="B199" i="4"/>
  <c r="B197" i="4"/>
  <c r="N189" i="4" a="1"/>
  <c r="N189" i="4"/>
  <c r="AO188" i="4" a="1"/>
  <c r="AO188" i="4"/>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O202" i="4" s="1" a="1"/>
  <c r="AO202" i="4" s="1"/>
  <c r="AO203" i="4" s="1" a="1"/>
  <c r="AO203" i="4" s="1"/>
  <c r="AM188" i="4" a="1"/>
  <c r="AM188" i="4" s="1"/>
  <c r="AL188" i="4" a="1"/>
  <c r="AL188" i="4" s="1"/>
  <c r="AN188" i="4" s="1"/>
  <c r="AK188" i="4" a="1"/>
  <c r="AK188" i="4" s="1"/>
  <c r="AJ188" i="4" a="1"/>
  <c r="AJ188" i="4" s="1"/>
  <c r="AI188" i="4" a="1"/>
  <c r="AI188" i="4" s="1"/>
  <c r="AH188" i="4" a="1"/>
  <c r="AH188" i="4" s="1"/>
  <c r="AG188" i="4"/>
  <c r="AB28" i="10" s="1" a="1"/>
  <c r="AB28" i="10" s="1"/>
  <c r="AD188" i="4"/>
  <c r="W188" i="4"/>
  <c r="W189" i="4" s="1" a="1"/>
  <c r="W189" i="4" s="1"/>
  <c r="W190" i="4" s="1" a="1"/>
  <c r="W190" i="4" s="1"/>
  <c r="W191" i="4" s="1" a="1"/>
  <c r="W191" i="4" s="1"/>
  <c r="W192" i="4" s="1" a="1"/>
  <c r="W192" i="4" s="1"/>
  <c r="W193" i="4" s="1" a="1"/>
  <c r="W193" i="4" s="1"/>
  <c r="W195" i="4" s="1" a="1"/>
  <c r="W195" i="4" s="1"/>
  <c r="W196" i="4" s="1" a="1"/>
  <c r="W196" i="4" s="1"/>
  <c r="W197" i="4" s="1" a="1"/>
  <c r="W197" i="4" s="1"/>
  <c r="W198" i="4" s="1" a="1"/>
  <c r="W198" i="4" s="1"/>
  <c r="W199" i="4" s="1" a="1"/>
  <c r="W199" i="4" s="1"/>
  <c r="G188" i="4" a="1"/>
  <c r="G188" i="4"/>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G198" i="4" s="1" a="1"/>
  <c r="G198" i="4" s="1"/>
  <c r="G199" i="4" s="1" a="1"/>
  <c r="G199" i="4" s="1"/>
  <c r="AB187" i="4"/>
  <c r="B233" i="4" s="1"/>
  <c r="B186" i="4"/>
  <c r="B185" i="4"/>
  <c r="B184" i="4"/>
  <c r="AF181" i="4"/>
  <c r="AD181" i="4"/>
  <c r="B155" i="4"/>
  <c r="B154" i="4"/>
  <c r="B153" i="4"/>
  <c r="B152" i="4"/>
  <c r="W151" i="4"/>
  <c r="W152" i="4" s="1" a="1"/>
  <c r="W152" i="4" s="1"/>
  <c r="W153" i="4" s="1" a="1"/>
  <c r="W153" i="4" s="1"/>
  <c r="W154" i="4" s="1" a="1"/>
  <c r="W154" i="4" s="1"/>
  <c r="B151" i="4"/>
  <c r="W150" i="4" a="1"/>
  <c r="W150" i="4" s="1"/>
  <c r="W151" i="4" s="1" a="1"/>
  <c r="B150" i="4"/>
  <c r="AO149" i="4" a="1"/>
  <c r="AO149" i="4"/>
  <c r="AO150" i="4" s="1" a="1"/>
  <c r="AO150" i="4" s="1"/>
  <c r="AO151" i="4" s="1" a="1"/>
  <c r="AO151" i="4" s="1"/>
  <c r="AO152" i="4" s="1" a="1"/>
  <c r="AO152" i="4" s="1"/>
  <c r="AO153" i="4" s="1" a="1"/>
  <c r="AO153" i="4" s="1"/>
  <c r="AO154" i="4" s="1" a="1"/>
  <c r="AO154" i="4" s="1"/>
  <c r="W149" i="4"/>
  <c r="B149" i="4"/>
  <c r="B148" i="4"/>
  <c r="B147" i="4"/>
  <c r="B146" i="4"/>
  <c r="B145" i="4"/>
  <c r="W144" i="4"/>
  <c r="W145" i="4" s="1" a="1"/>
  <c r="W145" i="4" s="1"/>
  <c r="W146" i="4" s="1" a="1"/>
  <c r="W146" i="4" s="1"/>
  <c r="W147" i="4" s="1" a="1"/>
  <c r="W147" i="4" s="1"/>
  <c r="W148" i="4" s="1" a="1"/>
  <c r="W148" i="4" s="1"/>
  <c r="B144" i="4"/>
  <c r="AO143" i="4" a="1"/>
  <c r="AO143" i="4" s="1"/>
  <c r="AO144" i="4" s="1" a="1"/>
  <c r="AO144" i="4" s="1"/>
  <c r="AO145" i="4" s="1" a="1"/>
  <c r="AO145" i="4" s="1"/>
  <c r="AO146" i="4" s="1" a="1"/>
  <c r="AO146" i="4" s="1"/>
  <c r="AO147" i="4" s="1" a="1"/>
  <c r="AO147" i="4" s="1"/>
  <c r="AO148" i="4" s="1" a="1"/>
  <c r="AO148" i="4" s="1"/>
  <c r="W143" i="4"/>
  <c r="W144" i="4" s="1" a="1"/>
  <c r="B143" i="4"/>
  <c r="B142" i="4"/>
  <c r="B141" i="4"/>
  <c r="B140" i="4"/>
  <c r="B139" i="4"/>
  <c r="B138" i="4"/>
  <c r="B137" i="4"/>
  <c r="AB136" i="4"/>
  <c r="B135" i="4"/>
  <c r="B134" i="4"/>
  <c r="B133" i="4"/>
  <c r="B132" i="4"/>
  <c r="B131" i="4"/>
  <c r="W130" i="4" a="1"/>
  <c r="W130" i="4" s="1"/>
  <c r="W131" i="4" s="1" a="1"/>
  <c r="W131" i="4" s="1"/>
  <c r="W132" i="4" s="1" a="1"/>
  <c r="W132" i="4" s="1"/>
  <c r="W133" i="4" s="1" a="1"/>
  <c r="W133" i="4" s="1"/>
  <c r="W134" i="4" s="1" a="1"/>
  <c r="W134" i="4" s="1"/>
  <c r="B130" i="4"/>
  <c r="AO129" i="4" a="1"/>
  <c r="AO129" i="4"/>
  <c r="AO130" i="4" s="1" a="1"/>
  <c r="AO130" i="4" s="1"/>
  <c r="AO131" i="4" s="1" a="1"/>
  <c r="AO131" i="4" s="1"/>
  <c r="AO132" i="4" s="1" a="1"/>
  <c r="AO132" i="4" s="1"/>
  <c r="AO133" i="4" s="1" a="1"/>
  <c r="AO133" i="4" s="1"/>
  <c r="AO134" i="4" s="1" a="1"/>
  <c r="AO134" i="4" s="1"/>
  <c r="W129" i="4"/>
  <c r="B129" i="4"/>
  <c r="B128" i="4"/>
  <c r="B127" i="4"/>
  <c r="B126" i="4"/>
  <c r="B125" i="4"/>
  <c r="AO124" i="4"/>
  <c r="AO125" i="4" s="1" a="1"/>
  <c r="AO125" i="4" s="1"/>
  <c r="AO126" i="4" s="1" a="1"/>
  <c r="AO126" i="4" s="1"/>
  <c r="AO127" i="4" s="1" a="1"/>
  <c r="AO127" i="4" s="1"/>
  <c r="AO128" i="4" s="1" a="1"/>
  <c r="AO128" i="4" s="1"/>
  <c r="B124" i="4"/>
  <c r="AO123" i="4" a="1"/>
  <c r="AO123" i="4" s="1"/>
  <c r="AO124" i="4" s="1" a="1"/>
  <c r="W123" i="4"/>
  <c r="W124" i="4" s="1" a="1"/>
  <c r="W124" i="4" s="1"/>
  <c r="W125" i="4" s="1" a="1"/>
  <c r="W125" i="4" s="1"/>
  <c r="W126" i="4" s="1" a="1"/>
  <c r="W126" i="4" s="1"/>
  <c r="W127" i="4" s="1" a="1"/>
  <c r="W127" i="4" s="1"/>
  <c r="W128" i="4" s="1" a="1"/>
  <c r="W128" i="4" s="1"/>
  <c r="B123" i="4"/>
  <c r="B122" i="4"/>
  <c r="B121" i="4"/>
  <c r="B120" i="4"/>
  <c r="B119" i="4"/>
  <c r="B118" i="4"/>
  <c r="B117" i="4"/>
  <c r="AB116" i="4"/>
  <c r="B115" i="4"/>
  <c r="B114" i="4"/>
  <c r="B113" i="4"/>
  <c r="B112" i="4"/>
  <c r="W111" i="4"/>
  <c r="W112" i="4" s="1" a="1"/>
  <c r="W112" i="4" s="1"/>
  <c r="W113" i="4" s="1" a="1"/>
  <c r="W113" i="4" s="1"/>
  <c r="W114" i="4" s="1" a="1"/>
  <c r="W114" i="4" s="1"/>
  <c r="B111" i="4"/>
  <c r="W110" i="4" a="1"/>
  <c r="W110" i="4" s="1"/>
  <c r="W111" i="4" s="1" a="1"/>
  <c r="B110" i="4"/>
  <c r="AO109" i="4" a="1"/>
  <c r="AO109" i="4"/>
  <c r="AO110" i="4" s="1" a="1"/>
  <c r="AO110" i="4" s="1"/>
  <c r="AO111" i="4" s="1" a="1"/>
  <c r="AO111" i="4" s="1"/>
  <c r="AO112" i="4" s="1" a="1"/>
  <c r="AO112" i="4" s="1"/>
  <c r="AO113" i="4" s="1" a="1"/>
  <c r="AO113" i="4" s="1"/>
  <c r="AO114" i="4" s="1" a="1"/>
  <c r="AO114" i="4" s="1"/>
  <c r="W109" i="4"/>
  <c r="B109" i="4"/>
  <c r="B108" i="4"/>
  <c r="B107" i="4"/>
  <c r="B106" i="4"/>
  <c r="B105" i="4"/>
  <c r="W104" i="4"/>
  <c r="W105" i="4" s="1" a="1"/>
  <c r="W105" i="4" s="1"/>
  <c r="W106" i="4" s="1" a="1"/>
  <c r="W106" i="4" s="1"/>
  <c r="W107" i="4" s="1" a="1"/>
  <c r="W107" i="4" s="1"/>
  <c r="W108" i="4" s="1" a="1"/>
  <c r="W108" i="4" s="1"/>
  <c r="B104" i="4"/>
  <c r="AO103" i="4" a="1"/>
  <c r="AO103" i="4" s="1"/>
  <c r="AO104" i="4" s="1" a="1"/>
  <c r="AO104" i="4" s="1"/>
  <c r="AO105" i="4" s="1" a="1"/>
  <c r="AO105" i="4" s="1"/>
  <c r="AO106" i="4" s="1" a="1"/>
  <c r="AO106" i="4" s="1"/>
  <c r="AO107" i="4" s="1" a="1"/>
  <c r="AO107" i="4" s="1"/>
  <c r="AO108" i="4" s="1" a="1"/>
  <c r="AO108" i="4" s="1"/>
  <c r="W103" i="4"/>
  <c r="W104" i="4" s="1" a="1"/>
  <c r="B103" i="4"/>
  <c r="B102" i="4"/>
  <c r="B101" i="4"/>
  <c r="B100" i="4"/>
  <c r="B99" i="4"/>
  <c r="B98" i="4"/>
  <c r="B97" i="4"/>
  <c r="AB96" i="4"/>
  <c r="B95" i="4"/>
  <c r="B94" i="4"/>
  <c r="B93" i="4"/>
  <c r="B92" i="4"/>
  <c r="AO91" i="4"/>
  <c r="AO92" i="4" s="1" a="1"/>
  <c r="AO92" i="4" s="1"/>
  <c r="AO93" i="4" s="1" a="1"/>
  <c r="AO93" i="4" s="1"/>
  <c r="AO94" i="4" s="1" a="1"/>
  <c r="AO94" i="4" s="1"/>
  <c r="B91" i="4"/>
  <c r="AO90" i="4" a="1"/>
  <c r="AO90" i="4" s="1"/>
  <c r="AO91" i="4" s="1" a="1"/>
  <c r="W90" i="4"/>
  <c r="W91" i="4" s="1" a="1"/>
  <c r="W91" i="4" s="1"/>
  <c r="W92" i="4" s="1" a="1"/>
  <c r="W92" i="4" s="1"/>
  <c r="W93" i="4" s="1" a="1"/>
  <c r="W93" i="4" s="1"/>
  <c r="W94" i="4" s="1" a="1"/>
  <c r="W94" i="4" s="1"/>
  <c r="B90" i="4"/>
  <c r="B89" i="4"/>
  <c r="B88" i="4"/>
  <c r="B87" i="4"/>
  <c r="B86" i="4"/>
  <c r="B85" i="4"/>
  <c r="B83" i="4"/>
  <c r="B82" i="4"/>
  <c r="B81" i="4"/>
  <c r="B80" i="4"/>
  <c r="W79" i="4"/>
  <c r="W80" i="4" s="1" a="1"/>
  <c r="W80" i="4" s="1"/>
  <c r="W81" i="4" s="1" a="1"/>
  <c r="W81" i="4" s="1"/>
  <c r="W82" i="4" s="1" a="1"/>
  <c r="W82" i="4" s="1"/>
  <c r="B79" i="4"/>
  <c r="AO78" i="4" a="1"/>
  <c r="AO78" i="4" s="1"/>
  <c r="AO79" i="4" s="1" a="1"/>
  <c r="AO79" i="4" s="1"/>
  <c r="AO80" i="4" s="1" a="1"/>
  <c r="AO80" i="4" s="1"/>
  <c r="AO81" i="4" s="1" a="1"/>
  <c r="AO81" i="4" s="1"/>
  <c r="AO82" i="4" s="1" a="1"/>
  <c r="AO82" i="4" s="1"/>
  <c r="W78" i="4"/>
  <c r="W79" i="4" s="1" a="1"/>
  <c r="B78" i="4"/>
  <c r="B77" i="4"/>
  <c r="B76" i="4"/>
  <c r="B75" i="4"/>
  <c r="B74" i="4"/>
  <c r="B73" i="4"/>
  <c r="B55" i="4"/>
  <c r="B54" i="4"/>
  <c r="AE27" i="4"/>
  <c r="B26" i="4"/>
  <c r="AG25" i="4" a="1"/>
  <c r="AG25" i="4" s="1"/>
  <c r="CQ2" i="12"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8" i="2" s="1"/>
  <c r="H25" i="2"/>
  <c r="H26" i="2" s="1"/>
  <c r="H27" i="2" s="1"/>
  <c r="G216" i="4" l="1" a="1"/>
  <c r="G216" i="4" s="1"/>
  <c r="G217" i="4" a="1"/>
  <c r="G217" i="4" s="1"/>
  <c r="G218" i="4" s="1" a="1"/>
  <c r="G218" i="4" s="1"/>
  <c r="G219" i="4" s="1" a="1"/>
  <c r="G219" i="4" s="1"/>
  <c r="W217" i="4" a="1"/>
  <c r="W217" i="4" s="1"/>
  <c r="W218" i="4" s="1" a="1"/>
  <c r="W218" i="4" s="1"/>
  <c r="W219" i="4" s="1" a="1"/>
  <c r="W219" i="4" s="1"/>
  <c r="W216" i="4" a="1"/>
  <c r="W216" i="4" s="1"/>
  <c r="U32" i="6"/>
  <c r="F33" i="6" a="1"/>
  <c r="F33" i="6" s="1"/>
  <c r="U49" i="6"/>
  <c r="F50" i="6" a="1"/>
  <c r="F50" i="6" s="1"/>
  <c r="F30" i="8" a="1"/>
  <c r="F30" i="8" s="1"/>
  <c r="U29" i="8"/>
  <c r="F30" i="9" a="1"/>
  <c r="F30" i="9" s="1"/>
  <c r="U29" i="9"/>
  <c r="AJ76" i="10"/>
  <c r="AJ72" i="10"/>
  <c r="AJ67" i="10"/>
  <c r="AJ75" i="10" s="1"/>
  <c r="AR76" i="10"/>
  <c r="AR72" i="10"/>
  <c r="AR67" i="10"/>
  <c r="AR75" i="10" s="1"/>
  <c r="AZ76" i="10"/>
  <c r="AZ72" i="10"/>
  <c r="AZ67" i="10"/>
  <c r="AZ75" i="10" s="1"/>
  <c r="AG72" i="10"/>
  <c r="AG67" i="10"/>
  <c r="AG75" i="10" s="1"/>
  <c r="AG76" i="10"/>
  <c r="AO72" i="10"/>
  <c r="AO67" i="10"/>
  <c r="AO75" i="10" s="1"/>
  <c r="AO76" i="10"/>
  <c r="AW72" i="10"/>
  <c r="AW67" i="10"/>
  <c r="AW75" i="10" s="1"/>
  <c r="AW76" i="10"/>
  <c r="AG144" i="10"/>
  <c r="AG135" i="10"/>
  <c r="AG143" i="10" s="1"/>
  <c r="AG140" i="10"/>
  <c r="AO144" i="10"/>
  <c r="AO135" i="10"/>
  <c r="AO143" i="10" s="1"/>
  <c r="AO140" i="10"/>
  <c r="AW144" i="10"/>
  <c r="AW135" i="10"/>
  <c r="AW143" i="10" s="1"/>
  <c r="AW140" i="10"/>
  <c r="BA144" i="10"/>
  <c r="BA135" i="10"/>
  <c r="BA143" i="10" s="1"/>
  <c r="BA140" i="10"/>
  <c r="AF140" i="10"/>
  <c r="AF135" i="10"/>
  <c r="AF143" i="10" s="1"/>
  <c r="AF144" i="10"/>
  <c r="AJ140" i="10"/>
  <c r="AJ135" i="10"/>
  <c r="AJ143" i="10" s="1"/>
  <c r="AJ144" i="10"/>
  <c r="AN140" i="10"/>
  <c r="AN135" i="10"/>
  <c r="AN143" i="10" s="1"/>
  <c r="AN144" i="10"/>
  <c r="AR140" i="10"/>
  <c r="AR135" i="10"/>
  <c r="AR143" i="10" s="1"/>
  <c r="AR144" i="10"/>
  <c r="AV140" i="10"/>
  <c r="AV144" i="10"/>
  <c r="AV135" i="10"/>
  <c r="AV143" i="10" s="1"/>
  <c r="AZ140" i="10"/>
  <c r="AZ144" i="10"/>
  <c r="AZ135" i="10"/>
  <c r="AZ143" i="10" s="1"/>
  <c r="AE144" i="10"/>
  <c r="AE135" i="10"/>
  <c r="AE143" i="10" s="1"/>
  <c r="AE140" i="10"/>
  <c r="AI144" i="10"/>
  <c r="AI135" i="10"/>
  <c r="AI143" i="10" s="1"/>
  <c r="AI140" i="10"/>
  <c r="AM144" i="10"/>
  <c r="AM135" i="10"/>
  <c r="AM143" i="10" s="1"/>
  <c r="AM140" i="10"/>
  <c r="AO208" i="10"/>
  <c r="AO203" i="10"/>
  <c r="AO211" i="10" s="1"/>
  <c r="AO212" i="10"/>
  <c r="AS208" i="10"/>
  <c r="AS203" i="10"/>
  <c r="AS211" i="10" s="1"/>
  <c r="AS212" i="10"/>
  <c r="AW208" i="10"/>
  <c r="AW203" i="10"/>
  <c r="AW211" i="10" s="1"/>
  <c r="AW212" i="10"/>
  <c r="BA208" i="10"/>
  <c r="BA203" i="10"/>
  <c r="BA211" i="10" s="1"/>
  <c r="BA212" i="10"/>
  <c r="S42" i="12" a="1"/>
  <c r="S42" i="12" s="1"/>
  <c r="U41" i="12"/>
  <c r="G201" i="4" a="1"/>
  <c r="G201" i="4" s="1"/>
  <c r="G202" i="4" s="1" a="1"/>
  <c r="G202" i="4" s="1"/>
  <c r="G203" i="4" s="1" a="1"/>
  <c r="G203" i="4" s="1"/>
  <c r="G200" i="4" a="1"/>
  <c r="G200" i="4" s="1"/>
  <c r="W201" i="4" a="1"/>
  <c r="W201" i="4" s="1"/>
  <c r="W202" i="4" s="1" a="1"/>
  <c r="W202" i="4" s="1"/>
  <c r="W203" i="4" s="1" a="1"/>
  <c r="W203" i="4" s="1"/>
  <c r="W200" i="4" a="1"/>
  <c r="W200" i="4" s="1"/>
  <c r="G233" i="4" a="1"/>
  <c r="G233" i="4" s="1"/>
  <c r="G234" i="4" s="1" a="1"/>
  <c r="G234" i="4" s="1"/>
  <c r="G235" i="4" s="1" a="1"/>
  <c r="G235" i="4" s="1"/>
  <c r="G232" i="4" a="1"/>
  <c r="G232" i="4" s="1"/>
  <c r="W233" i="4" a="1"/>
  <c r="W233" i="4" s="1"/>
  <c r="W234" i="4" s="1" a="1"/>
  <c r="W234" i="4" s="1"/>
  <c r="W235" i="4" s="1" a="1"/>
  <c r="W235" i="4" s="1"/>
  <c r="W232" i="4" a="1"/>
  <c r="W232" i="4" s="1"/>
  <c r="U28" i="6"/>
  <c r="F29" i="6" a="1"/>
  <c r="F29" i="6" s="1"/>
  <c r="U29" i="6" s="1"/>
  <c r="AF76" i="10"/>
  <c r="AF72" i="10"/>
  <c r="AF67" i="10"/>
  <c r="AF75" i="10" s="1"/>
  <c r="AN76" i="10"/>
  <c r="AN72" i="10"/>
  <c r="AN67" i="10"/>
  <c r="AN75" i="10" s="1"/>
  <c r="AV76" i="10"/>
  <c r="AV72" i="10"/>
  <c r="AV67" i="10"/>
  <c r="AV75" i="10" s="1"/>
  <c r="AK72" i="10"/>
  <c r="AK67" i="10"/>
  <c r="AK75" i="10" s="1"/>
  <c r="AK76" i="10"/>
  <c r="AS72" i="10"/>
  <c r="AS67" i="10"/>
  <c r="AS75" i="10" s="1"/>
  <c r="AS76" i="10"/>
  <c r="BA72" i="10"/>
  <c r="BA67" i="10"/>
  <c r="BA75" i="10" s="1"/>
  <c r="BA76" i="10"/>
  <c r="AE72" i="10"/>
  <c r="AE67" i="10"/>
  <c r="AE75" i="10" s="1"/>
  <c r="AE76" i="10"/>
  <c r="AI72" i="10"/>
  <c r="AI67" i="10"/>
  <c r="AI75" i="10" s="1"/>
  <c r="AI76" i="10"/>
  <c r="AM72" i="10"/>
  <c r="AM67" i="10"/>
  <c r="AM75" i="10" s="1"/>
  <c r="AM76" i="10"/>
  <c r="AQ72" i="10"/>
  <c r="AQ67" i="10"/>
  <c r="AQ75" i="10" s="1"/>
  <c r="AQ76" i="10"/>
  <c r="AU72" i="10"/>
  <c r="AU67" i="10"/>
  <c r="AU75" i="10" s="1"/>
  <c r="AU76" i="10"/>
  <c r="AY72" i="10"/>
  <c r="AY67" i="10"/>
  <c r="AY75" i="10" s="1"/>
  <c r="AY76" i="10"/>
  <c r="AH76" i="10"/>
  <c r="AH72" i="10"/>
  <c r="AH67" i="10"/>
  <c r="AH75" i="10" s="1"/>
  <c r="AL76" i="10"/>
  <c r="AL72" i="10"/>
  <c r="AL67" i="10"/>
  <c r="AL75" i="10" s="1"/>
  <c r="AP76" i="10"/>
  <c r="AP72" i="10"/>
  <c r="AP67" i="10"/>
  <c r="AP75" i="10" s="1"/>
  <c r="AT76" i="10"/>
  <c r="AT72" i="10"/>
  <c r="AT67" i="10"/>
  <c r="AT75" i="10" s="1"/>
  <c r="AX76" i="10"/>
  <c r="AX72" i="10"/>
  <c r="AX67" i="10"/>
  <c r="AX75" i="10" s="1"/>
  <c r="BB76" i="10"/>
  <c r="BB72" i="10"/>
  <c r="BB67" i="10"/>
  <c r="BB75" i="10" s="1"/>
  <c r="AK144" i="10"/>
  <c r="AK135" i="10"/>
  <c r="AK143" i="10" s="1"/>
  <c r="AK140" i="10"/>
  <c r="AQ144" i="10"/>
  <c r="AQ135" i="10"/>
  <c r="AQ143" i="10" s="1"/>
  <c r="AQ140" i="10"/>
  <c r="AU144" i="10"/>
  <c r="AU135" i="10"/>
  <c r="AU143" i="10" s="1"/>
  <c r="AU140" i="10"/>
  <c r="AY144" i="10"/>
  <c r="AY135" i="10"/>
  <c r="AY143" i="10" s="1"/>
  <c r="AY140" i="10"/>
  <c r="AL140" i="10"/>
  <c r="AL144" i="10"/>
  <c r="AL135" i="10"/>
  <c r="AL143" i="10" s="1"/>
  <c r="AP140" i="10"/>
  <c r="AP144" i="10"/>
  <c r="AP135" i="10"/>
  <c r="AP143" i="10" s="1"/>
  <c r="AT140" i="10"/>
  <c r="AT144" i="10"/>
  <c r="AT135" i="10"/>
  <c r="AT143" i="10" s="1"/>
  <c r="AX140" i="10"/>
  <c r="AX144" i="10"/>
  <c r="AX135" i="10"/>
  <c r="AX143" i="10" s="1"/>
  <c r="BB140" i="10"/>
  <c r="BB144" i="10"/>
  <c r="BB135" i="10"/>
  <c r="BB143" i="10" s="1"/>
  <c r="AE208" i="10"/>
  <c r="AE203" i="10"/>
  <c r="AE211" i="10" s="1"/>
  <c r="AE212" i="10"/>
  <c r="AI208" i="10"/>
  <c r="AI203" i="10"/>
  <c r="AI211" i="10" s="1"/>
  <c r="AI212" i="10"/>
  <c r="AM208" i="10"/>
  <c r="AM203" i="10"/>
  <c r="AM211" i="10" s="1"/>
  <c r="AM212" i="10"/>
  <c r="AQ208" i="10"/>
  <c r="AQ203" i="10"/>
  <c r="AQ211" i="10" s="1"/>
  <c r="AQ212" i="10"/>
  <c r="AU208" i="10"/>
  <c r="AU203" i="10"/>
  <c r="AU211" i="10" s="1"/>
  <c r="AU212" i="10"/>
  <c r="AY208" i="10"/>
  <c r="AY203" i="10"/>
  <c r="AY211" i="10" s="1"/>
  <c r="AY212" i="10"/>
  <c r="AF212" i="10"/>
  <c r="AF208" i="10"/>
  <c r="AF203" i="10"/>
  <c r="AF211" i="10" s="1"/>
  <c r="AJ212" i="10"/>
  <c r="AJ208" i="10"/>
  <c r="AJ203" i="10"/>
  <c r="AJ211" i="10" s="1"/>
  <c r="AN212" i="10"/>
  <c r="AN208" i="10"/>
  <c r="AN203" i="10"/>
  <c r="AN211" i="10" s="1"/>
  <c r="AR212" i="10"/>
  <c r="AR208" i="10"/>
  <c r="AR203" i="10"/>
  <c r="AR211" i="10" s="1"/>
  <c r="AV212" i="10"/>
  <c r="AV208" i="10"/>
  <c r="AV203" i="10"/>
  <c r="AV211" i="10" s="1"/>
  <c r="AZ212" i="10"/>
  <c r="AZ208" i="10"/>
  <c r="AZ203" i="10"/>
  <c r="AZ211" i="10" s="1"/>
  <c r="AH212" i="10"/>
  <c r="AH208" i="10"/>
  <c r="AH203" i="10"/>
  <c r="AH211" i="10" s="1"/>
  <c r="AL212" i="10"/>
  <c r="AL208" i="10"/>
  <c r="AL203" i="10"/>
  <c r="AL211" i="10" s="1"/>
  <c r="AP212" i="10"/>
  <c r="AP208" i="10"/>
  <c r="AP203" i="10"/>
  <c r="AP211" i="10" s="1"/>
  <c r="AT212" i="10"/>
  <c r="AT208" i="10"/>
  <c r="AT203" i="10"/>
  <c r="AT211" i="10" s="1"/>
  <c r="AX212" i="10"/>
  <c r="AX208" i="10"/>
  <c r="AX203" i="10"/>
  <c r="AX211" i="10" s="1"/>
  <c r="BB212" i="10"/>
  <c r="BB208" i="10"/>
  <c r="BB203" i="10"/>
  <c r="BB211" i="10" s="1"/>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B35" i="4"/>
  <c r="AL33" i="4"/>
  <c r="AN204" i="4"/>
  <c r="AB33" i="5" a="1"/>
  <c r="AB33" i="5" s="1"/>
  <c r="W33" i="5" a="1"/>
  <c r="W33" i="5" s="1"/>
  <c r="AB26" i="5" a="1"/>
  <c r="AB26" i="5" s="1"/>
  <c r="AB29" i="5" a="1"/>
  <c r="AB29" i="5" s="1"/>
  <c r="AH2" i="7"/>
  <c r="AL2" i="7"/>
  <c r="AP2" i="7"/>
  <c r="AT2" i="7"/>
  <c r="AX2" i="7"/>
  <c r="AQ8" i="7"/>
  <c r="AQ2" i="7"/>
  <c r="AS8" i="7"/>
  <c r="AS2" i="7"/>
  <c r="AU8" i="7"/>
  <c r="AU2" i="7"/>
  <c r="AW8" i="7"/>
  <c r="AW2" i="7"/>
  <c r="AY8" i="7"/>
  <c r="AY2" i="7"/>
  <c r="AF8" i="7"/>
  <c r="AJ8" i="7"/>
  <c r="AN8" i="7"/>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G2" i="8"/>
  <c r="AK2" i="8"/>
  <c r="AO2" i="8"/>
  <c r="AS2" i="8"/>
  <c r="AW2" i="8"/>
  <c r="U28" i="8"/>
  <c r="AH2" i="9"/>
  <c r="AL2" i="9"/>
  <c r="AP2" i="9"/>
  <c r="AT2" i="9"/>
  <c r="AX2" i="9"/>
  <c r="U28" i="9"/>
  <c r="F43" i="9" a="1"/>
  <c r="F43" i="9" s="1"/>
  <c r="AK2" i="10"/>
  <c r="AO2" i="10"/>
  <c r="AS2" i="10"/>
  <c r="AW2" i="10"/>
  <c r="BA2" i="10"/>
  <c r="H28" i="10" a="1"/>
  <c r="H28" i="10" s="1"/>
  <c r="G28" i="10" a="1"/>
  <c r="G28" i="10" s="1"/>
  <c r="T28" i="10" s="1"/>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51" i="10"/>
  <c r="AB65" i="10"/>
  <c r="AB59" i="10"/>
  <c r="AH74" i="10"/>
  <c r="AL74" i="10"/>
  <c r="AP74" i="10"/>
  <c r="AT74" i="10"/>
  <c r="AX74" i="10"/>
  <c r="BB74" i="10"/>
  <c r="AB103" i="10"/>
  <c r="AB102" i="10"/>
  <c r="AH101" i="10"/>
  <c r="AH97" i="10" s="1"/>
  <c r="AB111" i="10"/>
  <c r="AH113" i="10"/>
  <c r="AH125" i="10" s="1"/>
  <c r="AH126" i="10" s="1"/>
  <c r="AE142" i="10"/>
  <c r="AW142" i="10"/>
  <c r="BA142" i="10"/>
  <c r="AB146" i="10"/>
  <c r="AL151" i="10"/>
  <c r="AP151" i="10"/>
  <c r="AB201" i="10"/>
  <c r="AB195" i="10"/>
  <c r="AH210" i="10"/>
  <c r="AL210" i="10"/>
  <c r="AP210" i="10"/>
  <c r="AT210" i="10"/>
  <c r="AX210" i="10"/>
  <c r="BB210" i="10"/>
  <c r="AF219" i="10"/>
  <c r="AJ219" i="10"/>
  <c r="AN219" i="10"/>
  <c r="AR219" i="10"/>
  <c r="AV219" i="10"/>
  <c r="AZ219" i="10"/>
  <c r="AI2" i="11"/>
  <c r="AM2" i="11"/>
  <c r="AQ2" i="11"/>
  <c r="AU2" i="11"/>
  <c r="AY2" i="11"/>
  <c r="AJ8" i="11"/>
  <c r="AJ2" i="11"/>
  <c r="AL8" i="11"/>
  <c r="AL2" i="11"/>
  <c r="AN8" i="11"/>
  <c r="AN2" i="11"/>
  <c r="AP8" i="11"/>
  <c r="AP2" i="11"/>
  <c r="AR8" i="11"/>
  <c r="AR2" i="11"/>
  <c r="G42" i="11" a="1"/>
  <c r="G42" i="11" s="1"/>
  <c r="T42" i="11" s="1"/>
  <c r="T43" i="11" s="1" a="1"/>
  <c r="T43" i="11" s="1"/>
  <c r="T44" i="11" s="1" a="1"/>
  <c r="T44" i="11" s="1"/>
  <c r="T45" i="11" s="1" a="1"/>
  <c r="T45" i="11" s="1"/>
  <c r="T46" i="11" s="1" a="1"/>
  <c r="T46" i="11" s="1"/>
  <c r="T47" i="11" s="1" a="1"/>
  <c r="T47" i="11" s="1"/>
  <c r="T48" i="11" s="1" a="1"/>
  <c r="T48" i="11" s="1"/>
  <c r="F43" i="11" a="1"/>
  <c r="F43" i="11" s="1"/>
  <c r="F44" i="11" s="1" a="1"/>
  <c r="F44" i="11" s="1"/>
  <c r="F45" i="11" s="1" a="1"/>
  <c r="F45" i="11" s="1"/>
  <c r="F46" i="11" s="1" a="1"/>
  <c r="F46" i="11" s="1"/>
  <c r="F47" i="11" s="1" a="1"/>
  <c r="F47" i="11" s="1"/>
  <c r="F48" i="11" s="1" a="1"/>
  <c r="F48" i="11" s="1"/>
  <c r="AQ2" i="12"/>
  <c r="AU2" i="12"/>
  <c r="AY2" i="12"/>
  <c r="BC2" i="12"/>
  <c r="BG2" i="12"/>
  <c r="BK2" i="12"/>
  <c r="BO2" i="12"/>
  <c r="BS2" i="12"/>
  <c r="BW2" i="12"/>
  <c r="CA2" i="12"/>
  <c r="CE2" i="12"/>
  <c r="CI2" i="12"/>
  <c r="CM2" i="12"/>
  <c r="AP2" i="12"/>
  <c r="AR2" i="12"/>
  <c r="AT2" i="12"/>
  <c r="AV2" i="12"/>
  <c r="AX2" i="12"/>
  <c r="AZ2" i="12"/>
  <c r="BB2" i="12"/>
  <c r="BD2" i="12"/>
  <c r="BF2" i="12"/>
  <c r="BH2" i="12"/>
  <c r="BJ2" i="12"/>
  <c r="BL2" i="12"/>
  <c r="BN2" i="12"/>
  <c r="BP2" i="12"/>
  <c r="BR2" i="12"/>
  <c r="H28" i="12" a="1"/>
  <c r="H28" i="12" s="1"/>
  <c r="J28" i="12" a="1"/>
  <c r="J28" i="12" s="1"/>
  <c r="L28" i="12" a="1"/>
  <c r="L28" i="12" s="1"/>
  <c r="L29" i="12" s="1" a="1"/>
  <c r="L29" i="12" s="1"/>
  <c r="AH39" i="12"/>
  <c r="AH37" i="12"/>
  <c r="AJ39" i="12"/>
  <c r="AJ37" i="12"/>
  <c r="AN39" i="12"/>
  <c r="AN37" i="12"/>
  <c r="AV39" i="12"/>
  <c r="AV37" i="12"/>
  <c r="AZ39" i="12"/>
  <c r="AZ37" i="12"/>
  <c r="BH39" i="12"/>
  <c r="BH37" i="12"/>
  <c r="BL39" i="12"/>
  <c r="BL37" i="12"/>
  <c r="BT39" i="12"/>
  <c r="BT37" i="12"/>
  <c r="BX39" i="12"/>
  <c r="BX37" i="12"/>
  <c r="CF39" i="12"/>
  <c r="CF37" i="12"/>
  <c r="CJ39" i="12"/>
  <c r="CJ37" i="12"/>
  <c r="CR39" i="12"/>
  <c r="CR37" i="12"/>
  <c r="AO32" i="12"/>
  <c r="AO30" i="12"/>
  <c r="AO35" i="12" s="1"/>
  <c r="AU32" i="12"/>
  <c r="AU30" i="12"/>
  <c r="AU35" i="12" s="1"/>
  <c r="BA32" i="12"/>
  <c r="BA30" i="12"/>
  <c r="BA35" i="12" s="1"/>
  <c r="BG32" i="12"/>
  <c r="BG30" i="12"/>
  <c r="BG35" i="12" s="1"/>
  <c r="BM32" i="12"/>
  <c r="BM30" i="12"/>
  <c r="BM35" i="12" s="1"/>
  <c r="BS32" i="12"/>
  <c r="BS30" i="12"/>
  <c r="BS35" i="12" s="1"/>
  <c r="BY32" i="12"/>
  <c r="BY30" i="12"/>
  <c r="BY35" i="12" s="1"/>
  <c r="CE32" i="12"/>
  <c r="CE30" i="12"/>
  <c r="CE35" i="12" s="1"/>
  <c r="CK32" i="12"/>
  <c r="CK30" i="12"/>
  <c r="CK35" i="12" s="1"/>
  <c r="CQ32" i="12"/>
  <c r="CQ30" i="12"/>
  <c r="CQ35" i="12" s="1"/>
  <c r="AI37" i="12"/>
  <c r="AM37" i="12"/>
  <c r="AQ37" i="12"/>
  <c r="AY37" i="12"/>
  <c r="BC37" i="12"/>
  <c r="BK37" i="12"/>
  <c r="BO37" i="12"/>
  <c r="BW37" i="12"/>
  <c r="CA37" i="12"/>
  <c r="CI37" i="12"/>
  <c r="CM37" i="12"/>
  <c r="AL39" i="12"/>
  <c r="AR39" i="12"/>
  <c r="AX39" i="12"/>
  <c r="BD39" i="12"/>
  <c r="BJ39" i="12"/>
  <c r="BP39" i="12"/>
  <c r="BV39" i="12"/>
  <c r="CB39" i="12"/>
  <c r="CH39" i="12"/>
  <c r="CN39" i="12"/>
  <c r="AK39" i="12"/>
  <c r="AS39" i="12"/>
  <c r="AW39" i="12"/>
  <c r="BE39" i="12"/>
  <c r="BI39" i="12"/>
  <c r="BQ39" i="12"/>
  <c r="BU39" i="12"/>
  <c r="CC39" i="12"/>
  <c r="CG39" i="12"/>
  <c r="CO39" i="12"/>
  <c r="CS39" i="12"/>
  <c r="AJ40" i="12"/>
  <c r="AN40" i="12"/>
  <c r="AV40" i="12"/>
  <c r="AZ40" i="12"/>
  <c r="BH40" i="12"/>
  <c r="BL40" i="12"/>
  <c r="BT40" i="12"/>
  <c r="BX40" i="12"/>
  <c r="CF40" i="12"/>
  <c r="CJ40" i="12"/>
  <c r="CR40" i="12"/>
  <c r="AO46" i="12"/>
  <c r="AU46" i="12"/>
  <c r="BA46" i="12"/>
  <c r="BG46" i="12"/>
  <c r="BM46" i="12"/>
  <c r="BS46" i="12"/>
  <c r="BY46" i="12"/>
  <c r="CE46" i="12"/>
  <c r="CK46" i="12"/>
  <c r="AI126" i="12"/>
  <c r="AI103" i="12"/>
  <c r="AI102" i="12" s="1"/>
  <c r="AI99" i="12"/>
  <c r="AI77" i="12"/>
  <c r="AI76" i="12" s="1"/>
  <c r="AI73" i="12"/>
  <c r="AI54" i="12"/>
  <c r="AI123" i="12"/>
  <c r="AI122" i="12" s="1"/>
  <c r="AI119" i="12"/>
  <c r="AI116" i="12"/>
  <c r="AI115" i="12" s="1"/>
  <c r="AI112" i="12"/>
  <c r="AI90" i="12"/>
  <c r="AI89" i="12" s="1"/>
  <c r="AI86" i="12"/>
  <c r="AK55" i="12"/>
  <c r="AK52" i="12"/>
  <c r="AK133"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L139" i="12" a="1"/>
  <c r="L139" i="12" s="1"/>
  <c r="L140" i="12" s="1" a="1"/>
  <c r="L140" i="12" s="1"/>
  <c r="K139" i="12" a="1"/>
  <c r="K139" i="12" s="1"/>
  <c r="J139" i="12" a="1"/>
  <c r="J139" i="12" s="1"/>
  <c r="I139" i="12" a="1"/>
  <c r="I139" i="12" s="1"/>
  <c r="H139" i="12" a="1"/>
  <c r="H139" i="12" s="1"/>
  <c r="G139" i="12" a="1"/>
  <c r="G139" i="12" s="1"/>
  <c r="AH150" i="12"/>
  <c r="AH148" i="12"/>
  <c r="AH151" i="12"/>
  <c r="AJ150" i="12"/>
  <c r="AJ148" i="12"/>
  <c r="AJ151" i="12"/>
  <c r="AN150" i="12"/>
  <c r="AN148" i="12"/>
  <c r="AN151" i="12"/>
  <c r="AV150" i="12"/>
  <c r="AV148" i="12"/>
  <c r="AV151" i="12"/>
  <c r="AZ150" i="12"/>
  <c r="AZ148" i="12"/>
  <c r="AZ151" i="12"/>
  <c r="BH150" i="12"/>
  <c r="BH148" i="12"/>
  <c r="BH151" i="12"/>
  <c r="BL150" i="12"/>
  <c r="BL148" i="12"/>
  <c r="BL151" i="12"/>
  <c r="BT150" i="12"/>
  <c r="BT148" i="12"/>
  <c r="BT151" i="12"/>
  <c r="BX150" i="12"/>
  <c r="BX148" i="12"/>
  <c r="BX151" i="12"/>
  <c r="CF150" i="12"/>
  <c r="CF148" i="12"/>
  <c r="CF151" i="12"/>
  <c r="CJ150" i="12"/>
  <c r="CJ148" i="12"/>
  <c r="CJ151" i="12"/>
  <c r="CR150" i="12"/>
  <c r="CR148" i="12"/>
  <c r="CR151" i="12"/>
  <c r="AL148" i="12"/>
  <c r="AR148" i="12"/>
  <c r="AX148" i="12"/>
  <c r="BD148" i="12"/>
  <c r="BJ148" i="12"/>
  <c r="BP148" i="12"/>
  <c r="BV148" i="12"/>
  <c r="CB148" i="12"/>
  <c r="CH148" i="12"/>
  <c r="CN148" i="12"/>
  <c r="AL150" i="12"/>
  <c r="AR150" i="12"/>
  <c r="AX150" i="12"/>
  <c r="BD150" i="12"/>
  <c r="BJ150" i="12"/>
  <c r="BP150" i="12"/>
  <c r="BV150" i="12"/>
  <c r="CB150" i="12"/>
  <c r="CH150" i="12"/>
  <c r="CN150" i="12"/>
  <c r="AH168" i="12"/>
  <c r="AH183" i="12" s="1"/>
  <c r="AH167" i="12"/>
  <c r="AH182" i="12" s="1"/>
  <c r="AH166" i="12"/>
  <c r="AH163" i="12"/>
  <c r="AJ281" i="12"/>
  <c r="AJ277" i="12"/>
  <c r="AJ266" i="12"/>
  <c r="AJ246" i="12"/>
  <c r="AJ244" i="12"/>
  <c r="AJ278" i="12"/>
  <c r="AJ265" i="12"/>
  <c r="AJ259" i="12"/>
  <c r="AJ225" i="12"/>
  <c r="AJ223" i="12"/>
  <c r="AJ217" i="12"/>
  <c r="AJ203" i="12"/>
  <c r="AJ276" i="12"/>
  <c r="AJ270" i="12"/>
  <c r="AJ267" i="12"/>
  <c r="AJ245" i="12"/>
  <c r="AJ238" i="12"/>
  <c r="AJ224" i="12"/>
  <c r="AJ204" i="12"/>
  <c r="AJ202" i="12"/>
  <c r="AJ201" i="12" s="1"/>
  <c r="AJ196" i="12"/>
  <c r="AL158" i="12"/>
  <c r="AL157" i="12" s="1"/>
  <c r="AR158" i="12"/>
  <c r="AR157" i="12" s="1"/>
  <c r="AX158" i="12"/>
  <c r="AX157" i="12" s="1"/>
  <c r="BD158" i="12"/>
  <c r="BD157" i="12" s="1"/>
  <c r="BJ158" i="12"/>
  <c r="BJ157" i="12" s="1"/>
  <c r="BP158" i="12"/>
  <c r="BP157" i="12" s="1"/>
  <c r="BV158" i="12"/>
  <c r="BV157" i="12" s="1"/>
  <c r="CB158" i="12"/>
  <c r="CB157" i="12" s="1"/>
  <c r="CH158" i="12"/>
  <c r="CH157" i="12" s="1"/>
  <c r="CN158" i="12"/>
  <c r="CN157" i="12" s="1"/>
  <c r="AM162" i="12"/>
  <c r="AM163" i="12" s="1"/>
  <c r="AP162" i="12"/>
  <c r="AP163" i="12"/>
  <c r="AS162" i="12"/>
  <c r="AS163" i="12" s="1"/>
  <c r="AV162" i="12"/>
  <c r="AV163" i="12"/>
  <c r="AY162" i="12"/>
  <c r="AY163" i="12" s="1"/>
  <c r="BB162" i="12"/>
  <c r="BB163" i="12"/>
  <c r="BE162" i="12"/>
  <c r="BE163" i="12" s="1"/>
  <c r="BH162" i="12"/>
  <c r="BH163" i="12"/>
  <c r="BK162" i="12"/>
  <c r="BK163" i="12" s="1"/>
  <c r="BN162" i="12"/>
  <c r="BN163" i="12"/>
  <c r="BQ162" i="12"/>
  <c r="BQ163" i="12" s="1"/>
  <c r="BT162" i="12"/>
  <c r="BT163" i="12"/>
  <c r="BW162" i="12"/>
  <c r="BW163" i="12" s="1"/>
  <c r="BZ162" i="12"/>
  <c r="BZ163" i="12"/>
  <c r="CC162" i="12"/>
  <c r="CC163" i="12" s="1"/>
  <c r="CF162" i="12"/>
  <c r="CF163" i="12"/>
  <c r="CI162" i="12"/>
  <c r="CI163" i="12" s="1"/>
  <c r="CL162" i="12"/>
  <c r="CL163" i="12"/>
  <c r="CO162" i="12"/>
  <c r="CO163" i="12" s="1"/>
  <c r="CR162" i="12"/>
  <c r="CR163" i="12"/>
  <c r="AF183" i="12" a="1"/>
  <c r="AF183" i="12" s="1"/>
  <c r="CZ178" i="12" a="1"/>
  <c r="CZ178" i="12" s="1"/>
  <c r="AH296" i="12"/>
  <c r="AH429" i="12"/>
  <c r="AH340" i="12"/>
  <c r="AJ416" i="12"/>
  <c r="AJ407" i="12"/>
  <c r="AJ390" i="12"/>
  <c r="AJ373" i="12"/>
  <c r="AJ356" i="12"/>
  <c r="AJ417" i="12"/>
  <c r="AJ411" i="12"/>
  <c r="AJ408" i="12"/>
  <c r="AJ402" i="12"/>
  <c r="AJ385" i="12"/>
  <c r="AJ368" i="12"/>
  <c r="AJ351" i="12"/>
  <c r="AJ391" i="12"/>
  <c r="AJ374" i="12"/>
  <c r="AJ357" i="12"/>
  <c r="AP323" i="12"/>
  <c r="AP324" i="12"/>
  <c r="AV323" i="12"/>
  <c r="AV324" i="12"/>
  <c r="BB323" i="12"/>
  <c r="BB324" i="12"/>
  <c r="BH323" i="12"/>
  <c r="BH324" i="12"/>
  <c r="BN323" i="12"/>
  <c r="BN324" i="12"/>
  <c r="BT323" i="12"/>
  <c r="BT324" i="12"/>
  <c r="BW328" i="12"/>
  <c r="BW327" i="12"/>
  <c r="BZ323" i="12"/>
  <c r="BZ324" i="12"/>
  <c r="CF323" i="12"/>
  <c r="CF324" i="12"/>
  <c r="CI328" i="12"/>
  <c r="CI327" i="12"/>
  <c r="CL323" i="12"/>
  <c r="CL324" i="12"/>
  <c r="CR323" i="12"/>
  <c r="CR324" i="12"/>
  <c r="H29" i="2"/>
  <c r="H30" i="2" s="1" a="1"/>
  <c r="H30" i="2" s="1"/>
  <c r="FV2" i="33"/>
  <c r="FT2" i="33"/>
  <c r="FR2" i="33"/>
  <c r="FP2" i="33"/>
  <c r="FN2" i="33"/>
  <c r="FL2" i="33"/>
  <c r="FJ2" i="33"/>
  <c r="FH2" i="33"/>
  <c r="FF2" i="33"/>
  <c r="FD2" i="33"/>
  <c r="FB2" i="33"/>
  <c r="EZ2" i="33"/>
  <c r="EX2" i="33"/>
  <c r="EV2" i="33"/>
  <c r="ET2" i="33"/>
  <c r="ER2" i="33"/>
  <c r="EP2" i="33"/>
  <c r="EN2" i="33"/>
  <c r="EL2" i="33"/>
  <c r="EJ2" i="33"/>
  <c r="EH2" i="33"/>
  <c r="EF2" i="33"/>
  <c r="ED2" i="33"/>
  <c r="EB2" i="33"/>
  <c r="DZ2" i="33"/>
  <c r="DX2" i="33"/>
  <c r="DV2" i="33"/>
  <c r="DT2" i="33"/>
  <c r="DR2" i="33"/>
  <c r="DP2" i="33"/>
  <c r="DN2" i="33"/>
  <c r="DL2" i="33"/>
  <c r="DJ2" i="33"/>
  <c r="DH2" i="33"/>
  <c r="DF2" i="33"/>
  <c r="DD2" i="33"/>
  <c r="DB2" i="33"/>
  <c r="CZ2" i="33"/>
  <c r="CX2" i="33"/>
  <c r="CV2" i="33"/>
  <c r="CT2" i="33"/>
  <c r="CR2" i="33"/>
  <c r="CP2" i="33"/>
  <c r="CN2" i="33"/>
  <c r="CL2" i="33"/>
  <c r="CJ2" i="33"/>
  <c r="CH2" i="33"/>
  <c r="CF2" i="33"/>
  <c r="CD2" i="33"/>
  <c r="CB2" i="33"/>
  <c r="BZ2" i="33"/>
  <c r="BX2" i="33"/>
  <c r="BV2" i="33"/>
  <c r="BT2" i="33"/>
  <c r="BR2" i="33"/>
  <c r="BP2" i="33"/>
  <c r="BN2" i="33"/>
  <c r="BL2" i="33"/>
  <c r="BJ2" i="33"/>
  <c r="BH2" i="33"/>
  <c r="BF2" i="33"/>
  <c r="BD2" i="33"/>
  <c r="BB2" i="33"/>
  <c r="AZ2" i="33"/>
  <c r="AX2" i="33"/>
  <c r="AV2" i="33"/>
  <c r="AT2" i="33"/>
  <c r="AR2" i="33"/>
  <c r="AP2" i="33"/>
  <c r="AN2" i="33"/>
  <c r="AL2" i="33"/>
  <c r="AJ2" i="33"/>
  <c r="AH2" i="33"/>
  <c r="BA2" i="32"/>
  <c r="AY2" i="32"/>
  <c r="AW2" i="32"/>
  <c r="AU2" i="32"/>
  <c r="AW2" i="31"/>
  <c r="AU2" i="31"/>
  <c r="AS2" i="31"/>
  <c r="AQ2" i="31"/>
  <c r="AM2" i="31"/>
  <c r="AK2" i="31"/>
  <c r="AI2" i="31"/>
  <c r="AG2" i="31"/>
  <c r="AE2" i="31"/>
  <c r="BB2" i="32"/>
  <c r="AZ2" i="32"/>
  <c r="AX2" i="32"/>
  <c r="AV2" i="32"/>
  <c r="AT2" i="32"/>
  <c r="AR2" i="32"/>
  <c r="AP2" i="32"/>
  <c r="AN2" i="32"/>
  <c r="AL2" i="32"/>
  <c r="AJ2" i="32"/>
  <c r="AX2" i="31"/>
  <c r="AV2" i="31"/>
  <c r="AT2" i="31"/>
  <c r="AR2" i="31"/>
  <c r="AP2" i="31"/>
  <c r="BM2" i="27"/>
  <c r="BK2" i="27"/>
  <c r="BI2" i="27"/>
  <c r="BG2" i="27"/>
  <c r="BE2" i="27"/>
  <c r="AS2" i="27"/>
  <c r="AQ2" i="27"/>
  <c r="AO2" i="27"/>
  <c r="AM2" i="27"/>
  <c r="AK2" i="27"/>
  <c r="BL2" i="27"/>
  <c r="BJ2" i="27"/>
  <c r="BH2" i="27"/>
  <c r="BF2" i="27"/>
  <c r="BB2" i="27"/>
  <c r="AZ2" i="27"/>
  <c r="AX2" i="27"/>
  <c r="AV2" i="27"/>
  <c r="AT2" i="27"/>
  <c r="AR2" i="27"/>
  <c r="AP2" i="27"/>
  <c r="AN2" i="27"/>
  <c r="AL2" i="27"/>
  <c r="BL2" i="24"/>
  <c r="BJ2" i="24"/>
  <c r="BH2" i="24"/>
  <c r="BF2" i="24"/>
  <c r="AR2" i="24"/>
  <c r="AP2" i="24"/>
  <c r="AN2" i="24"/>
  <c r="AL2" i="24"/>
  <c r="BM2" i="23"/>
  <c r="BK2" i="23"/>
  <c r="BI2" i="23"/>
  <c r="BG2" i="23"/>
  <c r="BE2" i="23"/>
  <c r="BC2" i="23"/>
  <c r="BA2" i="23"/>
  <c r="AY2" i="23"/>
  <c r="AW2" i="23"/>
  <c r="AU2" i="23"/>
  <c r="AS2" i="23"/>
  <c r="AQ2" i="23"/>
  <c r="AO2" i="23"/>
  <c r="AM2" i="23"/>
  <c r="AK2" i="23"/>
  <c r="BM2" i="22"/>
  <c r="BK2" i="22"/>
  <c r="BI2" i="22"/>
  <c r="BG2" i="22"/>
  <c r="BE2" i="22"/>
  <c r="BC2" i="22"/>
  <c r="BA2" i="22"/>
  <c r="AY2" i="22"/>
  <c r="AW2" i="22"/>
  <c r="AU2" i="22"/>
  <c r="AS2" i="22"/>
  <c r="AQ2" i="22"/>
  <c r="AO2" i="22"/>
  <c r="AM2" i="22"/>
  <c r="AK2" i="22"/>
  <c r="AW2" i="20"/>
  <c r="AU2" i="20"/>
  <c r="AS2" i="20"/>
  <c r="AQ2" i="20"/>
  <c r="BB2" i="19"/>
  <c r="AZ2" i="19"/>
  <c r="AX2" i="19"/>
  <c r="AV2" i="19"/>
  <c r="AT2" i="19"/>
  <c r="BA2" i="17"/>
  <c r="AY2" i="17"/>
  <c r="AW2" i="17"/>
  <c r="AU2" i="17"/>
  <c r="BA2" i="16"/>
  <c r="AY2" i="16"/>
  <c r="AW2" i="16"/>
  <c r="AU2" i="16"/>
  <c r="BM2" i="24"/>
  <c r="BK2" i="24"/>
  <c r="BI2" i="24"/>
  <c r="BG2" i="24"/>
  <c r="BE2" i="24"/>
  <c r="BC2" i="24"/>
  <c r="BA2" i="24"/>
  <c r="AY2" i="24"/>
  <c r="AW2" i="24"/>
  <c r="AU2" i="24"/>
  <c r="AS2" i="24"/>
  <c r="AQ2" i="24"/>
  <c r="AO2" i="24"/>
  <c r="AM2" i="24"/>
  <c r="AK2" i="24"/>
  <c r="BL2" i="23"/>
  <c r="BJ2" i="23"/>
  <c r="BH2" i="23"/>
  <c r="BF2" i="23"/>
  <c r="AR2" i="23"/>
  <c r="AP2" i="23"/>
  <c r="AN2" i="23"/>
  <c r="AL2" i="23"/>
  <c r="BL2" i="22"/>
  <c r="BJ2" i="22"/>
  <c r="BH2" i="22"/>
  <c r="BF2" i="22"/>
  <c r="AR2" i="22"/>
  <c r="AP2" i="22"/>
  <c r="AN2" i="22"/>
  <c r="AL2" i="22"/>
  <c r="AX2" i="20"/>
  <c r="AV2" i="20"/>
  <c r="AT2" i="20"/>
  <c r="AR2" i="20"/>
  <c r="AP2" i="20"/>
  <c r="AN2" i="20"/>
  <c r="AL2" i="20"/>
  <c r="AJ2" i="20"/>
  <c r="AH2" i="20"/>
  <c r="AF2" i="20"/>
  <c r="BA2" i="19"/>
  <c r="AY2" i="19"/>
  <c r="AW2" i="19"/>
  <c r="AU2" i="19"/>
  <c r="AQ2" i="19"/>
  <c r="AO2" i="19"/>
  <c r="AM2" i="19"/>
  <c r="AK2" i="19"/>
  <c r="AI2" i="19"/>
  <c r="AI2" i="18"/>
  <c r="BB2" i="17"/>
  <c r="AZ2" i="17"/>
  <c r="AX2" i="17"/>
  <c r="AV2" i="17"/>
  <c r="AT2" i="17"/>
  <c r="AR2" i="17"/>
  <c r="AP2" i="17"/>
  <c r="AN2" i="17"/>
  <c r="AL2" i="17"/>
  <c r="AJ2" i="17"/>
  <c r="BB2" i="16"/>
  <c r="AZ2" i="16"/>
  <c r="AX2" i="16"/>
  <c r="AV2" i="16"/>
  <c r="AT2" i="16"/>
  <c r="AR2" i="16"/>
  <c r="AP2" i="16"/>
  <c r="AN2" i="16"/>
  <c r="AL2" i="16"/>
  <c r="AJ2" i="16"/>
  <c r="BA2" i="15"/>
  <c r="AY2" i="15"/>
  <c r="AW2" i="15"/>
  <c r="AU2" i="15"/>
  <c r="AQ2" i="15"/>
  <c r="AO2" i="15"/>
  <c r="AM2" i="15"/>
  <c r="AK2" i="15"/>
  <c r="AI2" i="15"/>
  <c r="BB2" i="14"/>
  <c r="AZ2" i="14"/>
  <c r="AX2" i="14"/>
  <c r="AV2" i="14"/>
  <c r="AT2" i="14"/>
  <c r="AR2" i="14"/>
  <c r="AP2" i="14"/>
  <c r="AN2" i="14"/>
  <c r="AL2" i="14"/>
  <c r="AJ2" i="14"/>
  <c r="BB2" i="13"/>
  <c r="AZ2" i="13"/>
  <c r="AX2" i="13"/>
  <c r="AV2" i="13"/>
  <c r="AT2" i="13"/>
  <c r="AR2" i="13"/>
  <c r="AP2" i="13"/>
  <c r="AN2" i="13"/>
  <c r="AL2" i="13"/>
  <c r="AJ2" i="13"/>
  <c r="BB2" i="15"/>
  <c r="AZ2" i="15"/>
  <c r="AX2" i="15"/>
  <c r="AV2" i="15"/>
  <c r="AT2" i="15"/>
  <c r="BA2" i="14"/>
  <c r="AY2" i="14"/>
  <c r="AW2" i="14"/>
  <c r="AU2" i="14"/>
  <c r="BA2" i="13"/>
  <c r="AY2" i="13"/>
  <c r="AW2" i="13"/>
  <c r="AU2" i="13"/>
  <c r="CR2" i="12"/>
  <c r="CP2" i="12"/>
  <c r="CN2" i="12"/>
  <c r="CL2" i="12"/>
  <c r="CJ2" i="12"/>
  <c r="CH2" i="12"/>
  <c r="CF2" i="12"/>
  <c r="CD2" i="12"/>
  <c r="CB2" i="12"/>
  <c r="BZ2" i="12"/>
  <c r="BX2" i="12"/>
  <c r="BV2" i="12"/>
  <c r="BT2" i="12"/>
  <c r="BB2" i="11"/>
  <c r="AZ2" i="11"/>
  <c r="AX2" i="11"/>
  <c r="AV2" i="11"/>
  <c r="AT2" i="11"/>
  <c r="BB2" i="10"/>
  <c r="AZ2" i="10"/>
  <c r="AX2" i="10"/>
  <c r="AV2" i="10"/>
  <c r="AT2" i="10"/>
  <c r="AY2" i="9"/>
  <c r="AW2" i="9"/>
  <c r="AU2" i="9"/>
  <c r="AS2" i="9"/>
  <c r="AQ2" i="9"/>
  <c r="AX2" i="8"/>
  <c r="AV2" i="8"/>
  <c r="AT2" i="8"/>
  <c r="AR2" i="8"/>
  <c r="AP2" i="8"/>
  <c r="AO2" i="7"/>
  <c r="AM2" i="7"/>
  <c r="AK2" i="7"/>
  <c r="AI2" i="7"/>
  <c r="AG2" i="7"/>
  <c r="AG181" i="4"/>
  <c r="AE181" i="4"/>
  <c r="S24" i="33" s="1"/>
  <c r="K75" i="30" a="1"/>
  <c r="K75" i="30" s="1"/>
  <c r="AN220" i="4"/>
  <c r="AB26" i="6" a="1"/>
  <c r="AB26" i="6" s="1"/>
  <c r="AR2" i="7"/>
  <c r="AV2" i="7"/>
  <c r="AI2" i="8"/>
  <c r="AM2" i="8"/>
  <c r="AQ2" i="8"/>
  <c r="AU2" i="8"/>
  <c r="AF8" i="8"/>
  <c r="AF2" i="8"/>
  <c r="AH8" i="8"/>
  <c r="AH2" i="8"/>
  <c r="AJ8" i="8"/>
  <c r="AJ2" i="8"/>
  <c r="AL8" i="8"/>
  <c r="AL2" i="8"/>
  <c r="AN8" i="8"/>
  <c r="AN2" i="8"/>
  <c r="AB28" i="8" a="1"/>
  <c r="AB28" i="8" s="1"/>
  <c r="F56" i="8" a="1"/>
  <c r="F56" i="8" s="1"/>
  <c r="U55" i="8"/>
  <c r="F84" i="8" a="1"/>
  <c r="F84" i="8" s="1"/>
  <c r="U83" i="8"/>
  <c r="AJ2" i="9"/>
  <c r="AN2" i="9"/>
  <c r="AR2" i="9"/>
  <c r="AV2" i="9"/>
  <c r="AG8" i="9"/>
  <c r="AG2" i="9"/>
  <c r="AI8" i="9"/>
  <c r="AI2" i="9"/>
  <c r="AK8" i="9"/>
  <c r="AK2" i="9"/>
  <c r="AM8" i="9"/>
  <c r="AM2" i="9"/>
  <c r="AO8" i="9"/>
  <c r="AO2" i="9"/>
  <c r="AB28" i="9" a="1"/>
  <c r="AB28" i="9" s="1"/>
  <c r="F36" i="9" a="1"/>
  <c r="F36" i="9" s="1"/>
  <c r="U35" i="9"/>
  <c r="AI2" i="10"/>
  <c r="AM2" i="10"/>
  <c r="AQ2" i="10"/>
  <c r="AU2" i="10"/>
  <c r="AY2" i="10"/>
  <c r="AJ8" i="10"/>
  <c r="AJ2" i="10"/>
  <c r="AL8" i="10"/>
  <c r="AL2" i="10"/>
  <c r="AN8" i="10"/>
  <c r="AN2" i="10"/>
  <c r="AP8" i="10"/>
  <c r="AP2" i="10"/>
  <c r="AR8" i="10"/>
  <c r="AR2" i="10"/>
  <c r="AB41" i="10"/>
  <c r="AB39" i="10"/>
  <c r="AB63" i="10"/>
  <c r="AB61" i="10"/>
  <c r="AB64" i="10"/>
  <c r="AB82" i="10"/>
  <c r="AB80" i="10"/>
  <c r="AB79" i="10"/>
  <c r="H96" i="10" a="1"/>
  <c r="H96"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AB116" i="10"/>
  <c r="AG142" i="10"/>
  <c r="AU142" i="10"/>
  <c r="AY142" i="10"/>
  <c r="AJ151" i="10"/>
  <c r="AN151" i="10"/>
  <c r="AR151" i="10"/>
  <c r="H164" i="10" a="1"/>
  <c r="H164" i="10" s="1"/>
  <c r="G164" i="10" a="1"/>
  <c r="G164" i="10" s="1"/>
  <c r="T164" i="10" s="1"/>
  <c r="T165" i="10" s="1" a="1"/>
  <c r="T165" i="10" s="1"/>
  <c r="T166" i="10" s="1" a="1"/>
  <c r="T166" i="10" s="1"/>
  <c r="T167" i="10" s="1" a="1"/>
  <c r="T167" i="10" s="1"/>
  <c r="T168" i="10" s="1" a="1"/>
  <c r="T168" i="10" s="1"/>
  <c r="T169" i="10" s="1" a="1"/>
  <c r="T169" i="10" s="1"/>
  <c r="T170" i="10" s="1" a="1"/>
  <c r="T170" i="10" s="1"/>
  <c r="T171" i="10" s="1" a="1"/>
  <c r="T171" i="10" s="1"/>
  <c r="T172" i="10" s="1" a="1"/>
  <c r="T172" i="10" s="1"/>
  <c r="T173" i="10" s="1" a="1"/>
  <c r="T173" i="10" s="1"/>
  <c r="T174" i="10" s="1" a="1"/>
  <c r="T174" i="10" s="1"/>
  <c r="T175" i="10" s="1" a="1"/>
  <c r="T175" i="10" s="1"/>
  <c r="T176" i="10" s="1" a="1"/>
  <c r="T176" i="10" s="1"/>
  <c r="T177" i="10" s="1" a="1"/>
  <c r="T177" i="10" s="1"/>
  <c r="T178" i="10" s="1" a="1"/>
  <c r="T178" i="10" s="1"/>
  <c r="T179" i="10" s="1" a="1"/>
  <c r="T179" i="10" s="1"/>
  <c r="T180" i="10" s="1" a="1"/>
  <c r="T180" i="10" s="1"/>
  <c r="T181" i="10" s="1" a="1"/>
  <c r="T181" i="10" s="1"/>
  <c r="T182" i="10" s="1" a="1"/>
  <c r="T182" i="10" s="1"/>
  <c r="T183" i="10" s="1" a="1"/>
  <c r="T183" i="10" s="1"/>
  <c r="T184" i="10" s="1" a="1"/>
  <c r="T184" i="10" s="1"/>
  <c r="T185" i="10" s="1" a="1"/>
  <c r="T185" i="10" s="1"/>
  <c r="T186" i="10" s="1" a="1"/>
  <c r="T186" i="10" s="1"/>
  <c r="T187" i="10" s="1" a="1"/>
  <c r="T187" i="10" s="1"/>
  <c r="T188" i="10" s="1" a="1"/>
  <c r="T188" i="10" s="1"/>
  <c r="T189" i="10" s="1" a="1"/>
  <c r="T189" i="10" s="1"/>
  <c r="T190" i="10" s="1" a="1"/>
  <c r="T190" i="10" s="1"/>
  <c r="T191" i="10" s="1" a="1"/>
  <c r="T191" i="10" s="1"/>
  <c r="T192" i="10" s="1" a="1"/>
  <c r="T192" i="10" s="1"/>
  <c r="T193" i="10" s="1" a="1"/>
  <c r="T193" i="10" s="1"/>
  <c r="T194" i="10" s="1" a="1"/>
  <c r="T194" i="10" s="1"/>
  <c r="T195" i="10" s="1" a="1"/>
  <c r="T195" i="10" s="1"/>
  <c r="T196" i="10" s="1" a="1"/>
  <c r="T196" i="10" s="1"/>
  <c r="T197" i="10" s="1" a="1"/>
  <c r="T197" i="10" s="1"/>
  <c r="T198" i="10" s="1" a="1"/>
  <c r="T198" i="10" s="1"/>
  <c r="T199" i="10" s="1" a="1"/>
  <c r="T199" i="10" s="1"/>
  <c r="T200" i="10" s="1" a="1"/>
  <c r="T200" i="10" s="1"/>
  <c r="T201" i="10" s="1" a="1"/>
  <c r="T201" i="10" s="1"/>
  <c r="T202" i="10" s="1" a="1"/>
  <c r="T202" i="10" s="1"/>
  <c r="T203" i="10" s="1" a="1"/>
  <c r="T203" i="10" s="1"/>
  <c r="T204" i="10" s="1" a="1"/>
  <c r="T204" i="10" s="1"/>
  <c r="T205" i="10" s="1" a="1"/>
  <c r="T205" i="10" s="1"/>
  <c r="T206" i="10" s="1" a="1"/>
  <c r="T206" i="10" s="1"/>
  <c r="T207" i="10" s="1" a="1"/>
  <c r="T207" i="10" s="1"/>
  <c r="T208" i="10" s="1" a="1"/>
  <c r="T208" i="10" s="1"/>
  <c r="T209" i="10" s="1" a="1"/>
  <c r="T209" i="10" s="1"/>
  <c r="T210" i="10" s="1" a="1"/>
  <c r="T210" i="10" s="1"/>
  <c r="T211" i="10" s="1" a="1"/>
  <c r="T211" i="10" s="1"/>
  <c r="T212" i="10" s="1" a="1"/>
  <c r="T212" i="10" s="1"/>
  <c r="T213" i="10" s="1" a="1"/>
  <c r="T213" i="10" s="1"/>
  <c r="T214" i="10" s="1" a="1"/>
  <c r="T214" i="10" s="1"/>
  <c r="T215" i="10" s="1" a="1"/>
  <c r="T215" i="10" s="1"/>
  <c r="T216" i="10" s="1" a="1"/>
  <c r="T216" i="10" s="1"/>
  <c r="T217" i="10" s="1" a="1"/>
  <c r="T217" i="10" s="1"/>
  <c r="T218" i="10" s="1" a="1"/>
  <c r="T218" i="10" s="1"/>
  <c r="T219" i="10" s="1" a="1"/>
  <c r="T219" i="10" s="1"/>
  <c r="T220" i="10" s="1" a="1"/>
  <c r="T220" i="10" s="1"/>
  <c r="T221" i="10" s="1" a="1"/>
  <c r="T221" i="10" s="1"/>
  <c r="T222" i="10" s="1" a="1"/>
  <c r="T222" i="10" s="1"/>
  <c r="T223" i="10" s="1" a="1"/>
  <c r="T223" i="10" s="1"/>
  <c r="T224" i="10" s="1" a="1"/>
  <c r="T224" i="10" s="1"/>
  <c r="T225" i="10" s="1" a="1"/>
  <c r="T225" i="10" s="1"/>
  <c r="AB171" i="10"/>
  <c r="AB177" i="10"/>
  <c r="AB175" i="10"/>
  <c r="AG181" i="10"/>
  <c r="AG193" i="10" s="1"/>
  <c r="AG194" i="10" s="1"/>
  <c r="AG201" i="10" s="1"/>
  <c r="AG204" i="10" s="1"/>
  <c r="AK181" i="10"/>
  <c r="AK193" i="10" s="1"/>
  <c r="AK194" i="10" s="1"/>
  <c r="AK201" i="10" s="1"/>
  <c r="AK204" i="10" s="1"/>
  <c r="AB196" i="10"/>
  <c r="AB218" i="10"/>
  <c r="AB216" i="10"/>
  <c r="AB215" i="10"/>
  <c r="AK2" i="11"/>
  <c r="AO2" i="11"/>
  <c r="AS2" i="11"/>
  <c r="AW2" i="11"/>
  <c r="BA2" i="11"/>
  <c r="G28" i="11" a="1"/>
  <c r="G28" i="11" s="1"/>
  <c r="T28" i="11" s="1"/>
  <c r="AB28" i="11" a="1"/>
  <c r="AB28" i="11" s="1"/>
  <c r="G35" i="11" a="1"/>
  <c r="G35" i="11" s="1"/>
  <c r="T35" i="11" s="1"/>
  <c r="T36" i="11" s="1" a="1"/>
  <c r="T36" i="11" s="1"/>
  <c r="T37" i="11" s="1" a="1"/>
  <c r="T37" i="11" s="1"/>
  <c r="T38" i="11" s="1" a="1"/>
  <c r="T38" i="11" s="1"/>
  <c r="T39" i="11" s="1" a="1"/>
  <c r="T39" i="11" s="1"/>
  <c r="T40" i="11" s="1" a="1"/>
  <c r="T40" i="11" s="1"/>
  <c r="T41" i="11" s="1" a="1"/>
  <c r="T41" i="11" s="1"/>
  <c r="AO2" i="12"/>
  <c r="AS2" i="12"/>
  <c r="AW2" i="12"/>
  <c r="BA2" i="12"/>
  <c r="BE2" i="12"/>
  <c r="BI2" i="12"/>
  <c r="BM2" i="12"/>
  <c r="BQ2" i="12"/>
  <c r="BU2" i="12"/>
  <c r="BY2" i="12"/>
  <c r="CC2" i="12"/>
  <c r="CG2" i="12"/>
  <c r="CK2" i="12"/>
  <c r="CO2" i="12"/>
  <c r="CS2" i="12"/>
  <c r="G28" i="12" a="1"/>
  <c r="G28" i="12" s="1"/>
  <c r="I28" i="12" a="1"/>
  <c r="I28" i="12" s="1"/>
  <c r="K28" i="12" a="1"/>
  <c r="K28" i="12" s="1"/>
  <c r="AB28" i="12" a="1"/>
  <c r="AB28" i="12" s="1"/>
  <c r="AP39" i="12"/>
  <c r="AP37" i="12"/>
  <c r="AT39" i="12"/>
  <c r="AT37" i="12"/>
  <c r="BB39" i="12"/>
  <c r="BB37" i="12"/>
  <c r="BF39" i="12"/>
  <c r="BF37" i="12"/>
  <c r="BN39" i="12"/>
  <c r="BN37" i="12"/>
  <c r="BR39" i="12"/>
  <c r="BR37" i="12"/>
  <c r="BZ39" i="12"/>
  <c r="BZ37" i="12"/>
  <c r="CD39" i="12"/>
  <c r="CD37" i="12"/>
  <c r="CL39" i="12"/>
  <c r="CL37" i="12"/>
  <c r="CP39" i="12"/>
  <c r="CP37" i="12"/>
  <c r="AL37" i="12"/>
  <c r="AR37" i="12"/>
  <c r="AX37" i="12"/>
  <c r="BD37" i="12"/>
  <c r="BJ37" i="12"/>
  <c r="BP37" i="12"/>
  <c r="BV37" i="12"/>
  <c r="CB37" i="12"/>
  <c r="CH37" i="12"/>
  <c r="CN37" i="12"/>
  <c r="AK37" i="12"/>
  <c r="AS37" i="12"/>
  <c r="AW37" i="12"/>
  <c r="BE37" i="12"/>
  <c r="BI37" i="12"/>
  <c r="BQ37" i="12"/>
  <c r="BU37" i="12"/>
  <c r="CC37" i="12"/>
  <c r="CG37" i="12"/>
  <c r="CO37" i="12"/>
  <c r="CS37" i="12"/>
  <c r="AI39" i="12"/>
  <c r="AM39" i="12"/>
  <c r="AQ39" i="12"/>
  <c r="AY39" i="12"/>
  <c r="BC39" i="12"/>
  <c r="BK39" i="12"/>
  <c r="BO39" i="12"/>
  <c r="BW39" i="12"/>
  <c r="CA39" i="12"/>
  <c r="CI39" i="12"/>
  <c r="CM39" i="12"/>
  <c r="AH40" i="12"/>
  <c r="AP40" i="12"/>
  <c r="AT40" i="12"/>
  <c r="BB40" i="12"/>
  <c r="BF40" i="12"/>
  <c r="BN40" i="12"/>
  <c r="BR40" i="12"/>
  <c r="BZ40" i="12"/>
  <c r="CD40" i="12"/>
  <c r="CL40" i="12"/>
  <c r="CP40" i="12"/>
  <c r="CQ46" i="12"/>
  <c r="AH55" i="12"/>
  <c r="AH52" i="12"/>
  <c r="AJ123" i="12"/>
  <c r="AJ122" i="12" s="1"/>
  <c r="AJ119" i="12"/>
  <c r="AJ116" i="12"/>
  <c r="AJ115" i="12" s="1"/>
  <c r="AJ112" i="12"/>
  <c r="AJ90" i="12"/>
  <c r="AJ89" i="12" s="1"/>
  <c r="AJ86" i="12"/>
  <c r="AJ103" i="12"/>
  <c r="AJ102" i="12" s="1"/>
  <c r="AJ99" i="12"/>
  <c r="AJ77" i="12"/>
  <c r="AJ76" i="12" s="1"/>
  <c r="AJ73" i="12"/>
  <c r="AL47" i="12"/>
  <c r="AL46" i="12" s="1"/>
  <c r="AR47" i="12"/>
  <c r="AR46" i="12" s="1"/>
  <c r="AX47" i="12"/>
  <c r="AX46" i="12" s="1"/>
  <c r="BD47" i="12"/>
  <c r="BD46" i="12" s="1"/>
  <c r="BJ47" i="12"/>
  <c r="BJ46" i="12" s="1"/>
  <c r="BP47" i="12"/>
  <c r="BP46" i="12" s="1"/>
  <c r="BV47" i="12"/>
  <c r="BV46" i="12" s="1"/>
  <c r="CB47" i="12"/>
  <c r="CB46" i="12" s="1"/>
  <c r="CH47" i="12"/>
  <c r="CH46" i="12" s="1"/>
  <c r="AM51" i="12"/>
  <c r="AM52" i="12" s="1"/>
  <c r="AP51" i="12"/>
  <c r="AP52" i="12"/>
  <c r="AS51" i="12"/>
  <c r="AS52" i="12" s="1"/>
  <c r="AV51" i="12"/>
  <c r="AV52" i="12"/>
  <c r="AY51" i="12"/>
  <c r="AY52" i="12" s="1"/>
  <c r="BB51" i="12"/>
  <c r="BB52" i="12"/>
  <c r="BE51" i="12"/>
  <c r="BE52" i="12" s="1"/>
  <c r="BH51" i="12"/>
  <c r="BH52" i="12"/>
  <c r="BK51" i="12"/>
  <c r="BK52" i="12" s="1"/>
  <c r="BN51" i="12"/>
  <c r="BN52" i="12"/>
  <c r="BQ51" i="12"/>
  <c r="BQ52" i="12" s="1"/>
  <c r="BT51" i="12"/>
  <c r="BT52" i="12"/>
  <c r="BW51" i="12"/>
  <c r="BW52" i="12" s="1"/>
  <c r="BZ51" i="12"/>
  <c r="BZ52" i="12"/>
  <c r="CC51" i="12"/>
  <c r="CC52" i="12" s="1"/>
  <c r="CF51" i="12"/>
  <c r="CF52" i="12"/>
  <c r="CI51" i="12"/>
  <c r="CI52" i="12" s="1"/>
  <c r="CL51" i="12"/>
  <c r="CL52" i="12"/>
  <c r="CO51" i="12"/>
  <c r="CO52" i="12" s="1"/>
  <c r="CR51" i="12"/>
  <c r="CR52" i="12"/>
  <c r="S153" i="12" a="1"/>
  <c r="S153" i="12" s="1"/>
  <c r="U152" i="12"/>
  <c r="AP150" i="12"/>
  <c r="AP148" i="12"/>
  <c r="AP151" i="12"/>
  <c r="AT150" i="12"/>
  <c r="AT148" i="12"/>
  <c r="AT151" i="12"/>
  <c r="BB150" i="12"/>
  <c r="BB148" i="12"/>
  <c r="BB151" i="12"/>
  <c r="BF150" i="12"/>
  <c r="BF148" i="12"/>
  <c r="BF151" i="12"/>
  <c r="BN150" i="12"/>
  <c r="BN148" i="12"/>
  <c r="BN151" i="12"/>
  <c r="BR150" i="12"/>
  <c r="BR148" i="12"/>
  <c r="BR151" i="12"/>
  <c r="BZ150" i="12"/>
  <c r="BZ148" i="12"/>
  <c r="BZ151" i="12"/>
  <c r="CD150" i="12"/>
  <c r="CD148" i="12"/>
  <c r="CD151" i="12"/>
  <c r="CL150" i="12"/>
  <c r="CL148" i="12"/>
  <c r="CL151" i="12"/>
  <c r="CP150" i="12"/>
  <c r="CP148" i="12"/>
  <c r="CP151" i="12"/>
  <c r="AI278" i="12"/>
  <c r="AI276" i="12"/>
  <c r="AI275" i="12" s="1"/>
  <c r="AI270" i="12"/>
  <c r="AI267" i="12"/>
  <c r="AI265" i="12"/>
  <c r="AI259" i="12"/>
  <c r="AI245" i="12"/>
  <c r="AI266" i="12"/>
  <c r="AI244" i="12"/>
  <c r="AI238" i="12"/>
  <c r="AI224" i="12"/>
  <c r="AI204" i="12"/>
  <c r="AI202" i="12"/>
  <c r="AI196" i="12"/>
  <c r="AI165" i="12"/>
  <c r="AI277" i="12"/>
  <c r="AI246" i="12"/>
  <c r="AI225" i="12"/>
  <c r="AI223" i="12"/>
  <c r="AI222" i="12" s="1"/>
  <c r="AI217" i="12"/>
  <c r="AI203" i="12"/>
  <c r="AK166" i="12"/>
  <c r="AK163" i="12"/>
  <c r="CY172" i="12" a="1"/>
  <c r="CY172" i="12" s="1"/>
  <c r="AE177" i="12" a="1"/>
  <c r="AE177" i="12" s="1"/>
  <c r="X177" i="12"/>
  <c r="AE178" i="12" a="1"/>
  <c r="AE178" i="12" s="1"/>
  <c r="X178" i="12"/>
  <c r="CY173" i="12" a="1"/>
  <c r="CY173" i="12" s="1"/>
  <c r="AF182" i="12" a="1"/>
  <c r="AF182" i="12" s="1"/>
  <c r="CZ177" i="12" a="1"/>
  <c r="CZ177" i="12" s="1"/>
  <c r="AI417" i="12"/>
  <c r="AI411" i="12"/>
  <c r="AI408" i="12"/>
  <c r="AI402" i="12"/>
  <c r="AI391" i="12"/>
  <c r="AI385" i="12"/>
  <c r="AI374" i="12"/>
  <c r="AI368" i="12"/>
  <c r="AI357" i="12"/>
  <c r="AI351" i="12"/>
  <c r="AI326" i="12"/>
  <c r="AI420" i="12"/>
  <c r="AI416" i="12"/>
  <c r="AI415" i="12" s="1"/>
  <c r="AI407" i="12"/>
  <c r="AI406" i="12" s="1"/>
  <c r="AI390" i="12"/>
  <c r="AI389" i="12" s="1"/>
  <c r="AI373" i="12"/>
  <c r="AI372" i="12" s="1"/>
  <c r="AI356" i="12"/>
  <c r="AI355" i="12" s="1"/>
  <c r="AH133" i="12"/>
  <c r="AJ133" i="12"/>
  <c r="AI148" i="12"/>
  <c r="AK148" i="12"/>
  <c r="AM148" i="12"/>
  <c r="AQ148" i="12"/>
  <c r="AS148" i="12"/>
  <c r="AW148" i="12"/>
  <c r="AY148" i="12"/>
  <c r="BC148" i="12"/>
  <c r="BE148" i="12"/>
  <c r="BI148" i="12"/>
  <c r="BK148" i="12"/>
  <c r="BO148" i="12"/>
  <c r="BQ148" i="12"/>
  <c r="BU148" i="12"/>
  <c r="BW148" i="12"/>
  <c r="CA148" i="12"/>
  <c r="CC148" i="12"/>
  <c r="CG148" i="12"/>
  <c r="CI148" i="12"/>
  <c r="CM148" i="12"/>
  <c r="CO148" i="12"/>
  <c r="CS148" i="12"/>
  <c r="AI150" i="12"/>
  <c r="AK150" i="12"/>
  <c r="AM150" i="12"/>
  <c r="AQ150" i="12"/>
  <c r="AS150" i="12"/>
  <c r="AW150" i="12"/>
  <c r="AY150" i="12"/>
  <c r="BC150" i="12"/>
  <c r="BE150" i="12"/>
  <c r="BI150" i="12"/>
  <c r="BK150" i="12"/>
  <c r="BO150" i="12"/>
  <c r="BQ150" i="12"/>
  <c r="BU150" i="12"/>
  <c r="BW150" i="12"/>
  <c r="CA150" i="12"/>
  <c r="CC150" i="12"/>
  <c r="CG150" i="12"/>
  <c r="CI150" i="12"/>
  <c r="CM150" i="12"/>
  <c r="CO150" i="12"/>
  <c r="CS150" i="12"/>
  <c r="AI171" i="12"/>
  <c r="AI170" i="12" s="1"/>
  <c r="AK213" i="12"/>
  <c r="AK214" i="12"/>
  <c r="AH290" i="12"/>
  <c r="AJ290" i="12"/>
  <c r="AK296" i="12"/>
  <c r="AH292" i="12"/>
  <c r="AJ292" i="12"/>
  <c r="AH291" i="12"/>
  <c r="AJ296" i="12"/>
  <c r="AU307" i="12"/>
  <c r="AU312" i="12" s="1"/>
  <c r="BG307" i="12"/>
  <c r="BG312" i="12" s="1"/>
  <c r="BS307" i="12"/>
  <c r="BS312" i="12" s="1"/>
  <c r="CE307" i="12"/>
  <c r="CE312" i="12" s="1"/>
  <c r="CQ307" i="12"/>
  <c r="CQ312" i="12" s="1"/>
  <c r="AM311" i="12"/>
  <c r="AM309" i="12"/>
  <c r="AQ311" i="12"/>
  <c r="AQ309" i="12"/>
  <c r="AY311" i="12"/>
  <c r="AY309" i="12"/>
  <c r="BC311" i="12"/>
  <c r="BC309" i="12"/>
  <c r="BK311" i="12"/>
  <c r="BK309" i="12"/>
  <c r="BO311" i="12"/>
  <c r="BO309" i="12"/>
  <c r="BW311" i="12"/>
  <c r="BW309" i="12"/>
  <c r="CA311" i="12"/>
  <c r="CA309" i="12"/>
  <c r="CI311" i="12"/>
  <c r="CI309" i="12"/>
  <c r="CM311" i="12"/>
  <c r="CM309" i="12"/>
  <c r="AL304" i="12"/>
  <c r="AL302" i="12"/>
  <c r="AL307" i="12" s="1"/>
  <c r="AR304" i="12"/>
  <c r="AR302" i="12"/>
  <c r="AR307" i="12" s="1"/>
  <c r="AX304" i="12"/>
  <c r="AX302" i="12"/>
  <c r="AX307" i="12" s="1"/>
  <c r="BD304" i="12"/>
  <c r="BD302" i="12"/>
  <c r="BD307" i="12" s="1"/>
  <c r="BJ304" i="12"/>
  <c r="BJ302" i="12"/>
  <c r="BJ307" i="12" s="1"/>
  <c r="BP304" i="12"/>
  <c r="BP302" i="12"/>
  <c r="BP307" i="12" s="1"/>
  <c r="BV304" i="12"/>
  <c r="BV302" i="12"/>
  <c r="BV307" i="12" s="1"/>
  <c r="CB304" i="12"/>
  <c r="CB302" i="12"/>
  <c r="CB307" i="12" s="1"/>
  <c r="CH304" i="12"/>
  <c r="CH302" i="12"/>
  <c r="CH307" i="12" s="1"/>
  <c r="CN304" i="12"/>
  <c r="CN302" i="12"/>
  <c r="CN307" i="12" s="1"/>
  <c r="AO309" i="12"/>
  <c r="AU309" i="12"/>
  <c r="BA309" i="12"/>
  <c r="BG309" i="12"/>
  <c r="BM309" i="12"/>
  <c r="BS309" i="12"/>
  <c r="BY309" i="12"/>
  <c r="CE309" i="12"/>
  <c r="CK309" i="12"/>
  <c r="CQ309" i="12"/>
  <c r="AJ309" i="12"/>
  <c r="AN309" i="12"/>
  <c r="AV309" i="12"/>
  <c r="AZ309" i="12"/>
  <c r="BH309" i="12"/>
  <c r="BL309" i="12"/>
  <c r="BT309" i="12"/>
  <c r="BX309" i="12"/>
  <c r="CF309" i="12"/>
  <c r="CJ309" i="12"/>
  <c r="CR309" i="12"/>
  <c r="AH311" i="12"/>
  <c r="AP311" i="12"/>
  <c r="AT311" i="12"/>
  <c r="BB311" i="12"/>
  <c r="BF311" i="12"/>
  <c r="BN311" i="12"/>
  <c r="BR311" i="12"/>
  <c r="BZ311" i="12"/>
  <c r="CD311" i="12"/>
  <c r="CL311" i="12"/>
  <c r="CP311" i="12"/>
  <c r="AH324" i="12"/>
  <c r="AH327" i="12"/>
  <c r="AJ331" i="12"/>
  <c r="AJ325" i="12"/>
  <c r="AJ326" i="12" s="1"/>
  <c r="AI331" i="12"/>
  <c r="AI330" i="12" s="1"/>
  <c r="X336" i="12"/>
  <c r="AE340" i="12" a="1"/>
  <c r="AE340" i="12" s="1"/>
  <c r="AF344" i="12" a="1"/>
  <c r="AF344" i="12" s="1"/>
  <c r="AH433" i="12"/>
  <c r="AF8" i="13"/>
  <c r="AH8" i="13"/>
  <c r="AJ8" i="13"/>
  <c r="AL8" i="13"/>
  <c r="L27" i="13" a="1"/>
  <c r="L27" i="13" s="1"/>
  <c r="H41" i="13" a="1"/>
  <c r="H41" i="13" s="1"/>
  <c r="H42" i="13" s="1" a="1"/>
  <c r="H42" i="13" s="1"/>
  <c r="H43" i="13" s="1" a="1"/>
  <c r="H43" i="13" s="1"/>
  <c r="H44" i="13" s="1" a="1"/>
  <c r="H44" i="13" s="1"/>
  <c r="H40" i="13" a="1"/>
  <c r="H40" i="13" s="1"/>
  <c r="BH41" i="13" a="1"/>
  <c r="BH41" i="13" s="1"/>
  <c r="BH42" i="13" s="1" a="1"/>
  <c r="BH42" i="13" s="1"/>
  <c r="BH43" i="13" s="1" a="1"/>
  <c r="BH43" i="13" s="1"/>
  <c r="BH44" i="13" s="1" a="1"/>
  <c r="BH44" i="13" s="1"/>
  <c r="BH40" i="13" a="1"/>
  <c r="BH40" i="13" s="1"/>
  <c r="BH56" i="13" a="1"/>
  <c r="BH56" i="13" s="1"/>
  <c r="BH55" i="13" a="1"/>
  <c r="BH55" i="13" s="1"/>
  <c r="H66" i="13" a="1"/>
  <c r="H66" i="13" s="1"/>
  <c r="H62" i="13" a="1"/>
  <c r="H62" i="13" s="1"/>
  <c r="BH63" i="13" a="1"/>
  <c r="BH63" i="13" s="1"/>
  <c r="BH64" i="13" s="1" a="1"/>
  <c r="BH64" i="13" s="1"/>
  <c r="BH65" i="13" s="1" a="1"/>
  <c r="BH65" i="13" s="1"/>
  <c r="BH66" i="13" s="1" a="1"/>
  <c r="BH66" i="13" s="1"/>
  <c r="BH62" i="13" a="1"/>
  <c r="BH62" i="13" s="1"/>
  <c r="H77" i="13" a="1"/>
  <c r="H77" i="13" s="1"/>
  <c r="H76" i="13" a="1"/>
  <c r="H76" i="13" s="1"/>
  <c r="BH77" i="13" a="1"/>
  <c r="BH77" i="13" s="1"/>
  <c r="BH76" i="13" a="1"/>
  <c r="BH76" i="13" s="1"/>
  <c r="H100" i="13" a="1"/>
  <c r="H100" i="13" s="1"/>
  <c r="H99" i="13" a="1"/>
  <c r="H99" i="13" s="1"/>
  <c r="BH100" i="13" a="1"/>
  <c r="BH100" i="13" s="1"/>
  <c r="BH99" i="13" a="1"/>
  <c r="BH99" i="13" s="1"/>
  <c r="BH107" i="13" a="1"/>
  <c r="BH107" i="13" s="1"/>
  <c r="BH108" i="13" s="1" a="1"/>
  <c r="BH108" i="13" s="1"/>
  <c r="BH109" i="13" s="1" a="1"/>
  <c r="BH109" i="13" s="1"/>
  <c r="BH110" i="13" s="1" a="1"/>
  <c r="BH110" i="13" s="1"/>
  <c r="BH106" i="13" a="1"/>
  <c r="BH106" i="13" s="1"/>
  <c r="L112" i="13" a="1"/>
  <c r="L112" i="13" s="1"/>
  <c r="K112" i="13" a="1"/>
  <c r="K112" i="13" s="1"/>
  <c r="F113" i="13" a="1"/>
  <c r="F113" i="13" s="1"/>
  <c r="F114" i="13" s="1" a="1"/>
  <c r="F114" i="13" s="1"/>
  <c r="F115" i="13" s="1" a="1"/>
  <c r="F115" i="13" s="1"/>
  <c r="F116" i="13" s="1" a="1"/>
  <c r="F116" i="13" s="1"/>
  <c r="F117" i="13" s="1" a="1"/>
  <c r="F117" i="13" s="1"/>
  <c r="F118" i="13" s="1" a="1"/>
  <c r="F118" i="13" s="1"/>
  <c r="F119" i="13" s="1" a="1"/>
  <c r="F119" i="13" s="1"/>
  <c r="H129" i="13" a="1"/>
  <c r="H129" i="13" s="1"/>
  <c r="H130" i="13" s="1" a="1"/>
  <c r="H130" i="13" s="1"/>
  <c r="H131" i="13" s="1" a="1"/>
  <c r="H131" i="13" s="1"/>
  <c r="H132" i="13" s="1" a="1"/>
  <c r="H132" i="13" s="1"/>
  <c r="H128" i="13" a="1"/>
  <c r="H128" i="13" s="1"/>
  <c r="BH129" i="13" a="1"/>
  <c r="BH129" i="13" s="1"/>
  <c r="BH130" i="13" s="1" a="1"/>
  <c r="BH130" i="13" s="1"/>
  <c r="BH131" i="13" s="1" a="1"/>
  <c r="BH131" i="13" s="1"/>
  <c r="BH132" i="13" s="1" a="1"/>
  <c r="BH132" i="13" s="1"/>
  <c r="BH128" i="13" a="1"/>
  <c r="BH128" i="13" s="1"/>
  <c r="BH144" i="13" a="1"/>
  <c r="BH144" i="13" s="1"/>
  <c r="BH143" i="13" a="1"/>
  <c r="BH143" i="13" s="1"/>
  <c r="H154" i="13" a="1"/>
  <c r="H154" i="13" s="1"/>
  <c r="H150" i="13" a="1"/>
  <c r="H150" i="13" s="1"/>
  <c r="BH151" i="13" a="1"/>
  <c r="BH151" i="13" s="1"/>
  <c r="BH152" i="13" s="1" a="1"/>
  <c r="BH152" i="13" s="1"/>
  <c r="BH153" i="13" s="1" a="1"/>
  <c r="BH153" i="13" s="1"/>
  <c r="BH154" i="13" s="1" a="1"/>
  <c r="BH154" i="13" s="1"/>
  <c r="BH150" i="13" a="1"/>
  <c r="BH150" i="13" s="1"/>
  <c r="AI2" i="14"/>
  <c r="AK2" i="14"/>
  <c r="AM2" i="14"/>
  <c r="AO2" i="14"/>
  <c r="AQ2" i="14"/>
  <c r="AS2" i="14"/>
  <c r="F49" i="14" a="1"/>
  <c r="F49" i="14" s="1"/>
  <c r="F44" i="14" a="1"/>
  <c r="F44" i="14" s="1"/>
  <c r="F43" i="14" a="1"/>
  <c r="F43" i="14" s="1"/>
  <c r="F65" i="14" a="1"/>
  <c r="F65" i="14" s="1"/>
  <c r="F60" i="14" a="1"/>
  <c r="F60" i="14" s="1"/>
  <c r="F59" i="14" a="1"/>
  <c r="F59" i="14" s="1"/>
  <c r="AS2" i="15"/>
  <c r="B198" i="4"/>
  <c r="B200" i="4"/>
  <c r="B201" i="4"/>
  <c r="B213" i="4"/>
  <c r="B215" i="4"/>
  <c r="B218" i="4"/>
  <c r="B219" i="4"/>
  <c r="B230" i="4"/>
  <c r="B232" i="4"/>
  <c r="AE74" i="10"/>
  <c r="AG74" i="10"/>
  <c r="AI74" i="10"/>
  <c r="AK74" i="10"/>
  <c r="AM74" i="10"/>
  <c r="AO74" i="10"/>
  <c r="AQ74" i="10"/>
  <c r="AS74" i="10"/>
  <c r="AU74" i="10"/>
  <c r="AW74" i="10"/>
  <c r="AY74" i="10"/>
  <c r="BA74" i="10"/>
  <c r="AB128" i="10"/>
  <c r="AE210" i="10"/>
  <c r="AG210" i="10"/>
  <c r="AI210" i="10"/>
  <c r="AK210" i="10"/>
  <c r="AM210" i="10"/>
  <c r="AO210" i="10"/>
  <c r="AQ210" i="10"/>
  <c r="AS210" i="10"/>
  <c r="AU210" i="10"/>
  <c r="AW210" i="10"/>
  <c r="AY210" i="10"/>
  <c r="BA210" i="10"/>
  <c r="AJ53" i="12"/>
  <c r="AJ58" i="12" s="1"/>
  <c r="AJ57" i="12" s="1"/>
  <c r="AH125" i="12"/>
  <c r="AJ125" i="12"/>
  <c r="AJ131" i="12" s="1"/>
  <c r="AO141" i="12"/>
  <c r="AO146" i="12" s="1"/>
  <c r="AU141" i="12"/>
  <c r="AU146" i="12" s="1"/>
  <c r="BA141" i="12"/>
  <c r="BA146" i="12" s="1"/>
  <c r="BG141" i="12"/>
  <c r="BG146" i="12" s="1"/>
  <c r="BM141" i="12"/>
  <c r="BM146" i="12" s="1"/>
  <c r="BS141" i="12"/>
  <c r="BS146" i="12" s="1"/>
  <c r="BY141" i="12"/>
  <c r="BY146" i="12" s="1"/>
  <c r="CE141" i="12"/>
  <c r="CE146" i="12" s="1"/>
  <c r="CK141" i="12"/>
  <c r="CK146" i="12" s="1"/>
  <c r="CQ141" i="12"/>
  <c r="CQ146" i="12" s="1"/>
  <c r="AJ164" i="12"/>
  <c r="AJ165" i="12" s="1"/>
  <c r="CZ173" i="12" a="1"/>
  <c r="CZ173" i="12" s="1"/>
  <c r="AK192" i="12"/>
  <c r="AK193" i="12"/>
  <c r="AK234" i="12"/>
  <c r="AK235" i="12"/>
  <c r="AI295" i="12"/>
  <c r="AI280" i="12"/>
  <c r="AI288" i="12" s="1"/>
  <c r="AK280" i="12"/>
  <c r="AK297" i="12"/>
  <c r="AI290" i="12"/>
  <c r="AI292" i="12"/>
  <c r="L300" i="12" a="1"/>
  <c r="L300" i="12" s="1"/>
  <c r="L301" i="12" s="1" a="1"/>
  <c r="L301" i="12" s="1"/>
  <c r="K300" i="12" a="1"/>
  <c r="K300" i="12" s="1"/>
  <c r="J300" i="12" a="1"/>
  <c r="J300" i="12" s="1"/>
  <c r="I300" i="12" a="1"/>
  <c r="I300" i="12" s="1"/>
  <c r="H300" i="12" a="1"/>
  <c r="H300" i="12" s="1"/>
  <c r="G300" i="12" a="1"/>
  <c r="G300" i="12" s="1"/>
  <c r="F301" i="12" a="1"/>
  <c r="F301" i="12" s="1"/>
  <c r="F302" i="12" s="1" a="1"/>
  <c r="F302" i="12" s="1"/>
  <c r="F303" i="12" s="1" a="1"/>
  <c r="F303" i="12" s="1"/>
  <c r="F304" i="12" s="1" a="1"/>
  <c r="F304" i="12" s="1"/>
  <c r="F305" i="12" s="1" a="1"/>
  <c r="F305" i="12" s="1"/>
  <c r="F306" i="12" s="1" a="1"/>
  <c r="F306" i="12" s="1"/>
  <c r="F307" i="12" s="1" a="1"/>
  <c r="F307" i="12" s="1"/>
  <c r="F308" i="12" s="1" a="1"/>
  <c r="F308" i="12" s="1"/>
  <c r="F309" i="12" s="1" a="1"/>
  <c r="F309" i="12" s="1"/>
  <c r="F310" i="12" s="1" a="1"/>
  <c r="F310" i="12" s="1"/>
  <c r="F311" i="12" s="1" a="1"/>
  <c r="F311" i="12" s="1"/>
  <c r="F312" i="12" s="1" a="1"/>
  <c r="F312" i="12" s="1"/>
  <c r="F313" i="12" s="1" a="1"/>
  <c r="F313" i="12" s="1"/>
  <c r="S301" i="12" a="1"/>
  <c r="S301" i="12" s="1"/>
  <c r="S302" i="12" s="1" a="1"/>
  <c r="S302" i="12" s="1"/>
  <c r="S303" i="12" s="1" a="1"/>
  <c r="S303" i="12" s="1"/>
  <c r="S304" i="12" s="1" a="1"/>
  <c r="S304" i="12" s="1"/>
  <c r="S305" i="12" s="1" a="1"/>
  <c r="S305" i="12" s="1"/>
  <c r="S306" i="12" s="1" a="1"/>
  <c r="S306" i="12" s="1"/>
  <c r="S307" i="12" s="1" a="1"/>
  <c r="S307" i="12" s="1"/>
  <c r="S308" i="12" s="1" a="1"/>
  <c r="S308" i="12" s="1"/>
  <c r="S309" i="12" s="1" a="1"/>
  <c r="S309" i="12" s="1"/>
  <c r="S310" i="12" s="1" a="1"/>
  <c r="S310" i="12" s="1"/>
  <c r="S311" i="12" s="1" a="1"/>
  <c r="S311" i="12" s="1"/>
  <c r="S312" i="12" s="1" a="1"/>
  <c r="S312" i="12" s="1"/>
  <c r="S313" i="12" s="1" a="1"/>
  <c r="S313" i="12" s="1"/>
  <c r="AI311" i="12"/>
  <c r="AI309" i="12"/>
  <c r="AK311" i="12"/>
  <c r="AK309" i="12"/>
  <c r="AS311" i="12"/>
  <c r="AS309" i="12"/>
  <c r="AW311" i="12"/>
  <c r="AW309" i="12"/>
  <c r="BE311" i="12"/>
  <c r="BE309" i="12"/>
  <c r="BI311" i="12"/>
  <c r="BI309" i="12"/>
  <c r="BQ311" i="12"/>
  <c r="BQ309" i="12"/>
  <c r="BU311" i="12"/>
  <c r="BU309" i="12"/>
  <c r="CC311" i="12"/>
  <c r="CC309" i="12"/>
  <c r="CG311" i="12"/>
  <c r="CG309" i="12"/>
  <c r="CO311" i="12"/>
  <c r="CO309" i="12"/>
  <c r="CS311" i="12"/>
  <c r="CS309" i="12"/>
  <c r="AU311" i="12"/>
  <c r="BG311" i="12"/>
  <c r="BS311" i="12"/>
  <c r="CE311" i="12"/>
  <c r="CQ311" i="12"/>
  <c r="AJ311" i="12"/>
  <c r="AN311" i="12"/>
  <c r="AV311" i="12"/>
  <c r="AZ311" i="12"/>
  <c r="BH311" i="12"/>
  <c r="BL311" i="12"/>
  <c r="BT311" i="12"/>
  <c r="BX311" i="12"/>
  <c r="CF311" i="12"/>
  <c r="CJ311" i="12"/>
  <c r="CR311" i="12"/>
  <c r="AI312" i="12"/>
  <c r="AL319" i="12"/>
  <c r="AL318" i="12" s="1"/>
  <c r="AR319" i="12"/>
  <c r="AR318" i="12" s="1"/>
  <c r="AX319" i="12"/>
  <c r="AX318" i="12" s="1"/>
  <c r="BD319" i="12"/>
  <c r="BD318" i="12" s="1"/>
  <c r="BJ319" i="12"/>
  <c r="BJ318" i="12" s="1"/>
  <c r="BP319" i="12"/>
  <c r="BP318" i="12" s="1"/>
  <c r="BV319" i="12"/>
  <c r="BV318" i="12" s="1"/>
  <c r="CB319" i="12"/>
  <c r="CB318" i="12" s="1"/>
  <c r="CH319" i="12"/>
  <c r="CH318" i="12" s="1"/>
  <c r="CN319" i="12"/>
  <c r="CN318" i="12" s="1"/>
  <c r="AM322" i="12"/>
  <c r="AS322" i="12"/>
  <c r="AY322" i="12"/>
  <c r="BE322" i="12"/>
  <c r="BK322" i="12"/>
  <c r="BQ322" i="12"/>
  <c r="BW324" i="12"/>
  <c r="CI324" i="12"/>
  <c r="CO324" i="12"/>
  <c r="AK328" i="12"/>
  <c r="AK340" i="12" s="1"/>
  <c r="AK327" i="12"/>
  <c r="AK324" i="12"/>
  <c r="CC323" i="12"/>
  <c r="CO323" i="12"/>
  <c r="AJ429" i="12"/>
  <c r="AJ332" i="12"/>
  <c r="CY336" i="12" a="1"/>
  <c r="CY336" i="12" s="1"/>
  <c r="AI426" i="12"/>
  <c r="AK433" i="12"/>
  <c r="AI8" i="13"/>
  <c r="AI2" i="13"/>
  <c r="T75" i="13"/>
  <c r="F76" i="13" a="1"/>
  <c r="F76" i="13" s="1"/>
  <c r="F77" i="13" s="1" a="1"/>
  <c r="F77" i="13" s="1"/>
  <c r="A75" i="13"/>
  <c r="H80" i="13" a="1"/>
  <c r="H80" i="13" s="1"/>
  <c r="H79" i="13" a="1"/>
  <c r="H79" i="13" s="1"/>
  <c r="BH80" i="13" a="1"/>
  <c r="BH80" i="13" s="1"/>
  <c r="BH79" i="13" a="1"/>
  <c r="BH79" i="13" s="1"/>
  <c r="F28" i="14" a="1"/>
  <c r="F28" i="14" s="1"/>
  <c r="F29" i="14" s="1" a="1"/>
  <c r="F29" i="14" s="1"/>
  <c r="AB27" i="14" a="1"/>
  <c r="AB27" i="14" s="1"/>
  <c r="H38" i="14" a="1"/>
  <c r="H38" i="14" s="1"/>
  <c r="H37" i="14" a="1"/>
  <c r="H37" i="14" s="1"/>
  <c r="BH38" i="14" a="1"/>
  <c r="BH38" i="14" s="1"/>
  <c r="BH37" i="14" a="1"/>
  <c r="BH37" i="14" s="1"/>
  <c r="H54" i="14" a="1"/>
  <c r="H54" i="14" s="1"/>
  <c r="H53" i="14" a="1"/>
  <c r="H53" i="14" s="1"/>
  <c r="BH54" i="14" a="1"/>
  <c r="BH54" i="14" s="1"/>
  <c r="BH53" i="14" a="1"/>
  <c r="BH53" i="14" s="1"/>
  <c r="H70" i="14" a="1"/>
  <c r="H70" i="14" s="1"/>
  <c r="H69" i="14" a="1"/>
  <c r="H69" i="14" s="1"/>
  <c r="BH70" i="14" a="1"/>
  <c r="BH70" i="14" s="1"/>
  <c r="BH69" i="14" a="1"/>
  <c r="BH69" i="14" s="1"/>
  <c r="AJ2" i="15"/>
  <c r="AL2" i="15"/>
  <c r="AN2" i="15"/>
  <c r="AP2" i="15"/>
  <c r="AR2" i="15"/>
  <c r="AH419" i="12"/>
  <c r="AJ419" i="12"/>
  <c r="AJ426" i="12" s="1"/>
  <c r="AH428" i="12"/>
  <c r="AJ428" i="12"/>
  <c r="AI429" i="12"/>
  <c r="AK429" i="12"/>
  <c r="AK2" i="13"/>
  <c r="AM2" i="13"/>
  <c r="AO2" i="13"/>
  <c r="AQ2" i="13"/>
  <c r="AS2" i="13"/>
  <c r="AB27" i="13" a="1"/>
  <c r="AB27" i="13" s="1"/>
  <c r="F28" i="13" a="1"/>
  <c r="F28" i="13" s="1"/>
  <c r="F29" i="13" s="1" a="1"/>
  <c r="F29" i="13" s="1"/>
  <c r="F30" i="13" s="1" a="1"/>
  <c r="F30" i="13" s="1"/>
  <c r="F31" i="13" s="1" a="1"/>
  <c r="F31" i="13" s="1"/>
  <c r="F32" i="13" s="1" a="1"/>
  <c r="F32" i="13" s="1"/>
  <c r="F33" i="13" s="1" a="1"/>
  <c r="F33" i="13" s="1"/>
  <c r="F34" i="13" s="1" a="1"/>
  <c r="F34" i="13" s="1"/>
  <c r="BH35" i="13" a="1"/>
  <c r="BH35" i="13" s="1"/>
  <c r="AB55" i="13"/>
  <c r="K68" i="13" a="1"/>
  <c r="K68" i="13" s="1"/>
  <c r="L68" i="13" a="1"/>
  <c r="L68" i="13" s="1"/>
  <c r="BE52" i="24"/>
  <c r="BH84" i="13" a="1"/>
  <c r="BH84" i="13" s="1"/>
  <c r="AB106" i="13"/>
  <c r="AB107" i="13"/>
  <c r="AB108" i="13" s="1"/>
  <c r="BH120" i="13" a="1"/>
  <c r="BH120" i="13" s="1"/>
  <c r="BH123" i="13" a="1"/>
  <c r="BH123" i="13" s="1"/>
  <c r="AB143" i="13"/>
  <c r="H31" i="14" a="1"/>
  <c r="H31" i="14" s="1"/>
  <c r="AB37" i="14"/>
  <c r="H44" i="14" a="1"/>
  <c r="H44" i="14" s="1"/>
  <c r="H47" i="14" a="1"/>
  <c r="H47" i="14" s="1"/>
  <c r="AB53" i="14"/>
  <c r="H60" i="14" a="1"/>
  <c r="H60" i="14" s="1"/>
  <c r="H63" i="14" a="1"/>
  <c r="H63" i="14" s="1"/>
  <c r="AB69" i="14"/>
  <c r="AB47" i="15"/>
  <c r="AB49" i="15"/>
  <c r="AB51" i="15"/>
  <c r="AB62" i="15"/>
  <c r="AB75" i="15"/>
  <c r="AB77" i="15"/>
  <c r="AB79" i="15"/>
  <c r="AF88" i="15"/>
  <c r="AF102" i="15" s="1"/>
  <c r="AH88" i="15"/>
  <c r="AH102" i="15" s="1"/>
  <c r="AJ88" i="15"/>
  <c r="AJ102" i="15" s="1"/>
  <c r="AL88" i="15"/>
  <c r="AL102" i="15" s="1"/>
  <c r="AN88" i="15"/>
  <c r="AN102" i="15" s="1"/>
  <c r="AP88" i="15"/>
  <c r="AP102" i="15" s="1"/>
  <c r="AR88" i="15"/>
  <c r="AR102" i="15" s="1"/>
  <c r="AT88" i="15"/>
  <c r="AT102" i="15" s="1"/>
  <c r="AV88" i="15"/>
  <c r="AV102" i="15" s="1"/>
  <c r="AX88" i="15"/>
  <c r="AX102" i="15" s="1"/>
  <c r="AZ88" i="15"/>
  <c r="AZ102" i="15" s="1"/>
  <c r="BB88" i="15"/>
  <c r="BB102" i="15" s="1"/>
  <c r="AB90" i="15"/>
  <c r="AB103" i="15"/>
  <c r="AB105" i="15"/>
  <c r="AB107" i="15"/>
  <c r="AB121" i="15"/>
  <c r="AB119" i="15"/>
  <c r="AB117" i="15"/>
  <c r="AB120" i="15"/>
  <c r="AB178" i="15"/>
  <c r="AB176" i="15"/>
  <c r="AB174" i="15"/>
  <c r="AB177" i="15"/>
  <c r="AG187" i="15"/>
  <c r="AG201" i="15" s="1"/>
  <c r="AK187" i="15"/>
  <c r="AK201" i="15" s="1"/>
  <c r="AO187" i="15"/>
  <c r="AO201" i="15" s="1"/>
  <c r="AS187" i="15"/>
  <c r="AS201" i="15" s="1"/>
  <c r="AW187" i="15"/>
  <c r="AW201" i="15" s="1"/>
  <c r="BA187" i="15"/>
  <c r="BA201" i="15" s="1"/>
  <c r="AB263" i="15"/>
  <c r="AB261" i="15"/>
  <c r="AB259" i="15"/>
  <c r="AB262"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I2" i="17"/>
  <c r="AK2" i="17"/>
  <c r="AM2" i="17"/>
  <c r="AO2" i="17"/>
  <c r="AQ2" i="17"/>
  <c r="AS2" i="17"/>
  <c r="BI38" i="17" a="1"/>
  <c r="BI38" i="17" s="1"/>
  <c r="BI37" i="17" a="1"/>
  <c r="BI37" i="17" s="1"/>
  <c r="F50" i="17" a="1"/>
  <c r="F50" i="17" s="1"/>
  <c r="F49" i="17" a="1"/>
  <c r="F49" i="17" s="1"/>
  <c r="F55" i="17" a="1"/>
  <c r="F55" i="17" s="1"/>
  <c r="BI51" i="17" a="1"/>
  <c r="BI51" i="17" s="1"/>
  <c r="BI50" i="17" a="1"/>
  <c r="BI50" i="17" s="1"/>
  <c r="BI54" i="17" a="1"/>
  <c r="BI54" i="17" s="1"/>
  <c r="BI53" i="17" a="1"/>
  <c r="BI53" i="17" s="1"/>
  <c r="BI69" i="17" a="1"/>
  <c r="BI69" i="17" s="1"/>
  <c r="BI68" i="17" a="1"/>
  <c r="BI68" i="17" s="1"/>
  <c r="BI76" i="17" a="1"/>
  <c r="BI76" i="17" s="1"/>
  <c r="BI75" i="17" a="1"/>
  <c r="BI75" i="17" s="1"/>
  <c r="BI79" i="17" a="1"/>
  <c r="BI79" i="17" s="1"/>
  <c r="BI78" i="17" a="1"/>
  <c r="BI78" i="17" s="1"/>
  <c r="BI85" i="17" a="1"/>
  <c r="BI85" i="17" s="1"/>
  <c r="BI84" i="17" a="1"/>
  <c r="BI84" i="17" s="1"/>
  <c r="BI88" i="17" a="1"/>
  <c r="BI88" i="17" s="1"/>
  <c r="BI87" i="17" a="1"/>
  <c r="BI87" i="17" s="1"/>
  <c r="AI52" i="18"/>
  <c r="F85" i="18" a="1"/>
  <c r="F85" i="18" s="1"/>
  <c r="T84" i="18"/>
  <c r="AJ83" i="18"/>
  <c r="AS2" i="19"/>
  <c r="T54" i="19" a="1"/>
  <c r="T54" i="19" s="1"/>
  <c r="T53" i="19" s="1"/>
  <c r="T52" i="19" a="1"/>
  <c r="T52" i="19" s="1"/>
  <c r="F28" i="20" a="1"/>
  <c r="F28" i="20" s="1"/>
  <c r="F29" i="20" s="1" a="1"/>
  <c r="F29" i="20" s="1"/>
  <c r="F30" i="20" s="1" a="1"/>
  <c r="F30" i="20" s="1"/>
  <c r="F31" i="20" s="1" a="1"/>
  <c r="F31" i="20" s="1"/>
  <c r="F32" i="20" s="1" a="1"/>
  <c r="F32" i="20" s="1"/>
  <c r="AB27" i="20" a="1"/>
  <c r="AB27" i="20" s="1"/>
  <c r="F41" i="20" a="1"/>
  <c r="F41" i="20" s="1"/>
  <c r="F42" i="20" s="1" a="1"/>
  <c r="F42" i="20" s="1"/>
  <c r="AI8" i="22"/>
  <c r="AT8" i="22"/>
  <c r="AT2" i="22"/>
  <c r="BD2" i="22"/>
  <c r="F47" i="22" a="1"/>
  <c r="F47" i="22" s="1"/>
  <c r="AF8" i="23"/>
  <c r="AH8" i="23"/>
  <c r="AJ8" i="23"/>
  <c r="I27" i="23" a="1"/>
  <c r="I27" i="23" s="1"/>
  <c r="G27" i="23" a="1"/>
  <c r="G27" i="23" s="1"/>
  <c r="F28" i="23" a="1"/>
  <c r="F28" i="23" s="1"/>
  <c r="AB27" i="23" a="1"/>
  <c r="AB27" i="23" s="1"/>
  <c r="T57" i="23" a="1"/>
  <c r="T57" i="23" s="1"/>
  <c r="T58" i="23" a="1"/>
  <c r="T58" i="23" s="1"/>
  <c r="T59" i="23" s="1" a="1"/>
  <c r="T59" i="23" s="1"/>
  <c r="T60" i="23" s="1" a="1"/>
  <c r="T60" i="23" s="1"/>
  <c r="T61" i="23" s="1" a="1"/>
  <c r="T61" i="23" s="1"/>
  <c r="T62" i="23" s="1" a="1"/>
  <c r="T62" i="23" s="1"/>
  <c r="T63" i="23" s="1" a="1"/>
  <c r="T63" i="23" s="1"/>
  <c r="T64" i="23" s="1" a="1"/>
  <c r="T64" i="23" s="1"/>
  <c r="AJ2" i="24"/>
  <c r="AB27" i="24" a="1"/>
  <c r="AB27" i="24" s="1"/>
  <c r="AI291" i="12"/>
  <c r="AK291" i="12"/>
  <c r="BQ316" i="12"/>
  <c r="K27" i="13" a="1"/>
  <c r="K27" i="13" s="1"/>
  <c r="H35" i="13" a="1"/>
  <c r="H35" i="13" s="1"/>
  <c r="AB40" i="13"/>
  <c r="AB41" i="13"/>
  <c r="AB42" i="13"/>
  <c r="AB43" i="13"/>
  <c r="H55" i="13" a="1"/>
  <c r="H55" i="13" s="1"/>
  <c r="AB62" i="13"/>
  <c r="AB63" i="13"/>
  <c r="AB64" i="13" s="1"/>
  <c r="AB76" i="13"/>
  <c r="AB79" i="13"/>
  <c r="H84" i="13" a="1"/>
  <c r="H84" i="13" s="1"/>
  <c r="AB99" i="13"/>
  <c r="H106" i="13" a="1"/>
  <c r="H106" i="13" s="1"/>
  <c r="H120" i="13" a="1"/>
  <c r="H120" i="13" s="1"/>
  <c r="H123" i="13" a="1"/>
  <c r="H123" i="13" s="1"/>
  <c r="AB128" i="13"/>
  <c r="AB129" i="13"/>
  <c r="AB130" i="13"/>
  <c r="AB131" i="13"/>
  <c r="H143" i="13" a="1"/>
  <c r="H143" i="13" s="1"/>
  <c r="AB150" i="13"/>
  <c r="AB151" i="13"/>
  <c r="AB152" i="13" s="1"/>
  <c r="BH31" i="14" a="1"/>
  <c r="BH31" i="14" s="1"/>
  <c r="BH44" i="14" a="1"/>
  <c r="BH44" i="14" s="1"/>
  <c r="BH47" i="14" a="1"/>
  <c r="BH47" i="14" s="1"/>
  <c r="BH60" i="14" a="1"/>
  <c r="BH60" i="14" s="1"/>
  <c r="BH63" i="14" a="1"/>
  <c r="BH63" i="14" s="1"/>
  <c r="AB27" i="15" a="1"/>
  <c r="AB27" i="15" s="1"/>
  <c r="AB48" i="15"/>
  <c r="AB76" i="15"/>
  <c r="AB104" i="15"/>
  <c r="AB150" i="15"/>
  <c r="AB148" i="15"/>
  <c r="AB146" i="15"/>
  <c r="AB149" i="15"/>
  <c r="AF198" i="15"/>
  <c r="AH198" i="15"/>
  <c r="AJ198" i="15"/>
  <c r="AL198" i="15"/>
  <c r="AN198" i="15"/>
  <c r="AP198" i="15"/>
  <c r="AR198" i="15"/>
  <c r="AT198" i="15"/>
  <c r="AV198" i="15"/>
  <c r="AX198" i="15"/>
  <c r="AZ198" i="15"/>
  <c r="BB198" i="15"/>
  <c r="AF202" i="15"/>
  <c r="AF187" i="15"/>
  <c r="AF201" i="15" s="1"/>
  <c r="AH202" i="15"/>
  <c r="AH187" i="15"/>
  <c r="AH201" i="15" s="1"/>
  <c r="AJ202" i="15"/>
  <c r="AJ187" i="15"/>
  <c r="AJ201" i="15" s="1"/>
  <c r="AL202" i="15"/>
  <c r="AL187" i="15"/>
  <c r="AL201" i="15" s="1"/>
  <c r="AN202" i="15"/>
  <c r="AN187" i="15"/>
  <c r="AN201" i="15" s="1"/>
  <c r="AP202" i="15"/>
  <c r="AP187" i="15"/>
  <c r="AP201" i="15" s="1"/>
  <c r="AR202" i="15"/>
  <c r="AR187" i="15"/>
  <c r="AR201" i="15" s="1"/>
  <c r="AT202" i="15"/>
  <c r="AT187" i="15"/>
  <c r="AT201" i="15" s="1"/>
  <c r="AV202" i="15"/>
  <c r="AV187" i="15"/>
  <c r="AV201" i="15" s="1"/>
  <c r="AX202" i="15"/>
  <c r="AX187" i="15"/>
  <c r="AX201" i="15" s="1"/>
  <c r="AZ202" i="15"/>
  <c r="AZ187" i="15"/>
  <c r="AZ201" i="15" s="1"/>
  <c r="BB202" i="15"/>
  <c r="BB187" i="15"/>
  <c r="BB201" i="15" s="1"/>
  <c r="AB206" i="15"/>
  <c r="AB204" i="15"/>
  <c r="AB202" i="15"/>
  <c r="AB205" i="15"/>
  <c r="AI2" i="16"/>
  <c r="AK2" i="16"/>
  <c r="AM2" i="16"/>
  <c r="AO2" i="16"/>
  <c r="AQ2" i="16"/>
  <c r="AS2" i="16"/>
  <c r="F28" i="17" a="1"/>
  <c r="F28" i="17" s="1"/>
  <c r="F29" i="17" s="1" a="1"/>
  <c r="F29" i="17" s="1"/>
  <c r="AB27" i="17" a="1"/>
  <c r="AB27" i="17" s="1"/>
  <c r="H38" i="17" a="1"/>
  <c r="H38" i="17" s="1"/>
  <c r="H37" i="17" a="1"/>
  <c r="H37" i="17" s="1"/>
  <c r="BH38" i="17" a="1"/>
  <c r="BH38" i="17" s="1"/>
  <c r="BH37" i="17" a="1"/>
  <c r="BH37" i="17" s="1"/>
  <c r="H51" i="17" a="1"/>
  <c r="H51" i="17" s="1"/>
  <c r="H50" i="17" a="1"/>
  <c r="H50" i="17" s="1"/>
  <c r="BH51" i="17" a="1"/>
  <c r="BH51" i="17" s="1"/>
  <c r="BH50" i="17" a="1"/>
  <c r="BH50" i="17" s="1"/>
  <c r="H54" i="17" a="1"/>
  <c r="H54" i="17" s="1"/>
  <c r="H53" i="17" a="1"/>
  <c r="H53" i="17" s="1"/>
  <c r="BH54" i="17" a="1"/>
  <c r="BH54" i="17" s="1"/>
  <c r="BH53" i="17" a="1"/>
  <c r="BH53" i="17" s="1"/>
  <c r="H69" i="17" a="1"/>
  <c r="H69" i="17" s="1"/>
  <c r="H68" i="17" a="1"/>
  <c r="H68" i="17" s="1"/>
  <c r="BH69" i="17" a="1"/>
  <c r="BH69" i="17" s="1"/>
  <c r="BH68" i="17" a="1"/>
  <c r="BH68" i="17" s="1"/>
  <c r="F75" i="17" a="1"/>
  <c r="F75" i="17" s="1"/>
  <c r="F74" i="17" a="1"/>
  <c r="F74" i="17" s="1"/>
  <c r="F80" i="17" a="1"/>
  <c r="F80" i="17" s="1"/>
  <c r="H76" i="17" a="1"/>
  <c r="H76" i="17" s="1"/>
  <c r="H75" i="17" a="1"/>
  <c r="H75" i="17" s="1"/>
  <c r="BH76" i="17" a="1"/>
  <c r="BH76" i="17" s="1"/>
  <c r="BH75" i="17" a="1"/>
  <c r="BH75" i="17" s="1"/>
  <c r="H79" i="17" a="1"/>
  <c r="H79" i="17" s="1"/>
  <c r="H78" i="17" a="1"/>
  <c r="H78" i="17" s="1"/>
  <c r="BH79" i="17" a="1"/>
  <c r="BH79" i="17" s="1"/>
  <c r="BH78" i="17" a="1"/>
  <c r="BH78" i="17" s="1"/>
  <c r="H85" i="17" a="1"/>
  <c r="H85" i="17" s="1"/>
  <c r="H84" i="17" a="1"/>
  <c r="H84" i="17" s="1"/>
  <c r="BH85" i="17" a="1"/>
  <c r="BH85" i="17" s="1"/>
  <c r="BH84" i="17" a="1"/>
  <c r="BH84" i="17" s="1"/>
  <c r="H88" i="17" a="1"/>
  <c r="H88" i="17" s="1"/>
  <c r="H87" i="17" a="1"/>
  <c r="H87" i="17" s="1"/>
  <c r="BH88" i="17" a="1"/>
  <c r="BH88" i="17" s="1"/>
  <c r="BH87" i="17" a="1"/>
  <c r="BH87" i="17" s="1"/>
  <c r="F29" i="18" a="1"/>
  <c r="F29" i="18" s="1"/>
  <c r="T28" i="18"/>
  <c r="F53" i="18" a="1"/>
  <c r="F53" i="18" s="1"/>
  <c r="T52" i="18"/>
  <c r="AJ2" i="19"/>
  <c r="AL2" i="19"/>
  <c r="AN2" i="19"/>
  <c r="AP2" i="19"/>
  <c r="AR2" i="19"/>
  <c r="T40" i="19" a="1"/>
  <c r="T40" i="19" s="1"/>
  <c r="T39" i="19" s="1"/>
  <c r="T38" i="19" a="1"/>
  <c r="T38" i="19" s="1"/>
  <c r="T68" i="19" a="1"/>
  <c r="T68" i="19" s="1"/>
  <c r="T67" i="19" s="1"/>
  <c r="T66" i="19" a="1"/>
  <c r="T66" i="19" s="1"/>
  <c r="AE2" i="20"/>
  <c r="AG2" i="20"/>
  <c r="AI2" i="20"/>
  <c r="AK2" i="20"/>
  <c r="AM2" i="20"/>
  <c r="AO2" i="20"/>
  <c r="F49" i="20" a="1"/>
  <c r="F49" i="20" s="1"/>
  <c r="F50" i="20" s="1" a="1"/>
  <c r="F50" i="20" s="1"/>
  <c r="I77" i="21" a="1"/>
  <c r="I77" i="21" s="1"/>
  <c r="G77" i="21" a="1"/>
  <c r="G77" i="21" s="1"/>
  <c r="F78" i="21" a="1"/>
  <c r="F78" i="21" s="1"/>
  <c r="F79" i="21" s="1" a="1"/>
  <c r="F79" i="21" s="1"/>
  <c r="F80" i="21" s="1" a="1"/>
  <c r="F80" i="21" s="1"/>
  <c r="F81" i="21" s="1" a="1"/>
  <c r="F81" i="21" s="1"/>
  <c r="I27" i="22" a="1"/>
  <c r="I27" i="22" s="1"/>
  <c r="G27" i="22" a="1"/>
  <c r="G27" i="22" s="1"/>
  <c r="F28" i="22" a="1"/>
  <c r="F28" i="22" s="1"/>
  <c r="AB27" i="22" a="1"/>
  <c r="AB27" i="22" s="1"/>
  <c r="F38" i="22" a="1"/>
  <c r="F38" i="22" s="1"/>
  <c r="AT8" i="23"/>
  <c r="AT2" i="23"/>
  <c r="BD2" i="23"/>
  <c r="T37" i="23" a="1"/>
  <c r="T37" i="23" s="1"/>
  <c r="T38" i="23" a="1"/>
  <c r="T38" i="23" s="1"/>
  <c r="T39" i="23" s="1" a="1"/>
  <c r="T39" i="23" s="1"/>
  <c r="T40" i="23" s="1" a="1"/>
  <c r="T40" i="23" s="1"/>
  <c r="T41" i="23" s="1" a="1"/>
  <c r="T41" i="23" s="1"/>
  <c r="T42" i="23" s="1" a="1"/>
  <c r="T42" i="23" s="1"/>
  <c r="T43" i="23" s="1" a="1"/>
  <c r="T43" i="23" s="1"/>
  <c r="T44" i="23" s="1" a="1"/>
  <c r="T44" i="23" s="1"/>
  <c r="T77" i="23" a="1"/>
  <c r="T77" i="23" s="1"/>
  <c r="T78" i="23" a="1"/>
  <c r="T78" i="23" s="1"/>
  <c r="T79" i="23" s="1" a="1"/>
  <c r="T79" i="23" s="1"/>
  <c r="T80" i="23" s="1" a="1"/>
  <c r="T80" i="23" s="1"/>
  <c r="T81" i="23" s="1" a="1"/>
  <c r="T81" i="23" s="1"/>
  <c r="T82" i="23" s="1" a="1"/>
  <c r="T82" i="23" s="1"/>
  <c r="T83" i="23" s="1" a="1"/>
  <c r="T83" i="23" s="1"/>
  <c r="T84" i="23" s="1" a="1"/>
  <c r="T84" i="23" s="1"/>
  <c r="AE8" i="24"/>
  <c r="AG8" i="24"/>
  <c r="AI8" i="24"/>
  <c r="AT2" i="24"/>
  <c r="AT8" i="24"/>
  <c r="AV2" i="24"/>
  <c r="AX2" i="24"/>
  <c r="AZ2" i="24"/>
  <c r="BB2" i="24"/>
  <c r="BD2" i="24"/>
  <c r="AB288" i="15"/>
  <c r="AB290" i="15"/>
  <c r="AB316" i="15"/>
  <c r="AB318" i="15"/>
  <c r="BH31" i="17" a="1"/>
  <c r="BH31" i="17" s="1"/>
  <c r="BI31" i="17" a="1"/>
  <c r="BI31" i="17" s="1"/>
  <c r="BH43" i="17" a="1"/>
  <c r="BH43" i="17" s="1"/>
  <c r="BI43" i="17" a="1"/>
  <c r="BI43" i="17" s="1"/>
  <c r="AB50" i="17"/>
  <c r="AB53" i="17"/>
  <c r="H59" i="17" a="1"/>
  <c r="H59" i="17" s="1"/>
  <c r="H62" i="17" a="1"/>
  <c r="H62" i="17" s="1"/>
  <c r="AB68" i="17"/>
  <c r="AB75" i="17"/>
  <c r="AB78" i="17"/>
  <c r="BH93" i="17" a="1"/>
  <c r="BH93" i="17" s="1"/>
  <c r="BI93" i="17" a="1"/>
  <c r="BI93" i="17" s="1"/>
  <c r="T27" i="18"/>
  <c r="AB27" i="18" a="1"/>
  <c r="AB27" i="18" s="1"/>
  <c r="AB31" i="18"/>
  <c r="AB37" i="18"/>
  <c r="AB43" i="18"/>
  <c r="AB49" i="18"/>
  <c r="T83" i="18"/>
  <c r="AB87" i="18"/>
  <c r="AB90" i="18"/>
  <c r="AB96" i="18"/>
  <c r="AB102" i="18"/>
  <c r="AB105" i="18"/>
  <c r="AB111" i="18"/>
  <c r="AB27" i="19" a="1"/>
  <c r="AB27" i="19" s="1"/>
  <c r="AB27" i="21" a="1"/>
  <c r="AB27" i="21" s="1"/>
  <c r="F28" i="21" a="1"/>
  <c r="F28" i="21" s="1"/>
  <c r="F29" i="21" s="1" a="1"/>
  <c r="F29" i="21" s="1"/>
  <c r="F30" i="21" s="1" a="1"/>
  <c r="F30" i="21" s="1"/>
  <c r="F31" i="21" s="1" a="1"/>
  <c r="F31" i="21" s="1"/>
  <c r="F52" i="21" a="1"/>
  <c r="F52" i="21" s="1"/>
  <c r="F53" i="21" s="1" a="1"/>
  <c r="F53" i="21" s="1"/>
  <c r="F54" i="21" s="1" a="1"/>
  <c r="F54" i="21" s="1"/>
  <c r="F55" i="21" s="1" a="1"/>
  <c r="F55" i="21" s="1"/>
  <c r="AJ2" i="22"/>
  <c r="AV2" i="22"/>
  <c r="AX2" i="22"/>
  <c r="AZ2" i="22"/>
  <c r="BB2" i="22"/>
  <c r="G36" i="22" a="1"/>
  <c r="G36" i="22" s="1"/>
  <c r="I36" i="22" a="1"/>
  <c r="I36" i="22" s="1"/>
  <c r="G45" i="22" a="1"/>
  <c r="G45" i="22" s="1"/>
  <c r="I45" i="22" a="1"/>
  <c r="I45" i="22" s="1"/>
  <c r="AJ2" i="23"/>
  <c r="AV2" i="23"/>
  <c r="AX2" i="23"/>
  <c r="AZ2" i="23"/>
  <c r="BB2" i="23"/>
  <c r="F48" i="23" a="1"/>
  <c r="F48" i="23" s="1"/>
  <c r="F68" i="23" a="1"/>
  <c r="F68" i="23" s="1"/>
  <c r="AJ8" i="24"/>
  <c r="AV8" i="24"/>
  <c r="AX8" i="24"/>
  <c r="AZ8" i="24"/>
  <c r="BB8" i="24"/>
  <c r="G27" i="24" a="1"/>
  <c r="G27" i="24" s="1"/>
  <c r="T32" i="24" s="1"/>
  <c r="T36" i="24" s="1" a="1"/>
  <c r="T36" i="24" s="1"/>
  <c r="I27" i="24" a="1"/>
  <c r="I27" i="24" s="1"/>
  <c r="J27" i="24" a="1"/>
  <c r="J27" i="24" s="1"/>
  <c r="K27" i="24" a="1"/>
  <c r="K27" i="24" s="1"/>
  <c r="L27" i="24" a="1"/>
  <c r="L27" i="24" s="1"/>
  <c r="M27" i="24" a="1"/>
  <c r="M27" i="24" s="1"/>
  <c r="F28" i="24" a="1"/>
  <c r="F28" i="24" s="1"/>
  <c r="F38" i="24" a="1"/>
  <c r="F38" i="24" s="1"/>
  <c r="M37" i="24" a="1"/>
  <c r="M37" i="24" s="1"/>
  <c r="L37" i="24" a="1"/>
  <c r="L37" i="24" s="1"/>
  <c r="K37" i="24" a="1"/>
  <c r="K37" i="24" s="1"/>
  <c r="J37" i="24" a="1"/>
  <c r="J37" i="24" s="1"/>
  <c r="I37" i="24" a="1"/>
  <c r="I37" i="24" s="1"/>
  <c r="G37" i="24" a="1"/>
  <c r="G37" i="24" s="1"/>
  <c r="T42" i="24" s="1"/>
  <c r="T46" i="24" s="1" a="1"/>
  <c r="T46" i="24" s="1"/>
  <c r="F48" i="24" a="1"/>
  <c r="F48" i="24" s="1"/>
  <c r="M47" i="24" a="1"/>
  <c r="M47" i="24" s="1"/>
  <c r="L47" i="24" a="1"/>
  <c r="L47" i="24" s="1"/>
  <c r="K47" i="24" a="1"/>
  <c r="K47" i="24" s="1"/>
  <c r="J47" i="24" a="1"/>
  <c r="J47" i="24" s="1"/>
  <c r="I47" i="24" a="1"/>
  <c r="I47" i="24" s="1"/>
  <c r="G47" i="24" a="1"/>
  <c r="G47" i="24" s="1"/>
  <c r="T52" i="24" s="1"/>
  <c r="T56" i="24" s="1" a="1"/>
  <c r="T56" i="24" s="1"/>
  <c r="AJ2" i="25"/>
  <c r="AL2" i="25"/>
  <c r="AP2" i="25"/>
  <c r="AR2" i="25"/>
  <c r="F33" i="25" a="1"/>
  <c r="F33" i="25" s="1"/>
  <c r="F34" i="25" s="1" a="1"/>
  <c r="F34" i="25"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N9" i="25" a="1"/>
  <c r="AN9" i="25" s="1"/>
  <c r="AN6" i="25" a="1"/>
  <c r="AN6" i="25" s="1"/>
  <c r="AN2"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T156" i="25" a="1"/>
  <c r="T156" i="25" s="1"/>
  <c r="T157" i="25" s="1" a="1"/>
  <c r="T157" i="25" s="1"/>
  <c r="T158" i="25" s="1" a="1"/>
  <c r="T158" i="25" s="1"/>
  <c r="T159" i="25" s="1" a="1"/>
  <c r="T159" i="25" s="1"/>
  <c r="T160" i="25" s="1" a="1"/>
  <c r="T160" i="25" s="1"/>
  <c r="T161" i="25" s="1" a="1"/>
  <c r="T161" i="25" s="1"/>
  <c r="T162" i="25" s="1" a="1"/>
  <c r="T162" i="25" s="1"/>
  <c r="T163" i="25" s="1" a="1"/>
  <c r="T163" i="25" s="1"/>
  <c r="T164" i="25" s="1" a="1"/>
  <c r="T164" i="25" s="1"/>
  <c r="T165" i="25" s="1" a="1"/>
  <c r="T165" i="25" s="1"/>
  <c r="T166" i="25" s="1" a="1"/>
  <c r="T166" i="25" s="1"/>
  <c r="T167" i="25" s="1" a="1"/>
  <c r="T167" i="25" s="1"/>
  <c r="T168" i="25" s="1" a="1"/>
  <c r="T168" i="25" s="1"/>
  <c r="T155" i="25" a="1"/>
  <c r="T155" i="25" s="1"/>
  <c r="AL30" i="26"/>
  <c r="AI29" i="26"/>
  <c r="AL29" i="26" s="1"/>
  <c r="AL31" i="26"/>
  <c r="AL32" i="26"/>
  <c r="AL33" i="26"/>
  <c r="AL34" i="26"/>
  <c r="AL49" i="26"/>
  <c r="AI50" i="26"/>
  <c r="AL50" i="26" s="1"/>
  <c r="AL44" i="26"/>
  <c r="AI43" i="26"/>
  <c r="AL43" i="26" s="1"/>
  <c r="AL45" i="26"/>
  <c r="AL46" i="26"/>
  <c r="AL47" i="26"/>
  <c r="AL48" i="26"/>
  <c r="BD14" i="27" a="1"/>
  <c r="BD14" i="27" s="1"/>
  <c r="BD2" i="27"/>
  <c r="F140" i="27" a="1"/>
  <c r="F140" i="27" s="1"/>
  <c r="K139" i="27" a="1"/>
  <c r="K139" i="27" s="1"/>
  <c r="I139" i="27" a="1"/>
  <c r="I139" i="27" s="1"/>
  <c r="G139" i="27" a="1"/>
  <c r="G139" i="27" s="1"/>
  <c r="AJ13" i="28" a="1"/>
  <c r="AJ13" i="28" s="1"/>
  <c r="AJ8" i="28"/>
  <c r="AJ2" i="28"/>
  <c r="AL13" i="28" a="1"/>
  <c r="AL13" i="28" s="1"/>
  <c r="AL2" i="28"/>
  <c r="AB161" i="15"/>
  <c r="AB189" i="15"/>
  <c r="AB217" i="15"/>
  <c r="AB246" i="15"/>
  <c r="AB274" i="15"/>
  <c r="AE286" i="15"/>
  <c r="AE300" i="15" s="1"/>
  <c r="AG286" i="15"/>
  <c r="AG300" i="15" s="1"/>
  <c r="AI286" i="15"/>
  <c r="AI300" i="15" s="1"/>
  <c r="AK286" i="15"/>
  <c r="AK300" i="15" s="1"/>
  <c r="AM286" i="15"/>
  <c r="AM300" i="15" s="1"/>
  <c r="AO286" i="15"/>
  <c r="AO300" i="15" s="1"/>
  <c r="AQ286" i="15"/>
  <c r="AQ300" i="15" s="1"/>
  <c r="AS286" i="15"/>
  <c r="AS300" i="15" s="1"/>
  <c r="AU286" i="15"/>
  <c r="AU300" i="15" s="1"/>
  <c r="AW286" i="15"/>
  <c r="AW300" i="15" s="1"/>
  <c r="AY286" i="15"/>
  <c r="AY300" i="15" s="1"/>
  <c r="BA286" i="15"/>
  <c r="BA300" i="15" s="1"/>
  <c r="AB287" i="15"/>
  <c r="AB289" i="15"/>
  <c r="AB302" i="15"/>
  <c r="AB315" i="15"/>
  <c r="AB317" i="15"/>
  <c r="H31" i="17" a="1"/>
  <c r="H31" i="17" s="1"/>
  <c r="AB37" i="17"/>
  <c r="H43" i="17" a="1"/>
  <c r="H43" i="17" s="1"/>
  <c r="BH59" i="17" a="1"/>
  <c r="BH59" i="17" s="1"/>
  <c r="BI59" i="17" a="1"/>
  <c r="BI59" i="17" s="1"/>
  <c r="BH62" i="17" a="1"/>
  <c r="BH62" i="17" s="1"/>
  <c r="BI62" i="17" a="1"/>
  <c r="BI62" i="17" s="1"/>
  <c r="AB84" i="17"/>
  <c r="AB87" i="17"/>
  <c r="H93" i="17" a="1"/>
  <c r="H93" i="17" s="1"/>
  <c r="AJ2" i="18"/>
  <c r="AB56" i="18"/>
  <c r="AB59" i="18"/>
  <c r="AB65" i="18"/>
  <c r="AB71" i="18"/>
  <c r="AB74" i="18"/>
  <c r="AB80" i="18"/>
  <c r="G27" i="21" a="1"/>
  <c r="G27" i="21" s="1"/>
  <c r="G51" i="21" a="1"/>
  <c r="G51" i="21" s="1"/>
  <c r="G47" i="23" a="1"/>
  <c r="G47" i="23" s="1"/>
  <c r="G67" i="23" a="1"/>
  <c r="G67" i="23" s="1"/>
  <c r="AI2" i="25"/>
  <c r="AK2" i="25"/>
  <c r="AO2" i="25"/>
  <c r="AQ2" i="25"/>
  <c r="AH9" i="25" a="1"/>
  <c r="AH9" i="25" s="1"/>
  <c r="AH6" i="25" a="1"/>
  <c r="AH6" i="25" s="1"/>
  <c r="AH2" i="25" s="1"/>
  <c r="F80" i="25" a="1"/>
  <c r="F80" i="25" s="1"/>
  <c r="F81" i="25" s="1" a="1"/>
  <c r="F81" i="25" s="1"/>
  <c r="F127" i="25" a="1"/>
  <c r="F127" i="25" s="1"/>
  <c r="F128" i="25" s="1" a="1"/>
  <c r="F128" i="25" s="1"/>
  <c r="AL36" i="26"/>
  <c r="AI35" i="26"/>
  <c r="AL35" i="26" s="1"/>
  <c r="AJ8" i="27"/>
  <c r="AJ14" i="27" a="1"/>
  <c r="AJ14" i="27" s="1"/>
  <c r="AJ2" i="27"/>
  <c r="AU2" i="27"/>
  <c r="AW2" i="27"/>
  <c r="AY2" i="27"/>
  <c r="BA2" i="27"/>
  <c r="BC2" i="27"/>
  <c r="K27" i="27" a="1"/>
  <c r="K27" i="27" s="1"/>
  <c r="N83" i="27" a="1"/>
  <c r="N83" i="27" s="1"/>
  <c r="F84" i="27" a="1"/>
  <c r="F84" i="27" s="1"/>
  <c r="AK13" i="28" a="1"/>
  <c r="AK13" i="28" s="1"/>
  <c r="AK2" i="28"/>
  <c r="AK8" i="28"/>
  <c r="M28" i="28" a="1"/>
  <c r="M28" i="28" s="1"/>
  <c r="F28" i="28" a="1"/>
  <c r="F28" i="28" s="1"/>
  <c r="F29" i="28" s="1" a="1"/>
  <c r="F29" i="28" s="1"/>
  <c r="F30" i="28" s="1" a="1"/>
  <c r="F30" i="28" s="1"/>
  <c r="K27" i="28" a="1"/>
  <c r="K27" i="28" s="1"/>
  <c r="I27" i="28" a="1"/>
  <c r="I27" i="28" s="1"/>
  <c r="G27" i="28" a="1"/>
  <c r="G27" i="28" s="1"/>
  <c r="AB27" i="28" a="1"/>
  <c r="AB27" i="28" s="1"/>
  <c r="T75" i="28" a="1"/>
  <c r="T75" i="28" s="1"/>
  <c r="T76" i="28" s="1" a="1"/>
  <c r="T76" i="28" s="1"/>
  <c r="T77" i="28" s="1" a="1"/>
  <c r="T77" i="28" s="1"/>
  <c r="T78" i="28" s="1" a="1"/>
  <c r="T78" i="28" s="1"/>
  <c r="T79" i="28" s="1" a="1"/>
  <c r="T79" i="28" s="1"/>
  <c r="T80" i="28" s="1" a="1"/>
  <c r="T80" i="28" s="1"/>
  <c r="T81" i="28" s="1" a="1"/>
  <c r="T81" i="28" s="1"/>
  <c r="T93" i="28" a="1"/>
  <c r="T93" i="28" s="1"/>
  <c r="AB28" i="25" a="1"/>
  <c r="AB28" i="25" s="1"/>
  <c r="AE50" i="26"/>
  <c r="AH50" i="26" s="1"/>
  <c r="AE8" i="27"/>
  <c r="AG8" i="27"/>
  <c r="AI8" i="27"/>
  <c r="AU8" i="27"/>
  <c r="AW8" i="27"/>
  <c r="AY8" i="27"/>
  <c r="BA8" i="27"/>
  <c r="BC8" i="27"/>
  <c r="AL14" i="27" a="1"/>
  <c r="AL14" i="27" s="1"/>
  <c r="AN14" i="27" a="1"/>
  <c r="AN14" i="27" s="1"/>
  <c r="AP14" i="27" a="1"/>
  <c r="AP14" i="27" s="1"/>
  <c r="AR14" i="27" a="1"/>
  <c r="AR14" i="27" s="1"/>
  <c r="AT14" i="27" a="1"/>
  <c r="AT14" i="27" s="1"/>
  <c r="AU14" i="27" a="1"/>
  <c r="AU14" i="27" s="1"/>
  <c r="AW14" i="27" a="1"/>
  <c r="AW14" i="27" s="1"/>
  <c r="AY14" i="27" a="1"/>
  <c r="AY14" i="27" s="1"/>
  <c r="BA14" i="27" a="1"/>
  <c r="BA14" i="27" s="1"/>
  <c r="BC14" i="27" a="1"/>
  <c r="BC14" i="27" s="1"/>
  <c r="AB27" i="27" a="1"/>
  <c r="AB27" i="27" s="1"/>
  <c r="F28" i="27" a="1"/>
  <c r="F28" i="27" s="1"/>
  <c r="G82" i="27" a="1"/>
  <c r="G82" i="27" s="1"/>
  <c r="I82" i="27" a="1"/>
  <c r="I82" i="27" s="1"/>
  <c r="K82" i="27" a="1"/>
  <c r="K82" i="27" s="1"/>
  <c r="BE98" i="27"/>
  <c r="BE109" i="27"/>
  <c r="BD113" i="27"/>
  <c r="BE155" i="27"/>
  <c r="AE8" i="28"/>
  <c r="AG8" i="28"/>
  <c r="AI8" i="28"/>
  <c r="M95" i="28" a="1"/>
  <c r="M95" i="28" s="1"/>
  <c r="T142" i="28" a="1"/>
  <c r="T142" i="28" s="1"/>
  <c r="T143" i="28" s="1" a="1"/>
  <c r="T143" i="28" s="1"/>
  <c r="T144" i="28" s="1" a="1"/>
  <c r="T144" i="28" s="1"/>
  <c r="T145" i="28" s="1" a="1"/>
  <c r="T145" i="28" s="1"/>
  <c r="T146" i="28" s="1" a="1"/>
  <c r="T146" i="28" s="1"/>
  <c r="T147" i="28" s="1" a="1"/>
  <c r="T147" i="28" s="1"/>
  <c r="T148" i="28" s="1" a="1"/>
  <c r="T148" i="28" s="1"/>
  <c r="T160" i="28" a="1"/>
  <c r="T160" i="28" s="1"/>
  <c r="M162" i="28" a="1"/>
  <c r="M162" i="28" s="1"/>
  <c r="T209" i="28" a="1"/>
  <c r="T209" i="28" s="1"/>
  <c r="T210" i="28" s="1" a="1"/>
  <c r="T210" i="28" s="1"/>
  <c r="T211" i="28" s="1" a="1"/>
  <c r="T211" i="28" s="1"/>
  <c r="T212" i="28" s="1" a="1"/>
  <c r="T212" i="28" s="1"/>
  <c r="T213" i="28" s="1" a="1"/>
  <c r="T213" i="28" s="1"/>
  <c r="T214" i="28" s="1" a="1"/>
  <c r="T214" i="28" s="1"/>
  <c r="T215" i="28" s="1" a="1"/>
  <c r="T215" i="28" s="1"/>
  <c r="T227" i="28" a="1"/>
  <c r="T227"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K41" i="29" a="1"/>
  <c r="K41" i="29" s="1"/>
  <c r="I41" i="29" a="1"/>
  <c r="I41" i="29" s="1"/>
  <c r="G41" i="29" a="1"/>
  <c r="G41" i="29" s="1"/>
  <c r="K55" i="29" a="1"/>
  <c r="K55" i="29" s="1"/>
  <c r="AB28" i="26" a="1"/>
  <c r="AB28" i="26" s="1"/>
  <c r="G27" i="27" a="1"/>
  <c r="G27" i="27" s="1"/>
  <c r="I27" i="27" a="1"/>
  <c r="I27" i="27" s="1"/>
  <c r="K27" i="29" a="1"/>
  <c r="K27" i="29" s="1"/>
  <c r="G94" i="28" a="1"/>
  <c r="G94" i="28" s="1"/>
  <c r="I94" i="28" a="1"/>
  <c r="I94" i="28" s="1"/>
  <c r="K94" i="28" a="1"/>
  <c r="K94" i="28" s="1"/>
  <c r="G161" i="28" a="1"/>
  <c r="G161" i="28" s="1"/>
  <c r="I161" i="28" a="1"/>
  <c r="I161" i="28" s="1"/>
  <c r="K161" i="28" a="1"/>
  <c r="K161" i="28" s="1"/>
  <c r="AB27" i="29" a="1"/>
  <c r="AB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F56" i="29" a="1"/>
  <c r="F56" i="29" s="1"/>
  <c r="F57" i="29" s="1" a="1"/>
  <c r="F57" i="29" s="1"/>
  <c r="F58" i="29" s="1" a="1"/>
  <c r="F58" i="29" s="1"/>
  <c r="F59" i="29" s="1" a="1"/>
  <c r="F59" i="29" s="1"/>
  <c r="F60" i="29" s="1" a="1"/>
  <c r="F60" i="29" s="1"/>
  <c r="F61" i="29" s="1" a="1"/>
  <c r="F61" i="29" s="1"/>
  <c r="F62" i="29" s="1" a="1"/>
  <c r="F62" i="29" s="1"/>
  <c r="F63" i="29" s="1" a="1"/>
  <c r="F63" i="29" s="1"/>
  <c r="F64" i="29" s="1" a="1"/>
  <c r="F64" i="29" s="1"/>
  <c r="F65" i="29" s="1" a="1"/>
  <c r="F65" i="29" s="1"/>
  <c r="F66" i="29" s="1" a="1"/>
  <c r="F66" i="29" s="1"/>
  <c r="F67" i="29" s="1" a="1"/>
  <c r="F67" i="29" s="1"/>
  <c r="F68" i="29" s="1" a="1"/>
  <c r="F68" i="29" s="1"/>
  <c r="F28" i="30" a="1"/>
  <c r="F28" i="30" s="1"/>
  <c r="AB27" i="30" a="1"/>
  <c r="AB27" i="30" s="1"/>
  <c r="T27" i="30"/>
  <c r="I27" i="30" a="1"/>
  <c r="I27" i="30" s="1"/>
  <c r="AO8" i="31"/>
  <c r="AO2" i="31"/>
  <c r="M28" i="31" a="1"/>
  <c r="M28" i="31" s="1"/>
  <c r="AE52" i="31"/>
  <c r="AE50" i="31"/>
  <c r="AE51" i="31" s="1"/>
  <c r="AG52" i="31"/>
  <c r="AG50" i="31"/>
  <c r="AG51" i="31" s="1"/>
  <c r="AI52" i="31"/>
  <c r="AI50" i="31"/>
  <c r="AI51" i="31" s="1"/>
  <c r="AK52" i="31"/>
  <c r="AK50" i="31"/>
  <c r="AK51" i="31" s="1"/>
  <c r="AM52" i="31"/>
  <c r="AM50" i="31"/>
  <c r="AM51" i="31" s="1"/>
  <c r="AO52" i="31"/>
  <c r="AO50" i="31"/>
  <c r="AO51" i="31" s="1"/>
  <c r="AQ52" i="31"/>
  <c r="AQ50" i="31"/>
  <c r="AQ51" i="31" s="1"/>
  <c r="AS52" i="31"/>
  <c r="AS50" i="31"/>
  <c r="AS51" i="31" s="1"/>
  <c r="AU52" i="31"/>
  <c r="AU50" i="31"/>
  <c r="AU51" i="31" s="1"/>
  <c r="AW52" i="31"/>
  <c r="AW50" i="31"/>
  <c r="AW51" i="31" s="1"/>
  <c r="K54" i="31" a="1"/>
  <c r="K54" i="31" s="1"/>
  <c r="I54" i="31" a="1"/>
  <c r="I54" i="31" s="1"/>
  <c r="G54" i="31" a="1"/>
  <c r="G54" i="31" s="1"/>
  <c r="M55" i="31" a="1"/>
  <c r="M55" i="31" s="1"/>
  <c r="F55" i="31" a="1"/>
  <c r="F55" i="31" s="1"/>
  <c r="T54" i="31"/>
  <c r="AF79" i="31"/>
  <c r="AF77" i="31"/>
  <c r="AF78" i="31" s="1"/>
  <c r="AH79" i="31"/>
  <c r="AH77" i="31"/>
  <c r="AH78" i="31" s="1"/>
  <c r="AJ79" i="31"/>
  <c r="AJ77" i="31"/>
  <c r="AJ78" i="31" s="1"/>
  <c r="AL79" i="31"/>
  <c r="AL77" i="31"/>
  <c r="AL78" i="31" s="1"/>
  <c r="AN79" i="31"/>
  <c r="AN77" i="31"/>
  <c r="AN78" i="31" s="1"/>
  <c r="AP79" i="31"/>
  <c r="AP77" i="31"/>
  <c r="AP78" i="31" s="1"/>
  <c r="AE106" i="31"/>
  <c r="AE104" i="31"/>
  <c r="AE105" i="31" s="1"/>
  <c r="AG106" i="31"/>
  <c r="AG104" i="31"/>
  <c r="AG105" i="31" s="1"/>
  <c r="AI106" i="31"/>
  <c r="AI104" i="31"/>
  <c r="AI105" i="31" s="1"/>
  <c r="AK106" i="31"/>
  <c r="AK104" i="31"/>
  <c r="AK105" i="31" s="1"/>
  <c r="AM106" i="31"/>
  <c r="AM104" i="31"/>
  <c r="AM105" i="31" s="1"/>
  <c r="AO106" i="31"/>
  <c r="AO104" i="31"/>
  <c r="AO105" i="31" s="1"/>
  <c r="AQ106" i="31"/>
  <c r="AQ104" i="31"/>
  <c r="AQ105" i="31" s="1"/>
  <c r="AS106" i="31"/>
  <c r="AS104" i="31"/>
  <c r="AS105" i="31" s="1"/>
  <c r="AU106" i="31"/>
  <c r="AU104" i="31"/>
  <c r="AU105" i="31" s="1"/>
  <c r="AW106" i="31"/>
  <c r="AW104" i="31"/>
  <c r="AW105" i="31" s="1"/>
  <c r="F29" i="33" a="1"/>
  <c r="F29" i="33" s="1"/>
  <c r="F30" i="33" s="1" a="1"/>
  <c r="F30" i="33" s="1"/>
  <c r="AD28" i="33"/>
  <c r="R28" i="33" a="1"/>
  <c r="R28" i="33" s="1"/>
  <c r="G28" i="33" a="1"/>
  <c r="G28" i="33" s="1"/>
  <c r="F95" i="28" a="1"/>
  <c r="F95" i="28" s="1"/>
  <c r="F96" i="28" s="1" a="1"/>
  <c r="F96" i="28" s="1"/>
  <c r="F97" i="28" s="1" a="1"/>
  <c r="F97" i="28" s="1"/>
  <c r="F162" i="28" a="1"/>
  <c r="F162" i="28" s="1"/>
  <c r="F163" i="28" s="1" a="1"/>
  <c r="F163" i="28" s="1"/>
  <c r="F164" i="28" s="1" a="1"/>
  <c r="F164" i="28" s="1"/>
  <c r="G27" i="29" a="1"/>
  <c r="G27" i="29" s="1"/>
  <c r="I27" i="29" a="1"/>
  <c r="I27" i="29" s="1"/>
  <c r="G55" i="29" a="1"/>
  <c r="G55" i="29" s="1"/>
  <c r="I55" i="29" a="1"/>
  <c r="I55" i="29" s="1"/>
  <c r="G27" i="30" a="1"/>
  <c r="G27" i="30" s="1"/>
  <c r="K27" i="30" a="1"/>
  <c r="K27" i="30" s="1"/>
  <c r="F52" i="30" a="1"/>
  <c r="F52" i="30" s="1"/>
  <c r="T51" i="30"/>
  <c r="I51" i="30" a="1"/>
  <c r="I51" i="30" s="1"/>
  <c r="F76" i="30" a="1"/>
  <c r="F76" i="30" s="1"/>
  <c r="T75" i="30"/>
  <c r="I75" i="30" a="1"/>
  <c r="I75" i="30" s="1"/>
  <c r="AF52" i="31"/>
  <c r="AF50" i="31"/>
  <c r="AF51" i="31" s="1"/>
  <c r="AH52" i="31"/>
  <c r="AH50" i="31"/>
  <c r="AH51" i="31" s="1"/>
  <c r="AJ52" i="31"/>
  <c r="AJ50" i="31"/>
  <c r="AJ51" i="31" s="1"/>
  <c r="AL52" i="31"/>
  <c r="AL50" i="31"/>
  <c r="AL51" i="31" s="1"/>
  <c r="AN52" i="31"/>
  <c r="AN50" i="31"/>
  <c r="AN51" i="31" s="1"/>
  <c r="AP52" i="31"/>
  <c r="AP50" i="31"/>
  <c r="AP51" i="31" s="1"/>
  <c r="AR52" i="31"/>
  <c r="AR50" i="31"/>
  <c r="AR51" i="31" s="1"/>
  <c r="AT52" i="31"/>
  <c r="AT50" i="31"/>
  <c r="AT51" i="31" s="1"/>
  <c r="AV52" i="31"/>
  <c r="AV50" i="31"/>
  <c r="AV51" i="31" s="1"/>
  <c r="AX52" i="31"/>
  <c r="AX50" i="31"/>
  <c r="AX51" i="31" s="1"/>
  <c r="AE79" i="31"/>
  <c r="AE77" i="31"/>
  <c r="AE78" i="31" s="1"/>
  <c r="AG79" i="31"/>
  <c r="AG77" i="31"/>
  <c r="AG78" i="31" s="1"/>
  <c r="AI79" i="31"/>
  <c r="AI77" i="31"/>
  <c r="AI78" i="31" s="1"/>
  <c r="AK79" i="31"/>
  <c r="AK77" i="31"/>
  <c r="AK78" i="31" s="1"/>
  <c r="AM79" i="31"/>
  <c r="AM77" i="31"/>
  <c r="AM78" i="31" s="1"/>
  <c r="AO79" i="31"/>
  <c r="AO77" i="31"/>
  <c r="AO78" i="31" s="1"/>
  <c r="AQ79" i="31"/>
  <c r="AQ77" i="31"/>
  <c r="AQ78" i="31" s="1"/>
  <c r="AS79" i="31"/>
  <c r="AS77" i="31"/>
  <c r="AS78" i="31" s="1"/>
  <c r="AU79" i="31"/>
  <c r="AU77" i="31"/>
  <c r="AU78" i="31" s="1"/>
  <c r="AW79" i="31"/>
  <c r="AW77" i="31"/>
  <c r="AW78" i="31" s="1"/>
  <c r="M82" i="31" a="1"/>
  <c r="M82" i="31" s="1"/>
  <c r="F82" i="31" a="1"/>
  <c r="F82" i="31" s="1"/>
  <c r="T81" i="31"/>
  <c r="K81" i="31" a="1"/>
  <c r="K81" i="31" s="1"/>
  <c r="I81" i="31" a="1"/>
  <c r="I81" i="31" s="1"/>
  <c r="G81" i="31" a="1"/>
  <c r="G81" i="31" s="1"/>
  <c r="AF106" i="31"/>
  <c r="AF104" i="31"/>
  <c r="AF105" i="31" s="1"/>
  <c r="AH106" i="31"/>
  <c r="AH104" i="31"/>
  <c r="AH105" i="31" s="1"/>
  <c r="AJ106" i="31"/>
  <c r="AJ104" i="31"/>
  <c r="AJ105" i="31" s="1"/>
  <c r="AL106" i="31"/>
  <c r="AL104" i="31"/>
  <c r="AL105" i="31" s="1"/>
  <c r="AN106" i="31"/>
  <c r="AN104" i="31"/>
  <c r="AN105" i="31" s="1"/>
  <c r="AP106" i="31"/>
  <c r="AP104" i="31"/>
  <c r="AP105" i="31" s="1"/>
  <c r="AR106" i="31"/>
  <c r="AR104" i="31"/>
  <c r="AR105" i="31" s="1"/>
  <c r="AT106" i="31"/>
  <c r="AT104" i="31"/>
  <c r="AT105" i="31" s="1"/>
  <c r="AV106" i="31"/>
  <c r="AV104" i="31"/>
  <c r="AV105" i="31" s="1"/>
  <c r="AX106" i="31"/>
  <c r="AX104" i="31"/>
  <c r="AX105" i="31" s="1"/>
  <c r="AI2" i="32"/>
  <c r="AK2" i="32"/>
  <c r="AM2" i="32"/>
  <c r="AO2" i="32"/>
  <c r="AQ2" i="32"/>
  <c r="AS2" i="32"/>
  <c r="AF2" i="31"/>
  <c r="AH2" i="31"/>
  <c r="AJ2" i="31"/>
  <c r="AL2" i="31"/>
  <c r="AN2" i="31"/>
  <c r="G27" i="31" a="1"/>
  <c r="G27" i="31" s="1"/>
  <c r="I27" i="31" a="1"/>
  <c r="I27" i="31" s="1"/>
  <c r="K27" i="31" a="1"/>
  <c r="K27" i="31" s="1"/>
  <c r="AB29" i="32" a="1"/>
  <c r="AB29" i="32" s="1"/>
  <c r="AG2" i="33"/>
  <c r="AI2" i="33"/>
  <c r="AK2" i="33"/>
  <c r="AM2" i="33"/>
  <c r="AO2" i="33"/>
  <c r="AQ2" i="33"/>
  <c r="AS2" i="33"/>
  <c r="AU2" i="33"/>
  <c r="AW2" i="33"/>
  <c r="AY2" i="33"/>
  <c r="BA2" i="33"/>
  <c r="BC2" i="33"/>
  <c r="BE2" i="33"/>
  <c r="BG2" i="33"/>
  <c r="BI2" i="33"/>
  <c r="BK2" i="33"/>
  <c r="BM2" i="33"/>
  <c r="BO2" i="33"/>
  <c r="BQ2" i="33"/>
  <c r="BS2" i="33"/>
  <c r="BU2" i="33"/>
  <c r="BW2" i="33"/>
  <c r="BY2" i="33"/>
  <c r="CA2" i="33"/>
  <c r="CC2" i="33"/>
  <c r="CE2" i="33"/>
  <c r="CG2" i="33"/>
  <c r="CI2" i="33"/>
  <c r="CK2" i="33"/>
  <c r="CM2" i="33"/>
  <c r="CO2" i="33"/>
  <c r="CQ2" i="33"/>
  <c r="CS2" i="33"/>
  <c r="CU2" i="33"/>
  <c r="CW2" i="33"/>
  <c r="CY2" i="33"/>
  <c r="DA2" i="33"/>
  <c r="DC2" i="33"/>
  <c r="DE2" i="33"/>
  <c r="DG2" i="33"/>
  <c r="DI2" i="33"/>
  <c r="DK2" i="33"/>
  <c r="DM2" i="33"/>
  <c r="DO2" i="33"/>
  <c r="DQ2" i="33"/>
  <c r="DS2" i="33"/>
  <c r="DU2" i="33"/>
  <c r="DW2" i="33"/>
  <c r="DY2" i="33"/>
  <c r="EA2" i="33"/>
  <c r="EC2" i="33"/>
  <c r="EE2" i="33"/>
  <c r="EG2" i="33"/>
  <c r="EI2" i="33"/>
  <c r="EK2" i="33"/>
  <c r="EM2" i="33"/>
  <c r="EO2" i="33"/>
  <c r="EQ2" i="33"/>
  <c r="ES2" i="33"/>
  <c r="EU2" i="33"/>
  <c r="EW2" i="33"/>
  <c r="EY2" i="33"/>
  <c r="FA2" i="33"/>
  <c r="FC2" i="33"/>
  <c r="FE2" i="33"/>
  <c r="FG2" i="33"/>
  <c r="FI2" i="33"/>
  <c r="FK2" i="33"/>
  <c r="FM2" i="33"/>
  <c r="FO2" i="33"/>
  <c r="FQ2" i="33"/>
  <c r="FS2" i="33"/>
  <c r="FU2" i="33"/>
  <c r="FW2" i="33"/>
  <c r="AD8" i="33"/>
  <c r="AF8" i="33"/>
  <c r="AH8" i="33"/>
  <c r="AJ8" i="33"/>
  <c r="AL8" i="33"/>
  <c r="AN8" i="33"/>
  <c r="AP8" i="33"/>
  <c r="AR8" i="33"/>
  <c r="AT8" i="33"/>
  <c r="AV8" i="33"/>
  <c r="AX8" i="33"/>
  <c r="AZ8" i="33"/>
  <c r="BB8" i="33"/>
  <c r="BD8" i="33"/>
  <c r="BF8" i="33"/>
  <c r="BH8" i="33"/>
  <c r="BJ8" i="33"/>
  <c r="BL8" i="33"/>
  <c r="BN8" i="33"/>
  <c r="BP8" i="33"/>
  <c r="BR8" i="33"/>
  <c r="BT8" i="33"/>
  <c r="BV8" i="33"/>
  <c r="BX8" i="33"/>
  <c r="BZ8" i="33"/>
  <c r="CB8" i="33"/>
  <c r="CD8" i="33"/>
  <c r="CF8" i="33"/>
  <c r="CH8" i="33"/>
  <c r="CJ8" i="33"/>
  <c r="CL8" i="33"/>
  <c r="CN8" i="33"/>
  <c r="CP8" i="33"/>
  <c r="CR8" i="33"/>
  <c r="CT8" i="33"/>
  <c r="CV8" i="33"/>
  <c r="CX8" i="33"/>
  <c r="CZ8" i="33"/>
  <c r="DB8" i="33"/>
  <c r="DD8" i="33"/>
  <c r="DF8" i="33"/>
  <c r="DH8" i="33"/>
  <c r="DJ8" i="33"/>
  <c r="DL8" i="33"/>
  <c r="DN8" i="33"/>
  <c r="DP8" i="33"/>
  <c r="DR8" i="33"/>
  <c r="DT8" i="33"/>
  <c r="DV8" i="33"/>
  <c r="DX8" i="33"/>
  <c r="DZ8" i="33"/>
  <c r="EB8" i="33"/>
  <c r="ED8" i="33"/>
  <c r="EF8" i="33"/>
  <c r="EH8" i="33"/>
  <c r="EJ8" i="33"/>
  <c r="EL8" i="33"/>
  <c r="EN8" i="33"/>
  <c r="EP8" i="33"/>
  <c r="ER8" i="33"/>
  <c r="ET8" i="33"/>
  <c r="EV8" i="33"/>
  <c r="EX8" i="33"/>
  <c r="EZ8" i="33"/>
  <c r="FB8" i="33"/>
  <c r="FD8" i="33"/>
  <c r="FF8" i="33"/>
  <c r="FH8" i="33"/>
  <c r="FJ8" i="33"/>
  <c r="FL8" i="33"/>
  <c r="FN8" i="33"/>
  <c r="FP8" i="33"/>
  <c r="FR8" i="33"/>
  <c r="FT8" i="33"/>
  <c r="FV8" i="33"/>
  <c r="AD12" i="33" a="1"/>
  <c r="AD12" i="33" s="1"/>
  <c r="AE12" i="33" a="1"/>
  <c r="AE12" i="33" s="1"/>
  <c r="AG12" i="33" a="1"/>
  <c r="AG12" i="33" s="1"/>
  <c r="AI12" i="33" a="1"/>
  <c r="AI12" i="33" s="1"/>
  <c r="AJ12" i="33" a="1"/>
  <c r="AJ12" i="33" s="1"/>
  <c r="AK12" i="33" a="1"/>
  <c r="AK12" i="33" s="1"/>
  <c r="AM12" i="33" a="1"/>
  <c r="AM12" i="33" s="1"/>
  <c r="AO12" i="33" a="1"/>
  <c r="AO12" i="33" s="1"/>
  <c r="AP12" i="33" a="1"/>
  <c r="AP12" i="33" s="1"/>
  <c r="AQ12" i="33" a="1"/>
  <c r="AQ12" i="33" s="1"/>
  <c r="AS12" i="33" a="1"/>
  <c r="AS12" i="33" s="1"/>
  <c r="AU12" i="33" a="1"/>
  <c r="AU12" i="33" s="1"/>
  <c r="AV12" i="33" a="1"/>
  <c r="AV12" i="33" s="1"/>
  <c r="AW12" i="33" a="1"/>
  <c r="AW12" i="33" s="1"/>
  <c r="AY12" i="33" a="1"/>
  <c r="AY12" i="33" s="1"/>
  <c r="BA12" i="33" a="1"/>
  <c r="BA12" i="33" s="1"/>
  <c r="BB12" i="33" a="1"/>
  <c r="BB12" i="33" s="1"/>
  <c r="BC12" i="33" a="1"/>
  <c r="BC12" i="33" s="1"/>
  <c r="BE12" i="33" a="1"/>
  <c r="BE12" i="33" s="1"/>
  <c r="BG12" i="33" a="1"/>
  <c r="BG12" i="33" s="1"/>
  <c r="BH12" i="33" a="1"/>
  <c r="BH12" i="33" s="1"/>
  <c r="BI12" i="33" a="1"/>
  <c r="BI12" i="33" s="1"/>
  <c r="BK12" i="33" a="1"/>
  <c r="BK12" i="33" s="1"/>
  <c r="BM12" i="33" a="1"/>
  <c r="BM12" i="33" s="1"/>
  <c r="BN12" i="33" a="1"/>
  <c r="BN12" i="33" s="1"/>
  <c r="BO12" i="33" a="1"/>
  <c r="BO12" i="33" s="1"/>
  <c r="BQ12" i="33" a="1"/>
  <c r="BQ12" i="33" s="1"/>
  <c r="BS12" i="33" a="1"/>
  <c r="BS12" i="33" s="1"/>
  <c r="BT12" i="33" a="1"/>
  <c r="BT12" i="33" s="1"/>
  <c r="BU12" i="33" a="1"/>
  <c r="BU12" i="33" s="1"/>
  <c r="BW12" i="33" a="1"/>
  <c r="BW12" i="33" s="1"/>
  <c r="BY12" i="33" a="1"/>
  <c r="BY12" i="33" s="1"/>
  <c r="BZ12" i="33" a="1"/>
  <c r="BZ12" i="33" s="1"/>
  <c r="CA12" i="33" a="1"/>
  <c r="CA12" i="33" s="1"/>
  <c r="CC12" i="33" a="1"/>
  <c r="CC12" i="33" s="1"/>
  <c r="CE12" i="33" a="1"/>
  <c r="CE12" i="33" s="1"/>
  <c r="CF12" i="33" a="1"/>
  <c r="CF12" i="33" s="1"/>
  <c r="CG12" i="33" a="1"/>
  <c r="CG12" i="33" s="1"/>
  <c r="CI12" i="33" a="1"/>
  <c r="CI12" i="33" s="1"/>
  <c r="CK12" i="33" a="1"/>
  <c r="CK12" i="33" s="1"/>
  <c r="CL12" i="33" a="1"/>
  <c r="CL12" i="33" s="1"/>
  <c r="CM12" i="33" a="1"/>
  <c r="CM12" i="33" s="1"/>
  <c r="CO12" i="33" a="1"/>
  <c r="CO12" i="33" s="1"/>
  <c r="CQ12" i="33" a="1"/>
  <c r="CQ12" i="33" s="1"/>
  <c r="CR12" i="33" a="1"/>
  <c r="CR12" i="33" s="1"/>
  <c r="CS12" i="33" a="1"/>
  <c r="CS12" i="33" s="1"/>
  <c r="CU12" i="33" a="1"/>
  <c r="CU12" i="33" s="1"/>
  <c r="CW12" i="33" a="1"/>
  <c r="CW12" i="33" s="1"/>
  <c r="CX12" i="33" a="1"/>
  <c r="CX12" i="33" s="1"/>
  <c r="CY12" i="33" a="1"/>
  <c r="CY12" i="33" s="1"/>
  <c r="DA12" i="33" a="1"/>
  <c r="DA12" i="33" s="1"/>
  <c r="DC12" i="33" a="1"/>
  <c r="DC12" i="33" s="1"/>
  <c r="DD12" i="33" a="1"/>
  <c r="DD12" i="33" s="1"/>
  <c r="DE12" i="33" a="1"/>
  <c r="DE12" i="33" s="1"/>
  <c r="DG12" i="33" a="1"/>
  <c r="DG12" i="33" s="1"/>
  <c r="DI12" i="33" a="1"/>
  <c r="DI12" i="33" s="1"/>
  <c r="DJ12" i="33" a="1"/>
  <c r="DJ12" i="33" s="1"/>
  <c r="DK12" i="33" a="1"/>
  <c r="DK12" i="33" s="1"/>
  <c r="DM12" i="33" a="1"/>
  <c r="DM12" i="33" s="1"/>
  <c r="DO12" i="33" a="1"/>
  <c r="DO12" i="33" s="1"/>
  <c r="DP12" i="33" a="1"/>
  <c r="DP12" i="33" s="1"/>
  <c r="DQ12" i="33" a="1"/>
  <c r="DQ12" i="33" s="1"/>
  <c r="DS12" i="33" a="1"/>
  <c r="DS12" i="33" s="1"/>
  <c r="DU12" i="33" a="1"/>
  <c r="DU12" i="33" s="1"/>
  <c r="DV12" i="33" a="1"/>
  <c r="DV12" i="33" s="1"/>
  <c r="DW12" i="33" a="1"/>
  <c r="DW12" i="33" s="1"/>
  <c r="DY12" i="33" a="1"/>
  <c r="DY12" i="33" s="1"/>
  <c r="EA12" i="33" a="1"/>
  <c r="EA12" i="33" s="1"/>
  <c r="EB12" i="33" a="1"/>
  <c r="EB12" i="33" s="1"/>
  <c r="EC12" i="33" a="1"/>
  <c r="EC12" i="33" s="1"/>
  <c r="EE12" i="33" a="1"/>
  <c r="EE12" i="33" s="1"/>
  <c r="EG12" i="33" a="1"/>
  <c r="EG12" i="33" s="1"/>
  <c r="EH12" i="33" a="1"/>
  <c r="EH12" i="33" s="1"/>
  <c r="EI12" i="33" a="1"/>
  <c r="EI12" i="33" s="1"/>
  <c r="EK12" i="33" a="1"/>
  <c r="EK12" i="33" s="1"/>
  <c r="EM12" i="33" a="1"/>
  <c r="EM12" i="33" s="1"/>
  <c r="EN12" i="33" a="1"/>
  <c r="EN12" i="33" s="1"/>
  <c r="EO12" i="33" a="1"/>
  <c r="EO12" i="33" s="1"/>
  <c r="EQ12" i="33" a="1"/>
  <c r="EQ12" i="33" s="1"/>
  <c r="ES12" i="33" a="1"/>
  <c r="ES12" i="33" s="1"/>
  <c r="ET12" i="33" a="1"/>
  <c r="ET12" i="33" s="1"/>
  <c r="EU12" i="33" a="1"/>
  <c r="EU12" i="33" s="1"/>
  <c r="EW12" i="33" a="1"/>
  <c r="EW12" i="33" s="1"/>
  <c r="EY12" i="33" a="1"/>
  <c r="EY12" i="33" s="1"/>
  <c r="EZ12" i="33" a="1"/>
  <c r="EZ12" i="33" s="1"/>
  <c r="FA12" i="33" a="1"/>
  <c r="FA12" i="33" s="1"/>
  <c r="FC12" i="33" a="1"/>
  <c r="FC12" i="33" s="1"/>
  <c r="FE12" i="33" a="1"/>
  <c r="FE12" i="33" s="1"/>
  <c r="FF12" i="33" a="1"/>
  <c r="FF12" i="33" s="1"/>
  <c r="FG12" i="33" a="1"/>
  <c r="FG12" i="33" s="1"/>
  <c r="FI12" i="33" a="1"/>
  <c r="FI12" i="33" s="1"/>
  <c r="FK12" i="33" a="1"/>
  <c r="FK12" i="33" s="1"/>
  <c r="FL12" i="33" a="1"/>
  <c r="FL12" i="33" s="1"/>
  <c r="FM12" i="33" a="1"/>
  <c r="FM12" i="33" s="1"/>
  <c r="FO12" i="33" a="1"/>
  <c r="FO12" i="33" s="1"/>
  <c r="FQ12" i="33" a="1"/>
  <c r="FQ12" i="33" s="1"/>
  <c r="FR12" i="33" a="1"/>
  <c r="FR12" i="33" s="1"/>
  <c r="FS12" i="33" a="1"/>
  <c r="FS12" i="33" s="1"/>
  <c r="FU12" i="33" a="1"/>
  <c r="FU12" i="33" s="1"/>
  <c r="FW12" i="33" a="1"/>
  <c r="FW12" i="33" s="1"/>
  <c r="AG25" i="33"/>
  <c r="AM25" i="33"/>
  <c r="AS25" i="33"/>
  <c r="AY25" i="33"/>
  <c r="BE25" i="33"/>
  <c r="BK25" i="33"/>
  <c r="BQ25" i="33"/>
  <c r="BW25" i="33"/>
  <c r="CC25" i="33"/>
  <c r="CI25" i="33"/>
  <c r="CO25" i="33"/>
  <c r="CU25" i="33"/>
  <c r="DA25" i="33"/>
  <c r="DG25" i="33"/>
  <c r="DM25" i="33"/>
  <c r="DS25" i="33"/>
  <c r="DY25" i="33"/>
  <c r="EE25" i="33"/>
  <c r="EK25" i="33"/>
  <c r="EQ25" i="33"/>
  <c r="EW25" i="33"/>
  <c r="FC25" i="33"/>
  <c r="FI25" i="33"/>
  <c r="FO25" i="33"/>
  <c r="FU25" i="33"/>
  <c r="T27" i="31"/>
  <c r="AB27" i="31" a="1"/>
  <c r="AB27" i="31" s="1"/>
  <c r="F28" i="31" a="1"/>
  <c r="F28" i="31" s="1"/>
  <c r="AR77" i="31"/>
  <c r="AR78" i="31" s="1"/>
  <c r="AT77" i="31"/>
  <c r="AT78" i="31" s="1"/>
  <c r="AV77" i="31"/>
  <c r="AV78" i="31" s="1"/>
  <c r="AX77" i="31"/>
  <c r="AX78" i="31" s="1"/>
  <c r="F77" i="33" a="1"/>
  <c r="F77" i="33" s="1"/>
  <c r="AD76" i="33" a="1"/>
  <c r="AD76" i="33" s="1"/>
  <c r="F121" i="33" a="1"/>
  <c r="F121" i="33" s="1"/>
  <c r="F122" i="33" s="1" a="1"/>
  <c r="F122" i="33" s="1"/>
  <c r="AD120" i="33"/>
  <c r="R120" i="33" a="1"/>
  <c r="R120" i="33" s="1"/>
  <c r="G120" i="33" a="1"/>
  <c r="G120" i="33" s="1"/>
  <c r="G74" i="33" a="1"/>
  <c r="G74" i="33" s="1"/>
  <c r="R74" i="33" a="1"/>
  <c r="R74" i="33" s="1"/>
  <c r="AD74" i="33"/>
  <c r="AB29" i="34" a="1"/>
  <c r="AB29" i="34" s="1"/>
  <c r="F88" i="34" a="1"/>
  <c r="F88" i="34" s="1"/>
  <c r="F89" i="34" s="1" a="1"/>
  <c r="F89" i="34" s="1"/>
  <c r="AK87" i="34"/>
  <c r="F36" i="34" a="1"/>
  <c r="F36" i="34" s="1"/>
  <c r="F37" i="34" s="1" a="1"/>
  <c r="F37" i="34" s="1"/>
  <c r="AK35" i="34"/>
  <c r="F138" i="34" a="1"/>
  <c r="F138" i="34" s="1"/>
  <c r="F139" i="34" s="1" a="1"/>
  <c r="F139" i="34" s="1"/>
  <c r="AK137" i="34"/>
  <c r="AB30" i="34"/>
  <c r="AB83" i="34"/>
  <c r="B83" i="34"/>
  <c r="AD83" i="34"/>
  <c r="AB85" i="34"/>
  <c r="B85" i="34"/>
  <c r="AD85" i="34"/>
  <c r="AN92" i="34" a="1"/>
  <c r="AN92" i="34" s="1"/>
  <c r="AB92" i="34"/>
  <c r="B92" i="34"/>
  <c r="AN94" i="34" a="1"/>
  <c r="AN94" i="34" s="1"/>
  <c r="AB94" i="34"/>
  <c r="B94" i="34"/>
  <c r="AN96" i="34" a="1"/>
  <c r="AN96" i="34" s="1"/>
  <c r="AB96" i="34"/>
  <c r="B96" i="34"/>
  <c r="AN98" i="34" a="1"/>
  <c r="AN98" i="34" s="1"/>
  <c r="AB98" i="34"/>
  <c r="B98" i="34"/>
  <c r="AN100" i="34" a="1"/>
  <c r="AN100" i="34" s="1"/>
  <c r="AB100" i="34"/>
  <c r="B100" i="34"/>
  <c r="AN102" i="34" a="1"/>
  <c r="AN102" i="34" s="1"/>
  <c r="AB102" i="34"/>
  <c r="B102" i="34"/>
  <c r="AN104" i="34" a="1"/>
  <c r="AN104" i="34" s="1"/>
  <c r="AB104" i="34"/>
  <c r="B104" i="34"/>
  <c r="AN106" i="34" a="1"/>
  <c r="AN106" i="34" s="1"/>
  <c r="AB106" i="34"/>
  <c r="B106" i="34"/>
  <c r="AN108" i="34" a="1"/>
  <c r="AN108" i="34" s="1"/>
  <c r="AB108" i="34"/>
  <c r="B108" i="34"/>
  <c r="AN110" i="34" a="1"/>
  <c r="AN110" i="34" s="1"/>
  <c r="AB110" i="34"/>
  <c r="B110" i="34"/>
  <c r="AN112" i="34" a="1"/>
  <c r="AN112" i="34" s="1"/>
  <c r="AB112" i="34"/>
  <c r="B112" i="34"/>
  <c r="AN114" i="34" a="1"/>
  <c r="AN114" i="34" s="1"/>
  <c r="AB114" i="34"/>
  <c r="B114" i="34"/>
  <c r="AN116" i="34" a="1"/>
  <c r="AN116" i="34" s="1"/>
  <c r="AB116" i="34"/>
  <c r="B116" i="34"/>
  <c r="AN118" i="34" a="1"/>
  <c r="AN118" i="34" s="1"/>
  <c r="AB118" i="34"/>
  <c r="B118" i="34"/>
  <c r="AN120" i="34" a="1"/>
  <c r="AN120" i="34" s="1"/>
  <c r="AB120" i="34"/>
  <c r="B120" i="34"/>
  <c r="AN122" i="34" a="1"/>
  <c r="AN122" i="34" s="1"/>
  <c r="AB122" i="34"/>
  <c r="B122" i="34"/>
  <c r="AN124" i="34" a="1"/>
  <c r="AN124" i="34" s="1"/>
  <c r="AB124" i="34"/>
  <c r="B124" i="34"/>
  <c r="AN126" i="34" a="1"/>
  <c r="AN126" i="34" s="1"/>
  <c r="AB126" i="34"/>
  <c r="B126" i="34"/>
  <c r="AN128" i="34" a="1"/>
  <c r="AN128" i="34" s="1"/>
  <c r="AB128" i="34"/>
  <c r="B128" i="34"/>
  <c r="AN130" i="34" a="1"/>
  <c r="AN130" i="34" s="1"/>
  <c r="AB130" i="34"/>
  <c r="B130" i="34"/>
  <c r="B30" i="34"/>
  <c r="AD31" i="34"/>
  <c r="AD32" i="34"/>
  <c r="AD33" i="34"/>
  <c r="AD34" i="34"/>
  <c r="B36" i="34"/>
  <c r="AB36" i="34"/>
  <c r="AK36" i="34"/>
  <c r="B38" i="34"/>
  <c r="AB38" i="34"/>
  <c r="AB39" i="34"/>
  <c r="AN39" i="34" a="1"/>
  <c r="AN39" i="34" s="1"/>
  <c r="AN40" i="34" a="1"/>
  <c r="AN40" i="34" s="1"/>
  <c r="AB40" i="34"/>
  <c r="B40" i="34"/>
  <c r="AN42" i="34" a="1"/>
  <c r="AN42" i="34" s="1"/>
  <c r="AB42" i="34"/>
  <c r="B42" i="34"/>
  <c r="AN44" i="34" a="1"/>
  <c r="AN44" i="34" s="1"/>
  <c r="AB44" i="34"/>
  <c r="B44" i="34"/>
  <c r="AN46" i="34" a="1"/>
  <c r="AN46" i="34" s="1"/>
  <c r="AB46" i="34"/>
  <c r="B46" i="34"/>
  <c r="AN48" i="34" a="1"/>
  <c r="AN48" i="34" s="1"/>
  <c r="AB48" i="34"/>
  <c r="B48" i="34"/>
  <c r="AN50" i="34" a="1"/>
  <c r="AN50" i="34" s="1"/>
  <c r="AB50" i="34"/>
  <c r="B50" i="34"/>
  <c r="AN52" i="34" a="1"/>
  <c r="AN52" i="34" s="1"/>
  <c r="AB52" i="34"/>
  <c r="B52" i="34"/>
  <c r="AN54" i="34" a="1"/>
  <c r="AN54" i="34" s="1"/>
  <c r="AB54" i="34"/>
  <c r="B54" i="34"/>
  <c r="AN56" i="34" a="1"/>
  <c r="AN56" i="34" s="1"/>
  <c r="AB56" i="34"/>
  <c r="B56" i="34"/>
  <c r="AN58" i="34" a="1"/>
  <c r="AN58" i="34" s="1"/>
  <c r="AB58" i="34"/>
  <c r="B58" i="34"/>
  <c r="AN60" i="34" a="1"/>
  <c r="AN60" i="34" s="1"/>
  <c r="AB60" i="34"/>
  <c r="B60" i="34"/>
  <c r="AN62" i="34" a="1"/>
  <c r="AN62" i="34" s="1"/>
  <c r="AB62" i="34"/>
  <c r="B62" i="34"/>
  <c r="AN64" i="34" a="1"/>
  <c r="AN64" i="34" s="1"/>
  <c r="AB64" i="34"/>
  <c r="B64" i="34"/>
  <c r="AN66" i="34" a="1"/>
  <c r="AN66" i="34" s="1"/>
  <c r="AB66" i="34"/>
  <c r="B66" i="34"/>
  <c r="AN68" i="34" a="1"/>
  <c r="AN68" i="34" s="1"/>
  <c r="AB68" i="34"/>
  <c r="B68" i="34"/>
  <c r="AN70" i="34" a="1"/>
  <c r="AN70" i="34" s="1"/>
  <c r="AB70" i="34"/>
  <c r="B70" i="34"/>
  <c r="AN72" i="34" a="1"/>
  <c r="AN72" i="34" s="1"/>
  <c r="AB72" i="34"/>
  <c r="B72" i="34"/>
  <c r="AN74" i="34" a="1"/>
  <c r="AN74" i="34" s="1"/>
  <c r="AB74" i="34"/>
  <c r="B74" i="34"/>
  <c r="AN76" i="34" a="1"/>
  <c r="AN76" i="34" s="1"/>
  <c r="AB76" i="34"/>
  <c r="B76" i="34"/>
  <c r="AN78" i="34" a="1"/>
  <c r="AN78" i="34" s="1"/>
  <c r="AB78" i="34"/>
  <c r="B78" i="34"/>
  <c r="AN81" i="34" a="1"/>
  <c r="AN81" i="34" s="1"/>
  <c r="AB82" i="34"/>
  <c r="B82" i="34"/>
  <c r="AD82" i="34"/>
  <c r="AN83" i="34" a="1"/>
  <c r="AN83" i="34" s="1"/>
  <c r="AB84" i="34"/>
  <c r="B84" i="34"/>
  <c r="AD84" i="34"/>
  <c r="AN85" i="34" a="1"/>
  <c r="AN85" i="34" s="1"/>
  <c r="AN86" i="34" a="1"/>
  <c r="AN86" i="34" s="1"/>
  <c r="AK86" i="34"/>
  <c r="AB86" i="34"/>
  <c r="B86" i="34"/>
  <c r="AN88" i="34" a="1"/>
  <c r="AN88" i="34" s="1"/>
  <c r="AK88" i="34"/>
  <c r="AB88" i="34"/>
  <c r="B88" i="34"/>
  <c r="AN90" i="34" a="1"/>
  <c r="AN90" i="34" s="1"/>
  <c r="AB90" i="34"/>
  <c r="B90" i="34"/>
  <c r="AN132" i="34" a="1"/>
  <c r="AN132" i="34" s="1"/>
  <c r="B132" i="34"/>
  <c r="AN138" i="34" a="1"/>
  <c r="AN138" i="34" s="1"/>
  <c r="AK138" i="34"/>
  <c r="AB138" i="34"/>
  <c r="B138" i="34"/>
  <c r="AN140" i="34" a="1"/>
  <c r="AN140" i="34" s="1"/>
  <c r="AB140" i="34"/>
  <c r="B140" i="34"/>
  <c r="AN142" i="34" a="1"/>
  <c r="AN142" i="34" s="1"/>
  <c r="AB142" i="34"/>
  <c r="B142" i="34"/>
  <c r="AN144" i="34" a="1"/>
  <c r="AN144" i="34" s="1"/>
  <c r="AB144" i="34"/>
  <c r="B144" i="34"/>
  <c r="AN146" i="34" a="1"/>
  <c r="AN146" i="34" s="1"/>
  <c r="AB146" i="34"/>
  <c r="B146" i="34"/>
  <c r="AN148" i="34" a="1"/>
  <c r="AN148" i="34" s="1"/>
  <c r="AB148" i="34"/>
  <c r="B148" i="34"/>
  <c r="AN150" i="34" a="1"/>
  <c r="AN150" i="34" s="1"/>
  <c r="AB150" i="34"/>
  <c r="B150" i="34"/>
  <c r="AN152" i="34" a="1"/>
  <c r="AN152" i="34" s="1"/>
  <c r="AB152" i="34"/>
  <c r="B152" i="34"/>
  <c r="AN154" i="34" a="1"/>
  <c r="AN154" i="34" s="1"/>
  <c r="AB154" i="34"/>
  <c r="B154" i="34"/>
  <c r="AN156" i="34" a="1"/>
  <c r="AN156" i="34" s="1"/>
  <c r="AB156" i="34"/>
  <c r="B156" i="34"/>
  <c r="AN158" i="34" a="1"/>
  <c r="AN158" i="34" s="1"/>
  <c r="AB158" i="34"/>
  <c r="B158" i="34"/>
  <c r="AN160" i="34" a="1"/>
  <c r="AN160" i="34" s="1"/>
  <c r="AB160" i="34"/>
  <c r="B160" i="34"/>
  <c r="AD133" i="34"/>
  <c r="AD134" i="34"/>
  <c r="AD135" i="34"/>
  <c r="AD136" i="34"/>
  <c r="AN162" i="34" a="1"/>
  <c r="AN162" i="34" s="1"/>
  <c r="AB162" i="34"/>
  <c r="B162" i="34"/>
  <c r="AN164" i="34" a="1"/>
  <c r="AN164" i="34" s="1"/>
  <c r="AB164" i="34"/>
  <c r="B164" i="34"/>
  <c r="AN166" i="34" a="1"/>
  <c r="AN166" i="34" s="1"/>
  <c r="AB166" i="34"/>
  <c r="B166" i="34"/>
  <c r="AN168" i="34" a="1"/>
  <c r="AN168" i="34" s="1"/>
  <c r="AB168" i="34"/>
  <c r="B168" i="34"/>
  <c r="AN170" i="34" a="1"/>
  <c r="AN170" i="34" s="1"/>
  <c r="AB170" i="34"/>
  <c r="B170" i="34"/>
  <c r="AN172" i="34" a="1"/>
  <c r="AN172" i="34" s="1"/>
  <c r="AB172" i="34"/>
  <c r="B172" i="34"/>
  <c r="AN174" i="34" a="1"/>
  <c r="AN174" i="34" s="1"/>
  <c r="AB174" i="34"/>
  <c r="B174" i="34"/>
  <c r="AN176" i="34" a="1"/>
  <c r="AN176" i="34" s="1"/>
  <c r="AB176" i="34"/>
  <c r="B176" i="34"/>
  <c r="AN178" i="34" a="1"/>
  <c r="AN178" i="34" s="1"/>
  <c r="AB178" i="34"/>
  <c r="B178" i="34"/>
  <c r="AN180" i="34" a="1"/>
  <c r="AN180" i="34" s="1"/>
  <c r="AB180" i="34"/>
  <c r="B180" i="34"/>
  <c r="CQ151" i="12" l="1"/>
  <c r="CQ150" i="12"/>
  <c r="CQ148" i="12"/>
  <c r="CE151" i="12"/>
  <c r="CE150" i="12"/>
  <c r="CE148" i="12"/>
  <c r="BS151" i="12"/>
  <c r="BS150" i="12"/>
  <c r="BS148" i="12"/>
  <c r="BG151" i="12"/>
  <c r="BG150" i="12"/>
  <c r="BG148" i="12"/>
  <c r="AU151" i="12"/>
  <c r="AU150" i="12"/>
  <c r="AU148" i="12"/>
  <c r="CO123" i="12"/>
  <c r="CO119" i="12"/>
  <c r="CC123" i="12"/>
  <c r="CC119" i="12"/>
  <c r="BQ123" i="12"/>
  <c r="BQ119" i="12"/>
  <c r="BE123" i="12"/>
  <c r="BE119" i="12"/>
  <c r="AS123" i="12"/>
  <c r="AS119" i="12"/>
  <c r="CI278" i="12"/>
  <c r="CI276" i="12"/>
  <c r="CI270" i="12"/>
  <c r="CI277" i="12"/>
  <c r="BW278" i="12"/>
  <c r="BW276" i="12"/>
  <c r="BW270" i="12"/>
  <c r="BW277" i="12"/>
  <c r="BK278" i="12"/>
  <c r="BK276" i="12"/>
  <c r="BK270" i="12"/>
  <c r="BK277" i="12"/>
  <c r="AY278" i="12"/>
  <c r="AY276" i="12"/>
  <c r="AY270" i="12"/>
  <c r="AY277" i="12"/>
  <c r="AM278" i="12"/>
  <c r="AM276" i="12"/>
  <c r="AM270" i="12"/>
  <c r="AM277" i="12"/>
  <c r="CQ40" i="12"/>
  <c r="CQ39" i="12"/>
  <c r="CQ37" i="12"/>
  <c r="CK40" i="12"/>
  <c r="CK37" i="12"/>
  <c r="CK39" i="12"/>
  <c r="CE40" i="12"/>
  <c r="CE39" i="12"/>
  <c r="CE37" i="12"/>
  <c r="BY40" i="12"/>
  <c r="BY37" i="12"/>
  <c r="BY39" i="12"/>
  <c r="BS40" i="12"/>
  <c r="BS39" i="12"/>
  <c r="BS37" i="12"/>
  <c r="BM40" i="12"/>
  <c r="BM37" i="12"/>
  <c r="BM39" i="12"/>
  <c r="BG40" i="12"/>
  <c r="BG39" i="12"/>
  <c r="BG37" i="12"/>
  <c r="BA40" i="12"/>
  <c r="BA37" i="12"/>
  <c r="BA39" i="12"/>
  <c r="AU40" i="12"/>
  <c r="AU39" i="12"/>
  <c r="AU37" i="12"/>
  <c r="AO40" i="12"/>
  <c r="AO37" i="12"/>
  <c r="AO39" i="12"/>
  <c r="CK151" i="12"/>
  <c r="CK150" i="12"/>
  <c r="CK148" i="12"/>
  <c r="BY151" i="12"/>
  <c r="BY150" i="12"/>
  <c r="BY148" i="12"/>
  <c r="BM151" i="12"/>
  <c r="BM150" i="12"/>
  <c r="BM148" i="12"/>
  <c r="BA151" i="12"/>
  <c r="BA150" i="12"/>
  <c r="BA148" i="12"/>
  <c r="AO151" i="12"/>
  <c r="AO150" i="12"/>
  <c r="AO148" i="12"/>
  <c r="CN312" i="12"/>
  <c r="CN311" i="12"/>
  <c r="CN309" i="12"/>
  <c r="CH312" i="12"/>
  <c r="CH309" i="12"/>
  <c r="CH311" i="12"/>
  <c r="CB312" i="12"/>
  <c r="CB311" i="12"/>
  <c r="CB309" i="12"/>
  <c r="BV312" i="12"/>
  <c r="BV309" i="12"/>
  <c r="BV311" i="12"/>
  <c r="BP312" i="12"/>
  <c r="BP311" i="12"/>
  <c r="BP309" i="12"/>
  <c r="BJ312" i="12"/>
  <c r="BJ309" i="12"/>
  <c r="BJ311" i="12"/>
  <c r="BD312" i="12"/>
  <c r="BD311" i="12"/>
  <c r="BD309" i="12"/>
  <c r="AX312" i="12"/>
  <c r="AX309" i="12"/>
  <c r="AX311" i="12"/>
  <c r="AR312" i="12"/>
  <c r="AR311" i="12"/>
  <c r="AR309" i="12"/>
  <c r="AL312" i="12"/>
  <c r="AL309" i="12"/>
  <c r="AL311" i="12"/>
  <c r="CI123" i="12"/>
  <c r="CI119" i="12"/>
  <c r="BW123" i="12"/>
  <c r="BW119" i="12"/>
  <c r="BK123" i="12"/>
  <c r="BK119" i="12"/>
  <c r="AY123" i="12"/>
  <c r="AY119" i="12"/>
  <c r="AM123" i="12"/>
  <c r="AM119" i="12"/>
  <c r="CO278" i="12"/>
  <c r="CO276" i="12"/>
  <c r="CO270" i="12"/>
  <c r="CO277" i="12"/>
  <c r="CC278" i="12"/>
  <c r="CC276" i="12"/>
  <c r="CC270" i="12"/>
  <c r="CC277" i="12"/>
  <c r="BQ278" i="12"/>
  <c r="BQ276" i="12"/>
  <c r="BQ270" i="12"/>
  <c r="BQ277" i="12"/>
  <c r="BE278" i="12"/>
  <c r="BE276" i="12"/>
  <c r="BE270" i="12"/>
  <c r="BE277" i="12"/>
  <c r="AS278" i="12"/>
  <c r="AS276" i="12"/>
  <c r="AS270" i="12"/>
  <c r="AS277" i="12"/>
  <c r="F38" i="34" a="1"/>
  <c r="F38" i="34" s="1"/>
  <c r="AK37" i="34"/>
  <c r="F90" i="34" a="1"/>
  <c r="F90" i="34" s="1"/>
  <c r="AK89" i="34"/>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29" i="31" a="1"/>
  <c r="F29" i="31" s="1"/>
  <c r="T28" i="31"/>
  <c r="F83" i="31" a="1"/>
  <c r="F83" i="31" s="1"/>
  <c r="T82" i="31"/>
  <c r="F77" i="30" a="1"/>
  <c r="F77" i="30" s="1"/>
  <c r="T76" i="30"/>
  <c r="F165" i="28" a="1"/>
  <c r="F165" i="28" s="1"/>
  <c r="F166" i="28" s="1" a="1"/>
  <c r="F166" i="28" s="1"/>
  <c r="M56" i="31" a="1"/>
  <c r="M56" i="31" s="1"/>
  <c r="BI55" i="31" a="1"/>
  <c r="BI55" i="31" s="1"/>
  <c r="M29" i="31" a="1"/>
  <c r="M29" i="31" s="1"/>
  <c r="BI28" i="31" a="1"/>
  <c r="BI28" i="31" s="1"/>
  <c r="F29" i="30" a="1"/>
  <c r="F29" i="30" s="1"/>
  <c r="T28" i="30"/>
  <c r="H225" i="28" a="1"/>
  <c r="H225" i="28" s="1"/>
  <c r="H223" i="28" a="1"/>
  <c r="H223" i="28" s="1"/>
  <c r="H222" i="28" a="1"/>
  <c r="H222" i="28" s="1"/>
  <c r="H220" i="28" a="1"/>
  <c r="H220" i="28" s="1"/>
  <c r="H218" i="28" a="1"/>
  <c r="H218" i="28" s="1"/>
  <c r="H208" i="28" a="1"/>
  <c r="H208" i="28" s="1"/>
  <c r="H207" i="28" a="1"/>
  <c r="H207" i="28" s="1"/>
  <c r="H226" i="28" a="1"/>
  <c r="H226" i="28" s="1"/>
  <c r="H224" i="28" a="1"/>
  <c r="H224" i="28" s="1"/>
  <c r="H221" i="28" a="1"/>
  <c r="H221" i="28" s="1"/>
  <c r="H219" i="28" a="1"/>
  <c r="H219" i="28" s="1"/>
  <c r="H217" i="28" a="1"/>
  <c r="H217" i="28" s="1"/>
  <c r="H216" i="28" a="1"/>
  <c r="H216" i="28" s="1"/>
  <c r="M96" i="28" a="1"/>
  <c r="M96" i="28" s="1"/>
  <c r="AS95" i="28" a="1"/>
  <c r="AS95" i="28" s="1"/>
  <c r="H91" i="28" a="1"/>
  <c r="H91" i="28" s="1"/>
  <c r="H89" i="28" a="1"/>
  <c r="H89" i="28" s="1"/>
  <c r="H88" i="28" a="1"/>
  <c r="H88" i="28" s="1"/>
  <c r="H86" i="28" a="1"/>
  <c r="H86" i="28" s="1"/>
  <c r="H84" i="28" a="1"/>
  <c r="H84" i="28" s="1"/>
  <c r="H74" i="28" a="1"/>
  <c r="H74" i="28" s="1"/>
  <c r="H73" i="28" a="1"/>
  <c r="H73" i="28" s="1"/>
  <c r="H92" i="28" a="1"/>
  <c r="H92" i="28" s="1"/>
  <c r="H90" i="28" a="1"/>
  <c r="H90" i="28" s="1"/>
  <c r="H87" i="28" a="1"/>
  <c r="H87" i="28" s="1"/>
  <c r="H85" i="28" a="1"/>
  <c r="H85" i="28" s="1"/>
  <c r="H83" i="28" a="1"/>
  <c r="H83" i="28" s="1"/>
  <c r="H82" i="28" a="1"/>
  <c r="H82" i="28" s="1"/>
  <c r="M29" i="28" a="1"/>
  <c r="M29" i="28" s="1"/>
  <c r="AS28" i="28" a="1"/>
  <c r="AS28" i="28" s="1"/>
  <c r="N84" i="27" a="1"/>
  <c r="N84" i="27" s="1"/>
  <c r="BX83" i="27" a="1"/>
  <c r="BX83" i="27" s="1"/>
  <c r="F82" i="25" a="1"/>
  <c r="F82" i="25" s="1"/>
  <c r="F83" i="25" s="1" a="1"/>
  <c r="F83" i="25" s="1"/>
  <c r="F84" i="25" s="1" a="1"/>
  <c r="F84" i="25" s="1"/>
  <c r="F85" i="25" s="1" a="1"/>
  <c r="F85" i="25" s="1"/>
  <c r="F86" i="25" s="1" a="1"/>
  <c r="F86" i="25" s="1"/>
  <c r="BA282" i="15"/>
  <c r="AW282" i="15"/>
  <c r="AS282" i="15"/>
  <c r="AO282" i="15"/>
  <c r="AK282" i="15"/>
  <c r="AG282" i="15"/>
  <c r="F35" i="25" a="1"/>
  <c r="F35" i="25" s="1"/>
  <c r="F36" i="25" s="1" a="1"/>
  <c r="F36" i="25" s="1"/>
  <c r="F37" i="25" s="1" a="1"/>
  <c r="F37" i="25" s="1"/>
  <c r="F38" i="25" s="1" a="1"/>
  <c r="F38" i="25" s="1"/>
  <c r="F39" i="25" s="1" a="1"/>
  <c r="F39" i="25" s="1"/>
  <c r="F49" i="24" a="1"/>
  <c r="F49" i="24" s="1"/>
  <c r="K48" i="24"/>
  <c r="F29" i="24" a="1"/>
  <c r="F29" i="24" s="1"/>
  <c r="K28" i="24"/>
  <c r="F69" i="23" a="1"/>
  <c r="F69" i="23" s="1"/>
  <c r="K68" i="23"/>
  <c r="F32" i="21" a="1"/>
  <c r="F32" i="21" s="1"/>
  <c r="F39" i="22" a="1"/>
  <c r="F39" i="22" s="1"/>
  <c r="F29" i="22" a="1"/>
  <c r="F29" i="22" s="1"/>
  <c r="F82" i="21" a="1"/>
  <c r="F82" i="21" s="1"/>
  <c r="F83" i="21" s="1" a="1"/>
  <c r="F83" i="21" s="1"/>
  <c r="F84" i="21" s="1" a="1"/>
  <c r="F84" i="21" s="1"/>
  <c r="F85" i="21" s="1" a="1"/>
  <c r="F85" i="21" s="1"/>
  <c r="F86" i="21" s="1" a="1"/>
  <c r="F86" i="21" s="1"/>
  <c r="F87" i="21" s="1" a="1"/>
  <c r="F87" i="21" s="1"/>
  <c r="F88" i="21" s="1" a="1"/>
  <c r="F88" i="21" s="1"/>
  <c r="F89" i="21" s="1" a="1"/>
  <c r="F89" i="21" s="1"/>
  <c r="F90" i="21" s="1" a="1"/>
  <c r="F90" i="21" s="1"/>
  <c r="F91" i="21" s="1" a="1"/>
  <c r="F91" i="21" s="1"/>
  <c r="F54" i="18" a="1"/>
  <c r="F54" i="18" s="1"/>
  <c r="T53" i="18"/>
  <c r="F30" i="18" a="1"/>
  <c r="F30" i="18" s="1"/>
  <c r="T29" i="18"/>
  <c r="F76" i="17" a="1"/>
  <c r="F76" i="17" s="1"/>
  <c r="A74" i="17"/>
  <c r="T74" i="17"/>
  <c r="BB183" i="15"/>
  <c r="AZ183" i="15"/>
  <c r="AX183" i="15"/>
  <c r="AV183" i="15"/>
  <c r="AT183" i="15"/>
  <c r="AR183" i="15"/>
  <c r="AP183" i="15"/>
  <c r="AN183" i="15"/>
  <c r="AL183" i="15"/>
  <c r="AJ183" i="15"/>
  <c r="AH183" i="15"/>
  <c r="AF183" i="15"/>
  <c r="F29" i="23" a="1"/>
  <c r="F29" i="23" s="1"/>
  <c r="K28" i="23"/>
  <c r="F48" i="22" a="1"/>
  <c r="F48" i="22" s="1"/>
  <c r="F51" i="17" a="1"/>
  <c r="F51" i="17" s="1"/>
  <c r="A49" i="17"/>
  <c r="T49" i="17"/>
  <c r="BA183" i="15"/>
  <c r="AS183" i="15"/>
  <c r="AK183" i="15"/>
  <c r="BB84" i="15"/>
  <c r="AX84" i="15"/>
  <c r="AT84" i="15"/>
  <c r="AP84" i="15"/>
  <c r="AL84" i="15"/>
  <c r="AH84" i="15"/>
  <c r="F35" i="13" a="1"/>
  <c r="F35" i="13" s="1"/>
  <c r="F36" i="13" s="1" a="1"/>
  <c r="F36" i="13" s="1"/>
  <c r="A34" i="13"/>
  <c r="T34" i="13"/>
  <c r="T77" i="13" a="1"/>
  <c r="T77" i="13" s="1"/>
  <c r="T76" i="13" a="1"/>
  <c r="T76" i="13" s="1"/>
  <c r="CC328" i="12"/>
  <c r="CC327" i="12"/>
  <c r="AK428" i="12"/>
  <c r="AK339" i="12"/>
  <c r="AK325" i="12"/>
  <c r="AK426" i="12" s="1"/>
  <c r="CO417" i="12"/>
  <c r="CO411" i="12"/>
  <c r="CO416" i="12"/>
  <c r="CC324" i="12"/>
  <c r="BQ324" i="12"/>
  <c r="BQ323" i="12"/>
  <c r="BE323" i="12"/>
  <c r="AS324" i="12"/>
  <c r="AS323" i="12"/>
  <c r="F314" i="12" a="1"/>
  <c r="F314" i="12" s="1"/>
  <c r="F315" i="12" s="1" a="1"/>
  <c r="F315" i="12" s="1"/>
  <c r="F316" i="12" s="1" a="1"/>
  <c r="F316" i="12" s="1"/>
  <c r="F317" i="12" s="1" a="1"/>
  <c r="F317" i="12" s="1"/>
  <c r="F318" i="12" s="1" a="1"/>
  <c r="F318" i="12" s="1"/>
  <c r="F319" i="12" s="1" a="1"/>
  <c r="F319" i="12" s="1"/>
  <c r="F320" i="12" s="1" a="1"/>
  <c r="F320" i="12" s="1"/>
  <c r="F321" i="12" s="1" a="1"/>
  <c r="F321" i="12" s="1"/>
  <c r="F322" i="12" s="1" a="1"/>
  <c r="F322" i="12" s="1"/>
  <c r="F323" i="12" s="1" a="1"/>
  <c r="F323" i="12" s="1"/>
  <c r="F324" i="12" s="1" a="1"/>
  <c r="F324" i="12" s="1"/>
  <c r="F325" i="12" s="1" a="1"/>
  <c r="F325" i="12" s="1"/>
  <c r="F326" i="12" s="1" a="1"/>
  <c r="F326" i="12" s="1"/>
  <c r="F327" i="12" s="1" a="1"/>
  <c r="F327" i="12" s="1"/>
  <c r="F328" i="12" s="1" a="1"/>
  <c r="F328" i="12" s="1"/>
  <c r="F329" i="12" s="1" a="1"/>
  <c r="F329" i="12" s="1"/>
  <c r="F330" i="12" s="1" a="1"/>
  <c r="F330" i="12" s="1"/>
  <c r="F331" i="12" s="1" a="1"/>
  <c r="F331" i="12" s="1"/>
  <c r="F332" i="12" s="1" a="1"/>
  <c r="F332" i="12" s="1"/>
  <c r="F333" i="12" s="1" a="1"/>
  <c r="F333" i="12" s="1"/>
  <c r="F334" i="12" s="1" a="1"/>
  <c r="F334" i="12" s="1"/>
  <c r="F335" i="12" s="1" a="1"/>
  <c r="F335" i="12" s="1"/>
  <c r="F336" i="12" s="1" a="1"/>
  <c r="F336" i="12" s="1"/>
  <c r="F337" i="12" s="1" a="1"/>
  <c r="F337" i="12" s="1"/>
  <c r="F338" i="12" s="1" a="1"/>
  <c r="F338" i="12" s="1"/>
  <c r="F339" i="12" s="1" a="1"/>
  <c r="F339" i="12" s="1"/>
  <c r="F340" i="12" s="1" a="1"/>
  <c r="F340" i="12" s="1"/>
  <c r="F341" i="12" s="1" a="1"/>
  <c r="F341" i="12" s="1"/>
  <c r="F342" i="12" s="1" a="1"/>
  <c r="F342" i="12" s="1"/>
  <c r="F343" i="12" s="1" a="1"/>
  <c r="F343" i="12" s="1"/>
  <c r="F344" i="12" s="1" a="1"/>
  <c r="F344" i="12" s="1"/>
  <c r="F345" i="12" s="1" a="1"/>
  <c r="F345" i="12" s="1"/>
  <c r="F346" i="12" s="1" a="1"/>
  <c r="F346" i="12" s="1"/>
  <c r="F347" i="12" s="1" a="1"/>
  <c r="F347" i="12" s="1"/>
  <c r="F348" i="12" s="1" a="1"/>
  <c r="F348" i="12" s="1"/>
  <c r="F349" i="12" s="1" a="1"/>
  <c r="F349" i="12" s="1"/>
  <c r="F350" i="12" s="1" a="1"/>
  <c r="F350" i="12" s="1"/>
  <c r="F351" i="12" s="1" a="1"/>
  <c r="F351" i="12" s="1"/>
  <c r="F352" i="12" s="1" a="1"/>
  <c r="F352" i="12" s="1"/>
  <c r="F353" i="12" s="1" a="1"/>
  <c r="F353" i="12" s="1"/>
  <c r="F354" i="12" s="1" a="1"/>
  <c r="F354" i="12" s="1"/>
  <c r="F355" i="12" s="1" a="1"/>
  <c r="F355" i="12" s="1"/>
  <c r="F356" i="12" s="1" a="1"/>
  <c r="F356" i="12" s="1"/>
  <c r="F357" i="12" s="1" a="1"/>
  <c r="F357" i="12" s="1"/>
  <c r="F358" i="12" s="1" a="1"/>
  <c r="F358" i="12" s="1"/>
  <c r="F359" i="12" s="1" a="1"/>
  <c r="F359" i="12" s="1"/>
  <c r="F360" i="12" s="1" a="1"/>
  <c r="F360" i="12" s="1"/>
  <c r="F361" i="12" s="1" a="1"/>
  <c r="F361" i="12" s="1"/>
  <c r="F362" i="12" s="1" a="1"/>
  <c r="F362" i="12" s="1"/>
  <c r="F363" i="12" s="1" a="1"/>
  <c r="F363" i="12" s="1"/>
  <c r="F364" i="12" s="1" a="1"/>
  <c r="F364" i="12" s="1"/>
  <c r="F365" i="12" s="1" a="1"/>
  <c r="F365" i="12" s="1"/>
  <c r="F366" i="12" s="1" a="1"/>
  <c r="F366" i="12" s="1"/>
  <c r="F367" i="12" s="1" a="1"/>
  <c r="F367" i="12" s="1"/>
  <c r="F368" i="12" s="1" a="1"/>
  <c r="F368" i="12" s="1"/>
  <c r="F369" i="12" s="1" a="1"/>
  <c r="F369" i="12" s="1"/>
  <c r="F370" i="12" s="1" a="1"/>
  <c r="F370" i="12" s="1"/>
  <c r="F371" i="12" s="1" a="1"/>
  <c r="F371" i="12" s="1"/>
  <c r="F372" i="12" s="1" a="1"/>
  <c r="F372" i="12" s="1"/>
  <c r="F373" i="12" s="1" a="1"/>
  <c r="F373" i="12" s="1"/>
  <c r="F374" i="12" s="1" a="1"/>
  <c r="F374" i="12" s="1"/>
  <c r="F375" i="12" s="1" a="1"/>
  <c r="F375" i="12" s="1"/>
  <c r="F376" i="12" s="1" a="1"/>
  <c r="F376" i="12" s="1"/>
  <c r="F377" i="12" s="1" a="1"/>
  <c r="F377" i="12" s="1"/>
  <c r="F378" i="12" s="1" a="1"/>
  <c r="F378" i="12" s="1"/>
  <c r="F379" i="12" s="1" a="1"/>
  <c r="F379" i="12" s="1"/>
  <c r="F380" i="12" s="1" a="1"/>
  <c r="F380" i="12" s="1"/>
  <c r="F381" i="12" s="1" a="1"/>
  <c r="F381" i="12" s="1"/>
  <c r="F382" i="12" s="1" a="1"/>
  <c r="F382" i="12" s="1"/>
  <c r="F383" i="12" s="1" a="1"/>
  <c r="F383" i="12" s="1"/>
  <c r="F384" i="12" s="1" a="1"/>
  <c r="F384" i="12" s="1"/>
  <c r="F385" i="12" s="1" a="1"/>
  <c r="F385" i="12" s="1"/>
  <c r="F386" i="12" s="1" a="1"/>
  <c r="F386" i="12" s="1"/>
  <c r="F387" i="12" s="1" a="1"/>
  <c r="F387" i="12" s="1"/>
  <c r="F388" i="12" s="1" a="1"/>
  <c r="F388" i="12" s="1"/>
  <c r="F389" i="12" s="1" a="1"/>
  <c r="F389" i="12" s="1"/>
  <c r="F390" i="12" s="1" a="1"/>
  <c r="F390" i="12" s="1"/>
  <c r="F391" i="12" s="1" a="1"/>
  <c r="F391" i="12" s="1"/>
  <c r="F392" i="12" s="1" a="1"/>
  <c r="F392" i="12" s="1"/>
  <c r="F393" i="12" s="1" a="1"/>
  <c r="F393" i="12" s="1"/>
  <c r="F394" i="12" s="1" a="1"/>
  <c r="F394" i="12" s="1"/>
  <c r="F395" i="12" s="1" a="1"/>
  <c r="F395" i="12" s="1"/>
  <c r="F396" i="12" s="1" a="1"/>
  <c r="F396" i="12" s="1"/>
  <c r="F397" i="12" s="1" a="1"/>
  <c r="F397" i="12" s="1"/>
  <c r="F398" i="12" s="1" a="1"/>
  <c r="F398" i="12" s="1"/>
  <c r="F399" i="12" s="1" a="1"/>
  <c r="F399" i="12" s="1"/>
  <c r="F400" i="12" s="1" a="1"/>
  <c r="F400" i="12" s="1"/>
  <c r="F401" i="12" s="1" a="1"/>
  <c r="F401" i="12" s="1"/>
  <c r="F402" i="12" s="1" a="1"/>
  <c r="F402" i="12" s="1"/>
  <c r="F403" i="12" s="1" a="1"/>
  <c r="F403" i="12" s="1"/>
  <c r="F404" i="12" s="1" a="1"/>
  <c r="F404" i="12" s="1"/>
  <c r="F405" i="12" s="1" a="1"/>
  <c r="F405" i="12" s="1"/>
  <c r="F406" i="12" s="1" a="1"/>
  <c r="F406" i="12" s="1"/>
  <c r="F407" i="12" s="1" a="1"/>
  <c r="F407" i="12" s="1"/>
  <c r="F408" i="12" s="1" a="1"/>
  <c r="F408" i="12" s="1"/>
  <c r="F409" i="12" s="1" a="1"/>
  <c r="F409" i="12" s="1"/>
  <c r="F410" i="12" s="1" a="1"/>
  <c r="F410" i="12" s="1"/>
  <c r="F411" i="12" s="1" a="1"/>
  <c r="F411" i="12" s="1"/>
  <c r="F412" i="12" s="1" a="1"/>
  <c r="F412" i="12" s="1"/>
  <c r="F413" i="12" s="1" a="1"/>
  <c r="F413" i="12" s="1"/>
  <c r="F414" i="12" s="1" a="1"/>
  <c r="F414" i="12" s="1"/>
  <c r="F415" i="12" s="1" a="1"/>
  <c r="F415" i="12" s="1"/>
  <c r="F416" i="12" s="1" a="1"/>
  <c r="F416" i="12" s="1"/>
  <c r="F417" i="12" s="1" a="1"/>
  <c r="F417" i="12" s="1"/>
  <c r="F418" i="12" s="1" a="1"/>
  <c r="F418" i="12" s="1"/>
  <c r="F419" i="12" s="1" a="1"/>
  <c r="F419" i="12" s="1"/>
  <c r="F420" i="12" s="1" a="1"/>
  <c r="F420" i="12" s="1"/>
  <c r="F421" i="12" s="1" a="1"/>
  <c r="F421" i="12" s="1"/>
  <c r="F422" i="12" s="1" a="1"/>
  <c r="F422" i="12" s="1"/>
  <c r="F423" i="12" s="1" a="1"/>
  <c r="F423" i="12" s="1"/>
  <c r="F424" i="12" s="1" a="1"/>
  <c r="F424" i="12" s="1"/>
  <c r="F425" i="12" s="1" a="1"/>
  <c r="F425" i="12" s="1"/>
  <c r="F426" i="12" s="1" a="1"/>
  <c r="F426" i="12" s="1"/>
  <c r="F427" i="12" s="1" a="1"/>
  <c r="F427" i="12" s="1"/>
  <c r="F428" i="12" s="1" a="1"/>
  <c r="F428" i="12" s="1"/>
  <c r="F429" i="12" s="1" a="1"/>
  <c r="F429" i="12" s="1"/>
  <c r="F430" i="12" s="1" a="1"/>
  <c r="F430" i="12" s="1"/>
  <c r="F431" i="12" s="1" a="1"/>
  <c r="F431" i="12" s="1"/>
  <c r="F432" i="12" s="1" a="1"/>
  <c r="F432" i="12" s="1"/>
  <c r="F433" i="12" s="1" a="1"/>
  <c r="F433" i="12" s="1"/>
  <c r="F434" i="12" s="1" a="1"/>
  <c r="F434" i="12" s="1"/>
  <c r="F435" i="12" s="1" a="1"/>
  <c r="F435" i="12" s="1"/>
  <c r="F436" i="12" s="1" a="1"/>
  <c r="F436" i="12" s="1"/>
  <c r="G422" i="12"/>
  <c r="G421" i="12"/>
  <c r="G420" i="12"/>
  <c r="L302" i="12" a="1"/>
  <c r="L302" i="12" s="1"/>
  <c r="L303" i="12" s="1" a="1"/>
  <c r="L303" i="12" s="1"/>
  <c r="L304" i="12" s="1" a="1"/>
  <c r="L304" i="12" s="1"/>
  <c r="L305" i="12" s="1" a="1"/>
  <c r="L305" i="12" s="1"/>
  <c r="L306" i="12" s="1" a="1"/>
  <c r="L306" i="12" s="1"/>
  <c r="L307" i="12" s="1" a="1"/>
  <c r="L307" i="12" s="1"/>
  <c r="L308" i="12" s="1" a="1"/>
  <c r="L308" i="12" s="1"/>
  <c r="L309" i="12" s="1" a="1"/>
  <c r="L309" i="12" s="1"/>
  <c r="L310" i="12" s="1" a="1"/>
  <c r="L310" i="12" s="1"/>
  <c r="L311" i="12" s="1" a="1"/>
  <c r="L311" i="12" s="1"/>
  <c r="L312" i="12" s="1" a="1"/>
  <c r="L312" i="12" s="1"/>
  <c r="L313" i="12" s="1" a="1"/>
  <c r="L313" i="12" s="1"/>
  <c r="L314" i="12" s="1" a="1"/>
  <c r="L314" i="12" s="1"/>
  <c r="L315" i="12" s="1" a="1"/>
  <c r="L315" i="12" s="1"/>
  <c r="L316" i="12" s="1" a="1"/>
  <c r="L316" i="12" s="1"/>
  <c r="L317" i="12" s="1" a="1"/>
  <c r="L317" i="12" s="1"/>
  <c r="T301" i="12" a="1"/>
  <c r="T301" i="12" s="1"/>
  <c r="T59" i="14"/>
  <c r="F61" i="14" a="1"/>
  <c r="F61" i="14" s="1"/>
  <c r="A59" i="14"/>
  <c r="F66" i="14" a="1"/>
  <c r="F66" i="14" s="1"/>
  <c r="T65" i="14"/>
  <c r="F120" i="13" a="1"/>
  <c r="F120" i="13" s="1"/>
  <c r="F121" i="13" s="1" a="1"/>
  <c r="F121" i="13" s="1"/>
  <c r="A119" i="13"/>
  <c r="T119" i="13"/>
  <c r="CY340" i="12" a="1"/>
  <c r="CY340" i="12" s="1"/>
  <c r="AG340" i="12"/>
  <c r="AE344" i="12" a="1"/>
  <c r="AE344" i="12" s="1"/>
  <c r="X344" i="12"/>
  <c r="AH325" i="12"/>
  <c r="AH426" i="12" s="1"/>
  <c r="AH339" i="12"/>
  <c r="AJ288" i="12"/>
  <c r="AF187" i="12" a="1"/>
  <c r="AF187" i="12" s="1"/>
  <c r="CZ182" i="12" a="1"/>
  <c r="CZ182" i="12" s="1"/>
  <c r="AE183" i="12" a="1"/>
  <c r="AE183" i="12" s="1"/>
  <c r="X183" i="12"/>
  <c r="CY178" i="12" a="1"/>
  <c r="CY178" i="12" s="1"/>
  <c r="AJ173" i="12"/>
  <c r="AK181" i="12"/>
  <c r="AK164" i="12"/>
  <c r="AK288" i="12" s="1"/>
  <c r="AI264" i="12"/>
  <c r="S154" i="12" a="1"/>
  <c r="S154" i="12" s="1"/>
  <c r="U153" i="12"/>
  <c r="AJ54" i="12"/>
  <c r="AH123" i="12"/>
  <c r="AH122" i="12" s="1"/>
  <c r="AH119" i="12"/>
  <c r="AH116" i="12"/>
  <c r="AH115" i="12" s="1"/>
  <c r="AH112" i="12"/>
  <c r="AH90" i="12"/>
  <c r="AH89" i="12" s="1"/>
  <c r="AH86" i="12"/>
  <c r="AH126" i="12"/>
  <c r="AH103" i="12"/>
  <c r="AH102" i="12" s="1"/>
  <c r="AH99" i="12"/>
  <c r="AH77" i="12"/>
  <c r="AH76" i="12" s="1"/>
  <c r="AH73" i="12"/>
  <c r="AB199" i="10"/>
  <c r="AB197" i="10"/>
  <c r="AB200" i="10"/>
  <c r="AB198" i="10"/>
  <c r="AG208" i="10"/>
  <c r="AG203" i="10"/>
  <c r="AG211" i="10" s="1"/>
  <c r="AG212" i="10"/>
  <c r="AB179" i="10"/>
  <c r="AB178" i="10"/>
  <c r="T158" i="10"/>
  <c r="T159" i="10" s="1" a="1"/>
  <c r="T159" i="10" s="1"/>
  <c r="T160" i="10" s="1" a="1"/>
  <c r="T160" i="10" s="1"/>
  <c r="T161" i="10" s="1" a="1"/>
  <c r="T161" i="10" s="1"/>
  <c r="T162" i="10" s="1" a="1"/>
  <c r="T162" i="10" s="1"/>
  <c r="T163" i="10" s="1" a="1"/>
  <c r="T163" i="10" s="1"/>
  <c r="AB43" i="10"/>
  <c r="AB42" i="10"/>
  <c r="U84" i="8"/>
  <c r="F85" i="8" a="1"/>
  <c r="F85" i="8" s="1"/>
  <c r="U56" i="8"/>
  <c r="F57" i="8" a="1"/>
  <c r="F57" i="8" s="1"/>
  <c r="CL416" i="12"/>
  <c r="CL417" i="12"/>
  <c r="CL411" i="12"/>
  <c r="CL327" i="12"/>
  <c r="CL328" i="12"/>
  <c r="CI339" i="12"/>
  <c r="CI325" i="12"/>
  <c r="CF416" i="12"/>
  <c r="CF417" i="12"/>
  <c r="CF411" i="12"/>
  <c r="CF328" i="12"/>
  <c r="CF327" i="12"/>
  <c r="BW340" i="12"/>
  <c r="BN416" i="12"/>
  <c r="BN417" i="12"/>
  <c r="BN411" i="12"/>
  <c r="BN327" i="12"/>
  <c r="BN328" i="12"/>
  <c r="BB416" i="12"/>
  <c r="BB417" i="12"/>
  <c r="BB411" i="12"/>
  <c r="BB327" i="12"/>
  <c r="BB328" i="12"/>
  <c r="AP416" i="12"/>
  <c r="AP417" i="12"/>
  <c r="AP411" i="12"/>
  <c r="AP327" i="12"/>
  <c r="AP328" i="12"/>
  <c r="AJ355" i="12"/>
  <c r="AJ389" i="12"/>
  <c r="AJ415" i="12"/>
  <c r="AH399" i="12"/>
  <c r="AH382" i="12"/>
  <c r="AH365" i="12"/>
  <c r="AH348" i="12"/>
  <c r="AJ275" i="12"/>
  <c r="AJ264" i="12"/>
  <c r="AJ243" i="12"/>
  <c r="AJ289" i="12"/>
  <c r="AJ282" i="12"/>
  <c r="AH181" i="12"/>
  <c r="AH164" i="12"/>
  <c r="AH288" i="12" s="1"/>
  <c r="AH256" i="12"/>
  <c r="AH214" i="12"/>
  <c r="AH297" i="12"/>
  <c r="AH235" i="12"/>
  <c r="AH193" i="12"/>
  <c r="G283" i="12"/>
  <c r="G282" i="12"/>
  <c r="G281" i="12"/>
  <c r="T140" i="12" a="1"/>
  <c r="T140"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AK64" i="12"/>
  <c r="AK53" i="12"/>
  <c r="AK131" i="12" s="1"/>
  <c r="AI132" i="12"/>
  <c r="AI127" i="12"/>
  <c r="G126" i="12"/>
  <c r="G128" i="12"/>
  <c r="G127" i="12"/>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W47" i="6" a="1"/>
  <c r="W47" i="6" s="1"/>
  <c r="AB47" i="6" a="1"/>
  <c r="AB47" i="6" s="1"/>
  <c r="S25" i="33"/>
  <c r="S26" i="33"/>
  <c r="F31" i="9" a="1"/>
  <c r="F31" i="9" s="1"/>
  <c r="U30" i="9"/>
  <c r="F31" i="8" a="1"/>
  <c r="F31" i="8" s="1"/>
  <c r="U30" i="8"/>
  <c r="F140" i="34" a="1"/>
  <c r="F140" i="34" s="1"/>
  <c r="AK139" i="34"/>
  <c r="B140" i="33"/>
  <c r="B141" i="33" s="1" a="1"/>
  <c r="B141" i="33" s="1"/>
  <c r="B142" i="33" s="1" a="1"/>
  <c r="B142" i="33" s="1"/>
  <c r="B143" i="33" s="1" a="1"/>
  <c r="B143" i="33" s="1"/>
  <c r="B144" i="33" s="1" a="1"/>
  <c r="B144" i="33" s="1"/>
  <c r="B145" i="33" s="1" a="1"/>
  <c r="B145" i="33" s="1"/>
  <c r="B146" i="33" s="1" a="1"/>
  <c r="B146" i="33" s="1"/>
  <c r="B147" i="33" s="1" a="1"/>
  <c r="B147" i="33" s="1"/>
  <c r="B148" i="33" s="1" a="1"/>
  <c r="B148" i="33" s="1"/>
  <c r="B149" i="33" s="1" a="1"/>
  <c r="B149" i="33" s="1"/>
  <c r="B150" i="33" s="1" a="1"/>
  <c r="B150" i="33" s="1"/>
  <c r="B151" i="33" s="1" a="1"/>
  <c r="B151" i="33" s="1"/>
  <c r="B152" i="33" s="1" a="1"/>
  <c r="B152" i="33" s="1"/>
  <c r="B153" i="33" s="1" a="1"/>
  <c r="B153" i="33" s="1"/>
  <c r="B154" i="33" s="1" a="1"/>
  <c r="B154" i="33" s="1"/>
  <c r="B155" i="33" s="1" a="1"/>
  <c r="B155" i="33" s="1"/>
  <c r="B156" i="33" s="1" a="1"/>
  <c r="B156" i="33" s="1"/>
  <c r="B157" i="33" s="1" a="1"/>
  <c r="B157" i="33" s="1"/>
  <c r="B158" i="33" s="1" a="1"/>
  <c r="B158" i="33" s="1"/>
  <c r="B159" i="33" s="1" a="1"/>
  <c r="B159" i="33" s="1"/>
  <c r="B160" i="33" s="1" a="1"/>
  <c r="B160" i="33" s="1"/>
  <c r="B161" i="33" s="1" a="1"/>
  <c r="B161" i="33" s="1"/>
  <c r="B162" i="33" s="1" a="1"/>
  <c r="B162" i="33" s="1"/>
  <c r="B163" i="33" s="1" a="1"/>
  <c r="B163" i="33" s="1"/>
  <c r="B164" i="33" s="1" a="1"/>
  <c r="B164" i="33" s="1"/>
  <c r="B124" i="33"/>
  <c r="B125" i="33" s="1" a="1"/>
  <c r="B125" i="33" s="1"/>
  <c r="B126" i="33" s="1" a="1"/>
  <c r="B126" i="33" s="1"/>
  <c r="B127" i="33" s="1" a="1"/>
  <c r="B127" i="33" s="1"/>
  <c r="B128" i="33" s="1" a="1"/>
  <c r="B128" i="33" s="1"/>
  <c r="B129" i="33" s="1" a="1"/>
  <c r="B129" i="33" s="1"/>
  <c r="B130" i="33" s="1" a="1"/>
  <c r="B130" i="33" s="1"/>
  <c r="B131" i="33" s="1" a="1"/>
  <c r="B131" i="33" s="1"/>
  <c r="B132" i="33" s="1" a="1"/>
  <c r="B132" i="33" s="1"/>
  <c r="B133" i="33" s="1" a="1"/>
  <c r="B133" i="33" s="1"/>
  <c r="B134" i="33" s="1" a="1"/>
  <c r="B134" i="33" s="1"/>
  <c r="B135" i="33" s="1" a="1"/>
  <c r="B135" i="33" s="1"/>
  <c r="B136" i="33" s="1" a="1"/>
  <c r="B136" i="33" s="1"/>
  <c r="B137" i="33" s="1" a="1"/>
  <c r="B137" i="33" s="1"/>
  <c r="B138" i="33" s="1" a="1"/>
  <c r="B138" i="33" s="1"/>
  <c r="B139" i="33" s="1" a="1"/>
  <c r="B139" i="33" s="1"/>
  <c r="F123" i="33" a="1"/>
  <c r="F123" i="33" s="1"/>
  <c r="AD122" i="33" a="1"/>
  <c r="AD122" i="33" s="1"/>
  <c r="AD77" i="33" a="1"/>
  <c r="AD77" i="33" s="1"/>
  <c r="F78" i="33" a="1"/>
  <c r="F78" i="33" s="1"/>
  <c r="M83" i="31" a="1"/>
  <c r="M83" i="31" s="1"/>
  <c r="BI82" i="31" a="1"/>
  <c r="BI82" i="31" s="1"/>
  <c r="F53" i="30" a="1"/>
  <c r="F53" i="30" s="1"/>
  <c r="T52" i="30"/>
  <c r="F98" i="28" a="1"/>
  <c r="F98" i="28" s="1"/>
  <c r="F99" i="28" s="1" a="1"/>
  <c r="F99" i="28"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F56" i="31" a="1"/>
  <c r="F56" i="31" s="1"/>
  <c r="T55" i="31"/>
  <c r="H158" i="28" a="1"/>
  <c r="H158" i="28" s="1"/>
  <c r="H156" i="28" a="1"/>
  <c r="H156" i="28" s="1"/>
  <c r="H155" i="28" a="1"/>
  <c r="H155" i="28" s="1"/>
  <c r="H153" i="28" a="1"/>
  <c r="H153" i="28" s="1"/>
  <c r="H151" i="28" a="1"/>
  <c r="H151" i="28" s="1"/>
  <c r="H141" i="28" a="1"/>
  <c r="H141" i="28" s="1"/>
  <c r="H140" i="28" a="1"/>
  <c r="H140" i="28" s="1"/>
  <c r="H159" i="28" a="1"/>
  <c r="H159" i="28" s="1"/>
  <c r="H157" i="28" a="1"/>
  <c r="H157" i="28" s="1"/>
  <c r="H154" i="28" a="1"/>
  <c r="H154" i="28" s="1"/>
  <c r="H152" i="28" a="1"/>
  <c r="H152" i="28" s="1"/>
  <c r="H150" i="28" a="1"/>
  <c r="H150" i="28" s="1"/>
  <c r="H149" i="28" a="1"/>
  <c r="H149" i="28" s="1"/>
  <c r="M163" i="28" a="1"/>
  <c r="M163" i="28" s="1"/>
  <c r="AS162" i="28" a="1"/>
  <c r="AS162" i="28" s="1"/>
  <c r="F29" i="27" a="1"/>
  <c r="F29" i="27" s="1"/>
  <c r="N28" i="27" a="1"/>
  <c r="N28" i="27" s="1"/>
  <c r="F31" i="28" a="1"/>
  <c r="F31" i="28" s="1"/>
  <c r="F32" i="28" s="1" a="1"/>
  <c r="F32" i="28" s="1"/>
  <c r="F85" i="27" a="1"/>
  <c r="F85" i="27" s="1"/>
  <c r="F129" i="25" a="1"/>
  <c r="F129" i="25" s="1"/>
  <c r="F130" i="25" s="1" a="1"/>
  <c r="F130" i="25" s="1"/>
  <c r="F131" i="25" s="1" a="1"/>
  <c r="F131" i="25" s="1"/>
  <c r="F132" i="25" s="1" a="1"/>
  <c r="F132" i="25" s="1"/>
  <c r="F133" i="25" s="1" a="1"/>
  <c r="F133" i="25" s="1"/>
  <c r="AY282" i="15"/>
  <c r="AU282" i="15"/>
  <c r="AQ282" i="15"/>
  <c r="AM282" i="15"/>
  <c r="AI282" i="15"/>
  <c r="AE282" i="15"/>
  <c r="N140" i="27" a="1"/>
  <c r="N140" i="27" s="1"/>
  <c r="F141" i="27" a="1"/>
  <c r="F141" i="27" s="1"/>
  <c r="F39" i="24" a="1"/>
  <c r="F39" i="24" s="1"/>
  <c r="K38" i="24"/>
  <c r="F49" i="23" a="1"/>
  <c r="F49" i="23" s="1"/>
  <c r="K48" i="23"/>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T85" i="23" a="1"/>
  <c r="T85" i="23" s="1"/>
  <c r="T86" i="23" a="1"/>
  <c r="T86" i="23" s="1"/>
  <c r="T45" i="23" a="1"/>
  <c r="T45" i="23" s="1"/>
  <c r="T46" i="23" a="1"/>
  <c r="T46" i="23" s="1"/>
  <c r="F81" i="17" a="1"/>
  <c r="F81" i="17" s="1"/>
  <c r="G80" i="17"/>
  <c r="T80" i="17"/>
  <c r="F31" i="17" a="1"/>
  <c r="F31" i="17" s="1"/>
  <c r="F30" i="17" a="1"/>
  <c r="F30" i="17" s="1"/>
  <c r="F33" i="17" a="1"/>
  <c r="F33" i="17" s="1"/>
  <c r="BA30" i="13"/>
  <c r="BA32" i="13" s="1"/>
  <c r="AY30" i="13"/>
  <c r="AY32" i="13" s="1"/>
  <c r="AW30" i="13"/>
  <c r="AW32" i="13" s="1"/>
  <c r="AU30" i="13"/>
  <c r="AU32" i="13" s="1"/>
  <c r="AS30" i="13"/>
  <c r="AS32" i="13" s="1"/>
  <c r="AQ30" i="13"/>
  <c r="AQ32" i="13" s="1"/>
  <c r="AO30" i="13"/>
  <c r="AO32" i="13" s="1"/>
  <c r="AM30" i="13"/>
  <c r="AM32" i="13" s="1"/>
  <c r="AK30" i="13"/>
  <c r="AK32" i="13" s="1"/>
  <c r="AI30" i="13"/>
  <c r="AI32" i="13" s="1"/>
  <c r="AG30" i="13"/>
  <c r="AG32" i="13" s="1"/>
  <c r="AE30" i="13"/>
  <c r="AE32" i="13" s="1"/>
  <c r="BB30" i="13"/>
  <c r="BB32" i="13" s="1"/>
  <c r="AZ30" i="13"/>
  <c r="AZ32" i="13" s="1"/>
  <c r="AX30" i="13"/>
  <c r="AX32" i="13" s="1"/>
  <c r="AV30" i="13"/>
  <c r="AV32" i="13" s="1"/>
  <c r="AT30" i="13"/>
  <c r="AT32" i="13" s="1"/>
  <c r="AR30" i="13"/>
  <c r="AR32" i="13" s="1"/>
  <c r="AP30" i="13"/>
  <c r="AP32" i="13" s="1"/>
  <c r="AN30" i="13"/>
  <c r="AN32" i="13" s="1"/>
  <c r="AL30" i="13"/>
  <c r="AL32" i="13" s="1"/>
  <c r="AJ30" i="13"/>
  <c r="AJ32" i="13" s="1"/>
  <c r="AH30" i="13"/>
  <c r="AH32" i="13" s="1"/>
  <c r="AF30" i="13"/>
  <c r="AF32" i="13" s="1"/>
  <c r="T65" i="23" a="1"/>
  <c r="T65" i="23" s="1"/>
  <c r="T66" i="23" a="1"/>
  <c r="T66" i="23" s="1"/>
  <c r="F33" i="20" a="1"/>
  <c r="F33" i="20" s="1"/>
  <c r="F34" i="20" s="1" a="1"/>
  <c r="F34" i="20" s="1"/>
  <c r="F86" i="18" a="1"/>
  <c r="F86" i="18" s="1"/>
  <c r="T85" i="18"/>
  <c r="F56" i="17" a="1"/>
  <c r="F56" i="17" s="1"/>
  <c r="G55" i="17"/>
  <c r="T55" i="17"/>
  <c r="AW183" i="15"/>
  <c r="AO183" i="15"/>
  <c r="AG183" i="15"/>
  <c r="AZ84" i="15"/>
  <c r="AV84" i="15"/>
  <c r="AR84" i="15"/>
  <c r="AN84" i="15"/>
  <c r="AJ84" i="15"/>
  <c r="AF84" i="15"/>
  <c r="F33" i="14" a="1"/>
  <c r="F33" i="14" s="1"/>
  <c r="F31" i="14" a="1"/>
  <c r="F31" i="14" s="1"/>
  <c r="F30" i="14" a="1"/>
  <c r="F30" i="14" s="1"/>
  <c r="F78" i="13" a="1"/>
  <c r="F78" i="13" s="1"/>
  <c r="A77" i="13"/>
  <c r="CO328" i="12"/>
  <c r="CO327" i="12"/>
  <c r="AK417" i="12"/>
  <c r="AK411" i="12"/>
  <c r="AK408" i="12"/>
  <c r="AK402" i="12"/>
  <c r="AK391" i="12"/>
  <c r="AK385" i="12"/>
  <c r="AK374" i="12"/>
  <c r="AK368" i="12"/>
  <c r="AK357" i="12"/>
  <c r="AK351" i="12"/>
  <c r="AK326" i="12"/>
  <c r="AK420" i="12"/>
  <c r="AK416" i="12"/>
  <c r="AK415" i="12" s="1"/>
  <c r="AK407" i="12"/>
  <c r="AK390" i="12"/>
  <c r="AK389" i="12" s="1"/>
  <c r="AK373" i="12"/>
  <c r="AK356" i="12"/>
  <c r="AK355" i="12" s="1"/>
  <c r="AK399" i="12"/>
  <c r="AK382" i="12"/>
  <c r="AK365" i="12"/>
  <c r="AK348" i="12"/>
  <c r="CI417" i="12"/>
  <c r="CI411" i="12"/>
  <c r="CI326" i="12"/>
  <c r="CI416" i="12"/>
  <c r="BW417" i="12"/>
  <c r="BW411" i="12"/>
  <c r="BW326" i="12"/>
  <c r="BW416" i="12"/>
  <c r="BK323" i="12"/>
  <c r="AY324" i="12"/>
  <c r="AY323" i="12"/>
  <c r="AM323" i="12"/>
  <c r="U313" i="12"/>
  <c r="S314" i="12" a="1"/>
  <c r="S314" i="12" s="1"/>
  <c r="AB132" i="10"/>
  <c r="AB130" i="10"/>
  <c r="AB131" i="10"/>
  <c r="AB129" i="10"/>
  <c r="T43" i="14"/>
  <c r="F45" i="14" a="1"/>
  <c r="F45" i="14" s="1"/>
  <c r="A43" i="14"/>
  <c r="F50" i="14" a="1"/>
  <c r="F50" i="14" s="1"/>
  <c r="T49" i="14"/>
  <c r="AF348" i="12" a="1"/>
  <c r="AF348" i="12" s="1"/>
  <c r="CZ344" i="12" a="1"/>
  <c r="CZ344" i="12" s="1"/>
  <c r="AJ330" i="12"/>
  <c r="AH420" i="12"/>
  <c r="AH416" i="12"/>
  <c r="AH415" i="12" s="1"/>
  <c r="AH407" i="12"/>
  <c r="AH390" i="12"/>
  <c r="AH373" i="12"/>
  <c r="AH356" i="12"/>
  <c r="AH417" i="12"/>
  <c r="AH411" i="12"/>
  <c r="AH408" i="12"/>
  <c r="AH391" i="12"/>
  <c r="AH374" i="12"/>
  <c r="AH357" i="12"/>
  <c r="AH402" i="12"/>
  <c r="AH385" i="12"/>
  <c r="AH368" i="12"/>
  <c r="AH351" i="12"/>
  <c r="AH326" i="12"/>
  <c r="AI427" i="12"/>
  <c r="AI421" i="12"/>
  <c r="AE182" i="12" a="1"/>
  <c r="AE182" i="12" s="1"/>
  <c r="X182" i="12"/>
  <c r="CY177" i="12" a="1"/>
  <c r="CY177" i="12" s="1"/>
  <c r="AJ171" i="12"/>
  <c r="AK278" i="12"/>
  <c r="AK276" i="12"/>
  <c r="AK270" i="12"/>
  <c r="AK267" i="12"/>
  <c r="AK265" i="12"/>
  <c r="AK259" i="12"/>
  <c r="AK245" i="12"/>
  <c r="AK277" i="12"/>
  <c r="AK246" i="12"/>
  <c r="AK238" i="12"/>
  <c r="AK224" i="12"/>
  <c r="AK204" i="12"/>
  <c r="AK202" i="12"/>
  <c r="AK196" i="12"/>
  <c r="AK165" i="12"/>
  <c r="AK281" i="12"/>
  <c r="AK266" i="12"/>
  <c r="AK244" i="12"/>
  <c r="AK243" i="12" s="1"/>
  <c r="AK225" i="12"/>
  <c r="AK223" i="12"/>
  <c r="AK222" i="12" s="1"/>
  <c r="AK217" i="12"/>
  <c r="AK203" i="12"/>
  <c r="AI201" i="12"/>
  <c r="AI243" i="12"/>
  <c r="AI281" i="12"/>
  <c r="CR123" i="12"/>
  <c r="CR119" i="12"/>
  <c r="CR55" i="12"/>
  <c r="CO55" i="12"/>
  <c r="CL123" i="12"/>
  <c r="CL119" i="12"/>
  <c r="CL55" i="12"/>
  <c r="CI55" i="12"/>
  <c r="CF123" i="12"/>
  <c r="CF119" i="12"/>
  <c r="CF55" i="12"/>
  <c r="CC55" i="12"/>
  <c r="BZ123" i="12"/>
  <c r="BZ119" i="12"/>
  <c r="BZ55" i="12"/>
  <c r="BW55" i="12"/>
  <c r="BT123" i="12"/>
  <c r="BT119" i="12"/>
  <c r="BT55" i="12"/>
  <c r="BQ55" i="12"/>
  <c r="BN123" i="12"/>
  <c r="BN119" i="12"/>
  <c r="BN55" i="12"/>
  <c r="BK55" i="12"/>
  <c r="BH123" i="12"/>
  <c r="BH119" i="12"/>
  <c r="BH55" i="12"/>
  <c r="BE55" i="12"/>
  <c r="BB123" i="12"/>
  <c r="BB119" i="12"/>
  <c r="BB55" i="12"/>
  <c r="AY55" i="12"/>
  <c r="AV123" i="12"/>
  <c r="AV119" i="12"/>
  <c r="AV55" i="12"/>
  <c r="AS55" i="12"/>
  <c r="AP123" i="12"/>
  <c r="AP119" i="12"/>
  <c r="AP55" i="12"/>
  <c r="AM55" i="12"/>
  <c r="AJ126" i="12"/>
  <c r="AH64" i="12"/>
  <c r="AH53" i="12"/>
  <c r="AH54" i="12" s="1"/>
  <c r="T29" i="11" a="1"/>
  <c r="T29" i="11" s="1"/>
  <c r="T30" i="11" s="1" a="1"/>
  <c r="T30" i="11" s="1"/>
  <c r="T31" i="11" s="1" a="1"/>
  <c r="T31" i="11" s="1"/>
  <c r="T32" i="11" s="1" a="1"/>
  <c r="T32" i="11" s="1"/>
  <c r="T33" i="11" s="1" a="1"/>
  <c r="T33" i="11" s="1"/>
  <c r="T34" i="11" s="1" a="1"/>
  <c r="T34" i="11" s="1"/>
  <c r="AK208" i="10"/>
  <c r="AK203" i="10"/>
  <c r="AK211" i="10" s="1"/>
  <c r="AK212" i="10"/>
  <c r="T226" i="10"/>
  <c r="T227" i="10" s="1" a="1"/>
  <c r="T227" i="10" s="1"/>
  <c r="T228" i="10" s="1" a="1"/>
  <c r="T228" i="10" s="1"/>
  <c r="T229" i="10" s="1" a="1"/>
  <c r="T229" i="10" s="1"/>
  <c r="T230" i="10" s="1" a="1"/>
  <c r="T230" i="10" s="1"/>
  <c r="T231" i="10" s="1" a="1"/>
  <c r="T231" i="10" s="1"/>
  <c r="U36" i="9"/>
  <c r="F37" i="9" a="1"/>
  <c r="F37" i="9" s="1"/>
  <c r="CR416" i="12"/>
  <c r="CR417" i="12"/>
  <c r="CR411" i="12"/>
  <c r="CR328" i="12"/>
  <c r="CR327" i="12"/>
  <c r="CI340" i="12"/>
  <c r="BZ416" i="12"/>
  <c r="BZ417" i="12"/>
  <c r="BZ411" i="12"/>
  <c r="BZ327" i="12"/>
  <c r="BZ328" i="12"/>
  <c r="BW339" i="12"/>
  <c r="BW325" i="12"/>
  <c r="BT416" i="12"/>
  <c r="BT417" i="12"/>
  <c r="BT411" i="12"/>
  <c r="BT328" i="12"/>
  <c r="BT327" i="12"/>
  <c r="BH416" i="12"/>
  <c r="BH417" i="12"/>
  <c r="BH411" i="12"/>
  <c r="BH328" i="12"/>
  <c r="BH327" i="12"/>
  <c r="AV416" i="12"/>
  <c r="AV417" i="12"/>
  <c r="AV411" i="12"/>
  <c r="AV328" i="12"/>
  <c r="AV327" i="12"/>
  <c r="AJ372" i="12"/>
  <c r="AJ406" i="12"/>
  <c r="AJ420" i="12"/>
  <c r="AK290" i="12"/>
  <c r="AF188" i="12" a="1"/>
  <c r="AF188" i="12" s="1"/>
  <c r="CZ183" i="12" a="1"/>
  <c r="CZ183" i="12" s="1"/>
  <c r="AJ172" i="12"/>
  <c r="CR277" i="12"/>
  <c r="CR278" i="12"/>
  <c r="CR276" i="12"/>
  <c r="CR270" i="12"/>
  <c r="CR167" i="12"/>
  <c r="CR168" i="12"/>
  <c r="CR166" i="12"/>
  <c r="CO168" i="12"/>
  <c r="CO166" i="12"/>
  <c r="CO167" i="12"/>
  <c r="CL277" i="12"/>
  <c r="CL276" i="12"/>
  <c r="CL270" i="12"/>
  <c r="CL278" i="12"/>
  <c r="CL167" i="12"/>
  <c r="CL168" i="12"/>
  <c r="CL166" i="12"/>
  <c r="CI168" i="12"/>
  <c r="CI166" i="12"/>
  <c r="CI167" i="12"/>
  <c r="CF277" i="12"/>
  <c r="CF278" i="12"/>
  <c r="CF276" i="12"/>
  <c r="CF270" i="12"/>
  <c r="CF167" i="12"/>
  <c r="CF168" i="12"/>
  <c r="CF166" i="12"/>
  <c r="CC168" i="12"/>
  <c r="CC166" i="12"/>
  <c r="CC167" i="12"/>
  <c r="BZ277" i="12"/>
  <c r="BZ276" i="12"/>
  <c r="BZ270" i="12"/>
  <c r="BZ278" i="12"/>
  <c r="BZ167" i="12"/>
  <c r="BZ168" i="12"/>
  <c r="BZ166" i="12"/>
  <c r="BW168" i="12"/>
  <c r="BW166" i="12"/>
  <c r="BW167" i="12"/>
  <c r="BT277" i="12"/>
  <c r="BT278" i="12"/>
  <c r="BT276" i="12"/>
  <c r="BT270" i="12"/>
  <c r="BT167" i="12"/>
  <c r="BT168" i="12"/>
  <c r="BT166" i="12"/>
  <c r="BQ168" i="12"/>
  <c r="BQ166" i="12"/>
  <c r="BQ167" i="12"/>
  <c r="BN277" i="12"/>
  <c r="BN276" i="12"/>
  <c r="BN270" i="12"/>
  <c r="BN278" i="12"/>
  <c r="BN167" i="12"/>
  <c r="BN168" i="12"/>
  <c r="BN166" i="12"/>
  <c r="BK168" i="12"/>
  <c r="BK166" i="12"/>
  <c r="BK167" i="12"/>
  <c r="BH277" i="12"/>
  <c r="BH278" i="12"/>
  <c r="BH276" i="12"/>
  <c r="BH270" i="12"/>
  <c r="BH167" i="12"/>
  <c r="BH168" i="12"/>
  <c r="BH166" i="12"/>
  <c r="BE168" i="12"/>
  <c r="BE166" i="12"/>
  <c r="BE167" i="12"/>
  <c r="BB277" i="12"/>
  <c r="BB276" i="12"/>
  <c r="BB270" i="12"/>
  <c r="BB278" i="12"/>
  <c r="BB167" i="12"/>
  <c r="BB168" i="12"/>
  <c r="BB166" i="12"/>
  <c r="AY168" i="12"/>
  <c r="AY166" i="12"/>
  <c r="AY167" i="12"/>
  <c r="AV277" i="12"/>
  <c r="AV278" i="12"/>
  <c r="AV276" i="12"/>
  <c r="AV270" i="12"/>
  <c r="AV167" i="12"/>
  <c r="AV168" i="12"/>
  <c r="AV166" i="12"/>
  <c r="AS168" i="12"/>
  <c r="AS166" i="12"/>
  <c r="AS167" i="12"/>
  <c r="AP277" i="12"/>
  <c r="AP276" i="12"/>
  <c r="AP270" i="12"/>
  <c r="AP278" i="12"/>
  <c r="AP167" i="12"/>
  <c r="AP168" i="12"/>
  <c r="AP166" i="12"/>
  <c r="AM168" i="12"/>
  <c r="AM166" i="12"/>
  <c r="AM167" i="12"/>
  <c r="AJ222" i="12"/>
  <c r="AH281" i="12"/>
  <c r="AH277" i="12"/>
  <c r="AH266" i="12"/>
  <c r="AH246" i="12"/>
  <c r="AH244" i="12"/>
  <c r="AH276" i="12"/>
  <c r="AH270" i="12"/>
  <c r="AH267" i="12"/>
  <c r="AH245" i="12"/>
  <c r="AH225" i="12"/>
  <c r="AH223" i="12"/>
  <c r="AH222" i="12" s="1"/>
  <c r="AH217" i="12"/>
  <c r="AH203" i="12"/>
  <c r="AH278" i="12"/>
  <c r="AH265" i="12"/>
  <c r="AH264" i="12" s="1"/>
  <c r="AH259" i="12"/>
  <c r="AH238" i="12"/>
  <c r="AH224" i="12"/>
  <c r="AH204" i="12"/>
  <c r="AH202" i="12"/>
  <c r="AH196" i="12"/>
  <c r="AH165" i="12"/>
  <c r="AH255" i="12"/>
  <c r="AH213" i="12"/>
  <c r="AH234" i="12"/>
  <c r="AH192"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F276" i="12" s="1" a="1"/>
  <c r="F276" i="12" s="1"/>
  <c r="F277" i="12" s="1" a="1"/>
  <c r="F277" i="12" s="1"/>
  <c r="F278" i="12" s="1" a="1"/>
  <c r="F278" i="12" s="1"/>
  <c r="F279" i="12" s="1" a="1"/>
  <c r="F279" i="12" s="1"/>
  <c r="F280" i="12" s="1" a="1"/>
  <c r="F280" i="12" s="1"/>
  <c r="F281" i="12" s="1" a="1"/>
  <c r="F281" i="12" s="1"/>
  <c r="F282" i="12" s="1" a="1"/>
  <c r="F282" i="12" s="1"/>
  <c r="F283" i="12" s="1" a="1"/>
  <c r="F283" i="12" s="1"/>
  <c r="F284" i="12" s="1" a="1"/>
  <c r="F284" i="12" s="1"/>
  <c r="F285" i="12" s="1" a="1"/>
  <c r="F285" i="12" s="1"/>
  <c r="F286" i="12" s="1" a="1"/>
  <c r="F286" i="12" s="1"/>
  <c r="F287" i="12" s="1" a="1"/>
  <c r="F287" i="12" s="1"/>
  <c r="F288" i="12" s="1" a="1"/>
  <c r="F288" i="12" s="1"/>
  <c r="F289" i="12" s="1" a="1"/>
  <c r="F289" i="12" s="1"/>
  <c r="F290" i="12" s="1" a="1"/>
  <c r="F290" i="12" s="1"/>
  <c r="F291" i="12" s="1" a="1"/>
  <c r="F291" i="12" s="1"/>
  <c r="F292" i="12" s="1" a="1"/>
  <c r="F292" i="12" s="1"/>
  <c r="F293" i="12" s="1" a="1"/>
  <c r="F293" i="12" s="1"/>
  <c r="F294" i="12" s="1" a="1"/>
  <c r="F294" i="12" s="1"/>
  <c r="F295" i="12" s="1" a="1"/>
  <c r="F295" i="12" s="1"/>
  <c r="F296" i="12" s="1" a="1"/>
  <c r="F296" i="12" s="1"/>
  <c r="F297" i="12" s="1" a="1"/>
  <c r="F297" i="12" s="1"/>
  <c r="F298" i="12" s="1" a="1"/>
  <c r="F298" i="12" s="1"/>
  <c r="F299" i="12" s="1" a="1"/>
  <c r="F299" i="12" s="1"/>
  <c r="AK126" i="12"/>
  <c r="AK103" i="12"/>
  <c r="AK102" i="12" s="1"/>
  <c r="AK99" i="12"/>
  <c r="AK77" i="12"/>
  <c r="AK76" i="12" s="1"/>
  <c r="AK73" i="12"/>
  <c r="AK54" i="12"/>
  <c r="AK123" i="12"/>
  <c r="AK122" i="12" s="1"/>
  <c r="AK119" i="12"/>
  <c r="AK116" i="12"/>
  <c r="AK115" i="12" s="1"/>
  <c r="AK112" i="12"/>
  <c r="AK90" i="12"/>
  <c r="AK89" i="12" s="1"/>
  <c r="AK86" i="12"/>
  <c r="T29" i="12" a="1"/>
  <c r="T29" i="12"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AB150" i="10"/>
  <c r="AB147" i="10"/>
  <c r="AB149" i="10"/>
  <c r="AB148" i="10"/>
  <c r="T90" i="10"/>
  <c r="T91" i="10" s="1" a="1"/>
  <c r="T91" i="10" s="1"/>
  <c r="T92" i="10" s="1" a="1"/>
  <c r="T92" i="10" s="1"/>
  <c r="T93" i="10" s="1" a="1"/>
  <c r="T93" i="10" s="1"/>
  <c r="T94" i="10" s="1" a="1"/>
  <c r="T94" i="10" s="1"/>
  <c r="T95" i="10" s="1" a="1"/>
  <c r="T95" i="10" s="1"/>
  <c r="F44" i="9" a="1"/>
  <c r="F44" i="9" s="1"/>
  <c r="U43" i="9"/>
  <c r="AB30" i="6" a="1"/>
  <c r="AB30" i="6" s="1"/>
  <c r="W30" i="6" a="1"/>
  <c r="W30" i="6" s="1"/>
  <c r="AB21" i="34" a="1"/>
  <c r="AB21" i="34" s="1"/>
  <c r="AB21" i="33" a="1"/>
  <c r="AB21" i="33" s="1"/>
  <c r="AC21" i="32" a="1"/>
  <c r="AC21" i="32" s="1"/>
  <c r="AC21" i="31" a="1"/>
  <c r="AC21" i="31" s="1"/>
  <c r="AC21" i="30" a="1"/>
  <c r="AC21" i="30" s="1"/>
  <c r="AC21" i="29" a="1"/>
  <c r="AC21" i="29" s="1"/>
  <c r="AC21" i="28" a="1"/>
  <c r="AC21" i="28" s="1"/>
  <c r="AC21" i="27" a="1"/>
  <c r="AC21" i="27" s="1"/>
  <c r="AC21" i="26" a="1"/>
  <c r="AC21" i="26" s="1"/>
  <c r="AC21" i="25" a="1"/>
  <c r="AC21" i="25" s="1"/>
  <c r="AC21" i="24" a="1"/>
  <c r="AC21" i="24" s="1"/>
  <c r="AC21" i="21" a="1"/>
  <c r="AC21" i="21" s="1"/>
  <c r="AC21" i="19" a="1"/>
  <c r="AC21" i="19" s="1"/>
  <c r="AC21" i="18" a="1"/>
  <c r="AC21" i="18" s="1"/>
  <c r="AC21" i="23" a="1"/>
  <c r="AC21" i="23" s="1"/>
  <c r="AC21" i="22" a="1"/>
  <c r="AC21" i="22" s="1"/>
  <c r="AC21" i="20" a="1"/>
  <c r="AC21" i="20" s="1"/>
  <c r="AC21" i="17" a="1"/>
  <c r="AC21" i="17" s="1"/>
  <c r="AC21" i="16" a="1"/>
  <c r="AC21" i="16" s="1"/>
  <c r="AC21" i="14" a="1"/>
  <c r="AC21" i="14" s="1"/>
  <c r="AC21" i="13" a="1"/>
  <c r="AC21" i="13" s="1"/>
  <c r="AC21" i="15" a="1"/>
  <c r="AC21" i="15" s="1"/>
  <c r="AC21" i="11" a="1"/>
  <c r="AC21" i="11" s="1"/>
  <c r="AC21" i="10" a="1"/>
  <c r="AC21" i="10" s="1"/>
  <c r="AC21" i="9" a="1"/>
  <c r="AC21" i="9" s="1"/>
  <c r="AC21" i="8" a="1"/>
  <c r="AC21" i="8" s="1"/>
  <c r="AC21" i="6" a="1"/>
  <c r="AC21" i="6" s="1"/>
  <c r="AC21" i="5" a="1"/>
  <c r="AC21" i="5" s="1"/>
  <c r="AE21" i="12" a="1"/>
  <c r="AE21" i="12" s="1"/>
  <c r="AC21" i="7" a="1"/>
  <c r="AC21" i="7" s="1"/>
  <c r="S43" i="12" a="1"/>
  <c r="S43" i="12" s="1"/>
  <c r="U42" i="12"/>
  <c r="U50" i="6"/>
  <c r="F51" i="6" a="1"/>
  <c r="F51" i="6" s="1"/>
  <c r="U51" i="6" s="1"/>
  <c r="U33" i="6"/>
  <c r="F34" i="6" a="1"/>
  <c r="F34" i="6" s="1"/>
  <c r="AJ30" i="28" l="1"/>
  <c r="AH243" i="12"/>
  <c r="AH289" i="12"/>
  <c r="AH282" i="12"/>
  <c r="AM182" i="12"/>
  <c r="AM181" i="12"/>
  <c r="AM164" i="12"/>
  <c r="AM165" i="12" s="1"/>
  <c r="AP183" i="12"/>
  <c r="AP275" i="12"/>
  <c r="AS182" i="12"/>
  <c r="AS181" i="12"/>
  <c r="AS164" i="12"/>
  <c r="AS165" i="12" s="1"/>
  <c r="AV183" i="12"/>
  <c r="AY182" i="12"/>
  <c r="AY181" i="12"/>
  <c r="AY164" i="12"/>
  <c r="AY165" i="12" s="1"/>
  <c r="BB183" i="12"/>
  <c r="BB275" i="12"/>
  <c r="BE182" i="12"/>
  <c r="BE181" i="12"/>
  <c r="BE164" i="12"/>
  <c r="BE165" i="12" s="1"/>
  <c r="BH183" i="12"/>
  <c r="BK182" i="12"/>
  <c r="BK181" i="12"/>
  <c r="BK164" i="12"/>
  <c r="BK165" i="12" s="1"/>
  <c r="BN183" i="12"/>
  <c r="BN275" i="12"/>
  <c r="BQ182" i="12"/>
  <c r="BQ181" i="12"/>
  <c r="BQ164" i="12"/>
  <c r="BQ165" i="12" s="1"/>
  <c r="BT183" i="12"/>
  <c r="BW182" i="12"/>
  <c r="BW181" i="12"/>
  <c r="BW164" i="12"/>
  <c r="BW165" i="12" s="1"/>
  <c r="BZ183" i="12"/>
  <c r="BZ275" i="12"/>
  <c r="CC182" i="12"/>
  <c r="CC181" i="12"/>
  <c r="CC164" i="12"/>
  <c r="CC165" i="12" s="1"/>
  <c r="CF183" i="12"/>
  <c r="CI182" i="12"/>
  <c r="CI181" i="12"/>
  <c r="CI164" i="12"/>
  <c r="CI165" i="12" s="1"/>
  <c r="CL183" i="12"/>
  <c r="CL275" i="12"/>
  <c r="CO182" i="12"/>
  <c r="CO181" i="12"/>
  <c r="CO164" i="12"/>
  <c r="CO165" i="12" s="1"/>
  <c r="CR183" i="12"/>
  <c r="AF193" i="12" a="1"/>
  <c r="AF193" i="12" s="1"/>
  <c r="CZ188" i="12" a="1"/>
  <c r="CZ188" i="12" s="1"/>
  <c r="AJ421" i="12"/>
  <c r="AJ427" i="12"/>
  <c r="AV325" i="12"/>
  <c r="AV326" i="12" s="1"/>
  <c r="AV339" i="12"/>
  <c r="BH325" i="12"/>
  <c r="BH326" i="12" s="1"/>
  <c r="BH339" i="12"/>
  <c r="BT325" i="12"/>
  <c r="BT326" i="12" s="1"/>
  <c r="BT339" i="12"/>
  <c r="BZ340" i="12"/>
  <c r="BZ325" i="12"/>
  <c r="BZ326" i="12" s="1"/>
  <c r="BZ339" i="12"/>
  <c r="BZ415" i="12"/>
  <c r="CR340" i="12"/>
  <c r="CR415" i="12"/>
  <c r="F38" i="9" a="1"/>
  <c r="F38" i="9" s="1"/>
  <c r="U37" i="9"/>
  <c r="AJ132" i="12"/>
  <c r="AJ127" i="12"/>
  <c r="AM64" i="12"/>
  <c r="AM53" i="12"/>
  <c r="AM54" i="12" s="1"/>
  <c r="AP64" i="12"/>
  <c r="AP53" i="12"/>
  <c r="AP54" i="12" s="1"/>
  <c r="AP122" i="12"/>
  <c r="AS64" i="12"/>
  <c r="AS53" i="12"/>
  <c r="AS54" i="12" s="1"/>
  <c r="AV64" i="12"/>
  <c r="AV53" i="12"/>
  <c r="AV54" i="12" s="1"/>
  <c r="AV122" i="12"/>
  <c r="AY64" i="12"/>
  <c r="AY53" i="12"/>
  <c r="AY54" i="12" s="1"/>
  <c r="BB64" i="12"/>
  <c r="BB53" i="12"/>
  <c r="BB54" i="12" s="1"/>
  <c r="BB122" i="12"/>
  <c r="BE64" i="12"/>
  <c r="BE53" i="12"/>
  <c r="BE54" i="12" s="1"/>
  <c r="BH64" i="12"/>
  <c r="BH53" i="12"/>
  <c r="BH54" i="12" s="1"/>
  <c r="BH122" i="12"/>
  <c r="BK64" i="12"/>
  <c r="BK53" i="12"/>
  <c r="BK54" i="12" s="1"/>
  <c r="BN64" i="12"/>
  <c r="BN53" i="12"/>
  <c r="BN54" i="12" s="1"/>
  <c r="BN122" i="12"/>
  <c r="BQ64" i="12"/>
  <c r="BQ53" i="12"/>
  <c r="BQ54" i="12" s="1"/>
  <c r="BT64" i="12"/>
  <c r="BT53" i="12"/>
  <c r="BT54" i="12" s="1"/>
  <c r="BT122" i="12"/>
  <c r="BW64" i="12"/>
  <c r="BW53" i="12"/>
  <c r="BW54" i="12" s="1"/>
  <c r="BZ64" i="12"/>
  <c r="BZ53" i="12"/>
  <c r="BZ54" i="12" s="1"/>
  <c r="BZ122" i="12"/>
  <c r="CC64" i="12"/>
  <c r="CC53" i="12"/>
  <c r="CC54" i="12" s="1"/>
  <c r="CF64" i="12"/>
  <c r="CF53" i="12"/>
  <c r="CF54" i="12" s="1"/>
  <c r="CF122" i="12"/>
  <c r="CI64" i="12"/>
  <c r="CI53" i="12"/>
  <c r="CI54" i="12" s="1"/>
  <c r="CL64" i="12"/>
  <c r="CL53" i="12"/>
  <c r="CL54" i="12" s="1"/>
  <c r="CL122" i="12"/>
  <c r="CO64" i="12"/>
  <c r="CO53" i="12"/>
  <c r="CO54" i="12" s="1"/>
  <c r="CR64" i="12"/>
  <c r="CR53" i="12"/>
  <c r="CR54" i="12" s="1"/>
  <c r="CR122" i="12"/>
  <c r="AK289" i="12"/>
  <c r="AK282" i="12"/>
  <c r="AK275" i="12"/>
  <c r="AJ170" i="12"/>
  <c r="AH355" i="12"/>
  <c r="AH389" i="12"/>
  <c r="CZ348" i="12" a="1"/>
  <c r="CZ348" i="12" s="1"/>
  <c r="AF353" i="12" a="1"/>
  <c r="AF353" i="12" s="1"/>
  <c r="F51" i="14" a="1"/>
  <c r="F51" i="14" s="1"/>
  <c r="T50" i="14"/>
  <c r="F47" i="14" a="1"/>
  <c r="F47" i="14" s="1"/>
  <c r="F46" i="14" a="1"/>
  <c r="F46" i="14" s="1"/>
  <c r="A45" i="14"/>
  <c r="AH131" i="12"/>
  <c r="AM328" i="12"/>
  <c r="AM327" i="12"/>
  <c r="AY417" i="12"/>
  <c r="AY411" i="12"/>
  <c r="AY416" i="12"/>
  <c r="BK328" i="12"/>
  <c r="BK327" i="12"/>
  <c r="BW415" i="12"/>
  <c r="CO339" i="12"/>
  <c r="CO325" i="12"/>
  <c r="CO326" i="12" s="1"/>
  <c r="T30" i="14"/>
  <c r="F32" i="14" a="1"/>
  <c r="F32" i="14" s="1"/>
  <c r="A32" i="14" s="1"/>
  <c r="A30" i="14"/>
  <c r="F34" i="14" a="1"/>
  <c r="F34" i="14" s="1"/>
  <c r="T33" i="14"/>
  <c r="F57" i="17" a="1"/>
  <c r="F57" i="17" s="1"/>
  <c r="T56" i="17"/>
  <c r="T86" i="18"/>
  <c r="T87" i="18" s="1" a="1"/>
  <c r="T87" i="18" s="1"/>
  <c r="T88" i="18" s="1" a="1"/>
  <c r="T88" i="18" s="1"/>
  <c r="F87" i="18" a="1"/>
  <c r="F87" i="18" s="1"/>
  <c r="F88" i="18" s="1" a="1"/>
  <c r="F88" i="18" s="1"/>
  <c r="F89" i="18" s="1" a="1"/>
  <c r="F89" i="18" s="1"/>
  <c r="F34" i="17" a="1"/>
  <c r="F34" i="17" s="1"/>
  <c r="G33" i="17"/>
  <c r="T33" i="17"/>
  <c r="AK65" i="21"/>
  <c r="AI65" i="21"/>
  <c r="AL65" i="21" s="1"/>
  <c r="AG65" i="21"/>
  <c r="AE65" i="21"/>
  <c r="F66" i="21" a="1"/>
  <c r="F66" i="21" s="1"/>
  <c r="AJ65" i="21"/>
  <c r="AF65" i="21"/>
  <c r="F50" i="23" a="1"/>
  <c r="F50" i="23" s="1"/>
  <c r="F40" i="24" a="1"/>
  <c r="F40" i="24" s="1"/>
  <c r="AI39" i="24"/>
  <c r="AG39" i="24"/>
  <c r="AE39" i="24"/>
  <c r="F142" i="27" a="1"/>
  <c r="F142" i="27" s="1"/>
  <c r="F134" i="25" a="1"/>
  <c r="F134" i="25" s="1"/>
  <c r="F135" i="25" s="1" a="1"/>
  <c r="F135" i="25" s="1"/>
  <c r="F136" i="25" s="1" a="1"/>
  <c r="F136" i="25" s="1"/>
  <c r="F137" i="25" s="1" a="1"/>
  <c r="F137" i="25" s="1"/>
  <c r="F138" i="25" s="1" a="1"/>
  <c r="F138" i="25" s="1"/>
  <c r="AE30" i="28"/>
  <c r="AG30" i="28"/>
  <c r="AF30" i="28"/>
  <c r="F33" i="28" a="1"/>
  <c r="F33" i="28" s="1"/>
  <c r="N29" i="27" a="1"/>
  <c r="N29" i="27" s="1"/>
  <c r="BX28" i="27" a="1"/>
  <c r="BX28" i="27" s="1"/>
  <c r="F57" i="31" a="1"/>
  <c r="F57" i="31" s="1"/>
  <c r="T56" i="31"/>
  <c r="AD31" i="33" a="1"/>
  <c r="AD31" i="33" s="1"/>
  <c r="F32" i="33" a="1"/>
  <c r="F32" i="33" s="1"/>
  <c r="AG97" i="28"/>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141" i="34" a="1"/>
  <c r="F141" i="34" s="1"/>
  <c r="AK140" i="34"/>
  <c r="F32" i="8" a="1"/>
  <c r="F32" i="8" s="1"/>
  <c r="U31" i="8"/>
  <c r="F32" i="9" a="1"/>
  <c r="F32" i="9" s="1"/>
  <c r="U31" i="9"/>
  <c r="W67" i="7" a="1"/>
  <c r="W67" i="7" s="1"/>
  <c r="AB67" i="7" a="1"/>
  <c r="AB67" i="7" s="1"/>
  <c r="T156" i="12" a="1"/>
  <c r="T156" i="12" s="1"/>
  <c r="L157" i="12" a="1"/>
  <c r="L157" i="12" s="1"/>
  <c r="BW404" i="12"/>
  <c r="BW387" i="12"/>
  <c r="BW370" i="12"/>
  <c r="BW353" i="12"/>
  <c r="CF325" i="12"/>
  <c r="CF326" i="12" s="1"/>
  <c r="CF339" i="12"/>
  <c r="CL340" i="12"/>
  <c r="CL325" i="12"/>
  <c r="CL326" i="12" s="1"/>
  <c r="CL339" i="12"/>
  <c r="CL415" i="12"/>
  <c r="F58" i="8" a="1"/>
  <c r="F58" i="8" s="1"/>
  <c r="U57" i="8"/>
  <c r="F86" i="8" a="1"/>
  <c r="F86" i="8" s="1"/>
  <c r="U85" i="8"/>
  <c r="S155" i="12" a="1"/>
  <c r="S155" i="12" s="1"/>
  <c r="U154" i="12"/>
  <c r="X348" i="12"/>
  <c r="CY344" i="12" a="1"/>
  <c r="CY344" i="12" s="1"/>
  <c r="AE348" i="12" a="1"/>
  <c r="AE348" i="12" s="1"/>
  <c r="T61" i="14" a="1"/>
  <c r="T61" i="14" s="1"/>
  <c r="T60" i="14" a="1"/>
  <c r="T60" i="14" s="1"/>
  <c r="T302" i="12" a="1"/>
  <c r="T302" i="12" s="1"/>
  <c r="U301" i="12"/>
  <c r="AS417" i="12"/>
  <c r="AS411" i="12"/>
  <c r="AS416" i="12"/>
  <c r="BE328" i="12"/>
  <c r="BE327" i="12"/>
  <c r="BQ417" i="12"/>
  <c r="BQ411" i="12"/>
  <c r="BQ416" i="12"/>
  <c r="CO415" i="12"/>
  <c r="AK432" i="12"/>
  <c r="AK398" i="12"/>
  <c r="AK381" i="12"/>
  <c r="AK364" i="12"/>
  <c r="AK347" i="12"/>
  <c r="CC340" i="12"/>
  <c r="T36" i="13" a="1"/>
  <c r="T36" i="13" s="1"/>
  <c r="T35" i="13" a="1"/>
  <c r="T35" i="13" s="1"/>
  <c r="A36" i="13"/>
  <c r="F37" i="13" a="1"/>
  <c r="F37" i="13" s="1"/>
  <c r="T51" i="17" a="1"/>
  <c r="T51" i="17" s="1"/>
  <c r="T50" i="17" a="1"/>
  <c r="T50" i="17" s="1"/>
  <c r="F53" i="17" a="1"/>
  <c r="F53" i="17" s="1"/>
  <c r="F52" i="17" a="1"/>
  <c r="F52" i="17" s="1"/>
  <c r="A51" i="17"/>
  <c r="T76" i="17" a="1"/>
  <c r="T76" i="17" s="1"/>
  <c r="T75" i="17" a="1"/>
  <c r="T75" i="17" s="1"/>
  <c r="F78" i="17" a="1"/>
  <c r="F78" i="17" s="1"/>
  <c r="F77" i="17" a="1"/>
  <c r="F77" i="17" s="1"/>
  <c r="A76" i="17"/>
  <c r="T30" i="18"/>
  <c r="T31" i="18" s="1" a="1"/>
  <c r="T31" i="18" s="1"/>
  <c r="T32" i="18" s="1" a="1"/>
  <c r="T32" i="18" s="1"/>
  <c r="F31" i="18" a="1"/>
  <c r="F31" i="18" s="1"/>
  <c r="F55" i="18" a="1"/>
  <c r="F55" i="18" s="1"/>
  <c r="T54" i="18"/>
  <c r="F30" i="22" a="1"/>
  <c r="F30" i="22" s="1"/>
  <c r="F33" i="21" a="1"/>
  <c r="F33" i="21" s="1"/>
  <c r="F70" i="23" a="1"/>
  <c r="F70" i="23" s="1"/>
  <c r="BB29" i="24"/>
  <c r="AZ29" i="24"/>
  <c r="AX29" i="24"/>
  <c r="AV29" i="24"/>
  <c r="AT29" i="24"/>
  <c r="AR29" i="24"/>
  <c r="AP29" i="24"/>
  <c r="AN29" i="24"/>
  <c r="AL29" i="24"/>
  <c r="AJ29" i="24"/>
  <c r="AF29" i="24"/>
  <c r="F30" i="24" a="1"/>
  <c r="F30" i="24" s="1"/>
  <c r="BC29" i="24"/>
  <c r="BA29" i="24"/>
  <c r="AY29" i="24"/>
  <c r="AW29" i="24"/>
  <c r="AU29" i="24"/>
  <c r="AS29" i="24"/>
  <c r="AQ29" i="24"/>
  <c r="AO29" i="24"/>
  <c r="AM29" i="24"/>
  <c r="AK29" i="24"/>
  <c r="AI29" i="24"/>
  <c r="AG29" i="24"/>
  <c r="AE29" i="24"/>
  <c r="AF49" i="24"/>
  <c r="F50" i="24" a="1"/>
  <c r="F50" i="24" s="1"/>
  <c r="AG49" i="24"/>
  <c r="AE49" i="24"/>
  <c r="F40" i="25" a="1"/>
  <c r="F40" i="25" s="1"/>
  <c r="F41" i="25" s="1" a="1"/>
  <c r="F41" i="25" s="1"/>
  <c r="F42" i="25" s="1" a="1"/>
  <c r="F42" i="25" s="1"/>
  <c r="F43" i="25" s="1" a="1"/>
  <c r="F43" i="25" s="1"/>
  <c r="F44" i="25" s="1" a="1"/>
  <c r="F44" i="25" s="1"/>
  <c r="F87" i="25" a="1"/>
  <c r="F87" i="25" s="1"/>
  <c r="F88" i="25" s="1" a="1"/>
  <c r="F88" i="25" s="1"/>
  <c r="F89" i="25" s="1" a="1"/>
  <c r="F89" i="25" s="1"/>
  <c r="F90" i="25" s="1" a="1"/>
  <c r="F90" i="25" s="1"/>
  <c r="F91" i="25" s="1" a="1"/>
  <c r="F91" i="25" s="1"/>
  <c r="N85" i="27" a="1"/>
  <c r="N85" i="27" s="1"/>
  <c r="BX84" i="27" a="1"/>
  <c r="BX84" i="27" s="1"/>
  <c r="M30" i="28" a="1"/>
  <c r="M30" i="28" s="1"/>
  <c r="AS29" i="28" a="1"/>
  <c r="AS29" i="28" s="1"/>
  <c r="F30" i="30" a="1"/>
  <c r="F30" i="30" s="1"/>
  <c r="T29" i="30"/>
  <c r="M30" i="31" a="1"/>
  <c r="M30" i="31" s="1"/>
  <c r="BI29" i="31" a="1"/>
  <c r="BI29" i="31" s="1"/>
  <c r="M57" i="31" a="1"/>
  <c r="M57" i="31" s="1"/>
  <c r="BI56" i="31" a="1"/>
  <c r="BI56" i="31" s="1"/>
  <c r="AG164" i="28"/>
  <c r="AS275" i="12"/>
  <c r="BE275" i="12"/>
  <c r="BQ275" i="12"/>
  <c r="CC275" i="12"/>
  <c r="CO275" i="12"/>
  <c r="U43" i="12"/>
  <c r="S44" i="12" a="1"/>
  <c r="S44" i="12" s="1"/>
  <c r="AB47" i="7" a="1"/>
  <c r="AB47" i="7" s="1"/>
  <c r="W47" i="7" a="1"/>
  <c r="W47" i="7" s="1"/>
  <c r="F45" i="9" a="1"/>
  <c r="F45" i="9" s="1"/>
  <c r="U44" i="9"/>
  <c r="T45" i="12" a="1"/>
  <c r="T45" i="12" s="1"/>
  <c r="L46" i="12" a="1"/>
  <c r="L46" i="12" s="1"/>
  <c r="U34" i="6"/>
  <c r="F35" i="6" a="1"/>
  <c r="F35" i="6" s="1"/>
  <c r="T30" i="12" a="1"/>
  <c r="T30" i="12" s="1"/>
  <c r="U29" i="12"/>
  <c r="AK132" i="12"/>
  <c r="AK127" i="12"/>
  <c r="AH201" i="12"/>
  <c r="AH275" i="12"/>
  <c r="AM183" i="12"/>
  <c r="AP181" i="12"/>
  <c r="AP164" i="12"/>
  <c r="AP165" i="12" s="1"/>
  <c r="AP182" i="12"/>
  <c r="AS183" i="12"/>
  <c r="AV181" i="12"/>
  <c r="AV164" i="12"/>
  <c r="AV165" i="12" s="1"/>
  <c r="AV182" i="12"/>
  <c r="AV275" i="12"/>
  <c r="AY183" i="12"/>
  <c r="BB181" i="12"/>
  <c r="BB164" i="12"/>
  <c r="BB165" i="12" s="1"/>
  <c r="BB182" i="12"/>
  <c r="BE183" i="12"/>
  <c r="BH181" i="12"/>
  <c r="BH164" i="12"/>
  <c r="BH165" i="12" s="1"/>
  <c r="BH182" i="12"/>
  <c r="BH275" i="12"/>
  <c r="BK183" i="12"/>
  <c r="BN181" i="12"/>
  <c r="BN164" i="12"/>
  <c r="BN165" i="12" s="1"/>
  <c r="BN182" i="12"/>
  <c r="BQ183" i="12"/>
  <c r="BT181" i="12"/>
  <c r="BT164" i="12"/>
  <c r="BT165" i="12" s="1"/>
  <c r="BT182" i="12"/>
  <c r="BT275" i="12"/>
  <c r="BW183" i="12"/>
  <c r="BZ181" i="12"/>
  <c r="BZ164" i="12"/>
  <c r="BZ165" i="12" s="1"/>
  <c r="BZ182" i="12"/>
  <c r="CC183" i="12"/>
  <c r="CF181" i="12"/>
  <c r="CF164" i="12"/>
  <c r="CF165" i="12" s="1"/>
  <c r="CF182" i="12"/>
  <c r="CF275" i="12"/>
  <c r="CI183" i="12"/>
  <c r="CL181" i="12"/>
  <c r="CL164" i="12"/>
  <c r="CL165" i="12" s="1"/>
  <c r="CL182" i="12"/>
  <c r="CO183" i="12"/>
  <c r="CR181" i="12"/>
  <c r="CR164" i="12"/>
  <c r="CR165" i="12" s="1"/>
  <c r="CR182" i="12"/>
  <c r="CR275" i="12"/>
  <c r="AV340" i="12"/>
  <c r="AV415" i="12"/>
  <c r="BH340" i="12"/>
  <c r="BH415" i="12"/>
  <c r="BT340" i="12"/>
  <c r="BT415" i="12"/>
  <c r="BW403" i="12"/>
  <c r="BW386" i="12"/>
  <c r="BW369" i="12"/>
  <c r="BW352" i="12"/>
  <c r="CI404" i="12"/>
  <c r="CI387" i="12"/>
  <c r="CI370" i="12"/>
  <c r="CI353" i="12"/>
  <c r="CR325" i="12"/>
  <c r="CR326" i="12" s="1"/>
  <c r="CR339" i="12"/>
  <c r="A1" i="11"/>
  <c r="B31" i="2" s="1" a="1"/>
  <c r="B31" i="2" s="1"/>
  <c r="H32" i="2" s="1" a="1"/>
  <c r="H32" i="2" s="1"/>
  <c r="H33" i="2" s="1"/>
  <c r="H34" i="2" s="1"/>
  <c r="H35" i="2" s="1"/>
  <c r="H36" i="2" s="1"/>
  <c r="H37" i="2" s="1"/>
  <c r="H38" i="2" s="1"/>
  <c r="H39" i="2" s="1"/>
  <c r="H40" i="2" s="1"/>
  <c r="H41" i="2" s="1"/>
  <c r="H42" i="2" s="1"/>
  <c r="H43" i="2" s="1"/>
  <c r="H44" i="2" s="1"/>
  <c r="H45" i="2" s="1"/>
  <c r="H46" i="2" s="1"/>
  <c r="H47" i="2" s="1" a="1"/>
  <c r="H47" i="2" s="1"/>
  <c r="AH109" i="12"/>
  <c r="AH83" i="12"/>
  <c r="AH96" i="12"/>
  <c r="AH70" i="12"/>
  <c r="AH136" i="12"/>
  <c r="AI282" i="12"/>
  <c r="AF39" i="24" s="1"/>
  <c r="AI289" i="12"/>
  <c r="AK201" i="12"/>
  <c r="AK264" i="12"/>
  <c r="AE187" i="12" a="1"/>
  <c r="AE187" i="12" s="1"/>
  <c r="X187" i="12"/>
  <c r="CY182" i="12" a="1"/>
  <c r="CY182" i="12" s="1"/>
  <c r="AG182" i="12"/>
  <c r="AH372" i="12"/>
  <c r="AH406" i="12"/>
  <c r="AH421" i="12"/>
  <c r="AH427" i="12"/>
  <c r="T45" i="14" a="1"/>
  <c r="T45" i="14" s="1"/>
  <c r="T44" i="14" a="1"/>
  <c r="T44" i="14" s="1"/>
  <c r="S315" i="12" a="1"/>
  <c r="S315" i="12" s="1"/>
  <c r="U314" i="12"/>
  <c r="AM324" i="12"/>
  <c r="AY328" i="12"/>
  <c r="AY327" i="12"/>
  <c r="BK324" i="12"/>
  <c r="CI415" i="12"/>
  <c r="AK372" i="12"/>
  <c r="AK406" i="12"/>
  <c r="AK427" i="12"/>
  <c r="AK421" i="12"/>
  <c r="AI49" i="24" s="1"/>
  <c r="CO340" i="12"/>
  <c r="T78" i="13"/>
  <c r="F79" i="13" a="1"/>
  <c r="F79" i="13" s="1"/>
  <c r="F80" i="13" s="1" a="1"/>
  <c r="F80" i="13" s="1"/>
  <c r="A78" i="13"/>
  <c r="F32" i="17" a="1"/>
  <c r="F32" i="17" s="1"/>
  <c r="A32" i="17" s="1"/>
  <c r="A30" i="17"/>
  <c r="T30" i="17"/>
  <c r="F82" i="17" a="1"/>
  <c r="F82" i="17" s="1"/>
  <c r="T81" i="17"/>
  <c r="N141" i="27" a="1"/>
  <c r="N141" i="27" s="1"/>
  <c r="BX140" i="27" a="1"/>
  <c r="BX140" i="27" s="1"/>
  <c r="F86" i="27" a="1"/>
  <c r="F86" i="27" s="1"/>
  <c r="AI30" i="28"/>
  <c r="AK30" i="28"/>
  <c r="F30" i="27" a="1"/>
  <c r="F30" i="27" s="1"/>
  <c r="M164" i="28" a="1"/>
  <c r="M164" i="28" s="1"/>
  <c r="AS163" i="28" a="1"/>
  <c r="AS163" i="28" s="1"/>
  <c r="AE97" i="28"/>
  <c r="AI97" i="28"/>
  <c r="AF97" i="28"/>
  <c r="F100" i="28" a="1"/>
  <c r="F100" i="28" s="1"/>
  <c r="F54" i="30" a="1"/>
  <c r="F54" i="30" s="1"/>
  <c r="T53" i="30"/>
  <c r="M84" i="31" a="1"/>
  <c r="M84" i="31" s="1"/>
  <c r="BI83" i="31" a="1"/>
  <c r="BI83" i="31" s="1"/>
  <c r="AD123" i="33" a="1"/>
  <c r="AD123" i="33" s="1"/>
  <c r="F124" i="33" a="1"/>
  <c r="F124" i="33" s="1"/>
  <c r="A1" i="10"/>
  <c r="B30" i="2" s="1" a="1"/>
  <c r="B30" i="2" s="1"/>
  <c r="H31" i="2" s="1"/>
  <c r="AK96" i="12"/>
  <c r="AK70" i="12"/>
  <c r="AK136" i="12"/>
  <c r="AK109" i="12"/>
  <c r="AK83" i="12"/>
  <c r="T141" i="12" a="1"/>
  <c r="T141" i="12" s="1"/>
  <c r="U140" i="12"/>
  <c r="AH254" i="12"/>
  <c r="AH212" i="12"/>
  <c r="AH295" i="12"/>
  <c r="AH233" i="12"/>
  <c r="AH191" i="12"/>
  <c r="AP340" i="12"/>
  <c r="AP325" i="12"/>
  <c r="AP326" i="12" s="1"/>
  <c r="AP339" i="12"/>
  <c r="AP415" i="12"/>
  <c r="BB340" i="12"/>
  <c r="BB325" i="12"/>
  <c r="BB326" i="12" s="1"/>
  <c r="BB339" i="12"/>
  <c r="BB415" i="12"/>
  <c r="BN340" i="12"/>
  <c r="BN325" i="12"/>
  <c r="BN326" i="12" s="1"/>
  <c r="BN339" i="12"/>
  <c r="BN415" i="12"/>
  <c r="CF340" i="12"/>
  <c r="CF415" i="12"/>
  <c r="CI403" i="12"/>
  <c r="CI386" i="12"/>
  <c r="CI369" i="12"/>
  <c r="CI352" i="12"/>
  <c r="AH132" i="12"/>
  <c r="AH127" i="12"/>
  <c r="AK254" i="12"/>
  <c r="AK233" i="12"/>
  <c r="AK191" i="12"/>
  <c r="AK212" i="12"/>
  <c r="AK295" i="12"/>
  <c r="AE188" i="12" a="1"/>
  <c r="AE188" i="12" s="1"/>
  <c r="X188" i="12"/>
  <c r="CY183" i="12" a="1"/>
  <c r="CY183" i="12" s="1"/>
  <c r="AG183" i="12"/>
  <c r="CZ187" i="12" a="1"/>
  <c r="CZ187" i="12" s="1"/>
  <c r="AF192" i="12" a="1"/>
  <c r="AF192" i="12" s="1"/>
  <c r="AH398" i="12"/>
  <c r="AH381" i="12"/>
  <c r="AH364" i="12"/>
  <c r="AH347" i="12"/>
  <c r="AH432" i="12"/>
  <c r="T121" i="13" a="1"/>
  <c r="T121" i="13" s="1"/>
  <c r="T120" i="13" a="1"/>
  <c r="T120" i="13" s="1"/>
  <c r="F122" i="13" a="1"/>
  <c r="F122" i="13" s="1"/>
  <c r="A121" i="13"/>
  <c r="F67" i="14" a="1"/>
  <c r="F67" i="14" s="1"/>
  <c r="T66" i="14"/>
  <c r="F63" i="14" a="1"/>
  <c r="F63" i="14" s="1"/>
  <c r="F62" i="14" a="1"/>
  <c r="F62" i="14" s="1"/>
  <c r="A61" i="14"/>
  <c r="T317" i="12" a="1"/>
  <c r="T317" i="12" s="1"/>
  <c r="L318" i="12" a="1"/>
  <c r="L318" i="12" s="1"/>
  <c r="AS328" i="12"/>
  <c r="AS327" i="12"/>
  <c r="BE324" i="12"/>
  <c r="BQ328" i="12"/>
  <c r="BQ327" i="12"/>
  <c r="CC417" i="12"/>
  <c r="CC411" i="12"/>
  <c r="CC416" i="12"/>
  <c r="CC339" i="12"/>
  <c r="CC325" i="12"/>
  <c r="CC326" i="12" s="1"/>
  <c r="F49" i="22" a="1"/>
  <c r="F49" i="22" s="1"/>
  <c r="F30" i="23" a="1"/>
  <c r="F30" i="23" s="1"/>
  <c r="AK91" i="21"/>
  <c r="AI91" i="21"/>
  <c r="AL91" i="21" s="1"/>
  <c r="AG91" i="21"/>
  <c r="AE91" i="21"/>
  <c r="F92" i="21" a="1"/>
  <c r="F92" i="21" s="1"/>
  <c r="AJ91" i="21"/>
  <c r="AF91" i="21"/>
  <c r="F40" i="22" a="1"/>
  <c r="F40" i="22" s="1"/>
  <c r="M97" i="28" a="1"/>
  <c r="M97" i="28" s="1"/>
  <c r="AS96" i="28" a="1"/>
  <c r="AS96" i="28" s="1"/>
  <c r="AE164" i="28"/>
  <c r="AI164" i="28"/>
  <c r="AF164" i="28"/>
  <c r="F167" i="28" a="1"/>
  <c r="F167" i="28" s="1"/>
  <c r="F78" i="30" a="1"/>
  <c r="F78" i="30" s="1"/>
  <c r="T77" i="30"/>
  <c r="F84" i="31" a="1"/>
  <c r="F84" i="31" s="1"/>
  <c r="T83" i="31"/>
  <c r="F30" i="31" a="1"/>
  <c r="F30" i="31" s="1"/>
  <c r="T29" i="31"/>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F39" i="34" a="1"/>
  <c r="F39" i="34" s="1"/>
  <c r="AK38" i="34"/>
  <c r="AM122" i="12"/>
  <c r="AY122" i="12"/>
  <c r="BK122" i="12"/>
  <c r="BW122" i="12"/>
  <c r="CI122" i="12"/>
  <c r="AM275" i="12"/>
  <c r="AY275" i="12"/>
  <c r="BK275" i="12"/>
  <c r="BW275" i="12"/>
  <c r="CI275" i="12"/>
  <c r="AS122" i="12"/>
  <c r="BE122" i="12"/>
  <c r="BQ122" i="12"/>
  <c r="CC122" i="12"/>
  <c r="CO122" i="12"/>
  <c r="AI56" i="24" l="1"/>
  <c r="F31" i="31" a="1"/>
  <c r="F31" i="31" s="1"/>
  <c r="T30" i="31"/>
  <c r="T78" i="30"/>
  <c r="F79" i="30" a="1"/>
  <c r="F79" i="30" s="1"/>
  <c r="M98" i="28" a="1"/>
  <c r="M98" i="28" s="1"/>
  <c r="AS97" i="28" a="1"/>
  <c r="AS97" i="28" s="1"/>
  <c r="BB40" i="22"/>
  <c r="AZ40" i="22"/>
  <c r="AX40" i="22"/>
  <c r="AV40" i="22"/>
  <c r="AT40" i="22"/>
  <c r="AR40" i="22"/>
  <c r="AP40" i="22"/>
  <c r="AN40" i="22"/>
  <c r="AL40" i="22"/>
  <c r="AJ40" i="22"/>
  <c r="F41" i="22" a="1"/>
  <c r="F41" i="22" s="1"/>
  <c r="BC40" i="22"/>
  <c r="BA40" i="22"/>
  <c r="AY40" i="22"/>
  <c r="AW40" i="22"/>
  <c r="AU40" i="22"/>
  <c r="AS40" i="22"/>
  <c r="AQ40" i="22"/>
  <c r="AO40" i="22"/>
  <c r="AM40" i="22"/>
  <c r="AK40" i="22"/>
  <c r="AI40" i="22"/>
  <c r="AK92" i="21"/>
  <c r="AI92" i="21"/>
  <c r="AL92" i="21" s="1"/>
  <c r="AG92" i="21"/>
  <c r="AE92" i="21"/>
  <c r="F93" i="21" a="1"/>
  <c r="F93" i="21" s="1"/>
  <c r="F94" i="21" s="1" a="1"/>
  <c r="F94" i="21" s="1"/>
  <c r="F95" i="21" s="1" a="1"/>
  <c r="F95" i="21" s="1"/>
  <c r="AJ92" i="21"/>
  <c r="AF92" i="21"/>
  <c r="BQ340" i="12"/>
  <c r="AS340" i="12"/>
  <c r="L319" i="12" a="1"/>
  <c r="L319" i="12" s="1"/>
  <c r="T318" i="12" a="1"/>
  <c r="T318" i="12" s="1"/>
  <c r="F68" i="14" a="1"/>
  <c r="F68" i="14" s="1"/>
  <c r="T67" i="14"/>
  <c r="F123" i="13" a="1"/>
  <c r="F123" i="13" s="1"/>
  <c r="F124" i="13" s="1" a="1"/>
  <c r="F124" i="13" s="1"/>
  <c r="A122" i="13"/>
  <c r="T122" i="13"/>
  <c r="CZ192" i="12" a="1"/>
  <c r="CZ192" i="12" s="1"/>
  <c r="AF198" i="12" a="1"/>
  <c r="AF198" i="12" s="1"/>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F168" i="28" a="1"/>
  <c r="F168" i="28" s="1"/>
  <c r="F31" i="23" a="1"/>
  <c r="F31" i="23" s="1"/>
  <c r="BC30" i="23"/>
  <c r="BA30" i="23"/>
  <c r="BL30" i="23" s="1"/>
  <c r="AY30" i="23"/>
  <c r="BJ30" i="23" s="1"/>
  <c r="AW30" i="23"/>
  <c r="BH30" i="23" s="1"/>
  <c r="AU30" i="23"/>
  <c r="BF30" i="23" s="1"/>
  <c r="AS30" i="23"/>
  <c r="AQ30" i="23"/>
  <c r="AO30" i="23"/>
  <c r="AM30" i="23"/>
  <c r="AK30" i="23"/>
  <c r="AI30" i="23"/>
  <c r="BD30" i="23" s="1"/>
  <c r="AG30" i="23"/>
  <c r="AE30" i="23"/>
  <c r="BB30" i="23"/>
  <c r="BM30" i="23" s="1"/>
  <c r="AZ30" i="23"/>
  <c r="BK30" i="23" s="1"/>
  <c r="AX30" i="23"/>
  <c r="BI30" i="23" s="1"/>
  <c r="AV30" i="23"/>
  <c r="BG30" i="23" s="1"/>
  <c r="AT30" i="23"/>
  <c r="BE30" i="23" s="1"/>
  <c r="AR30" i="23"/>
  <c r="AP30" i="23"/>
  <c r="AN30" i="23"/>
  <c r="AL30" i="23"/>
  <c r="AJ30" i="23"/>
  <c r="AF30" i="23"/>
  <c r="BB49" i="22"/>
  <c r="AZ49" i="22"/>
  <c r="AX49" i="22"/>
  <c r="AV49" i="22"/>
  <c r="AT49" i="22"/>
  <c r="AR49" i="22"/>
  <c r="AP49" i="22"/>
  <c r="AN49" i="22"/>
  <c r="AL49" i="22"/>
  <c r="AJ49" i="22"/>
  <c r="F50" i="22" a="1"/>
  <c r="F50" i="22" s="1"/>
  <c r="BC49" i="22"/>
  <c r="BA49" i="22"/>
  <c r="AY49" i="22"/>
  <c r="AW49" i="22"/>
  <c r="AU49" i="22"/>
  <c r="AS49" i="22"/>
  <c r="AQ49" i="22"/>
  <c r="AO49" i="22"/>
  <c r="AM49" i="22"/>
  <c r="AK49" i="22"/>
  <c r="AI49" i="22"/>
  <c r="CC403" i="12"/>
  <c r="CC386" i="12"/>
  <c r="CC369" i="12"/>
  <c r="CC352" i="12"/>
  <c r="CC415" i="12"/>
  <c r="BQ339" i="12"/>
  <c r="BQ325" i="12"/>
  <c r="BQ326" i="12" s="1"/>
  <c r="BE417" i="12"/>
  <c r="BE411" i="12"/>
  <c r="BE416" i="12"/>
  <c r="AS339" i="12"/>
  <c r="AS325" i="12"/>
  <c r="AS326" i="12" s="1"/>
  <c r="T62" i="14"/>
  <c r="F64" i="14" a="1"/>
  <c r="F64" i="14" s="1"/>
  <c r="A64" i="14" s="1"/>
  <c r="A62" i="14"/>
  <c r="AE193" i="12" a="1"/>
  <c r="AE193" i="12" s="1"/>
  <c r="X193" i="12"/>
  <c r="CY188" i="12" a="1"/>
  <c r="CY188" i="12" s="1"/>
  <c r="CI367" i="12"/>
  <c r="CI368" i="12" s="1"/>
  <c r="CI373" i="12"/>
  <c r="CI401" i="12"/>
  <c r="CI402" i="12" s="1"/>
  <c r="CI407" i="12"/>
  <c r="CF404" i="12"/>
  <c r="CF387" i="12"/>
  <c r="CF370" i="12"/>
  <c r="CF353" i="12"/>
  <c r="BN404" i="12"/>
  <c r="BN387" i="12"/>
  <c r="BN370" i="12"/>
  <c r="BN353" i="12"/>
  <c r="BB404" i="12"/>
  <c r="BB387" i="12"/>
  <c r="BB370" i="12"/>
  <c r="BB353" i="12"/>
  <c r="AP404" i="12"/>
  <c r="AP387" i="12"/>
  <c r="AP370" i="12"/>
  <c r="AP353" i="12"/>
  <c r="T142" i="12" a="1"/>
  <c r="T142" i="12" s="1"/>
  <c r="U141" i="12"/>
  <c r="M85" i="31" a="1"/>
  <c r="M85" i="31" s="1"/>
  <c r="BI84" i="31" a="1"/>
  <c r="BI84" i="31" s="1"/>
  <c r="T54" i="30"/>
  <c r="F55" i="30" a="1"/>
  <c r="F55" i="30" s="1"/>
  <c r="M165" i="28" a="1"/>
  <c r="M165" i="28" s="1"/>
  <c r="AS164" i="28" a="1"/>
  <c r="AS164" i="28" s="1"/>
  <c r="F31" i="27" a="1"/>
  <c r="F31" i="27" s="1"/>
  <c r="N142" i="27" a="1"/>
  <c r="N142" i="27" s="1"/>
  <c r="BX141" i="27" a="1"/>
  <c r="BX141" i="27" s="1"/>
  <c r="F89" i="17" a="1"/>
  <c r="F89" i="17" s="1"/>
  <c r="F84" i="17" a="1"/>
  <c r="F84" i="17" s="1"/>
  <c r="F83" i="17" a="1"/>
  <c r="F83" i="17" s="1"/>
  <c r="T80" i="13" a="1"/>
  <c r="T80" i="13" s="1"/>
  <c r="T79" i="13" a="1"/>
  <c r="T79" i="13" s="1"/>
  <c r="CO404" i="12"/>
  <c r="CO387" i="12"/>
  <c r="CO370" i="12"/>
  <c r="CO353" i="12"/>
  <c r="AY340" i="12"/>
  <c r="CY187" i="12" a="1"/>
  <c r="CY187" i="12" s="1"/>
  <c r="AE192" i="12" a="1"/>
  <c r="AE192" i="12" s="1"/>
  <c r="X192" i="12"/>
  <c r="CI374" i="12"/>
  <c r="CI408" i="12"/>
  <c r="BW367" i="12"/>
  <c r="BW368" i="12" s="1"/>
  <c r="BW373" i="12"/>
  <c r="BW401" i="12"/>
  <c r="BW402" i="12" s="1"/>
  <c r="BW407" i="12"/>
  <c r="BT404" i="12"/>
  <c r="BT387" i="12"/>
  <c r="BT370" i="12"/>
  <c r="BT353" i="12"/>
  <c r="AV404" i="12"/>
  <c r="AV387" i="12"/>
  <c r="AV370" i="12"/>
  <c r="AV353" i="12"/>
  <c r="CR239" i="12"/>
  <c r="CR260" i="12"/>
  <c r="CR218" i="12"/>
  <c r="CR197" i="12"/>
  <c r="CO262" i="12"/>
  <c r="CO199" i="12"/>
  <c r="CO241" i="12"/>
  <c r="CO220" i="12"/>
  <c r="CL239" i="12"/>
  <c r="CL218" i="12"/>
  <c r="CL260" i="12"/>
  <c r="CL197" i="12"/>
  <c r="CI262" i="12"/>
  <c r="CI241" i="12"/>
  <c r="CI199" i="12"/>
  <c r="CI220" i="12"/>
  <c r="CF261" i="12"/>
  <c r="CF240" i="12"/>
  <c r="CF198" i="12"/>
  <c r="CF219" i="12"/>
  <c r="BZ261" i="12"/>
  <c r="BZ198" i="12"/>
  <c r="BZ240" i="12"/>
  <c r="BZ219" i="12"/>
  <c r="BT239" i="12"/>
  <c r="BT260" i="12"/>
  <c r="BT218" i="12"/>
  <c r="BT197" i="12"/>
  <c r="BQ262" i="12"/>
  <c r="BQ199" i="12"/>
  <c r="BQ241" i="12"/>
  <c r="BQ220" i="12"/>
  <c r="BN239" i="12"/>
  <c r="BN218" i="12"/>
  <c r="BN260" i="12"/>
  <c r="BN197" i="12"/>
  <c r="BK262" i="12"/>
  <c r="BK241" i="12"/>
  <c r="BK199" i="12"/>
  <c r="BK220" i="12"/>
  <c r="BH261" i="12"/>
  <c r="BH240" i="12"/>
  <c r="BH198" i="12"/>
  <c r="BH219" i="12"/>
  <c r="BB261" i="12"/>
  <c r="BB198" i="12"/>
  <c r="BB240" i="12"/>
  <c r="BB219" i="12"/>
  <c r="AV239" i="12"/>
  <c r="AV260" i="12"/>
  <c r="AV218" i="12"/>
  <c r="AV197" i="12"/>
  <c r="AS262" i="12"/>
  <c r="AS199" i="12"/>
  <c r="AS241" i="12"/>
  <c r="AS220" i="12"/>
  <c r="AP239" i="12"/>
  <c r="AP218" i="12"/>
  <c r="AP260" i="12"/>
  <c r="AP197" i="12"/>
  <c r="AM262" i="12"/>
  <c r="AM241" i="12"/>
  <c r="AM199" i="12"/>
  <c r="AM220" i="12"/>
  <c r="U35" i="6"/>
  <c r="F36" i="6" a="1"/>
  <c r="F36" i="6" s="1"/>
  <c r="L47" i="12" a="1"/>
  <c r="L47" i="12" s="1"/>
  <c r="T46" i="12" a="1"/>
  <c r="T46" i="12" s="1"/>
  <c r="U46" i="12" s="1"/>
  <c r="S45" i="12" a="1"/>
  <c r="S45" i="12" s="1"/>
  <c r="S46" i="12" s="1" a="1"/>
  <c r="S46" i="12" s="1"/>
  <c r="S47" i="12" s="1" a="1"/>
  <c r="S47" i="12" s="1"/>
  <c r="S48" i="12" s="1" a="1"/>
  <c r="S48" i="12" s="1"/>
  <c r="U44" i="12"/>
  <c r="AH164" i="28"/>
  <c r="M58" i="31" a="1"/>
  <c r="M58" i="31" s="1"/>
  <c r="BI57" i="31" a="1"/>
  <c r="BI57" i="31" s="1"/>
  <c r="M31" i="31" a="1"/>
  <c r="M31" i="31" s="1"/>
  <c r="BI30" i="31" a="1"/>
  <c r="BI30" i="31" s="1"/>
  <c r="T30" i="30"/>
  <c r="F31" i="30" a="1"/>
  <c r="F31" i="30" s="1"/>
  <c r="AH49" i="24"/>
  <c r="F51" i="24" a="1"/>
  <c r="F51" i="24" s="1"/>
  <c r="AI36" i="24"/>
  <c r="BD36" i="24" s="1"/>
  <c r="BD29" i="24"/>
  <c r="AM36" i="24"/>
  <c r="AQ36" i="24"/>
  <c r="AU36" i="24"/>
  <c r="BF36" i="24" s="1"/>
  <c r="BF29" i="24"/>
  <c r="AY36" i="24"/>
  <c r="BJ36" i="24" s="1"/>
  <c r="BJ29" i="24"/>
  <c r="BC36" i="24"/>
  <c r="AL36" i="24"/>
  <c r="AP36" i="24"/>
  <c r="AT36" i="24"/>
  <c r="BE36" i="24" s="1"/>
  <c r="BE29" i="24"/>
  <c r="AX36" i="24"/>
  <c r="BI36" i="24" s="1"/>
  <c r="BI29" i="24"/>
  <c r="BB36" i="24"/>
  <c r="BM36" i="24" s="1"/>
  <c r="BM29" i="24"/>
  <c r="F71" i="23" a="1"/>
  <c r="F71" i="23" s="1"/>
  <c r="BC70" i="23"/>
  <c r="BA70" i="23"/>
  <c r="BL70" i="23" s="1"/>
  <c r="AY70" i="23"/>
  <c r="BJ70" i="23" s="1"/>
  <c r="AW70" i="23"/>
  <c r="BH70" i="23" s="1"/>
  <c r="AU70" i="23"/>
  <c r="BF70" i="23" s="1"/>
  <c r="AS70" i="23"/>
  <c r="AQ70" i="23"/>
  <c r="AO70" i="23"/>
  <c r="AM70" i="23"/>
  <c r="AK70" i="23"/>
  <c r="AI70" i="23"/>
  <c r="AG70" i="23"/>
  <c r="AE70" i="23"/>
  <c r="BB70" i="23"/>
  <c r="BM70" i="23" s="1"/>
  <c r="AZ70" i="23"/>
  <c r="BK70" i="23" s="1"/>
  <c r="AX70" i="23"/>
  <c r="BI70" i="23" s="1"/>
  <c r="AV70" i="23"/>
  <c r="BG70" i="23" s="1"/>
  <c r="AT70" i="23"/>
  <c r="BE70" i="23" s="1"/>
  <c r="AR70" i="23"/>
  <c r="AP70" i="23"/>
  <c r="AN70" i="23"/>
  <c r="AL70" i="23"/>
  <c r="AJ70" i="23"/>
  <c r="AF70" i="23"/>
  <c r="F34" i="21" a="1"/>
  <c r="F34" i="21" s="1"/>
  <c r="F56" i="18" a="1"/>
  <c r="F56" i="18" s="1"/>
  <c r="F57" i="18" s="1" a="1"/>
  <c r="F57" i="18" s="1"/>
  <c r="F58" i="18" s="1" a="1"/>
  <c r="F58" i="18" s="1"/>
  <c r="T55" i="18"/>
  <c r="T56" i="18" s="1" a="1"/>
  <c r="T56" i="18" s="1"/>
  <c r="T57" i="18" s="1" a="1"/>
  <c r="T57" i="18" s="1"/>
  <c r="F79" i="17" a="1"/>
  <c r="F79" i="17" s="1"/>
  <c r="A79" i="17" s="1"/>
  <c r="A77" i="17"/>
  <c r="T77" i="17"/>
  <c r="F54" i="17" a="1"/>
  <c r="F54" i="17" s="1"/>
  <c r="A54" i="17" s="1"/>
  <c r="A52" i="17"/>
  <c r="T52" i="17"/>
  <c r="F38" i="13" a="1"/>
  <c r="F38" i="13" s="1"/>
  <c r="T37" i="13"/>
  <c r="BQ415" i="12"/>
  <c r="BE339" i="12"/>
  <c r="BE325" i="12"/>
  <c r="BE326" i="12" s="1"/>
  <c r="AS415" i="12"/>
  <c r="CY348" i="12" a="1"/>
  <c r="CY348" i="12" s="1"/>
  <c r="AG348" i="12"/>
  <c r="AE353" i="12" a="1"/>
  <c r="AE353" i="12" s="1"/>
  <c r="X353" i="12"/>
  <c r="S156" i="12" a="1"/>
  <c r="S156" i="12" s="1"/>
  <c r="S157" i="12" s="1" a="1"/>
  <c r="S157" i="12" s="1"/>
  <c r="S158" i="12" s="1" a="1"/>
  <c r="S158" i="12" s="1"/>
  <c r="S159" i="12" s="1" a="1"/>
  <c r="S159" i="12" s="1"/>
  <c r="U155" i="12"/>
  <c r="F87" i="8" a="1"/>
  <c r="F87" i="8" s="1"/>
  <c r="U86" i="8"/>
  <c r="F59" i="8" a="1"/>
  <c r="F59" i="8" s="1"/>
  <c r="U58" i="8"/>
  <c r="CL403" i="12"/>
  <c r="CL386" i="12"/>
  <c r="CL369" i="12"/>
  <c r="CL352" i="12"/>
  <c r="CF403" i="12"/>
  <c r="CF386" i="12"/>
  <c r="CF369" i="12"/>
  <c r="CF352" i="12"/>
  <c r="BW424" i="12"/>
  <c r="BW357" i="12"/>
  <c r="BW391" i="12"/>
  <c r="U32" i="9"/>
  <c r="F33" i="9" a="1"/>
  <c r="F33" i="9" s="1"/>
  <c r="U32" i="8"/>
  <c r="F33" i="8" a="1"/>
  <c r="F33" i="8" s="1"/>
  <c r="AH97" i="28"/>
  <c r="F58" i="31" a="1"/>
  <c r="F58" i="31" s="1"/>
  <c r="T57" i="31"/>
  <c r="N30" i="27" a="1"/>
  <c r="N30" i="27" s="1"/>
  <c r="BX29" i="27" a="1"/>
  <c r="BX29" i="27" s="1"/>
  <c r="F139" i="25" a="1"/>
  <c r="F139" i="25" s="1"/>
  <c r="F140" i="25" s="1" a="1"/>
  <c r="F140" i="25" s="1"/>
  <c r="F141" i="25" s="1" a="1"/>
  <c r="F141" i="25" s="1"/>
  <c r="F142" i="25" s="1" a="1"/>
  <c r="F142" i="25" s="1"/>
  <c r="F143" i="25" s="1" a="1"/>
  <c r="F143" i="25" s="1"/>
  <c r="F143" i="27" a="1"/>
  <c r="F143" i="27" s="1"/>
  <c r="AI46" i="24"/>
  <c r="F35" i="17" a="1"/>
  <c r="F35" i="17" s="1"/>
  <c r="T34" i="17"/>
  <c r="F64" i="17" a="1"/>
  <c r="F64" i="17" s="1"/>
  <c r="F59" i="17" a="1"/>
  <c r="F59" i="17" s="1"/>
  <c r="F58" i="17" a="1"/>
  <c r="F58" i="17" s="1"/>
  <c r="F35" i="14" a="1"/>
  <c r="F35" i="14" s="1"/>
  <c r="T34" i="14"/>
  <c r="CO403" i="12"/>
  <c r="CO386" i="12"/>
  <c r="CO369" i="12"/>
  <c r="CO352" i="12"/>
  <c r="BK340" i="12"/>
  <c r="AM340" i="12"/>
  <c r="F52" i="14" a="1"/>
  <c r="F52" i="14" s="1"/>
  <c r="T51" i="14"/>
  <c r="CR113" i="12"/>
  <c r="CR87" i="12"/>
  <c r="CR100" i="12"/>
  <c r="CR74" i="12"/>
  <c r="CL113" i="12"/>
  <c r="CL87" i="12"/>
  <c r="CL100" i="12"/>
  <c r="CL74" i="12"/>
  <c r="CF113" i="12"/>
  <c r="CF87" i="12"/>
  <c r="CF100" i="12"/>
  <c r="CF74" i="12"/>
  <c r="BZ113" i="12"/>
  <c r="BZ87" i="12"/>
  <c r="BZ100" i="12"/>
  <c r="BZ74" i="12"/>
  <c r="BT113" i="12"/>
  <c r="BT87" i="12"/>
  <c r="BT100" i="12"/>
  <c r="BT74" i="12"/>
  <c r="BN113" i="12"/>
  <c r="BN87" i="12"/>
  <c r="BN100" i="12"/>
  <c r="BN74" i="12"/>
  <c r="BH113" i="12"/>
  <c r="BH87" i="12"/>
  <c r="BH100" i="12"/>
  <c r="BH74" i="12"/>
  <c r="BB113" i="12"/>
  <c r="BB87" i="12"/>
  <c r="BB100" i="12"/>
  <c r="BB74" i="12"/>
  <c r="AV113" i="12"/>
  <c r="AV87" i="12"/>
  <c r="AV100" i="12"/>
  <c r="AV74" i="12"/>
  <c r="AP113" i="12"/>
  <c r="AP87" i="12"/>
  <c r="AP100" i="12"/>
  <c r="AP74" i="12"/>
  <c r="F39" i="9" a="1"/>
  <c r="F39" i="9" s="1"/>
  <c r="U38" i="9"/>
  <c r="CR404" i="12"/>
  <c r="CR387" i="12"/>
  <c r="CR370" i="12"/>
  <c r="CR353" i="12"/>
  <c r="BZ404" i="12"/>
  <c r="BZ387" i="12"/>
  <c r="BZ370" i="12"/>
  <c r="BZ353" i="12"/>
  <c r="AF199" i="12" a="1"/>
  <c r="AF199" i="12" s="1"/>
  <c r="CZ193" i="12" a="1"/>
  <c r="CZ193" i="12" s="1"/>
  <c r="CO260" i="12"/>
  <c r="CO197" i="12"/>
  <c r="CO239" i="12"/>
  <c r="CO218" i="12"/>
  <c r="CL241" i="12"/>
  <c r="CL220" i="12"/>
  <c r="CL262" i="12"/>
  <c r="CL199" i="12"/>
  <c r="CI240" i="12"/>
  <c r="CI261" i="12"/>
  <c r="CI219" i="12"/>
  <c r="CI198" i="12"/>
  <c r="CF241" i="12"/>
  <c r="CF262" i="12"/>
  <c r="CF220" i="12"/>
  <c r="CF199" i="12"/>
  <c r="CC240" i="12"/>
  <c r="CC219" i="12"/>
  <c r="CC261" i="12"/>
  <c r="CC198" i="12"/>
  <c r="BW260" i="12"/>
  <c r="BW239" i="12"/>
  <c r="BW197" i="12"/>
  <c r="BW218" i="12"/>
  <c r="BQ260" i="12"/>
  <c r="BQ197" i="12"/>
  <c r="BQ239" i="12"/>
  <c r="BQ218" i="12"/>
  <c r="BN241" i="12"/>
  <c r="BN220" i="12"/>
  <c r="BN262" i="12"/>
  <c r="BN199" i="12"/>
  <c r="BK240" i="12"/>
  <c r="BK261" i="12"/>
  <c r="BK219" i="12"/>
  <c r="BK198" i="12"/>
  <c r="BH241" i="12"/>
  <c r="BH262" i="12"/>
  <c r="BH220" i="12"/>
  <c r="BH199" i="12"/>
  <c r="BE240" i="12"/>
  <c r="BE219" i="12"/>
  <c r="BE261" i="12"/>
  <c r="BE198" i="12"/>
  <c r="AY260" i="12"/>
  <c r="AY239" i="12"/>
  <c r="AY197" i="12"/>
  <c r="AY218" i="12"/>
  <c r="AS260" i="12"/>
  <c r="AS197" i="12"/>
  <c r="AS239" i="12"/>
  <c r="AS218" i="12"/>
  <c r="AP241" i="12"/>
  <c r="AP220" i="12"/>
  <c r="AP262" i="12"/>
  <c r="AP199" i="12"/>
  <c r="AM240" i="12"/>
  <c r="AM261" i="12"/>
  <c r="AM219" i="12"/>
  <c r="AM198" i="12"/>
  <c r="F85" i="31" a="1"/>
  <c r="F85" i="31" s="1"/>
  <c r="T84" i="31"/>
  <c r="AH91" i="21"/>
  <c r="CI350" i="12"/>
  <c r="CI351" i="12" s="1"/>
  <c r="CI423" i="12"/>
  <c r="CI356" i="12"/>
  <c r="CI384" i="12"/>
  <c r="CI385" i="12" s="1"/>
  <c r="CI390" i="12"/>
  <c r="BN403" i="12"/>
  <c r="BN386" i="12"/>
  <c r="BN369" i="12"/>
  <c r="BN352" i="12"/>
  <c r="BB403" i="12"/>
  <c r="BB386" i="12"/>
  <c r="BB369" i="12"/>
  <c r="BB352" i="12"/>
  <c r="AP403" i="12"/>
  <c r="AP386" i="12"/>
  <c r="AP369" i="12"/>
  <c r="AP352" i="12"/>
  <c r="F125" i="33" a="1"/>
  <c r="F125" i="33" s="1"/>
  <c r="T124" i="33"/>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9" i="33" s="1" a="1"/>
  <c r="T139" i="33" s="1"/>
  <c r="T138" i="33" s="1"/>
  <c r="T137" i="33" s="1"/>
  <c r="F101" i="28" a="1"/>
  <c r="F101" i="28" s="1"/>
  <c r="AL30" i="28"/>
  <c r="T86" i="27"/>
  <c r="F87" i="27" a="1"/>
  <c r="F87" i="27" s="1"/>
  <c r="T32" i="17" a="1"/>
  <c r="T32" i="17" s="1"/>
  <c r="T31" i="17" a="1"/>
  <c r="T31" i="17" s="1"/>
  <c r="F81" i="13" a="1"/>
  <c r="F81" i="13" s="1"/>
  <c r="A80" i="13"/>
  <c r="BK417" i="12"/>
  <c r="BK411" i="12"/>
  <c r="BK416" i="12"/>
  <c r="AY339" i="12"/>
  <c r="AY325" i="12"/>
  <c r="AY326" i="12" s="1"/>
  <c r="AM417" i="12"/>
  <c r="AM411" i="12"/>
  <c r="AM416" i="12"/>
  <c r="S316" i="12" a="1"/>
  <c r="S316" i="12" s="1"/>
  <c r="U315" i="12"/>
  <c r="H51" i="2"/>
  <c r="H52" i="2" s="1"/>
  <c r="H53" i="2" s="1"/>
  <c r="H48" i="2"/>
  <c r="CR403" i="12"/>
  <c r="CR386" i="12"/>
  <c r="CR369" i="12"/>
  <c r="CR352" i="12"/>
  <c r="CI424" i="12"/>
  <c r="CI357" i="12"/>
  <c r="CI391" i="12"/>
  <c r="BW350" i="12"/>
  <c r="BW351" i="12" s="1"/>
  <c r="BW423" i="12"/>
  <c r="BW356" i="12"/>
  <c r="BW384" i="12"/>
  <c r="BW385" i="12" s="1"/>
  <c r="BW390" i="12"/>
  <c r="BH404" i="12"/>
  <c r="BH387" i="12"/>
  <c r="BH370" i="12"/>
  <c r="BH353" i="12"/>
  <c r="CR261" i="12"/>
  <c r="CR240" i="12"/>
  <c r="CR198" i="12"/>
  <c r="CR219" i="12"/>
  <c r="CL261" i="12"/>
  <c r="CL198" i="12"/>
  <c r="CL240" i="12"/>
  <c r="CL219" i="12"/>
  <c r="CF239" i="12"/>
  <c r="CF260" i="12"/>
  <c r="CF218" i="12"/>
  <c r="CF197" i="12"/>
  <c r="CC262" i="12"/>
  <c r="CC199" i="12"/>
  <c r="CC241" i="12"/>
  <c r="CC220" i="12"/>
  <c r="BZ239" i="12"/>
  <c r="BZ218" i="12"/>
  <c r="BZ260" i="12"/>
  <c r="BZ197" i="12"/>
  <c r="BW262" i="12"/>
  <c r="BW241" i="12"/>
  <c r="BW199" i="12"/>
  <c r="BW220" i="12"/>
  <c r="BT261" i="12"/>
  <c r="BT240" i="12"/>
  <c r="BT198" i="12"/>
  <c r="BT219" i="12"/>
  <c r="BN261" i="12"/>
  <c r="BN198" i="12"/>
  <c r="BN240" i="12"/>
  <c r="BN219" i="12"/>
  <c r="BH239" i="12"/>
  <c r="BH260" i="12"/>
  <c r="BH218" i="12"/>
  <c r="BH197" i="12"/>
  <c r="BE262" i="12"/>
  <c r="BE199" i="12"/>
  <c r="BE241" i="12"/>
  <c r="BE220" i="12"/>
  <c r="BB239" i="12"/>
  <c r="BB218" i="12"/>
  <c r="BB260" i="12"/>
  <c r="BB197" i="12"/>
  <c r="AY262" i="12"/>
  <c r="AY241" i="12"/>
  <c r="AY199" i="12"/>
  <c r="AY220" i="12"/>
  <c r="AV261" i="12"/>
  <c r="AV240" i="12"/>
  <c r="AV198" i="12"/>
  <c r="AV219" i="12"/>
  <c r="AP261" i="12"/>
  <c r="AP198" i="12"/>
  <c r="AP240" i="12"/>
  <c r="AP219" i="12"/>
  <c r="T31" i="12" a="1"/>
  <c r="T31" i="12" s="1"/>
  <c r="U30" i="12"/>
  <c r="U45" i="12"/>
  <c r="F46" i="9" a="1"/>
  <c r="F46" i="9" s="1"/>
  <c r="U45" i="9"/>
  <c r="AB55" i="8" a="1"/>
  <c r="AB55" i="8" s="1"/>
  <c r="W55" i="8" a="1"/>
  <c r="W55" i="8" s="1"/>
  <c r="M31" i="28" a="1"/>
  <c r="M31" i="28" s="1"/>
  <c r="AS30" i="28" a="1"/>
  <c r="AS30" i="28" s="1"/>
  <c r="N86" i="27" a="1"/>
  <c r="N86" i="27" s="1"/>
  <c r="BX85" i="27" a="1"/>
  <c r="BX85" i="27" s="1"/>
  <c r="F92" i="25" a="1"/>
  <c r="F92" i="25" s="1"/>
  <c r="F93" i="25" s="1" a="1"/>
  <c r="F93" i="25" s="1"/>
  <c r="F94" i="25" s="1" a="1"/>
  <c r="F94" i="25" s="1"/>
  <c r="F95" i="25" s="1" a="1"/>
  <c r="F95" i="25" s="1"/>
  <c r="F96" i="25" s="1" a="1"/>
  <c r="F96" i="25" s="1"/>
  <c r="F45" i="25" a="1"/>
  <c r="F45" i="25" s="1"/>
  <c r="F46" i="25" s="1" a="1"/>
  <c r="F46" i="25" s="1"/>
  <c r="F47" i="25" s="1" a="1"/>
  <c r="F47" i="25" s="1"/>
  <c r="F48" i="25" s="1" a="1"/>
  <c r="F48" i="25" s="1"/>
  <c r="F49" i="25" s="1" a="1"/>
  <c r="F49" i="25" s="1"/>
  <c r="AH29" i="24"/>
  <c r="AK36" i="24"/>
  <c r="AO36" i="24"/>
  <c r="AS36" i="24"/>
  <c r="AW36" i="24"/>
  <c r="BH36" i="24" s="1"/>
  <c r="BH29" i="24"/>
  <c r="BA36" i="24"/>
  <c r="BL36" i="24" s="1"/>
  <c r="BL29" i="24"/>
  <c r="F31" i="24" a="1"/>
  <c r="F31" i="24" s="1"/>
  <c r="AJ36" i="24"/>
  <c r="AN36" i="24"/>
  <c r="AR36" i="24"/>
  <c r="AV36" i="24"/>
  <c r="BG36" i="24" s="1"/>
  <c r="BG29" i="24"/>
  <c r="AZ36" i="24"/>
  <c r="BK36" i="24" s="1"/>
  <c r="BK29" i="24"/>
  <c r="F31" i="22" a="1"/>
  <c r="F31" i="22" s="1"/>
  <c r="F32" i="18" a="1"/>
  <c r="F32" i="18" s="1"/>
  <c r="CC404" i="12"/>
  <c r="CC387" i="12"/>
  <c r="CC370" i="12"/>
  <c r="CC353" i="12"/>
  <c r="BE340" i="12"/>
  <c r="T303" i="12" a="1"/>
  <c r="T303" i="12" s="1"/>
  <c r="U302" i="12"/>
  <c r="CL404" i="12"/>
  <c r="CL387" i="12"/>
  <c r="CL370" i="12"/>
  <c r="CL353" i="12"/>
  <c r="BW374" i="12"/>
  <c r="BW408" i="12"/>
  <c r="L158" i="12" a="1"/>
  <c r="L158" i="12" s="1"/>
  <c r="T157" i="12" a="1"/>
  <c r="T157" i="12" s="1"/>
  <c r="U157" i="12" s="1"/>
  <c r="W82" i="8" a="1"/>
  <c r="W82" i="8" s="1"/>
  <c r="AB82" i="8" a="1"/>
  <c r="AB82" i="8" s="1"/>
  <c r="F142" i="34" a="1"/>
  <c r="F142" i="34" s="1"/>
  <c r="F143" i="34" s="1" a="1"/>
  <c r="F143" i="34" s="1"/>
  <c r="F144" i="34" s="1" a="1"/>
  <c r="F144" i="34" s="1"/>
  <c r="F145" i="34" s="1" a="1"/>
  <c r="F145" i="34" s="1"/>
  <c r="F146" i="34" s="1" a="1"/>
  <c r="F146" i="34" s="1"/>
  <c r="F147" i="34" s="1" a="1"/>
  <c r="F147" i="34" s="1"/>
  <c r="F148" i="34" s="1" a="1"/>
  <c r="F148" i="34" s="1"/>
  <c r="F149" i="34" s="1" a="1"/>
  <c r="F149" i="34" s="1"/>
  <c r="F150" i="34" s="1" a="1"/>
  <c r="F150" i="34" s="1"/>
  <c r="F151" i="34" s="1" a="1"/>
  <c r="F151" i="34" s="1"/>
  <c r="F152" i="34" s="1" a="1"/>
  <c r="F152" i="34" s="1"/>
  <c r="F153" i="34" s="1" a="1"/>
  <c r="F153" i="34" s="1"/>
  <c r="F154" i="34" s="1" a="1"/>
  <c r="F154" i="34" s="1"/>
  <c r="F155" i="34" s="1" a="1"/>
  <c r="F155" i="34" s="1"/>
  <c r="F156" i="34" s="1" a="1"/>
  <c r="F156" i="34" s="1"/>
  <c r="F157" i="34" s="1" a="1"/>
  <c r="F157" i="34" s="1"/>
  <c r="F158" i="34" s="1" a="1"/>
  <c r="F158" i="34" s="1"/>
  <c r="F159" i="34" s="1" a="1"/>
  <c r="F159" i="34" s="1"/>
  <c r="F160" i="34" s="1" a="1"/>
  <c r="F160" i="34" s="1"/>
  <c r="F161" i="34" s="1" a="1"/>
  <c r="F161" i="34" s="1"/>
  <c r="F162" i="34" s="1" a="1"/>
  <c r="F162" i="34" s="1"/>
  <c r="F163" i="34" s="1" a="1"/>
  <c r="F163" i="34" s="1"/>
  <c r="F164" i="34" s="1" a="1"/>
  <c r="F164" i="34" s="1"/>
  <c r="F165" i="34" s="1" a="1"/>
  <c r="F165" i="34" s="1"/>
  <c r="F166" i="34" s="1" a="1"/>
  <c r="F166" i="34" s="1"/>
  <c r="F167" i="34" s="1" a="1"/>
  <c r="F167" i="34" s="1"/>
  <c r="F168" i="34" s="1" a="1"/>
  <c r="F168" i="34" s="1"/>
  <c r="F169" i="34" s="1" a="1"/>
  <c r="F169" i="34" s="1"/>
  <c r="F170" i="34" s="1" a="1"/>
  <c r="F170" i="34" s="1"/>
  <c r="F171" i="34" s="1" a="1"/>
  <c r="F171" i="34" s="1"/>
  <c r="F172" i="34" s="1" a="1"/>
  <c r="F172" i="34" s="1"/>
  <c r="F173" i="34" s="1" a="1"/>
  <c r="F173" i="34" s="1"/>
  <c r="F174" i="34" s="1" a="1"/>
  <c r="F174" i="34" s="1"/>
  <c r="F175" i="34" s="1" a="1"/>
  <c r="F175" i="34" s="1"/>
  <c r="F176" i="34" s="1" a="1"/>
  <c r="F176" i="34" s="1"/>
  <c r="F177" i="34" s="1" a="1"/>
  <c r="F177" i="34" s="1"/>
  <c r="F178" i="34" s="1" a="1"/>
  <c r="F178" i="34" s="1"/>
  <c r="F179" i="34" s="1" a="1"/>
  <c r="F179" i="34" s="1"/>
  <c r="F180" i="34" s="1" a="1"/>
  <c r="F180" i="34" s="1"/>
  <c r="F181" i="34" s="1" a="1"/>
  <c r="F181" i="34" s="1"/>
  <c r="AK141" i="34"/>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34" i="28" a="1"/>
  <c r="F34" i="28" s="1"/>
  <c r="AH30" i="28"/>
  <c r="AH39" i="24"/>
  <c r="F41" i="24" a="1"/>
  <c r="F41" i="24" s="1"/>
  <c r="F51" i="23" a="1"/>
  <c r="F51" i="23" s="1"/>
  <c r="BC50" i="23"/>
  <c r="BA50" i="23"/>
  <c r="BL50" i="23" s="1"/>
  <c r="AY50" i="23"/>
  <c r="BJ50" i="23" s="1"/>
  <c r="AW50" i="23"/>
  <c r="BH50" i="23" s="1"/>
  <c r="AU50" i="23"/>
  <c r="BF50" i="23" s="1"/>
  <c r="AS50" i="23"/>
  <c r="AQ50" i="23"/>
  <c r="AO50" i="23"/>
  <c r="AM50" i="23"/>
  <c r="AK50" i="23"/>
  <c r="AI50" i="23"/>
  <c r="BD50" i="23" s="1"/>
  <c r="AG50" i="23"/>
  <c r="AE50" i="23"/>
  <c r="BB50" i="23"/>
  <c r="BM50" i="23" s="1"/>
  <c r="AZ50" i="23"/>
  <c r="BK50" i="23" s="1"/>
  <c r="AX50" i="23"/>
  <c r="BI50" i="23" s="1"/>
  <c r="AV50" i="23"/>
  <c r="BG50" i="23" s="1"/>
  <c r="AT50" i="23"/>
  <c r="AR50" i="23"/>
  <c r="AP50" i="23"/>
  <c r="AN50" i="23"/>
  <c r="AL50" i="23"/>
  <c r="AJ50" i="23"/>
  <c r="AF50" i="23"/>
  <c r="AK66" i="21"/>
  <c r="AI66" i="21"/>
  <c r="AG66" i="21"/>
  <c r="AE66" i="21"/>
  <c r="F67" i="21" a="1"/>
  <c r="F67" i="21" s="1"/>
  <c r="F68" i="21" s="1" a="1"/>
  <c r="F68" i="21" s="1"/>
  <c r="F69" i="21" s="1" a="1"/>
  <c r="F69" i="21" s="1"/>
  <c r="AJ66" i="21"/>
  <c r="AF66" i="21"/>
  <c r="AH65" i="21"/>
  <c r="T89" i="18"/>
  <c r="T90" i="18" s="1" a="1"/>
  <c r="T90" i="18" s="1"/>
  <c r="T91" i="18" s="1" a="1"/>
  <c r="T91" i="18" s="1"/>
  <c r="F90" i="18" a="1"/>
  <c r="F90" i="18" s="1"/>
  <c r="F91" i="18" s="1" a="1"/>
  <c r="F91" i="18" s="1"/>
  <c r="F92" i="18" s="1" a="1"/>
  <c r="F92" i="18" s="1"/>
  <c r="T32" i="14" a="1"/>
  <c r="T32" i="14" s="1"/>
  <c r="T31" i="14" a="1"/>
  <c r="T31" i="14" s="1"/>
  <c r="BK339" i="12"/>
  <c r="BK325" i="12"/>
  <c r="BK326" i="12" s="1"/>
  <c r="AY415" i="12"/>
  <c r="AM339" i="12"/>
  <c r="AM325" i="12"/>
  <c r="AM326" i="12" s="1"/>
  <c r="T46" i="14"/>
  <c r="F48" i="14" a="1"/>
  <c r="F48" i="14" s="1"/>
  <c r="A48" i="14" s="1"/>
  <c r="A46" i="14"/>
  <c r="AF357" i="12" a="1"/>
  <c r="AF357" i="12" s="1"/>
  <c r="CZ353" i="12" a="1"/>
  <c r="CZ353" i="12" s="1"/>
  <c r="CO100" i="12"/>
  <c r="CO74" i="12"/>
  <c r="CO113" i="12"/>
  <c r="CO87" i="12"/>
  <c r="CI100" i="12"/>
  <c r="CI74" i="12"/>
  <c r="CI113" i="12"/>
  <c r="CI87" i="12"/>
  <c r="CC100" i="12"/>
  <c r="CC74" i="12"/>
  <c r="CC113" i="12"/>
  <c r="CC87" i="12"/>
  <c r="BW100" i="12"/>
  <c r="BW74" i="12"/>
  <c r="BW113" i="12"/>
  <c r="BW87" i="12"/>
  <c r="BQ100" i="12"/>
  <c r="BQ74" i="12"/>
  <c r="BQ113" i="12"/>
  <c r="BQ87" i="12"/>
  <c r="BK100" i="12"/>
  <c r="BK74" i="12"/>
  <c r="BK113" i="12"/>
  <c r="BK87" i="12"/>
  <c r="BE100" i="12"/>
  <c r="BE74" i="12"/>
  <c r="BE113" i="12"/>
  <c r="BE87" i="12"/>
  <c r="AY100" i="12"/>
  <c r="AY74" i="12"/>
  <c r="AY113" i="12"/>
  <c r="AY87" i="12"/>
  <c r="AS100" i="12"/>
  <c r="AS74" i="12"/>
  <c r="AS113" i="12"/>
  <c r="AS87" i="12"/>
  <c r="AM100" i="12"/>
  <c r="AM74" i="12"/>
  <c r="AM113" i="12"/>
  <c r="AM87" i="12"/>
  <c r="BZ403" i="12"/>
  <c r="BZ386" i="12"/>
  <c r="BZ369" i="12"/>
  <c r="BZ352" i="12"/>
  <c r="BT403" i="12"/>
  <c r="BT386" i="12"/>
  <c r="BT369" i="12"/>
  <c r="BT352" i="12"/>
  <c r="BH403" i="12"/>
  <c r="BH386" i="12"/>
  <c r="BH369" i="12"/>
  <c r="BH352" i="12"/>
  <c r="AV403" i="12"/>
  <c r="AV386" i="12"/>
  <c r="AV369" i="12"/>
  <c r="AV352" i="12"/>
  <c r="CR241" i="12"/>
  <c r="CR262" i="12"/>
  <c r="CR220" i="12"/>
  <c r="CR199" i="12"/>
  <c r="CO240" i="12"/>
  <c r="CO219" i="12"/>
  <c r="CO261" i="12"/>
  <c r="CO198" i="12"/>
  <c r="CI260" i="12"/>
  <c r="CI239" i="12"/>
  <c r="CI197" i="12"/>
  <c r="CI218" i="12"/>
  <c r="CC260" i="12"/>
  <c r="CC197" i="12"/>
  <c r="CC239" i="12"/>
  <c r="CC218" i="12"/>
  <c r="BZ241" i="12"/>
  <c r="BZ220" i="12"/>
  <c r="BZ262" i="12"/>
  <c r="BZ199" i="12"/>
  <c r="BW240" i="12"/>
  <c r="BW261" i="12"/>
  <c r="BW219" i="12"/>
  <c r="BW198" i="12"/>
  <c r="BT241" i="12"/>
  <c r="BT262" i="12"/>
  <c r="BT220" i="12"/>
  <c r="BT199" i="12"/>
  <c r="BQ240" i="12"/>
  <c r="BQ219" i="12"/>
  <c r="BQ261" i="12"/>
  <c r="BQ198" i="12"/>
  <c r="BK260" i="12"/>
  <c r="BK239" i="12"/>
  <c r="BK197" i="12"/>
  <c r="BK218" i="12"/>
  <c r="BE260" i="12"/>
  <c r="BE197" i="12"/>
  <c r="BE239" i="12"/>
  <c r="BE218" i="12"/>
  <c r="BB241" i="12"/>
  <c r="BB220" i="12"/>
  <c r="BB262" i="12"/>
  <c r="BB199" i="12"/>
  <c r="AY240" i="12"/>
  <c r="AY261" i="12"/>
  <c r="AY219" i="12"/>
  <c r="AY198" i="12"/>
  <c r="AV241" i="12"/>
  <c r="AV262" i="12"/>
  <c r="AV220" i="12"/>
  <c r="AV199" i="12"/>
  <c r="AS240" i="12"/>
  <c r="AS219" i="12"/>
  <c r="AS261" i="12"/>
  <c r="AS198" i="12"/>
  <c r="AM260" i="12"/>
  <c r="AM239" i="12"/>
  <c r="AM197" i="12"/>
  <c r="AM218" i="12"/>
  <c r="AL66" i="21" l="1"/>
  <c r="U156" i="12"/>
  <c r="AM237" i="12"/>
  <c r="AM238" i="12" s="1"/>
  <c r="AM244" i="12"/>
  <c r="AS266" i="12"/>
  <c r="AV246" i="12"/>
  <c r="AY266" i="12"/>
  <c r="BB267" i="12"/>
  <c r="BE237" i="12"/>
  <c r="BE238" i="12" s="1"/>
  <c r="BE244" i="12"/>
  <c r="BQ224" i="12"/>
  <c r="BT225" i="12"/>
  <c r="BZ246" i="12"/>
  <c r="CC284" i="12"/>
  <c r="CC195" i="12"/>
  <c r="CC196" i="12" s="1"/>
  <c r="CC202" i="12"/>
  <c r="CI237" i="12"/>
  <c r="CI238" i="12" s="1"/>
  <c r="CI244" i="12"/>
  <c r="CO224" i="12"/>
  <c r="CR246" i="12"/>
  <c r="AV401" i="12"/>
  <c r="AV402" i="12" s="1"/>
  <c r="AV407" i="12"/>
  <c r="BH384" i="12"/>
  <c r="BH385" i="12" s="1"/>
  <c r="BH390" i="12"/>
  <c r="BT401" i="12"/>
  <c r="BT402" i="12" s="1"/>
  <c r="BT407" i="12"/>
  <c r="BZ384" i="12"/>
  <c r="BZ385" i="12" s="1"/>
  <c r="BZ390" i="12"/>
  <c r="AM111" i="12"/>
  <c r="AM112" i="12" s="1"/>
  <c r="AM116" i="12"/>
  <c r="AS129" i="12"/>
  <c r="AS72" i="12"/>
  <c r="AS73" i="12" s="1"/>
  <c r="AS77" i="12"/>
  <c r="AY111" i="12"/>
  <c r="AY112" i="12" s="1"/>
  <c r="AY116" i="12"/>
  <c r="BE129" i="12"/>
  <c r="BE72" i="12"/>
  <c r="BE73" i="12" s="1"/>
  <c r="BE77" i="12"/>
  <c r="BK111" i="12"/>
  <c r="BK112" i="12" s="1"/>
  <c r="BK116" i="12"/>
  <c r="BQ129" i="12"/>
  <c r="BQ72" i="12"/>
  <c r="BQ73" i="12" s="1"/>
  <c r="BQ77" i="12"/>
  <c r="BW111" i="12"/>
  <c r="BW112" i="12" s="1"/>
  <c r="BW116" i="12"/>
  <c r="CC129" i="12"/>
  <c r="CC72" i="12"/>
  <c r="CC73" i="12" s="1"/>
  <c r="CC77" i="12"/>
  <c r="CI111" i="12"/>
  <c r="CI112" i="12" s="1"/>
  <c r="CI116" i="12"/>
  <c r="CO129" i="12"/>
  <c r="CO72" i="12"/>
  <c r="CO73" i="12" s="1"/>
  <c r="CO77" i="12"/>
  <c r="BK403" i="12"/>
  <c r="BK386" i="12"/>
  <c r="BK369" i="12"/>
  <c r="BK352" i="12"/>
  <c r="H92" i="18"/>
  <c r="F93" i="18" a="1"/>
  <c r="F93" i="18" s="1"/>
  <c r="T92" i="18"/>
  <c r="AM216" i="12"/>
  <c r="AM217" i="12" s="1"/>
  <c r="AM223" i="12"/>
  <c r="AM195" i="12"/>
  <c r="AM196" i="12" s="1"/>
  <c r="AM284" i="12"/>
  <c r="AM202" i="12"/>
  <c r="AM258" i="12"/>
  <c r="AM259" i="12" s="1"/>
  <c r="AM265" i="12"/>
  <c r="AS285" i="12"/>
  <c r="AS203" i="12"/>
  <c r="AS245" i="12"/>
  <c r="AV286" i="12"/>
  <c r="AV204" i="12"/>
  <c r="AV267" i="12"/>
  <c r="AY285" i="12"/>
  <c r="AY203" i="12"/>
  <c r="AY224" i="12"/>
  <c r="AY245" i="12"/>
  <c r="BB286" i="12"/>
  <c r="BB204" i="12"/>
  <c r="BB225" i="12"/>
  <c r="BE216" i="12"/>
  <c r="BE217" i="12" s="1"/>
  <c r="BE223" i="12"/>
  <c r="BE258" i="12"/>
  <c r="BE259" i="12" s="1"/>
  <c r="BE265" i="12"/>
  <c r="BK216" i="12"/>
  <c r="BK217" i="12" s="1"/>
  <c r="BK223" i="12"/>
  <c r="BK195" i="12"/>
  <c r="BK196" i="12" s="1"/>
  <c r="BK284" i="12"/>
  <c r="BK202" i="12"/>
  <c r="BK258" i="12"/>
  <c r="BK259" i="12" s="1"/>
  <c r="BK265" i="12"/>
  <c r="BQ285" i="12"/>
  <c r="BQ203" i="12"/>
  <c r="BQ245" i="12"/>
  <c r="BT286" i="12"/>
  <c r="BT204" i="12"/>
  <c r="BT267" i="12"/>
  <c r="BW285" i="12"/>
  <c r="BW203" i="12"/>
  <c r="BW224" i="12"/>
  <c r="BW245" i="12"/>
  <c r="BZ286" i="12"/>
  <c r="BZ204" i="12"/>
  <c r="BZ225" i="12"/>
  <c r="CC216" i="12"/>
  <c r="CC217" i="12" s="1"/>
  <c r="CC223" i="12"/>
  <c r="CC258" i="12"/>
  <c r="CC259" i="12" s="1"/>
  <c r="CC265" i="12"/>
  <c r="CI216" i="12"/>
  <c r="CI217" i="12" s="1"/>
  <c r="CI223" i="12"/>
  <c r="CI195" i="12"/>
  <c r="CI196" i="12" s="1"/>
  <c r="CI284" i="12"/>
  <c r="CI202" i="12"/>
  <c r="CI258" i="12"/>
  <c r="CI259" i="12" s="1"/>
  <c r="CI265" i="12"/>
  <c r="CO285" i="12"/>
  <c r="CO203" i="12"/>
  <c r="CO245" i="12"/>
  <c r="CR286" i="12"/>
  <c r="CR204" i="12"/>
  <c r="CR267" i="12"/>
  <c r="AV423" i="12"/>
  <c r="AV350" i="12"/>
  <c r="AV351" i="12" s="1"/>
  <c r="AV356" i="12"/>
  <c r="AV384" i="12"/>
  <c r="AV385" i="12" s="1"/>
  <c r="AV390" i="12"/>
  <c r="BH367" i="12"/>
  <c r="BH368" i="12" s="1"/>
  <c r="BH373" i="12"/>
  <c r="BH401" i="12"/>
  <c r="BH402" i="12" s="1"/>
  <c r="BH407" i="12"/>
  <c r="BT423" i="12"/>
  <c r="BT350" i="12"/>
  <c r="BT351" i="12" s="1"/>
  <c r="BT356" i="12"/>
  <c r="BT384" i="12"/>
  <c r="BT385" i="12" s="1"/>
  <c r="BT390" i="12"/>
  <c r="BZ367" i="12"/>
  <c r="BZ368" i="12" s="1"/>
  <c r="BZ373" i="12"/>
  <c r="BZ401" i="12"/>
  <c r="BZ402" i="12" s="1"/>
  <c r="BZ407" i="12"/>
  <c r="AM85" i="12"/>
  <c r="AM86" i="12" s="1"/>
  <c r="AM90" i="12"/>
  <c r="AM98" i="12"/>
  <c r="AM99" i="12" s="1"/>
  <c r="AM103" i="12"/>
  <c r="AS85" i="12"/>
  <c r="AS86" i="12" s="1"/>
  <c r="AS90" i="12"/>
  <c r="AS98" i="12"/>
  <c r="AS99" i="12" s="1"/>
  <c r="AS103" i="12"/>
  <c r="AY85" i="12"/>
  <c r="AY86" i="12" s="1"/>
  <c r="AY90" i="12"/>
  <c r="AY98" i="12"/>
  <c r="AY99" i="12" s="1"/>
  <c r="AY103" i="12"/>
  <c r="BE85" i="12"/>
  <c r="BE86" i="12" s="1"/>
  <c r="BE90" i="12"/>
  <c r="BE98" i="12"/>
  <c r="BE99" i="12" s="1"/>
  <c r="BE103" i="12"/>
  <c r="BK85" i="12"/>
  <c r="BK86" i="12" s="1"/>
  <c r="BK90" i="12"/>
  <c r="BK98" i="12"/>
  <c r="BK99" i="12" s="1"/>
  <c r="BK103" i="12"/>
  <c r="BQ85" i="12"/>
  <c r="BQ86" i="12" s="1"/>
  <c r="BQ90" i="12"/>
  <c r="BQ98" i="12"/>
  <c r="BQ99" i="12" s="1"/>
  <c r="BQ103" i="12"/>
  <c r="BW85" i="12"/>
  <c r="BW86" i="12" s="1"/>
  <c r="BW90" i="12"/>
  <c r="BW98" i="12"/>
  <c r="BW99" i="12" s="1"/>
  <c r="BW103" i="12"/>
  <c r="CC85" i="12"/>
  <c r="CC86" i="12" s="1"/>
  <c r="CC90" i="12"/>
  <c r="CC98" i="12"/>
  <c r="CC99" i="12" s="1"/>
  <c r="CC103" i="12"/>
  <c r="CI85" i="12"/>
  <c r="CI86" i="12" s="1"/>
  <c r="CI90" i="12"/>
  <c r="CI98" i="12"/>
  <c r="CI99" i="12" s="1"/>
  <c r="CI103" i="12"/>
  <c r="CO85" i="12"/>
  <c r="CO86" i="12" s="1"/>
  <c r="CO90" i="12"/>
  <c r="CO98" i="12"/>
  <c r="CO99" i="12" s="1"/>
  <c r="CO103" i="12"/>
  <c r="T48" i="14" a="1"/>
  <c r="T48" i="14" s="1"/>
  <c r="T47" i="14" a="1"/>
  <c r="T47" i="14" s="1"/>
  <c r="F70" i="21" a="1"/>
  <c r="F70" i="21" s="1"/>
  <c r="T69" i="21"/>
  <c r="AH66" i="21"/>
  <c r="BE50" i="23"/>
  <c r="AH50" i="23"/>
  <c r="BB51" i="23"/>
  <c r="BM51" i="23" s="1"/>
  <c r="AZ51" i="23"/>
  <c r="BK51" i="23" s="1"/>
  <c r="AX51" i="23"/>
  <c r="BI51" i="23" s="1"/>
  <c r="AV51" i="23"/>
  <c r="BG51" i="23" s="1"/>
  <c r="AT51" i="23"/>
  <c r="BE51" i="23" s="1"/>
  <c r="AR51" i="23"/>
  <c r="AP51" i="23"/>
  <c r="AN51" i="23"/>
  <c r="AL51" i="23"/>
  <c r="AJ51" i="23"/>
  <c r="AF51" i="23"/>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H51" i="23" s="1"/>
  <c r="AE51" i="23"/>
  <c r="F42" i="24" a="1"/>
  <c r="F42" i="24" s="1"/>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81" i="33" a="1"/>
  <c r="F81" i="33" s="1"/>
  <c r="F82" i="33" s="1" a="1"/>
  <c r="F82" i="33" s="1"/>
  <c r="F83" i="33" s="1" a="1"/>
  <c r="F83" i="33" s="1"/>
  <c r="AB42" i="9" a="1"/>
  <c r="AB42" i="9" s="1"/>
  <c r="W42" i="9" a="1"/>
  <c r="W42" i="9" s="1"/>
  <c r="CL424" i="12"/>
  <c r="CL357" i="12"/>
  <c r="CL391" i="12"/>
  <c r="T304" i="12" a="1"/>
  <c r="T304" i="12" s="1"/>
  <c r="U303" i="12"/>
  <c r="CC424" i="12"/>
  <c r="CC357" i="12"/>
  <c r="CC391" i="12"/>
  <c r="F33" i="18" a="1"/>
  <c r="F33" i="18" s="1"/>
  <c r="F50" i="25" a="1"/>
  <c r="F50" i="25" s="1"/>
  <c r="F51" i="25" s="1" a="1"/>
  <c r="F51" i="25" s="1"/>
  <c r="F52" i="25" s="1" a="1"/>
  <c r="F52" i="25" s="1"/>
  <c r="F53" i="25" s="1" a="1"/>
  <c r="F53" i="25" s="1"/>
  <c r="F54" i="25" s="1" a="1"/>
  <c r="F54" i="25" s="1"/>
  <c r="N87" i="27" a="1"/>
  <c r="N87" i="27" s="1"/>
  <c r="BX86" i="27" a="1"/>
  <c r="BX86" i="27" s="1"/>
  <c r="M32" i="28" a="1"/>
  <c r="M32" i="28" s="1"/>
  <c r="AS31" i="28" a="1"/>
  <c r="AS31" i="28" s="1"/>
  <c r="AB35" i="9" a="1"/>
  <c r="AB35" i="9" s="1"/>
  <c r="W35" i="9" a="1"/>
  <c r="W35" i="9" s="1"/>
  <c r="U46" i="9"/>
  <c r="F47" i="9" a="1"/>
  <c r="F47" i="9" s="1"/>
  <c r="AP245" i="12"/>
  <c r="AP266" i="12"/>
  <c r="AV224" i="12"/>
  <c r="AV245" i="12"/>
  <c r="AY225" i="12"/>
  <c r="AY286" i="12"/>
  <c r="AY204" i="12"/>
  <c r="AY267" i="12"/>
  <c r="BB284" i="12"/>
  <c r="BB195" i="12"/>
  <c r="BB196" i="12" s="1"/>
  <c r="BB202" i="12"/>
  <c r="BB216" i="12"/>
  <c r="BB217" i="12" s="1"/>
  <c r="BB223" i="12"/>
  <c r="BE246" i="12"/>
  <c r="BE286" i="12"/>
  <c r="BE204" i="12"/>
  <c r="BH216" i="12"/>
  <c r="BH217" i="12" s="1"/>
  <c r="BH223" i="12"/>
  <c r="BH237" i="12"/>
  <c r="BH238" i="12" s="1"/>
  <c r="BH244" i="12"/>
  <c r="BN245" i="12"/>
  <c r="BN266" i="12"/>
  <c r="BT224" i="12"/>
  <c r="BT245" i="12"/>
  <c r="BW225" i="12"/>
  <c r="BW286" i="12"/>
  <c r="BW204" i="12"/>
  <c r="BW267" i="12"/>
  <c r="BZ284" i="12"/>
  <c r="BZ195" i="12"/>
  <c r="BZ196" i="12" s="1"/>
  <c r="BZ202" i="12"/>
  <c r="BZ216" i="12"/>
  <c r="BZ217" i="12" s="1"/>
  <c r="BZ223" i="12"/>
  <c r="CC246" i="12"/>
  <c r="CC286" i="12"/>
  <c r="CC204" i="12"/>
  <c r="CF216" i="12"/>
  <c r="CF217" i="12" s="1"/>
  <c r="CF223" i="12"/>
  <c r="CF237" i="12"/>
  <c r="CF238" i="12" s="1"/>
  <c r="CF244" i="12"/>
  <c r="CL245" i="12"/>
  <c r="CL266" i="12"/>
  <c r="CR224" i="12"/>
  <c r="CR245" i="12"/>
  <c r="BH374" i="12"/>
  <c r="BH408" i="12"/>
  <c r="BW355" i="12"/>
  <c r="BW432" i="12"/>
  <c r="BW428" i="12"/>
  <c r="BW419" i="12"/>
  <c r="CI433" i="12"/>
  <c r="CI429" i="12"/>
  <c r="CR367" i="12"/>
  <c r="CR368" i="12" s="1"/>
  <c r="CR373" i="12"/>
  <c r="CR401" i="12"/>
  <c r="CR402" i="12" s="1"/>
  <c r="CR407" i="12"/>
  <c r="H50" i="2" a="1"/>
  <c r="H50" i="2" s="1"/>
  <c r="H49" i="2" a="1"/>
  <c r="H49" i="2" s="1"/>
  <c r="AM415" i="12"/>
  <c r="BK415" i="12"/>
  <c r="F82" i="13" a="1"/>
  <c r="F82" i="13" s="1"/>
  <c r="T81" i="13"/>
  <c r="AP423" i="12"/>
  <c r="AP350" i="12"/>
  <c r="AP351" i="12" s="1"/>
  <c r="AP356" i="12"/>
  <c r="AP384" i="12"/>
  <c r="AP385" i="12" s="1"/>
  <c r="AP390" i="12"/>
  <c r="BB367" i="12"/>
  <c r="BB368" i="12" s="1"/>
  <c r="BB373" i="12"/>
  <c r="BB401" i="12"/>
  <c r="BB402" i="12" s="1"/>
  <c r="BB407" i="12"/>
  <c r="BN423" i="12"/>
  <c r="BN350" i="12"/>
  <c r="BN351" i="12" s="1"/>
  <c r="BN356" i="12"/>
  <c r="BN384" i="12"/>
  <c r="BN385" i="12" s="1"/>
  <c r="BN390" i="12"/>
  <c r="CI355" i="12"/>
  <c r="CI432" i="12"/>
  <c r="CI428" i="12"/>
  <c r="CI419" i="12"/>
  <c r="AM285" i="12"/>
  <c r="AM203" i="12"/>
  <c r="AM224" i="12"/>
  <c r="AM245" i="12"/>
  <c r="AP286" i="12"/>
  <c r="AP204" i="12"/>
  <c r="AP225" i="12"/>
  <c r="AS216" i="12"/>
  <c r="AS217" i="12" s="1"/>
  <c r="AS223" i="12"/>
  <c r="AS258" i="12"/>
  <c r="AS259" i="12" s="1"/>
  <c r="AS265" i="12"/>
  <c r="AY216" i="12"/>
  <c r="AY217" i="12" s="1"/>
  <c r="AY223" i="12"/>
  <c r="AY195" i="12"/>
  <c r="AY196" i="12" s="1"/>
  <c r="AY284" i="12"/>
  <c r="AY202" i="12"/>
  <c r="AY258" i="12"/>
  <c r="AY259" i="12" s="1"/>
  <c r="AY265" i="12"/>
  <c r="BE285" i="12"/>
  <c r="BE203" i="12"/>
  <c r="BE245" i="12"/>
  <c r="BH286" i="12"/>
  <c r="BH204" i="12"/>
  <c r="BH267" i="12"/>
  <c r="BK285" i="12"/>
  <c r="BK203" i="12"/>
  <c r="BK224" i="12"/>
  <c r="BK245" i="12"/>
  <c r="BN286" i="12"/>
  <c r="BN204" i="12"/>
  <c r="BN225" i="12"/>
  <c r="BQ216" i="12"/>
  <c r="BQ217" i="12" s="1"/>
  <c r="BQ223" i="12"/>
  <c r="BQ258" i="12"/>
  <c r="BQ259" i="12" s="1"/>
  <c r="BQ265" i="12"/>
  <c r="BW216" i="12"/>
  <c r="BW217" i="12" s="1"/>
  <c r="BW223" i="12"/>
  <c r="BW195" i="12"/>
  <c r="BW196" i="12" s="1"/>
  <c r="BW284" i="12"/>
  <c r="BW202" i="12"/>
  <c r="BW258" i="12"/>
  <c r="BW259" i="12" s="1"/>
  <c r="BW265" i="12"/>
  <c r="CC285" i="12"/>
  <c r="CC203" i="12"/>
  <c r="CC245" i="12"/>
  <c r="CF286" i="12"/>
  <c r="CF204" i="12"/>
  <c r="CF267" i="12"/>
  <c r="CI285" i="12"/>
  <c r="CI203" i="12"/>
  <c r="CI224" i="12"/>
  <c r="CI245" i="12"/>
  <c r="CL286" i="12"/>
  <c r="CL204" i="12"/>
  <c r="CL225" i="12"/>
  <c r="CO216" i="12"/>
  <c r="CO217" i="12" s="1"/>
  <c r="CO223" i="12"/>
  <c r="CO258" i="12"/>
  <c r="CO259" i="12" s="1"/>
  <c r="CO265" i="12"/>
  <c r="BZ424" i="12"/>
  <c r="BZ357" i="12"/>
  <c r="BZ391" i="12"/>
  <c r="CR424" i="12"/>
  <c r="CR357" i="12"/>
  <c r="CR391" i="12"/>
  <c r="AP98" i="12"/>
  <c r="AP99" i="12" s="1"/>
  <c r="AP103" i="12"/>
  <c r="AP111" i="12"/>
  <c r="AP112" i="12" s="1"/>
  <c r="AP116" i="12"/>
  <c r="AV98" i="12"/>
  <c r="AV99" i="12" s="1"/>
  <c r="AV103" i="12"/>
  <c r="AV111" i="12"/>
  <c r="AV112" i="12" s="1"/>
  <c r="AV116" i="12"/>
  <c r="BB98" i="12"/>
  <c r="BB99" i="12" s="1"/>
  <c r="BB103" i="12"/>
  <c r="BB111" i="12"/>
  <c r="BB112" i="12" s="1"/>
  <c r="BB116" i="12"/>
  <c r="BH98" i="12"/>
  <c r="BH99" i="12" s="1"/>
  <c r="BH103" i="12"/>
  <c r="BH111" i="12"/>
  <c r="BH112" i="12" s="1"/>
  <c r="BH116" i="12"/>
  <c r="BN98" i="12"/>
  <c r="BN99" i="12" s="1"/>
  <c r="BN103" i="12"/>
  <c r="BN111" i="12"/>
  <c r="BN112" i="12" s="1"/>
  <c r="BN116" i="12"/>
  <c r="BT98" i="12"/>
  <c r="BT99" i="12" s="1"/>
  <c r="BT103" i="12"/>
  <c r="BT111" i="12"/>
  <c r="BT112" i="12" s="1"/>
  <c r="BT116" i="12"/>
  <c r="BZ98" i="12"/>
  <c r="BZ99" i="12" s="1"/>
  <c r="BZ103" i="12"/>
  <c r="BZ111" i="12"/>
  <c r="BZ112" i="12" s="1"/>
  <c r="BZ116" i="12"/>
  <c r="CF98" i="12"/>
  <c r="CF99" i="12" s="1"/>
  <c r="CF103" i="12"/>
  <c r="CF111" i="12"/>
  <c r="CF112" i="12" s="1"/>
  <c r="CF116" i="12"/>
  <c r="CL98" i="12"/>
  <c r="CL99" i="12" s="1"/>
  <c r="CL103" i="12"/>
  <c r="CL111" i="12"/>
  <c r="CL112" i="12" s="1"/>
  <c r="CL116" i="12"/>
  <c r="CR98" i="12"/>
  <c r="CR99" i="12" s="1"/>
  <c r="CR103" i="12"/>
  <c r="CR111" i="12"/>
  <c r="CR112" i="12" s="1"/>
  <c r="CR116" i="12"/>
  <c r="BK404" i="12"/>
  <c r="BK387" i="12"/>
  <c r="BK370" i="12"/>
  <c r="BK353" i="12"/>
  <c r="CO350" i="12"/>
  <c r="CO351" i="12" s="1"/>
  <c r="CO423" i="12"/>
  <c r="CO356" i="12"/>
  <c r="CO384" i="12"/>
  <c r="CO385" i="12" s="1"/>
  <c r="CO390" i="12"/>
  <c r="T58" i="17"/>
  <c r="F60" i="17" a="1"/>
  <c r="F60" i="17" s="1"/>
  <c r="A58" i="17"/>
  <c r="T64" i="17"/>
  <c r="F65" i="17" a="1"/>
  <c r="F65" i="17" s="1"/>
  <c r="G64" i="17"/>
  <c r="F39" i="17" a="1"/>
  <c r="F39" i="17" s="1"/>
  <c r="F37" i="17" a="1"/>
  <c r="F37" i="17" s="1"/>
  <c r="F36" i="17" a="1"/>
  <c r="F36" i="17" s="1"/>
  <c r="T143" i="27"/>
  <c r="F144" i="27" a="1"/>
  <c r="F144" i="27" s="1"/>
  <c r="F34" i="8" a="1"/>
  <c r="F34" i="8" s="1"/>
  <c r="U33" i="8"/>
  <c r="F34" i="9" a="1"/>
  <c r="F34" i="9" s="1"/>
  <c r="U34" i="9" s="1"/>
  <c r="U33" i="9"/>
  <c r="CF423" i="12"/>
  <c r="CF350" i="12"/>
  <c r="CF351" i="12" s="1"/>
  <c r="CF356" i="12"/>
  <c r="CF384" i="12"/>
  <c r="CF385" i="12" s="1"/>
  <c r="CF390" i="12"/>
  <c r="CL367" i="12"/>
  <c r="CL368" i="12" s="1"/>
  <c r="CL373" i="12"/>
  <c r="CL401" i="12"/>
  <c r="CL402" i="12" s="1"/>
  <c r="CL407" i="12"/>
  <c r="F39" i="13" a="1"/>
  <c r="F39" i="13" s="1"/>
  <c r="T38" i="13"/>
  <c r="T79" i="17" a="1"/>
  <c r="T79" i="17" s="1"/>
  <c r="T78" i="17" a="1"/>
  <c r="T78" i="17" s="1"/>
  <c r="F59" i="18" a="1"/>
  <c r="F59" i="18" s="1"/>
  <c r="F60" i="18" s="1" a="1"/>
  <c r="F60" i="18" s="1"/>
  <c r="F61" i="18" s="1" a="1"/>
  <c r="F61" i="18" s="1"/>
  <c r="T58" i="18"/>
  <c r="T59" i="18" s="1" a="1"/>
  <c r="T59" i="18" s="1"/>
  <c r="T60" i="18" s="1" a="1"/>
  <c r="T60" i="18" s="1"/>
  <c r="AH70" i="23"/>
  <c r="BB71" i="23"/>
  <c r="BM71" i="23" s="1"/>
  <c r="AZ71" i="23"/>
  <c r="BK71" i="23" s="1"/>
  <c r="AX71" i="23"/>
  <c r="BI71" i="23" s="1"/>
  <c r="AV71" i="23"/>
  <c r="BG71" i="23" s="1"/>
  <c r="AT71" i="23"/>
  <c r="BE71" i="23" s="1"/>
  <c r="AR71" i="23"/>
  <c r="AP71" i="23"/>
  <c r="AN71" i="23"/>
  <c r="AL71" i="23"/>
  <c r="AJ71" i="23"/>
  <c r="AF71" i="23"/>
  <c r="F72" i="23" a="1"/>
  <c r="F72" i="23" s="1"/>
  <c r="F73" i="23" s="1" a="1"/>
  <c r="F73" i="23" s="1"/>
  <c r="BC71" i="23"/>
  <c r="BA71" i="23"/>
  <c r="BL71" i="23" s="1"/>
  <c r="AY71" i="23"/>
  <c r="BJ71" i="23" s="1"/>
  <c r="AW71" i="23"/>
  <c r="BH71" i="23" s="1"/>
  <c r="AU71" i="23"/>
  <c r="BF71" i="23" s="1"/>
  <c r="AS71" i="23"/>
  <c r="AQ71" i="23"/>
  <c r="AO71" i="23"/>
  <c r="AM71" i="23"/>
  <c r="AK71" i="23"/>
  <c r="AI71" i="23"/>
  <c r="BD71" i="23" s="1"/>
  <c r="AG71" i="23"/>
  <c r="AE71" i="23"/>
  <c r="F32" i="30" a="1"/>
  <c r="F32" i="30" s="1"/>
  <c r="T31" i="30"/>
  <c r="U36" i="6"/>
  <c r="F37" i="6" a="1"/>
  <c r="F37" i="6" s="1"/>
  <c r="AM225" i="12"/>
  <c r="AM286" i="12"/>
  <c r="AM204" i="12"/>
  <c r="AM267" i="12"/>
  <c r="AP284" i="12"/>
  <c r="AP195" i="12"/>
  <c r="AP196" i="12" s="1"/>
  <c r="AP202" i="12"/>
  <c r="AP216" i="12"/>
  <c r="AP217" i="12" s="1"/>
  <c r="AP223" i="12"/>
  <c r="AS246" i="12"/>
  <c r="AS286" i="12"/>
  <c r="AS204" i="12"/>
  <c r="AV216" i="12"/>
  <c r="AV217" i="12" s="1"/>
  <c r="AV223" i="12"/>
  <c r="AV237" i="12"/>
  <c r="AV238" i="12" s="1"/>
  <c r="AV244" i="12"/>
  <c r="BB245" i="12"/>
  <c r="BB266" i="12"/>
  <c r="BH224" i="12"/>
  <c r="BH245" i="12"/>
  <c r="BK225" i="12"/>
  <c r="BK286" i="12"/>
  <c r="BK204" i="12"/>
  <c r="BK267" i="12"/>
  <c r="BN284" i="12"/>
  <c r="BN195" i="12"/>
  <c r="BN196" i="12" s="1"/>
  <c r="BN202" i="12"/>
  <c r="BN216" i="12"/>
  <c r="BN217" i="12" s="1"/>
  <c r="BN223" i="12"/>
  <c r="BQ246" i="12"/>
  <c r="BQ286" i="12"/>
  <c r="BQ204" i="12"/>
  <c r="BT216" i="12"/>
  <c r="BT217" i="12" s="1"/>
  <c r="BT223" i="12"/>
  <c r="BT237" i="12"/>
  <c r="BT238" i="12" s="1"/>
  <c r="BT244" i="12"/>
  <c r="BZ245" i="12"/>
  <c r="BZ266" i="12"/>
  <c r="CF224" i="12"/>
  <c r="CF245" i="12"/>
  <c r="CI225" i="12"/>
  <c r="CI286" i="12"/>
  <c r="CI204" i="12"/>
  <c r="CI267" i="12"/>
  <c r="CL284" i="12"/>
  <c r="CL195" i="12"/>
  <c r="CL196" i="12" s="1"/>
  <c r="CL202" i="12"/>
  <c r="CL216" i="12"/>
  <c r="CL217" i="12" s="1"/>
  <c r="CL223" i="12"/>
  <c r="CO246" i="12"/>
  <c r="CO286" i="12"/>
  <c r="CO204" i="12"/>
  <c r="CR216" i="12"/>
  <c r="CR217" i="12" s="1"/>
  <c r="CR223" i="12"/>
  <c r="CR237" i="12"/>
  <c r="CR238" i="12" s="1"/>
  <c r="CR244" i="12"/>
  <c r="AV374" i="12"/>
  <c r="AV408" i="12"/>
  <c r="BT424" i="12"/>
  <c r="BT357" i="12"/>
  <c r="BT391" i="12"/>
  <c r="BW406" i="12"/>
  <c r="CY192" i="12" a="1"/>
  <c r="CY192" i="12" s="1"/>
  <c r="AG192" i="12"/>
  <c r="AE198" i="12" a="1"/>
  <c r="AE198" i="12" s="1"/>
  <c r="X198" i="12"/>
  <c r="CO374" i="12"/>
  <c r="CO408" i="12"/>
  <c r="F56" i="30" a="1"/>
  <c r="F56" i="30" s="1"/>
  <c r="T55" i="30"/>
  <c r="AP374" i="12"/>
  <c r="AP408" i="12"/>
  <c r="BB374" i="12"/>
  <c r="BB408" i="12"/>
  <c r="BN374" i="12"/>
  <c r="BN408" i="12"/>
  <c r="CF374" i="12"/>
  <c r="CF408" i="12"/>
  <c r="CI372" i="12"/>
  <c r="T64" i="14" a="1"/>
  <c r="T64" i="14" s="1"/>
  <c r="T63" i="14" a="1"/>
  <c r="T63" i="14" s="1"/>
  <c r="AS403" i="12"/>
  <c r="AS386" i="12"/>
  <c r="AS369" i="12"/>
  <c r="AS352" i="12"/>
  <c r="BQ403" i="12"/>
  <c r="BQ386" i="12"/>
  <c r="BQ369" i="12"/>
  <c r="BQ352" i="12"/>
  <c r="CC367" i="12"/>
  <c r="CC368" i="12" s="1"/>
  <c r="CC373" i="12"/>
  <c r="CC401" i="12"/>
  <c r="CC402" i="12" s="1"/>
  <c r="CC407" i="12"/>
  <c r="BB50" i="22"/>
  <c r="AZ50" i="22"/>
  <c r="AX50" i="22"/>
  <c r="AV50" i="22"/>
  <c r="AT50" i="22"/>
  <c r="AR50" i="22"/>
  <c r="AP50" i="22"/>
  <c r="AN50" i="22"/>
  <c r="AL50" i="22"/>
  <c r="AJ50" i="22"/>
  <c r="F51" i="22" a="1"/>
  <c r="F51" i="22" s="1"/>
  <c r="BC50" i="22"/>
  <c r="BA50" i="22"/>
  <c r="AY50" i="22"/>
  <c r="AW50" i="22"/>
  <c r="AU50" i="22"/>
  <c r="AS50" i="22"/>
  <c r="AQ50" i="22"/>
  <c r="AO50" i="22"/>
  <c r="AM50" i="22"/>
  <c r="AK50" i="22"/>
  <c r="AH30" i="23"/>
  <c r="BB31" i="23"/>
  <c r="BM31" i="23" s="1"/>
  <c r="AZ31" i="23"/>
  <c r="BK31" i="23" s="1"/>
  <c r="AX31" i="23"/>
  <c r="BI31" i="23" s="1"/>
  <c r="AV31" i="23"/>
  <c r="BG31" i="23" s="1"/>
  <c r="AT31" i="23"/>
  <c r="BE31" i="23" s="1"/>
  <c r="AR31" i="23"/>
  <c r="AP31" i="23"/>
  <c r="AN31" i="23"/>
  <c r="AL31" i="23"/>
  <c r="AJ31" i="23"/>
  <c r="AF31" i="23"/>
  <c r="F32" i="23" a="1"/>
  <c r="F32" i="23" s="1"/>
  <c r="BC31" i="23"/>
  <c r="BA31" i="23"/>
  <c r="BL31" i="23" s="1"/>
  <c r="AY31" i="23"/>
  <c r="BJ31" i="23" s="1"/>
  <c r="AW31" i="23"/>
  <c r="BH31" i="23" s="1"/>
  <c r="AU31" i="23"/>
  <c r="BF31" i="23" s="1"/>
  <c r="AS31" i="23"/>
  <c r="AQ31" i="23"/>
  <c r="AO31" i="23"/>
  <c r="AM31" i="23"/>
  <c r="AK31" i="23"/>
  <c r="AI31" i="23"/>
  <c r="BD31" i="23" s="1"/>
  <c r="AG31" i="23"/>
  <c r="AH31" i="23" s="1"/>
  <c r="AE31" i="23"/>
  <c r="F32" i="31" a="1"/>
  <c r="F32" i="31" s="1"/>
  <c r="T31" i="31"/>
  <c r="AS224" i="12"/>
  <c r="AV225" i="12"/>
  <c r="BB246" i="12"/>
  <c r="BE284" i="12"/>
  <c r="BE195" i="12"/>
  <c r="BE196" i="12" s="1"/>
  <c r="BE202" i="12"/>
  <c r="BK237" i="12"/>
  <c r="BK238" i="12" s="1"/>
  <c r="BK244" i="12"/>
  <c r="BQ266" i="12"/>
  <c r="BT246" i="12"/>
  <c r="BW266" i="12"/>
  <c r="BZ267" i="12"/>
  <c r="CC237" i="12"/>
  <c r="CC238" i="12" s="1"/>
  <c r="CC244" i="12"/>
  <c r="CO266" i="12"/>
  <c r="CR225" i="12"/>
  <c r="AV367" i="12"/>
  <c r="AV368" i="12" s="1"/>
  <c r="AV373" i="12"/>
  <c r="BH423" i="12"/>
  <c r="BH350" i="12"/>
  <c r="BH351" i="12" s="1"/>
  <c r="BH356" i="12"/>
  <c r="BT367" i="12"/>
  <c r="BT368" i="12" s="1"/>
  <c r="BT373" i="12"/>
  <c r="BZ423" i="12"/>
  <c r="BZ350" i="12"/>
  <c r="BZ351" i="12" s="1"/>
  <c r="BZ356" i="12"/>
  <c r="AM129" i="12"/>
  <c r="AM72" i="12"/>
  <c r="AM73" i="12" s="1"/>
  <c r="AM77" i="12"/>
  <c r="AS111" i="12"/>
  <c r="AS112" i="12" s="1"/>
  <c r="AS116" i="12"/>
  <c r="AY129" i="12"/>
  <c r="AY72" i="12"/>
  <c r="AY73" i="12" s="1"/>
  <c r="AY77" i="12"/>
  <c r="BE111" i="12"/>
  <c r="BE112" i="12" s="1"/>
  <c r="BE116" i="12"/>
  <c r="BK129" i="12"/>
  <c r="BK72" i="12"/>
  <c r="BK73" i="12" s="1"/>
  <c r="BK77" i="12"/>
  <c r="BQ111" i="12"/>
  <c r="BQ112" i="12" s="1"/>
  <c r="BQ116" i="12"/>
  <c r="BW129" i="12"/>
  <c r="BW72" i="12"/>
  <c r="BW73" i="12" s="1"/>
  <c r="BW77" i="12"/>
  <c r="CC111" i="12"/>
  <c r="CC112" i="12" s="1"/>
  <c r="CC116" i="12"/>
  <c r="CI129" i="12"/>
  <c r="CI72" i="12"/>
  <c r="CI73" i="12" s="1"/>
  <c r="CI77" i="12"/>
  <c r="CO111" i="12"/>
  <c r="CO112" i="12" s="1"/>
  <c r="CO116" i="12"/>
  <c r="CZ357" i="12" a="1"/>
  <c r="CZ357" i="12" s="1"/>
  <c r="AF361" i="12" a="1"/>
  <c r="AF361" i="12" s="1"/>
  <c r="AM403" i="12"/>
  <c r="AM386" i="12"/>
  <c r="AM369" i="12"/>
  <c r="AM352" i="12"/>
  <c r="F35" i="28" a="1"/>
  <c r="F35" i="28" s="1"/>
  <c r="T158" i="12" a="1"/>
  <c r="T158" i="12" s="1"/>
  <c r="U158" i="12" s="1"/>
  <c r="L159" i="12" a="1"/>
  <c r="L159" i="12" s="1"/>
  <c r="L160" i="12" s="1" a="1"/>
  <c r="L160" i="12" s="1"/>
  <c r="L161" i="12" s="1" a="1"/>
  <c r="L161" i="12" s="1"/>
  <c r="L162" i="12" s="1" a="1"/>
  <c r="L162" i="12" s="1"/>
  <c r="L163" i="12" s="1" a="1"/>
  <c r="L163" i="12" s="1"/>
  <c r="CL374" i="12"/>
  <c r="CL408" i="12"/>
  <c r="BE404" i="12"/>
  <c r="BE387" i="12"/>
  <c r="BE370" i="12"/>
  <c r="BE353" i="12"/>
  <c r="CC374" i="12"/>
  <c r="CC408" i="12"/>
  <c r="F32" i="22" a="1"/>
  <c r="F32" i="22" s="1"/>
  <c r="BC31" i="22"/>
  <c r="BA31" i="22"/>
  <c r="AY31" i="22"/>
  <c r="AW31" i="22"/>
  <c r="AU31" i="22"/>
  <c r="AS31" i="22"/>
  <c r="AQ31" i="22"/>
  <c r="AO31" i="22"/>
  <c r="AM31" i="22"/>
  <c r="AK31" i="22"/>
  <c r="AI31" i="22"/>
  <c r="BB31" i="22"/>
  <c r="AZ31" i="22"/>
  <c r="AX31" i="22"/>
  <c r="AV31" i="22"/>
  <c r="AT31" i="22"/>
  <c r="AR31" i="22"/>
  <c r="AP31" i="22"/>
  <c r="AN31" i="22"/>
  <c r="AL31" i="22"/>
  <c r="AJ31" i="22"/>
  <c r="F32" i="24" a="1"/>
  <c r="F32" i="24" s="1"/>
  <c r="F97" i="25" a="1"/>
  <c r="F97" i="25" s="1"/>
  <c r="F98" i="25" s="1" a="1"/>
  <c r="F98" i="25" s="1"/>
  <c r="F99" i="25" s="1" a="1"/>
  <c r="F99" i="25" s="1"/>
  <c r="F100" i="25" s="1" a="1"/>
  <c r="F100" i="25" s="1"/>
  <c r="F101" i="25" s="1" a="1"/>
  <c r="F101" i="25" s="1"/>
  <c r="T32" i="12" a="1"/>
  <c r="T32" i="12" s="1"/>
  <c r="U31" i="12"/>
  <c r="AP224" i="12"/>
  <c r="AP285" i="12"/>
  <c r="AP203" i="12"/>
  <c r="AV285" i="12"/>
  <c r="AV203" i="12"/>
  <c r="AV266" i="12"/>
  <c r="AY246" i="12"/>
  <c r="BB258" i="12"/>
  <c r="BB259" i="12" s="1"/>
  <c r="BB265" i="12"/>
  <c r="BB237" i="12"/>
  <c r="BB238" i="12" s="1"/>
  <c r="BB244" i="12"/>
  <c r="BE225" i="12"/>
  <c r="BE267" i="12"/>
  <c r="BH284" i="12"/>
  <c r="BH195" i="12"/>
  <c r="BH196" i="12" s="1"/>
  <c r="BH202" i="12"/>
  <c r="BH258" i="12"/>
  <c r="BH259" i="12" s="1"/>
  <c r="BH265" i="12"/>
  <c r="BN224" i="12"/>
  <c r="BN285" i="12"/>
  <c r="BN203" i="12"/>
  <c r="BT285" i="12"/>
  <c r="BT203" i="12"/>
  <c r="BT266" i="12"/>
  <c r="BW246" i="12"/>
  <c r="BZ258" i="12"/>
  <c r="BZ259" i="12" s="1"/>
  <c r="BZ265" i="12"/>
  <c r="BZ237" i="12"/>
  <c r="BZ238" i="12" s="1"/>
  <c r="BZ244" i="12"/>
  <c r="CC225" i="12"/>
  <c r="CC267" i="12"/>
  <c r="CF284" i="12"/>
  <c r="CF195" i="12"/>
  <c r="CF196" i="12" s="1"/>
  <c r="CF202" i="12"/>
  <c r="CF258" i="12"/>
  <c r="CF259" i="12" s="1"/>
  <c r="CF265" i="12"/>
  <c r="CL224" i="12"/>
  <c r="CL285" i="12"/>
  <c r="CL203" i="12"/>
  <c r="CR285" i="12"/>
  <c r="CR203" i="12"/>
  <c r="CR266" i="12"/>
  <c r="BH424" i="12"/>
  <c r="BH357" i="12"/>
  <c r="BH391" i="12"/>
  <c r="BW389" i="12"/>
  <c r="CR423" i="12"/>
  <c r="CR350" i="12"/>
  <c r="CR351" i="12" s="1"/>
  <c r="CR356" i="12"/>
  <c r="CR384" i="12"/>
  <c r="CR385" i="12" s="1"/>
  <c r="CR390" i="12"/>
  <c r="S317" i="12" a="1"/>
  <c r="S317" i="12" s="1"/>
  <c r="U316" i="12"/>
  <c r="AY403" i="12"/>
  <c r="AY386" i="12"/>
  <c r="AY369" i="12"/>
  <c r="AY352" i="12"/>
  <c r="T87" i="27"/>
  <c r="F88" i="27" a="1"/>
  <c r="F88" i="27" s="1"/>
  <c r="F102" i="28" a="1"/>
  <c r="F102" i="28" s="1"/>
  <c r="F126" i="33" a="1"/>
  <c r="F126" i="33" s="1"/>
  <c r="K125" i="33" a="1"/>
  <c r="K125" i="33" s="1"/>
  <c r="K126" i="33" s="1" a="1"/>
  <c r="K126" i="33" s="1"/>
  <c r="K127" i="33" s="1" a="1"/>
  <c r="K127" i="33" s="1"/>
  <c r="K128" i="33" s="1" a="1"/>
  <c r="K128" i="33" s="1"/>
  <c r="K129" i="33" s="1" a="1"/>
  <c r="K129" i="33" s="1"/>
  <c r="K130" i="33" s="1" a="1"/>
  <c r="K130" i="33" s="1"/>
  <c r="K131" i="33" s="1" a="1"/>
  <c r="K131" i="33" s="1"/>
  <c r="K132" i="33" s="1" a="1"/>
  <c r="K132" i="33" s="1"/>
  <c r="K133" i="33" s="1" a="1"/>
  <c r="K133" i="33" s="1"/>
  <c r="K134" i="33" s="1" a="1"/>
  <c r="K134" i="33" s="1"/>
  <c r="K135" i="33" s="1" a="1"/>
  <c r="K135" i="33" s="1"/>
  <c r="K136" i="33" s="1" a="1"/>
  <c r="K136" i="33" s="1"/>
  <c r="K137" i="33" s="1" a="1"/>
  <c r="K137" i="33" s="1"/>
  <c r="K138" i="33" s="1" a="1"/>
  <c r="K138" i="33" s="1"/>
  <c r="K139" i="33" s="1" a="1"/>
  <c r="K139" i="33" s="1"/>
  <c r="K140" i="33" s="1" a="1"/>
  <c r="K140" i="33" s="1"/>
  <c r="K141" i="33" s="1" a="1"/>
  <c r="K141" i="33" s="1"/>
  <c r="K142" i="33" s="1" a="1"/>
  <c r="K142" i="33" s="1"/>
  <c r="K143" i="33" s="1" a="1"/>
  <c r="K143" i="33" s="1"/>
  <c r="K144" i="33" s="1" a="1"/>
  <c r="K144" i="33" s="1"/>
  <c r="K145" i="33" s="1" a="1"/>
  <c r="K145" i="33" s="1"/>
  <c r="K146" i="33" s="1" a="1"/>
  <c r="K146" i="33" s="1"/>
  <c r="K147" i="33" s="1" a="1"/>
  <c r="K147" i="33" s="1"/>
  <c r="K148" i="33" s="1" a="1"/>
  <c r="K148" i="33" s="1"/>
  <c r="K149" i="33" s="1" a="1"/>
  <c r="K149" i="33" s="1"/>
  <c r="K150" i="33" s="1" a="1"/>
  <c r="K150" i="33" s="1"/>
  <c r="K151" i="33" s="1" a="1"/>
  <c r="K151" i="33" s="1"/>
  <c r="K152" i="33" s="1" a="1"/>
  <c r="K152" i="33" s="1"/>
  <c r="K153" i="33" s="1" a="1"/>
  <c r="K153" i="33" s="1"/>
  <c r="K154" i="33" s="1" a="1"/>
  <c r="K154" i="33" s="1"/>
  <c r="K155" i="33" s="1" a="1"/>
  <c r="K155" i="33" s="1"/>
  <c r="K156" i="33" s="1" a="1"/>
  <c r="K156" i="33" s="1"/>
  <c r="K157" i="33" s="1" a="1"/>
  <c r="K157" i="33" s="1"/>
  <c r="K158" i="33" s="1" a="1"/>
  <c r="K158" i="33" s="1"/>
  <c r="K159" i="33" s="1" a="1"/>
  <c r="K159" i="33" s="1"/>
  <c r="K160" i="33" s="1" a="1"/>
  <c r="K160" i="33" s="1"/>
  <c r="K161" i="33" s="1" a="1"/>
  <c r="K161" i="33" s="1"/>
  <c r="K162" i="33" s="1" a="1"/>
  <c r="K162" i="33" s="1"/>
  <c r="K163" i="33" s="1" a="1"/>
  <c r="K163" i="33" s="1"/>
  <c r="K164" i="33" s="1" a="1"/>
  <c r="K164" i="33" s="1"/>
  <c r="AP367" i="12"/>
  <c r="AP368" i="12" s="1"/>
  <c r="AP373" i="12"/>
  <c r="AP401" i="12"/>
  <c r="AP402" i="12" s="1"/>
  <c r="AP407" i="12"/>
  <c r="BB423" i="12"/>
  <c r="BB350" i="12"/>
  <c r="BB351" i="12" s="1"/>
  <c r="BB356" i="12"/>
  <c r="BB384" i="12"/>
  <c r="BB385" i="12" s="1"/>
  <c r="BB390" i="12"/>
  <c r="BN367" i="12"/>
  <c r="BN368" i="12" s="1"/>
  <c r="BN373" i="12"/>
  <c r="BN401" i="12"/>
  <c r="BN402" i="12" s="1"/>
  <c r="BN407" i="12"/>
  <c r="CI389" i="12"/>
  <c r="F86" i="31" a="1"/>
  <c r="F86" i="31" s="1"/>
  <c r="T85" i="31"/>
  <c r="AM266" i="12"/>
  <c r="AP267" i="12"/>
  <c r="AP246" i="12"/>
  <c r="AS237" i="12"/>
  <c r="AS238" i="12" s="1"/>
  <c r="AS244" i="12"/>
  <c r="AS284" i="12"/>
  <c r="AS195" i="12"/>
  <c r="AS196" i="12" s="1"/>
  <c r="AS202" i="12"/>
  <c r="AY237" i="12"/>
  <c r="AY238" i="12" s="1"/>
  <c r="AY244" i="12"/>
  <c r="BE266" i="12"/>
  <c r="BE224" i="12"/>
  <c r="BH225" i="12"/>
  <c r="BH246" i="12"/>
  <c r="BK266" i="12"/>
  <c r="BN267" i="12"/>
  <c r="BN246" i="12"/>
  <c r="BQ237" i="12"/>
  <c r="BQ238" i="12" s="1"/>
  <c r="BQ244" i="12"/>
  <c r="BQ284" i="12"/>
  <c r="BQ195" i="12"/>
  <c r="BQ196" i="12" s="1"/>
  <c r="BQ202" i="12"/>
  <c r="BW237" i="12"/>
  <c r="BW238" i="12" s="1"/>
  <c r="BW244" i="12"/>
  <c r="CC266" i="12"/>
  <c r="CC224" i="12"/>
  <c r="CF225" i="12"/>
  <c r="CF246" i="12"/>
  <c r="CI266" i="12"/>
  <c r="CL267" i="12"/>
  <c r="CL246" i="12"/>
  <c r="CO237" i="12"/>
  <c r="CO238" i="12" s="1"/>
  <c r="CO244" i="12"/>
  <c r="CO284" i="12"/>
  <c r="CO195" i="12"/>
  <c r="CO196" i="12" s="1"/>
  <c r="CO202" i="12"/>
  <c r="AF204" i="12" a="1"/>
  <c r="AF204" i="12" s="1"/>
  <c r="CZ199" i="12" a="1"/>
  <c r="CZ199" i="12" s="1"/>
  <c r="BZ374" i="12"/>
  <c r="BZ408" i="12"/>
  <c r="CR374" i="12"/>
  <c r="CR408" i="12"/>
  <c r="F40" i="9" a="1"/>
  <c r="F40" i="9" s="1"/>
  <c r="U39" i="9"/>
  <c r="AP129" i="12"/>
  <c r="AP72" i="12"/>
  <c r="AP73" i="12" s="1"/>
  <c r="AP77" i="12"/>
  <c r="AP85" i="12"/>
  <c r="AP86" i="12" s="1"/>
  <c r="AP90" i="12"/>
  <c r="AV129" i="12"/>
  <c r="AV72" i="12"/>
  <c r="AV73" i="12" s="1"/>
  <c r="AV77" i="12"/>
  <c r="AV85" i="12"/>
  <c r="AV86" i="12" s="1"/>
  <c r="AV90" i="12"/>
  <c r="BB129" i="12"/>
  <c r="BB72" i="12"/>
  <c r="BB73" i="12" s="1"/>
  <c r="BB77" i="12"/>
  <c r="BB85" i="12"/>
  <c r="BB86" i="12" s="1"/>
  <c r="BB90" i="12"/>
  <c r="BH129" i="12"/>
  <c r="BH72" i="12"/>
  <c r="BH73" i="12" s="1"/>
  <c r="BH77" i="12"/>
  <c r="BH85" i="12"/>
  <c r="BH86" i="12" s="1"/>
  <c r="BH90" i="12"/>
  <c r="BN129" i="12"/>
  <c r="BN72" i="12"/>
  <c r="BN73" i="12" s="1"/>
  <c r="BN77" i="12"/>
  <c r="BN85" i="12"/>
  <c r="BN86" i="12" s="1"/>
  <c r="BN90" i="12"/>
  <c r="BT129" i="12"/>
  <c r="BT72" i="12"/>
  <c r="BT73" i="12" s="1"/>
  <c r="BT77" i="12"/>
  <c r="BT85" i="12"/>
  <c r="BT86" i="12" s="1"/>
  <c r="BT90" i="12"/>
  <c r="BZ129" i="12"/>
  <c r="BZ72" i="12"/>
  <c r="BZ73" i="12" s="1"/>
  <c r="BZ77" i="12"/>
  <c r="BZ85" i="12"/>
  <c r="BZ86" i="12" s="1"/>
  <c r="BZ90" i="12"/>
  <c r="CF129" i="12"/>
  <c r="CF72" i="12"/>
  <c r="CF73" i="12" s="1"/>
  <c r="CF77" i="12"/>
  <c r="CF85" i="12"/>
  <c r="CF86" i="12" s="1"/>
  <c r="CF90" i="12"/>
  <c r="CL129" i="12"/>
  <c r="CL72" i="12"/>
  <c r="CL73" i="12" s="1"/>
  <c r="CL77" i="12"/>
  <c r="CL85" i="12"/>
  <c r="CL86" i="12" s="1"/>
  <c r="CL90" i="12"/>
  <c r="CR129" i="12"/>
  <c r="CR72" i="12"/>
  <c r="CR73" i="12" s="1"/>
  <c r="CR77" i="12"/>
  <c r="CR85" i="12"/>
  <c r="CR86" i="12" s="1"/>
  <c r="CR90" i="12"/>
  <c r="F53" i="14" a="1"/>
  <c r="F53" i="14" s="1"/>
  <c r="F54" i="14" s="1" a="1"/>
  <c r="F54" i="14" s="1"/>
  <c r="A52" i="14"/>
  <c r="T52" i="14"/>
  <c r="AM404" i="12"/>
  <c r="AM387" i="12"/>
  <c r="AM370" i="12"/>
  <c r="AM353" i="12"/>
  <c r="CO367" i="12"/>
  <c r="CO368" i="12" s="1"/>
  <c r="CO373" i="12"/>
  <c r="CO401" i="12"/>
  <c r="CO402" i="12" s="1"/>
  <c r="CO407" i="12"/>
  <c r="F36" i="14" a="1"/>
  <c r="F36" i="14" s="1"/>
  <c r="T35" i="14"/>
  <c r="F144" i="25" a="1"/>
  <c r="F144" i="25" s="1"/>
  <c r="F145" i="25" s="1" a="1"/>
  <c r="F145" i="25" s="1"/>
  <c r="F146" i="25" s="1" a="1"/>
  <c r="F146" i="25" s="1"/>
  <c r="F147" i="25" s="1" a="1"/>
  <c r="F147" i="25" s="1"/>
  <c r="F148" i="25" s="1" a="1"/>
  <c r="F148" i="25" s="1"/>
  <c r="N31" i="27" a="1"/>
  <c r="N31" i="27" s="1"/>
  <c r="BX30" i="27" a="1"/>
  <c r="BX30" i="27" s="1"/>
  <c r="F59" i="31" a="1"/>
  <c r="F59" i="31" s="1"/>
  <c r="T58" i="31"/>
  <c r="BW433" i="12"/>
  <c r="BW429" i="12"/>
  <c r="CF367" i="12"/>
  <c r="CF368" i="12" s="1"/>
  <c r="CF373" i="12"/>
  <c r="CF401" i="12"/>
  <c r="CF402" i="12" s="1"/>
  <c r="CF407" i="12"/>
  <c r="CL423" i="12"/>
  <c r="CL350" i="12"/>
  <c r="CL351" i="12" s="1"/>
  <c r="CL356" i="12"/>
  <c r="CL384" i="12"/>
  <c r="CL385" i="12" s="1"/>
  <c r="CL390" i="12"/>
  <c r="F60" i="8" a="1"/>
  <c r="F60" i="8" s="1"/>
  <c r="U59" i="8"/>
  <c r="F88" i="8" a="1"/>
  <c r="F88" i="8" s="1"/>
  <c r="U87" i="8"/>
  <c r="S160" i="12" a="1"/>
  <c r="S160" i="12" s="1"/>
  <c r="U159" i="12"/>
  <c r="AE357" i="12" a="1"/>
  <c r="AE357" i="12" s="1"/>
  <c r="X357" i="12"/>
  <c r="CY353" i="12" a="1"/>
  <c r="CY353" i="12" s="1"/>
  <c r="BE403" i="12"/>
  <c r="BE386" i="12"/>
  <c r="BE369" i="12"/>
  <c r="BE352" i="12"/>
  <c r="T54" i="17" a="1"/>
  <c r="T54" i="17" s="1"/>
  <c r="T53" i="17" a="1"/>
  <c r="T53" i="17" s="1"/>
  <c r="F35" i="21" a="1"/>
  <c r="F35" i="21" s="1"/>
  <c r="BD70" i="23"/>
  <c r="F52" i="24" a="1"/>
  <c r="F52" i="24" s="1"/>
  <c r="M32" i="31" a="1"/>
  <c r="M32" i="31" s="1"/>
  <c r="BI31" i="31" a="1"/>
  <c r="BI31" i="31" s="1"/>
  <c r="M59" i="31" a="1"/>
  <c r="M59" i="31" s="1"/>
  <c r="BI58" i="31" a="1"/>
  <c r="BI58" i="31" s="1"/>
  <c r="S49" i="12" a="1"/>
  <c r="S49" i="12" s="1"/>
  <c r="U48" i="12"/>
  <c r="T47" i="12" a="1"/>
  <c r="T47" i="12" s="1"/>
  <c r="U47" i="12" s="1"/>
  <c r="L48" i="12" a="1"/>
  <c r="L48" i="12" s="1"/>
  <c r="L49" i="12" s="1" a="1"/>
  <c r="L49" i="12" s="1"/>
  <c r="L50" i="12" s="1" a="1"/>
  <c r="L50" i="12" s="1"/>
  <c r="L51" i="12" s="1" a="1"/>
  <c r="L51" i="12" s="1"/>
  <c r="L52" i="12" s="1" a="1"/>
  <c r="L52" i="12" s="1"/>
  <c r="AM246" i="12"/>
  <c r="AP258" i="12"/>
  <c r="AP259" i="12" s="1"/>
  <c r="AP265" i="12"/>
  <c r="AP237" i="12"/>
  <c r="AP238" i="12" s="1"/>
  <c r="AP244" i="12"/>
  <c r="AS225" i="12"/>
  <c r="AS267" i="12"/>
  <c r="AV284" i="12"/>
  <c r="AV195" i="12"/>
  <c r="AV196" i="12" s="1"/>
  <c r="AV202" i="12"/>
  <c r="AV258" i="12"/>
  <c r="AV259" i="12" s="1"/>
  <c r="AV265" i="12"/>
  <c r="BB224" i="12"/>
  <c r="BB285" i="12"/>
  <c r="BB203" i="12"/>
  <c r="BH285" i="12"/>
  <c r="BH203" i="12"/>
  <c r="BH266" i="12"/>
  <c r="BK246" i="12"/>
  <c r="BN258" i="12"/>
  <c r="BN259" i="12" s="1"/>
  <c r="BN265" i="12"/>
  <c r="BN237" i="12"/>
  <c r="BN238" i="12" s="1"/>
  <c r="BN244" i="12"/>
  <c r="BQ225" i="12"/>
  <c r="BQ267" i="12"/>
  <c r="BT284" i="12"/>
  <c r="BT195" i="12"/>
  <c r="BT196" i="12" s="1"/>
  <c r="BT202" i="12"/>
  <c r="BT258" i="12"/>
  <c r="BT259" i="12" s="1"/>
  <c r="BT265" i="12"/>
  <c r="BZ224" i="12"/>
  <c r="BZ285" i="12"/>
  <c r="BZ203" i="12"/>
  <c r="CF285" i="12"/>
  <c r="CF203" i="12"/>
  <c r="CF266" i="12"/>
  <c r="CI246" i="12"/>
  <c r="CL258" i="12"/>
  <c r="CL259" i="12" s="1"/>
  <c r="CL265" i="12"/>
  <c r="CL237" i="12"/>
  <c r="CL238" i="12" s="1"/>
  <c r="CL244" i="12"/>
  <c r="CO225" i="12"/>
  <c r="CO267" i="12"/>
  <c r="CR284" i="12"/>
  <c r="CR195" i="12"/>
  <c r="CR196" i="12" s="1"/>
  <c r="CR202" i="12"/>
  <c r="CR258" i="12"/>
  <c r="CR259" i="12" s="1"/>
  <c r="CR265" i="12"/>
  <c r="AV424" i="12"/>
  <c r="AV357" i="12"/>
  <c r="AV391" i="12"/>
  <c r="BT374" i="12"/>
  <c r="BT408" i="12"/>
  <c r="BW372" i="12"/>
  <c r="AY404" i="12"/>
  <c r="AY387" i="12"/>
  <c r="AY370" i="12"/>
  <c r="AY353" i="12"/>
  <c r="CO424" i="12"/>
  <c r="CO357" i="12"/>
  <c r="CO391" i="12"/>
  <c r="T83" i="17"/>
  <c r="F85" i="17" a="1"/>
  <c r="F85" i="17" s="1"/>
  <c r="A83" i="17"/>
  <c r="T89" i="17"/>
  <c r="F90" i="17" a="1"/>
  <c r="F90" i="17" s="1"/>
  <c r="G89" i="17"/>
  <c r="N143" i="27" a="1"/>
  <c r="N143" i="27" s="1"/>
  <c r="BX142" i="27" a="1"/>
  <c r="BX142" i="27" s="1"/>
  <c r="F32" i="27" a="1"/>
  <c r="F32" i="27" s="1"/>
  <c r="T31" i="27"/>
  <c r="M166" i="28" a="1"/>
  <c r="M166" i="28" s="1"/>
  <c r="AS165" i="28" a="1"/>
  <c r="AS165" i="28" s="1"/>
  <c r="M86" i="31" a="1"/>
  <c r="M86" i="31" s="1"/>
  <c r="BI85" i="31" a="1"/>
  <c r="BI85" i="31" s="1"/>
  <c r="T143" i="12" a="1"/>
  <c r="T143" i="12" s="1"/>
  <c r="U142" i="12"/>
  <c r="AP424" i="12"/>
  <c r="AP357" i="12"/>
  <c r="AP391" i="12"/>
  <c r="BB424" i="12"/>
  <c r="BB357" i="12"/>
  <c r="BB391" i="12"/>
  <c r="BN424" i="12"/>
  <c r="BN357" i="12"/>
  <c r="BN391" i="12"/>
  <c r="CF424" i="12"/>
  <c r="CF357" i="12"/>
  <c r="CF391" i="12"/>
  <c r="CI406" i="12"/>
  <c r="AE199" i="12" a="1"/>
  <c r="AE199" i="12" s="1"/>
  <c r="X199" i="12"/>
  <c r="CY193" i="12" a="1"/>
  <c r="CY193" i="12" s="1"/>
  <c r="AG193" i="12"/>
  <c r="BE415" i="12"/>
  <c r="CC350" i="12"/>
  <c r="CC351" i="12" s="1"/>
  <c r="CC423" i="12"/>
  <c r="CC356" i="12"/>
  <c r="CC384" i="12"/>
  <c r="CC385" i="12" s="1"/>
  <c r="CC390" i="12"/>
  <c r="F169" i="28" a="1"/>
  <c r="F169" i="28" s="1"/>
  <c r="AF203" i="12" a="1"/>
  <c r="AF203" i="12" s="1"/>
  <c r="CZ198" i="12" a="1"/>
  <c r="CZ198" i="12" s="1"/>
  <c r="T124" i="13" a="1"/>
  <c r="T124" i="13" s="1"/>
  <c r="T123" i="13" a="1"/>
  <c r="T123" i="13" s="1"/>
  <c r="A124" i="13"/>
  <c r="F125" i="13" a="1"/>
  <c r="F125" i="13" s="1"/>
  <c r="F69" i="14" a="1"/>
  <c r="F69" i="14" s="1"/>
  <c r="F70" i="14" s="1" a="1"/>
  <c r="F70" i="14" s="1"/>
  <c r="A68" i="14"/>
  <c r="T68" i="14"/>
  <c r="T319" i="12" a="1"/>
  <c r="T319" i="12" s="1"/>
  <c r="L320" i="12" a="1"/>
  <c r="L320" i="12" s="1"/>
  <c r="L321" i="12" s="1" a="1"/>
  <c r="L321" i="12" s="1"/>
  <c r="L322" i="12" s="1" a="1"/>
  <c r="L322" i="12" s="1"/>
  <c r="L323" i="12" s="1" a="1"/>
  <c r="L323" i="12" s="1"/>
  <c r="L324" i="12" s="1" a="1"/>
  <c r="L324" i="12" s="1"/>
  <c r="AS404" i="12"/>
  <c r="AS387" i="12"/>
  <c r="AS370" i="12"/>
  <c r="AS353" i="12"/>
  <c r="BQ404" i="12"/>
  <c r="BQ387" i="12"/>
  <c r="BQ370" i="12"/>
  <c r="BQ353" i="12"/>
  <c r="F96" i="21" a="1"/>
  <c r="F96" i="21" s="1"/>
  <c r="T95" i="21"/>
  <c r="AH92" i="21"/>
  <c r="BB41" i="22"/>
  <c r="AZ41" i="22"/>
  <c r="AX41" i="22"/>
  <c r="AV41" i="22"/>
  <c r="AT41" i="22"/>
  <c r="AR41" i="22"/>
  <c r="AP41" i="22"/>
  <c r="AN41" i="22"/>
  <c r="AL41" i="22"/>
  <c r="AJ41" i="22"/>
  <c r="F42" i="22" a="1"/>
  <c r="F42" i="22" s="1"/>
  <c r="BC41" i="22"/>
  <c r="BA41" i="22"/>
  <c r="AY41" i="22"/>
  <c r="AW41" i="22"/>
  <c r="AU41" i="22"/>
  <c r="AS41" i="22"/>
  <c r="AQ41" i="22"/>
  <c r="AO41" i="22"/>
  <c r="AM41" i="22"/>
  <c r="AK41" i="22"/>
  <c r="M99" i="28" a="1"/>
  <c r="M99" i="28" s="1"/>
  <c r="AS98" i="28" a="1"/>
  <c r="AS98" i="28" s="1"/>
  <c r="F80" i="30" a="1"/>
  <c r="F80" i="30" s="1"/>
  <c r="T79" i="30"/>
  <c r="F81" i="30" l="1" a="1"/>
  <c r="F81" i="30" s="1"/>
  <c r="T80" i="30"/>
  <c r="M100" i="28" a="1"/>
  <c r="M100" i="28" s="1"/>
  <c r="AS99" i="28" a="1"/>
  <c r="AS99" i="28" s="1"/>
  <c r="F97" i="21" a="1"/>
  <c r="F97" i="21" s="1"/>
  <c r="T96" i="21"/>
  <c r="BQ424" i="12"/>
  <c r="BQ357" i="12"/>
  <c r="BQ391" i="12"/>
  <c r="AS374" i="12"/>
  <c r="AS408" i="12"/>
  <c r="F126" i="13" a="1"/>
  <c r="F126" i="13" s="1"/>
  <c r="T125" i="13"/>
  <c r="F170" i="28" a="1"/>
  <c r="F170" i="28" s="1"/>
  <c r="CC389" i="12"/>
  <c r="BN429" i="12"/>
  <c r="BN433" i="12"/>
  <c r="AP429" i="12"/>
  <c r="AP433" i="12"/>
  <c r="T144" i="12" a="1"/>
  <c r="T144" i="12" s="1"/>
  <c r="U143" i="12"/>
  <c r="M87" i="31" a="1"/>
  <c r="M87" i="31" s="1"/>
  <c r="BI86" i="31" a="1"/>
  <c r="BI86" i="31" s="1"/>
  <c r="M167" i="28" a="1"/>
  <c r="M167" i="28" s="1"/>
  <c r="AS166" i="28" a="1"/>
  <c r="AS166" i="28" s="1"/>
  <c r="F33" i="27" a="1"/>
  <c r="F33" i="27" s="1"/>
  <c r="T32" i="27"/>
  <c r="N144" i="27" a="1"/>
  <c r="N144" i="27" s="1"/>
  <c r="BX143" i="27" a="1"/>
  <c r="BX143" i="27" s="1"/>
  <c r="F91" i="17" a="1"/>
  <c r="F91" i="17" s="1"/>
  <c r="T90" i="17"/>
  <c r="T85" i="17" a="1"/>
  <c r="T85" i="17" s="1"/>
  <c r="T84" i="17" a="1"/>
  <c r="T84" i="17" s="1"/>
  <c r="AY374" i="12"/>
  <c r="AY408" i="12"/>
  <c r="AV429" i="12"/>
  <c r="AV433" i="12"/>
  <c r="CR201" i="12"/>
  <c r="CL243" i="12"/>
  <c r="CF291" i="12"/>
  <c r="CF296" i="12"/>
  <c r="BT264" i="12"/>
  <c r="BT290" i="12"/>
  <c r="BT295" i="12"/>
  <c r="BT280" i="12"/>
  <c r="BN264" i="12"/>
  <c r="BB296" i="12"/>
  <c r="BB291" i="12"/>
  <c r="AV201" i="12"/>
  <c r="AP243" i="12"/>
  <c r="L53" i="12" a="1"/>
  <c r="L53" i="12" s="1"/>
  <c r="L54" i="12" s="1" a="1"/>
  <c r="L54" i="12" s="1"/>
  <c r="T52" i="12" a="1"/>
  <c r="T52" i="12" s="1"/>
  <c r="F53" i="24" a="1"/>
  <c r="F53" i="24" s="1"/>
  <c r="BE367" i="12"/>
  <c r="BE368" i="12" s="1"/>
  <c r="BE373" i="12"/>
  <c r="BE401" i="12"/>
  <c r="BE402" i="12" s="1"/>
  <c r="BE407" i="12"/>
  <c r="CL389" i="12"/>
  <c r="CL432" i="12"/>
  <c r="CL428" i="12"/>
  <c r="CL419" i="12"/>
  <c r="CF372" i="12"/>
  <c r="F37" i="14" a="1"/>
  <c r="F37" i="14" s="1"/>
  <c r="A36" i="14"/>
  <c r="T36" i="14"/>
  <c r="CO372" i="12"/>
  <c r="AM424" i="12"/>
  <c r="AM357" i="12"/>
  <c r="AM391" i="12"/>
  <c r="T54" i="14" a="1"/>
  <c r="T54" i="14" s="1"/>
  <c r="T53" i="14" a="1"/>
  <c r="T53" i="14" s="1"/>
  <c r="A54" i="14"/>
  <c r="F55" i="14" a="1"/>
  <c r="F55" i="14" s="1"/>
  <c r="T55" i="14" s="1"/>
  <c r="CR76" i="12"/>
  <c r="CR136" i="12"/>
  <c r="CR125" i="12"/>
  <c r="CR133" i="12"/>
  <c r="CL89" i="12"/>
  <c r="CF76" i="12"/>
  <c r="CF136" i="12"/>
  <c r="CF125" i="12"/>
  <c r="CF133" i="12"/>
  <c r="BZ89" i="12"/>
  <c r="BT76" i="12"/>
  <c r="BT136" i="12"/>
  <c r="BT125" i="12"/>
  <c r="BT133" i="12"/>
  <c r="BN89" i="12"/>
  <c r="BH76" i="12"/>
  <c r="BH136" i="12"/>
  <c r="BH125" i="12"/>
  <c r="BH133" i="12"/>
  <c r="BB89" i="12"/>
  <c r="AV76" i="12"/>
  <c r="AV136" i="12"/>
  <c r="AV125" i="12"/>
  <c r="AV133" i="12"/>
  <c r="AP89" i="12"/>
  <c r="U40" i="9"/>
  <c r="F41" i="9" a="1"/>
  <c r="F41" i="9" s="1"/>
  <c r="U41" i="9" s="1"/>
  <c r="AF209" i="12" a="1"/>
  <c r="AF209" i="12" s="1"/>
  <c r="CZ204" i="12" a="1"/>
  <c r="CZ204" i="12" s="1"/>
  <c r="CO295" i="12"/>
  <c r="CO280" i="12"/>
  <c r="CO290" i="12"/>
  <c r="BW243" i="12"/>
  <c r="BQ295" i="12"/>
  <c r="BQ280" i="12"/>
  <c r="BQ290" i="12"/>
  <c r="AY243" i="12"/>
  <c r="AS295" i="12"/>
  <c r="AS280" i="12"/>
  <c r="AS290" i="12"/>
  <c r="BN406" i="12"/>
  <c r="BB389" i="12"/>
  <c r="BB432" i="12"/>
  <c r="BB428" i="12"/>
  <c r="BB419" i="12"/>
  <c r="AP372" i="12"/>
  <c r="F127" i="33" a="1"/>
  <c r="F127" i="33" s="1"/>
  <c r="F128" i="33" s="1" a="1"/>
  <c r="F128" i="33" s="1"/>
  <c r="F129" i="33" s="1" a="1"/>
  <c r="F129" i="33" s="1"/>
  <c r="T88" i="27"/>
  <c r="F89" i="27" a="1"/>
  <c r="F89" i="27" s="1"/>
  <c r="AY350" i="12"/>
  <c r="AY351" i="12" s="1"/>
  <c r="AY423" i="12"/>
  <c r="AY356" i="12"/>
  <c r="AY384" i="12"/>
  <c r="AY385" i="12" s="1"/>
  <c r="AY390" i="12"/>
  <c r="CR389" i="12"/>
  <c r="CR432" i="12"/>
  <c r="CR428" i="12"/>
  <c r="CR419" i="12"/>
  <c r="CR291" i="12"/>
  <c r="CR296" i="12"/>
  <c r="CF264" i="12"/>
  <c r="CF290" i="12"/>
  <c r="CF295" i="12"/>
  <c r="CF280" i="12"/>
  <c r="BZ264" i="12"/>
  <c r="BN296" i="12"/>
  <c r="BN291" i="12"/>
  <c r="BH201" i="12"/>
  <c r="BB243" i="12"/>
  <c r="AV291" i="12"/>
  <c r="AV296" i="12"/>
  <c r="F33" i="24" a="1"/>
  <c r="F33" i="24" s="1"/>
  <c r="F33" i="22" a="1"/>
  <c r="F33" i="22" s="1"/>
  <c r="BC32" i="22"/>
  <c r="BA32" i="22"/>
  <c r="AY32" i="22"/>
  <c r="AW32" i="22"/>
  <c r="AU32" i="22"/>
  <c r="AS32" i="22"/>
  <c r="AQ32" i="22"/>
  <c r="AO32" i="22"/>
  <c r="AM32" i="22"/>
  <c r="AK32" i="22"/>
  <c r="BB32" i="22"/>
  <c r="AZ32" i="22"/>
  <c r="AX32" i="22"/>
  <c r="AV32" i="22"/>
  <c r="AT32" i="22"/>
  <c r="AR32" i="22"/>
  <c r="AP32" i="22"/>
  <c r="AN32" i="22"/>
  <c r="AL32" i="22"/>
  <c r="AJ32" i="22"/>
  <c r="BE424" i="12"/>
  <c r="BE357" i="12"/>
  <c r="BE391" i="12"/>
  <c r="L164" i="12" a="1"/>
  <c r="L164" i="12" s="1"/>
  <c r="L165" i="12" s="1" a="1"/>
  <c r="L165" i="12" s="1"/>
  <c r="T163" i="12" a="1"/>
  <c r="T163" i="12" s="1"/>
  <c r="F36" i="28" a="1"/>
  <c r="F36" i="28" s="1"/>
  <c r="AM350" i="12"/>
  <c r="AM351" i="12" s="1"/>
  <c r="AM423" i="12"/>
  <c r="AM356" i="12"/>
  <c r="AM384" i="12"/>
  <c r="AM385" i="12" s="1"/>
  <c r="AM390" i="12"/>
  <c r="AF365" i="12" a="1"/>
  <c r="AF365" i="12" s="1"/>
  <c r="CZ361" i="12" a="1"/>
  <c r="CZ361" i="12" s="1"/>
  <c r="CO115" i="12"/>
  <c r="CI133" i="12"/>
  <c r="CI136" i="12"/>
  <c r="CI125" i="12"/>
  <c r="BW76" i="12"/>
  <c r="BQ115" i="12"/>
  <c r="BK133" i="12"/>
  <c r="BK136" i="12"/>
  <c r="BK125" i="12"/>
  <c r="AY76" i="12"/>
  <c r="AS115" i="12"/>
  <c r="AM133" i="12"/>
  <c r="AM136" i="12"/>
  <c r="AM125" i="12"/>
  <c r="BZ432" i="12"/>
  <c r="BZ428" i="12"/>
  <c r="BZ419" i="12"/>
  <c r="BH355" i="12"/>
  <c r="AV372" i="12"/>
  <c r="BK243" i="12"/>
  <c r="BE295" i="12"/>
  <c r="BE280" i="12"/>
  <c r="BE290" i="12"/>
  <c r="F33" i="31" a="1"/>
  <c r="F33" i="31" s="1"/>
  <c r="T32" i="31"/>
  <c r="F33" i="23" a="1"/>
  <c r="F33" i="23" s="1"/>
  <c r="CC406" i="12"/>
  <c r="BQ367" i="12"/>
  <c r="BQ368" i="12" s="1"/>
  <c r="BQ373" i="12"/>
  <c r="BQ401" i="12"/>
  <c r="BQ402" i="12" s="1"/>
  <c r="BQ407" i="12"/>
  <c r="AS367" i="12"/>
  <c r="AS368" i="12" s="1"/>
  <c r="AS373" i="12"/>
  <c r="AS401" i="12"/>
  <c r="AS402" i="12" s="1"/>
  <c r="AS407" i="12"/>
  <c r="AE203" i="12" a="1"/>
  <c r="AE203" i="12" s="1"/>
  <c r="X203" i="12"/>
  <c r="CY198" i="12" a="1"/>
  <c r="CY198" i="12" s="1"/>
  <c r="BT429" i="12"/>
  <c r="BT433" i="12"/>
  <c r="CR222" i="12"/>
  <c r="CL222" i="12"/>
  <c r="CL290" i="12"/>
  <c r="CL280" i="12"/>
  <c r="CL295" i="12"/>
  <c r="BT243" i="12"/>
  <c r="BQ297" i="12"/>
  <c r="BQ292" i="12"/>
  <c r="BN201" i="12"/>
  <c r="BK297" i="12"/>
  <c r="BK292" i="12"/>
  <c r="AV222" i="12"/>
  <c r="AP222" i="12"/>
  <c r="AP290" i="12"/>
  <c r="AP280" i="12"/>
  <c r="AP295" i="12"/>
  <c r="U37" i="6"/>
  <c r="F38" i="6" a="1"/>
  <c r="F38" i="6" s="1"/>
  <c r="F62" i="18" a="1"/>
  <c r="F62" i="18" s="1"/>
  <c r="T61" i="18"/>
  <c r="H61" i="18"/>
  <c r="T39" i="13"/>
  <c r="F40" i="13" a="1"/>
  <c r="F40" i="13" s="1"/>
  <c r="CL372" i="12"/>
  <c r="CF355" i="12"/>
  <c r="T36" i="17"/>
  <c r="F38" i="17" a="1"/>
  <c r="F38" i="17" s="1"/>
  <c r="A36" i="17"/>
  <c r="T39" i="17"/>
  <c r="F40" i="17" a="1"/>
  <c r="F40" i="17" s="1"/>
  <c r="G39" i="17"/>
  <c r="F66" i="17" a="1"/>
  <c r="F66" i="17" s="1"/>
  <c r="T65" i="17"/>
  <c r="T60" i="17" a="1"/>
  <c r="T60" i="17" s="1"/>
  <c r="T59" i="17" a="1"/>
  <c r="T59" i="17" s="1"/>
  <c r="CO355" i="12"/>
  <c r="CO432" i="12"/>
  <c r="CO428" i="12"/>
  <c r="CO419" i="12"/>
  <c r="BK374" i="12"/>
  <c r="BK408" i="12"/>
  <c r="CR102" i="12"/>
  <c r="CL102" i="12"/>
  <c r="CF102" i="12"/>
  <c r="BZ102" i="12"/>
  <c r="BT102" i="12"/>
  <c r="BN102" i="12"/>
  <c r="BH102" i="12"/>
  <c r="BB102" i="12"/>
  <c r="AV102" i="12"/>
  <c r="AP102" i="12"/>
  <c r="BZ429" i="12"/>
  <c r="BZ433" i="12"/>
  <c r="CO222" i="12"/>
  <c r="CI296" i="12"/>
  <c r="CI291" i="12"/>
  <c r="CC296" i="12"/>
  <c r="CC291" i="12"/>
  <c r="BW201" i="12"/>
  <c r="BW295" i="12"/>
  <c r="BW280" i="12"/>
  <c r="BW290" i="12"/>
  <c r="BW222" i="12"/>
  <c r="BQ222" i="12"/>
  <c r="BK296" i="12"/>
  <c r="BK291" i="12"/>
  <c r="BE296" i="12"/>
  <c r="BE291" i="12"/>
  <c r="AY201" i="12"/>
  <c r="AY295" i="12"/>
  <c r="AY280" i="12"/>
  <c r="AY290" i="12"/>
  <c r="AY222" i="12"/>
  <c r="AS222" i="12"/>
  <c r="AM296" i="12"/>
  <c r="AM291" i="12"/>
  <c r="BN389" i="12"/>
  <c r="BN432" i="12"/>
  <c r="BN428" i="12"/>
  <c r="BN419" i="12"/>
  <c r="BB372" i="12"/>
  <c r="AP355" i="12"/>
  <c r="CR406" i="12"/>
  <c r="BW426" i="12"/>
  <c r="BW420" i="12"/>
  <c r="CF222" i="12"/>
  <c r="BZ222" i="12"/>
  <c r="BZ290" i="12"/>
  <c r="BZ280" i="12"/>
  <c r="BZ295" i="12"/>
  <c r="BH243" i="12"/>
  <c r="BE297" i="12"/>
  <c r="BE292" i="12"/>
  <c r="BB201" i="12"/>
  <c r="AY297" i="12"/>
  <c r="AY292" i="12"/>
  <c r="AB96" i="10" a="1"/>
  <c r="AB96" i="10" s="1"/>
  <c r="V96" i="10" a="1"/>
  <c r="V96" i="10" s="1"/>
  <c r="M33" i="28" a="1"/>
  <c r="M33" i="28" s="1"/>
  <c r="AS32" i="28" a="1"/>
  <c r="AS32" i="28" s="1"/>
  <c r="N88" i="27" a="1"/>
  <c r="N88" i="27" s="1"/>
  <c r="BX87" i="27" a="1"/>
  <c r="BX87" i="27" s="1"/>
  <c r="F55" i="25" a="1"/>
  <c r="F55" i="25" s="1"/>
  <c r="F56" i="25" s="1" a="1"/>
  <c r="F56" i="25" s="1"/>
  <c r="F57" i="25" s="1" a="1"/>
  <c r="F57" i="25" s="1"/>
  <c r="F58" i="25" s="1" a="1"/>
  <c r="F58" i="25" s="1"/>
  <c r="F59" i="25" s="1" a="1"/>
  <c r="F59" i="25" s="1"/>
  <c r="H33" i="18"/>
  <c r="F34" i="18" a="1"/>
  <c r="F34" i="18" s="1"/>
  <c r="T33" i="18"/>
  <c r="CL429" i="12"/>
  <c r="CL433" i="12"/>
  <c r="AB164" i="10" a="1"/>
  <c r="AB164" i="10" s="1"/>
  <c r="V164" i="10" a="1"/>
  <c r="V164" i="10" s="1"/>
  <c r="F43" i="24" a="1"/>
  <c r="F43" i="24" s="1"/>
  <c r="BB53" i="23"/>
  <c r="AZ53" i="23"/>
  <c r="AX53" i="23"/>
  <c r="AV53" i="23"/>
  <c r="AT53" i="23"/>
  <c r="AR53" i="23"/>
  <c r="AP53" i="23"/>
  <c r="AN53" i="23"/>
  <c r="AL53" i="23"/>
  <c r="AJ53" i="23"/>
  <c r="AF53" i="23"/>
  <c r="F54" i="23" a="1"/>
  <c r="F54" i="23" s="1"/>
  <c r="BC53" i="23"/>
  <c r="BA53" i="23"/>
  <c r="AY53" i="23"/>
  <c r="AW53" i="23"/>
  <c r="AU53" i="23"/>
  <c r="AS53" i="23"/>
  <c r="AQ53" i="23"/>
  <c r="AO53" i="23"/>
  <c r="AM53" i="23"/>
  <c r="AK53" i="23"/>
  <c r="AI53" i="23"/>
  <c r="AG53" i="23"/>
  <c r="AE53" i="23"/>
  <c r="F71" i="21" a="1"/>
  <c r="F71" i="21" s="1"/>
  <c r="T70" i="21"/>
  <c r="CO89" i="12"/>
  <c r="CI89" i="12"/>
  <c r="CC89" i="12"/>
  <c r="BW89" i="12"/>
  <c r="BQ89" i="12"/>
  <c r="BK89" i="12"/>
  <c r="BE89" i="12"/>
  <c r="AY89" i="12"/>
  <c r="AS89" i="12"/>
  <c r="AM89" i="12"/>
  <c r="BZ372" i="12"/>
  <c r="BT355" i="12"/>
  <c r="BH406" i="12"/>
  <c r="AV389" i="12"/>
  <c r="AV432" i="12"/>
  <c r="AV428" i="12"/>
  <c r="AV419" i="12"/>
  <c r="CO296" i="12"/>
  <c r="CO291" i="12"/>
  <c r="CI201" i="12"/>
  <c r="CI295" i="12"/>
  <c r="CI280" i="12"/>
  <c r="CI290" i="12"/>
  <c r="CI222" i="12"/>
  <c r="CC222" i="12"/>
  <c r="BW296" i="12"/>
  <c r="BW291" i="12"/>
  <c r="BQ296" i="12"/>
  <c r="BQ291" i="12"/>
  <c r="BK201" i="12"/>
  <c r="BK295" i="12"/>
  <c r="BK280" i="12"/>
  <c r="BK290" i="12"/>
  <c r="BK222" i="12"/>
  <c r="BE222" i="12"/>
  <c r="AY296" i="12"/>
  <c r="AY291" i="12"/>
  <c r="AS296" i="12"/>
  <c r="AS291" i="12"/>
  <c r="AM201" i="12"/>
  <c r="AM295" i="12"/>
  <c r="AM280" i="12"/>
  <c r="AM290" i="12"/>
  <c r="AM222" i="12"/>
  <c r="F94" i="18" a="1"/>
  <c r="F94" i="18" s="1"/>
  <c r="T93" i="18"/>
  <c r="BK367" i="12"/>
  <c r="BK368" i="12" s="1"/>
  <c r="BK373" i="12"/>
  <c r="BK401" i="12"/>
  <c r="BK402" i="12" s="1"/>
  <c r="BK407" i="12"/>
  <c r="CO133" i="12"/>
  <c r="CO136" i="12"/>
  <c r="CO125" i="12"/>
  <c r="CC76" i="12"/>
  <c r="BW115" i="12"/>
  <c r="BQ133" i="12"/>
  <c r="BQ136" i="12"/>
  <c r="BQ125" i="12"/>
  <c r="BE76" i="12"/>
  <c r="AY115" i="12"/>
  <c r="AS133" i="12"/>
  <c r="AS136" i="12"/>
  <c r="AS125" i="12"/>
  <c r="BZ389" i="12"/>
  <c r="BH389" i="12"/>
  <c r="CI243" i="12"/>
  <c r="CC295" i="12"/>
  <c r="CC280" i="12"/>
  <c r="CC290" i="12"/>
  <c r="AM243" i="12"/>
  <c r="F43" i="22" a="1"/>
  <c r="F43" i="22" s="1"/>
  <c r="BQ374" i="12"/>
  <c r="BQ408" i="12"/>
  <c r="AS424" i="12"/>
  <c r="AS357" i="12"/>
  <c r="AS391" i="12"/>
  <c r="L325" i="12" a="1"/>
  <c r="L325" i="12" s="1"/>
  <c r="L326" i="12" s="1" a="1"/>
  <c r="L326" i="12" s="1"/>
  <c r="T324" i="12" a="1"/>
  <c r="T324" i="12" s="1"/>
  <c r="T70" i="14" a="1"/>
  <c r="T70" i="14" s="1"/>
  <c r="T69" i="14" a="1"/>
  <c r="T69" i="14" s="1"/>
  <c r="A70" i="14"/>
  <c r="F71" i="14" a="1"/>
  <c r="F71" i="14" s="1"/>
  <c r="T71" i="14" s="1"/>
  <c r="AF208" i="12" a="1"/>
  <c r="AF208" i="12" s="1"/>
  <c r="CZ203" i="12" a="1"/>
  <c r="CZ203" i="12" s="1"/>
  <c r="CC355" i="12"/>
  <c r="CC432" i="12"/>
  <c r="CC428" i="12"/>
  <c r="CC419" i="12"/>
  <c r="AE204" i="12" a="1"/>
  <c r="AE204" i="12" s="1"/>
  <c r="X204" i="12"/>
  <c r="CY199" i="12" a="1"/>
  <c r="CY199" i="12" s="1"/>
  <c r="CF429" i="12"/>
  <c r="CF433" i="12"/>
  <c r="BB429" i="12"/>
  <c r="BB433" i="12"/>
  <c r="F87" i="17" a="1"/>
  <c r="F87" i="17" s="1"/>
  <c r="F86" i="17" a="1"/>
  <c r="F86" i="17" s="1"/>
  <c r="A85" i="17"/>
  <c r="CO433" i="12"/>
  <c r="CO429" i="12"/>
  <c r="AY424" i="12"/>
  <c r="AY357" i="12"/>
  <c r="AY391" i="12"/>
  <c r="CR264" i="12"/>
  <c r="CR290" i="12"/>
  <c r="CR295" i="12"/>
  <c r="CR280" i="12"/>
  <c r="CL264" i="12"/>
  <c r="BZ296" i="12"/>
  <c r="BZ291" i="12"/>
  <c r="BT201" i="12"/>
  <c r="BN243" i="12"/>
  <c r="BH291" i="12"/>
  <c r="BH296" i="12"/>
  <c r="AV264" i="12"/>
  <c r="AV290" i="12"/>
  <c r="AV295" i="12"/>
  <c r="AV280" i="12"/>
  <c r="AP264" i="12"/>
  <c r="S50" i="12" a="1"/>
  <c r="S50" i="12" s="1"/>
  <c r="U49" i="12"/>
  <c r="M60" i="31" a="1"/>
  <c r="M60" i="31" s="1"/>
  <c r="BI59" i="31" a="1"/>
  <c r="BI59" i="31" s="1"/>
  <c r="M33" i="31" a="1"/>
  <c r="M33" i="31" s="1"/>
  <c r="BI32" i="31" a="1"/>
  <c r="BI32" i="31" s="1"/>
  <c r="F36" i="21" a="1"/>
  <c r="F36" i="21" s="1"/>
  <c r="BE350" i="12"/>
  <c r="BE351" i="12" s="1"/>
  <c r="BE423" i="12"/>
  <c r="BE356" i="12"/>
  <c r="BE384" i="12"/>
  <c r="BE385" i="12" s="1"/>
  <c r="BE390" i="12"/>
  <c r="CY357" i="12" a="1"/>
  <c r="CY357" i="12" s="1"/>
  <c r="AE361" i="12" a="1"/>
  <c r="AE361" i="12" s="1"/>
  <c r="X361" i="12"/>
  <c r="S161" i="12" a="1"/>
  <c r="S161" i="12" s="1"/>
  <c r="U160" i="12"/>
  <c r="U88" i="8"/>
  <c r="F89" i="8" a="1"/>
  <c r="F89" i="8" s="1"/>
  <c r="F61" i="8" a="1"/>
  <c r="F61" i="8" s="1"/>
  <c r="U60" i="8"/>
  <c r="CL355" i="12"/>
  <c r="CF406" i="12"/>
  <c r="F60" i="31" a="1"/>
  <c r="F60" i="31" s="1"/>
  <c r="T59" i="31"/>
  <c r="N32" i="27" a="1"/>
  <c r="N32" i="27" s="1"/>
  <c r="BX31" i="27" a="1"/>
  <c r="BX31" i="27" s="1"/>
  <c r="F149" i="25" a="1"/>
  <c r="F149" i="25" s="1"/>
  <c r="F150" i="25" s="1" a="1"/>
  <c r="F150" i="25" s="1"/>
  <c r="F151" i="25" s="1" a="1"/>
  <c r="F151" i="25" s="1"/>
  <c r="F152" i="25" s="1" a="1"/>
  <c r="F152" i="25" s="1"/>
  <c r="F153" i="25" s="1" a="1"/>
  <c r="F153" i="25" s="1"/>
  <c r="CO406" i="12"/>
  <c r="AM374" i="12"/>
  <c r="AM408" i="12"/>
  <c r="CR89" i="12"/>
  <c r="CL76" i="12"/>
  <c r="CL136" i="12"/>
  <c r="CL125" i="12"/>
  <c r="CL133" i="12"/>
  <c r="CF89" i="12"/>
  <c r="BZ76" i="12"/>
  <c r="BZ136" i="12"/>
  <c r="BZ125" i="12"/>
  <c r="BZ133" i="12"/>
  <c r="BT89" i="12"/>
  <c r="BN76" i="12"/>
  <c r="BN136" i="12"/>
  <c r="BN125" i="12"/>
  <c r="BN133" i="12"/>
  <c r="BH89" i="12"/>
  <c r="BB76" i="12"/>
  <c r="BB136" i="12"/>
  <c r="BB125" i="12"/>
  <c r="BB133" i="12"/>
  <c r="AV89" i="12"/>
  <c r="AP76" i="12"/>
  <c r="AP136" i="12"/>
  <c r="AP125" i="12"/>
  <c r="AP133" i="12"/>
  <c r="CO201" i="12"/>
  <c r="CO243" i="12"/>
  <c r="BQ201" i="12"/>
  <c r="BQ243" i="12"/>
  <c r="AS201" i="12"/>
  <c r="AS243" i="12"/>
  <c r="F87" i="31" a="1"/>
  <c r="F87" i="31" s="1"/>
  <c r="T86" i="31"/>
  <c r="BN372" i="12"/>
  <c r="BB355" i="12"/>
  <c r="AP406" i="12"/>
  <c r="F103" i="28" a="1"/>
  <c r="F103" i="28" s="1"/>
  <c r="AY367" i="12"/>
  <c r="AY368" i="12" s="1"/>
  <c r="AY373" i="12"/>
  <c r="AY401" i="12"/>
  <c r="AY402" i="12" s="1"/>
  <c r="AY407" i="12"/>
  <c r="S318" i="12" a="1"/>
  <c r="S318" i="12" s="1"/>
  <c r="U317" i="12"/>
  <c r="CR355" i="12"/>
  <c r="BH429" i="12"/>
  <c r="BH433" i="12"/>
  <c r="CL296" i="12"/>
  <c r="CL291" i="12"/>
  <c r="CF201" i="12"/>
  <c r="BZ243" i="12"/>
  <c r="BT291" i="12"/>
  <c r="BT296" i="12"/>
  <c r="BH264" i="12"/>
  <c r="BH290" i="12"/>
  <c r="BH295" i="12"/>
  <c r="BH280" i="12"/>
  <c r="BB264" i="12"/>
  <c r="AP296" i="12"/>
  <c r="AP291" i="12"/>
  <c r="T33" i="12" a="1"/>
  <c r="T33" i="12" s="1"/>
  <c r="U32" i="12"/>
  <c r="F102" i="25" a="1"/>
  <c r="F102" i="25" s="1"/>
  <c r="F103" i="25" s="1" a="1"/>
  <c r="F103" i="25" s="1"/>
  <c r="F104" i="25" s="1" a="1"/>
  <c r="F104" i="25" s="1"/>
  <c r="F105" i="25" s="1" a="1"/>
  <c r="F105" i="25" s="1"/>
  <c r="F106" i="25" s="1" a="1"/>
  <c r="F106" i="25" s="1"/>
  <c r="BE374" i="12"/>
  <c r="BE408" i="12"/>
  <c r="AM367" i="12"/>
  <c r="AM368" i="12" s="1"/>
  <c r="AM373" i="12"/>
  <c r="AM401" i="12"/>
  <c r="AM402" i="12" s="1"/>
  <c r="AM407" i="12"/>
  <c r="CI76" i="12"/>
  <c r="CC115" i="12"/>
  <c r="BW133" i="12"/>
  <c r="BW136" i="12"/>
  <c r="BW125" i="12"/>
  <c r="BK76" i="12"/>
  <c r="BE115" i="12"/>
  <c r="AY133" i="12"/>
  <c r="AY136" i="12"/>
  <c r="AY125" i="12"/>
  <c r="AM76" i="12"/>
  <c r="BZ355" i="12"/>
  <c r="BT372" i="12"/>
  <c r="BH432" i="12"/>
  <c r="BH428" i="12"/>
  <c r="BH419" i="12"/>
  <c r="CC243" i="12"/>
  <c r="BE201" i="12"/>
  <c r="F52" i="22" a="1"/>
  <c r="F52" i="22" s="1"/>
  <c r="CC372" i="12"/>
  <c r="BQ350" i="12"/>
  <c r="BQ351" i="12" s="1"/>
  <c r="BQ423" i="12"/>
  <c r="BQ356" i="12"/>
  <c r="BQ384" i="12"/>
  <c r="BQ385" i="12" s="1"/>
  <c r="BQ390" i="12"/>
  <c r="AS350" i="12"/>
  <c r="AS351" i="12" s="1"/>
  <c r="AS423" i="12"/>
  <c r="AS356" i="12"/>
  <c r="AS384" i="12"/>
  <c r="AS385" i="12" s="1"/>
  <c r="AS390" i="12"/>
  <c r="F57" i="30" a="1"/>
  <c r="F57" i="30" s="1"/>
  <c r="T56" i="30"/>
  <c r="CR243" i="12"/>
  <c r="CO297" i="12"/>
  <c r="CO292" i="12"/>
  <c r="CL201" i="12"/>
  <c r="CI297" i="12"/>
  <c r="CI292" i="12"/>
  <c r="BT222" i="12"/>
  <c r="BN222" i="12"/>
  <c r="BN290" i="12"/>
  <c r="BN280" i="12"/>
  <c r="BN295" i="12"/>
  <c r="AV243" i="12"/>
  <c r="AS297" i="12"/>
  <c r="AS292" i="12"/>
  <c r="AP201" i="12"/>
  <c r="AM297" i="12"/>
  <c r="AM292" i="12"/>
  <c r="F33" i="30" a="1"/>
  <c r="F33" i="30" s="1"/>
  <c r="T32" i="30"/>
  <c r="AH71" i="23"/>
  <c r="BB73" i="23"/>
  <c r="AZ73" i="23"/>
  <c r="AX73" i="23"/>
  <c r="AV73" i="23"/>
  <c r="AT73" i="23"/>
  <c r="AR73" i="23"/>
  <c r="AP73" i="23"/>
  <c r="AN73" i="23"/>
  <c r="AL73" i="23"/>
  <c r="AJ73" i="23"/>
  <c r="AF73" i="23"/>
  <c r="F74" i="23" a="1"/>
  <c r="F74" i="23" s="1"/>
  <c r="BC73" i="23"/>
  <c r="BA73" i="23"/>
  <c r="AY73" i="23"/>
  <c r="AW73" i="23"/>
  <c r="AU73" i="23"/>
  <c r="AS73" i="23"/>
  <c r="AQ73" i="23"/>
  <c r="AO73" i="23"/>
  <c r="AM73" i="23"/>
  <c r="AK73" i="23"/>
  <c r="AI73" i="23"/>
  <c r="AG73" i="23"/>
  <c r="AE73" i="23"/>
  <c r="CL406" i="12"/>
  <c r="CF389" i="12"/>
  <c r="CF432" i="12"/>
  <c r="CF428" i="12"/>
  <c r="CF419" i="12"/>
  <c r="F35" i="8" a="1"/>
  <c r="F35" i="8" s="1"/>
  <c r="U34" i="8"/>
  <c r="T144" i="27"/>
  <c r="F145" i="27" a="1"/>
  <c r="F145" i="27" s="1"/>
  <c r="F62" i="17" a="1"/>
  <c r="F62" i="17" s="1"/>
  <c r="F61" i="17" a="1"/>
  <c r="F61" i="17" s="1"/>
  <c r="A60" i="17"/>
  <c r="CO389" i="12"/>
  <c r="BK424" i="12"/>
  <c r="BK357" i="12"/>
  <c r="BK391" i="12"/>
  <c r="CR115" i="12"/>
  <c r="CL115" i="12"/>
  <c r="CF115" i="12"/>
  <c r="BZ115" i="12"/>
  <c r="BT115" i="12"/>
  <c r="BN115" i="12"/>
  <c r="BH115" i="12"/>
  <c r="BB115" i="12"/>
  <c r="AV115" i="12"/>
  <c r="AP115" i="12"/>
  <c r="CR429" i="12"/>
  <c r="CR433" i="12"/>
  <c r="CO264" i="12"/>
  <c r="CL292" i="12"/>
  <c r="CL297" i="12"/>
  <c r="CF292" i="12"/>
  <c r="CF297" i="12"/>
  <c r="BW264" i="12"/>
  <c r="BQ264" i="12"/>
  <c r="BN292" i="12"/>
  <c r="BN297" i="12"/>
  <c r="BH292" i="12"/>
  <c r="BH297" i="12"/>
  <c r="AY264" i="12"/>
  <c r="AS264" i="12"/>
  <c r="AP292" i="12"/>
  <c r="AP297" i="12"/>
  <c r="CI426" i="12"/>
  <c r="CI420" i="12"/>
  <c r="BN355" i="12"/>
  <c r="BB406" i="12"/>
  <c r="AP389" i="12"/>
  <c r="AP432" i="12"/>
  <c r="AP428" i="12"/>
  <c r="AP419" i="12"/>
  <c r="F83" i="13" a="1"/>
  <c r="F83" i="13" s="1"/>
  <c r="T82" i="13"/>
  <c r="CR372" i="12"/>
  <c r="CF243" i="12"/>
  <c r="CC297" i="12"/>
  <c r="CC292" i="12"/>
  <c r="BZ201" i="12"/>
  <c r="BW297" i="12"/>
  <c r="BW292" i="12"/>
  <c r="BH222" i="12"/>
  <c r="BB222" i="12"/>
  <c r="BB290" i="12"/>
  <c r="BB280" i="12"/>
  <c r="BB295" i="12"/>
  <c r="F48" i="9" a="1"/>
  <c r="F48" i="9" s="1"/>
  <c r="U48" i="9" s="1"/>
  <c r="U47" i="9"/>
  <c r="CC433" i="12"/>
  <c r="CC429" i="12"/>
  <c r="T305" i="12" a="1"/>
  <c r="T305" i="12" s="1"/>
  <c r="U304" i="12"/>
  <c r="F84" i="33" a="1"/>
  <c r="F84" i="33" s="1"/>
  <c r="F35" i="33" a="1"/>
  <c r="F35" i="33" s="1"/>
  <c r="F36" i="33" s="1" a="1"/>
  <c r="F36" i="33" s="1"/>
  <c r="F37" i="33" s="1" a="1"/>
  <c r="F37" i="33" s="1"/>
  <c r="CO102" i="12"/>
  <c r="CI102" i="12"/>
  <c r="CC102" i="12"/>
  <c r="BW102" i="12"/>
  <c r="BQ102" i="12"/>
  <c r="BK102" i="12"/>
  <c r="BE102" i="12"/>
  <c r="AY102" i="12"/>
  <c r="AS102" i="12"/>
  <c r="AM102" i="12"/>
  <c r="BZ406" i="12"/>
  <c r="BT389" i="12"/>
  <c r="BT432" i="12"/>
  <c r="BT428" i="12"/>
  <c r="BT419" i="12"/>
  <c r="BH372" i="12"/>
  <c r="AV355" i="12"/>
  <c r="CR292" i="12"/>
  <c r="CR297" i="12"/>
  <c r="CI264" i="12"/>
  <c r="CC264" i="12"/>
  <c r="BZ292" i="12"/>
  <c r="BZ297" i="12"/>
  <c r="BT292" i="12"/>
  <c r="BT297" i="12"/>
  <c r="BK264" i="12"/>
  <c r="BE264" i="12"/>
  <c r="BB292" i="12"/>
  <c r="BB297" i="12"/>
  <c r="AV292" i="12"/>
  <c r="AV297" i="12"/>
  <c r="AM264" i="12"/>
  <c r="BK350" i="12"/>
  <c r="BK351" i="12" s="1"/>
  <c r="BK423" i="12"/>
  <c r="BK356" i="12"/>
  <c r="BK384" i="12"/>
  <c r="BK385" i="12" s="1"/>
  <c r="BK390" i="12"/>
  <c r="CO76" i="12"/>
  <c r="CI115" i="12"/>
  <c r="CC133" i="12"/>
  <c r="CC136" i="12"/>
  <c r="CC125" i="12"/>
  <c r="BQ76" i="12"/>
  <c r="BK115" i="12"/>
  <c r="BE133" i="12"/>
  <c r="BE136" i="12"/>
  <c r="BE125" i="12"/>
  <c r="AS76" i="12"/>
  <c r="AM115" i="12"/>
  <c r="BT406" i="12"/>
  <c r="AV406" i="12"/>
  <c r="CC201" i="12"/>
  <c r="BE243" i="12"/>
  <c r="BK389" i="12" l="1"/>
  <c r="BE131" i="12"/>
  <c r="BE126" i="12"/>
  <c r="BK355" i="12"/>
  <c r="BK432" i="12"/>
  <c r="BK428" i="12"/>
  <c r="BK419" i="12"/>
  <c r="F38" i="33" a="1"/>
  <c r="F38" i="33" s="1"/>
  <c r="AP426" i="12"/>
  <c r="AP420" i="12"/>
  <c r="CI435" i="12"/>
  <c r="CI427" i="12"/>
  <c r="CI421" i="12"/>
  <c r="BK433" i="12"/>
  <c r="BK429" i="12"/>
  <c r="T61" i="17"/>
  <c r="F63" i="17" a="1"/>
  <c r="F63" i="17" s="1"/>
  <c r="A63" i="17" s="1"/>
  <c r="A61" i="17"/>
  <c r="F36" i="8" a="1"/>
  <c r="F36" i="8" s="1"/>
  <c r="U35" i="8"/>
  <c r="AH73" i="23"/>
  <c r="BH73" i="23"/>
  <c r="BL73" i="23"/>
  <c r="F75" i="23" a="1"/>
  <c r="F75" i="23" s="1"/>
  <c r="BC74" i="23"/>
  <c r="BA74" i="23"/>
  <c r="BL74" i="23" s="1"/>
  <c r="AY74" i="23"/>
  <c r="BJ74" i="23" s="1"/>
  <c r="AW74" i="23"/>
  <c r="BH74" i="23" s="1"/>
  <c r="AU74" i="23"/>
  <c r="BF74" i="23" s="1"/>
  <c r="AS74" i="23"/>
  <c r="AQ74" i="23"/>
  <c r="AO74" i="23"/>
  <c r="AM74" i="23"/>
  <c r="AK74" i="23"/>
  <c r="AI74" i="23"/>
  <c r="AG74" i="23"/>
  <c r="AE74" i="23"/>
  <c r="BB74" i="23"/>
  <c r="BM74" i="23" s="1"/>
  <c r="AZ74" i="23"/>
  <c r="BK74" i="23" s="1"/>
  <c r="AX74" i="23"/>
  <c r="BI74" i="23" s="1"/>
  <c r="AV74" i="23"/>
  <c r="BG74" i="23" s="1"/>
  <c r="AT74" i="23"/>
  <c r="BE74" i="23" s="1"/>
  <c r="AR74" i="23"/>
  <c r="AP74" i="23"/>
  <c r="AN74" i="23"/>
  <c r="AL74" i="23"/>
  <c r="AJ74" i="23"/>
  <c r="AF74" i="23"/>
  <c r="BG73" i="23"/>
  <c r="BK73" i="23"/>
  <c r="F34" i="30" a="1"/>
  <c r="F34" i="30" s="1"/>
  <c r="T33" i="30"/>
  <c r="BN288" i="12"/>
  <c r="BN281" i="12"/>
  <c r="F58" i="30" a="1"/>
  <c r="F58" i="30" s="1"/>
  <c r="T57" i="30"/>
  <c r="AS355" i="12"/>
  <c r="AS432" i="12"/>
  <c r="AS428" i="12"/>
  <c r="AS419" i="12"/>
  <c r="BQ389" i="12"/>
  <c r="K52" i="22"/>
  <c r="F53" i="22" a="1"/>
  <c r="F53" i="22" s="1"/>
  <c r="BW131" i="12"/>
  <c r="BW126" i="12"/>
  <c r="AM372" i="12"/>
  <c r="F107" i="25" a="1"/>
  <c r="F107" i="25" s="1"/>
  <c r="BH288" i="12"/>
  <c r="BH281" i="12"/>
  <c r="AY406" i="12"/>
  <c r="F104" i="28" a="1"/>
  <c r="F104" i="28" s="1"/>
  <c r="AJ103" i="28"/>
  <c r="AF103" i="28"/>
  <c r="AK103" i="28"/>
  <c r="AI103" i="28"/>
  <c r="AG103" i="28"/>
  <c r="AH103" i="28" s="1"/>
  <c r="AE103" i="28"/>
  <c r="F88" i="31" a="1"/>
  <c r="F88" i="31" s="1"/>
  <c r="T87" i="31"/>
  <c r="BB131" i="12"/>
  <c r="BB126" i="12"/>
  <c r="BZ131" i="12"/>
  <c r="BZ126" i="12"/>
  <c r="N33" i="27" a="1"/>
  <c r="N33" i="27" s="1"/>
  <c r="BX32" i="27" a="1"/>
  <c r="BX32" i="27" s="1"/>
  <c r="F61" i="31" a="1"/>
  <c r="F61" i="31" s="1"/>
  <c r="T60" i="31"/>
  <c r="F62" i="8" a="1"/>
  <c r="F62" i="8" s="1"/>
  <c r="U61" i="8"/>
  <c r="S162" i="12" a="1"/>
  <c r="S162" i="12" s="1"/>
  <c r="U161" i="12"/>
  <c r="X365" i="12"/>
  <c r="CY361" i="12" a="1"/>
  <c r="CY361" i="12" s="1"/>
  <c r="AE365" i="12" a="1"/>
  <c r="AE365" i="12" s="1"/>
  <c r="BE389" i="12"/>
  <c r="CC426" i="12"/>
  <c r="CC420" i="12"/>
  <c r="AF213" i="12" a="1"/>
  <c r="AF213" i="12" s="1"/>
  <c r="CZ208" i="12" a="1"/>
  <c r="CZ208" i="12" s="1"/>
  <c r="L327" i="12" a="1"/>
  <c r="L327" i="12" s="1"/>
  <c r="L328" i="12" s="1" a="1"/>
  <c r="L328" i="12" s="1"/>
  <c r="L329" i="12" s="1" a="1"/>
  <c r="L329" i="12" s="1"/>
  <c r="L330" i="12" s="1" a="1"/>
  <c r="L330" i="12" s="1"/>
  <c r="L331" i="12" s="1" a="1"/>
  <c r="L331" i="12" s="1"/>
  <c r="L332" i="12" s="1" a="1"/>
  <c r="L332" i="12" s="1"/>
  <c r="L333" i="12" s="1" a="1"/>
  <c r="L333" i="12" s="1"/>
  <c r="L334" i="12" s="1" a="1"/>
  <c r="L334" i="12" s="1"/>
  <c r="L335" i="12" s="1" a="1"/>
  <c r="L335" i="12" s="1"/>
  <c r="L336" i="12" s="1" a="1"/>
  <c r="L336" i="12" s="1"/>
  <c r="L337" i="12" s="1" a="1"/>
  <c r="L337" i="12" s="1"/>
  <c r="L338" i="12" s="1" a="1"/>
  <c r="L338" i="12" s="1"/>
  <c r="L339" i="12" s="1" a="1"/>
  <c r="L339" i="12" s="1"/>
  <c r="L340" i="12" s="1" a="1"/>
  <c r="L340" i="12" s="1"/>
  <c r="L341" i="12" s="1" a="1"/>
  <c r="L341" i="12" s="1"/>
  <c r="L342" i="12" s="1" a="1"/>
  <c r="L342" i="12" s="1"/>
  <c r="L343" i="12" s="1" a="1"/>
  <c r="L343" i="12" s="1"/>
  <c r="L344" i="12" s="1" a="1"/>
  <c r="L344" i="12" s="1"/>
  <c r="L345" i="12" s="1" a="1"/>
  <c r="L345" i="12" s="1"/>
  <c r="L346" i="12" s="1" a="1"/>
  <c r="L346" i="12" s="1"/>
  <c r="L347" i="12" s="1" a="1"/>
  <c r="L347" i="12" s="1"/>
  <c r="L348" i="12" s="1" a="1"/>
  <c r="L348" i="12" s="1"/>
  <c r="L349" i="12" s="1" a="1"/>
  <c r="L349" i="12" s="1"/>
  <c r="L350" i="12" s="1" a="1"/>
  <c r="L350" i="12" s="1"/>
  <c r="L351" i="12" s="1" a="1"/>
  <c r="L351" i="12" s="1"/>
  <c r="L352" i="12" s="1" a="1"/>
  <c r="L352" i="12" s="1"/>
  <c r="L353" i="12" s="1" a="1"/>
  <c r="L353" i="12" s="1"/>
  <c r="L354" i="12" s="1" a="1"/>
  <c r="L354" i="12" s="1"/>
  <c r="L355" i="12" s="1" a="1"/>
  <c r="L355" i="12" s="1"/>
  <c r="T326" i="12" a="1"/>
  <c r="T326" i="12" s="1"/>
  <c r="K43" i="22"/>
  <c r="F44" i="22" a="1"/>
  <c r="F44" i="22" s="1"/>
  <c r="AS131" i="12"/>
  <c r="AS126" i="12"/>
  <c r="CO131" i="12"/>
  <c r="CO126" i="12"/>
  <c r="BK372" i="12"/>
  <c r="F95" i="18" a="1"/>
  <c r="F95" i="18" s="1"/>
  <c r="T94" i="18"/>
  <c r="AM288" i="12"/>
  <c r="AM281" i="12"/>
  <c r="BK288" i="12"/>
  <c r="BK281" i="12"/>
  <c r="CI288" i="12"/>
  <c r="CI281" i="12"/>
  <c r="AV426" i="12"/>
  <c r="AV420" i="12"/>
  <c r="F72" i="21" a="1"/>
  <c r="F72" i="21" s="1"/>
  <c r="T71" i="21"/>
  <c r="AH53" i="23"/>
  <c r="BH53" i="23"/>
  <c r="BL53" i="23"/>
  <c r="F55" i="23" a="1"/>
  <c r="F55" i="23" s="1"/>
  <c r="BC54" i="23"/>
  <c r="BA54" i="23"/>
  <c r="BL54" i="23" s="1"/>
  <c r="AY54" i="23"/>
  <c r="BJ54" i="23" s="1"/>
  <c r="AW54" i="23"/>
  <c r="BH54" i="23" s="1"/>
  <c r="AU54" i="23"/>
  <c r="BF54" i="23" s="1"/>
  <c r="AS54" i="23"/>
  <c r="AQ54" i="23"/>
  <c r="AO54" i="23"/>
  <c r="AM54" i="23"/>
  <c r="AK54" i="23"/>
  <c r="AI54" i="23"/>
  <c r="AG54" i="23"/>
  <c r="AE54" i="23"/>
  <c r="BB54" i="23"/>
  <c r="BM54" i="23" s="1"/>
  <c r="AZ54" i="23"/>
  <c r="BK54" i="23" s="1"/>
  <c r="AX54" i="23"/>
  <c r="BI54" i="23" s="1"/>
  <c r="AV54" i="23"/>
  <c r="BG54" i="23" s="1"/>
  <c r="AT54" i="23"/>
  <c r="AR54" i="23"/>
  <c r="AP54" i="23"/>
  <c r="AN54" i="23"/>
  <c r="AL54" i="23"/>
  <c r="AJ54" i="23"/>
  <c r="AF54" i="23"/>
  <c r="BG53" i="23"/>
  <c r="BK53" i="23"/>
  <c r="BW435" i="12"/>
  <c r="BW427" i="12"/>
  <c r="BW421" i="12"/>
  <c r="CO426" i="12"/>
  <c r="CO420" i="12"/>
  <c r="F68" i="17" a="1"/>
  <c r="F68" i="17" s="1"/>
  <c r="F67" i="17" a="1"/>
  <c r="F67" i="17" s="1"/>
  <c r="F70" i="17" a="1"/>
  <c r="F70" i="17" s="1"/>
  <c r="F41" i="17" a="1"/>
  <c r="F41" i="17" s="1"/>
  <c r="T40" i="17"/>
  <c r="A38" i="17"/>
  <c r="F41" i="13" a="1"/>
  <c r="F41" i="13" s="1"/>
  <c r="F63" i="18" a="1"/>
  <c r="F63" i="18" s="1"/>
  <c r="T62" i="18"/>
  <c r="U38" i="6"/>
  <c r="F39" i="6" a="1"/>
  <c r="F39" i="6" s="1"/>
  <c r="AP288" i="12"/>
  <c r="AP281" i="12"/>
  <c r="CL288" i="12"/>
  <c r="CL281" i="12"/>
  <c r="AS406" i="12"/>
  <c r="BQ406" i="12"/>
  <c r="F34" i="31" a="1"/>
  <c r="F34" i="31" s="1"/>
  <c r="T33" i="31"/>
  <c r="BE288" i="12"/>
  <c r="BE281" i="12"/>
  <c r="BZ426" i="12"/>
  <c r="BZ420" i="12"/>
  <c r="AM131" i="12"/>
  <c r="AM126" i="12"/>
  <c r="CI131" i="12"/>
  <c r="CI126" i="12"/>
  <c r="CZ365" i="12" a="1"/>
  <c r="CZ365" i="12" s="1"/>
  <c r="AF370" i="12" a="1"/>
  <c r="AF370" i="12" s="1"/>
  <c r="AM355" i="12"/>
  <c r="AM432" i="12"/>
  <c r="AM428" i="12"/>
  <c r="AM419" i="12"/>
  <c r="F37" i="28" a="1"/>
  <c r="F37" i="28" s="1"/>
  <c r="AJ36" i="28"/>
  <c r="AF36" i="28"/>
  <c r="AK36" i="28"/>
  <c r="AG36" i="28"/>
  <c r="AH36" i="28" s="1"/>
  <c r="AI36" i="28"/>
  <c r="AL36" i="28" s="1"/>
  <c r="AE36" i="28"/>
  <c r="BE433" i="12"/>
  <c r="BE429" i="12"/>
  <c r="F34" i="22" a="1"/>
  <c r="F34" i="22" s="1"/>
  <c r="CF288" i="12"/>
  <c r="CF281" i="12"/>
  <c r="AY355" i="12"/>
  <c r="AY432" i="12"/>
  <c r="AY428" i="12"/>
  <c r="AY419" i="12"/>
  <c r="T89" i="27"/>
  <c r="F90" i="27" a="1"/>
  <c r="F90" i="27" s="1"/>
  <c r="BQ288" i="12"/>
  <c r="BQ281" i="12"/>
  <c r="AF214" i="12" a="1"/>
  <c r="AF214" i="12" s="1"/>
  <c r="CZ209" i="12" a="1"/>
  <c r="CZ209" i="12" s="1"/>
  <c r="AV131" i="12"/>
  <c r="AV126" i="12"/>
  <c r="BT131" i="12"/>
  <c r="BT126" i="12"/>
  <c r="CR131" i="12"/>
  <c r="CR126" i="12"/>
  <c r="AM433" i="12"/>
  <c r="AM429" i="12"/>
  <c r="T38" i="14" a="1"/>
  <c r="T38" i="14" s="1"/>
  <c r="T37" i="14" a="1"/>
  <c r="T37" i="14" s="1"/>
  <c r="F38" i="14" a="1"/>
  <c r="F38" i="14" s="1"/>
  <c r="CL426" i="12"/>
  <c r="CL420" i="12"/>
  <c r="BE406" i="12"/>
  <c r="F93" i="17" a="1"/>
  <c r="F93" i="17" s="1"/>
  <c r="F92" i="17" a="1"/>
  <c r="F92" i="17" s="1"/>
  <c r="F95" i="17" a="1"/>
  <c r="F95" i="17" s="1"/>
  <c r="N145" i="27" a="1"/>
  <c r="N145" i="27" s="1"/>
  <c r="BX144" i="27" a="1"/>
  <c r="BX144" i="27" s="1"/>
  <c r="F34" i="27" a="1"/>
  <c r="F34" i="27" s="1"/>
  <c r="T33" i="27"/>
  <c r="M168" i="28" a="1"/>
  <c r="M168" i="28" s="1"/>
  <c r="AS167" i="28" a="1"/>
  <c r="AS167" i="28" s="1"/>
  <c r="M88" i="31" a="1"/>
  <c r="M88" i="31" s="1"/>
  <c r="BI87" i="31" a="1"/>
  <c r="BI87" i="31" s="1"/>
  <c r="T145" i="12" a="1"/>
  <c r="T145" i="12" s="1"/>
  <c r="U144" i="12"/>
  <c r="CC131" i="12"/>
  <c r="CC126" i="12"/>
  <c r="BT426" i="12"/>
  <c r="BT420" i="12"/>
  <c r="F85" i="33" a="1"/>
  <c r="F85" i="33" s="1"/>
  <c r="F86" i="33" s="1" a="1"/>
  <c r="F86" i="33" s="1"/>
  <c r="F87" i="33" s="1" a="1"/>
  <c r="F87" i="33" s="1"/>
  <c r="F88" i="33" s="1" a="1"/>
  <c r="F88" i="33" s="1"/>
  <c r="T306" i="12" a="1"/>
  <c r="T306" i="12" s="1"/>
  <c r="U305" i="12"/>
  <c r="BB288" i="12"/>
  <c r="BB281" i="12"/>
  <c r="F84" i="13" a="1"/>
  <c r="F84" i="13" s="1"/>
  <c r="F85" i="13" s="1" a="1"/>
  <c r="F85" i="13" s="1"/>
  <c r="T83" i="13"/>
  <c r="T145" i="27"/>
  <c r="F146" i="27" a="1"/>
  <c r="F146" i="27" s="1"/>
  <c r="CF426" i="12"/>
  <c r="CF420" i="12"/>
  <c r="BD73" i="23"/>
  <c r="BF73" i="23"/>
  <c r="BJ73" i="23"/>
  <c r="BE73" i="23"/>
  <c r="BI73" i="23"/>
  <c r="BM73" i="23"/>
  <c r="AS389" i="12"/>
  <c r="BQ355" i="12"/>
  <c r="BQ432" i="12"/>
  <c r="BQ428" i="12"/>
  <c r="BQ419" i="12"/>
  <c r="BH426" i="12"/>
  <c r="BH420" i="12"/>
  <c r="AY131" i="12"/>
  <c r="AY126" i="12"/>
  <c r="AM406" i="12"/>
  <c r="T34" i="12" a="1"/>
  <c r="T34" i="12" s="1"/>
  <c r="U33" i="12"/>
  <c r="S319" i="12" a="1"/>
  <c r="S319" i="12" s="1"/>
  <c r="U318" i="12"/>
  <c r="AY372" i="12"/>
  <c r="AP131" i="12"/>
  <c r="AP126" i="12"/>
  <c r="BN131" i="12"/>
  <c r="BN126" i="12"/>
  <c r="CL131" i="12"/>
  <c r="CL126" i="12"/>
  <c r="F154" i="25" a="1"/>
  <c r="F154" i="25" s="1"/>
  <c r="F90" i="8" a="1"/>
  <c r="F90" i="8" s="1"/>
  <c r="U89" i="8"/>
  <c r="BE355" i="12"/>
  <c r="BE432" i="12"/>
  <c r="BE428" i="12"/>
  <c r="BE419" i="12"/>
  <c r="F37" i="21" a="1"/>
  <c r="F37" i="21" s="1"/>
  <c r="M34" i="31" a="1"/>
  <c r="M34" i="31" s="1"/>
  <c r="BI33" i="31" a="1"/>
  <c r="BI33" i="31" s="1"/>
  <c r="M61" i="31" a="1"/>
  <c r="M61" i="31" s="1"/>
  <c r="BI60" i="31" a="1"/>
  <c r="BI60" i="31" s="1"/>
  <c r="S51" i="12" a="1"/>
  <c r="S51" i="12" s="1"/>
  <c r="U50" i="12"/>
  <c r="AV288" i="12"/>
  <c r="AV281" i="12"/>
  <c r="CR288" i="12"/>
  <c r="CR281" i="12"/>
  <c r="AY433" i="12"/>
  <c r="AY429" i="12"/>
  <c r="T86" i="17"/>
  <c r="F88" i="17" a="1"/>
  <c r="F88" i="17" s="1"/>
  <c r="A88" i="17" s="1"/>
  <c r="A86" i="17"/>
  <c r="AE209" i="12" a="1"/>
  <c r="AE209" i="12" s="1"/>
  <c r="X209" i="12"/>
  <c r="CY204" i="12" a="1"/>
  <c r="CY204" i="12" s="1"/>
  <c r="AS433" i="12"/>
  <c r="AS429" i="12"/>
  <c r="CC288" i="12"/>
  <c r="CC281" i="12"/>
  <c r="BQ131" i="12"/>
  <c r="BQ126" i="12"/>
  <c r="BK406" i="12"/>
  <c r="BD53" i="23"/>
  <c r="BF53" i="23"/>
  <c r="BJ53" i="23"/>
  <c r="BE53" i="23"/>
  <c r="BI53" i="23"/>
  <c r="BM53" i="23"/>
  <c r="F44" i="24" a="1"/>
  <c r="F44" i="24" s="1"/>
  <c r="AB42" i="11" a="1"/>
  <c r="AB42" i="11" s="1"/>
  <c r="V42" i="11" a="1"/>
  <c r="V42" i="11" s="1"/>
  <c r="AY115" i="13"/>
  <c r="AY117" i="13" s="1"/>
  <c r="AU115" i="13"/>
  <c r="AU117" i="13" s="1"/>
  <c r="AQ115" i="13"/>
  <c r="AQ117" i="13" s="1"/>
  <c r="AM115" i="13"/>
  <c r="AM117" i="13" s="1"/>
  <c r="AI115" i="13"/>
  <c r="AI117" i="13" s="1"/>
  <c r="AE115" i="13"/>
  <c r="AE117" i="13" s="1"/>
  <c r="AZ115" i="13"/>
  <c r="AZ117" i="13" s="1"/>
  <c r="AV115" i="13"/>
  <c r="AV117" i="13" s="1"/>
  <c r="AR115" i="13"/>
  <c r="AR117" i="13" s="1"/>
  <c r="AN115" i="13"/>
  <c r="AN117" i="13" s="1"/>
  <c r="AJ115" i="13"/>
  <c r="AJ117" i="13" s="1"/>
  <c r="AF115" i="13"/>
  <c r="AF117" i="13" s="1"/>
  <c r="BA115" i="13"/>
  <c r="BA117" i="13" s="1"/>
  <c r="AW115" i="13"/>
  <c r="AW117" i="13" s="1"/>
  <c r="AS115" i="13"/>
  <c r="AS117" i="13" s="1"/>
  <c r="AO115" i="13"/>
  <c r="AO117" i="13" s="1"/>
  <c r="AK115" i="13"/>
  <c r="AK117" i="13" s="1"/>
  <c r="AG115" i="13"/>
  <c r="AG117" i="13" s="1"/>
  <c r="BB115" i="13"/>
  <c r="BB117" i="13" s="1"/>
  <c r="AX115" i="13"/>
  <c r="AX117" i="13" s="1"/>
  <c r="AT115" i="13"/>
  <c r="AT117" i="13" s="1"/>
  <c r="AP115" i="13"/>
  <c r="AP117" i="13" s="1"/>
  <c r="AL115" i="13"/>
  <c r="AL117" i="13" s="1"/>
  <c r="AH115" i="13"/>
  <c r="AH117" i="13" s="1"/>
  <c r="AK42" i="12"/>
  <c r="F35" i="18" a="1"/>
  <c r="F35" i="18" s="1"/>
  <c r="T34" i="18"/>
  <c r="F60" i="25" a="1"/>
  <c r="F60" i="25" s="1"/>
  <c r="N89" i="27" a="1"/>
  <c r="N89" i="27" s="1"/>
  <c r="BX88" i="27" a="1"/>
  <c r="BX88" i="27" s="1"/>
  <c r="M34" i="28" a="1"/>
  <c r="M34" i="28" s="1"/>
  <c r="AS33" i="28" a="1"/>
  <c r="AS33" i="28" s="1"/>
  <c r="AB35" i="11" a="1"/>
  <c r="AB35" i="11" s="1"/>
  <c r="V35" i="11" a="1"/>
  <c r="V35" i="11" s="1"/>
  <c r="AZ71" i="13"/>
  <c r="AZ73" i="13" s="1"/>
  <c r="AV71" i="13"/>
  <c r="AV73" i="13" s="1"/>
  <c r="AR71" i="13"/>
  <c r="AR73" i="13" s="1"/>
  <c r="AN71" i="13"/>
  <c r="AN73" i="13" s="1"/>
  <c r="AJ71" i="13"/>
  <c r="AJ73" i="13" s="1"/>
  <c r="AF71" i="13"/>
  <c r="AF73" i="13" s="1"/>
  <c r="AY71" i="13"/>
  <c r="AY73" i="13" s="1"/>
  <c r="AU71" i="13"/>
  <c r="AU73" i="13" s="1"/>
  <c r="AQ71" i="13"/>
  <c r="AQ73" i="13" s="1"/>
  <c r="AM71" i="13"/>
  <c r="AM73" i="13" s="1"/>
  <c r="AI71" i="13"/>
  <c r="AI73" i="13" s="1"/>
  <c r="AE71" i="13"/>
  <c r="AE73" i="13" s="1"/>
  <c r="AI153" i="12"/>
  <c r="CN152" i="12"/>
  <c r="CH152" i="12"/>
  <c r="CB152" i="12"/>
  <c r="BV152" i="12"/>
  <c r="BP152" i="12"/>
  <c r="BJ152" i="12"/>
  <c r="BD152" i="12"/>
  <c r="AX152" i="12"/>
  <c r="AR152" i="12"/>
  <c r="AL152" i="12"/>
  <c r="AH152" i="12"/>
  <c r="CN153" i="12"/>
  <c r="CH153" i="12"/>
  <c r="CB153" i="12"/>
  <c r="BV153" i="12"/>
  <c r="BP153" i="12"/>
  <c r="BJ153" i="12"/>
  <c r="BD153" i="12"/>
  <c r="AX153" i="12"/>
  <c r="AR153" i="12"/>
  <c r="AL153" i="12"/>
  <c r="AH153" i="12"/>
  <c r="AK152" i="12"/>
  <c r="AL42" i="12"/>
  <c r="BJ42" i="12"/>
  <c r="CH42" i="12"/>
  <c r="AJ42" i="12"/>
  <c r="BG42" i="12"/>
  <c r="CE42" i="12"/>
  <c r="AJ41" i="12"/>
  <c r="AU41" i="12"/>
  <c r="BG41" i="12"/>
  <c r="BS41" i="12"/>
  <c r="CE41" i="12"/>
  <c r="CQ41" i="12"/>
  <c r="BS153" i="12"/>
  <c r="BG153" i="12"/>
  <c r="AU153" i="12"/>
  <c r="AJ153" i="12"/>
  <c r="AI152" i="12"/>
  <c r="AK41" i="12"/>
  <c r="BV42" i="12"/>
  <c r="AU42" i="12"/>
  <c r="CQ42" i="12"/>
  <c r="BA41" i="12"/>
  <c r="BY41" i="12"/>
  <c r="AR42" i="12"/>
  <c r="BP42" i="12"/>
  <c r="CN42" i="12"/>
  <c r="BA42" i="12"/>
  <c r="BY42" i="12"/>
  <c r="AH41" i="12"/>
  <c r="AR41" i="12"/>
  <c r="BD41" i="12"/>
  <c r="BP41" i="12"/>
  <c r="CB41" i="12"/>
  <c r="CN41" i="12"/>
  <c r="BB71" i="13"/>
  <c r="BB73" i="13" s="1"/>
  <c r="AX71" i="13"/>
  <c r="AX73" i="13" s="1"/>
  <c r="AT71" i="13"/>
  <c r="AT73" i="13" s="1"/>
  <c r="AP71" i="13"/>
  <c r="AP73" i="13" s="1"/>
  <c r="AL71" i="13"/>
  <c r="AL73" i="13" s="1"/>
  <c r="AH71" i="13"/>
  <c r="AH73" i="13" s="1"/>
  <c r="BA71" i="13"/>
  <c r="BA73" i="13" s="1"/>
  <c r="AW71" i="13"/>
  <c r="AW73" i="13" s="1"/>
  <c r="AS71" i="13"/>
  <c r="AS73" i="13" s="1"/>
  <c r="AO71" i="13"/>
  <c r="AO73" i="13" s="1"/>
  <c r="AK71" i="13"/>
  <c r="AK73" i="13" s="1"/>
  <c r="AG71" i="13"/>
  <c r="AG73" i="13" s="1"/>
  <c r="AK153" i="12"/>
  <c r="CQ152" i="12"/>
  <c r="CK152" i="12"/>
  <c r="CE152" i="12"/>
  <c r="BY152" i="12"/>
  <c r="BS152" i="12"/>
  <c r="BM152" i="12"/>
  <c r="BG152" i="12"/>
  <c r="BA152" i="12"/>
  <c r="AU152" i="12"/>
  <c r="AO152" i="12"/>
  <c r="AJ152" i="12"/>
  <c r="CQ153" i="12"/>
  <c r="CK153" i="12"/>
  <c r="CE153" i="12"/>
  <c r="BY153" i="12"/>
  <c r="BM153" i="12"/>
  <c r="BA153" i="12"/>
  <c r="AO153" i="12"/>
  <c r="AX42" i="12"/>
  <c r="AI41" i="12"/>
  <c r="BS42" i="12"/>
  <c r="AO41" i="12"/>
  <c r="BM41" i="12"/>
  <c r="CK41" i="12"/>
  <c r="AL313" i="12"/>
  <c r="BJ313" i="12"/>
  <c r="BA314" i="12"/>
  <c r="BY314" i="12"/>
  <c r="AJ313" i="12"/>
  <c r="BG313" i="12"/>
  <c r="AR314" i="12"/>
  <c r="BP314" i="12"/>
  <c r="CN314" i="12"/>
  <c r="BV313" i="12"/>
  <c r="CH313" i="12"/>
  <c r="AI314" i="12"/>
  <c r="CH41" i="12"/>
  <c r="AL41" i="12"/>
  <c r="CB42" i="12"/>
  <c r="BP313" i="12"/>
  <c r="BS314" i="12"/>
  <c r="BA313" i="12"/>
  <c r="BJ314" i="12"/>
  <c r="BS313" i="12"/>
  <c r="CQ313" i="12"/>
  <c r="AX313" i="12"/>
  <c r="AO314" i="12"/>
  <c r="BM314" i="12"/>
  <c r="CK314" i="12"/>
  <c r="AU313" i="12"/>
  <c r="AH314" i="12"/>
  <c r="BD314" i="12"/>
  <c r="CB314" i="12"/>
  <c r="AK313" i="12"/>
  <c r="CB313" i="12"/>
  <c r="CN313" i="12"/>
  <c r="AI42" i="12"/>
  <c r="AI43" i="12" s="1"/>
  <c r="BV41" i="12"/>
  <c r="AX41" i="12"/>
  <c r="CK42" i="12"/>
  <c r="AO42" i="12"/>
  <c r="BD42" i="12"/>
  <c r="AH313" i="12"/>
  <c r="BD313" i="12"/>
  <c r="AJ314" i="12"/>
  <c r="AJ315" i="12" s="1"/>
  <c r="BG314" i="12"/>
  <c r="CE314" i="12"/>
  <c r="AO313" i="12"/>
  <c r="BM313" i="12"/>
  <c r="AX314" i="12"/>
  <c r="BV314" i="12"/>
  <c r="AI313" i="12"/>
  <c r="BY313" i="12"/>
  <c r="CK313" i="12"/>
  <c r="AK314" i="12"/>
  <c r="BJ41" i="12"/>
  <c r="BM42" i="12"/>
  <c r="AH42" i="12"/>
  <c r="AH43" i="12" s="1"/>
  <c r="AR313" i="12"/>
  <c r="AU314" i="12"/>
  <c r="CQ314" i="12"/>
  <c r="AL314" i="12"/>
  <c r="CH314" i="12"/>
  <c r="CE313" i="12"/>
  <c r="BZ288" i="12"/>
  <c r="BZ281" i="12"/>
  <c r="BN426" i="12"/>
  <c r="BN420" i="12"/>
  <c r="AY288" i="12"/>
  <c r="AY281" i="12"/>
  <c r="BW288" i="12"/>
  <c r="BW281" i="12"/>
  <c r="T38" i="17" a="1"/>
  <c r="T38" i="17" s="1"/>
  <c r="T37" i="17" a="1"/>
  <c r="T37" i="17" s="1"/>
  <c r="T41" i="13" a="1"/>
  <c r="T41" i="13" s="1"/>
  <c r="T42" i="13" s="1" a="1"/>
  <c r="T42" i="13" s="1"/>
  <c r="T43" i="13" s="1" a="1"/>
  <c r="T43" i="13" s="1"/>
  <c r="T44" i="13" s="1" a="1"/>
  <c r="T44" i="13" s="1"/>
  <c r="T40" i="13" a="1"/>
  <c r="T40" i="13" s="1"/>
  <c r="AE208" i="12" a="1"/>
  <c r="AE208" i="12" s="1"/>
  <c r="X208" i="12"/>
  <c r="CY203" i="12" a="1"/>
  <c r="CY203" i="12" s="1"/>
  <c r="AS372" i="12"/>
  <c r="BQ372" i="12"/>
  <c r="BB33" i="23"/>
  <c r="AZ33" i="23"/>
  <c r="AX33" i="23"/>
  <c r="AV33" i="23"/>
  <c r="AT33" i="23"/>
  <c r="AR33" i="23"/>
  <c r="AP33" i="23"/>
  <c r="AN33" i="23"/>
  <c r="AL33" i="23"/>
  <c r="AJ33" i="23"/>
  <c r="AF33" i="23"/>
  <c r="F34" i="23" a="1"/>
  <c r="F34" i="23" s="1"/>
  <c r="BC33" i="23"/>
  <c r="BA33" i="23"/>
  <c r="AY33" i="23"/>
  <c r="AW33" i="23"/>
  <c r="AU33" i="23"/>
  <c r="AS33" i="23"/>
  <c r="AQ33" i="23"/>
  <c r="AO33" i="23"/>
  <c r="AM33" i="23"/>
  <c r="AK33" i="23"/>
  <c r="AI33" i="23"/>
  <c r="AG33" i="23"/>
  <c r="AE33" i="23"/>
  <c r="BK131" i="12"/>
  <c r="BK126" i="12"/>
  <c r="AM389" i="12"/>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L195" i="12" s="1" a="1"/>
  <c r="L195" i="12" s="1"/>
  <c r="L196" i="12" s="1" a="1"/>
  <c r="L196" i="12" s="1"/>
  <c r="L197" i="12" s="1" a="1"/>
  <c r="L197" i="12" s="1"/>
  <c r="L198" i="12" s="1" a="1"/>
  <c r="L198" i="12" s="1"/>
  <c r="L199" i="12" s="1" a="1"/>
  <c r="L199" i="12" s="1"/>
  <c r="L200" i="12" s="1" a="1"/>
  <c r="L200" i="12" s="1"/>
  <c r="L201" i="12" s="1" a="1"/>
  <c r="L201" i="12" s="1"/>
  <c r="T165" i="12" a="1"/>
  <c r="T165" i="12" s="1"/>
  <c r="F34" i="24" a="1"/>
  <c r="F34" i="24" s="1"/>
  <c r="CR426" i="12"/>
  <c r="CR420" i="12"/>
  <c r="AY389" i="12"/>
  <c r="F130" i="33" a="1"/>
  <c r="F130" i="33" s="1"/>
  <c r="BB426" i="12"/>
  <c r="BB420" i="12"/>
  <c r="AS288" i="12"/>
  <c r="AS281" i="12"/>
  <c r="CO288" i="12"/>
  <c r="CO281" i="12"/>
  <c r="BH131" i="12"/>
  <c r="BH126" i="12"/>
  <c r="CF131" i="12"/>
  <c r="CF126" i="12"/>
  <c r="BE372" i="12"/>
  <c r="F54" i="24" a="1"/>
  <c r="F54" i="24" s="1"/>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BT288" i="12"/>
  <c r="BT281" i="12"/>
  <c r="F171" i="28" a="1"/>
  <c r="F171" i="28" s="1"/>
  <c r="AJ170" i="28"/>
  <c r="AF170" i="28"/>
  <c r="AK170" i="28"/>
  <c r="AI170" i="28"/>
  <c r="AG170" i="28"/>
  <c r="AE170" i="28"/>
  <c r="F127" i="13" a="1"/>
  <c r="F127" i="13" s="1"/>
  <c r="T126" i="13"/>
  <c r="BQ433" i="12"/>
  <c r="BQ429" i="12"/>
  <c r="T97" i="21"/>
  <c r="F98" i="21" a="1"/>
  <c r="F98" i="21" s="1"/>
  <c r="M101" i="28" a="1"/>
  <c r="M101" i="28" s="1"/>
  <c r="AS100" i="28" a="1"/>
  <c r="AS100" i="28" s="1"/>
  <c r="F82" i="30" a="1"/>
  <c r="F82" i="30" s="1"/>
  <c r="T81" i="30"/>
  <c r="AH170" i="28" l="1"/>
  <c r="AK315" i="12"/>
  <c r="AJ43" i="12"/>
  <c r="BD54" i="23"/>
  <c r="F83" i="30" a="1"/>
  <c r="F83" i="30" s="1"/>
  <c r="T82" i="30"/>
  <c r="M102" i="28" a="1"/>
  <c r="M102" i="28" s="1"/>
  <c r="AS101" i="28" a="1"/>
  <c r="AS101" i="28" s="1"/>
  <c r="T127" i="13"/>
  <c r="F128" i="13" a="1"/>
  <c r="F128" i="13" s="1"/>
  <c r="F129" i="13" s="1" a="1"/>
  <c r="F129" i="13" s="1"/>
  <c r="L202" i="12" a="1"/>
  <c r="L202" i="12" s="1"/>
  <c r="T201" i="12" a="1"/>
  <c r="T201" i="12" s="1"/>
  <c r="AH33" i="23"/>
  <c r="BH33" i="23"/>
  <c r="F35" i="23" a="1"/>
  <c r="F35" i="23" s="1"/>
  <c r="BC34" i="23"/>
  <c r="BA34" i="23"/>
  <c r="BL34" i="23" s="1"/>
  <c r="AY34" i="23"/>
  <c r="BJ34" i="23" s="1"/>
  <c r="AW34" i="23"/>
  <c r="BH34" i="23" s="1"/>
  <c r="AU34" i="23"/>
  <c r="BF34" i="23" s="1"/>
  <c r="AS34" i="23"/>
  <c r="AQ34" i="23"/>
  <c r="AO34" i="23"/>
  <c r="AM34" i="23"/>
  <c r="AK34" i="23"/>
  <c r="AI34" i="23"/>
  <c r="BD34" i="23" s="1"/>
  <c r="AG34" i="23"/>
  <c r="AE34" i="23"/>
  <c r="BB34" i="23"/>
  <c r="BM34" i="23" s="1"/>
  <c r="AZ34" i="23"/>
  <c r="BK34" i="23" s="1"/>
  <c r="AX34" i="23"/>
  <c r="BI34" i="23" s="1"/>
  <c r="AV34" i="23"/>
  <c r="BG34" i="23" s="1"/>
  <c r="AT34" i="23"/>
  <c r="BE34" i="23" s="1"/>
  <c r="AR34" i="23"/>
  <c r="AP34" i="23"/>
  <c r="AN34" i="23"/>
  <c r="AL34" i="23"/>
  <c r="AJ34" i="23"/>
  <c r="AF34" i="23"/>
  <c r="CH315" i="12"/>
  <c r="CJ314" i="12"/>
  <c r="CS314" i="12"/>
  <c r="CQ315" i="12"/>
  <c r="BO42" i="12"/>
  <c r="BM43" i="12"/>
  <c r="BM320" i="12" a="1"/>
  <c r="BM320" i="12" s="1"/>
  <c r="BM316" i="12"/>
  <c r="BO313" i="12"/>
  <c r="AH320" i="12" a="1"/>
  <c r="AH320" i="12" s="1"/>
  <c r="AH321" i="12" s="1"/>
  <c r="AH316" i="12"/>
  <c r="AH435" i="12" s="1"/>
  <c r="AQ42" i="12"/>
  <c r="AO43" i="12"/>
  <c r="CB320" i="12" a="1"/>
  <c r="CB320" i="12" s="1"/>
  <c r="CB316" i="12"/>
  <c r="CD313" i="12"/>
  <c r="AH315" i="12"/>
  <c r="CM314" i="12"/>
  <c r="CK315" i="12"/>
  <c r="AQ314" i="12"/>
  <c r="AO315" i="12"/>
  <c r="BJ315" i="12"/>
  <c r="BL314" i="12"/>
  <c r="CB43" i="12"/>
  <c r="CD42" i="12"/>
  <c r="AJ320" i="12" a="1"/>
  <c r="AJ320" i="12" s="1"/>
  <c r="AJ321" i="12" s="1"/>
  <c r="AJ316" i="12"/>
  <c r="AJ435" i="12" s="1"/>
  <c r="BC314" i="12"/>
  <c r="BA315" i="12"/>
  <c r="AL320" i="12" a="1"/>
  <c r="AL320" i="12" s="1"/>
  <c r="AN313" i="12"/>
  <c r="AL316" i="12"/>
  <c r="BM48" i="12" a="1"/>
  <c r="BM48" i="12" s="1"/>
  <c r="BM44" i="12"/>
  <c r="BO41" i="12"/>
  <c r="BU42" i="12"/>
  <c r="BS43" i="12"/>
  <c r="AX43" i="12"/>
  <c r="AZ42" i="12"/>
  <c r="BC153" i="12"/>
  <c r="BA154" i="12"/>
  <c r="CA153" i="12"/>
  <c r="BY154" i="12"/>
  <c r="CM153" i="12"/>
  <c r="CK154" i="12"/>
  <c r="AJ159" i="12" a="1"/>
  <c r="AJ159" i="12" s="1"/>
  <c r="AJ160" i="12" s="1"/>
  <c r="AJ155" i="12"/>
  <c r="AJ299" i="12" s="1"/>
  <c r="AU159" i="12" a="1"/>
  <c r="AU159" i="12" s="1"/>
  <c r="AU155" i="12"/>
  <c r="AW152" i="12"/>
  <c r="BG159" i="12" a="1"/>
  <c r="BG159" i="12" s="1"/>
  <c r="BG155" i="12"/>
  <c r="BI152" i="12"/>
  <c r="BS159" i="12" a="1"/>
  <c r="BS159" i="12" s="1"/>
  <c r="BS155" i="12"/>
  <c r="BU152" i="12"/>
  <c r="CE159" i="12" a="1"/>
  <c r="CE159" i="12" s="1"/>
  <c r="CE155" i="12"/>
  <c r="CG152" i="12"/>
  <c r="CQ159" i="12" a="1"/>
  <c r="CQ159" i="12" s="1"/>
  <c r="CQ155" i="12"/>
  <c r="CS152" i="12"/>
  <c r="CN48" i="12" a="1"/>
  <c r="CN48" i="12" s="1"/>
  <c r="CN44" i="12"/>
  <c r="CP41" i="12"/>
  <c r="BP48" i="12" a="1"/>
  <c r="BP48" i="12" s="1"/>
  <c r="BP44" i="12"/>
  <c r="BR41" i="12"/>
  <c r="AR48" i="12" a="1"/>
  <c r="AR48" i="12" s="1"/>
  <c r="AR44" i="12"/>
  <c r="AT41" i="12"/>
  <c r="CA42" i="12"/>
  <c r="BY43" i="12"/>
  <c r="CN43" i="12"/>
  <c r="CP42" i="12"/>
  <c r="CP43" i="12" s="1"/>
  <c r="AR43" i="12"/>
  <c r="AT42" i="12"/>
  <c r="AT43" i="12" s="1"/>
  <c r="BA48" i="12" a="1"/>
  <c r="BA48" i="12" s="1"/>
  <c r="BA44" i="12"/>
  <c r="BC41" i="12"/>
  <c r="AW42" i="12"/>
  <c r="AU43" i="12"/>
  <c r="AK48" i="12" a="1"/>
  <c r="AK48" i="12" s="1"/>
  <c r="AK49" i="12" s="1"/>
  <c r="AK44" i="12"/>
  <c r="AK138" i="12" s="1"/>
  <c r="AJ154" i="12"/>
  <c r="BI153" i="12"/>
  <c r="BG154" i="12"/>
  <c r="CQ48" i="12" a="1"/>
  <c r="CQ48" i="12" s="1"/>
  <c r="CQ44" i="12"/>
  <c r="CS41" i="12"/>
  <c r="BS48" i="12" a="1"/>
  <c r="BS48" i="12" s="1"/>
  <c r="BS44" i="12"/>
  <c r="BU41" i="12"/>
  <c r="AU48" i="12" a="1"/>
  <c r="AU48" i="12" s="1"/>
  <c r="AU44" i="12"/>
  <c r="AW41" i="12"/>
  <c r="CG42" i="12"/>
  <c r="CE43" i="12"/>
  <c r="BJ43" i="12"/>
  <c r="BL42" i="12"/>
  <c r="AK159" i="12" a="1"/>
  <c r="AK159" i="12" s="1"/>
  <c r="AK160" i="12" s="1"/>
  <c r="AK155" i="12"/>
  <c r="AK299" i="12" s="1"/>
  <c r="AL154" i="12"/>
  <c r="AN153" i="12"/>
  <c r="AX154" i="12"/>
  <c r="AZ153" i="12"/>
  <c r="BJ154" i="12"/>
  <c r="BL153" i="12"/>
  <c r="BV154" i="12"/>
  <c r="BX153" i="12"/>
  <c r="CH154" i="12"/>
  <c r="CJ153" i="12"/>
  <c r="AH159" i="12" a="1"/>
  <c r="AH159" i="12" s="1"/>
  <c r="AH160" i="12" s="1"/>
  <c r="AH155" i="12"/>
  <c r="AH299" i="12" s="1"/>
  <c r="AR159" i="12" a="1"/>
  <c r="AR159" i="12" s="1"/>
  <c r="AR155" i="12"/>
  <c r="AT152" i="12"/>
  <c r="BD159" i="12" a="1"/>
  <c r="BD159" i="12" s="1"/>
  <c r="BD155" i="12"/>
  <c r="BF152" i="12"/>
  <c r="BP159" i="12" a="1"/>
  <c r="BP159" i="12" s="1"/>
  <c r="BP155" i="12"/>
  <c r="BR152" i="12"/>
  <c r="CB159" i="12" a="1"/>
  <c r="CB159" i="12" s="1"/>
  <c r="CB155" i="12"/>
  <c r="CD152" i="12"/>
  <c r="CN159" i="12" a="1"/>
  <c r="CN159" i="12" s="1"/>
  <c r="CN155" i="12"/>
  <c r="CP152" i="12"/>
  <c r="AK43" i="12"/>
  <c r="AB300" i="12" a="1"/>
  <c r="AB300" i="12" s="1"/>
  <c r="W300" i="12" a="1"/>
  <c r="W300" i="12" s="1"/>
  <c r="BQ132" i="12"/>
  <c r="BQ127" i="12"/>
  <c r="BQ138" i="12"/>
  <c r="CC299" i="12"/>
  <c r="CC289" i="12"/>
  <c r="CC282" i="12"/>
  <c r="T88" i="17" a="1"/>
  <c r="T88" i="17" s="1"/>
  <c r="T87" i="17" a="1"/>
  <c r="T87" i="17" s="1"/>
  <c r="S52" i="12" a="1"/>
  <c r="S52" i="12" s="1"/>
  <c r="U51" i="12"/>
  <c r="M62" i="31" a="1"/>
  <c r="M62" i="31" s="1"/>
  <c r="BI61" i="31" a="1"/>
  <c r="BI61" i="31" s="1"/>
  <c r="M35" i="31" a="1"/>
  <c r="M35" i="31" s="1"/>
  <c r="BI34" i="31" a="1"/>
  <c r="BI34" i="31" s="1"/>
  <c r="BE426" i="12"/>
  <c r="BE420" i="12"/>
  <c r="F91" i="8" a="1"/>
  <c r="F91" i="8" s="1"/>
  <c r="U90" i="8"/>
  <c r="F156" i="25" a="1"/>
  <c r="F156" i="25" s="1"/>
  <c r="F155" i="25" a="1"/>
  <c r="F155" i="25" s="1"/>
  <c r="CL138" i="12"/>
  <c r="CL132" i="12"/>
  <c r="CL127" i="12"/>
  <c r="BN138" i="12"/>
  <c r="BN132" i="12"/>
  <c r="BN127" i="12"/>
  <c r="AP138" i="12"/>
  <c r="AP132" i="12"/>
  <c r="AP127" i="12"/>
  <c r="S320" i="12" a="1"/>
  <c r="S320" i="12" s="1"/>
  <c r="U319" i="12"/>
  <c r="T35" i="12" a="1"/>
  <c r="T35" i="12" s="1"/>
  <c r="U34" i="12"/>
  <c r="AY132" i="12"/>
  <c r="AY127" i="12"/>
  <c r="AY138" i="12"/>
  <c r="BH421" i="12"/>
  <c r="BH435" i="12"/>
  <c r="BH427" i="12"/>
  <c r="BQ426" i="12"/>
  <c r="BQ420" i="12"/>
  <c r="CF421" i="12"/>
  <c r="CF435" i="12"/>
  <c r="CF427" i="12"/>
  <c r="T146" i="27"/>
  <c r="F147" i="27" a="1"/>
  <c r="F147" i="27" s="1"/>
  <c r="T85" i="13" a="1"/>
  <c r="T85" i="13" s="1"/>
  <c r="T86" i="13" s="1" a="1"/>
  <c r="T86" i="13" s="1"/>
  <c r="T87" i="13" s="1" a="1"/>
  <c r="T87" i="13" s="1"/>
  <c r="T88" i="13" s="1" a="1"/>
  <c r="T88" i="13" s="1"/>
  <c r="T84" i="13" a="1"/>
  <c r="T84" i="13" s="1"/>
  <c r="BB289" i="12"/>
  <c r="BB282" i="12"/>
  <c r="BB299" i="12"/>
  <c r="F89" i="33" a="1"/>
  <c r="F89" i="33" s="1"/>
  <c r="F90" i="33" s="1" a="1"/>
  <c r="F90" i="33" s="1"/>
  <c r="F91" i="33" s="1" a="1"/>
  <c r="F91" i="33" s="1"/>
  <c r="F92" i="33" s="1" a="1"/>
  <c r="F92" i="33" s="1"/>
  <c r="F93" i="33" s="1" a="1"/>
  <c r="F93" i="33" s="1"/>
  <c r="BF88" i="33"/>
  <c r="BB88" i="33"/>
  <c r="BD88" i="33" s="1"/>
  <c r="AZ88" i="33"/>
  <c r="AV88" i="33"/>
  <c r="AX88" i="33" s="1"/>
  <c r="AT88" i="33"/>
  <c r="AP88" i="33"/>
  <c r="AR88" i="33" s="1"/>
  <c r="AN88" i="33"/>
  <c r="BC88" i="33"/>
  <c r="AY88" i="33"/>
  <c r="BA88" i="33" s="1"/>
  <c r="AQ88" i="33"/>
  <c r="AM88" i="33"/>
  <c r="AO88" i="33" s="1"/>
  <c r="AK88" i="33"/>
  <c r="AG88" i="33"/>
  <c r="AI88" i="33" s="1"/>
  <c r="AE88" i="33"/>
  <c r="BE88" i="33"/>
  <c r="BG88" i="33" s="1"/>
  <c r="AW88" i="33"/>
  <c r="AS88" i="33"/>
  <c r="AU88" i="33" s="1"/>
  <c r="AJ88" i="33"/>
  <c r="AL88" i="33" s="1"/>
  <c r="AH88" i="33"/>
  <c r="AD88" i="33"/>
  <c r="AF88" i="33" s="1"/>
  <c r="CC132" i="12"/>
  <c r="CC127" i="12"/>
  <c r="CC138" i="12"/>
  <c r="G95" i="17"/>
  <c r="T95" i="17"/>
  <c r="CR138" i="12"/>
  <c r="CR132" i="12"/>
  <c r="CR127" i="12"/>
  <c r="BT138" i="12"/>
  <c r="BT132" i="12"/>
  <c r="BT127" i="12"/>
  <c r="AV138" i="12"/>
  <c r="AV132" i="12"/>
  <c r="AV127" i="12"/>
  <c r="BQ299" i="12"/>
  <c r="BQ289" i="12"/>
  <c r="BQ282" i="12"/>
  <c r="T90" i="27"/>
  <c r="F91" i="27" a="1"/>
  <c r="F91" i="27" s="1"/>
  <c r="AY426" i="12"/>
  <c r="AY420" i="12"/>
  <c r="F35" i="22" a="1"/>
  <c r="F35" i="22" s="1"/>
  <c r="AD90" i="34" s="1"/>
  <c r="K34" i="22"/>
  <c r="AD141" i="34"/>
  <c r="F38" i="28" a="1"/>
  <c r="F38" i="28" s="1"/>
  <c r="F39" i="28" s="1" a="1"/>
  <c r="F39" i="28" s="1"/>
  <c r="F40" i="28" s="1" a="1"/>
  <c r="F40" i="28" s="1"/>
  <c r="F41" i="28" s="1" a="1"/>
  <c r="F41" i="28" s="1"/>
  <c r="AF374" i="12" a="1"/>
  <c r="AF374" i="12" s="1"/>
  <c r="CZ370" i="12" a="1"/>
  <c r="CZ370" i="12" s="1"/>
  <c r="CI132" i="12"/>
  <c r="CI127" i="12"/>
  <c r="CI138" i="12"/>
  <c r="AM132" i="12"/>
  <c r="AM127" i="12"/>
  <c r="AM138" i="12"/>
  <c r="BZ421" i="12"/>
  <c r="BZ435" i="12"/>
  <c r="BZ427" i="12"/>
  <c r="BE299" i="12"/>
  <c r="BE289" i="12"/>
  <c r="BE282" i="12"/>
  <c r="F64" i="18" a="1"/>
  <c r="F64" i="18" s="1"/>
  <c r="T63" i="18"/>
  <c r="F43" i="17" a="1"/>
  <c r="F43" i="17" s="1"/>
  <c r="F42" i="17" a="1"/>
  <c r="F42" i="17" s="1"/>
  <c r="F45" i="17" a="1"/>
  <c r="F45" i="17" s="1"/>
  <c r="F69" i="17" a="1"/>
  <c r="F69" i="17" s="1"/>
  <c r="A69" i="17" s="1"/>
  <c r="A67" i="17"/>
  <c r="T67" i="17"/>
  <c r="CO435" i="12"/>
  <c r="CO427" i="12"/>
  <c r="CO421" i="12"/>
  <c r="F73" i="21" a="1"/>
  <c r="F73" i="21" s="1"/>
  <c r="T72" i="21"/>
  <c r="T95" i="18"/>
  <c r="T96" i="18" s="1" a="1"/>
  <c r="T96" i="18" s="1"/>
  <c r="T97" i="18" s="1" a="1"/>
  <c r="T97" i="18" s="1"/>
  <c r="F96" i="18" a="1"/>
  <c r="F96" i="18" s="1"/>
  <c r="F97" i="18" s="1" a="1"/>
  <c r="F97" i="18" s="1"/>
  <c r="F98" i="18" s="1" a="1"/>
  <c r="F98" i="18" s="1"/>
  <c r="CO132" i="12"/>
  <c r="CO127" i="12"/>
  <c r="CO138" i="12"/>
  <c r="AS132" i="12"/>
  <c r="AS127" i="12"/>
  <c r="AS138" i="12"/>
  <c r="T355" i="12" a="1"/>
  <c r="T355" i="12" s="1"/>
  <c r="L356" i="12" a="1"/>
  <c r="L356" i="12" s="1"/>
  <c r="AF219" i="12" a="1"/>
  <c r="AF219" i="12" s="1"/>
  <c r="CZ213" i="12" a="1"/>
  <c r="CZ213" i="12" s="1"/>
  <c r="CY365" i="12" a="1"/>
  <c r="CY365" i="12" s="1"/>
  <c r="AG365" i="12"/>
  <c r="AE370" i="12" a="1"/>
  <c r="AE370" i="12" s="1"/>
  <c r="X370" i="12"/>
  <c r="S163" i="12" a="1"/>
  <c r="S163" i="12" s="1"/>
  <c r="U162" i="12"/>
  <c r="U62" i="8"/>
  <c r="F63" i="8" a="1"/>
  <c r="F63" i="8" s="1"/>
  <c r="F62" i="31" a="1"/>
  <c r="F62" i="31" s="1"/>
  <c r="T61" i="31"/>
  <c r="N34" i="27" a="1"/>
  <c r="N34" i="27" s="1"/>
  <c r="BX33" i="27" a="1"/>
  <c r="BX33" i="27" s="1"/>
  <c r="F89" i="31" a="1"/>
  <c r="F89" i="31" s="1"/>
  <c r="T88" i="31"/>
  <c r="F109" i="25" a="1"/>
  <c r="F109" i="25" s="1"/>
  <c r="F108" i="25" a="1"/>
  <c r="F108" i="25" s="1"/>
  <c r="AS426" i="12"/>
  <c r="AS420" i="12"/>
  <c r="F59" i="30" a="1"/>
  <c r="F59" i="30" s="1"/>
  <c r="T58" i="30"/>
  <c r="F35" i="30" a="1"/>
  <c r="F35" i="30" s="1"/>
  <c r="T34" i="30"/>
  <c r="AH74" i="23"/>
  <c r="BB75" i="23"/>
  <c r="BM75" i="23" s="1"/>
  <c r="AZ75" i="23"/>
  <c r="AX75" i="23"/>
  <c r="BI75" i="23" s="1"/>
  <c r="AV75" i="23"/>
  <c r="AT75" i="23"/>
  <c r="AT72" i="23" s="1"/>
  <c r="AR75" i="23"/>
  <c r="AR72" i="23" s="1"/>
  <c r="AP75" i="23"/>
  <c r="AP72" i="23" s="1"/>
  <c r="AN75" i="23"/>
  <c r="AN72" i="23" s="1"/>
  <c r="AL75" i="23"/>
  <c r="AL72" i="23" s="1"/>
  <c r="AJ75" i="23"/>
  <c r="AJ72" i="23" s="1"/>
  <c r="AF75" i="23"/>
  <c r="AF72" i="23" s="1"/>
  <c r="F76" i="23" a="1"/>
  <c r="F76" i="23" s="1"/>
  <c r="F77" i="23" s="1" a="1"/>
  <c r="F77" i="23" s="1"/>
  <c r="F78" i="23" s="1" a="1"/>
  <c r="F78" i="23" s="1"/>
  <c r="F79" i="23" s="1" a="1"/>
  <c r="F79" i="23" s="1"/>
  <c r="BC75" i="23"/>
  <c r="BC72" i="23" s="1"/>
  <c r="BA75" i="23"/>
  <c r="BL75" i="23" s="1"/>
  <c r="AY75" i="23"/>
  <c r="AW75" i="23"/>
  <c r="BH75" i="23" s="1"/>
  <c r="AU75" i="23"/>
  <c r="AS75" i="23"/>
  <c r="AS72" i="23" s="1"/>
  <c r="AQ75" i="23"/>
  <c r="AQ72" i="23" s="1"/>
  <c r="AO75" i="23"/>
  <c r="AO72" i="23" s="1"/>
  <c r="AM75" i="23"/>
  <c r="AM72" i="23" s="1"/>
  <c r="AK75" i="23"/>
  <c r="AK72" i="23" s="1"/>
  <c r="AI75" i="23"/>
  <c r="AG75" i="23"/>
  <c r="AE75" i="23"/>
  <c r="AE72" i="23" s="1"/>
  <c r="AG72" i="23"/>
  <c r="T63" i="17" a="1"/>
  <c r="T63" i="17" s="1"/>
  <c r="T62" i="17" a="1"/>
  <c r="T62" i="17" s="1"/>
  <c r="BK426" i="12"/>
  <c r="BK420" i="12"/>
  <c r="BT289" i="12"/>
  <c r="BT282" i="12"/>
  <c r="BT299" i="12"/>
  <c r="CR421" i="12"/>
  <c r="CR435" i="12"/>
  <c r="CR427" i="12"/>
  <c r="F35" i="24" a="1"/>
  <c r="F35" i="24" s="1"/>
  <c r="BL33" i="23"/>
  <c r="BG33" i="23"/>
  <c r="BK33" i="23"/>
  <c r="AE213" i="12" a="1"/>
  <c r="AE213" i="12" s="1"/>
  <c r="X213" i="12"/>
  <c r="CY208" i="12" a="1"/>
  <c r="CY208" i="12" s="1"/>
  <c r="AR320" i="12" a="1"/>
  <c r="AR320" i="12" s="1"/>
  <c r="AT313" i="12"/>
  <c r="AR316" i="12"/>
  <c r="BY320" i="12" a="1"/>
  <c r="BY320" i="12" s="1"/>
  <c r="BY316" i="12"/>
  <c r="CA313" i="12"/>
  <c r="BV315" i="12"/>
  <c r="BX314" i="12"/>
  <c r="CG314" i="12"/>
  <c r="CE315" i="12"/>
  <c r="AX48" i="12" a="1"/>
  <c r="AX48" i="12" s="1"/>
  <c r="AX44" i="12"/>
  <c r="AZ41" i="12"/>
  <c r="CB315" i="12"/>
  <c r="CD314" i="12"/>
  <c r="CD315" i="12" s="1"/>
  <c r="CQ320" i="12" a="1"/>
  <c r="CQ320" i="12" s="1"/>
  <c r="CQ316" i="12"/>
  <c r="CS313" i="12"/>
  <c r="BU314" i="12"/>
  <c r="BS315" i="12"/>
  <c r="CH48" i="12" a="1"/>
  <c r="CH48" i="12" s="1"/>
  <c r="CH44" i="12"/>
  <c r="CJ41" i="12"/>
  <c r="CH320" i="12" a="1"/>
  <c r="CH320" i="12" s="1"/>
  <c r="CH316" i="12"/>
  <c r="CJ313" i="12"/>
  <c r="CN315" i="12"/>
  <c r="CP314" i="12"/>
  <c r="AR315" i="12"/>
  <c r="AT314" i="12"/>
  <c r="AT315" i="12" s="1"/>
  <c r="T98" i="21"/>
  <c r="F99" i="21" a="1"/>
  <c r="F99" i="21" s="1"/>
  <c r="AL170" i="28"/>
  <c r="F172" i="28" a="1"/>
  <c r="F172" i="28" s="1"/>
  <c r="F173" i="28" s="1" a="1"/>
  <c r="F173" i="28" s="1"/>
  <c r="F174" i="28" s="1" a="1"/>
  <c r="F174" i="28" s="1"/>
  <c r="F175" i="28" s="1" a="1"/>
  <c r="F175" i="28" s="1"/>
  <c r="L77" i="12" a="1"/>
  <c r="L77" i="12" s="1"/>
  <c r="T76" i="12" a="1"/>
  <c r="T76" i="12" s="1"/>
  <c r="F55" i="24" a="1"/>
  <c r="F55" i="24" s="1"/>
  <c r="F56" i="24" s="1" a="1"/>
  <c r="F56" i="24" s="1"/>
  <c r="CF138" i="12"/>
  <c r="CF132" i="12"/>
  <c r="CF127" i="12"/>
  <c r="BH138" i="12"/>
  <c r="BH132" i="12"/>
  <c r="BH127" i="12"/>
  <c r="CO299" i="12"/>
  <c r="CO289" i="12"/>
  <c r="CO282" i="12"/>
  <c r="AS299" i="12"/>
  <c r="AS289" i="12"/>
  <c r="AS282" i="12"/>
  <c r="BB421" i="12"/>
  <c r="BB435" i="12"/>
  <c r="BB427" i="12"/>
  <c r="F131" i="33" a="1"/>
  <c r="F131" i="33" s="1"/>
  <c r="F132" i="33" s="1" a="1"/>
  <c r="F132" i="33" s="1"/>
  <c r="F133" i="33" s="1" a="1"/>
  <c r="F133" i="33" s="1"/>
  <c r="F134" i="33" s="1" a="1"/>
  <c r="F134" i="33" s="1"/>
  <c r="BK132" i="12"/>
  <c r="BK127" i="12"/>
  <c r="BK138" i="12"/>
  <c r="BD33" i="23"/>
  <c r="BF33" i="23"/>
  <c r="BJ33" i="23"/>
  <c r="BE33" i="23"/>
  <c r="BI33" i="23"/>
  <c r="BM33" i="23"/>
  <c r="BW299" i="12"/>
  <c r="BW282" i="12"/>
  <c r="BW289" i="12"/>
  <c r="AY299" i="12"/>
  <c r="AY282" i="12"/>
  <c r="AY289" i="12"/>
  <c r="BN421" i="12"/>
  <c r="BN435" i="12"/>
  <c r="BN427" i="12"/>
  <c r="BZ289" i="12"/>
  <c r="BZ282" i="12"/>
  <c r="BZ299" i="12"/>
  <c r="CE320" i="12" a="1"/>
  <c r="CE320" i="12" s="1"/>
  <c r="CE316" i="12"/>
  <c r="CG313" i="12"/>
  <c r="AL315" i="12"/>
  <c r="AN314" i="12"/>
  <c r="AN315" i="12" s="1"/>
  <c r="AW314" i="12"/>
  <c r="AU315" i="12"/>
  <c r="BJ48" i="12" a="1"/>
  <c r="BJ48" i="12" s="1"/>
  <c r="BJ44" i="12"/>
  <c r="BL41" i="12"/>
  <c r="CK320" i="12" a="1"/>
  <c r="CK320" i="12" s="1"/>
  <c r="CK316" i="12"/>
  <c r="CM313" i="12"/>
  <c r="AI320" i="12" a="1"/>
  <c r="AI320" i="12" s="1"/>
  <c r="AI321" i="12" s="1"/>
  <c r="AI316" i="12"/>
  <c r="AI435" i="12" s="1"/>
  <c r="AX315" i="12"/>
  <c r="AZ314" i="12"/>
  <c r="AO320" i="12" a="1"/>
  <c r="AO320" i="12" s="1"/>
  <c r="AO316" i="12"/>
  <c r="AQ313" i="12"/>
  <c r="BI314" i="12"/>
  <c r="BG315" i="12"/>
  <c r="BD320" i="12" a="1"/>
  <c r="BD320" i="12" s="1"/>
  <c r="BF313" i="12"/>
  <c r="BD316" i="12"/>
  <c r="BD43" i="12"/>
  <c r="BF42" i="12"/>
  <c r="CM42" i="12"/>
  <c r="CK43" i="12"/>
  <c r="BV48" i="12" a="1"/>
  <c r="BV48" i="12" s="1"/>
  <c r="BV44" i="12"/>
  <c r="BX41" i="12"/>
  <c r="CN320" i="12" a="1"/>
  <c r="CN320" i="12" s="1"/>
  <c r="CN316" i="12"/>
  <c r="CP313" i="12"/>
  <c r="AK320" i="12" a="1"/>
  <c r="AK320" i="12" s="1"/>
  <c r="AK321" i="12" s="1"/>
  <c r="AK316" i="12"/>
  <c r="AK435" i="12" s="1"/>
  <c r="BD315" i="12"/>
  <c r="BF314" i="12"/>
  <c r="AU320" i="12" a="1"/>
  <c r="AU320" i="12" s="1"/>
  <c r="AU316" i="12"/>
  <c r="AW313" i="12"/>
  <c r="BO314" i="12"/>
  <c r="BO315" i="12" s="1"/>
  <c r="BM315" i="12"/>
  <c r="AX320" i="12" a="1"/>
  <c r="AX320" i="12" s="1"/>
  <c r="AZ313" i="12"/>
  <c r="AX316" i="12"/>
  <c r="BS320" i="12" a="1"/>
  <c r="BS320" i="12" s="1"/>
  <c r="BS316" i="12"/>
  <c r="BU313" i="12"/>
  <c r="BA320" i="12" a="1"/>
  <c r="BA320" i="12" s="1"/>
  <c r="BA316" i="12"/>
  <c r="BC313" i="12"/>
  <c r="BP320" i="12" a="1"/>
  <c r="BP320" i="12" s="1"/>
  <c r="BP316" i="12"/>
  <c r="BR313" i="12"/>
  <c r="AL48" i="12" a="1"/>
  <c r="AL48" i="12" s="1"/>
  <c r="AL44" i="12"/>
  <c r="AN41" i="12"/>
  <c r="AI315" i="12"/>
  <c r="BV320" i="12" a="1"/>
  <c r="BV320" i="12" s="1"/>
  <c r="BV316" i="12"/>
  <c r="BX313" i="12"/>
  <c r="BP315" i="12"/>
  <c r="BR314" i="12"/>
  <c r="BG320" i="12" a="1"/>
  <c r="BG320" i="12" s="1"/>
  <c r="BG316" i="12"/>
  <c r="BI313" i="12"/>
  <c r="CA314" i="12"/>
  <c r="BY315" i="12"/>
  <c r="BJ320" i="12" a="1"/>
  <c r="BJ320" i="12" s="1"/>
  <c r="BL313" i="12"/>
  <c r="BJ316" i="12"/>
  <c r="CK48" i="12" a="1"/>
  <c r="CK48" i="12" s="1"/>
  <c r="CK44" i="12"/>
  <c r="CM41" i="12"/>
  <c r="AO48" i="12" a="1"/>
  <c r="AO48" i="12" s="1"/>
  <c r="AO44" i="12"/>
  <c r="AQ41" i="12"/>
  <c r="AI48" i="12" a="1"/>
  <c r="AI48" i="12" s="1"/>
  <c r="AI49" i="12" s="1"/>
  <c r="AI44" i="12"/>
  <c r="AI138" i="12" s="1"/>
  <c r="AQ153" i="12"/>
  <c r="AO154" i="12"/>
  <c r="BO153" i="12"/>
  <c r="BM154" i="12"/>
  <c r="CG153" i="12"/>
  <c r="CG154" i="12" s="1"/>
  <c r="CE154" i="12"/>
  <c r="CS153" i="12"/>
  <c r="CS154" i="12" s="1"/>
  <c r="CQ154" i="12"/>
  <c r="AO159" i="12" a="1"/>
  <c r="AO159" i="12" s="1"/>
  <c r="AO155" i="12"/>
  <c r="AQ152" i="12"/>
  <c r="BA159" i="12" a="1"/>
  <c r="BA159" i="12" s="1"/>
  <c r="BA155" i="12"/>
  <c r="BC152" i="12"/>
  <c r="BM159" i="12" a="1"/>
  <c r="BM159" i="12" s="1"/>
  <c r="BM155" i="12"/>
  <c r="BO152" i="12"/>
  <c r="BY159" i="12" a="1"/>
  <c r="BY159" i="12" s="1"/>
  <c r="BY155" i="12"/>
  <c r="CA152" i="12"/>
  <c r="CK159" i="12" a="1"/>
  <c r="CK159" i="12" s="1"/>
  <c r="CK155" i="12"/>
  <c r="CM152" i="12"/>
  <c r="AK154" i="12"/>
  <c r="CB48" i="12" a="1"/>
  <c r="CB48" i="12" s="1"/>
  <c r="CB44" i="12"/>
  <c r="CD41" i="12"/>
  <c r="BD48" i="12" a="1"/>
  <c r="BD48" i="12" s="1"/>
  <c r="BD44" i="12"/>
  <c r="BF41" i="12"/>
  <c r="AH48" i="12" a="1"/>
  <c r="AH48" i="12" s="1"/>
  <c r="AH49" i="12" s="1"/>
  <c r="AH44" i="12"/>
  <c r="AH138" i="12" s="1"/>
  <c r="BC42" i="12"/>
  <c r="BC43" i="12" s="1"/>
  <c r="BA43" i="12"/>
  <c r="BP43" i="12"/>
  <c r="BR42" i="12"/>
  <c r="BR43" i="12" s="1"/>
  <c r="BY48" i="12" a="1"/>
  <c r="BY48" i="12" s="1"/>
  <c r="BY44" i="12"/>
  <c r="CA41" i="12"/>
  <c r="CS42" i="12"/>
  <c r="CS43" i="12" s="1"/>
  <c r="CQ43" i="12"/>
  <c r="BV43" i="12"/>
  <c r="BX42" i="12"/>
  <c r="BX43" i="12" s="1"/>
  <c r="AI159" i="12" a="1"/>
  <c r="AI159" i="12" s="1"/>
  <c r="AI160" i="12" s="1"/>
  <c r="AI155" i="12"/>
  <c r="AI299" i="12" s="1"/>
  <c r="AW153" i="12"/>
  <c r="AW154" i="12" s="1"/>
  <c r="AU154" i="12"/>
  <c r="BU153" i="12"/>
  <c r="BU154" i="12" s="1"/>
  <c r="BS154" i="12"/>
  <c r="CE48" i="12" a="1"/>
  <c r="CE48" i="12" s="1"/>
  <c r="CE44" i="12"/>
  <c r="CG41" i="12"/>
  <c r="BG48" i="12" a="1"/>
  <c r="BG48" i="12" s="1"/>
  <c r="BG44" i="12"/>
  <c r="BI41" i="12"/>
  <c r="AJ48" i="12" a="1"/>
  <c r="AJ48" i="12" s="1"/>
  <c r="AJ49" i="12" s="1"/>
  <c r="AJ44" i="12"/>
  <c r="AJ138" i="12" s="1"/>
  <c r="BI42" i="12"/>
  <c r="BG43" i="12"/>
  <c r="CH43" i="12"/>
  <c r="CJ42" i="12"/>
  <c r="CJ43" i="12" s="1"/>
  <c r="AL43" i="12"/>
  <c r="AN42" i="12"/>
  <c r="AN43" i="12" s="1"/>
  <c r="AH154" i="12"/>
  <c r="AR154" i="12"/>
  <c r="AT153" i="12"/>
  <c r="AT154" i="12" s="1"/>
  <c r="BD154" i="12"/>
  <c r="BF153" i="12"/>
  <c r="BF154" i="12" s="1"/>
  <c r="BP154" i="12"/>
  <c r="BR153" i="12"/>
  <c r="BR154" i="12" s="1"/>
  <c r="CB154" i="12"/>
  <c r="CD153" i="12"/>
  <c r="CD154" i="12" s="1"/>
  <c r="CN154" i="12"/>
  <c r="CP153" i="12"/>
  <c r="CP154" i="12" s="1"/>
  <c r="AL159" i="12" a="1"/>
  <c r="AL159" i="12" s="1"/>
  <c r="AL155" i="12"/>
  <c r="AN152" i="12"/>
  <c r="AX159" i="12" a="1"/>
  <c r="AX159" i="12" s="1"/>
  <c r="AX155" i="12"/>
  <c r="AZ152" i="12"/>
  <c r="BJ159" i="12" a="1"/>
  <c r="BJ159" i="12" s="1"/>
  <c r="BJ155" i="12"/>
  <c r="BL152" i="12"/>
  <c r="BV159" i="12" a="1"/>
  <c r="BV159" i="12" s="1"/>
  <c r="BV155" i="12"/>
  <c r="BX152" i="12"/>
  <c r="CH159" i="12" a="1"/>
  <c r="CH159" i="12" s="1"/>
  <c r="CH155" i="12"/>
  <c r="CJ152" i="12"/>
  <c r="AI154" i="12"/>
  <c r="AB139" i="12" a="1"/>
  <c r="AB139" i="12" s="1"/>
  <c r="W139" i="12" a="1"/>
  <c r="W139" i="12" s="1"/>
  <c r="M35" i="28" a="1"/>
  <c r="M35" i="28" s="1"/>
  <c r="AS34" i="28" a="1"/>
  <c r="AS34" i="28" s="1"/>
  <c r="N90" i="27" a="1"/>
  <c r="N90" i="27" s="1"/>
  <c r="BX89" i="27" a="1"/>
  <c r="BX89" i="27" s="1"/>
  <c r="F62" i="25" a="1"/>
  <c r="F62" i="25" s="1"/>
  <c r="F61" i="25" a="1"/>
  <c r="F61" i="25" s="1"/>
  <c r="F36" i="18" a="1"/>
  <c r="F36" i="18" s="1"/>
  <c r="T35" i="18"/>
  <c r="F45" i="24" a="1"/>
  <c r="F45" i="24" s="1"/>
  <c r="F46" i="24" s="1" a="1"/>
  <c r="F46" i="24" s="1"/>
  <c r="AE214" i="12" a="1"/>
  <c r="AE214" i="12" s="1"/>
  <c r="X214" i="12"/>
  <c r="CY209" i="12" a="1"/>
  <c r="CY209" i="12" s="1"/>
  <c r="CR289" i="12"/>
  <c r="CR282" i="12"/>
  <c r="CR299" i="12"/>
  <c r="AV289" i="12"/>
  <c r="AV282" i="12"/>
  <c r="AV299" i="12"/>
  <c r="F38" i="21" a="1"/>
  <c r="F38" i="21" s="1"/>
  <c r="F86" i="13" a="1"/>
  <c r="F86" i="13" s="1"/>
  <c r="A85" i="13"/>
  <c r="T307" i="12" a="1"/>
  <c r="T307" i="12" s="1"/>
  <c r="U306" i="12"/>
  <c r="BT421" i="12"/>
  <c r="BT435" i="12"/>
  <c r="BT427" i="12"/>
  <c r="T146" i="12" a="1"/>
  <c r="T146" i="12" s="1"/>
  <c r="U145" i="12"/>
  <c r="M89" i="31" a="1"/>
  <c r="M89" i="31" s="1"/>
  <c r="BI88" i="31" a="1"/>
  <c r="BI88" i="31" s="1"/>
  <c r="M169" i="28" a="1"/>
  <c r="M169" i="28" s="1"/>
  <c r="AS168" i="28" a="1"/>
  <c r="AS168" i="28" s="1"/>
  <c r="F35" i="27" a="1"/>
  <c r="F35" i="27" s="1"/>
  <c r="T34" i="27"/>
  <c r="N146" i="27" a="1"/>
  <c r="N146" i="27" s="1"/>
  <c r="BX145" i="27" a="1"/>
  <c r="BX145" i="27" s="1"/>
  <c r="F94" i="17" a="1"/>
  <c r="F94" i="17" s="1"/>
  <c r="A92" i="17"/>
  <c r="T92" i="17"/>
  <c r="CL421" i="12"/>
  <c r="CL435" i="12"/>
  <c r="CL427" i="12"/>
  <c r="A38" i="14"/>
  <c r="F39" i="14" a="1"/>
  <c r="F39" i="14" s="1"/>
  <c r="BA34" i="24" s="1"/>
  <c r="BL34" i="24" s="1"/>
  <c r="AF35" i="28"/>
  <c r="AF220" i="12" a="1"/>
  <c r="AF220" i="12" s="1"/>
  <c r="CZ214" i="12" a="1"/>
  <c r="CZ214" i="12" s="1"/>
  <c r="CF289" i="12"/>
  <c r="CF282" i="12"/>
  <c r="CF299" i="12"/>
  <c r="AD35" i="34"/>
  <c r="AD38" i="34"/>
  <c r="AM426" i="12"/>
  <c r="AM420" i="12"/>
  <c r="F35" i="31" a="1"/>
  <c r="F35" i="31" s="1"/>
  <c r="T34" i="31"/>
  <c r="CL289" i="12"/>
  <c r="CL282" i="12"/>
  <c r="CL299" i="12"/>
  <c r="AP289" i="12"/>
  <c r="AP282" i="12"/>
  <c r="AP299" i="12"/>
  <c r="U39" i="6"/>
  <c r="F40" i="6" a="1"/>
  <c r="F40" i="6" s="1"/>
  <c r="F42" i="13" a="1"/>
  <c r="F42" i="13" s="1"/>
  <c r="A41" i="13"/>
  <c r="G70" i="17"/>
  <c r="T70" i="17"/>
  <c r="BE54" i="23"/>
  <c r="AH54" i="23"/>
  <c r="BB55" i="23"/>
  <c r="AZ55" i="23"/>
  <c r="AX55" i="23"/>
  <c r="AV55" i="23"/>
  <c r="AT55" i="23"/>
  <c r="AR55" i="23"/>
  <c r="AR52" i="23" s="1"/>
  <c r="AP55" i="23"/>
  <c r="AP52" i="23" s="1"/>
  <c r="AN55" i="23"/>
  <c r="AN52" i="23" s="1"/>
  <c r="AL55" i="23"/>
  <c r="AL52" i="23" s="1"/>
  <c r="AJ55" i="23"/>
  <c r="AJ52" i="23" s="1"/>
  <c r="AF55" i="23"/>
  <c r="AF52" i="23" s="1"/>
  <c r="F56" i="23" a="1"/>
  <c r="F56" i="23" s="1"/>
  <c r="F57" i="23" s="1" a="1"/>
  <c r="F57" i="23" s="1"/>
  <c r="F58" i="23" s="1" a="1"/>
  <c r="F58" i="23" s="1"/>
  <c r="F59" i="23" s="1" a="1"/>
  <c r="F59" i="23" s="1"/>
  <c r="BC55" i="23"/>
  <c r="BC52" i="23" s="1"/>
  <c r="BA55" i="23"/>
  <c r="AY55" i="23"/>
  <c r="AW55" i="23"/>
  <c r="AU55" i="23"/>
  <c r="AS55" i="23"/>
  <c r="AS52" i="23" s="1"/>
  <c r="AQ55" i="23"/>
  <c r="AQ52" i="23" s="1"/>
  <c r="AO55" i="23"/>
  <c r="AO52" i="23" s="1"/>
  <c r="AM55" i="23"/>
  <c r="AM52" i="23" s="1"/>
  <c r="AK55" i="23"/>
  <c r="AK52" i="23" s="1"/>
  <c r="AI55" i="23"/>
  <c r="AG55" i="23"/>
  <c r="AE55" i="23"/>
  <c r="AE52" i="23" s="1"/>
  <c r="AV421" i="12"/>
  <c r="AV435" i="12"/>
  <c r="AV427" i="12"/>
  <c r="CI299" i="12"/>
  <c r="CI282" i="12"/>
  <c r="CI289" i="12"/>
  <c r="BK299" i="12"/>
  <c r="BK282" i="12"/>
  <c r="BK289" i="12"/>
  <c r="AM299" i="12"/>
  <c r="AM282" i="12"/>
  <c r="AM289" i="12"/>
  <c r="CC435" i="12"/>
  <c r="CC427" i="12"/>
  <c r="CC421" i="12"/>
  <c r="BZ138" i="12"/>
  <c r="BZ132" i="12"/>
  <c r="BZ127" i="12"/>
  <c r="BB138" i="12"/>
  <c r="BB132" i="12"/>
  <c r="BB127" i="12"/>
  <c r="AL103" i="28"/>
  <c r="F105" i="28" a="1"/>
  <c r="F105" i="28" s="1"/>
  <c r="F106" i="28" s="1" a="1"/>
  <c r="F106" i="28" s="1"/>
  <c r="F107" i="28" s="1" a="1"/>
  <c r="F107" i="28" s="1"/>
  <c r="F108" i="28" s="1" a="1"/>
  <c r="F108" i="28" s="1"/>
  <c r="BH289" i="12"/>
  <c r="BH282" i="12"/>
  <c r="BH299" i="12"/>
  <c r="BW132" i="12"/>
  <c r="BW127" i="12"/>
  <c r="BW138" i="12"/>
  <c r="AD139" i="34"/>
  <c r="AD89" i="34"/>
  <c r="AD39" i="34"/>
  <c r="AD86" i="34"/>
  <c r="BN289" i="12"/>
  <c r="BN282" i="12"/>
  <c r="BN299" i="12"/>
  <c r="BD74" i="23"/>
  <c r="BA72" i="23"/>
  <c r="BL72" i="23" s="1"/>
  <c r="AW72" i="23"/>
  <c r="BH72" i="23" s="1"/>
  <c r="U36" i="8"/>
  <c r="F37" i="8" a="1"/>
  <c r="F37" i="8" s="1"/>
  <c r="AP421" i="12"/>
  <c r="AP435" i="12"/>
  <c r="AP427" i="12"/>
  <c r="F39" i="33" a="1"/>
  <c r="F39" i="33" s="1"/>
  <c r="F40" i="33" s="1" a="1"/>
  <c r="F40" i="33" s="1"/>
  <c r="F41" i="33" s="1" a="1"/>
  <c r="F41" i="33" s="1"/>
  <c r="F42" i="33" s="1" a="1"/>
  <c r="F42" i="33" s="1"/>
  <c r="BE132" i="12"/>
  <c r="BE127" i="12"/>
  <c r="BE138" i="12"/>
  <c r="AJ102" i="28" l="1"/>
  <c r="AF102" i="28"/>
  <c r="AJ34" i="28"/>
  <c r="AK35" i="28"/>
  <c r="AX72" i="23"/>
  <c r="BI72" i="23" s="1"/>
  <c r="AK101" i="28"/>
  <c r="AD36" i="34"/>
  <c r="AD37" i="34"/>
  <c r="AD140" i="34"/>
  <c r="AH55" i="23"/>
  <c r="AD88" i="34"/>
  <c r="AT83" i="27"/>
  <c r="AE102" i="28"/>
  <c r="AE35" i="28"/>
  <c r="AJ101" i="28"/>
  <c r="AG102" i="28"/>
  <c r="AE101" i="28"/>
  <c r="AF34" i="28"/>
  <c r="AI169" i="28"/>
  <c r="AL169" i="28" s="1"/>
  <c r="BB72" i="23"/>
  <c r="BM72" i="23" s="1"/>
  <c r="AH75" i="23"/>
  <c r="BI154" i="12"/>
  <c r="AG52" i="23"/>
  <c r="AH52" i="23" s="1"/>
  <c r="AK34" i="28"/>
  <c r="AI102" i="28"/>
  <c r="AL102" i="28" s="1"/>
  <c r="AI101" i="28"/>
  <c r="AL101" i="28" s="1"/>
  <c r="AG35" i="28"/>
  <c r="AH35" i="28" s="1"/>
  <c r="AG34" i="28"/>
  <c r="AH34" i="28" s="1"/>
  <c r="AG101" i="28"/>
  <c r="AI34" i="28"/>
  <c r="AL34" i="28" s="1"/>
  <c r="AK102" i="28"/>
  <c r="AF101" i="28"/>
  <c r="AI35" i="28"/>
  <c r="AL35" i="28" s="1"/>
  <c r="AJ35" i="28"/>
  <c r="AE34" i="28"/>
  <c r="AE169" i="28"/>
  <c r="AF169" i="28"/>
  <c r="CA315" i="12"/>
  <c r="BH55" i="23"/>
  <c r="AW52" i="23"/>
  <c r="BH52" i="23" s="1"/>
  <c r="BL55" i="23"/>
  <c r="BA52" i="23"/>
  <c r="BL52" i="23" s="1"/>
  <c r="BB59" i="23"/>
  <c r="BM59" i="23" s="1"/>
  <c r="AZ59" i="23"/>
  <c r="BK59" i="23" s="1"/>
  <c r="AX59" i="23"/>
  <c r="BI59" i="23" s="1"/>
  <c r="AV59" i="23"/>
  <c r="BG59" i="23" s="1"/>
  <c r="AT59" i="23"/>
  <c r="AR59" i="23"/>
  <c r="AP59" i="23"/>
  <c r="AN59" i="23"/>
  <c r="AL59" i="23"/>
  <c r="AJ59" i="23"/>
  <c r="AF59" i="23"/>
  <c r="F60" i="23" a="1"/>
  <c r="F60" i="23" s="1"/>
  <c r="F61" i="23" s="1" a="1"/>
  <c r="F61" i="23" s="1"/>
  <c r="F62" i="23" s="1" a="1"/>
  <c r="F62" i="23" s="1"/>
  <c r="F63" i="23" s="1" a="1"/>
  <c r="F63" i="23" s="1"/>
  <c r="BC59" i="23"/>
  <c r="BA59" i="23"/>
  <c r="BL59" i="23" s="1"/>
  <c r="AY59" i="23"/>
  <c r="BJ59" i="23" s="1"/>
  <c r="AW59" i="23"/>
  <c r="BH59" i="23" s="1"/>
  <c r="AU59" i="23"/>
  <c r="BF59" i="23" s="1"/>
  <c r="AS59" i="23"/>
  <c r="AQ59" i="23"/>
  <c r="AO59" i="23"/>
  <c r="AM59" i="23"/>
  <c r="AK59" i="23"/>
  <c r="AI59" i="23"/>
  <c r="BD59" i="23" s="1"/>
  <c r="AG59" i="23"/>
  <c r="AH59" i="23" s="1"/>
  <c r="AE59" i="23"/>
  <c r="BG55" i="23"/>
  <c r="AV52" i="23"/>
  <c r="BG52" i="23" s="1"/>
  <c r="BK55" i="23"/>
  <c r="AZ52" i="23"/>
  <c r="BK52" i="23" s="1"/>
  <c r="F43" i="13" a="1"/>
  <c r="F43" i="13" s="1"/>
  <c r="A42" i="13"/>
  <c r="AM435" i="12"/>
  <c r="AM427" i="12"/>
  <c r="AM421" i="12"/>
  <c r="AE220" i="12" a="1"/>
  <c r="AE220" i="12" s="1"/>
  <c r="X220" i="12"/>
  <c r="CY214" i="12" a="1"/>
  <c r="CY214" i="12" s="1"/>
  <c r="AG214" i="12"/>
  <c r="AG44" i="24"/>
  <c r="AK44" i="24"/>
  <c r="AO44" i="24"/>
  <c r="AS44" i="24"/>
  <c r="AW44" i="24"/>
  <c r="BH44" i="24" s="1"/>
  <c r="BA44" i="24"/>
  <c r="BL44" i="24" s="1"/>
  <c r="AJ44" i="24"/>
  <c r="AN44" i="24"/>
  <c r="AR44" i="24"/>
  <c r="AV44" i="24"/>
  <c r="BG44" i="24" s="1"/>
  <c r="AZ44" i="24"/>
  <c r="BK44" i="24" s="1"/>
  <c r="T36" i="18"/>
  <c r="T37" i="18" s="1" a="1"/>
  <c r="T37" i="18" s="1"/>
  <c r="T38" i="18" s="1" a="1"/>
  <c r="T38" i="18" s="1"/>
  <c r="F37" i="18" a="1"/>
  <c r="F37" i="18" s="1"/>
  <c r="N91" i="27" a="1"/>
  <c r="N91" i="27" s="1"/>
  <c r="BX90" i="27" a="1"/>
  <c r="BX90" i="27" s="1"/>
  <c r="M36" i="28" a="1"/>
  <c r="M36" i="28" s="1"/>
  <c r="AS35" i="28" a="1"/>
  <c r="AS35" i="28" s="1"/>
  <c r="AB68" i="13" a="1"/>
  <c r="AB68" i="13" s="1"/>
  <c r="V68" i="13" a="1"/>
  <c r="V68" i="13" s="1"/>
  <c r="CJ159" i="12" a="1"/>
  <c r="CJ159" i="12" s="1"/>
  <c r="CJ161" i="12" s="1"/>
  <c r="CJ155" i="12"/>
  <c r="BL159" i="12" a="1"/>
  <c r="BL159" i="12" s="1"/>
  <c r="BL161" i="12" s="1"/>
  <c r="BL155" i="12"/>
  <c r="AN159" i="12" a="1"/>
  <c r="AN159" i="12" s="1"/>
  <c r="AN161" i="12" s="1"/>
  <c r="AN155" i="12"/>
  <c r="BI48" i="12" a="1"/>
  <c r="BI48" i="12" s="1"/>
  <c r="BI50" i="12" s="1"/>
  <c r="BI44" i="12"/>
  <c r="CA48" i="12" a="1"/>
  <c r="CA48" i="12" s="1"/>
  <c r="CA50" i="12" s="1"/>
  <c r="CA44" i="12"/>
  <c r="CD48" i="12" a="1"/>
  <c r="CD48" i="12" s="1"/>
  <c r="CD50" i="12" s="1"/>
  <c r="CD44" i="12"/>
  <c r="CM159" i="12" a="1"/>
  <c r="CM159" i="12" s="1"/>
  <c r="CM161" i="12" s="1"/>
  <c r="CM155" i="12"/>
  <c r="BO159" i="12" a="1"/>
  <c r="BO159" i="12" s="1"/>
  <c r="BO161" i="12" s="1"/>
  <c r="BO155" i="12"/>
  <c r="AQ159" i="12" a="1"/>
  <c r="AQ159" i="12" s="1"/>
  <c r="AQ161" i="12" s="1"/>
  <c r="AQ155" i="12"/>
  <c r="BO154" i="12"/>
  <c r="AQ154" i="12"/>
  <c r="CM48" i="12" a="1"/>
  <c r="CM48" i="12" s="1"/>
  <c r="CM50" i="12" s="1"/>
  <c r="CM44" i="12"/>
  <c r="BL320" i="12" a="1"/>
  <c r="BL320" i="12" s="1"/>
  <c r="BL322" i="12" s="1"/>
  <c r="BL316" i="12"/>
  <c r="BI320" i="12" a="1"/>
  <c r="BI320" i="12" s="1"/>
  <c r="BI322" i="12" s="1"/>
  <c r="BI316" i="12"/>
  <c r="BR320" i="12" a="1"/>
  <c r="BR320" i="12" s="1"/>
  <c r="BR322" i="12" s="1"/>
  <c r="BR316" i="12"/>
  <c r="BU320" i="12" a="1"/>
  <c r="BU320" i="12" s="1"/>
  <c r="BU322" i="12" s="1"/>
  <c r="BU316" i="12"/>
  <c r="AZ320" i="12" a="1"/>
  <c r="AZ320" i="12" s="1"/>
  <c r="AZ322" i="12" s="1"/>
  <c r="AZ316" i="12"/>
  <c r="AW320" i="12" a="1"/>
  <c r="AW320" i="12" s="1"/>
  <c r="AW322" i="12" s="1"/>
  <c r="AW316" i="12"/>
  <c r="BX48" i="12" a="1"/>
  <c r="BX48" i="12" s="1"/>
  <c r="BX50" i="12" s="1"/>
  <c r="BX44" i="12"/>
  <c r="CM43" i="12"/>
  <c r="BF320" i="12" a="1"/>
  <c r="BF320" i="12" s="1"/>
  <c r="BF322" i="12" s="1"/>
  <c r="BF316" i="12"/>
  <c r="AQ320" i="12" a="1"/>
  <c r="AQ320" i="12" s="1"/>
  <c r="AQ322" i="12" s="1"/>
  <c r="AQ316" i="12"/>
  <c r="BL48" i="12" a="1"/>
  <c r="BL48" i="12" s="1"/>
  <c r="BL50" i="12" s="1"/>
  <c r="BL44" i="12"/>
  <c r="AW315" i="12"/>
  <c r="AF54" i="24"/>
  <c r="AL54" i="24"/>
  <c r="AP54" i="24"/>
  <c r="AT54" i="24"/>
  <c r="BE54" i="24" s="1"/>
  <c r="AX54" i="24"/>
  <c r="BI54" i="24" s="1"/>
  <c r="BB54" i="24"/>
  <c r="BM54" i="24" s="1"/>
  <c r="AG54" i="24"/>
  <c r="AH54" i="24" s="1"/>
  <c r="AK54" i="24"/>
  <c r="AO54" i="24"/>
  <c r="AS54" i="24"/>
  <c r="AW54" i="24"/>
  <c r="BH54" i="24" s="1"/>
  <c r="BA54" i="24"/>
  <c r="BL54" i="24" s="1"/>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CJ48" i="12" a="1"/>
  <c r="CJ48" i="12" s="1"/>
  <c r="CJ50" i="12" s="1"/>
  <c r="CJ44" i="12"/>
  <c r="BU315" i="12"/>
  <c r="AZ48" i="12" a="1"/>
  <c r="AZ48" i="12" s="1"/>
  <c r="AZ50" i="12" s="1"/>
  <c r="AZ44" i="12"/>
  <c r="CG315" i="12"/>
  <c r="AF34" i="24"/>
  <c r="AL34" i="24"/>
  <c r="AR34" i="24"/>
  <c r="AZ34" i="24"/>
  <c r="BK34" i="24" s="1"/>
  <c r="AG34" i="24"/>
  <c r="AK34" i="24"/>
  <c r="AP34" i="24"/>
  <c r="AX34" i="24"/>
  <c r="BI34" i="24" s="1"/>
  <c r="AO34" i="24"/>
  <c r="AS34" i="24"/>
  <c r="AW34" i="24"/>
  <c r="BH34" i="24" s="1"/>
  <c r="F36" i="24" a="1"/>
  <c r="F36" i="24" s="1"/>
  <c r="AF34" i="25" s="1"/>
  <c r="BD75" i="23"/>
  <c r="AI72" i="23"/>
  <c r="BD72" i="23" s="1"/>
  <c r="BF75" i="23"/>
  <c r="AU72" i="23"/>
  <c r="BF72" i="23" s="1"/>
  <c r="BJ75" i="23"/>
  <c r="AY72" i="23"/>
  <c r="BJ72" i="23" s="1"/>
  <c r="BE75" i="23"/>
  <c r="AS435" i="12"/>
  <c r="AS427" i="12"/>
  <c r="AS421" i="12"/>
  <c r="F110" i="25" a="1"/>
  <c r="F110" i="25" s="1"/>
  <c r="F64" i="8" a="1"/>
  <c r="F64" i="8" s="1"/>
  <c r="U63" i="8"/>
  <c r="T356" i="12"/>
  <c r="L357" i="12" a="1"/>
  <c r="L357" i="12" s="1"/>
  <c r="H98" i="18"/>
  <c r="F99" i="18" a="1"/>
  <c r="F99" i="18" s="1"/>
  <c r="T98" i="18"/>
  <c r="T69" i="17" a="1"/>
  <c r="T69" i="17" s="1"/>
  <c r="T68" i="17" a="1"/>
  <c r="T68" i="17" s="1"/>
  <c r="G45" i="17"/>
  <c r="T45" i="17"/>
  <c r="F65" i="18" a="1"/>
  <c r="F65" i="18" s="1"/>
  <c r="F66" i="18" s="1" a="1"/>
  <c r="F66" i="18" s="1"/>
  <c r="F67" i="18" s="1" a="1"/>
  <c r="F67" i="18" s="1"/>
  <c r="T64" i="18"/>
  <c r="T65" i="18" s="1" a="1"/>
  <c r="T65" i="18" s="1"/>
  <c r="T66" i="18" s="1" a="1"/>
  <c r="T66" i="18" s="1"/>
  <c r="CZ374" i="12" a="1"/>
  <c r="CZ374" i="12" s="1"/>
  <c r="AF378" i="12" a="1"/>
  <c r="AF378" i="12" s="1"/>
  <c r="AT140" i="27"/>
  <c r="AD137" i="34"/>
  <c r="AD138" i="34"/>
  <c r="AY435" i="12"/>
  <c r="AY427" i="12"/>
  <c r="AY421" i="12"/>
  <c r="T91" i="27"/>
  <c r="F92" i="27" a="1"/>
  <c r="F92" i="27" s="1"/>
  <c r="F94" i="33" a="1"/>
  <c r="F94" i="33" s="1"/>
  <c r="H93" i="33"/>
  <c r="T36" i="12" a="1"/>
  <c r="T36" i="12" s="1"/>
  <c r="U35" i="12"/>
  <c r="S321" i="12" a="1"/>
  <c r="S321" i="12" s="1"/>
  <c r="U320" i="12"/>
  <c r="F92" i="8" a="1"/>
  <c r="F92" i="8" s="1"/>
  <c r="U91" i="8"/>
  <c r="M36" i="31" a="1"/>
  <c r="M36" i="31" s="1"/>
  <c r="BI35" i="31" a="1"/>
  <c r="BI35" i="31" s="1"/>
  <c r="M63" i="31" a="1"/>
  <c r="M63" i="31" s="1"/>
  <c r="BI62" i="31" a="1"/>
  <c r="BI62" i="31" s="1"/>
  <c r="S53" i="12" a="1"/>
  <c r="S53" i="12" s="1"/>
  <c r="U52" i="12"/>
  <c r="AB112" i="13" a="1"/>
  <c r="AB112" i="13" s="1"/>
  <c r="V112" i="13" a="1"/>
  <c r="V112" i="13" s="1"/>
  <c r="CP159" i="12" a="1"/>
  <c r="CP159" i="12" s="1"/>
  <c r="CP161" i="12" s="1"/>
  <c r="CP155" i="12"/>
  <c r="BR159" i="12" a="1"/>
  <c r="BR159" i="12" s="1"/>
  <c r="BR161" i="12" s="1"/>
  <c r="BR155" i="12"/>
  <c r="AT159" i="12" a="1"/>
  <c r="AT159" i="12" s="1"/>
  <c r="AT161" i="12" s="1"/>
  <c r="AT155" i="12"/>
  <c r="CG43" i="12"/>
  <c r="BU48" i="12" a="1"/>
  <c r="BU48" i="12" s="1"/>
  <c r="BU50" i="12" s="1"/>
  <c r="BU44" i="12"/>
  <c r="AW43" i="12"/>
  <c r="AT48" i="12" a="1"/>
  <c r="AT48" i="12" s="1"/>
  <c r="AT50" i="12" s="1"/>
  <c r="AT44" i="12"/>
  <c r="CP48" i="12" a="1"/>
  <c r="CP48" i="12" s="1"/>
  <c r="CP50" i="12" s="1"/>
  <c r="CP44" i="12"/>
  <c r="CG159" i="12" a="1"/>
  <c r="CG159" i="12" s="1"/>
  <c r="CG161" i="12" s="1"/>
  <c r="CG155" i="12"/>
  <c r="BI159" i="12" a="1"/>
  <c r="BI159" i="12" s="1"/>
  <c r="BI161" i="12" s="1"/>
  <c r="BI155" i="12"/>
  <c r="AZ43" i="12"/>
  <c r="BO48" i="12" a="1"/>
  <c r="BO48" i="12" s="1"/>
  <c r="BO50" i="12" s="1"/>
  <c r="BO44" i="12"/>
  <c r="AN320" i="12" a="1"/>
  <c r="AN320" i="12" s="1"/>
  <c r="AN322" i="12" s="1"/>
  <c r="AN316" i="12"/>
  <c r="CD43" i="12"/>
  <c r="BL315" i="12"/>
  <c r="BO320" i="12" a="1"/>
  <c r="BO320" i="12" s="1"/>
  <c r="BO322" i="12" s="1"/>
  <c r="BO316" i="12"/>
  <c r="BO43" i="12"/>
  <c r="CS315" i="12"/>
  <c r="L203" i="12" a="1"/>
  <c r="L203" i="12" s="1"/>
  <c r="T202" i="12"/>
  <c r="F130" i="13" a="1"/>
  <c r="F130" i="13" s="1"/>
  <c r="A129" i="13"/>
  <c r="AD87" i="34"/>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BF42" i="33"/>
  <c r="BB42" i="33"/>
  <c r="BD42" i="33" s="1"/>
  <c r="AZ42" i="33"/>
  <c r="AV42" i="33"/>
  <c r="AX42" i="33" s="1"/>
  <c r="AT42" i="33"/>
  <c r="AP42" i="33"/>
  <c r="AR42" i="33" s="1"/>
  <c r="AN42" i="33"/>
  <c r="AJ42" i="33"/>
  <c r="AL42" i="33" s="1"/>
  <c r="AH42" i="33"/>
  <c r="AD42" i="33"/>
  <c r="AF42" i="33" s="1"/>
  <c r="F38" i="8" a="1"/>
  <c r="F38" i="8" s="1"/>
  <c r="U37" i="8"/>
  <c r="F109" i="28" a="1"/>
  <c r="F109" i="28" s="1"/>
  <c r="F110" i="28" s="1" a="1"/>
  <c r="F110" i="28" s="1"/>
  <c r="F111" i="28" s="1" a="1"/>
  <c r="F111" i="28" s="1"/>
  <c r="BD55" i="23"/>
  <c r="AI52" i="23"/>
  <c r="BF55" i="23"/>
  <c r="AU52" i="23"/>
  <c r="BF52" i="23" s="1"/>
  <c r="BJ55" i="23"/>
  <c r="AY52" i="23"/>
  <c r="BJ52" i="23" s="1"/>
  <c r="BE55" i="23"/>
  <c r="AT52" i="23"/>
  <c r="BE52" i="23" s="1"/>
  <c r="BI55" i="23"/>
  <c r="AX52" i="23"/>
  <c r="BI52" i="23" s="1"/>
  <c r="BM55" i="23"/>
  <c r="BB52" i="23"/>
  <c r="BM52" i="23" s="1"/>
  <c r="U40" i="6"/>
  <c r="F41" i="6" a="1"/>
  <c r="F41" i="6" s="1"/>
  <c r="F36" i="31" a="1"/>
  <c r="F36" i="31" s="1"/>
  <c r="T35" i="31"/>
  <c r="AF225" i="12" a="1"/>
  <c r="AF225" i="12" s="1"/>
  <c r="CZ220" i="12" a="1"/>
  <c r="CZ220" i="12" s="1"/>
  <c r="AH102" i="28"/>
  <c r="T39" i="14"/>
  <c r="AK168" i="28"/>
  <c r="AF168" i="28"/>
  <c r="AE168" i="28"/>
  <c r="AG169" i="28"/>
  <c r="AH169" i="28" s="1"/>
  <c r="AJ169" i="28"/>
  <c r="BA43" i="24"/>
  <c r="BL43" i="24" s="1"/>
  <c r="AW43" i="24"/>
  <c r="BH43" i="24" s="1"/>
  <c r="AS43" i="24"/>
  <c r="AO43" i="24"/>
  <c r="AK43" i="24"/>
  <c r="AG43" i="24"/>
  <c r="BB43" i="24"/>
  <c r="BM43" i="24" s="1"/>
  <c r="AX43" i="24"/>
  <c r="BI43" i="24" s="1"/>
  <c r="AT43" i="24"/>
  <c r="AP43" i="24"/>
  <c r="AL43" i="24"/>
  <c r="AF43" i="24"/>
  <c r="BB33" i="24"/>
  <c r="BM33" i="24" s="1"/>
  <c r="AX33" i="24"/>
  <c r="BI33" i="24" s="1"/>
  <c r="AT33" i="24"/>
  <c r="BE33" i="24" s="1"/>
  <c r="AP33" i="24"/>
  <c r="AL33" i="24"/>
  <c r="AF33" i="24"/>
  <c r="AF44" i="25" s="1"/>
  <c r="BC33" i="24"/>
  <c r="AY33" i="24"/>
  <c r="BJ33" i="24" s="1"/>
  <c r="AU33" i="24"/>
  <c r="BF33" i="24" s="1"/>
  <c r="AQ33" i="24"/>
  <c r="AM33" i="24"/>
  <c r="AI33" i="24"/>
  <c r="BD33" i="24" s="1"/>
  <c r="AE33" i="24"/>
  <c r="AZ53" i="24"/>
  <c r="BK53" i="24" s="1"/>
  <c r="AV53" i="24"/>
  <c r="BG53" i="24" s="1"/>
  <c r="AR53" i="24"/>
  <c r="AN53" i="24"/>
  <c r="AJ53" i="24"/>
  <c r="BA53" i="24"/>
  <c r="BL53" i="24" s="1"/>
  <c r="AW53" i="24"/>
  <c r="BH53" i="24" s="1"/>
  <c r="AS53" i="24"/>
  <c r="AO53" i="24"/>
  <c r="AK53" i="24"/>
  <c r="AG53" i="24"/>
  <c r="AZ33" i="24"/>
  <c r="BK33" i="24" s="1"/>
  <c r="AV33" i="24"/>
  <c r="BG33" i="24" s="1"/>
  <c r="AR33" i="24"/>
  <c r="AN33" i="24"/>
  <c r="AJ33" i="24"/>
  <c r="BA33" i="24"/>
  <c r="BL33" i="24" s="1"/>
  <c r="AW33" i="24"/>
  <c r="BH33" i="24" s="1"/>
  <c r="AS33" i="24"/>
  <c r="AO33" i="24"/>
  <c r="AK33" i="24"/>
  <c r="AG33" i="24"/>
  <c r="AX53" i="24"/>
  <c r="BI53" i="24" s="1"/>
  <c r="AT53" i="24"/>
  <c r="AL53" i="24"/>
  <c r="BC53" i="24"/>
  <c r="AU53" i="24"/>
  <c r="BF53" i="24" s="1"/>
  <c r="AM53" i="24"/>
  <c r="AE53" i="24"/>
  <c r="AJ168" i="28"/>
  <c r="AG168" i="28"/>
  <c r="AI168" i="28"/>
  <c r="AL168" i="28" s="1"/>
  <c r="AK169" i="28"/>
  <c r="BC43" i="24"/>
  <c r="AY43" i="24"/>
  <c r="BJ43" i="24" s="1"/>
  <c r="AU43" i="24"/>
  <c r="BF43" i="24" s="1"/>
  <c r="AQ43" i="24"/>
  <c r="AM43" i="24"/>
  <c r="AI43" i="24"/>
  <c r="AE43" i="24"/>
  <c r="AZ43" i="24"/>
  <c r="BK43" i="24" s="1"/>
  <c r="AV43" i="24"/>
  <c r="BG43" i="24" s="1"/>
  <c r="AR43" i="24"/>
  <c r="AN43" i="24"/>
  <c r="AJ43" i="24"/>
  <c r="BB53" i="24"/>
  <c r="BM53" i="24" s="1"/>
  <c r="AP53" i="24"/>
  <c r="AF53" i="24"/>
  <c r="AY53" i="24"/>
  <c r="BJ53" i="24" s="1"/>
  <c r="AQ53" i="24"/>
  <c r="AI53" i="24"/>
  <c r="T94" i="17" a="1"/>
  <c r="T94" i="17" s="1"/>
  <c r="T93" i="17" a="1"/>
  <c r="T93" i="17" s="1"/>
  <c r="A94" i="17"/>
  <c r="N147" i="27" a="1"/>
  <c r="N147" i="27" s="1"/>
  <c r="BX146" i="27" a="1"/>
  <c r="BX146" i="27" s="1"/>
  <c r="F36" i="27" a="1"/>
  <c r="F36" i="27" s="1"/>
  <c r="T35" i="27"/>
  <c r="M170" i="28" a="1"/>
  <c r="M170" i="28" s="1"/>
  <c r="AS169" i="28" a="1"/>
  <c r="AS169" i="28" s="1"/>
  <c r="M90" i="31" a="1"/>
  <c r="M90" i="31" s="1"/>
  <c r="BI89" i="31" a="1"/>
  <c r="BI89" i="31" s="1"/>
  <c r="T147" i="12" a="1"/>
  <c r="T147" i="12" s="1"/>
  <c r="U146" i="12"/>
  <c r="T308" i="12" a="1"/>
  <c r="T308" i="12" s="1"/>
  <c r="U307" i="12"/>
  <c r="F87" i="13" a="1"/>
  <c r="F87" i="13" s="1"/>
  <c r="A86" i="13"/>
  <c r="F39" i="21" a="1"/>
  <c r="F39" i="21" s="1"/>
  <c r="AE44" i="24"/>
  <c r="AI44" i="24"/>
  <c r="BD44" i="24" s="1"/>
  <c r="AM44" i="24"/>
  <c r="AQ44" i="24"/>
  <c r="AU44" i="24"/>
  <c r="BF44" i="24" s="1"/>
  <c r="AY44" i="24"/>
  <c r="BJ44" i="24" s="1"/>
  <c r="BC44" i="24"/>
  <c r="AF44" i="24"/>
  <c r="AL44" i="24"/>
  <c r="AP44" i="24"/>
  <c r="AT44" i="24"/>
  <c r="BE44" i="24" s="1"/>
  <c r="AX44" i="24"/>
  <c r="BI44" i="24" s="1"/>
  <c r="BB44" i="24"/>
  <c r="BM44" i="24" s="1"/>
  <c r="F63" i="25" a="1"/>
  <c r="F63" i="25" s="1"/>
  <c r="BX159" i="12" a="1"/>
  <c r="BX159" i="12" s="1"/>
  <c r="BX161" i="12" s="1"/>
  <c r="BX155" i="12"/>
  <c r="AZ159" i="12" a="1"/>
  <c r="AZ159" i="12" s="1"/>
  <c r="AZ161" i="12" s="1"/>
  <c r="AZ155" i="12"/>
  <c r="BI43" i="12"/>
  <c r="CG48" i="12" a="1"/>
  <c r="CG48" i="12" s="1"/>
  <c r="CG50" i="12" s="1"/>
  <c r="CG44" i="12"/>
  <c r="BF48" i="12" a="1"/>
  <c r="BF48" i="12" s="1"/>
  <c r="BF50" i="12" s="1"/>
  <c r="BF44" i="12"/>
  <c r="CA159" i="12" a="1"/>
  <c r="CA159" i="12" s="1"/>
  <c r="CA161" i="12" s="1"/>
  <c r="CA155" i="12"/>
  <c r="BC159" i="12" a="1"/>
  <c r="BC159" i="12" s="1"/>
  <c r="BC161" i="12" s="1"/>
  <c r="BC155" i="12"/>
  <c r="AQ48" i="12" a="1"/>
  <c r="AQ48" i="12" s="1"/>
  <c r="AQ50" i="12" s="1"/>
  <c r="AQ44" i="12"/>
  <c r="BR315" i="12"/>
  <c r="BX320" i="12" a="1"/>
  <c r="BX320" i="12" s="1"/>
  <c r="BX322" i="12" s="1"/>
  <c r="BX316" i="12"/>
  <c r="AN48" i="12" a="1"/>
  <c r="AN48" i="12" s="1"/>
  <c r="AN50" i="12" s="1"/>
  <c r="AN44" i="12"/>
  <c r="BC320" i="12" a="1"/>
  <c r="BC320" i="12" s="1"/>
  <c r="BC322" i="12" s="1"/>
  <c r="BC316" i="12"/>
  <c r="BF315" i="12"/>
  <c r="CP320" i="12" a="1"/>
  <c r="CP320" i="12" s="1"/>
  <c r="CP322" i="12" s="1"/>
  <c r="CP316" i="12"/>
  <c r="BF43" i="12"/>
  <c r="BI315" i="12"/>
  <c r="AZ315" i="12"/>
  <c r="CM320" i="12" a="1"/>
  <c r="CM320" i="12" s="1"/>
  <c r="CM322" i="12" s="1"/>
  <c r="CM316" i="12"/>
  <c r="CG320" i="12" a="1"/>
  <c r="CG320" i="12" s="1"/>
  <c r="CG322" i="12" s="1"/>
  <c r="CG316" i="12"/>
  <c r="F135" i="33" a="1"/>
  <c r="F135" i="33" s="1"/>
  <c r="F136" i="33" s="1" a="1"/>
  <c r="F136" i="33" s="1"/>
  <c r="F137" i="33" s="1" a="1"/>
  <c r="F137" i="33" s="1"/>
  <c r="F138" i="33" s="1" a="1"/>
  <c r="F138" i="33" s="1"/>
  <c r="F139" i="33" s="1" a="1"/>
  <c r="F139" i="33" s="1"/>
  <c r="BE134" i="33"/>
  <c r="BG134" i="33" s="1"/>
  <c r="BC134" i="33"/>
  <c r="AY134" i="33"/>
  <c r="BA134" i="33" s="1"/>
  <c r="AW134" i="33"/>
  <c r="AS134" i="33"/>
  <c r="AU134" i="33" s="1"/>
  <c r="AQ134" i="33"/>
  <c r="AM134" i="33"/>
  <c r="AO134" i="33" s="1"/>
  <c r="AK134" i="33"/>
  <c r="AG134" i="33"/>
  <c r="AI134" i="33" s="1"/>
  <c r="AE134" i="33"/>
  <c r="BF134" i="33"/>
  <c r="BB134" i="33"/>
  <c r="BD134" i="33" s="1"/>
  <c r="AZ134" i="33"/>
  <c r="AV134" i="33"/>
  <c r="AX134" i="33" s="1"/>
  <c r="AT134" i="33"/>
  <c r="AP134" i="33"/>
  <c r="AR134" i="33" s="1"/>
  <c r="AN134" i="33"/>
  <c r="AJ134" i="33"/>
  <c r="AL134" i="33" s="1"/>
  <c r="AH134" i="33"/>
  <c r="AD134" i="33"/>
  <c r="AF134" i="33" s="1"/>
  <c r="AJ54" i="24"/>
  <c r="AN54" i="24"/>
  <c r="AR54" i="24"/>
  <c r="AV54" i="24"/>
  <c r="BG54" i="24" s="1"/>
  <c r="AZ54" i="24"/>
  <c r="BK54" i="24" s="1"/>
  <c r="AE54" i="24"/>
  <c r="AI54" i="24"/>
  <c r="BD54" i="24" s="1"/>
  <c r="AM54" i="24"/>
  <c r="AQ54" i="24"/>
  <c r="AU54" i="24"/>
  <c r="BF54" i="24" s="1"/>
  <c r="AY54" i="24"/>
  <c r="BJ54" i="24" s="1"/>
  <c r="BC54" i="24"/>
  <c r="F176" i="28" a="1"/>
  <c r="F176" i="28" s="1"/>
  <c r="F177" i="28" s="1" a="1"/>
  <c r="F177" i="28" s="1"/>
  <c r="F178" i="28" s="1" a="1"/>
  <c r="F178" i="28" s="1"/>
  <c r="F100" i="21" a="1"/>
  <c r="F100" i="21" s="1"/>
  <c r="T99" i="21"/>
  <c r="CP315" i="12"/>
  <c r="CJ320" i="12" a="1"/>
  <c r="CJ320" i="12" s="1"/>
  <c r="CJ322" i="12" s="1"/>
  <c r="CJ316" i="12"/>
  <c r="CS320" i="12" a="1"/>
  <c r="CS320" i="12" s="1"/>
  <c r="CS322" i="12" s="1"/>
  <c r="CS316" i="12"/>
  <c r="BX315" i="12"/>
  <c r="CA320" i="12" a="1"/>
  <c r="CA320" i="12" s="1"/>
  <c r="CA322" i="12" s="1"/>
  <c r="CA316" i="12"/>
  <c r="AT320" i="12" a="1"/>
  <c r="AT320" i="12" s="1"/>
  <c r="AT322" i="12" s="1"/>
  <c r="AT316" i="12"/>
  <c r="AE219" i="12" a="1"/>
  <c r="AE219" i="12" s="1"/>
  <c r="X219" i="12"/>
  <c r="CY213" i="12" a="1"/>
  <c r="CY213" i="12" s="1"/>
  <c r="AG213" i="12"/>
  <c r="AG81" i="25"/>
  <c r="AF101" i="25"/>
  <c r="AG91" i="25"/>
  <c r="AG128" i="25"/>
  <c r="AJ34" i="24"/>
  <c r="AN34" i="24"/>
  <c r="AV34" i="24"/>
  <c r="BG34" i="24" s="1"/>
  <c r="AE34" i="24"/>
  <c r="AI34" i="24"/>
  <c r="BD34" i="24" s="1"/>
  <c r="AM34" i="24"/>
  <c r="AT34" i="24"/>
  <c r="BE34" i="24" s="1"/>
  <c r="BB34" i="24"/>
  <c r="BM34" i="24" s="1"/>
  <c r="AQ34" i="24"/>
  <c r="AU34" i="24"/>
  <c r="BF34" i="24" s="1"/>
  <c r="AY34" i="24"/>
  <c r="BJ34" i="24" s="1"/>
  <c r="BC34" i="24"/>
  <c r="BK435" i="12"/>
  <c r="BK427" i="12"/>
  <c r="BK421" i="12"/>
  <c r="AH72" i="23"/>
  <c r="BB79" i="23"/>
  <c r="BM79" i="23" s="1"/>
  <c r="AZ79" i="23"/>
  <c r="BK79" i="23" s="1"/>
  <c r="AX79" i="23"/>
  <c r="BI79" i="23" s="1"/>
  <c r="AV79" i="23"/>
  <c r="BG79" i="23" s="1"/>
  <c r="AT79" i="23"/>
  <c r="AR79" i="23"/>
  <c r="AP79" i="23"/>
  <c r="AN79" i="23"/>
  <c r="AL79" i="23"/>
  <c r="AJ79" i="23"/>
  <c r="AF79" i="23"/>
  <c r="F80" i="23" a="1"/>
  <c r="F80" i="23" s="1"/>
  <c r="F81" i="23" s="1" a="1"/>
  <c r="F81" i="23" s="1"/>
  <c r="F82" i="23" s="1" a="1"/>
  <c r="F82" i="23" s="1"/>
  <c r="F83" i="23" s="1" a="1"/>
  <c r="F83" i="23" s="1"/>
  <c r="BC79" i="23"/>
  <c r="BA79" i="23"/>
  <c r="BL79" i="23" s="1"/>
  <c r="AY79" i="23"/>
  <c r="BJ79" i="23" s="1"/>
  <c r="AW79" i="23"/>
  <c r="BH79" i="23" s="1"/>
  <c r="AU79" i="23"/>
  <c r="BF79" i="23" s="1"/>
  <c r="AS79" i="23"/>
  <c r="AQ79" i="23"/>
  <c r="AO79" i="23"/>
  <c r="AM79" i="23"/>
  <c r="AK79" i="23"/>
  <c r="AI79" i="23"/>
  <c r="BD79" i="23" s="1"/>
  <c r="AG79" i="23"/>
  <c r="AE79" i="23"/>
  <c r="BG75" i="23"/>
  <c r="AV72" i="23"/>
  <c r="BG72" i="23" s="1"/>
  <c r="BK75" i="23"/>
  <c r="AZ72" i="23"/>
  <c r="BK72" i="23" s="1"/>
  <c r="F36" i="30" a="1"/>
  <c r="F36" i="30" s="1"/>
  <c r="T35" i="30"/>
  <c r="F60" i="30" a="1"/>
  <c r="F60" i="30" s="1"/>
  <c r="T59" i="30"/>
  <c r="F90" i="31" a="1"/>
  <c r="F90" i="31" s="1"/>
  <c r="T89" i="31"/>
  <c r="N35" i="27" a="1"/>
  <c r="N35" i="27" s="1"/>
  <c r="BX34" i="27" a="1"/>
  <c r="BX34" i="27" s="1"/>
  <c r="F63" i="31" a="1"/>
  <c r="F63" i="31" s="1"/>
  <c r="T62" i="31"/>
  <c r="S164" i="12" a="1"/>
  <c r="S164" i="12" s="1"/>
  <c r="U163" i="12"/>
  <c r="AE374" i="12" a="1"/>
  <c r="AE374" i="12" s="1"/>
  <c r="X374" i="12"/>
  <c r="CY370" i="12" a="1"/>
  <c r="CY370" i="12" s="1"/>
  <c r="AF224" i="12" a="1"/>
  <c r="AF224" i="12" s="1"/>
  <c r="CZ219" i="12" a="1"/>
  <c r="CZ219" i="12" s="1"/>
  <c r="F74" i="21" a="1"/>
  <c r="F74" i="21" s="1"/>
  <c r="T73" i="21"/>
  <c r="F44" i="17" a="1"/>
  <c r="F44" i="17" s="1"/>
  <c r="AO49" i="23" s="1"/>
  <c r="AO62" i="23" s="1"/>
  <c r="A42" i="17"/>
  <c r="T42" i="17"/>
  <c r="F42" i="28" a="1"/>
  <c r="F42" i="28" s="1"/>
  <c r="F43" i="28" s="1" a="1"/>
  <c r="F43" i="28" s="1"/>
  <c r="F44" i="28" s="1" a="1"/>
  <c r="F44" i="28" s="1"/>
  <c r="T147" i="27"/>
  <c r="F148" i="27" a="1"/>
  <c r="F148" i="27" s="1"/>
  <c r="BQ435" i="12"/>
  <c r="BQ427" i="12"/>
  <c r="BQ421" i="12"/>
  <c r="F157" i="25" a="1"/>
  <c r="F157" i="25" s="1"/>
  <c r="BE435" i="12"/>
  <c r="BE427" i="12"/>
  <c r="BE421" i="12"/>
  <c r="CD159" i="12" a="1"/>
  <c r="CD159" i="12" s="1"/>
  <c r="CD161" i="12" s="1"/>
  <c r="CD155" i="12"/>
  <c r="BF159" i="12" a="1"/>
  <c r="BF159" i="12" s="1"/>
  <c r="BF161" i="12" s="1"/>
  <c r="BF155" i="12"/>
  <c r="CJ154" i="12"/>
  <c r="BX154" i="12"/>
  <c r="BL154" i="12"/>
  <c r="AZ154" i="12"/>
  <c r="AN154" i="12"/>
  <c r="BL43" i="12"/>
  <c r="AW48" i="12" a="1"/>
  <c r="AW48" i="12" s="1"/>
  <c r="AW50" i="12" s="1"/>
  <c r="AW44" i="12"/>
  <c r="CS48" i="12" a="1"/>
  <c r="CS48" i="12" s="1"/>
  <c r="CS50" i="12" s="1"/>
  <c r="CS44" i="12"/>
  <c r="BC48" i="12" a="1"/>
  <c r="BC48" i="12" s="1"/>
  <c r="BC50" i="12" s="1"/>
  <c r="BC44" i="12"/>
  <c r="CA43" i="12"/>
  <c r="BR48" i="12" a="1"/>
  <c r="BR48" i="12" s="1"/>
  <c r="BR50" i="12" s="1"/>
  <c r="BR44" i="12"/>
  <c r="CS159" i="12" a="1"/>
  <c r="CS159" i="12" s="1"/>
  <c r="CS161" i="12" s="1"/>
  <c r="CS155" i="12"/>
  <c r="BU159" i="12" a="1"/>
  <c r="BU159" i="12" s="1"/>
  <c r="BU161" i="12" s="1"/>
  <c r="BU155" i="12"/>
  <c r="AW159" i="12" a="1"/>
  <c r="AW159" i="12" s="1"/>
  <c r="AW161" i="12" s="1"/>
  <c r="AW155" i="12"/>
  <c r="CM154" i="12"/>
  <c r="CA154" i="12"/>
  <c r="BC154" i="12"/>
  <c r="BU43" i="12"/>
  <c r="BC315" i="12"/>
  <c r="AQ315" i="12"/>
  <c r="CM315" i="12"/>
  <c r="CD320" i="12" a="1"/>
  <c r="CD320" i="12" s="1"/>
  <c r="CD322" i="12" s="1"/>
  <c r="CD316" i="12"/>
  <c r="AQ43" i="12"/>
  <c r="CJ315" i="12"/>
  <c r="AH34" i="23"/>
  <c r="BB35" i="23"/>
  <c r="AZ35" i="23"/>
  <c r="AX35" i="23"/>
  <c r="AV35" i="23"/>
  <c r="AT35" i="23"/>
  <c r="AR35" i="23"/>
  <c r="AR32" i="23" s="1"/>
  <c r="AP35" i="23"/>
  <c r="AP32" i="23" s="1"/>
  <c r="AN35" i="23"/>
  <c r="AN32" i="23" s="1"/>
  <c r="AL35" i="23"/>
  <c r="AL32" i="23" s="1"/>
  <c r="AJ35" i="23"/>
  <c r="AJ32" i="23" s="1"/>
  <c r="AF35" i="23"/>
  <c r="AF32" i="23" s="1"/>
  <c r="F36" i="23" a="1"/>
  <c r="F36" i="23" s="1"/>
  <c r="BC35" i="23"/>
  <c r="BC32" i="23" s="1"/>
  <c r="BA35" i="23"/>
  <c r="AY35" i="23"/>
  <c r="AW35" i="23"/>
  <c r="BH35" i="23" s="1"/>
  <c r="AU35" i="23"/>
  <c r="AS35" i="23"/>
  <c r="AS32" i="23" s="1"/>
  <c r="AQ35" i="23"/>
  <c r="AQ32" i="23" s="1"/>
  <c r="AO35" i="23"/>
  <c r="AO32" i="23" s="1"/>
  <c r="AM35" i="23"/>
  <c r="AM32" i="23" s="1"/>
  <c r="AK35" i="23"/>
  <c r="AK32" i="23" s="1"/>
  <c r="AI35" i="23"/>
  <c r="AG35" i="23"/>
  <c r="AG32" i="23" s="1"/>
  <c r="AE35" i="23"/>
  <c r="AE32" i="23" s="1"/>
  <c r="T129" i="13" a="1"/>
  <c r="T129" i="13" s="1"/>
  <c r="T130" i="13" s="1" a="1"/>
  <c r="T130" i="13" s="1"/>
  <c r="T131" i="13" s="1" a="1"/>
  <c r="T131" i="13" s="1"/>
  <c r="T132" i="13" s="1" a="1"/>
  <c r="T132" i="13" s="1"/>
  <c r="T128" i="13" a="1"/>
  <c r="T128" i="13" s="1"/>
  <c r="M103" i="28" a="1"/>
  <c r="M103" i="28" s="1"/>
  <c r="AS102" i="28" a="1"/>
  <c r="AS102" i="28" s="1"/>
  <c r="F84" i="30" a="1"/>
  <c r="F84" i="30" s="1"/>
  <c r="T83" i="30"/>
  <c r="AR69" i="23" l="1"/>
  <c r="AR82" i="23" s="1"/>
  <c r="AI41" i="28"/>
  <c r="AL41" i="28" s="1"/>
  <c r="AG29" i="23"/>
  <c r="AL29" i="23"/>
  <c r="BE53" i="24"/>
  <c r="AG34" i="25"/>
  <c r="AF54" i="25"/>
  <c r="AJ41" i="28"/>
  <c r="BA29" i="23"/>
  <c r="AQ29" i="23"/>
  <c r="AI49" i="23"/>
  <c r="AE69" i="23"/>
  <c r="AE82" i="23" s="1"/>
  <c r="AH101" i="28"/>
  <c r="AK41" i="28"/>
  <c r="AJ69" i="23"/>
  <c r="AJ82" i="23" s="1"/>
  <c r="AN69" i="23"/>
  <c r="AN82" i="23" s="1"/>
  <c r="AS29" i="23"/>
  <c r="AN29" i="23"/>
  <c r="AY29" i="23"/>
  <c r="AF69" i="23"/>
  <c r="AF82" i="23" s="1"/>
  <c r="AF128" i="25"/>
  <c r="BD35" i="23"/>
  <c r="AI32" i="23"/>
  <c r="BD32" i="23" s="1"/>
  <c r="BJ35" i="23"/>
  <c r="AY32" i="23"/>
  <c r="BJ32" i="23" s="1"/>
  <c r="BM35" i="23"/>
  <c r="BB32" i="23"/>
  <c r="BM32" i="23" s="1"/>
  <c r="AW162" i="12"/>
  <c r="AW163" i="12" s="1"/>
  <c r="AU161" i="12"/>
  <c r="CS162" i="12"/>
  <c r="CQ161" i="12"/>
  <c r="BJ29" i="23"/>
  <c r="T44" i="17" a="1"/>
  <c r="T44" i="17" s="1"/>
  <c r="T43" i="17" a="1"/>
  <c r="T43" i="17" s="1"/>
  <c r="A44" i="17"/>
  <c r="AK29" i="23"/>
  <c r="BA69" i="23"/>
  <c r="BC49" i="23"/>
  <c r="BC62" i="23" s="1"/>
  <c r="AO69" i="23"/>
  <c r="AO82" i="23" s="1"/>
  <c r="AX49" i="23"/>
  <c r="AM29" i="23"/>
  <c r="AS69" i="23"/>
  <c r="AS82" i="23" s="1"/>
  <c r="AO29" i="23"/>
  <c r="AV69" i="23"/>
  <c r="AI29" i="23"/>
  <c r="AU29" i="23"/>
  <c r="AL49" i="23"/>
  <c r="AL62" i="23" s="1"/>
  <c r="AX69" i="23"/>
  <c r="AU69" i="23"/>
  <c r="AN49" i="23"/>
  <c r="AN62" i="23" s="1"/>
  <c r="AI69" i="23"/>
  <c r="AP69" i="23"/>
  <c r="AP82" i="23" s="1"/>
  <c r="BA49" i="23"/>
  <c r="AM69" i="23"/>
  <c r="AM82" i="23" s="1"/>
  <c r="AT69" i="23"/>
  <c r="AW49" i="23"/>
  <c r="AR29" i="23"/>
  <c r="AZ69" i="23"/>
  <c r="AW29" i="23"/>
  <c r="AQ49" i="23"/>
  <c r="AQ62" i="23" s="1"/>
  <c r="AF29" i="23"/>
  <c r="AJ29" i="23"/>
  <c r="AE49" i="23"/>
  <c r="AE62" i="23" s="1"/>
  <c r="AG69" i="23"/>
  <c r="AY49" i="23"/>
  <c r="AT29" i="23"/>
  <c r="BB29" i="23"/>
  <c r="AQ69" i="23"/>
  <c r="AQ82" i="23" s="1"/>
  <c r="AJ49" i="23"/>
  <c r="AJ62" i="23" s="1"/>
  <c r="BB69" i="23"/>
  <c r="AK49" i="23"/>
  <c r="AK62" i="23" s="1"/>
  <c r="BC69" i="23"/>
  <c r="BC82" i="23" s="1"/>
  <c r="AV49" i="23"/>
  <c r="T74" i="21"/>
  <c r="F75" i="21" a="1"/>
  <c r="F75" i="21" s="1"/>
  <c r="CY374" i="12" a="1"/>
  <c r="CY374" i="12" s="1"/>
  <c r="AE378" i="12" a="1"/>
  <c r="AE378" i="12" s="1"/>
  <c r="X378" i="12"/>
  <c r="S165" i="12" a="1"/>
  <c r="S165" i="12" s="1"/>
  <c r="U164" i="12"/>
  <c r="F64" i="31" a="1"/>
  <c r="F64" i="31" s="1"/>
  <c r="T63" i="31"/>
  <c r="N36" i="27" a="1"/>
  <c r="N36" i="27" s="1"/>
  <c r="BX35" i="27" a="1"/>
  <c r="BX35" i="27" s="1"/>
  <c r="F91" i="31" a="1"/>
  <c r="F91" i="31" s="1"/>
  <c r="T90" i="31"/>
  <c r="AE224" i="12" a="1"/>
  <c r="AE224" i="12" s="1"/>
  <c r="X224" i="12"/>
  <c r="CY219" i="12" a="1"/>
  <c r="CY219" i="12" s="1"/>
  <c r="AT323" i="12"/>
  <c r="AR322" i="12"/>
  <c r="CA323" i="12"/>
  <c r="BY322" i="12"/>
  <c r="F101" i="21" a="1"/>
  <c r="F101" i="21" s="1"/>
  <c r="T100" i="21"/>
  <c r="AG175" i="28"/>
  <c r="AK175" i="28"/>
  <c r="AJ175" i="28"/>
  <c r="F140" i="33" a="1"/>
  <c r="F140" i="33" s="1"/>
  <c r="H139" i="33"/>
  <c r="CG323" i="12"/>
  <c r="CE322" i="12"/>
  <c r="CM323" i="12"/>
  <c r="CM324" i="12" s="1"/>
  <c r="CK322" i="12"/>
  <c r="BC323" i="12"/>
  <c r="BA322" i="12"/>
  <c r="AN51" i="12"/>
  <c r="AL50" i="12"/>
  <c r="BX323" i="12"/>
  <c r="BX324" i="12" s="1"/>
  <c r="BV322" i="12"/>
  <c r="AZ162" i="12"/>
  <c r="AX161" i="12"/>
  <c r="BX162" i="12"/>
  <c r="BX163" i="12"/>
  <c r="BV161"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F40" i="21" a="1"/>
  <c r="F40" i="21" s="1"/>
  <c r="F41" i="21" s="1" a="1"/>
  <c r="F41" i="21" s="1"/>
  <c r="F88" i="13" a="1"/>
  <c r="F88" i="13" s="1"/>
  <c r="A87" i="13"/>
  <c r="T309" i="12" a="1"/>
  <c r="T309" i="12" s="1"/>
  <c r="U308" i="12"/>
  <c r="T148" i="12" a="1"/>
  <c r="T148" i="12" s="1"/>
  <c r="U147" i="12"/>
  <c r="M91" i="31" a="1"/>
  <c r="M91" i="31" s="1"/>
  <c r="BI90" i="31" a="1"/>
  <c r="BI90" i="31" s="1"/>
  <c r="M171" i="28" a="1"/>
  <c r="M171" i="28" s="1"/>
  <c r="AS170" i="28" a="1"/>
  <c r="AS170" i="28" s="1"/>
  <c r="F37" i="27" a="1"/>
  <c r="F37" i="27" s="1"/>
  <c r="T36" i="27"/>
  <c r="N148" i="27" a="1"/>
  <c r="N148" i="27" s="1"/>
  <c r="BX147" i="27" a="1"/>
  <c r="BX147" i="27" s="1"/>
  <c r="AH33" i="24"/>
  <c r="AG44" i="25"/>
  <c r="BE43" i="24"/>
  <c r="U41" i="6"/>
  <c r="F42" i="6" a="1"/>
  <c r="F42" i="6" s="1"/>
  <c r="BD52" i="23"/>
  <c r="AE108" i="28"/>
  <c r="AI108" i="28"/>
  <c r="AF108" i="28"/>
  <c r="F112" i="28" a="1"/>
  <c r="F112" i="28" s="1"/>
  <c r="AJ111" i="28"/>
  <c r="AF111" i="28"/>
  <c r="AK111" i="28"/>
  <c r="AI111" i="28"/>
  <c r="AG111" i="28"/>
  <c r="AE111" i="28"/>
  <c r="F39" i="8" a="1"/>
  <c r="F39" i="8" s="1"/>
  <c r="U38" i="8"/>
  <c r="F131" i="13" a="1"/>
  <c r="F131" i="13" s="1"/>
  <c r="A130" i="13"/>
  <c r="L204" i="12" a="1"/>
  <c r="L204" i="12" s="1"/>
  <c r="T203" i="12"/>
  <c r="BI163" i="12"/>
  <c r="BI162" i="12"/>
  <c r="BG161" i="12"/>
  <c r="CG162" i="12"/>
  <c r="CE161" i="12"/>
  <c r="CP51" i="12"/>
  <c r="CN50" i="12"/>
  <c r="AT51" i="12"/>
  <c r="AT52" i="12"/>
  <c r="AR50" i="12"/>
  <c r="AT162" i="12"/>
  <c r="AR161" i="12"/>
  <c r="BR162" i="12"/>
  <c r="BR163" i="12" s="1"/>
  <c r="BP161" i="12"/>
  <c r="CP162" i="12"/>
  <c r="CN161" i="12"/>
  <c r="AB56" i="14" a="1"/>
  <c r="AB56" i="14" s="1"/>
  <c r="V56" i="14" a="1"/>
  <c r="V56" i="14" s="1"/>
  <c r="S54" i="12" a="1"/>
  <c r="S54" i="12" s="1"/>
  <c r="U53" i="12"/>
  <c r="M64" i="31" a="1"/>
  <c r="M64" i="31" s="1"/>
  <c r="BI63" i="31" a="1"/>
  <c r="BI63" i="31" s="1"/>
  <c r="M37" i="31" a="1"/>
  <c r="M37" i="31" s="1"/>
  <c r="BI36" i="31" a="1"/>
  <c r="BI36" i="31" s="1"/>
  <c r="U92" i="8"/>
  <c r="F93" i="8" a="1"/>
  <c r="F93" i="8" s="1"/>
  <c r="S322" i="12" a="1"/>
  <c r="S322" i="12" s="1"/>
  <c r="U321" i="12"/>
  <c r="T37" i="12" a="1"/>
  <c r="T37" i="12" s="1"/>
  <c r="U36" i="12"/>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F382" i="12" a="1"/>
  <c r="AF382" i="12" s="1"/>
  <c r="CZ378" i="12" a="1"/>
  <c r="CZ378" i="12" s="1"/>
  <c r="F65" i="8" a="1"/>
  <c r="F65" i="8" s="1"/>
  <c r="U64" i="8"/>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AH34" i="24"/>
  <c r="AG54" i="25"/>
  <c r="AZ51" i="12"/>
  <c r="AX50" i="12"/>
  <c r="T89" i="12" a="1"/>
  <c r="T89" i="12" s="1"/>
  <c r="L90" i="12" a="1"/>
  <c r="L90" i="12" s="1"/>
  <c r="BL51" i="12"/>
  <c r="BJ50" i="12"/>
  <c r="AQ323" i="12"/>
  <c r="AO322" i="12"/>
  <c r="BF323" i="12"/>
  <c r="BD322" i="12"/>
  <c r="BE72" i="23"/>
  <c r="F44" i="13" a="1"/>
  <c r="F44" i="13" s="1"/>
  <c r="A43" i="13"/>
  <c r="BB63" i="23"/>
  <c r="BM63" i="23" s="1"/>
  <c r="AZ63" i="23"/>
  <c r="BK63" i="23" s="1"/>
  <c r="AX63" i="23"/>
  <c r="BI63" i="23" s="1"/>
  <c r="AV63" i="23"/>
  <c r="BG63" i="23" s="1"/>
  <c r="AT63" i="23"/>
  <c r="BE63" i="23" s="1"/>
  <c r="AR63" i="23"/>
  <c r="AP63" i="23"/>
  <c r="AN63" i="23"/>
  <c r="AL63" i="23"/>
  <c r="AJ63" i="23"/>
  <c r="AF63" i="23"/>
  <c r="F64" i="23" a="1"/>
  <c r="F64" i="23" s="1"/>
  <c r="BC63" i="23"/>
  <c r="BA63" i="23"/>
  <c r="BL63" i="23" s="1"/>
  <c r="AY63" i="23"/>
  <c r="BJ63" i="23" s="1"/>
  <c r="AW63" i="23"/>
  <c r="BH63" i="23" s="1"/>
  <c r="AU63" i="23"/>
  <c r="BF63" i="23" s="1"/>
  <c r="AS63" i="23"/>
  <c r="AQ63" i="23"/>
  <c r="AO63" i="23"/>
  <c r="AM63" i="23"/>
  <c r="AK63" i="23"/>
  <c r="AI63" i="23"/>
  <c r="BD63" i="23" s="1"/>
  <c r="AG63" i="23"/>
  <c r="AE63" i="23"/>
  <c r="BF35" i="23"/>
  <c r="AU32" i="23"/>
  <c r="BF32" i="23" s="1"/>
  <c r="BE35" i="23"/>
  <c r="AT32" i="23"/>
  <c r="BE32" i="23" s="1"/>
  <c r="BI35" i="23"/>
  <c r="AX32" i="23"/>
  <c r="BI32" i="23" s="1"/>
  <c r="BU162" i="12"/>
  <c r="BS161" i="12"/>
  <c r="BR51" i="12"/>
  <c r="BP50" i="12"/>
  <c r="T148" i="27"/>
  <c r="F149" i="27" a="1"/>
  <c r="F149" i="27" s="1"/>
  <c r="BL29" i="23"/>
  <c r="AH29" i="23"/>
  <c r="AI62" i="23"/>
  <c r="BE79" i="23"/>
  <c r="F85" i="30" a="1"/>
  <c r="F85" i="30" s="1"/>
  <c r="T84" i="30"/>
  <c r="M104" i="28" a="1"/>
  <c r="M104" i="28" s="1"/>
  <c r="AS103" i="28" a="1"/>
  <c r="AS103" i="28" s="1"/>
  <c r="AH32" i="23"/>
  <c r="AH35" i="23"/>
  <c r="BL35" i="23"/>
  <c r="BA32" i="23"/>
  <c r="BL32" i="23" s="1"/>
  <c r="F37" i="23" a="1"/>
  <c r="F37" i="23" s="1"/>
  <c r="F38" i="23" s="1" a="1"/>
  <c r="F38" i="23" s="1"/>
  <c r="F39" i="23" s="1" a="1"/>
  <c r="F39" i="23" s="1"/>
  <c r="BG35" i="23"/>
  <c r="AV32" i="23"/>
  <c r="BG32" i="23" s="1"/>
  <c r="BK35" i="23"/>
  <c r="AZ32" i="23"/>
  <c r="BK32" i="23" s="1"/>
  <c r="CD323" i="12"/>
  <c r="CD324" i="12" s="1"/>
  <c r="CB322" i="12"/>
  <c r="BC51" i="12"/>
  <c r="BC52" i="12" s="1"/>
  <c r="BA50" i="12"/>
  <c r="CS51" i="12"/>
  <c r="CQ50" i="12"/>
  <c r="AW51" i="12"/>
  <c r="AW52" i="12" s="1"/>
  <c r="AU50" i="12"/>
  <c r="BF162" i="12"/>
  <c r="BF163" i="12" s="1"/>
  <c r="BD161" i="12"/>
  <c r="CD162" i="12"/>
  <c r="CB161" i="12"/>
  <c r="F158" i="25" a="1"/>
  <c r="F158" i="25" s="1"/>
  <c r="F159" i="25" s="1" a="1"/>
  <c r="F159" i="25" s="1"/>
  <c r="F160" i="25" s="1" a="1"/>
  <c r="F160" i="25" s="1"/>
  <c r="F161" i="25" s="1" a="1"/>
  <c r="F161" i="25" s="1"/>
  <c r="F162" i="25" s="1" a="1"/>
  <c r="F162" i="25" s="1"/>
  <c r="F163" i="25" s="1" a="1"/>
  <c r="F163" i="25" s="1"/>
  <c r="F164" i="25" s="1" a="1"/>
  <c r="F164" i="25" s="1"/>
  <c r="F165" i="25" s="1" a="1"/>
  <c r="F165" i="25" s="1"/>
  <c r="F166" i="25" s="1" a="1"/>
  <c r="F166" i="25" s="1"/>
  <c r="F167" i="25" s="1" a="1"/>
  <c r="F167" i="25" s="1"/>
  <c r="F168" i="25" s="1" a="1"/>
  <c r="F168" i="25" s="1"/>
  <c r="AE41" i="28"/>
  <c r="AG41" i="28"/>
  <c r="AF41" i="28"/>
  <c r="F45" i="28" a="1"/>
  <c r="F45" i="28" s="1"/>
  <c r="AJ44" i="28"/>
  <c r="AF44" i="28"/>
  <c r="AK44" i="28"/>
  <c r="AG44" i="28"/>
  <c r="AH44" i="28" s="1"/>
  <c r="AI44" i="28"/>
  <c r="AL44" i="28" s="1"/>
  <c r="AE44" i="28"/>
  <c r="BC29" i="23"/>
  <c r="AK69" i="23"/>
  <c r="AK82" i="23" s="1"/>
  <c r="AM49" i="23"/>
  <c r="AM62" i="23" s="1"/>
  <c r="AV29" i="23"/>
  <c r="AF49" i="23"/>
  <c r="AF62" i="23" s="1"/>
  <c r="AF66" i="23" s="1"/>
  <c r="AF48" i="23" s="1" a="1"/>
  <c r="AF48" i="23" s="1"/>
  <c r="AX29" i="23"/>
  <c r="AZ29" i="23"/>
  <c r="AU49" i="23"/>
  <c r="AW69" i="23"/>
  <c r="AP49" i="23"/>
  <c r="AP62" i="23" s="1"/>
  <c r="AE29" i="23"/>
  <c r="BB49" i="23"/>
  <c r="AS49" i="23"/>
  <c r="AS62" i="23" s="1"/>
  <c r="AL69" i="23"/>
  <c r="AL82" i="23" s="1"/>
  <c r="AZ49" i="23"/>
  <c r="AY69" i="23"/>
  <c r="AR49" i="23"/>
  <c r="AR62" i="23" s="1"/>
  <c r="AG49" i="23"/>
  <c r="AF229" i="12" a="1"/>
  <c r="AF229" i="12" s="1"/>
  <c r="CZ224" i="12" a="1"/>
  <c r="CZ224" i="12" s="1"/>
  <c r="F61" i="30" a="1"/>
  <c r="F61" i="30" s="1"/>
  <c r="T60" i="30"/>
  <c r="F37" i="30" a="1"/>
  <c r="F37" i="30" s="1"/>
  <c r="T36" i="30"/>
  <c r="AH79" i="23"/>
  <c r="BB83" i="23"/>
  <c r="BM83" i="23" s="1"/>
  <c r="AZ83" i="23"/>
  <c r="BK83" i="23" s="1"/>
  <c r="AX83" i="23"/>
  <c r="BI83" i="23" s="1"/>
  <c r="AV83" i="23"/>
  <c r="BG83" i="23" s="1"/>
  <c r="AT83" i="23"/>
  <c r="BE83" i="23" s="1"/>
  <c r="AR83" i="23"/>
  <c r="AP83" i="23"/>
  <c r="AN83" i="23"/>
  <c r="AL83" i="23"/>
  <c r="AJ83" i="23"/>
  <c r="AF83" i="23"/>
  <c r="AF86" i="23" s="1"/>
  <c r="AF68" i="23" s="1" a="1"/>
  <c r="AF68" i="23" s="1"/>
  <c r="F84" i="23" a="1"/>
  <c r="F84" i="23" s="1"/>
  <c r="BC83" i="23"/>
  <c r="BA83" i="23"/>
  <c r="BL83" i="23" s="1"/>
  <c r="AY83" i="23"/>
  <c r="BJ83" i="23" s="1"/>
  <c r="AW83" i="23"/>
  <c r="BH83" i="23" s="1"/>
  <c r="AU83" i="23"/>
  <c r="BF83" i="23" s="1"/>
  <c r="AS83" i="23"/>
  <c r="AQ83" i="23"/>
  <c r="AO83" i="23"/>
  <c r="AM83" i="23"/>
  <c r="AK83" i="23"/>
  <c r="AI83" i="23"/>
  <c r="BD83" i="23" s="1"/>
  <c r="AG83" i="23"/>
  <c r="AE83" i="23"/>
  <c r="AE86" i="23" s="1"/>
  <c r="AE68" i="23" s="1" a="1"/>
  <c r="AE68" i="23" s="1"/>
  <c r="CS323" i="12"/>
  <c r="CQ322" i="12"/>
  <c r="CJ323" i="12"/>
  <c r="CH322" i="12"/>
  <c r="AE175" i="28"/>
  <c r="AI175" i="28"/>
  <c r="AL175" i="28" s="1"/>
  <c r="AF175" i="28"/>
  <c r="F179" i="28" a="1"/>
  <c r="F179" i="28" s="1"/>
  <c r="AJ178" i="28"/>
  <c r="AF178" i="28"/>
  <c r="AK178" i="28"/>
  <c r="AI178" i="28"/>
  <c r="AG178" i="28"/>
  <c r="AE178" i="28"/>
  <c r="CP323" i="12"/>
  <c r="CN322" i="12"/>
  <c r="AQ51" i="12"/>
  <c r="AO50" i="12"/>
  <c r="BC162" i="12"/>
  <c r="BC163" i="12" s="1"/>
  <c r="BA161" i="12"/>
  <c r="CA162" i="12"/>
  <c r="BY161" i="12"/>
  <c r="BF51" i="12"/>
  <c r="BD50" i="12"/>
  <c r="CG51" i="12"/>
  <c r="CE50" i="12"/>
  <c r="AP29" i="23"/>
  <c r="BD53" i="24"/>
  <c r="BD43" i="24"/>
  <c r="AH168" i="28"/>
  <c r="AH53" i="24"/>
  <c r="AH43" i="24"/>
  <c r="AF230" i="12" a="1"/>
  <c r="AF230" i="12" s="1"/>
  <c r="CZ225" i="12" a="1"/>
  <c r="CZ225" i="12" s="1"/>
  <c r="F37" i="31" a="1"/>
  <c r="F37" i="31" s="1"/>
  <c r="T36" i="31"/>
  <c r="AG108" i="28"/>
  <c r="AH108" i="28" s="1"/>
  <c r="AK108" i="28"/>
  <c r="AJ108" i="28"/>
  <c r="F48" i="33" a="1"/>
  <c r="F48" i="33" s="1"/>
  <c r="H47" i="33"/>
  <c r="AW32" i="23"/>
  <c r="BH32" i="23" s="1"/>
  <c r="BO323" i="12"/>
  <c r="BO324" i="12" s="1"/>
  <c r="BM322" i="12"/>
  <c r="AN323" i="12"/>
  <c r="AN324" i="12" s="1"/>
  <c r="AL322" i="12"/>
  <c r="BO51" i="12"/>
  <c r="BO52" i="12" s="1"/>
  <c r="BM50" i="12"/>
  <c r="BU51" i="12"/>
  <c r="BS50" i="12"/>
  <c r="T92" i="27"/>
  <c r="F93" i="27" a="1"/>
  <c r="F93" i="27" s="1"/>
  <c r="F68" i="18" a="1"/>
  <c r="F68" i="18" s="1"/>
  <c r="T67" i="18"/>
  <c r="H67" i="18"/>
  <c r="F100" i="18" a="1"/>
  <c r="F100" i="18" s="1"/>
  <c r="T99" i="18"/>
  <c r="L358" i="12" a="1"/>
  <c r="L358" i="12" s="1"/>
  <c r="L359" i="12" s="1" a="1"/>
  <c r="L359" i="12" s="1"/>
  <c r="L360" i="12" s="1" a="1"/>
  <c r="L360" i="12" s="1"/>
  <c r="L361" i="12" s="1" a="1"/>
  <c r="L361" i="12" s="1"/>
  <c r="L362" i="12" s="1" a="1"/>
  <c r="L362" i="12" s="1"/>
  <c r="L363" i="12" s="1" a="1"/>
  <c r="L363" i="12" s="1"/>
  <c r="L364" i="12" s="1" a="1"/>
  <c r="L364" i="12" s="1"/>
  <c r="L365" i="12" s="1" a="1"/>
  <c r="L365" i="12" s="1"/>
  <c r="L366" i="12" s="1" a="1"/>
  <c r="L366" i="12" s="1"/>
  <c r="L367" i="12" s="1" a="1"/>
  <c r="L367" i="12" s="1"/>
  <c r="L368" i="12" s="1" a="1"/>
  <c r="L368" i="12" s="1"/>
  <c r="L369" i="12" s="1" a="1"/>
  <c r="L369" i="12" s="1"/>
  <c r="L370" i="12" s="1" a="1"/>
  <c r="L370" i="12" s="1"/>
  <c r="L371" i="12" s="1" a="1"/>
  <c r="L371" i="12" s="1"/>
  <c r="L372" i="12" s="1" a="1"/>
  <c r="L372" i="12" s="1"/>
  <c r="T357" i="12"/>
  <c r="AG148" i="25"/>
  <c r="AF91" i="25"/>
  <c r="AG101" i="25"/>
  <c r="AG138" i="25"/>
  <c r="AF148" i="25"/>
  <c r="AF81" i="25"/>
  <c r="CJ51" i="12"/>
  <c r="CH50" i="12"/>
  <c r="BX51" i="12"/>
  <c r="BV50" i="12"/>
  <c r="AW323" i="12"/>
  <c r="AU322" i="12"/>
  <c r="AZ323" i="12"/>
  <c r="AX322" i="12"/>
  <c r="BU323" i="12"/>
  <c r="BS322" i="12"/>
  <c r="BR323" i="12"/>
  <c r="BP322" i="12"/>
  <c r="BI323" i="12"/>
  <c r="BG322" i="12"/>
  <c r="BL323" i="12"/>
  <c r="BJ322" i="12"/>
  <c r="CM51" i="12"/>
  <c r="CK50" i="12"/>
  <c r="AQ162" i="12"/>
  <c r="AQ163" i="12" s="1"/>
  <c r="AO161" i="12"/>
  <c r="BO162" i="12"/>
  <c r="BM161" i="12"/>
  <c r="CM162" i="12"/>
  <c r="CM163" i="12" s="1"/>
  <c r="CK161" i="12"/>
  <c r="CD51" i="12"/>
  <c r="CD52" i="12" s="1"/>
  <c r="CB50" i="12"/>
  <c r="CA51" i="12"/>
  <c r="CA52" i="12" s="1"/>
  <c r="BY50" i="12"/>
  <c r="BI51" i="12"/>
  <c r="BG50" i="12"/>
  <c r="AN162" i="12"/>
  <c r="AL161" i="12"/>
  <c r="BL162" i="12"/>
  <c r="BL163" i="12" s="1"/>
  <c r="BJ161" i="12"/>
  <c r="CJ162" i="12"/>
  <c r="CH161" i="12"/>
  <c r="AB40" i="14" a="1"/>
  <c r="AB40" i="14" s="1"/>
  <c r="V40" i="14" a="1"/>
  <c r="V40" i="14" s="1"/>
  <c r="M37" i="28" a="1"/>
  <c r="M37" i="28" s="1"/>
  <c r="AS36" i="28" a="1"/>
  <c r="AS36" i="28" s="1"/>
  <c r="N92" i="27" a="1"/>
  <c r="N92" i="27" s="1"/>
  <c r="BX91" i="27" a="1"/>
  <c r="BX91" i="27" s="1"/>
  <c r="F38" i="18" a="1"/>
  <c r="F38" i="18" s="1"/>
  <c r="AH44" i="24"/>
  <c r="AE225" i="12" a="1"/>
  <c r="AE225" i="12" s="1"/>
  <c r="X225" i="12"/>
  <c r="CY220" i="12" a="1"/>
  <c r="CY220" i="12" s="1"/>
  <c r="BE59" i="23"/>
  <c r="AT49" i="23"/>
  <c r="BD49" i="23" s="1"/>
  <c r="AH83" i="23" l="1"/>
  <c r="AH63" i="23"/>
  <c r="AL178" i="28"/>
  <c r="AL111" i="28"/>
  <c r="AW278" i="12"/>
  <c r="AU278" i="12" s="1"/>
  <c r="AW276" i="12"/>
  <c r="AW270" i="12"/>
  <c r="AU270" i="12" s="1"/>
  <c r="AW277" i="12"/>
  <c r="AU277" i="12" s="1"/>
  <c r="CJ167" i="12"/>
  <c r="CJ168" i="12"/>
  <c r="CJ166" i="12"/>
  <c r="CH162" i="12"/>
  <c r="CH163" i="12" s="1"/>
  <c r="BL277" i="12"/>
  <c r="BJ277" i="12" s="1"/>
  <c r="BL278" i="12"/>
  <c r="BJ278" i="12" s="1"/>
  <c r="BL276" i="12"/>
  <c r="BL270" i="12"/>
  <c r="BJ270" i="12" s="1"/>
  <c r="AN167" i="12"/>
  <c r="AN168" i="12"/>
  <c r="AN166" i="12"/>
  <c r="AL162" i="12"/>
  <c r="AL163" i="12" s="1"/>
  <c r="BI55" i="12"/>
  <c r="BG51" i="12"/>
  <c r="CA123" i="12"/>
  <c r="CA119" i="12"/>
  <c r="BY119" i="12" s="1"/>
  <c r="CD123" i="12"/>
  <c r="CD119" i="12"/>
  <c r="CB119" i="12" s="1"/>
  <c r="CM278" i="12"/>
  <c r="CK278" i="12" s="1"/>
  <c r="CM276" i="12"/>
  <c r="CM270" i="12"/>
  <c r="CK270" i="12" s="1"/>
  <c r="CM277" i="12"/>
  <c r="CK277" i="12" s="1"/>
  <c r="BO168" i="12"/>
  <c r="BO166" i="12"/>
  <c r="BO167" i="12"/>
  <c r="BM162" i="12"/>
  <c r="AQ278" i="12"/>
  <c r="AO278" i="12" s="1"/>
  <c r="AQ276" i="12"/>
  <c r="AQ270" i="12"/>
  <c r="AO270" i="12" s="1"/>
  <c r="AQ277" i="12"/>
  <c r="AO277" i="12" s="1"/>
  <c r="CM55" i="12"/>
  <c r="CK51" i="12"/>
  <c r="BL328" i="12"/>
  <c r="BL327" i="12"/>
  <c r="BJ323" i="12"/>
  <c r="BJ324" i="12" s="1"/>
  <c r="BI328" i="12"/>
  <c r="BI327" i="12"/>
  <c r="BG323" i="12"/>
  <c r="BP324" i="12"/>
  <c r="BR327" i="12"/>
  <c r="BR328" i="12"/>
  <c r="BP323" i="12"/>
  <c r="BU328" i="12"/>
  <c r="BU327" i="12"/>
  <c r="BS323" i="12"/>
  <c r="AZ328" i="12"/>
  <c r="AZ327" i="12"/>
  <c r="AX323" i="12"/>
  <c r="AX324" i="12" s="1"/>
  <c r="AW328" i="12"/>
  <c r="AW327" i="12"/>
  <c r="AU323" i="12"/>
  <c r="BX55" i="12"/>
  <c r="BV51" i="12"/>
  <c r="BV52" i="12" s="1"/>
  <c r="CJ55" i="12"/>
  <c r="CH51" i="12"/>
  <c r="CH52" i="12" s="1"/>
  <c r="F69" i="18" a="1"/>
  <c r="F69" i="18" s="1"/>
  <c r="T68" i="18"/>
  <c r="BU55" i="12"/>
  <c r="BS51" i="12"/>
  <c r="BO123" i="12"/>
  <c r="BO119" i="12"/>
  <c r="BM119" i="12" s="1"/>
  <c r="AN416" i="12"/>
  <c r="AN417" i="12"/>
  <c r="AL417" i="12" s="1"/>
  <c r="AN411" i="12"/>
  <c r="AL411" i="12" s="1"/>
  <c r="BO417" i="12"/>
  <c r="BM417" i="12" s="1"/>
  <c r="BO411" i="12"/>
  <c r="BM411" i="12" s="1"/>
  <c r="BO416"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CG55" i="12"/>
  <c r="CE51" i="12"/>
  <c r="BF55" i="12"/>
  <c r="BD51" i="12"/>
  <c r="BD52" i="12" s="1"/>
  <c r="CA168" i="12"/>
  <c r="CA166" i="12"/>
  <c r="CA167" i="12"/>
  <c r="BY162" i="12"/>
  <c r="BC278" i="12"/>
  <c r="BA278" i="12" s="1"/>
  <c r="BC276" i="12"/>
  <c r="BC270" i="12"/>
  <c r="BA270" i="12" s="1"/>
  <c r="BC277" i="12"/>
  <c r="BA277" i="12" s="1"/>
  <c r="AQ55" i="12"/>
  <c r="AO51" i="12"/>
  <c r="CP327" i="12"/>
  <c r="CP328" i="12"/>
  <c r="CN323" i="12"/>
  <c r="CN324" i="12" s="1"/>
  <c r="F180" i="28" a="1"/>
  <c r="F180" i="28" s="1"/>
  <c r="F181" i="28" s="1" a="1"/>
  <c r="F181" i="28" s="1"/>
  <c r="F182" i="28" s="1" a="1"/>
  <c r="F182" i="28" s="1"/>
  <c r="AJ179" i="28"/>
  <c r="AF179" i="28"/>
  <c r="AK179" i="28"/>
  <c r="AI179" i="28"/>
  <c r="AG179" i="28"/>
  <c r="AH179" i="28" s="1"/>
  <c r="AE179" i="28"/>
  <c r="CJ328" i="12"/>
  <c r="CJ327" i="12"/>
  <c r="CH323" i="12"/>
  <c r="CH324" i="12" s="1"/>
  <c r="CS328" i="12"/>
  <c r="CS327" i="12"/>
  <c r="CQ323" i="12"/>
  <c r="F85" i="23" a="1"/>
  <c r="F85" i="23" s="1"/>
  <c r="F86" i="23" s="1" a="1"/>
  <c r="F86" i="23" s="1"/>
  <c r="F38" i="30" a="1"/>
  <c r="F38" i="30" s="1"/>
  <c r="T37" i="30"/>
  <c r="F62" i="30" a="1"/>
  <c r="F62" i="30" s="1"/>
  <c r="T61" i="30"/>
  <c r="CZ229" i="12" a="1"/>
  <c r="CZ229" i="12" s="1"/>
  <c r="AF234" i="12" a="1"/>
  <c r="AF234" i="12" s="1"/>
  <c r="AZ62" i="23"/>
  <c r="BK49" i="23"/>
  <c r="AW82" i="23"/>
  <c r="BH69" i="23"/>
  <c r="BK29" i="23"/>
  <c r="CD167" i="12"/>
  <c r="CD168" i="12"/>
  <c r="CD166" i="12"/>
  <c r="CB162" i="12"/>
  <c r="CB163" i="12" s="1"/>
  <c r="BF277" i="12"/>
  <c r="BD277" i="12" s="1"/>
  <c r="BF276" i="12"/>
  <c r="BF270" i="12"/>
  <c r="BD270" i="12" s="1"/>
  <c r="BF278" i="12"/>
  <c r="BD278" i="12" s="1"/>
  <c r="AW123" i="12"/>
  <c r="AW119" i="12"/>
  <c r="AU119" i="12" s="1"/>
  <c r="CS55" i="12"/>
  <c r="CQ51" i="12"/>
  <c r="BC123" i="12"/>
  <c r="BC119" i="12"/>
  <c r="BA119" i="12" s="1"/>
  <c r="CD416" i="12"/>
  <c r="CD417" i="12"/>
  <c r="CB417" i="12" s="1"/>
  <c r="CD411" i="12"/>
  <c r="CB411" i="12" s="1"/>
  <c r="BB39" i="23"/>
  <c r="BM39" i="23" s="1"/>
  <c r="AZ39" i="23"/>
  <c r="BK39" i="23" s="1"/>
  <c r="AX39" i="23"/>
  <c r="BI39" i="23" s="1"/>
  <c r="AV39" i="23"/>
  <c r="BG39" i="23" s="1"/>
  <c r="AT39" i="23"/>
  <c r="BE39" i="23" s="1"/>
  <c r="AR39" i="23"/>
  <c r="AP39" i="23"/>
  <c r="AN39" i="23"/>
  <c r="AN42" i="23" s="1"/>
  <c r="AL39" i="23"/>
  <c r="AL42" i="23" s="1"/>
  <c r="AJ39" i="23"/>
  <c r="AF39" i="23"/>
  <c r="F40" i="23" a="1"/>
  <c r="F40" i="23" s="1"/>
  <c r="F41" i="23" s="1" a="1"/>
  <c r="F41" i="23" s="1"/>
  <c r="F42" i="23" s="1" a="1"/>
  <c r="F42" i="23" s="1"/>
  <c r="F43" i="23" s="1" a="1"/>
  <c r="F43" i="23" s="1"/>
  <c r="BC39" i="23"/>
  <c r="BC42" i="23" s="1"/>
  <c r="BA39" i="23"/>
  <c r="BL39" i="23" s="1"/>
  <c r="AY39" i="23"/>
  <c r="AW39" i="23"/>
  <c r="BH39" i="23" s="1"/>
  <c r="AU39" i="23"/>
  <c r="BF39" i="23" s="1"/>
  <c r="AS39" i="23"/>
  <c r="AS42" i="23" s="1"/>
  <c r="AQ39" i="23"/>
  <c r="AQ42" i="23" s="1"/>
  <c r="AO39" i="23"/>
  <c r="AM39" i="23"/>
  <c r="AK39" i="23"/>
  <c r="AI39" i="23"/>
  <c r="BD39" i="23" s="1"/>
  <c r="AG39" i="23"/>
  <c r="AE39" i="23"/>
  <c r="AE42" i="23" s="1"/>
  <c r="M105" i="28" a="1"/>
  <c r="M105" i="28" s="1"/>
  <c r="AS104" i="28" a="1"/>
  <c r="AS104" i="28" s="1"/>
  <c r="F86" i="30" a="1"/>
  <c r="F86" i="30" s="1"/>
  <c r="T85" i="30"/>
  <c r="T149" i="27"/>
  <c r="F150" i="27" a="1"/>
  <c r="F150" i="27" s="1"/>
  <c r="BR55" i="12"/>
  <c r="BP51" i="12"/>
  <c r="BP52" i="12" s="1"/>
  <c r="BU168" i="12"/>
  <c r="BU166" i="12"/>
  <c r="BU167" i="12"/>
  <c r="BS162" i="12"/>
  <c r="BF327" i="12"/>
  <c r="BF328" i="12"/>
  <c r="BD323" i="12"/>
  <c r="BD324" i="12" s="1"/>
  <c r="AQ328" i="12"/>
  <c r="AQ327" i="12"/>
  <c r="AO323" i="12"/>
  <c r="BL55" i="12"/>
  <c r="BJ51" i="12"/>
  <c r="BJ52" i="12" s="1"/>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AZ55" i="12"/>
  <c r="AX51" i="12"/>
  <c r="AX52" i="12" s="1"/>
  <c r="F66" i="8" a="1"/>
  <c r="F66" i="8" s="1"/>
  <c r="U65" i="8"/>
  <c r="F94" i="8" a="1"/>
  <c r="F94" i="8" s="1"/>
  <c r="U93" i="8"/>
  <c r="CP167" i="12"/>
  <c r="CP168" i="12"/>
  <c r="CP166" i="12"/>
  <c r="CN162" i="12"/>
  <c r="CN163" i="12" s="1"/>
  <c r="BR277" i="12"/>
  <c r="BP277" i="12" s="1"/>
  <c r="BR276" i="12"/>
  <c r="BR270" i="12"/>
  <c r="BP270" i="12" s="1"/>
  <c r="BR278" i="12"/>
  <c r="BP278" i="12" s="1"/>
  <c r="AT167" i="12"/>
  <c r="AT168" i="12"/>
  <c r="AT166" i="12"/>
  <c r="AR162" i="12"/>
  <c r="AR163" i="12" s="1"/>
  <c r="AT123" i="12"/>
  <c r="AT119" i="12"/>
  <c r="AR119" i="12" s="1"/>
  <c r="CP55" i="12"/>
  <c r="CN51" i="12"/>
  <c r="CN52" i="12" s="1"/>
  <c r="CG168" i="12"/>
  <c r="CG166" i="12"/>
  <c r="CG167" i="12"/>
  <c r="CE162" i="12"/>
  <c r="BI278" i="12"/>
  <c r="BG278" i="12" s="1"/>
  <c r="BI276" i="12"/>
  <c r="BI270" i="12"/>
  <c r="BG270" i="12" s="1"/>
  <c r="BI277" i="12"/>
  <c r="BG277" i="12" s="1"/>
  <c r="L205" i="12" a="1"/>
  <c r="L205" i="12" s="1"/>
  <c r="L206" i="12" s="1" a="1"/>
  <c r="L206" i="12" s="1"/>
  <c r="L207" i="12" s="1" a="1"/>
  <c r="L207" i="12" s="1"/>
  <c r="L208" i="12" s="1" a="1"/>
  <c r="L208" i="12" s="1"/>
  <c r="L209" i="12" s="1" a="1"/>
  <c r="L209" i="12" s="1"/>
  <c r="L210" i="12" s="1" a="1"/>
  <c r="L210" i="12" s="1"/>
  <c r="L211" i="12" s="1" a="1"/>
  <c r="L211" i="12" s="1"/>
  <c r="L212" i="12" s="1" a="1"/>
  <c r="L212" i="12" s="1"/>
  <c r="L213" i="12" s="1" a="1"/>
  <c r="L213" i="12" s="1"/>
  <c r="L214" i="12" s="1"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T204" i="12"/>
  <c r="F132" i="13" a="1"/>
  <c r="F132" i="13" s="1"/>
  <c r="A131" i="13"/>
  <c r="F113" i="28" a="1"/>
  <c r="F113" i="28" s="1"/>
  <c r="F114" i="28" s="1" a="1"/>
  <c r="F114" i="28" s="1"/>
  <c r="F115" i="28" s="1" a="1"/>
  <c r="F115" i="28" s="1"/>
  <c r="AJ112" i="28"/>
  <c r="AF112" i="28"/>
  <c r="AK112" i="28"/>
  <c r="AI112" i="28"/>
  <c r="AG112" i="28"/>
  <c r="AE112" i="28"/>
  <c r="AL108" i="28"/>
  <c r="BX277" i="12"/>
  <c r="BV277" i="12" s="1"/>
  <c r="BX278" i="12"/>
  <c r="BV278" i="12" s="1"/>
  <c r="BX276" i="12"/>
  <c r="BX270" i="12"/>
  <c r="BV270" i="12" s="1"/>
  <c r="AZ167" i="12"/>
  <c r="AZ168" i="12"/>
  <c r="AZ166" i="12"/>
  <c r="AX162" i="12"/>
  <c r="AX163" i="12" s="1"/>
  <c r="BX416" i="12"/>
  <c r="BX417" i="12"/>
  <c r="BV417" i="12" s="1"/>
  <c r="BX411" i="12"/>
  <c r="BV411" i="12" s="1"/>
  <c r="AN55" i="12"/>
  <c r="AL51" i="12"/>
  <c r="AL52" i="12" s="1"/>
  <c r="BC328" i="12"/>
  <c r="BC327" i="12"/>
  <c r="BA323" i="12"/>
  <c r="CM417" i="12"/>
  <c r="CK417" i="12" s="1"/>
  <c r="CM411" i="12"/>
  <c r="CK411" i="12" s="1"/>
  <c r="CM416" i="12"/>
  <c r="CG328" i="12"/>
  <c r="CG327" i="12"/>
  <c r="CE323" i="12"/>
  <c r="AH175" i="28"/>
  <c r="F102" i="21" a="1"/>
  <c r="F102" i="21" s="1"/>
  <c r="T101" i="21"/>
  <c r="CA328" i="12"/>
  <c r="CA327" i="12"/>
  <c r="BY323" i="12"/>
  <c r="AT327" i="12"/>
  <c r="AT328" i="12"/>
  <c r="AR323" i="12"/>
  <c r="AR324" i="12" s="1"/>
  <c r="T91" i="31"/>
  <c r="F92" i="31" a="1"/>
  <c r="F92" i="31" s="1"/>
  <c r="N37" i="27" a="1"/>
  <c r="N37" i="27" s="1"/>
  <c r="BX36" i="27" a="1"/>
  <c r="BX36" i="27" s="1"/>
  <c r="F65" i="31" a="1"/>
  <c r="F65" i="31" s="1"/>
  <c r="T64" i="31"/>
  <c r="S166" i="12" a="1"/>
  <c r="S166" i="12" s="1"/>
  <c r="U165" i="12"/>
  <c r="X382" i="12"/>
  <c r="CY378" i="12" a="1"/>
  <c r="CY378" i="12" s="1"/>
  <c r="AE382" i="12" a="1"/>
  <c r="AE382" i="12" s="1"/>
  <c r="T75" i="21"/>
  <c r="F76" i="21" a="1"/>
  <c r="F76" i="21" s="1"/>
  <c r="T76" i="21" s="1"/>
  <c r="AV62" i="23"/>
  <c r="BG49" i="23"/>
  <c r="BB42" i="23"/>
  <c r="BM29" i="23"/>
  <c r="AY62" i="23"/>
  <c r="BJ49" i="23"/>
  <c r="AE66" i="23"/>
  <c r="AE48" i="23" s="1" a="1"/>
  <c r="AE48" i="23" s="1"/>
  <c r="AF42" i="23"/>
  <c r="AW42" i="23"/>
  <c r="BH29" i="23"/>
  <c r="AR42" i="23"/>
  <c r="AT82" i="23"/>
  <c r="BE69" i="23"/>
  <c r="BA62" i="23"/>
  <c r="BL49" i="23"/>
  <c r="AI82" i="23"/>
  <c r="BD69" i="23"/>
  <c r="AU82" i="23"/>
  <c r="BF69" i="23"/>
  <c r="AI42" i="23"/>
  <c r="BD29" i="23"/>
  <c r="AO42" i="23"/>
  <c r="AM42" i="23"/>
  <c r="BA82" i="23"/>
  <c r="BL69" i="23"/>
  <c r="CS168" i="12"/>
  <c r="CS166" i="12"/>
  <c r="CS167" i="12"/>
  <c r="CQ162" i="12"/>
  <c r="AT62" i="23"/>
  <c r="BD62" i="23" s="1"/>
  <c r="BE49" i="23"/>
  <c r="AE230" i="12" a="1"/>
  <c r="AE230" i="12" s="1"/>
  <c r="X230" i="12"/>
  <c r="CY225" i="12" a="1"/>
  <c r="CY225" i="12" s="1"/>
  <c r="F39" i="18" a="1"/>
  <c r="F39" i="18" s="1"/>
  <c r="N93" i="27" a="1"/>
  <c r="N93" i="27" s="1"/>
  <c r="BX92" i="27" a="1"/>
  <c r="BX92" i="27" s="1"/>
  <c r="M38" i="28" a="1"/>
  <c r="M38" i="28" s="1"/>
  <c r="AS37" i="28" a="1"/>
  <c r="AS37" i="28" s="1"/>
  <c r="AB126" i="15" a="1"/>
  <c r="AB126" i="15" s="1"/>
  <c r="V126" i="15" a="1"/>
  <c r="V126" i="15" s="1"/>
  <c r="CJ163" i="12"/>
  <c r="BL167" i="12"/>
  <c r="BL168" i="12"/>
  <c r="BL166" i="12"/>
  <c r="BJ162" i="12"/>
  <c r="BJ163" i="12" s="1"/>
  <c r="AN163" i="12"/>
  <c r="BG52" i="12"/>
  <c r="BI52" i="12"/>
  <c r="CA55" i="12"/>
  <c r="BY51" i="12"/>
  <c r="BY52" i="12" s="1"/>
  <c r="CD55" i="12"/>
  <c r="CB51" i="12"/>
  <c r="CB52" i="12" s="1"/>
  <c r="CM168" i="12"/>
  <c r="CM166" i="12"/>
  <c r="CM167" i="12"/>
  <c r="CK162" i="12"/>
  <c r="CK163" i="12" s="1"/>
  <c r="BM163" i="12"/>
  <c r="BO163" i="12"/>
  <c r="AQ168" i="12"/>
  <c r="AQ166" i="12"/>
  <c r="AQ167" i="12"/>
  <c r="AO162" i="12"/>
  <c r="AO163" i="12" s="1"/>
  <c r="CK52" i="12"/>
  <c r="CM52" i="12"/>
  <c r="BL324" i="12"/>
  <c r="BG324" i="12"/>
  <c r="BI324" i="12"/>
  <c r="BR324" i="12"/>
  <c r="BS324" i="12"/>
  <c r="BU324" i="12"/>
  <c r="AZ324" i="12"/>
  <c r="AU324" i="12"/>
  <c r="AW324" i="12"/>
  <c r="BX52" i="12"/>
  <c r="CJ52" i="12"/>
  <c r="T372" i="12" a="1"/>
  <c r="T372" i="12" s="1"/>
  <c r="L373" i="12" a="1"/>
  <c r="L373" i="12" s="1"/>
  <c r="F101" i="18" a="1"/>
  <c r="F101" i="18" s="1"/>
  <c r="T100" i="18"/>
  <c r="T93" i="27"/>
  <c r="F94" i="27" a="1"/>
  <c r="F94" i="27" s="1"/>
  <c r="BS52" i="12"/>
  <c r="BU52" i="12"/>
  <c r="BO55" i="12"/>
  <c r="BM51" i="12"/>
  <c r="BM52" i="12" s="1"/>
  <c r="AN328" i="12"/>
  <c r="AN327" i="12"/>
  <c r="AL323" i="12"/>
  <c r="AL324" i="12" s="1"/>
  <c r="BO328" i="12"/>
  <c r="BO327" i="12"/>
  <c r="BM323" i="12"/>
  <c r="BM324" i="12" s="1"/>
  <c r="T37" i="31"/>
  <c r="F38" i="31" a="1"/>
  <c r="F38" i="31" s="1"/>
  <c r="AF235" i="12" a="1"/>
  <c r="AF235" i="12" s="1"/>
  <c r="CZ230" i="12" a="1"/>
  <c r="CZ230" i="12" s="1"/>
  <c r="AP42" i="23"/>
  <c r="CE52" i="12"/>
  <c r="CG52" i="12"/>
  <c r="BF52" i="12"/>
  <c r="BY163" i="12"/>
  <c r="CA163" i="12"/>
  <c r="BC168" i="12"/>
  <c r="BC166" i="12"/>
  <c r="BC167" i="12"/>
  <c r="BA162" i="12"/>
  <c r="BA163" i="12" s="1"/>
  <c r="AO52" i="12"/>
  <c r="AQ52" i="12"/>
  <c r="CP324" i="12"/>
  <c r="AH178" i="28"/>
  <c r="CJ324" i="12"/>
  <c r="CQ324" i="12"/>
  <c r="CS324" i="12"/>
  <c r="AG62" i="23"/>
  <c r="AH49" i="23"/>
  <c r="AY82" i="23"/>
  <c r="BJ69" i="23"/>
  <c r="BB62" i="23"/>
  <c r="BM49" i="23"/>
  <c r="AU62" i="23"/>
  <c r="BF49" i="23"/>
  <c r="AX42" i="23"/>
  <c r="BI29" i="23"/>
  <c r="AV42" i="23"/>
  <c r="BG29" i="23"/>
  <c r="F46" i="28" a="1"/>
  <c r="F46" i="28" s="1"/>
  <c r="F47" i="28" s="1" a="1"/>
  <c r="F47" i="28" s="1"/>
  <c r="F48" i="28" s="1" a="1"/>
  <c r="F48" i="28" s="1"/>
  <c r="AJ45" i="28"/>
  <c r="AF45" i="28"/>
  <c r="AK45" i="28"/>
  <c r="AG45" i="28"/>
  <c r="AH45" i="28" s="1"/>
  <c r="AI45" i="28"/>
  <c r="AL45" i="28" s="1"/>
  <c r="AE45" i="28"/>
  <c r="AH41" i="28"/>
  <c r="CD163" i="12"/>
  <c r="BF167" i="12"/>
  <c r="BF168" i="12"/>
  <c r="BF166" i="12"/>
  <c r="BD162" i="12"/>
  <c r="BD163" i="12" s="1"/>
  <c r="AW55" i="12"/>
  <c r="AU51" i="12"/>
  <c r="AU52" i="12" s="1"/>
  <c r="CQ52" i="12"/>
  <c r="CS52" i="12"/>
  <c r="BC55" i="12"/>
  <c r="BA51" i="12"/>
  <c r="BA52" i="12" s="1"/>
  <c r="CD327" i="12"/>
  <c r="CD328" i="12"/>
  <c r="CB323" i="12"/>
  <c r="CB324" i="12" s="1"/>
  <c r="AI66" i="23"/>
  <c r="BA42" i="23"/>
  <c r="BR52" i="12"/>
  <c r="BS163" i="12"/>
  <c r="BU163" i="12"/>
  <c r="F65" i="23" a="1"/>
  <c r="F65" i="23" s="1"/>
  <c r="F66" i="23" s="1" a="1"/>
  <c r="F66" i="23" s="1"/>
  <c r="F45" i="13" a="1"/>
  <c r="F45" i="13" s="1"/>
  <c r="A44" i="13"/>
  <c r="BF324" i="12"/>
  <c r="AO324" i="12"/>
  <c r="AQ324" i="12"/>
  <c r="BL52" i="12"/>
  <c r="AZ52" i="12"/>
  <c r="CZ382" i="12" a="1"/>
  <c r="CZ382" i="12" s="1"/>
  <c r="AF387" i="12" a="1"/>
  <c r="AF387" i="12" s="1"/>
  <c r="F97" i="33" a="1"/>
  <c r="F97" i="33" s="1"/>
  <c r="T38" i="12" a="1"/>
  <c r="T38" i="12" s="1"/>
  <c r="U37" i="12"/>
  <c r="S323" i="12" a="1"/>
  <c r="S323" i="12" s="1"/>
  <c r="U322" i="12"/>
  <c r="M38" i="31" a="1"/>
  <c r="M38" i="31" s="1"/>
  <c r="M39" i="31" s="1" a="1"/>
  <c r="M39" i="31" s="1"/>
  <c r="BI37" i="31" a="1"/>
  <c r="BI37" i="31" s="1"/>
  <c r="M65" i="31" a="1"/>
  <c r="M65" i="31" s="1"/>
  <c r="M66" i="31" s="1" a="1"/>
  <c r="M66" i="31" s="1"/>
  <c r="BI64" i="31" a="1"/>
  <c r="BI64" i="31" s="1"/>
  <c r="S55" i="12" a="1"/>
  <c r="S55" i="12" s="1"/>
  <c r="U54" i="12"/>
  <c r="AB225" i="15" a="1"/>
  <c r="AB225" i="15" s="1"/>
  <c r="V225" i="15" a="1"/>
  <c r="V225" i="15" s="1"/>
  <c r="CP163" i="12"/>
  <c r="BR167" i="12"/>
  <c r="BR168" i="12"/>
  <c r="BR166" i="12"/>
  <c r="BP162" i="12"/>
  <c r="BP163" i="12" s="1"/>
  <c r="AT163" i="12"/>
  <c r="AT55" i="12"/>
  <c r="AR51" i="12"/>
  <c r="AR52" i="12" s="1"/>
  <c r="CP52" i="12"/>
  <c r="CE163" i="12"/>
  <c r="CG163" i="12"/>
  <c r="BI168" i="12"/>
  <c r="BI166" i="12"/>
  <c r="BI167" i="12"/>
  <c r="BG162" i="12"/>
  <c r="BG163" i="12" s="1"/>
  <c r="F40" i="8" a="1"/>
  <c r="F40" i="8" s="1"/>
  <c r="U39" i="8"/>
  <c r="AH111" i="28"/>
  <c r="U42" i="6"/>
  <c r="F43" i="6" a="1"/>
  <c r="F43" i="6" s="1"/>
  <c r="N149" i="27" a="1"/>
  <c r="N149" i="27" s="1"/>
  <c r="BX148" i="27" a="1"/>
  <c r="BX148" i="27" s="1"/>
  <c r="F38" i="27" a="1"/>
  <c r="F38" i="27" s="1"/>
  <c r="T37" i="27"/>
  <c r="M172" i="28" a="1"/>
  <c r="M172" i="28" s="1"/>
  <c r="AS171" i="28" a="1"/>
  <c r="AS171" i="28" s="1"/>
  <c r="M92" i="31" a="1"/>
  <c r="M92" i="31" s="1"/>
  <c r="M93" i="31" s="1" a="1"/>
  <c r="M93" i="31" s="1"/>
  <c r="BI91" i="31" a="1"/>
  <c r="BI91" i="31" s="1"/>
  <c r="T149" i="12" a="1"/>
  <c r="T149" i="12" s="1"/>
  <c r="U148" i="12"/>
  <c r="T310" i="12" a="1"/>
  <c r="T310" i="12" s="1"/>
  <c r="U309" i="12"/>
  <c r="A88" i="13"/>
  <c r="F89" i="13" a="1"/>
  <c r="F89" i="13" s="1"/>
  <c r="AK41" i="21"/>
  <c r="AI41" i="21"/>
  <c r="AL41" i="21" s="1"/>
  <c r="AG41" i="21"/>
  <c r="AE41" i="21"/>
  <c r="F42" i="21" a="1"/>
  <c r="F42" i="21" s="1"/>
  <c r="AJ41" i="21"/>
  <c r="AF41" i="21"/>
  <c r="BX167" i="12"/>
  <c r="BX168" i="12"/>
  <c r="BX166" i="12"/>
  <c r="BV162" i="12"/>
  <c r="BV163" i="12" s="1"/>
  <c r="AZ163" i="12"/>
  <c r="BX328" i="12"/>
  <c r="BX327" i="12"/>
  <c r="BV323" i="12"/>
  <c r="BV324" i="12" s="1"/>
  <c r="AN52" i="12"/>
  <c r="BA324" i="12"/>
  <c r="BC324" i="12"/>
  <c r="CM328" i="12"/>
  <c r="CM327" i="12"/>
  <c r="CK323" i="12"/>
  <c r="CK324" i="12" s="1"/>
  <c r="CE324" i="12"/>
  <c r="CG324" i="12"/>
  <c r="F141" i="33" a="1"/>
  <c r="F141" i="33" s="1"/>
  <c r="F142" i="33" s="1" a="1"/>
  <c r="F142" i="33" s="1"/>
  <c r="T140" i="33"/>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BY324" i="12"/>
  <c r="CA324" i="12"/>
  <c r="AT324" i="12"/>
  <c r="AE229" i="12" a="1"/>
  <c r="AE229" i="12" s="1"/>
  <c r="X229" i="12"/>
  <c r="CY224" i="12" a="1"/>
  <c r="CY224" i="12" s="1"/>
  <c r="BB82" i="23"/>
  <c r="BM69" i="23"/>
  <c r="AT42" i="23"/>
  <c r="BE29" i="23"/>
  <c r="AG82" i="23"/>
  <c r="AH69" i="23"/>
  <c r="AJ42" i="23"/>
  <c r="AZ82" i="23"/>
  <c r="BK69" i="23"/>
  <c r="AW62" i="23"/>
  <c r="BH49" i="23"/>
  <c r="AX82" i="23"/>
  <c r="BI69" i="23"/>
  <c r="AU42" i="23"/>
  <c r="BF29" i="23"/>
  <c r="AV82" i="23"/>
  <c r="BG69" i="23"/>
  <c r="AX62" i="23"/>
  <c r="BI49" i="23"/>
  <c r="AK42" i="23"/>
  <c r="CQ163" i="12"/>
  <c r="CS163" i="12"/>
  <c r="AW168" i="12"/>
  <c r="AW166" i="12"/>
  <c r="AW167" i="12"/>
  <c r="AU162" i="12"/>
  <c r="AU163" i="12" s="1"/>
  <c r="AH112" i="28" l="1"/>
  <c r="AW181" i="12"/>
  <c r="AW164" i="12"/>
  <c r="AW165" i="12" s="1"/>
  <c r="AU165" i="12" s="1"/>
  <c r="AU166" i="12"/>
  <c r="CS278" i="12"/>
  <c r="CQ278" i="12" s="1"/>
  <c r="CS276" i="12"/>
  <c r="CS270" i="12"/>
  <c r="CQ270" i="12" s="1"/>
  <c r="CS277" i="12"/>
  <c r="CQ277" i="12" s="1"/>
  <c r="BG82" i="23"/>
  <c r="BF42" i="23"/>
  <c r="BI82" i="23"/>
  <c r="BM82" i="23"/>
  <c r="CY229" i="12" a="1"/>
  <c r="CY229" i="12" s="1"/>
  <c r="AE234" i="12" a="1"/>
  <c r="AE234" i="12" s="1"/>
  <c r="X234" i="12"/>
  <c r="CA417" i="12"/>
  <c r="BY417" i="12" s="1"/>
  <c r="CA411" i="12"/>
  <c r="BY411" i="12" s="1"/>
  <c r="CA416" i="12"/>
  <c r="M94" i="31" a="1"/>
  <c r="M94" i="31" s="1"/>
  <c r="BI93" i="31" a="1"/>
  <c r="BI93" i="31" s="1"/>
  <c r="F39" i="27" a="1"/>
  <c r="F39" i="27" s="1"/>
  <c r="T38" i="27"/>
  <c r="N150" i="27" a="1"/>
  <c r="N150" i="27" s="1"/>
  <c r="BX149" i="27" a="1"/>
  <c r="BX149" i="27" s="1"/>
  <c r="BI182" i="12"/>
  <c r="BG167" i="12"/>
  <c r="BI183" i="12"/>
  <c r="BG168" i="12"/>
  <c r="BR183" i="12"/>
  <c r="BP168" i="12"/>
  <c r="F98" i="33" a="1"/>
  <c r="F98" i="33" s="1"/>
  <c r="AQ417" i="12"/>
  <c r="AO417" i="12" s="1"/>
  <c r="AQ411" i="12"/>
  <c r="AO411" i="12" s="1"/>
  <c r="AQ416" i="12"/>
  <c r="BF416" i="12"/>
  <c r="BF417" i="12"/>
  <c r="BD417" i="12" s="1"/>
  <c r="BF411" i="12"/>
  <c r="BD411" i="12" s="1"/>
  <c r="BL42" i="23"/>
  <c r="AI48" i="23" a="1"/>
  <c r="AI48" i="23" s="1"/>
  <c r="CD340" i="12"/>
  <c r="CB328" i="12"/>
  <c r="BC64" i="12"/>
  <c r="BC53" i="12"/>
  <c r="BC54" i="12" s="1"/>
  <c r="BA54" i="12" s="1"/>
  <c r="BA55" i="12"/>
  <c r="AW64" i="12"/>
  <c r="AW53" i="12"/>
  <c r="AW54" i="12" s="1"/>
  <c r="AU54" i="12" s="1"/>
  <c r="AU55" i="12"/>
  <c r="BF181" i="12"/>
  <c r="BF164" i="12"/>
  <c r="BF165" i="12" s="1"/>
  <c r="BD165" i="12" s="1"/>
  <c r="BD166" i="12"/>
  <c r="BF182" i="12"/>
  <c r="BD167" i="12"/>
  <c r="CD277" i="12"/>
  <c r="CB277" i="12" s="1"/>
  <c r="CD276" i="12"/>
  <c r="CD270" i="12"/>
  <c r="CB270" i="12" s="1"/>
  <c r="CD278" i="12"/>
  <c r="CB278" i="12" s="1"/>
  <c r="F49" i="28" a="1"/>
  <c r="F49" i="28" s="1"/>
  <c r="F50" i="28" s="1" a="1"/>
  <c r="F50" i="28" s="1"/>
  <c r="AJ48" i="28"/>
  <c r="AF48" i="28"/>
  <c r="AK48" i="28"/>
  <c r="AI48" i="28"/>
  <c r="AL48" i="28" s="1"/>
  <c r="AG48" i="28"/>
  <c r="AH48" i="28" s="1"/>
  <c r="AE48" i="28"/>
  <c r="BM62" i="23"/>
  <c r="CS417" i="12"/>
  <c r="CQ417" i="12" s="1"/>
  <c r="CS411" i="12"/>
  <c r="CQ411" i="12" s="1"/>
  <c r="CS416" i="12"/>
  <c r="CJ416" i="12"/>
  <c r="CJ417" i="12"/>
  <c r="CH417" i="12" s="1"/>
  <c r="CJ411" i="12"/>
  <c r="CH411" i="12" s="1"/>
  <c r="CP416" i="12"/>
  <c r="CP417" i="12"/>
  <c r="CN417" i="12" s="1"/>
  <c r="CP411" i="12"/>
  <c r="CN411" i="12" s="1"/>
  <c r="BC182" i="12"/>
  <c r="BA167" i="12"/>
  <c r="BC183" i="12"/>
  <c r="BA168" i="12"/>
  <c r="CG123" i="12"/>
  <c r="CG119" i="12"/>
  <c r="CE119" i="12" s="1"/>
  <c r="CZ235" i="12" a="1"/>
  <c r="CZ235" i="12" s="1"/>
  <c r="AF241" i="12" a="1"/>
  <c r="AF241" i="12" s="1"/>
  <c r="BO339" i="12"/>
  <c r="BO325" i="12"/>
  <c r="BO326" i="12" s="1"/>
  <c r="BM326" i="12" s="1"/>
  <c r="BM327" i="12"/>
  <c r="AN340" i="12"/>
  <c r="AL328" i="12"/>
  <c r="BU123" i="12"/>
  <c r="BU119" i="12"/>
  <c r="BS119" i="12" s="1"/>
  <c r="T94" i="27"/>
  <c r="F95" i="27" a="1"/>
  <c r="F95" i="27" s="1"/>
  <c r="T373" i="12"/>
  <c r="L374" i="12" a="1"/>
  <c r="L374" i="12" s="1"/>
  <c r="BX123" i="12"/>
  <c r="BX119" i="12"/>
  <c r="BV119" i="12" s="1"/>
  <c r="BU417" i="12"/>
  <c r="BS417" i="12" s="1"/>
  <c r="BU411" i="12"/>
  <c r="BS411" i="12" s="1"/>
  <c r="BU416" i="12"/>
  <c r="BR416" i="12"/>
  <c r="BR417" i="12"/>
  <c r="BP417" i="12" s="1"/>
  <c r="BR411" i="12"/>
  <c r="BP411" i="12" s="1"/>
  <c r="CM123" i="12"/>
  <c r="CM119" i="12"/>
  <c r="CK119" i="12" s="1"/>
  <c r="AQ181" i="12"/>
  <c r="AQ164" i="12"/>
  <c r="AQ165" i="12" s="1"/>
  <c r="AO165" i="12" s="1"/>
  <c r="AO166" i="12"/>
  <c r="BO278" i="12"/>
  <c r="BM278" i="12" s="1"/>
  <c r="BO276" i="12"/>
  <c r="BO270" i="12"/>
  <c r="BM270" i="12" s="1"/>
  <c r="BO277" i="12"/>
  <c r="BM277" i="12" s="1"/>
  <c r="CM181" i="12"/>
  <c r="CM164" i="12"/>
  <c r="CM165" i="12" s="1"/>
  <c r="CK165" i="12" s="1"/>
  <c r="CK166" i="12"/>
  <c r="CA64" i="12"/>
  <c r="CA53" i="12"/>
  <c r="CA54" i="12" s="1"/>
  <c r="BY54" i="12" s="1"/>
  <c r="BY55" i="12"/>
  <c r="BL183" i="12"/>
  <c r="BJ168" i="12"/>
  <c r="H39" i="18"/>
  <c r="F40" i="18" a="1"/>
  <c r="F40" i="18" s="1"/>
  <c r="T39" i="18"/>
  <c r="CS182" i="12"/>
  <c r="CQ167" i="12"/>
  <c r="CS183" i="12"/>
  <c r="CQ168" i="12"/>
  <c r="BL82" i="23"/>
  <c r="BF82" i="23"/>
  <c r="AI86" i="23"/>
  <c r="BD82" i="23"/>
  <c r="BL62" i="23"/>
  <c r="BE82" i="23"/>
  <c r="CY382" i="12" a="1"/>
  <c r="CY382" i="12" s="1"/>
  <c r="AG382" i="12"/>
  <c r="AE387" i="12" a="1"/>
  <c r="AE387" i="12" s="1"/>
  <c r="X387" i="12"/>
  <c r="S167" i="12" a="1"/>
  <c r="S167" i="12" s="1"/>
  <c r="U166" i="12"/>
  <c r="F66" i="31" a="1"/>
  <c r="F66" i="31" s="1"/>
  <c r="T65" i="31"/>
  <c r="N38" i="27" a="1"/>
  <c r="N38" i="27" s="1"/>
  <c r="BX37" i="27" a="1"/>
  <c r="BX37" i="27" s="1"/>
  <c r="AT340" i="12"/>
  <c r="AR328" i="12"/>
  <c r="CA339" i="12"/>
  <c r="CA325" i="12"/>
  <c r="CA326" i="12" s="1"/>
  <c r="BY326" i="12" s="1"/>
  <c r="BY327" i="12"/>
  <c r="CG339" i="12"/>
  <c r="CG325" i="12"/>
  <c r="CE327" i="12"/>
  <c r="CM415" i="12"/>
  <c r="CK416" i="12"/>
  <c r="CK415" i="12" s="1"/>
  <c r="BC340" i="12"/>
  <c r="BA328" i="12"/>
  <c r="AN64" i="12"/>
  <c r="AN53" i="12"/>
  <c r="AL55" i="12"/>
  <c r="AZ181" i="12"/>
  <c r="AZ164" i="12"/>
  <c r="AX166" i="12"/>
  <c r="AZ182" i="12"/>
  <c r="AX167" i="12"/>
  <c r="BI275" i="12"/>
  <c r="BG276" i="12"/>
  <c r="BG275" i="12" s="1"/>
  <c r="CG182" i="12"/>
  <c r="CE167" i="12"/>
  <c r="CG183" i="12"/>
  <c r="CE168" i="12"/>
  <c r="CP64" i="12"/>
  <c r="CP53" i="12"/>
  <c r="CN55" i="12"/>
  <c r="AT183" i="12"/>
  <c r="AR168" i="12"/>
  <c r="CP181" i="12"/>
  <c r="CP164" i="12"/>
  <c r="CN166" i="12"/>
  <c r="CP182" i="12"/>
  <c r="CN167" i="12"/>
  <c r="BL64" i="12"/>
  <c r="BL53" i="12"/>
  <c r="BJ55" i="12"/>
  <c r="AQ340" i="12"/>
  <c r="AO328" i="12"/>
  <c r="BF340" i="12"/>
  <c r="BD328" i="12"/>
  <c r="BU182" i="12"/>
  <c r="BS167" i="12"/>
  <c r="BU183" i="12"/>
  <c r="BS168" i="12"/>
  <c r="BR64" i="12"/>
  <c r="BR53" i="12"/>
  <c r="BP55" i="12"/>
  <c r="T150" i="27"/>
  <c r="F151" i="27" a="1"/>
  <c r="F151" i="27" s="1"/>
  <c r="BJ39" i="23"/>
  <c r="AY42" i="23"/>
  <c r="CD415" i="12"/>
  <c r="CB416" i="12"/>
  <c r="CB415" i="12" s="1"/>
  <c r="CS64" i="12"/>
  <c r="CS53" i="12"/>
  <c r="CQ55" i="12"/>
  <c r="AW122" i="12"/>
  <c r="AU123" i="12"/>
  <c r="AU122" i="12" s="1"/>
  <c r="BF275" i="12"/>
  <c r="BD276" i="12"/>
  <c r="BD275" i="12" s="1"/>
  <c r="CD183" i="12"/>
  <c r="CB168" i="12"/>
  <c r="AZ42" i="23"/>
  <c r="BH82" i="23"/>
  <c r="BK62" i="23"/>
  <c r="AF240" i="12" a="1"/>
  <c r="AF240" i="12" s="1"/>
  <c r="CZ234" i="12" a="1"/>
  <c r="CZ234" i="12" s="1"/>
  <c r="CS339" i="12"/>
  <c r="CS325" i="12"/>
  <c r="CS326" i="12" s="1"/>
  <c r="CQ326" i="12" s="1"/>
  <c r="CQ327" i="12"/>
  <c r="CJ340" i="12"/>
  <c r="CH328" i="12"/>
  <c r="AL179" i="28"/>
  <c r="F183" i="28" a="1"/>
  <c r="F183" i="28" s="1"/>
  <c r="F184" i="28" s="1" a="1"/>
  <c r="F184" i="28" s="1"/>
  <c r="AJ182" i="28"/>
  <c r="AF182" i="28"/>
  <c r="AK182" i="28"/>
  <c r="AI182" i="28"/>
  <c r="AG182" i="28"/>
  <c r="AH182" i="28" s="1"/>
  <c r="AE182" i="28"/>
  <c r="CP340" i="12"/>
  <c r="CN328" i="12"/>
  <c r="AQ64" i="12"/>
  <c r="AQ53" i="12"/>
  <c r="AO55" i="12"/>
  <c r="CA181" i="12"/>
  <c r="CA164" i="12"/>
  <c r="BY166" i="12"/>
  <c r="CG64" i="12"/>
  <c r="CG53" i="12"/>
  <c r="CG54" i="12" s="1"/>
  <c r="CE54" i="12" s="1"/>
  <c r="CE55" i="12"/>
  <c r="F51" i="33" a="1"/>
  <c r="F51" i="33" s="1"/>
  <c r="AN415" i="12"/>
  <c r="AL416" i="12"/>
  <c r="AL415" i="12" s="1"/>
  <c r="BU64" i="12"/>
  <c r="BU53" i="12"/>
  <c r="BU54" i="12" s="1"/>
  <c r="BS54" i="12" s="1"/>
  <c r="BS55" i="12"/>
  <c r="F70" i="18" a="1"/>
  <c r="F70" i="18" s="1"/>
  <c r="T69" i="18"/>
  <c r="BX64" i="12"/>
  <c r="BX53" i="12"/>
  <c r="BX54" i="12" s="1"/>
  <c r="BV54" i="12" s="1"/>
  <c r="BV55" i="12"/>
  <c r="AW340" i="12"/>
  <c r="AU328" i="12"/>
  <c r="AZ325" i="12"/>
  <c r="AZ339" i="12"/>
  <c r="AX327" i="12"/>
  <c r="BU339" i="12"/>
  <c r="BU325" i="12"/>
  <c r="BU326" i="12" s="1"/>
  <c r="BS326" i="12" s="1"/>
  <c r="BS327" i="12"/>
  <c r="BR325" i="12"/>
  <c r="BR326" i="12" s="1"/>
  <c r="BP326" i="12" s="1"/>
  <c r="BR339" i="12"/>
  <c r="BP327" i="12"/>
  <c r="BI340" i="12"/>
  <c r="BG328" i="12"/>
  <c r="BL325" i="12"/>
  <c r="BL339" i="12"/>
  <c r="BJ327" i="12"/>
  <c r="CM64" i="12"/>
  <c r="CM53" i="12"/>
  <c r="CM54" i="12" s="1"/>
  <c r="CK54" i="12" s="1"/>
  <c r="CK55" i="12"/>
  <c r="BO181" i="12"/>
  <c r="BO164" i="12"/>
  <c r="BO165" i="12" s="1"/>
  <c r="BM165" i="12" s="1"/>
  <c r="BM166" i="12"/>
  <c r="CM275" i="12"/>
  <c r="CK276" i="12"/>
  <c r="CK275" i="12" s="1"/>
  <c r="CD122" i="12"/>
  <c r="CB123" i="12"/>
  <c r="CB122" i="12" s="1"/>
  <c r="CA122" i="12"/>
  <c r="BY123" i="12"/>
  <c r="BY122" i="12" s="1"/>
  <c r="AN183" i="12"/>
  <c r="AL168" i="12"/>
  <c r="BL275" i="12"/>
  <c r="BJ276" i="12"/>
  <c r="BJ275" i="12" s="1"/>
  <c r="CJ181" i="12"/>
  <c r="CJ164" i="12"/>
  <c r="CH166" i="12"/>
  <c r="CJ182" i="12"/>
  <c r="CH167" i="12"/>
  <c r="AW275" i="12"/>
  <c r="AU276" i="12"/>
  <c r="AU275" i="12" s="1"/>
  <c r="CG417" i="12"/>
  <c r="CE417" i="12" s="1"/>
  <c r="CG411" i="12"/>
  <c r="CE411" i="12" s="1"/>
  <c r="CG326" i="12"/>
  <c r="CE326" i="12" s="1"/>
  <c r="CG416" i="12"/>
  <c r="CM340" i="12"/>
  <c r="CK328" i="12"/>
  <c r="BX340" i="12"/>
  <c r="BV328" i="12"/>
  <c r="AZ277" i="12"/>
  <c r="AX277" i="12" s="1"/>
  <c r="AZ278" i="12"/>
  <c r="AX278" i="12" s="1"/>
  <c r="AZ276" i="12"/>
  <c r="AZ270" i="12"/>
  <c r="AX270" i="12" s="1"/>
  <c r="AZ165" i="12"/>
  <c r="AX165" i="12" s="1"/>
  <c r="BX181" i="12"/>
  <c r="BX164" i="12"/>
  <c r="BX165" i="12" s="1"/>
  <c r="BV165" i="12" s="1"/>
  <c r="BV166" i="12"/>
  <c r="BX182" i="12"/>
  <c r="BV167" i="12"/>
  <c r="AK42" i="21"/>
  <c r="AI42" i="21"/>
  <c r="AL42" i="21" s="1"/>
  <c r="AG42" i="21"/>
  <c r="AE42" i="21"/>
  <c r="F43" i="21" a="1"/>
  <c r="F43" i="21" s="1"/>
  <c r="F44" i="21" s="1" a="1"/>
  <c r="F44" i="21" s="1"/>
  <c r="F45" i="21" s="1" a="1"/>
  <c r="F45" i="21" s="1"/>
  <c r="AJ42" i="21"/>
  <c r="AF42" i="21"/>
  <c r="AH41" i="21"/>
  <c r="T311" i="12" a="1"/>
  <c r="T311" i="12" s="1"/>
  <c r="U310" i="12"/>
  <c r="T150" i="12" a="1"/>
  <c r="T150" i="12" s="1"/>
  <c r="U149" i="12"/>
  <c r="M173" i="28" a="1"/>
  <c r="M173" i="28" s="1"/>
  <c r="AS172" i="28" a="1"/>
  <c r="AS172" i="28" s="1"/>
  <c r="AW182" i="12"/>
  <c r="AU167" i="12"/>
  <c r="AW183" i="12"/>
  <c r="AU168" i="12"/>
  <c r="BI62" i="23"/>
  <c r="BH62" i="23"/>
  <c r="BK82" i="23"/>
  <c r="AG86" i="23"/>
  <c r="AH82" i="23"/>
  <c r="BE42" i="23"/>
  <c r="AT416" i="12"/>
  <c r="AT417" i="12"/>
  <c r="AR417" i="12" s="1"/>
  <c r="AT411" i="12"/>
  <c r="AR411" i="12" s="1"/>
  <c r="F143" i="33" a="1"/>
  <c r="F143" i="33" s="1"/>
  <c r="CM339" i="12"/>
  <c r="CM325" i="12"/>
  <c r="CM326" i="12" s="1"/>
  <c r="CK326" i="12" s="1"/>
  <c r="CK327" i="12"/>
  <c r="BC417" i="12"/>
  <c r="BA417" i="12" s="1"/>
  <c r="BC411" i="12"/>
  <c r="BA411" i="12" s="1"/>
  <c r="BC416" i="12"/>
  <c r="AN123" i="12"/>
  <c r="AN119" i="12"/>
  <c r="AL119" i="12" s="1"/>
  <c r="AN54" i="12"/>
  <c r="AL54" i="12" s="1"/>
  <c r="BX325" i="12"/>
  <c r="BX326" i="12" s="1"/>
  <c r="BV326" i="12" s="1"/>
  <c r="BX339" i="12"/>
  <c r="BV327" i="12"/>
  <c r="BX183" i="12"/>
  <c r="BV168" i="12"/>
  <c r="F90" i="13" a="1"/>
  <c r="F90" i="13" s="1"/>
  <c r="T89" i="13"/>
  <c r="U43" i="6"/>
  <c r="F44" i="6" a="1"/>
  <c r="F44" i="6" s="1"/>
  <c r="U40" i="8"/>
  <c r="F41" i="8" a="1"/>
  <c r="F41" i="8" s="1"/>
  <c r="BI181" i="12"/>
  <c r="BI164" i="12"/>
  <c r="BI165" i="12" s="1"/>
  <c r="BG165" i="12" s="1"/>
  <c r="BG166" i="12"/>
  <c r="CG278" i="12"/>
  <c r="CE278" i="12" s="1"/>
  <c r="CG276" i="12"/>
  <c r="CG270" i="12"/>
  <c r="CE270" i="12" s="1"/>
  <c r="CG277" i="12"/>
  <c r="CE277" i="12" s="1"/>
  <c r="CP123" i="12"/>
  <c r="CP119" i="12"/>
  <c r="CN119" i="12" s="1"/>
  <c r="CP54" i="12"/>
  <c r="CN54" i="12" s="1"/>
  <c r="AT64" i="12"/>
  <c r="AT53" i="12"/>
  <c r="AT54" i="12" s="1"/>
  <c r="AR54" i="12" s="1"/>
  <c r="AR55" i="12"/>
  <c r="AT277" i="12"/>
  <c r="AR277" i="12" s="1"/>
  <c r="AT276" i="12"/>
  <c r="AT270" i="12"/>
  <c r="AR270" i="12" s="1"/>
  <c r="AT278" i="12"/>
  <c r="AR278" i="12" s="1"/>
  <c r="BR181" i="12"/>
  <c r="BR164" i="12"/>
  <c r="BR165" i="12" s="1"/>
  <c r="BP165" i="12" s="1"/>
  <c r="BP166" i="12"/>
  <c r="BR182" i="12"/>
  <c r="BP167" i="12"/>
  <c r="CP277" i="12"/>
  <c r="CN277" i="12" s="1"/>
  <c r="CP276" i="12"/>
  <c r="CP270" i="12"/>
  <c r="CN270" i="12" s="1"/>
  <c r="CP278" i="12"/>
  <c r="CN278" i="12" s="1"/>
  <c r="CP165" i="12"/>
  <c r="CN165" i="12" s="1"/>
  <c r="AB51" i="16" a="1"/>
  <c r="AB51" i="16" s="1"/>
  <c r="V51" i="16" a="1"/>
  <c r="V51" i="16" s="1"/>
  <c r="S56" i="12" a="1"/>
  <c r="S56" i="12" s="1"/>
  <c r="U55" i="12"/>
  <c r="M67" i="31" a="1"/>
  <c r="M67" i="31" s="1"/>
  <c r="BI66" i="31" a="1"/>
  <c r="BI66" i="31" s="1"/>
  <c r="M40" i="31" a="1"/>
  <c r="M40" i="31" s="1"/>
  <c r="BI39" i="31" a="1"/>
  <c r="BI39" i="31" s="1"/>
  <c r="U323" i="12"/>
  <c r="S324" i="12" a="1"/>
  <c r="S324" i="12" s="1"/>
  <c r="T39" i="12" a="1"/>
  <c r="T39" i="12" s="1"/>
  <c r="U38" i="12"/>
  <c r="AF391" i="12" a="1"/>
  <c r="AF391" i="12" s="1"/>
  <c r="CZ387" i="12" a="1"/>
  <c r="CZ387" i="12" s="1"/>
  <c r="AZ123" i="12"/>
  <c r="AZ119" i="12"/>
  <c r="AX119" i="12" s="1"/>
  <c r="BL123" i="12"/>
  <c r="BL119" i="12"/>
  <c r="BJ119" i="12" s="1"/>
  <c r="BL54" i="12"/>
  <c r="BJ54" i="12" s="1"/>
  <c r="F46" i="13" a="1"/>
  <c r="F46" i="13" s="1"/>
  <c r="T45" i="13"/>
  <c r="BU278" i="12"/>
  <c r="BS278" i="12" s="1"/>
  <c r="BU276" i="12"/>
  <c r="BU270" i="12"/>
  <c r="BS270" i="12" s="1"/>
  <c r="BU277" i="12"/>
  <c r="BS277" i="12" s="1"/>
  <c r="BR123" i="12"/>
  <c r="BR119" i="12"/>
  <c r="BP119" i="12" s="1"/>
  <c r="BR54" i="12"/>
  <c r="BP54" i="12" s="1"/>
  <c r="CD325" i="12"/>
  <c r="CD326" i="12" s="1"/>
  <c r="CB326" i="12" s="1"/>
  <c r="CD339" i="12"/>
  <c r="CB327" i="12"/>
  <c r="CS54" i="12"/>
  <c r="CQ54" i="12" s="1"/>
  <c r="CS123" i="12"/>
  <c r="CS119" i="12"/>
  <c r="CQ119" i="12" s="1"/>
  <c r="BF183" i="12"/>
  <c r="BD168" i="12"/>
  <c r="BG42" i="23"/>
  <c r="BI42" i="23"/>
  <c r="BF62" i="23"/>
  <c r="BJ82" i="23"/>
  <c r="AG66" i="23"/>
  <c r="AH62" i="23"/>
  <c r="AQ54" i="12"/>
  <c r="AO54" i="12" s="1"/>
  <c r="AQ123" i="12"/>
  <c r="AQ119" i="12"/>
  <c r="AO119" i="12" s="1"/>
  <c r="BC181" i="12"/>
  <c r="BC164" i="12"/>
  <c r="BC165" i="12" s="1"/>
  <c r="BA165" i="12" s="1"/>
  <c r="BA166" i="12"/>
  <c r="CA278" i="12"/>
  <c r="BY278" i="12" s="1"/>
  <c r="CA276" i="12"/>
  <c r="CA270" i="12"/>
  <c r="BY270" i="12" s="1"/>
  <c r="CA165" i="12"/>
  <c r="BY165" i="12" s="1"/>
  <c r="CA277" i="12"/>
  <c r="BY277" i="12" s="1"/>
  <c r="BF123" i="12"/>
  <c r="BF119" i="12"/>
  <c r="BD119" i="12" s="1"/>
  <c r="T38" i="31"/>
  <c r="F39" i="31" a="1"/>
  <c r="F39" i="31" s="1"/>
  <c r="BO340" i="12"/>
  <c r="BM328" i="12"/>
  <c r="AN325" i="12"/>
  <c r="AN326" i="12" s="1"/>
  <c r="AL326" i="12" s="1"/>
  <c r="AN339" i="12"/>
  <c r="AL327" i="12"/>
  <c r="BO64" i="12"/>
  <c r="BO53" i="12"/>
  <c r="BO54" i="12" s="1"/>
  <c r="BM54" i="12" s="1"/>
  <c r="BM55" i="12"/>
  <c r="T101" i="18"/>
  <c r="T102" i="18" s="1" a="1"/>
  <c r="T102" i="18" s="1"/>
  <c r="T103" i="18" s="1" a="1"/>
  <c r="T103" i="18" s="1"/>
  <c r="F102" i="18" a="1"/>
  <c r="F102" i="18" s="1"/>
  <c r="F103" i="18" s="1" a="1"/>
  <c r="F103" i="18" s="1"/>
  <c r="F104" i="18" s="1" a="1"/>
  <c r="F104" i="18" s="1"/>
  <c r="CJ123" i="12"/>
  <c r="CJ119" i="12"/>
  <c r="CH119" i="12" s="1"/>
  <c r="AW417" i="12"/>
  <c r="AU417" i="12" s="1"/>
  <c r="AW411" i="12"/>
  <c r="AU411" i="12" s="1"/>
  <c r="AW416" i="12"/>
  <c r="AZ416" i="12"/>
  <c r="AZ417" i="12"/>
  <c r="AX417" i="12" s="1"/>
  <c r="AZ411" i="12"/>
  <c r="AX411" i="12" s="1"/>
  <c r="AZ326" i="12"/>
  <c r="AX326" i="12" s="1"/>
  <c r="BI417" i="12"/>
  <c r="BG417" i="12" s="1"/>
  <c r="BI411" i="12"/>
  <c r="BG411" i="12" s="1"/>
  <c r="BI416" i="12"/>
  <c r="BL416" i="12"/>
  <c r="BL417" i="12"/>
  <c r="BJ417" i="12" s="1"/>
  <c r="BL411" i="12"/>
  <c r="BJ411" i="12" s="1"/>
  <c r="BL326" i="12"/>
  <c r="BJ326" i="12" s="1"/>
  <c r="AQ182" i="12"/>
  <c r="AO167" i="12"/>
  <c r="AQ183" i="12"/>
  <c r="AO168" i="12"/>
  <c r="CM182" i="12"/>
  <c r="CK167" i="12"/>
  <c r="CM183" i="12"/>
  <c r="CK168" i="12"/>
  <c r="CD64" i="12"/>
  <c r="CD53" i="12"/>
  <c r="CD54" i="12" s="1"/>
  <c r="CB54" i="12" s="1"/>
  <c r="CB55" i="12"/>
  <c r="BI123" i="12"/>
  <c r="BI119" i="12"/>
  <c r="BG119" i="12" s="1"/>
  <c r="AN277" i="12"/>
  <c r="AL277" i="12" s="1"/>
  <c r="AN278" i="12"/>
  <c r="AL278" i="12" s="1"/>
  <c r="AN276" i="12"/>
  <c r="AN270" i="12"/>
  <c r="AL270" i="12" s="1"/>
  <c r="BL181" i="12"/>
  <c r="BL164" i="12"/>
  <c r="BL165" i="12" s="1"/>
  <c r="BJ165" i="12" s="1"/>
  <c r="BJ166" i="12"/>
  <c r="BL182" i="12"/>
  <c r="BJ167" i="12"/>
  <c r="CJ277" i="12"/>
  <c r="CH277" i="12" s="1"/>
  <c r="CJ278" i="12"/>
  <c r="CH278" i="12" s="1"/>
  <c r="CJ276" i="12"/>
  <c r="CJ270" i="12"/>
  <c r="CH270" i="12" s="1"/>
  <c r="CJ165" i="12"/>
  <c r="CH165" i="12" s="1"/>
  <c r="AB39" i="16" a="1"/>
  <c r="AB39" i="16" s="1"/>
  <c r="V39" i="16" a="1"/>
  <c r="V39" i="16" s="1"/>
  <c r="M39" i="28" a="1"/>
  <c r="M39" i="28" s="1"/>
  <c r="AS38" i="28" a="1"/>
  <c r="AS38" i="28" s="1"/>
  <c r="N94" i="27" a="1"/>
  <c r="N94" i="27" s="1"/>
  <c r="BX93" i="27" a="1"/>
  <c r="BX93" i="27" s="1"/>
  <c r="AE235" i="12" a="1"/>
  <c r="AE235" i="12" s="1"/>
  <c r="X235" i="12"/>
  <c r="CY230" i="12" a="1"/>
  <c r="CY230" i="12" s="1"/>
  <c r="BE62" i="23"/>
  <c r="CS181" i="12"/>
  <c r="CS164" i="12"/>
  <c r="CS165" i="12" s="1"/>
  <c r="CQ165" i="12" s="1"/>
  <c r="CQ166" i="12"/>
  <c r="BD42" i="23"/>
  <c r="BH42" i="23"/>
  <c r="BJ62" i="23"/>
  <c r="BM42" i="23"/>
  <c r="BG62" i="23"/>
  <c r="T92" i="31"/>
  <c r="F93" i="31" a="1"/>
  <c r="F93" i="31" s="1"/>
  <c r="AT325" i="12"/>
  <c r="AT326" i="12" s="1"/>
  <c r="AR326" i="12" s="1"/>
  <c r="AT339" i="12"/>
  <c r="AR327" i="12"/>
  <c r="CA340" i="12"/>
  <c r="BY328" i="12"/>
  <c r="T102" i="21"/>
  <c r="CG340" i="12"/>
  <c r="CE328" i="12"/>
  <c r="BC339" i="12"/>
  <c r="BC325" i="12"/>
  <c r="BC326" i="12" s="1"/>
  <c r="BA326" i="12" s="1"/>
  <c r="BA327" i="12"/>
  <c r="BX415" i="12"/>
  <c r="BV416" i="12"/>
  <c r="BV415" i="12" s="1"/>
  <c r="AZ183" i="12"/>
  <c r="AX168" i="12"/>
  <c r="BX275" i="12"/>
  <c r="BV276" i="12"/>
  <c r="BV275" i="12" s="1"/>
  <c r="AL112" i="28"/>
  <c r="F116" i="28" a="1"/>
  <c r="F116" i="28" s="1"/>
  <c r="F117" i="28" s="1" a="1"/>
  <c r="F117" i="28" s="1"/>
  <c r="AJ115" i="28"/>
  <c r="AF115" i="28"/>
  <c r="AK115" i="28"/>
  <c r="AI115" i="28"/>
  <c r="AG115" i="28"/>
  <c r="AH115" i="28" s="1"/>
  <c r="AE115" i="28"/>
  <c r="F133" i="13" a="1"/>
  <c r="F133" i="13" s="1"/>
  <c r="A132" i="13"/>
  <c r="T222" i="12" a="1"/>
  <c r="T222" i="12" s="1"/>
  <c r="L223" i="12" a="1"/>
  <c r="L223" i="12" s="1"/>
  <c r="CG181" i="12"/>
  <c r="CG164" i="12"/>
  <c r="CG165" i="12" s="1"/>
  <c r="CE165" i="12" s="1"/>
  <c r="CE166" i="12"/>
  <c r="AT122" i="12"/>
  <c r="AR123" i="12"/>
  <c r="AR122" i="12" s="1"/>
  <c r="AT181" i="12"/>
  <c r="AT164" i="12"/>
  <c r="AT165" i="12" s="1"/>
  <c r="AR165" i="12" s="1"/>
  <c r="AR166" i="12"/>
  <c r="AT182" i="12"/>
  <c r="AR167" i="12"/>
  <c r="BR275" i="12"/>
  <c r="BP276" i="12"/>
  <c r="BP275" i="12" s="1"/>
  <c r="CP183" i="12"/>
  <c r="CN168" i="12"/>
  <c r="F95" i="8" a="1"/>
  <c r="F95" i="8" s="1"/>
  <c r="U94" i="8"/>
  <c r="U66" i="8"/>
  <c r="F67" i="8" a="1"/>
  <c r="F67" i="8" s="1"/>
  <c r="AZ64" i="12"/>
  <c r="AZ53" i="12"/>
  <c r="AZ54" i="12" s="1"/>
  <c r="AX54" i="12" s="1"/>
  <c r="AX55" i="12"/>
  <c r="L103" i="12" a="1"/>
  <c r="L103" i="12" s="1"/>
  <c r="T102" i="12" a="1"/>
  <c r="T102" i="12" s="1"/>
  <c r="AQ339" i="12"/>
  <c r="AQ325" i="12"/>
  <c r="AQ326" i="12" s="1"/>
  <c r="AO326" i="12" s="1"/>
  <c r="AO327" i="12"/>
  <c r="BF325" i="12"/>
  <c r="BF326" i="12" s="1"/>
  <c r="BD326" i="12" s="1"/>
  <c r="BF339" i="12"/>
  <c r="BD327" i="12"/>
  <c r="BU181" i="12"/>
  <c r="BU164" i="12"/>
  <c r="BU165" i="12" s="1"/>
  <c r="BS165" i="12" s="1"/>
  <c r="BS166" i="12"/>
  <c r="F87" i="30" a="1"/>
  <c r="F87" i="30" s="1"/>
  <c r="T86" i="30"/>
  <c r="M106" i="28" a="1"/>
  <c r="M106" i="28" s="1"/>
  <c r="AS105" i="28" a="1"/>
  <c r="AS105" i="28" s="1"/>
  <c r="AH39" i="23"/>
  <c r="AG42" i="23"/>
  <c r="BB43" i="23"/>
  <c r="BM43" i="23" s="1"/>
  <c r="AZ43" i="23"/>
  <c r="BK43" i="23" s="1"/>
  <c r="AX43" i="23"/>
  <c r="BI43" i="23" s="1"/>
  <c r="AV43" i="23"/>
  <c r="BG43" i="23" s="1"/>
  <c r="AT43" i="23"/>
  <c r="BE43" i="23" s="1"/>
  <c r="AR43" i="23"/>
  <c r="AP43" i="23"/>
  <c r="AN43" i="23"/>
  <c r="AL43" i="23"/>
  <c r="AJ43" i="23"/>
  <c r="AF43" i="23"/>
  <c r="AF46" i="23" s="1"/>
  <c r="AF28" i="23" s="1" a="1"/>
  <c r="AF28" i="23" s="1"/>
  <c r="F44" i="23" a="1"/>
  <c r="F44" i="23" s="1"/>
  <c r="BC43" i="23"/>
  <c r="BA43" i="23"/>
  <c r="BL43" i="23" s="1"/>
  <c r="AY43" i="23"/>
  <c r="BJ43" i="23" s="1"/>
  <c r="AW43" i="23"/>
  <c r="BH43" i="23" s="1"/>
  <c r="AU43" i="23"/>
  <c r="BF43" i="23" s="1"/>
  <c r="AS43" i="23"/>
  <c r="AQ43" i="23"/>
  <c r="AO43" i="23"/>
  <c r="AM43" i="23"/>
  <c r="AK43" i="23"/>
  <c r="AI43" i="23"/>
  <c r="BD43" i="23" s="1"/>
  <c r="AG43" i="23"/>
  <c r="AE43" i="23"/>
  <c r="AE46" i="23" s="1"/>
  <c r="AE28" i="23" s="1" a="1"/>
  <c r="AE28" i="23" s="1"/>
  <c r="BC122" i="12"/>
  <c r="BA123" i="12"/>
  <c r="BA122" i="12" s="1"/>
  <c r="CD181" i="12"/>
  <c r="CD164" i="12"/>
  <c r="CD165" i="12" s="1"/>
  <c r="CB165" i="12" s="1"/>
  <c r="CB166" i="12"/>
  <c r="CD182" i="12"/>
  <c r="CB167" i="12"/>
  <c r="T62" i="30"/>
  <c r="F63" i="30" a="1"/>
  <c r="F63" i="30" s="1"/>
  <c r="T38" i="30"/>
  <c r="F39" i="30" a="1"/>
  <c r="F39" i="30" s="1"/>
  <c r="CS340" i="12"/>
  <c r="CQ328" i="12"/>
  <c r="CJ325" i="12"/>
  <c r="CJ326" i="12" s="1"/>
  <c r="CH326" i="12" s="1"/>
  <c r="CJ339" i="12"/>
  <c r="CH327" i="12"/>
  <c r="CP325" i="12"/>
  <c r="CP326" i="12" s="1"/>
  <c r="CN326" i="12" s="1"/>
  <c r="CP339" i="12"/>
  <c r="CN327" i="12"/>
  <c r="BC275" i="12"/>
  <c r="BA276" i="12"/>
  <c r="BA275" i="12" s="1"/>
  <c r="CA182" i="12"/>
  <c r="BY167" i="12"/>
  <c r="CA183" i="12"/>
  <c r="BY168" i="12"/>
  <c r="BF64" i="12"/>
  <c r="BF53" i="12"/>
  <c r="BF54" i="12" s="1"/>
  <c r="BD54" i="12" s="1"/>
  <c r="BD55" i="12"/>
  <c r="BO415" i="12"/>
  <c r="BM416" i="12"/>
  <c r="BM415" i="12" s="1"/>
  <c r="BO122" i="12"/>
  <c r="BM123" i="12"/>
  <c r="BM122" i="12" s="1"/>
  <c r="CJ64" i="12"/>
  <c r="CJ53" i="12"/>
  <c r="CJ54" i="12" s="1"/>
  <c r="CH54" i="12" s="1"/>
  <c r="CH55" i="12"/>
  <c r="AW339" i="12"/>
  <c r="AW325" i="12"/>
  <c r="AW326" i="12" s="1"/>
  <c r="AU326" i="12" s="1"/>
  <c r="AU327" i="12"/>
  <c r="AZ340" i="12"/>
  <c r="AX328" i="12"/>
  <c r="BU340" i="12"/>
  <c r="BS328" i="12"/>
  <c r="BR340" i="12"/>
  <c r="BP328" i="12"/>
  <c r="BI339" i="12"/>
  <c r="BI325" i="12"/>
  <c r="BI326" i="12" s="1"/>
  <c r="BG326" i="12" s="1"/>
  <c r="BG327" i="12"/>
  <c r="BL340" i="12"/>
  <c r="BJ328" i="12"/>
  <c r="AQ275" i="12"/>
  <c r="AO276" i="12"/>
  <c r="AO275" i="12" s="1"/>
  <c r="BO182" i="12"/>
  <c r="BM167" i="12"/>
  <c r="BO183" i="12"/>
  <c r="BM168" i="12"/>
  <c r="BI64" i="12"/>
  <c r="BI53" i="12"/>
  <c r="BI54" i="12" s="1"/>
  <c r="BG54" i="12" s="1"/>
  <c r="BG55" i="12"/>
  <c r="AN181" i="12"/>
  <c r="AN164" i="12"/>
  <c r="AN165" i="12" s="1"/>
  <c r="AL165" i="12" s="1"/>
  <c r="AL166" i="12"/>
  <c r="AN182" i="12"/>
  <c r="AL167" i="12"/>
  <c r="CJ183" i="12"/>
  <c r="CH168" i="12"/>
  <c r="AH43" i="23" l="1"/>
  <c r="AL164" i="12"/>
  <c r="AL171" i="12"/>
  <c r="BG331" i="12"/>
  <c r="BG325" i="12"/>
  <c r="BI403" i="12"/>
  <c r="BI386" i="12"/>
  <c r="BI369" i="12"/>
  <c r="BI352" i="12"/>
  <c r="BG339" i="12"/>
  <c r="BG335" i="12" s="1"/>
  <c r="AZ404" i="12"/>
  <c r="AZ387" i="12"/>
  <c r="AZ370" i="12"/>
  <c r="AZ353" i="12"/>
  <c r="AX340" i="12"/>
  <c r="CH53" i="12"/>
  <c r="CH58" i="12"/>
  <c r="CH57" i="12" s="1"/>
  <c r="BY172" i="12"/>
  <c r="CN325" i="12"/>
  <c r="CN331" i="12"/>
  <c r="T39" i="30"/>
  <c r="F40" i="30" a="1"/>
  <c r="F40" i="30" s="1"/>
  <c r="AG46" i="23"/>
  <c r="AH42" i="23"/>
  <c r="BS171" i="12"/>
  <c r="BS164" i="12"/>
  <c r="BU260" i="12"/>
  <c r="BU197" i="12"/>
  <c r="BU239" i="12"/>
  <c r="BU218" i="12"/>
  <c r="BS181" i="12"/>
  <c r="BS176" i="12" s="1"/>
  <c r="BF403" i="12"/>
  <c r="BF386" i="12"/>
  <c r="BF369" i="12"/>
  <c r="BF352" i="12"/>
  <c r="BD339" i="12"/>
  <c r="AO331" i="12"/>
  <c r="AO325" i="12"/>
  <c r="AQ403" i="12"/>
  <c r="AQ386" i="12"/>
  <c r="AQ369" i="12"/>
  <c r="AQ352" i="12"/>
  <c r="AO339" i="12"/>
  <c r="AO335"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F68" i="8" a="1"/>
  <c r="F68" i="8" s="1"/>
  <c r="U67" i="8"/>
  <c r="CN173" i="12"/>
  <c r="AR172" i="12"/>
  <c r="AR164" i="12"/>
  <c r="AR171" i="12"/>
  <c r="AT239" i="12"/>
  <c r="AT218" i="12"/>
  <c r="AT260" i="12"/>
  <c r="AT197" i="12"/>
  <c r="AR181" i="12"/>
  <c r="AR176" i="12" s="1"/>
  <c r="T223" i="12"/>
  <c r="L224" i="12" a="1"/>
  <c r="L224" i="12" s="1"/>
  <c r="AL115" i="28"/>
  <c r="F118" i="28" a="1"/>
  <c r="F118" i="28" s="1"/>
  <c r="AJ117" i="28"/>
  <c r="AF117" i="28"/>
  <c r="AK117" i="28"/>
  <c r="AI117" i="28"/>
  <c r="AG117" i="28"/>
  <c r="AE117" i="28"/>
  <c r="AX173" i="12"/>
  <c r="BA335" i="12"/>
  <c r="BA331" i="12"/>
  <c r="BA325" i="12"/>
  <c r="BC403" i="12"/>
  <c r="BC386" i="12"/>
  <c r="BC369" i="12"/>
  <c r="BC352" i="12"/>
  <c r="BA339" i="12"/>
  <c r="CG404" i="12"/>
  <c r="CG387" i="12"/>
  <c r="CG370" i="12"/>
  <c r="CG353" i="12"/>
  <c r="CE340" i="12"/>
  <c r="BY332" i="12"/>
  <c r="AR325" i="12"/>
  <c r="AR331" i="12"/>
  <c r="AE241" i="12" a="1"/>
  <c r="AE241" i="12" s="1"/>
  <c r="CY235" i="12" a="1"/>
  <c r="CY235" i="12" s="1"/>
  <c r="AG235" i="12"/>
  <c r="X241" i="12"/>
  <c r="N95" i="27" a="1"/>
  <c r="N95" i="27" s="1"/>
  <c r="BX94" i="27" a="1"/>
  <c r="BX94" i="27" s="1"/>
  <c r="M40" i="28" a="1"/>
  <c r="M40" i="28" s="1"/>
  <c r="AS39" i="28" a="1"/>
  <c r="AS39" i="28" s="1"/>
  <c r="AB46" i="17" a="1"/>
  <c r="AB46" i="17" s="1"/>
  <c r="V46" i="17" a="1"/>
  <c r="V46" i="17" s="1"/>
  <c r="CJ275" i="12"/>
  <c r="CH276" i="12"/>
  <c r="CH275" i="12" s="1"/>
  <c r="BL261" i="12"/>
  <c r="BL240" i="12"/>
  <c r="BL198" i="12"/>
  <c r="BL219" i="12"/>
  <c r="BJ182" i="12"/>
  <c r="CB53" i="12"/>
  <c r="CB58" i="12"/>
  <c r="CB57" i="12" s="1"/>
  <c r="CD113" i="12"/>
  <c r="CD87" i="12"/>
  <c r="CD100" i="12"/>
  <c r="CD74" i="12"/>
  <c r="CB64" i="12"/>
  <c r="CB61" i="12" s="1"/>
  <c r="CM262" i="12"/>
  <c r="CM241" i="12"/>
  <c r="CM199" i="12"/>
  <c r="CM220" i="12"/>
  <c r="CK183" i="12"/>
  <c r="CM240" i="12"/>
  <c r="CM261" i="12"/>
  <c r="CM219" i="12"/>
  <c r="CM198" i="12"/>
  <c r="CK182" i="12"/>
  <c r="AQ262" i="12"/>
  <c r="AQ241" i="12"/>
  <c r="AQ199" i="12"/>
  <c r="AQ220" i="12"/>
  <c r="AO183" i="12"/>
  <c r="AQ240" i="12"/>
  <c r="AQ261" i="12"/>
  <c r="AQ219" i="12"/>
  <c r="AQ198" i="12"/>
  <c r="AO182" i="12"/>
  <c r="BL415" i="12"/>
  <c r="BJ416" i="12"/>
  <c r="BJ415" i="12" s="1"/>
  <c r="BI415" i="12"/>
  <c r="BG416" i="12"/>
  <c r="BG415" i="12" s="1"/>
  <c r="AZ415" i="12"/>
  <c r="AX416" i="12"/>
  <c r="AX415" i="12" s="1"/>
  <c r="AW415" i="12"/>
  <c r="AU416" i="12"/>
  <c r="AU415" i="12" s="1"/>
  <c r="CJ122" i="12"/>
  <c r="CH123" i="12"/>
  <c r="CH122" i="12" s="1"/>
  <c r="T104" i="18"/>
  <c r="T105" i="18" s="1" a="1"/>
  <c r="T105" i="18" s="1"/>
  <c r="T106" i="18" s="1" a="1"/>
  <c r="T106" i="18" s="1"/>
  <c r="F105" i="18" a="1"/>
  <c r="F105" i="18" s="1"/>
  <c r="F106" i="18" s="1" a="1"/>
  <c r="F106" i="18" s="1"/>
  <c r="F107" i="18" s="1" a="1"/>
  <c r="F107" i="18" s="1"/>
  <c r="BM58" i="12"/>
  <c r="BM57" i="12" s="1"/>
  <c r="BM53" i="12"/>
  <c r="BO100" i="12"/>
  <c r="BO74" i="12"/>
  <c r="BO113" i="12"/>
  <c r="BO87" i="12"/>
  <c r="BM64" i="12"/>
  <c r="BM61" i="12" s="1"/>
  <c r="AN403" i="12"/>
  <c r="AN386" i="12"/>
  <c r="AN369" i="12"/>
  <c r="AN352" i="12"/>
  <c r="AL339" i="12"/>
  <c r="BM332" i="12"/>
  <c r="F40" i="31" a="1"/>
  <c r="F40" i="31" s="1"/>
  <c r="T39" i="31"/>
  <c r="CA275" i="12"/>
  <c r="BY276" i="12"/>
  <c r="BY275" i="12" s="1"/>
  <c r="BA171" i="12"/>
  <c r="BA164" i="12"/>
  <c r="BC260" i="12"/>
  <c r="BC239" i="12"/>
  <c r="BC197" i="12"/>
  <c r="BC218" i="12"/>
  <c r="BA181" i="12"/>
  <c r="BA176" i="12" s="1"/>
  <c r="AQ122" i="12"/>
  <c r="AO123" i="12"/>
  <c r="AO122" i="12" s="1"/>
  <c r="AG48" i="23" a="1"/>
  <c r="AG48" i="23" s="1"/>
  <c r="AH66" i="23"/>
  <c r="AH48" i="23" s="1" a="1"/>
  <c r="AH48" i="23" s="1"/>
  <c r="BF241" i="12"/>
  <c r="BF220" i="12"/>
  <c r="BF262" i="12"/>
  <c r="BF199" i="12"/>
  <c r="BD183" i="12"/>
  <c r="CS122" i="12"/>
  <c r="CQ123" i="12"/>
  <c r="CQ122" i="12" s="1"/>
  <c r="CD403" i="12"/>
  <c r="CD386" i="12"/>
  <c r="CD369" i="12"/>
  <c r="CD352" i="12"/>
  <c r="CB339" i="12"/>
  <c r="BU275" i="12"/>
  <c r="BS276" i="12"/>
  <c r="BS275" i="12" s="1"/>
  <c r="F47" i="13" a="1"/>
  <c r="F47" i="13" s="1"/>
  <c r="T46" i="13"/>
  <c r="BL122" i="12"/>
  <c r="BJ123" i="12"/>
  <c r="BJ122" i="12" s="1"/>
  <c r="AZ122" i="12"/>
  <c r="AX123" i="12"/>
  <c r="AX122" i="12" s="1"/>
  <c r="CZ391" i="12" a="1"/>
  <c r="CZ391" i="12" s="1"/>
  <c r="AF395" i="12" a="1"/>
  <c r="AF395" i="12" s="1"/>
  <c r="T40" i="12" a="1"/>
  <c r="T40" i="12" s="1"/>
  <c r="U40" i="12" s="1"/>
  <c r="U39" i="12"/>
  <c r="M41" i="31" a="1"/>
  <c r="M41" i="31" s="1"/>
  <c r="M42" i="31" s="1" a="1"/>
  <c r="M42" i="31" s="1"/>
  <c r="BI40" i="31" a="1"/>
  <c r="BI40" i="31" s="1"/>
  <c r="M68" i="31" a="1"/>
  <c r="M68" i="31" s="1"/>
  <c r="M69" i="31" s="1" a="1"/>
  <c r="M69" i="31" s="1"/>
  <c r="BI67" i="31" a="1"/>
  <c r="BI67" i="31" s="1"/>
  <c r="S57" i="12" a="1"/>
  <c r="S57" i="12" s="1"/>
  <c r="U56" i="12"/>
  <c r="AB71" i="17" a="1"/>
  <c r="AB71" i="17" s="1"/>
  <c r="V71" i="17" a="1"/>
  <c r="V71" i="17" s="1"/>
  <c r="BR261" i="12"/>
  <c r="BR198" i="12"/>
  <c r="BR240" i="12"/>
  <c r="BR219" i="12"/>
  <c r="BP182" i="12"/>
  <c r="AT275" i="12"/>
  <c r="AR276" i="12"/>
  <c r="AR275" i="12" s="1"/>
  <c r="AR53" i="12"/>
  <c r="AR58" i="12"/>
  <c r="AR57" i="12" s="1"/>
  <c r="AT113" i="12"/>
  <c r="AT87" i="12"/>
  <c r="AT100" i="12"/>
  <c r="AT74" i="12"/>
  <c r="AR64" i="12"/>
  <c r="AR61" i="12" s="1"/>
  <c r="CP122" i="12"/>
  <c r="CN123" i="12"/>
  <c r="CN122" i="12" s="1"/>
  <c r="F42" i="8" a="1"/>
  <c r="F42" i="8" s="1"/>
  <c r="U41" i="8"/>
  <c r="U44" i="6"/>
  <c r="F45" i="6" a="1"/>
  <c r="F45" i="6" s="1"/>
  <c r="BV173" i="12"/>
  <c r="BV325" i="12"/>
  <c r="BV331" i="12"/>
  <c r="AN122" i="12"/>
  <c r="AL123" i="12"/>
  <c r="AL122" i="12" s="1"/>
  <c r="CK331" i="12"/>
  <c r="CK325" i="12"/>
  <c r="CM403" i="12"/>
  <c r="CM386" i="12"/>
  <c r="CM369" i="12"/>
  <c r="CM352" i="12"/>
  <c r="CK339" i="12"/>
  <c r="CK335" i="12" s="1"/>
  <c r="AG68" i="23" a="1"/>
  <c r="AG68" i="23" s="1"/>
  <c r="AH86" i="23"/>
  <c r="AH68" i="23" s="1" a="1"/>
  <c r="AH68" i="23" s="1"/>
  <c r="AU173" i="12"/>
  <c r="AU172" i="12"/>
  <c r="BV172" i="12"/>
  <c r="BV164" i="12"/>
  <c r="BV171" i="12"/>
  <c r="BX239" i="12"/>
  <c r="BX260" i="12"/>
  <c r="BX218" i="12"/>
  <c r="BX197" i="12"/>
  <c r="BV181" i="12"/>
  <c r="BV176" i="12" s="1"/>
  <c r="AZ275" i="12"/>
  <c r="AX276" i="12"/>
  <c r="AX275" i="12" s="1"/>
  <c r="BX404" i="12"/>
  <c r="BX387" i="12"/>
  <c r="BX370" i="12"/>
  <c r="BX353" i="12"/>
  <c r="BV340" i="12"/>
  <c r="CM404" i="12"/>
  <c r="CM387" i="12"/>
  <c r="CM370" i="12"/>
  <c r="CM353" i="12"/>
  <c r="CK340" i="12"/>
  <c r="CH172" i="12"/>
  <c r="CH164" i="12"/>
  <c r="CH171" i="12"/>
  <c r="CJ239" i="12"/>
  <c r="CJ260" i="12"/>
  <c r="CJ218" i="12"/>
  <c r="CJ197" i="12"/>
  <c r="CH181" i="12"/>
  <c r="CH176" i="12" s="1"/>
  <c r="AN241" i="12"/>
  <c r="AN262" i="12"/>
  <c r="AN220" i="12"/>
  <c r="AN199" i="12"/>
  <c r="AL183" i="12"/>
  <c r="CK58" i="12"/>
  <c r="CK57" i="12" s="1"/>
  <c r="CK53" i="12"/>
  <c r="CM100" i="12"/>
  <c r="CM74" i="12"/>
  <c r="CM113" i="12"/>
  <c r="CM87" i="12"/>
  <c r="CK64" i="12"/>
  <c r="CK61" i="12" s="1"/>
  <c r="BL403" i="12"/>
  <c r="BL386" i="12"/>
  <c r="BL369" i="12"/>
  <c r="BL352" i="12"/>
  <c r="BJ339" i="12"/>
  <c r="BG332" i="12"/>
  <c r="BP325" i="12"/>
  <c r="BP331" i="12"/>
  <c r="AX325" i="12"/>
  <c r="AX331" i="12"/>
  <c r="AW404" i="12"/>
  <c r="AW387" i="12"/>
  <c r="AW370" i="12"/>
  <c r="AW353" i="12"/>
  <c r="AU340" i="12"/>
  <c r="BS58" i="12"/>
  <c r="BS57" i="12" s="1"/>
  <c r="BS53" i="12"/>
  <c r="BU100" i="12"/>
  <c r="BU74" i="12"/>
  <c r="BU113" i="12"/>
  <c r="BU87" i="12"/>
  <c r="BS64" i="12"/>
  <c r="BS61" i="12" s="1"/>
  <c r="CE58" i="12"/>
  <c r="CE57" i="12" s="1"/>
  <c r="CE53" i="12"/>
  <c r="CG100" i="12"/>
  <c r="CG74" i="12"/>
  <c r="CG113" i="12"/>
  <c r="CG87" i="12"/>
  <c r="CE64" i="12"/>
  <c r="CE61" i="12" s="1"/>
  <c r="AO58" i="12"/>
  <c r="AO57" i="12" s="1"/>
  <c r="AO53" i="12"/>
  <c r="AQ100" i="12"/>
  <c r="AQ74" i="12"/>
  <c r="AQ113" i="12"/>
  <c r="AQ87" i="12"/>
  <c r="AO64" i="12"/>
  <c r="AO61" i="12" s="1"/>
  <c r="CP404" i="12"/>
  <c r="CP387" i="12"/>
  <c r="CP370" i="12"/>
  <c r="CP353" i="12"/>
  <c r="CN340" i="12"/>
  <c r="CJ404" i="12"/>
  <c r="CJ387" i="12"/>
  <c r="CJ370" i="12"/>
  <c r="CJ353" i="12"/>
  <c r="CH340" i="12"/>
  <c r="BK42" i="23"/>
  <c r="CD241" i="12"/>
  <c r="CD220" i="12"/>
  <c r="CD262" i="12"/>
  <c r="CD199" i="12"/>
  <c r="CB183" i="12"/>
  <c r="T151" i="27"/>
  <c r="F152" i="27" a="1"/>
  <c r="F152" i="27" s="1"/>
  <c r="BP53" i="12"/>
  <c r="BP58" i="12"/>
  <c r="BP57" i="12" s="1"/>
  <c r="BR113" i="12"/>
  <c r="BR87" i="12"/>
  <c r="BR100" i="12"/>
  <c r="BR74" i="12"/>
  <c r="BP64" i="12"/>
  <c r="BP61" i="12" s="1"/>
  <c r="BU262" i="12"/>
  <c r="BU199" i="12"/>
  <c r="BU241" i="12"/>
  <c r="BU220" i="12"/>
  <c r="BS183" i="12"/>
  <c r="BU240" i="12"/>
  <c r="BU219" i="12"/>
  <c r="BU261" i="12"/>
  <c r="BU198" i="12"/>
  <c r="BS182" i="12"/>
  <c r="BF404" i="12"/>
  <c r="BF387" i="12"/>
  <c r="BF370" i="12"/>
  <c r="BF353" i="12"/>
  <c r="BD340" i="12"/>
  <c r="AQ404" i="12"/>
  <c r="AQ387" i="12"/>
  <c r="AQ370" i="12"/>
  <c r="AQ353" i="12"/>
  <c r="AO340" i="12"/>
  <c r="CP261" i="12"/>
  <c r="CP198" i="12"/>
  <c r="CP240" i="12"/>
  <c r="CP219" i="12"/>
  <c r="CN182" i="12"/>
  <c r="AR173" i="12"/>
  <c r="CN53" i="12"/>
  <c r="CN58" i="12"/>
  <c r="CN57" i="12" s="1"/>
  <c r="CP113" i="12"/>
  <c r="CP87" i="12"/>
  <c r="CP100" i="12"/>
  <c r="CP74" i="12"/>
  <c r="CN64" i="12"/>
  <c r="CN61" i="12" s="1"/>
  <c r="CG262" i="12"/>
  <c r="CG199" i="12"/>
  <c r="CG241" i="12"/>
  <c r="CG220" i="12"/>
  <c r="CE183" i="12"/>
  <c r="CG240" i="12"/>
  <c r="CG219" i="12"/>
  <c r="CG261" i="12"/>
  <c r="CG198" i="12"/>
  <c r="CE182" i="12"/>
  <c r="AX172" i="12"/>
  <c r="AX164" i="12"/>
  <c r="AX171" i="12"/>
  <c r="AZ239" i="12"/>
  <c r="AZ260" i="12"/>
  <c r="AZ218" i="12"/>
  <c r="AZ197" i="12"/>
  <c r="AX181" i="12"/>
  <c r="AX176" i="12" s="1"/>
  <c r="BA332" i="12"/>
  <c r="CE331" i="12"/>
  <c r="CE325" i="12"/>
  <c r="CG403" i="12"/>
  <c r="CG386" i="12"/>
  <c r="CG369" i="12"/>
  <c r="CG352" i="12"/>
  <c r="CE339" i="12"/>
  <c r="CE335" i="12" s="1"/>
  <c r="AR332" i="12"/>
  <c r="AI68" i="23" a="1"/>
  <c r="AI68" i="23" s="1"/>
  <c r="CQ173" i="12"/>
  <c r="CQ172" i="12"/>
  <c r="BL241" i="12"/>
  <c r="BL262" i="12"/>
  <c r="BL220" i="12"/>
  <c r="BL199" i="12"/>
  <c r="BJ183" i="12"/>
  <c r="CK171" i="12"/>
  <c r="CK164" i="12"/>
  <c r="CM260" i="12"/>
  <c r="CM239" i="12"/>
  <c r="CM197" i="12"/>
  <c r="CM218" i="12"/>
  <c r="CK181" i="12"/>
  <c r="CK176" i="12" s="1"/>
  <c r="L375" i="12" a="1"/>
  <c r="L375" i="12" s="1"/>
  <c r="L376" i="12" s="1" a="1"/>
  <c r="L376" i="12" s="1"/>
  <c r="L377" i="12" s="1" a="1"/>
  <c r="L377" i="12" s="1"/>
  <c r="L378" i="12" s="1" a="1"/>
  <c r="L378" i="12" s="1"/>
  <c r="L379" i="12" s="1" a="1"/>
  <c r="L379" i="12" s="1"/>
  <c r="L380" i="12" s="1" a="1"/>
  <c r="L380" i="12" s="1"/>
  <c r="L381" i="12" s="1" a="1"/>
  <c r="L381" i="12" s="1"/>
  <c r="L382" i="12" s="1" a="1"/>
  <c r="L382" i="12" s="1"/>
  <c r="L383" i="12" s="1" a="1"/>
  <c r="L383" i="12" s="1"/>
  <c r="L384" i="12" s="1" a="1"/>
  <c r="L384" i="12" s="1"/>
  <c r="L385" i="12" s="1" a="1"/>
  <c r="L385" i="12" s="1"/>
  <c r="L386" i="12" s="1" a="1"/>
  <c r="L386" i="12" s="1"/>
  <c r="L387" i="12" s="1" a="1"/>
  <c r="L387" i="12" s="1"/>
  <c r="L388" i="12" s="1" a="1"/>
  <c r="L388" i="12" s="1"/>
  <c r="L389" i="12" s="1" a="1"/>
  <c r="L389" i="12" s="1"/>
  <c r="T374" i="12"/>
  <c r="T95" i="27"/>
  <c r="F96" i="27" a="1"/>
  <c r="F96" i="27" s="1"/>
  <c r="AL332" i="12"/>
  <c r="BM331" i="12"/>
  <c r="BM330" i="12" s="1"/>
  <c r="BM325" i="12"/>
  <c r="BO403" i="12"/>
  <c r="BO386" i="12"/>
  <c r="BO369" i="12"/>
  <c r="BO352" i="12"/>
  <c r="BM339" i="12"/>
  <c r="BM335" i="12" s="1"/>
  <c r="BA173" i="12"/>
  <c r="BA172" i="12"/>
  <c r="CJ415" i="12"/>
  <c r="CH416" i="12"/>
  <c r="CH415" i="12" s="1"/>
  <c r="CS415" i="12"/>
  <c r="CQ416" i="12"/>
  <c r="CQ415" i="12" s="1"/>
  <c r="CD275" i="12"/>
  <c r="CB276" i="12"/>
  <c r="CB275" i="12" s="1"/>
  <c r="BD172" i="12"/>
  <c r="BD164" i="12"/>
  <c r="BD171" i="12"/>
  <c r="BF239" i="12"/>
  <c r="BF218" i="12"/>
  <c r="BF260" i="12"/>
  <c r="BF197" i="12"/>
  <c r="BD181" i="12"/>
  <c r="BD176" i="12" s="1"/>
  <c r="BA58" i="12"/>
  <c r="BA57" i="12" s="1"/>
  <c r="BA53" i="12"/>
  <c r="BC100" i="12"/>
  <c r="BC74" i="12"/>
  <c r="BC113" i="12"/>
  <c r="BC87" i="12"/>
  <c r="BA64" i="12"/>
  <c r="BA61" i="12" s="1"/>
  <c r="CD404" i="12"/>
  <c r="CD387" i="12"/>
  <c r="CD370" i="12"/>
  <c r="CD353" i="12"/>
  <c r="CB340" i="12"/>
  <c r="BF415" i="12"/>
  <c r="BD416" i="12"/>
  <c r="BD415" i="12" s="1"/>
  <c r="AQ415" i="12"/>
  <c r="AO416" i="12"/>
  <c r="AO415" i="12" s="1"/>
  <c r="BP173" i="12"/>
  <c r="BG173" i="12"/>
  <c r="BG172" i="12"/>
  <c r="CA415" i="12"/>
  <c r="BY416" i="12"/>
  <c r="BY415" i="12" s="1"/>
  <c r="AE240" i="12" a="1"/>
  <c r="AE240" i="12" s="1"/>
  <c r="X240" i="12"/>
  <c r="CY234" i="12" a="1"/>
  <c r="CY234" i="12" s="1"/>
  <c r="AG234" i="12"/>
  <c r="CH173" i="12"/>
  <c r="AL172" i="12"/>
  <c r="AN239" i="12"/>
  <c r="AN260" i="12"/>
  <c r="AN218" i="12"/>
  <c r="AN197" i="12"/>
  <c r="AL181" i="12"/>
  <c r="AL176" i="12" s="1"/>
  <c r="BM173" i="12"/>
  <c r="BM172" i="12"/>
  <c r="BJ332" i="12"/>
  <c r="BR353" i="12"/>
  <c r="BR387" i="12"/>
  <c r="BR370" i="12"/>
  <c r="BR404" i="12"/>
  <c r="BP340" i="12"/>
  <c r="BU404" i="12"/>
  <c r="BU387" i="12"/>
  <c r="BU370" i="12"/>
  <c r="BU353" i="12"/>
  <c r="BS340" i="12"/>
  <c r="BS336" i="12" s="1"/>
  <c r="CJ113" i="12"/>
  <c r="CJ87" i="12"/>
  <c r="CJ100" i="12"/>
  <c r="CJ74" i="12"/>
  <c r="CH64" i="12"/>
  <c r="CH61" i="12" s="1"/>
  <c r="BY173" i="12"/>
  <c r="CJ403" i="12"/>
  <c r="CJ386" i="12"/>
  <c r="CJ369" i="12"/>
  <c r="CJ352" i="12"/>
  <c r="CH339" i="12"/>
  <c r="CH335" i="12" s="1"/>
  <c r="CQ332" i="12"/>
  <c r="T63" i="30"/>
  <c r="F64" i="30" a="1"/>
  <c r="F64" i="30" s="1"/>
  <c r="CB172" i="12"/>
  <c r="CB164" i="12"/>
  <c r="CB171" i="12"/>
  <c r="CD239" i="12"/>
  <c r="CD218" i="12"/>
  <c r="CD260" i="12"/>
  <c r="CD197" i="12"/>
  <c r="CB181" i="12"/>
  <c r="CB176" i="12" s="1"/>
  <c r="CJ241" i="12"/>
  <c r="CJ262" i="12"/>
  <c r="CJ220" i="12"/>
  <c r="CJ199" i="12"/>
  <c r="CH183" i="12"/>
  <c r="CH178" i="12" s="1"/>
  <c r="AN261" i="12"/>
  <c r="AN240" i="12"/>
  <c r="AN198" i="12"/>
  <c r="AN219" i="12"/>
  <c r="AL182" i="12"/>
  <c r="AL177" i="12" s="1"/>
  <c r="BG58" i="12"/>
  <c r="BG57" i="12" s="1"/>
  <c r="BG53" i="12"/>
  <c r="BI100" i="12"/>
  <c r="BI74" i="12"/>
  <c r="BI113" i="12"/>
  <c r="BI87" i="12"/>
  <c r="BG64" i="12"/>
  <c r="BG61" i="12" s="1"/>
  <c r="BO262" i="12"/>
  <c r="BO241" i="12"/>
  <c r="BO199" i="12"/>
  <c r="BO220" i="12"/>
  <c r="BM183" i="12"/>
  <c r="BM178" i="12" s="1"/>
  <c r="BO240" i="12"/>
  <c r="BO261" i="12"/>
  <c r="BO219" i="12"/>
  <c r="BO198" i="12"/>
  <c r="BM182" i="12"/>
  <c r="BM177" i="12" s="1"/>
  <c r="BL404" i="12"/>
  <c r="BL387" i="12"/>
  <c r="BL370" i="12"/>
  <c r="BL353" i="12"/>
  <c r="BJ340" i="12"/>
  <c r="BJ336" i="12" s="1"/>
  <c r="BP336" i="12"/>
  <c r="BP332" i="12"/>
  <c r="BS332" i="12"/>
  <c r="AX336" i="12"/>
  <c r="AX332" i="12"/>
  <c r="AU331" i="12"/>
  <c r="AU325" i="12"/>
  <c r="AW403" i="12"/>
  <c r="AW386" i="12"/>
  <c r="AW369" i="12"/>
  <c r="AW352" i="12"/>
  <c r="AU339" i="12"/>
  <c r="AU335" i="12" s="1"/>
  <c r="BD53" i="12"/>
  <c r="BD58" i="12"/>
  <c r="BD57" i="12" s="1"/>
  <c r="BF113" i="12"/>
  <c r="BF87" i="12"/>
  <c r="BF100" i="12"/>
  <c r="BF74" i="12"/>
  <c r="BD64" i="12"/>
  <c r="BD61" i="12" s="1"/>
  <c r="CA262" i="12"/>
  <c r="CA241" i="12"/>
  <c r="CA199" i="12"/>
  <c r="CA220" i="12"/>
  <c r="BY183" i="12"/>
  <c r="BY178" i="12" s="1"/>
  <c r="CA240" i="12"/>
  <c r="CA261" i="12"/>
  <c r="CA219" i="12"/>
  <c r="CA198" i="12"/>
  <c r="BY182" i="12"/>
  <c r="BY177" i="12" s="1"/>
  <c r="CP403" i="12"/>
  <c r="CP386" i="12"/>
  <c r="CP369" i="12"/>
  <c r="CP352" i="12"/>
  <c r="CN339" i="12"/>
  <c r="CN335" i="12" s="1"/>
  <c r="CH325" i="12"/>
  <c r="CH331" i="12"/>
  <c r="CS404" i="12"/>
  <c r="CS387" i="12"/>
  <c r="CS370" i="12"/>
  <c r="CS353" i="12"/>
  <c r="CQ340" i="12"/>
  <c r="CQ336" i="12" s="1"/>
  <c r="CD261" i="12"/>
  <c r="CD198" i="12"/>
  <c r="CD240" i="12"/>
  <c r="CD219" i="12"/>
  <c r="CB182" i="12"/>
  <c r="CB177" i="12" s="1"/>
  <c r="F45" i="23" a="1"/>
  <c r="F45" i="23" s="1"/>
  <c r="F46" i="23" s="1" a="1"/>
  <c r="F46" i="23" s="1"/>
  <c r="M107" i="28" a="1"/>
  <c r="M107" i="28" s="1"/>
  <c r="AS106" i="28" a="1"/>
  <c r="AS106" i="28" s="1"/>
  <c r="F88" i="30" a="1"/>
  <c r="F88" i="30" s="1"/>
  <c r="T87" i="30"/>
  <c r="BD325" i="12"/>
  <c r="BD335" i="12"/>
  <c r="BD331" i="12"/>
  <c r="AX53" i="12"/>
  <c r="AX58" i="12"/>
  <c r="AX57" i="12" s="1"/>
  <c r="AZ113" i="12"/>
  <c r="AZ87" i="12"/>
  <c r="AZ100" i="12"/>
  <c r="AZ74" i="12"/>
  <c r="AX64" i="12"/>
  <c r="AX61" i="12" s="1"/>
  <c r="F96" i="8" a="1"/>
  <c r="F96" i="8" s="1"/>
  <c r="U95" i="8"/>
  <c r="CP241" i="12"/>
  <c r="CP220" i="12"/>
  <c r="CP262" i="12"/>
  <c r="CP199" i="12"/>
  <c r="CN183" i="12"/>
  <c r="CN178" i="12" s="1"/>
  <c r="AT261" i="12"/>
  <c r="AT198" i="12"/>
  <c r="AT240" i="12"/>
  <c r="AT219" i="12"/>
  <c r="AR182" i="12"/>
  <c r="AR177" i="12" s="1"/>
  <c r="CE171" i="12"/>
  <c r="CE164" i="12"/>
  <c r="CG260" i="12"/>
  <c r="CG197" i="12"/>
  <c r="CG239" i="12"/>
  <c r="CG218" i="12"/>
  <c r="CE181" i="12"/>
  <c r="CE176" i="12" s="1"/>
  <c r="F134" i="13" a="1"/>
  <c r="F134" i="13" s="1"/>
  <c r="T133" i="13"/>
  <c r="AZ241" i="12"/>
  <c r="AZ262" i="12"/>
  <c r="AZ220" i="12"/>
  <c r="AZ199" i="12"/>
  <c r="AX183" i="12"/>
  <c r="AX178" i="12" s="1"/>
  <c r="CE332" i="12"/>
  <c r="CE336" i="12"/>
  <c r="CA404" i="12"/>
  <c r="CA387" i="12"/>
  <c r="CA370" i="12"/>
  <c r="CA353" i="12"/>
  <c r="BY340" i="12"/>
  <c r="BY336" i="12" s="1"/>
  <c r="AT403" i="12"/>
  <c r="AT386" i="12"/>
  <c r="AT369" i="12"/>
  <c r="AT352" i="12"/>
  <c r="AR339" i="12"/>
  <c r="AR335" i="12" s="1"/>
  <c r="F94" i="31" a="1"/>
  <c r="F94" i="31" s="1"/>
  <c r="T93" i="31"/>
  <c r="AI46" i="23"/>
  <c r="CQ171" i="12"/>
  <c r="CQ170" i="12" s="1"/>
  <c r="CQ164" i="12"/>
  <c r="CS260" i="12"/>
  <c r="CS197" i="12"/>
  <c r="CS239" i="12"/>
  <c r="CS218" i="12"/>
  <c r="CQ181" i="12"/>
  <c r="CQ176" i="12" s="1"/>
  <c r="BJ177" i="12"/>
  <c r="BJ172" i="12"/>
  <c r="BJ164" i="12"/>
  <c r="BJ171" i="12"/>
  <c r="BL239" i="12"/>
  <c r="BL260" i="12"/>
  <c r="BL218" i="12"/>
  <c r="BL197" i="12"/>
  <c r="BJ181" i="12"/>
  <c r="BJ176" i="12" s="1"/>
  <c r="AN275" i="12"/>
  <c r="AL276" i="12"/>
  <c r="AL275" i="12" s="1"/>
  <c r="BI122" i="12"/>
  <c r="BG123" i="12"/>
  <c r="BG122" i="12" s="1"/>
  <c r="CK178" i="12"/>
  <c r="CK173" i="12"/>
  <c r="CK172" i="12"/>
  <c r="CK177" i="12"/>
  <c r="AO178" i="12"/>
  <c r="AO173" i="12"/>
  <c r="AO172" i="12"/>
  <c r="AO177" i="12"/>
  <c r="AL325" i="12"/>
  <c r="AL331" i="12"/>
  <c r="AL330" i="12" s="1"/>
  <c r="AL335" i="12"/>
  <c r="BO404" i="12"/>
  <c r="BO387" i="12"/>
  <c r="BO370" i="12"/>
  <c r="BO353" i="12"/>
  <c r="BM340" i="12"/>
  <c r="BM336" i="12" s="1"/>
  <c r="BF122" i="12"/>
  <c r="BD123" i="12"/>
  <c r="BD122" i="12" s="1"/>
  <c r="BD178" i="12"/>
  <c r="BD173" i="12"/>
  <c r="CB325" i="12"/>
  <c r="CB335" i="12"/>
  <c r="CB331" i="12"/>
  <c r="BR122" i="12"/>
  <c r="BP123" i="12"/>
  <c r="BP122" i="12" s="1"/>
  <c r="S325" i="12" a="1"/>
  <c r="S325" i="12" s="1"/>
  <c r="U324" i="12"/>
  <c r="CP275" i="12"/>
  <c r="CN276" i="12"/>
  <c r="CN275" i="12" s="1"/>
  <c r="BP177" i="12"/>
  <c r="BP172" i="12"/>
  <c r="BP164" i="12"/>
  <c r="BP171" i="12"/>
  <c r="BP170" i="12" s="1"/>
  <c r="BR239" i="12"/>
  <c r="BR218" i="12"/>
  <c r="BR260" i="12"/>
  <c r="BR197" i="12"/>
  <c r="BP181" i="12"/>
  <c r="BP176" i="12" s="1"/>
  <c r="CG275" i="12"/>
  <c r="CE276" i="12"/>
  <c r="CE275" i="12" s="1"/>
  <c r="BG171" i="12"/>
  <c r="BG170" i="12" s="1"/>
  <c r="BG164" i="12"/>
  <c r="BI260" i="12"/>
  <c r="BI197" i="12"/>
  <c r="BI239" i="12"/>
  <c r="BI218" i="12"/>
  <c r="BG181" i="12"/>
  <c r="BG176" i="12" s="1"/>
  <c r="F91" i="13" a="1"/>
  <c r="F91" i="13" s="1"/>
  <c r="T90" i="13"/>
  <c r="BX241" i="12"/>
  <c r="BX262" i="12"/>
  <c r="BX220" i="12"/>
  <c r="BX199" i="12"/>
  <c r="BV183" i="12"/>
  <c r="BV178" i="12" s="1"/>
  <c r="BX403" i="12"/>
  <c r="BX386" i="12"/>
  <c r="BX369" i="12"/>
  <c r="BX352" i="12"/>
  <c r="BV339" i="12"/>
  <c r="BV335" i="12" s="1"/>
  <c r="BC415" i="12"/>
  <c r="BA416" i="12"/>
  <c r="BA415" i="12" s="1"/>
  <c r="F144" i="33" a="1"/>
  <c r="F144" i="33" s="1"/>
  <c r="AT415" i="12"/>
  <c r="AR416" i="12"/>
  <c r="AR415" i="12" s="1"/>
  <c r="AW262" i="12"/>
  <c r="AW199" i="12"/>
  <c r="AW241" i="12"/>
  <c r="AW220" i="12"/>
  <c r="AU183" i="12"/>
  <c r="AU178" i="12" s="1"/>
  <c r="AW240" i="12"/>
  <c r="AW219" i="12"/>
  <c r="AW261" i="12"/>
  <c r="AW198" i="12"/>
  <c r="AU182" i="12"/>
  <c r="AU177" i="12" s="1"/>
  <c r="M174" i="28" a="1"/>
  <c r="M174" i="28" s="1"/>
  <c r="AS173" i="28" a="1"/>
  <c r="AS173" i="28" s="1"/>
  <c r="T151" i="12" a="1"/>
  <c r="T151" i="12" s="1"/>
  <c r="U151" i="12" s="1"/>
  <c r="U150" i="12"/>
  <c r="T312" i="12" a="1"/>
  <c r="T312" i="12" s="1"/>
  <c r="U312" i="12" s="1"/>
  <c r="U311" i="12"/>
  <c r="F46" i="21" a="1"/>
  <c r="F46" i="21" s="1"/>
  <c r="T45" i="21"/>
  <c r="AH42" i="21"/>
  <c r="BX261" i="12"/>
  <c r="BX240" i="12"/>
  <c r="BX198" i="12"/>
  <c r="BX219" i="12"/>
  <c r="BV182" i="12"/>
  <c r="BV177" i="12" s="1"/>
  <c r="BV336" i="12"/>
  <c r="BV332" i="12"/>
  <c r="CK332" i="12"/>
  <c r="CK336" i="12"/>
  <c r="CG415" i="12"/>
  <c r="CE416" i="12"/>
  <c r="CE415" i="12" s="1"/>
  <c r="CJ261" i="12"/>
  <c r="CJ240" i="12"/>
  <c r="CJ198" i="12"/>
  <c r="CJ219" i="12"/>
  <c r="CH182" i="12"/>
  <c r="CH177" i="12" s="1"/>
  <c r="AL178" i="12"/>
  <c r="AL173" i="12"/>
  <c r="BM171" i="12"/>
  <c r="BM170" i="12" s="1"/>
  <c r="BM164" i="12"/>
  <c r="BO260" i="12"/>
  <c r="BO239" i="12"/>
  <c r="BO197" i="12"/>
  <c r="BO218" i="12"/>
  <c r="BM181" i="12"/>
  <c r="BM176" i="12" s="1"/>
  <c r="BJ325" i="12"/>
  <c r="BJ331" i="12"/>
  <c r="BJ330" i="12" s="1"/>
  <c r="BJ335" i="12"/>
  <c r="BI404" i="12"/>
  <c r="BI387" i="12"/>
  <c r="BI370" i="12"/>
  <c r="BI353" i="12"/>
  <c r="BG340" i="12"/>
  <c r="BG336" i="12" s="1"/>
  <c r="BR403" i="12"/>
  <c r="BR386" i="12"/>
  <c r="BR369" i="12"/>
  <c r="BR352" i="12"/>
  <c r="BP339" i="12"/>
  <c r="BP335" i="12" s="1"/>
  <c r="BS331" i="12"/>
  <c r="BS330" i="12" s="1"/>
  <c r="BS325" i="12"/>
  <c r="BU403" i="12"/>
  <c r="BU386" i="12"/>
  <c r="BU369" i="12"/>
  <c r="BU352" i="12"/>
  <c r="BS339" i="12"/>
  <c r="BS335" i="12" s="1"/>
  <c r="AZ403" i="12"/>
  <c r="AZ386" i="12"/>
  <c r="AZ369" i="12"/>
  <c r="AZ352" i="12"/>
  <c r="AX339" i="12"/>
  <c r="AX335" i="12" s="1"/>
  <c r="AU332" i="12"/>
  <c r="AU336" i="12"/>
  <c r="BV53" i="12"/>
  <c r="BV58" i="12"/>
  <c r="BV57" i="12" s="1"/>
  <c r="BX113" i="12"/>
  <c r="BX87" i="12"/>
  <c r="BX100" i="12"/>
  <c r="BX74" i="12"/>
  <c r="BV64" i="12"/>
  <c r="BV61" i="12" s="1"/>
  <c r="F71" i="18" a="1"/>
  <c r="F71" i="18" s="1"/>
  <c r="F72" i="18" s="1" a="1"/>
  <c r="F72" i="18" s="1"/>
  <c r="F73" i="18" s="1" a="1"/>
  <c r="F73" i="18" s="1"/>
  <c r="T70" i="18"/>
  <c r="T71" i="18" s="1" a="1"/>
  <c r="T71" i="18" s="1"/>
  <c r="T72" i="18" s="1" a="1"/>
  <c r="T72" i="18" s="1"/>
  <c r="F52" i="33" a="1"/>
  <c r="F52" i="33" s="1"/>
  <c r="BY171" i="12"/>
  <c r="BY170" i="12" s="1"/>
  <c r="BY164" i="12"/>
  <c r="CA260" i="12"/>
  <c r="CA239" i="12"/>
  <c r="CA197" i="12"/>
  <c r="CA218" i="12"/>
  <c r="BY181" i="12"/>
  <c r="BY176" i="12" s="1"/>
  <c r="CN336" i="12"/>
  <c r="CN332" i="12"/>
  <c r="AL182" i="28"/>
  <c r="F185" i="28" a="1"/>
  <c r="F185" i="28" s="1"/>
  <c r="AJ184" i="28"/>
  <c r="AF184" i="28"/>
  <c r="AK184" i="28"/>
  <c r="AI184" i="28"/>
  <c r="AG184" i="28"/>
  <c r="AE184" i="28"/>
  <c r="CH336" i="12"/>
  <c r="CH332" i="12"/>
  <c r="CQ331" i="12"/>
  <c r="CQ330" i="12" s="1"/>
  <c r="CQ325" i="12"/>
  <c r="CS403" i="12"/>
  <c r="CS386" i="12"/>
  <c r="CS369" i="12"/>
  <c r="CS352" i="12"/>
  <c r="CQ339" i="12"/>
  <c r="CQ335" i="12" s="1"/>
  <c r="AI84" i="27"/>
  <c r="AG84" i="27"/>
  <c r="AF141" i="27"/>
  <c r="AF245" i="12" a="1"/>
  <c r="AF245" i="12" s="1"/>
  <c r="CZ240" i="12" a="1"/>
  <c r="CZ240" i="12" s="1"/>
  <c r="CB178" i="12"/>
  <c r="CB173" i="12"/>
  <c r="CQ58" i="12"/>
  <c r="CQ57" i="12" s="1"/>
  <c r="CQ53" i="12"/>
  <c r="CS100" i="12"/>
  <c r="CS74" i="12"/>
  <c r="CS113" i="12"/>
  <c r="CS87" i="12"/>
  <c r="CQ64" i="12"/>
  <c r="CQ61" i="12" s="1"/>
  <c r="BJ42" i="23"/>
  <c r="BS178" i="12"/>
  <c r="BS173" i="12"/>
  <c r="BS172" i="12"/>
  <c r="BS177" i="12"/>
  <c r="BD336" i="12"/>
  <c r="BD332" i="12"/>
  <c r="AO332" i="12"/>
  <c r="AO336" i="12"/>
  <c r="BJ53" i="12"/>
  <c r="BJ58" i="12"/>
  <c r="BJ57" i="12" s="1"/>
  <c r="BL113" i="12"/>
  <c r="BL87" i="12"/>
  <c r="BL100" i="12"/>
  <c r="BL74" i="12"/>
  <c r="BJ64" i="12"/>
  <c r="BJ61" i="12" s="1"/>
  <c r="CN177" i="12"/>
  <c r="CN172" i="12"/>
  <c r="CN164" i="12"/>
  <c r="CN171" i="12"/>
  <c r="CN170" i="12" s="1"/>
  <c r="CP239" i="12"/>
  <c r="CP218" i="12"/>
  <c r="CP260" i="12"/>
  <c r="CP197" i="12"/>
  <c r="CN181" i="12"/>
  <c r="CN176" i="12" s="1"/>
  <c r="AT241" i="12"/>
  <c r="AT220" i="12"/>
  <c r="AT262" i="12"/>
  <c r="AT199" i="12"/>
  <c r="AR183" i="12"/>
  <c r="AR178" i="12" s="1"/>
  <c r="CE178" i="12"/>
  <c r="CE173" i="12"/>
  <c r="CE172" i="12"/>
  <c r="CE177" i="12"/>
  <c r="AZ261" i="12"/>
  <c r="AZ240" i="12"/>
  <c r="AZ198" i="12"/>
  <c r="AZ219" i="12"/>
  <c r="AX182" i="12"/>
  <c r="AX177" i="12" s="1"/>
  <c r="AL53" i="12"/>
  <c r="AL58" i="12"/>
  <c r="AL57" i="12" s="1"/>
  <c r="AN113" i="12"/>
  <c r="AN87" i="12"/>
  <c r="AN100" i="12"/>
  <c r="AN74" i="12"/>
  <c r="AL64" i="12"/>
  <c r="AL61" i="12" s="1"/>
  <c r="BC404" i="12"/>
  <c r="BC387" i="12"/>
  <c r="BC370" i="12"/>
  <c r="BC353" i="12"/>
  <c r="BA340" i="12"/>
  <c r="BA336" i="12" s="1"/>
  <c r="BY331" i="12"/>
  <c r="BY330" i="12" s="1"/>
  <c r="BY325" i="12"/>
  <c r="CA403" i="12"/>
  <c r="CA386" i="12"/>
  <c r="CA369" i="12"/>
  <c r="CA352" i="12"/>
  <c r="BY339" i="12"/>
  <c r="BY335" i="12" s="1"/>
  <c r="AT404" i="12"/>
  <c r="AT387" i="12"/>
  <c r="AT370" i="12"/>
  <c r="AT353" i="12"/>
  <c r="AR340" i="12"/>
  <c r="AR336" i="12" s="1"/>
  <c r="N39" i="27" a="1"/>
  <c r="N39" i="27" s="1"/>
  <c r="BX38" i="27" a="1"/>
  <c r="BX38" i="27" s="1"/>
  <c r="F67" i="31" a="1"/>
  <c r="F67" i="31" s="1"/>
  <c r="T66" i="31"/>
  <c r="S168" i="12" a="1"/>
  <c r="S168" i="12" s="1"/>
  <c r="U167" i="12"/>
  <c r="AE391" i="12" a="1"/>
  <c r="AE391" i="12" s="1"/>
  <c r="X391" i="12"/>
  <c r="CY387" i="12" a="1"/>
  <c r="CY387" i="12" s="1"/>
  <c r="CS262" i="12"/>
  <c r="CS199" i="12"/>
  <c r="CS241" i="12"/>
  <c r="CS220" i="12"/>
  <c r="CQ183" i="12"/>
  <c r="CQ178" i="12" s="1"/>
  <c r="CS240" i="12"/>
  <c r="CS219" i="12"/>
  <c r="CS261" i="12"/>
  <c r="CS198" i="12"/>
  <c r="CQ182" i="12"/>
  <c r="CQ177" i="12" s="1"/>
  <c r="F41" i="18" a="1"/>
  <c r="F41" i="18" s="1"/>
  <c r="T40" i="18"/>
  <c r="BJ178" i="12"/>
  <c r="BJ173" i="12"/>
  <c r="BY58" i="12"/>
  <c r="BY57" i="12" s="1"/>
  <c r="BY53" i="12"/>
  <c r="CA100" i="12"/>
  <c r="CA74" i="12"/>
  <c r="CA113" i="12"/>
  <c r="CA87" i="12"/>
  <c r="BY64" i="12"/>
  <c r="BY61" i="12" s="1"/>
  <c r="BO275" i="12"/>
  <c r="BM276" i="12"/>
  <c r="BM275" i="12" s="1"/>
  <c r="AO171" i="12"/>
  <c r="AO170" i="12" s="1"/>
  <c r="AO164" i="12"/>
  <c r="AQ260" i="12"/>
  <c r="AQ239" i="12"/>
  <c r="AQ197" i="12"/>
  <c r="AQ218" i="12"/>
  <c r="AO181" i="12"/>
  <c r="AO176" i="12" s="1"/>
  <c r="CM122" i="12"/>
  <c r="CK123" i="12"/>
  <c r="CK122" i="12" s="1"/>
  <c r="BR415" i="12"/>
  <c r="BP416" i="12"/>
  <c r="BP415" i="12" s="1"/>
  <c r="BU415" i="12"/>
  <c r="BS416" i="12"/>
  <c r="BS415" i="12" s="1"/>
  <c r="BX122" i="12"/>
  <c r="BV123" i="12"/>
  <c r="BV122" i="12" s="1"/>
  <c r="BU122" i="12"/>
  <c r="BS123" i="12"/>
  <c r="BS122" i="12" s="1"/>
  <c r="AN404" i="12"/>
  <c r="AN387" i="12"/>
  <c r="AN370" i="12"/>
  <c r="AN353" i="12"/>
  <c r="AL340" i="12"/>
  <c r="AL336" i="12" s="1"/>
  <c r="AF246" i="12" a="1"/>
  <c r="AF246" i="12" s="1"/>
  <c r="CZ241" i="12" a="1"/>
  <c r="CZ241" i="12" s="1"/>
  <c r="CG122" i="12"/>
  <c r="CE123" i="12"/>
  <c r="CE122" i="12" s="1"/>
  <c r="BC262" i="12"/>
  <c r="BC241" i="12"/>
  <c r="BC199" i="12"/>
  <c r="BC220" i="12"/>
  <c r="BA183" i="12"/>
  <c r="BA178" i="12" s="1"/>
  <c r="BC240" i="12"/>
  <c r="BC261" i="12"/>
  <c r="BC219" i="12"/>
  <c r="BC198" i="12"/>
  <c r="BA182" i="12"/>
  <c r="BA177" i="12" s="1"/>
  <c r="CP415" i="12"/>
  <c r="CN416" i="12"/>
  <c r="CN415" i="12" s="1"/>
  <c r="F51" i="28" a="1"/>
  <c r="F51" i="28" s="1"/>
  <c r="AJ50" i="28"/>
  <c r="AF50" i="28"/>
  <c r="AK50" i="28"/>
  <c r="AI50" i="28"/>
  <c r="AG50" i="28"/>
  <c r="AE50" i="28"/>
  <c r="BF261" i="12"/>
  <c r="BF198" i="12"/>
  <c r="BF240" i="12"/>
  <c r="BF219" i="12"/>
  <c r="BD182" i="12"/>
  <c r="BD177" i="12" s="1"/>
  <c r="AU58" i="12"/>
  <c r="AU57" i="12" s="1"/>
  <c r="AU53" i="12"/>
  <c r="AW100" i="12"/>
  <c r="AW74" i="12"/>
  <c r="AW113" i="12"/>
  <c r="AW87" i="12"/>
  <c r="AU64" i="12"/>
  <c r="AU61" i="12" s="1"/>
  <c r="CB336" i="12"/>
  <c r="CB332" i="12"/>
  <c r="F99" i="33" a="1"/>
  <c r="F99" i="33" s="1"/>
  <c r="BR241" i="12"/>
  <c r="BR220" i="12"/>
  <c r="BR262" i="12"/>
  <c r="BR199" i="12"/>
  <c r="BP183" i="12"/>
  <c r="BP178" i="12" s="1"/>
  <c r="BI262" i="12"/>
  <c r="BI199" i="12"/>
  <c r="BI241" i="12"/>
  <c r="BI220" i="12"/>
  <c r="BG183" i="12"/>
  <c r="BG178" i="12" s="1"/>
  <c r="BI240" i="12"/>
  <c r="BI219" i="12"/>
  <c r="BI261" i="12"/>
  <c r="BI198" i="12"/>
  <c r="BG182" i="12"/>
  <c r="BG177" i="12" s="1"/>
  <c r="N151" i="27" a="1"/>
  <c r="N151" i="27" s="1"/>
  <c r="BX150" i="27" a="1"/>
  <c r="BX150" i="27" s="1"/>
  <c r="F40" i="27" a="1"/>
  <c r="F40" i="27" s="1"/>
  <c r="T39" i="27"/>
  <c r="M95" i="31" a="1"/>
  <c r="M95" i="31" s="1"/>
  <c r="M96" i="31" s="1" a="1"/>
  <c r="M96" i="31" s="1"/>
  <c r="BI94" i="31" a="1"/>
  <c r="BI94" i="31" s="1"/>
  <c r="CS275" i="12"/>
  <c r="CQ276" i="12"/>
  <c r="CQ275" i="12" s="1"/>
  <c r="AU171" i="12"/>
  <c r="AU170" i="12" s="1"/>
  <c r="AU164" i="12"/>
  <c r="AW260" i="12"/>
  <c r="AW197" i="12"/>
  <c r="AW239" i="12"/>
  <c r="AW218" i="12"/>
  <c r="AU181" i="12"/>
  <c r="AU176" i="12" s="1"/>
  <c r="AW216" i="12" l="1"/>
  <c r="AW217" i="12" s="1"/>
  <c r="AU217" i="12" s="1"/>
  <c r="AU218" i="12"/>
  <c r="AW223" i="12"/>
  <c r="AW284" i="12"/>
  <c r="AW195" i="12"/>
  <c r="AW196" i="12" s="1"/>
  <c r="AU196" i="12" s="1"/>
  <c r="AU197" i="12"/>
  <c r="AW202" i="12"/>
  <c r="BG261" i="12"/>
  <c r="BG255" i="12" s="1"/>
  <c r="BI266" i="12"/>
  <c r="BG266" i="12" s="1"/>
  <c r="BG240" i="12"/>
  <c r="BG234" i="12" s="1"/>
  <c r="BI245" i="12"/>
  <c r="BG245" i="12" s="1"/>
  <c r="BG220" i="12"/>
  <c r="BG214" i="12" s="1"/>
  <c r="BI225" i="12"/>
  <c r="BG225" i="12" s="1"/>
  <c r="BI286" i="12"/>
  <c r="BG199" i="12"/>
  <c r="BI204" i="12"/>
  <c r="BG204" i="12" s="1"/>
  <c r="BP262" i="12"/>
  <c r="BP256" i="12" s="1"/>
  <c r="BR267" i="12"/>
  <c r="BP267" i="12" s="1"/>
  <c r="BP241" i="12"/>
  <c r="BP235" i="12" s="1"/>
  <c r="BR246" i="12"/>
  <c r="BP246" i="12" s="1"/>
  <c r="AW237" i="12"/>
  <c r="AW238" i="12" s="1"/>
  <c r="AU238" i="12" s="1"/>
  <c r="AU239" i="12"/>
  <c r="AW244" i="12"/>
  <c r="AW258" i="12"/>
  <c r="AW259" i="12" s="1"/>
  <c r="AU259" i="12" s="1"/>
  <c r="AU260" i="12"/>
  <c r="AW265" i="12"/>
  <c r="M97" i="31" a="1"/>
  <c r="M97" i="31" s="1"/>
  <c r="BI96" i="31" a="1"/>
  <c r="BI96" i="31" s="1"/>
  <c r="F41" i="27" a="1"/>
  <c r="F41" i="27" s="1"/>
  <c r="T40" i="27"/>
  <c r="N152" i="27" a="1"/>
  <c r="N152" i="27" s="1"/>
  <c r="BX151" i="27" a="1"/>
  <c r="BX151" i="27" s="1"/>
  <c r="BI285" i="12"/>
  <c r="BG198" i="12"/>
  <c r="BI203" i="12"/>
  <c r="BG203" i="12" s="1"/>
  <c r="BG219" i="12"/>
  <c r="BG213" i="12" s="1"/>
  <c r="BI224" i="12"/>
  <c r="BG224" i="12" s="1"/>
  <c r="BG241" i="12"/>
  <c r="BG235" i="12" s="1"/>
  <c r="BI246" i="12"/>
  <c r="BG246" i="12" s="1"/>
  <c r="BG262" i="12"/>
  <c r="BG256" i="12" s="1"/>
  <c r="BI267" i="12"/>
  <c r="BG267" i="12" s="1"/>
  <c r="BR286" i="12"/>
  <c r="BP199" i="12"/>
  <c r="BR204" i="12"/>
  <c r="BP204" i="12" s="1"/>
  <c r="BP220" i="12"/>
  <c r="BP214" i="12" s="1"/>
  <c r="BR225" i="12"/>
  <c r="BP225" i="12" s="1"/>
  <c r="F100" i="33" a="1"/>
  <c r="F100" i="33" s="1"/>
  <c r="AW85" i="12"/>
  <c r="AW86" i="12" s="1"/>
  <c r="AU86" i="12" s="1"/>
  <c r="AU87" i="12"/>
  <c r="AW90" i="12"/>
  <c r="AW129" i="12"/>
  <c r="AW72" i="12"/>
  <c r="AW73" i="12" s="1"/>
  <c r="AU73" i="12" s="1"/>
  <c r="AU74" i="12"/>
  <c r="AW77" i="12"/>
  <c r="BD219" i="12"/>
  <c r="BD213" i="12" s="1"/>
  <c r="BF224" i="12"/>
  <c r="BD224" i="12" s="1"/>
  <c r="BF285" i="12"/>
  <c r="BD198" i="12"/>
  <c r="BF203" i="12"/>
  <c r="BD203" i="12" s="1"/>
  <c r="AL50" i="28"/>
  <c r="F52" i="28" a="1"/>
  <c r="F52" i="28" s="1"/>
  <c r="AJ51" i="28"/>
  <c r="AF51" i="28"/>
  <c r="AK51" i="28"/>
  <c r="AI51" i="28"/>
  <c r="AL51" i="28" s="1"/>
  <c r="AG51" i="28"/>
  <c r="AH51" i="28" s="1"/>
  <c r="AE51" i="28"/>
  <c r="BC285" i="12"/>
  <c r="BA198" i="12"/>
  <c r="BC203" i="12"/>
  <c r="BA203" i="12" s="1"/>
  <c r="BA261" i="12"/>
  <c r="BA255" i="12" s="1"/>
  <c r="BC266" i="12"/>
  <c r="BA266" i="12" s="1"/>
  <c r="BC286" i="12"/>
  <c r="BA199" i="12"/>
  <c r="BC204" i="12"/>
  <c r="BA204" i="12" s="1"/>
  <c r="BA262" i="12"/>
  <c r="BA256" i="12" s="1"/>
  <c r="BC267" i="12"/>
  <c r="BA267" i="12" s="1"/>
  <c r="AF251" i="12" a="1"/>
  <c r="AF251" i="12" s="1"/>
  <c r="CZ246" i="12" a="1"/>
  <c r="CZ246" i="12" s="1"/>
  <c r="AN424" i="12"/>
  <c r="AL353" i="12"/>
  <c r="AN357" i="12"/>
  <c r="AL357" i="12" s="1"/>
  <c r="AL387" i="12"/>
  <c r="AL382" i="12" s="1"/>
  <c r="AN391" i="12"/>
  <c r="AL391" i="12" s="1"/>
  <c r="AQ216" i="12"/>
  <c r="AQ217" i="12" s="1"/>
  <c r="AO217" i="12" s="1"/>
  <c r="AO218" i="12"/>
  <c r="AQ223" i="12"/>
  <c r="AQ237" i="12"/>
  <c r="AQ238" i="12" s="1"/>
  <c r="AO238" i="12" s="1"/>
  <c r="AO239" i="12"/>
  <c r="AQ244" i="12"/>
  <c r="CA85" i="12"/>
  <c r="CA86" i="12" s="1"/>
  <c r="BY86" i="12" s="1"/>
  <c r="BY87" i="12"/>
  <c r="CA90" i="12"/>
  <c r="CA129" i="12"/>
  <c r="CA72" i="12"/>
  <c r="CA73" i="12" s="1"/>
  <c r="BY73" i="12" s="1"/>
  <c r="BY74" i="12"/>
  <c r="CA77" i="12"/>
  <c r="F42" i="18" a="1"/>
  <c r="F42" i="18" s="1"/>
  <c r="T41" i="18"/>
  <c r="CS285" i="12"/>
  <c r="CQ198" i="12"/>
  <c r="CS203" i="12"/>
  <c r="CQ203" i="12" s="1"/>
  <c r="CQ219" i="12"/>
  <c r="CQ213" i="12" s="1"/>
  <c r="CS224" i="12"/>
  <c r="CQ224" i="12" s="1"/>
  <c r="CQ241" i="12"/>
  <c r="CQ235" i="12" s="1"/>
  <c r="CS246" i="12"/>
  <c r="CQ246" i="12" s="1"/>
  <c r="CQ262" i="12"/>
  <c r="CQ256" i="12" s="1"/>
  <c r="CS267" i="12"/>
  <c r="CQ267" i="12" s="1"/>
  <c r="AR370" i="12"/>
  <c r="AR365" i="12" s="1"/>
  <c r="AT374" i="12"/>
  <c r="AR374" i="12" s="1"/>
  <c r="AR404" i="12"/>
  <c r="AR399" i="12" s="1"/>
  <c r="AT408" i="12"/>
  <c r="AR408" i="12" s="1"/>
  <c r="CA350" i="12"/>
  <c r="CA351" i="12" s="1"/>
  <c r="BY351" i="12" s="1"/>
  <c r="CA423" i="12"/>
  <c r="BY352" i="12"/>
  <c r="CA356" i="12"/>
  <c r="CA384" i="12"/>
  <c r="CA385" i="12" s="1"/>
  <c r="BY385" i="12" s="1"/>
  <c r="BY386" i="12"/>
  <c r="CA390" i="12"/>
  <c r="BC424" i="12"/>
  <c r="BA353" i="12"/>
  <c r="BC357" i="12"/>
  <c r="BA357" i="12" s="1"/>
  <c r="BA387" i="12"/>
  <c r="BA382" i="12" s="1"/>
  <c r="BC391" i="12"/>
  <c r="BA391" i="12" s="1"/>
  <c r="AN98" i="12"/>
  <c r="AN99" i="12" s="1"/>
  <c r="AL99" i="12" s="1"/>
  <c r="AL100" i="12"/>
  <c r="AN103" i="12"/>
  <c r="AN111" i="12"/>
  <c r="AN112" i="12" s="1"/>
  <c r="AL112" i="12" s="1"/>
  <c r="AL113" i="12"/>
  <c r="AN116" i="12"/>
  <c r="AZ285" i="12"/>
  <c r="AX198" i="12"/>
  <c r="AZ203" i="12"/>
  <c r="AX203" i="12" s="1"/>
  <c r="AX261" i="12"/>
  <c r="AX255" i="12" s="1"/>
  <c r="AZ266" i="12"/>
  <c r="AX266" i="12" s="1"/>
  <c r="AT286" i="12"/>
  <c r="AR199" i="12"/>
  <c r="AT204" i="12"/>
  <c r="AR204" i="12" s="1"/>
  <c r="AR220" i="12"/>
  <c r="AR214" i="12" s="1"/>
  <c r="AT225" i="12"/>
  <c r="AR225" i="12" s="1"/>
  <c r="CP258" i="12"/>
  <c r="CP259" i="12" s="1"/>
  <c r="CN259" i="12" s="1"/>
  <c r="CN260" i="12"/>
  <c r="CP265" i="12"/>
  <c r="CP237" i="12"/>
  <c r="CP238" i="12" s="1"/>
  <c r="CN238" i="12" s="1"/>
  <c r="CN239" i="12"/>
  <c r="CP244" i="12"/>
  <c r="BL98" i="12"/>
  <c r="BL99" i="12" s="1"/>
  <c r="BJ99" i="12" s="1"/>
  <c r="BJ100" i="12"/>
  <c r="BL103" i="12"/>
  <c r="BL111" i="12"/>
  <c r="BL112" i="12" s="1"/>
  <c r="BJ112" i="12" s="1"/>
  <c r="BJ113" i="12"/>
  <c r="BL116" i="12"/>
  <c r="CS111" i="12"/>
  <c r="CS112" i="12" s="1"/>
  <c r="CQ112" i="12" s="1"/>
  <c r="CQ113" i="12"/>
  <c r="CS116" i="12"/>
  <c r="CS98" i="12"/>
  <c r="CS99" i="12" s="1"/>
  <c r="CQ99" i="12" s="1"/>
  <c r="CQ100" i="12"/>
  <c r="CS103" i="12"/>
  <c r="CS367" i="12"/>
  <c r="CS368" i="12" s="1"/>
  <c r="CQ368" i="12" s="1"/>
  <c r="CQ369" i="12"/>
  <c r="CS373" i="12"/>
  <c r="CS401" i="12"/>
  <c r="CS402" i="12" s="1"/>
  <c r="CQ402" i="12" s="1"/>
  <c r="CQ403" i="12"/>
  <c r="CS407" i="12"/>
  <c r="AL184" i="28"/>
  <c r="F186" i="28" a="1"/>
  <c r="F186" i="28" s="1"/>
  <c r="AJ185" i="28"/>
  <c r="AF185" i="28"/>
  <c r="AK185" i="28"/>
  <c r="AI185" i="28"/>
  <c r="AL185" i="28" s="1"/>
  <c r="AG185" i="28"/>
  <c r="AE185" i="28"/>
  <c r="CA195" i="12"/>
  <c r="CA196" i="12" s="1"/>
  <c r="BY196" i="12" s="1"/>
  <c r="CA284" i="12"/>
  <c r="BY197" i="12"/>
  <c r="CA202" i="12"/>
  <c r="CA258" i="12"/>
  <c r="CA259" i="12" s="1"/>
  <c r="BY259" i="12" s="1"/>
  <c r="BY260" i="12"/>
  <c r="CA265" i="12"/>
  <c r="F53" i="33" a="1"/>
  <c r="F53" i="33" s="1"/>
  <c r="F74" i="18" a="1"/>
  <c r="F74" i="18" s="1"/>
  <c r="F75" i="18" s="1" a="1"/>
  <c r="F75" i="18" s="1"/>
  <c r="F76" i="18" s="1" a="1"/>
  <c r="F76" i="18" s="1"/>
  <c r="T73" i="18"/>
  <c r="T74" i="18" s="1" a="1"/>
  <c r="T74" i="18" s="1"/>
  <c r="T75" i="18" s="1" a="1"/>
  <c r="T75" i="18" s="1"/>
  <c r="BX129" i="12"/>
  <c r="BX72" i="12"/>
  <c r="BX73" i="12" s="1"/>
  <c r="BV73" i="12" s="1"/>
  <c r="BV74" i="12"/>
  <c r="BX77" i="12"/>
  <c r="BX85" i="12"/>
  <c r="BX86" i="12" s="1"/>
  <c r="BV86" i="12" s="1"/>
  <c r="BV87" i="12"/>
  <c r="BX90" i="12"/>
  <c r="AZ423" i="12"/>
  <c r="AZ350" i="12"/>
  <c r="AZ351" i="12" s="1"/>
  <c r="AX351" i="12" s="1"/>
  <c r="AX352" i="12"/>
  <c r="AZ356" i="12"/>
  <c r="AZ384" i="12"/>
  <c r="AZ385" i="12" s="1"/>
  <c r="AX385" i="12" s="1"/>
  <c r="AX386" i="12"/>
  <c r="AZ390" i="12"/>
  <c r="BU367" i="12"/>
  <c r="BU368" i="12" s="1"/>
  <c r="BS368" i="12" s="1"/>
  <c r="BS369" i="12"/>
  <c r="BU373" i="12"/>
  <c r="BU401" i="12"/>
  <c r="BU402" i="12" s="1"/>
  <c r="BS402" i="12" s="1"/>
  <c r="BS403" i="12"/>
  <c r="BU407" i="12"/>
  <c r="BR367" i="12"/>
  <c r="BR368" i="12" s="1"/>
  <c r="BP368" i="12" s="1"/>
  <c r="BP369" i="12"/>
  <c r="BR373" i="12"/>
  <c r="BR401" i="12"/>
  <c r="BR402" i="12" s="1"/>
  <c r="BP402" i="12" s="1"/>
  <c r="BP403" i="12"/>
  <c r="BR407" i="12"/>
  <c r="BI424" i="12"/>
  <c r="BG353" i="12"/>
  <c r="BI357" i="12"/>
  <c r="BG357" i="12" s="1"/>
  <c r="BG387" i="12"/>
  <c r="BG382" i="12" s="1"/>
  <c r="BI391" i="12"/>
  <c r="BG391" i="12" s="1"/>
  <c r="BO216" i="12"/>
  <c r="BO217" i="12" s="1"/>
  <c r="BM217" i="12" s="1"/>
  <c r="BM218" i="12"/>
  <c r="BO223" i="12"/>
  <c r="BO237" i="12"/>
  <c r="BO238" i="12" s="1"/>
  <c r="BM238" i="12" s="1"/>
  <c r="BM239" i="12"/>
  <c r="BO244" i="12"/>
  <c r="CH219" i="12"/>
  <c r="CH213" i="12" s="1"/>
  <c r="CJ224" i="12"/>
  <c r="CH224" i="12" s="1"/>
  <c r="CH240" i="12"/>
  <c r="CH234" i="12" s="1"/>
  <c r="CJ245" i="12"/>
  <c r="CH245" i="12" s="1"/>
  <c r="BX285" i="12"/>
  <c r="BV198" i="12"/>
  <c r="BX203" i="12"/>
  <c r="BV203" i="12" s="1"/>
  <c r="BV261" i="12"/>
  <c r="BV255" i="12" s="1"/>
  <c r="BX266" i="12"/>
  <c r="BV266" i="12" s="1"/>
  <c r="AU261" i="12"/>
  <c r="AU255" i="12" s="1"/>
  <c r="AW266" i="12"/>
  <c r="AU266" i="12" s="1"/>
  <c r="AU240" i="12"/>
  <c r="AU234" i="12" s="1"/>
  <c r="AW245" i="12"/>
  <c r="AU245" i="12" s="1"/>
  <c r="AU220" i="12"/>
  <c r="AU214" i="12" s="1"/>
  <c r="AW225" i="12"/>
  <c r="AU225" i="12" s="1"/>
  <c r="AW286" i="12"/>
  <c r="AU199" i="12"/>
  <c r="AW204" i="12"/>
  <c r="AU204" i="12" s="1"/>
  <c r="BX367" i="12"/>
  <c r="BX368" i="12" s="1"/>
  <c r="BV368" i="12" s="1"/>
  <c r="BV369" i="12"/>
  <c r="BX373" i="12"/>
  <c r="BX401" i="12"/>
  <c r="BX402" i="12" s="1"/>
  <c r="BV402" i="12" s="1"/>
  <c r="BV403" i="12"/>
  <c r="BX407" i="12"/>
  <c r="BX286" i="12"/>
  <c r="BV199" i="12"/>
  <c r="BX204" i="12"/>
  <c r="BV204" i="12" s="1"/>
  <c r="BV262" i="12"/>
  <c r="BV256" i="12" s="1"/>
  <c r="BX267" i="12"/>
  <c r="BV267" i="12" s="1"/>
  <c r="BI237" i="12"/>
  <c r="BI238" i="12" s="1"/>
  <c r="BG238" i="12" s="1"/>
  <c r="BG239" i="12"/>
  <c r="BI244" i="12"/>
  <c r="BI258" i="12"/>
  <c r="BI259" i="12" s="1"/>
  <c r="BG259" i="12" s="1"/>
  <c r="BG260" i="12"/>
  <c r="BI265" i="12"/>
  <c r="BR258" i="12"/>
  <c r="BR259" i="12" s="1"/>
  <c r="BP259" i="12" s="1"/>
  <c r="BP260" i="12"/>
  <c r="BR265" i="12"/>
  <c r="BR237" i="12"/>
  <c r="BR238" i="12" s="1"/>
  <c r="BP238" i="12" s="1"/>
  <c r="BP239" i="12"/>
  <c r="BR244" i="12"/>
  <c r="CB330" i="12"/>
  <c r="BO424" i="12"/>
  <c r="BM353" i="12"/>
  <c r="BO357" i="12"/>
  <c r="BM357" i="12" s="1"/>
  <c r="BM387" i="12"/>
  <c r="BM382" i="12" s="1"/>
  <c r="BO391" i="12"/>
  <c r="BM391" i="12" s="1"/>
  <c r="BL284" i="12"/>
  <c r="BL195" i="12"/>
  <c r="BL196" i="12" s="1"/>
  <c r="BJ196" i="12" s="1"/>
  <c r="BJ197" i="12"/>
  <c r="BL202" i="12"/>
  <c r="BL258" i="12"/>
  <c r="BL259" i="12" s="1"/>
  <c r="BJ259" i="12" s="1"/>
  <c r="BJ260" i="12"/>
  <c r="BL265" i="12"/>
  <c r="BJ170" i="12"/>
  <c r="CS216" i="12"/>
  <c r="CS217" i="12" s="1"/>
  <c r="CQ217" i="12" s="1"/>
  <c r="CQ218" i="12"/>
  <c r="CS223" i="12"/>
  <c r="CS284" i="12"/>
  <c r="CS195" i="12"/>
  <c r="CS196" i="12" s="1"/>
  <c r="CQ196" i="12" s="1"/>
  <c r="CQ197" i="12"/>
  <c r="CS202" i="12"/>
  <c r="F95" i="31" a="1"/>
  <c r="F95" i="31" s="1"/>
  <c r="T94" i="31"/>
  <c r="AT423" i="12"/>
  <c r="AT350" i="12"/>
  <c r="AT351" i="12" s="1"/>
  <c r="AR351" i="12" s="1"/>
  <c r="AR352" i="12"/>
  <c r="AT356" i="12"/>
  <c r="AT384" i="12"/>
  <c r="AT385" i="12" s="1"/>
  <c r="AR385" i="12" s="1"/>
  <c r="AR386" i="12"/>
  <c r="AT390" i="12"/>
  <c r="BY370" i="12"/>
  <c r="BY365" i="12" s="1"/>
  <c r="CA374" i="12"/>
  <c r="BY374" i="12" s="1"/>
  <c r="BY404" i="12"/>
  <c r="BY399" i="12" s="1"/>
  <c r="CA408" i="12"/>
  <c r="BY408" i="12" s="1"/>
  <c r="AZ286" i="12"/>
  <c r="AX199" i="12"/>
  <c r="AZ204" i="12"/>
  <c r="AX204" i="12" s="1"/>
  <c r="AX262" i="12"/>
  <c r="AX256" i="12" s="1"/>
  <c r="AZ267" i="12"/>
  <c r="AX267" i="12" s="1"/>
  <c r="CG216" i="12"/>
  <c r="CG217" i="12" s="1"/>
  <c r="CE217" i="12" s="1"/>
  <c r="CE218" i="12"/>
  <c r="CG223" i="12"/>
  <c r="CG284" i="12"/>
  <c r="CG195" i="12"/>
  <c r="CG196" i="12" s="1"/>
  <c r="CE196" i="12" s="1"/>
  <c r="CE197" i="12"/>
  <c r="CG202" i="12"/>
  <c r="AR219" i="12"/>
  <c r="AR213" i="12" s="1"/>
  <c r="AT224" i="12"/>
  <c r="AR224" i="12" s="1"/>
  <c r="AT285" i="12"/>
  <c r="AR198" i="12"/>
  <c r="AT203" i="12"/>
  <c r="AR203" i="12" s="1"/>
  <c r="CN262" i="12"/>
  <c r="CN256" i="12" s="1"/>
  <c r="CP267" i="12"/>
  <c r="CN267" i="12" s="1"/>
  <c r="CN241" i="12"/>
  <c r="CN235" i="12" s="1"/>
  <c r="CP246" i="12"/>
  <c r="CN246" i="12" s="1"/>
  <c r="U96" i="8"/>
  <c r="F97" i="8" a="1"/>
  <c r="F97" i="8" s="1"/>
  <c r="AZ129" i="12"/>
  <c r="AZ72" i="12"/>
  <c r="AZ73" i="12" s="1"/>
  <c r="AX73" i="12" s="1"/>
  <c r="AX74" i="12"/>
  <c r="AZ77" i="12"/>
  <c r="AZ85" i="12"/>
  <c r="AZ86" i="12" s="1"/>
  <c r="AX86" i="12" s="1"/>
  <c r="AX87" i="12"/>
  <c r="AZ90" i="12"/>
  <c r="BD330" i="12"/>
  <c r="F89" i="30" a="1"/>
  <c r="F89" i="30" s="1"/>
  <c r="T88" i="30"/>
  <c r="M108" i="28" a="1"/>
  <c r="M108" i="28" s="1"/>
  <c r="AS107" i="28" a="1"/>
  <c r="AS107" i="28" s="1"/>
  <c r="CB240" i="12"/>
  <c r="CB234" i="12" s="1"/>
  <c r="CD245" i="12"/>
  <c r="CB245" i="12" s="1"/>
  <c r="CB261" i="12"/>
  <c r="CB255" i="12" s="1"/>
  <c r="CD266" i="12"/>
  <c r="CB266" i="12" s="1"/>
  <c r="CS424" i="12"/>
  <c r="CQ353" i="12"/>
  <c r="CS357" i="12"/>
  <c r="CQ357" i="12" s="1"/>
  <c r="CQ387" i="12"/>
  <c r="CQ382" i="12" s="1"/>
  <c r="CS391" i="12"/>
  <c r="CQ391" i="12" s="1"/>
  <c r="CP423" i="12"/>
  <c r="CP350" i="12"/>
  <c r="CP351" i="12" s="1"/>
  <c r="CN351" i="12" s="1"/>
  <c r="CN352" i="12"/>
  <c r="CP356" i="12"/>
  <c r="CP384" i="12"/>
  <c r="CP385" i="12" s="1"/>
  <c r="CN385" i="12" s="1"/>
  <c r="CN386" i="12"/>
  <c r="CP390" i="12"/>
  <c r="BY219" i="12"/>
  <c r="BY213" i="12" s="1"/>
  <c r="CA224" i="12"/>
  <c r="BY224" i="12" s="1"/>
  <c r="BY240" i="12"/>
  <c r="BY234" i="12" s="1"/>
  <c r="CA245" i="12"/>
  <c r="BY245" i="12" s="1"/>
  <c r="BY220" i="12"/>
  <c r="BY214" i="12" s="1"/>
  <c r="CA225" i="12"/>
  <c r="BY225" i="12" s="1"/>
  <c r="BY241" i="12"/>
  <c r="BY235" i="12" s="1"/>
  <c r="CA246" i="12"/>
  <c r="BY246" i="12" s="1"/>
  <c r="BF98" i="12"/>
  <c r="BF99" i="12" s="1"/>
  <c r="BD99" i="12" s="1"/>
  <c r="BD100" i="12"/>
  <c r="BF103" i="12"/>
  <c r="BF111" i="12"/>
  <c r="BF112" i="12" s="1"/>
  <c r="BD112" i="12" s="1"/>
  <c r="BD113" i="12"/>
  <c r="BF116" i="12"/>
  <c r="AW367" i="12"/>
  <c r="AW368" i="12" s="1"/>
  <c r="AU368" i="12" s="1"/>
  <c r="AU369" i="12"/>
  <c r="AW373" i="12"/>
  <c r="AW401" i="12"/>
  <c r="AW402" i="12" s="1"/>
  <c r="AU402" i="12" s="1"/>
  <c r="AU403" i="12"/>
  <c r="AW407" i="12"/>
  <c r="AU330" i="12"/>
  <c r="BJ370" i="12"/>
  <c r="BJ365" i="12" s="1"/>
  <c r="BL374" i="12"/>
  <c r="BJ374" i="12" s="1"/>
  <c r="BJ404" i="12"/>
  <c r="BJ399" i="12" s="1"/>
  <c r="BL408" i="12"/>
  <c r="BJ408" i="12" s="1"/>
  <c r="BO285" i="12"/>
  <c r="BM198" i="12"/>
  <c r="BO203" i="12"/>
  <c r="BM203" i="12" s="1"/>
  <c r="BM261" i="12"/>
  <c r="BM255" i="12" s="1"/>
  <c r="BO266" i="12"/>
  <c r="BM266" i="12" s="1"/>
  <c r="BO286" i="12"/>
  <c r="BM199" i="12"/>
  <c r="BO204" i="12"/>
  <c r="BM204" i="12" s="1"/>
  <c r="BM262" i="12"/>
  <c r="BM256" i="12" s="1"/>
  <c r="BO267" i="12"/>
  <c r="BM267" i="12" s="1"/>
  <c r="BI85" i="12"/>
  <c r="BI86" i="12" s="1"/>
  <c r="BG86" i="12" s="1"/>
  <c r="BG87" i="12"/>
  <c r="BI90" i="12"/>
  <c r="BI129" i="12"/>
  <c r="BI72" i="12"/>
  <c r="BI73" i="12" s="1"/>
  <c r="BG73" i="12" s="1"/>
  <c r="BG74" i="12"/>
  <c r="BI77" i="12"/>
  <c r="AL219" i="12"/>
  <c r="AL213" i="12" s="1"/>
  <c r="AN224" i="12"/>
  <c r="AL224" i="12" s="1"/>
  <c r="AL240" i="12"/>
  <c r="AL234" i="12" s="1"/>
  <c r="AN245" i="12"/>
  <c r="AL245" i="12" s="1"/>
  <c r="CH220" i="12"/>
  <c r="CH214" i="12" s="1"/>
  <c r="CJ225" i="12"/>
  <c r="CH225" i="12" s="1"/>
  <c r="CH241" i="12"/>
  <c r="CH235" i="12" s="1"/>
  <c r="CJ246" i="12"/>
  <c r="CH246" i="12" s="1"/>
  <c r="CD284" i="12"/>
  <c r="CD195" i="12"/>
  <c r="CD196" i="12" s="1"/>
  <c r="CB196" i="12" s="1"/>
  <c r="CB197" i="12"/>
  <c r="CD202" i="12"/>
  <c r="CD216" i="12"/>
  <c r="CD217" i="12" s="1"/>
  <c r="CB217" i="12" s="1"/>
  <c r="CB218" i="12"/>
  <c r="CD223" i="12"/>
  <c r="CB170" i="12"/>
  <c r="CJ423" i="12"/>
  <c r="CJ350" i="12"/>
  <c r="CJ351" i="12" s="1"/>
  <c r="CH351" i="12" s="1"/>
  <c r="CH352" i="12"/>
  <c r="CJ356" i="12"/>
  <c r="CJ384" i="12"/>
  <c r="CJ385" i="12" s="1"/>
  <c r="CH385" i="12" s="1"/>
  <c r="CH386" i="12"/>
  <c r="CJ390" i="12"/>
  <c r="CJ98" i="12"/>
  <c r="CJ99" i="12" s="1"/>
  <c r="CH99" i="12" s="1"/>
  <c r="CH100" i="12"/>
  <c r="CJ103" i="12"/>
  <c r="CJ111" i="12"/>
  <c r="CJ112" i="12" s="1"/>
  <c r="CH112" i="12" s="1"/>
  <c r="CH113" i="12"/>
  <c r="CJ116" i="12"/>
  <c r="BU424" i="12"/>
  <c r="BS353" i="12"/>
  <c r="BU357" i="12"/>
  <c r="BS357" i="12" s="1"/>
  <c r="BS387" i="12"/>
  <c r="BS382" i="12" s="1"/>
  <c r="BU391" i="12"/>
  <c r="BS391" i="12" s="1"/>
  <c r="BP370" i="12"/>
  <c r="BP365" i="12" s="1"/>
  <c r="BR374" i="12"/>
  <c r="BP374" i="12" s="1"/>
  <c r="BR424" i="12"/>
  <c r="BP353" i="12"/>
  <c r="BR357" i="12"/>
  <c r="BP357" i="12" s="1"/>
  <c r="AN284" i="12"/>
  <c r="AN195" i="12"/>
  <c r="AN196" i="12" s="1"/>
  <c r="AL196" i="12" s="1"/>
  <c r="AL197" i="12"/>
  <c r="AN202" i="12"/>
  <c r="AN258" i="12"/>
  <c r="AN259" i="12" s="1"/>
  <c r="AL259" i="12" s="1"/>
  <c r="AL260" i="12"/>
  <c r="AN265" i="12"/>
  <c r="CD424" i="12"/>
  <c r="CB353" i="12"/>
  <c r="CD357" i="12"/>
  <c r="CB357" i="12" s="1"/>
  <c r="CB387" i="12"/>
  <c r="CB382" i="12" s="1"/>
  <c r="CD391" i="12"/>
  <c r="CB391" i="12" s="1"/>
  <c r="BC111" i="12"/>
  <c r="BC112" i="12" s="1"/>
  <c r="BA112" i="12" s="1"/>
  <c r="BA113" i="12"/>
  <c r="BC116" i="12"/>
  <c r="BC98" i="12"/>
  <c r="BC99" i="12" s="1"/>
  <c r="BA99" i="12" s="1"/>
  <c r="BA100" i="12"/>
  <c r="BC103" i="12"/>
  <c r="BF258" i="12"/>
  <c r="BF259" i="12" s="1"/>
  <c r="BD259" i="12" s="1"/>
  <c r="BD260" i="12"/>
  <c r="BF265" i="12"/>
  <c r="BF237" i="12"/>
  <c r="BF238" i="12" s="1"/>
  <c r="BD238" i="12" s="1"/>
  <c r="BD239" i="12"/>
  <c r="BF244" i="12"/>
  <c r="BO367" i="12"/>
  <c r="BO368" i="12" s="1"/>
  <c r="BM368" i="12" s="1"/>
  <c r="BM369" i="12"/>
  <c r="BO373" i="12"/>
  <c r="BO401" i="12"/>
  <c r="BO402" i="12" s="1"/>
  <c r="BM402" i="12" s="1"/>
  <c r="BM403" i="12"/>
  <c r="BO407" i="12"/>
  <c r="T96" i="27"/>
  <c r="F97" i="27" a="1"/>
  <c r="F97" i="27" s="1"/>
  <c r="CM195" i="12"/>
  <c r="CM196" i="12" s="1"/>
  <c r="CK196" i="12" s="1"/>
  <c r="CM284" i="12"/>
  <c r="CK197" i="12"/>
  <c r="CM202" i="12"/>
  <c r="CM258" i="12"/>
  <c r="CM259" i="12" s="1"/>
  <c r="CK259" i="12" s="1"/>
  <c r="CK260" i="12"/>
  <c r="CM265" i="12"/>
  <c r="CK170" i="12"/>
  <c r="BJ220" i="12"/>
  <c r="BJ214" i="12" s="1"/>
  <c r="BL225" i="12"/>
  <c r="BJ225" i="12" s="1"/>
  <c r="BJ241" i="12"/>
  <c r="BJ235" i="12" s="1"/>
  <c r="BL246" i="12"/>
  <c r="BJ246" i="12" s="1"/>
  <c r="CG350" i="12"/>
  <c r="CG351" i="12" s="1"/>
  <c r="CE351" i="12" s="1"/>
  <c r="CG423" i="12"/>
  <c r="CE352" i="12"/>
  <c r="CG356" i="12"/>
  <c r="CG384" i="12"/>
  <c r="CG385" i="12" s="1"/>
  <c r="CE385" i="12" s="1"/>
  <c r="CE386" i="12"/>
  <c r="CG390" i="12"/>
  <c r="AZ284" i="12"/>
  <c r="AZ195" i="12"/>
  <c r="AZ196" i="12" s="1"/>
  <c r="AX196" i="12" s="1"/>
  <c r="AX197" i="12"/>
  <c r="AZ202" i="12"/>
  <c r="AZ258" i="12"/>
  <c r="AZ259" i="12" s="1"/>
  <c r="AX259" i="12" s="1"/>
  <c r="AX260" i="12"/>
  <c r="AZ265" i="12"/>
  <c r="AX170" i="12"/>
  <c r="CG285" i="12"/>
  <c r="CE198" i="12"/>
  <c r="CG203" i="12"/>
  <c r="CE203" i="12" s="1"/>
  <c r="CE219" i="12"/>
  <c r="CE213" i="12" s="1"/>
  <c r="CG224" i="12"/>
  <c r="CE224" i="12" s="1"/>
  <c r="CE241" i="12"/>
  <c r="CE235" i="12" s="1"/>
  <c r="CG246" i="12"/>
  <c r="CE246" i="12" s="1"/>
  <c r="CE262" i="12"/>
  <c r="CE256" i="12" s="1"/>
  <c r="CG267" i="12"/>
  <c r="CE267" i="12" s="1"/>
  <c r="CP129" i="12"/>
  <c r="CP72" i="12"/>
  <c r="CP73" i="12" s="1"/>
  <c r="CN73" i="12" s="1"/>
  <c r="CN74" i="12"/>
  <c r="CP77" i="12"/>
  <c r="CP85" i="12"/>
  <c r="CP86" i="12" s="1"/>
  <c r="CN86" i="12" s="1"/>
  <c r="CN87" i="12"/>
  <c r="CP90" i="12"/>
  <c r="CN219" i="12"/>
  <c r="CN213" i="12" s="1"/>
  <c r="CP224" i="12"/>
  <c r="CN224" i="12" s="1"/>
  <c r="CP285" i="12"/>
  <c r="CN198" i="12"/>
  <c r="CP203" i="12"/>
  <c r="CN203" i="12" s="1"/>
  <c r="AO370" i="12"/>
  <c r="AO365" i="12" s="1"/>
  <c r="AQ374" i="12"/>
  <c r="AO374" i="12" s="1"/>
  <c r="AO404" i="12"/>
  <c r="AO399" i="12" s="1"/>
  <c r="AQ408" i="12"/>
  <c r="AO408" i="12" s="1"/>
  <c r="BF424" i="12"/>
  <c r="BD353" i="12"/>
  <c r="BF357" i="12"/>
  <c r="BD357" i="12" s="1"/>
  <c r="BD387" i="12"/>
  <c r="BD382" i="12" s="1"/>
  <c r="BF391" i="12"/>
  <c r="BD391" i="12" s="1"/>
  <c r="BS261" i="12"/>
  <c r="BS255" i="12" s="1"/>
  <c r="BU266" i="12"/>
  <c r="BS266" i="12" s="1"/>
  <c r="BS240" i="12"/>
  <c r="BS234" i="12" s="1"/>
  <c r="BU245" i="12"/>
  <c r="BS245" i="12" s="1"/>
  <c r="BS220" i="12"/>
  <c r="BS214" i="12" s="1"/>
  <c r="BU225" i="12"/>
  <c r="BS225" i="12" s="1"/>
  <c r="BU286" i="12"/>
  <c r="BS199" i="12"/>
  <c r="BU204" i="12"/>
  <c r="BS204" i="12" s="1"/>
  <c r="BR98" i="12"/>
  <c r="BR99" i="12" s="1"/>
  <c r="BP99" i="12" s="1"/>
  <c r="BP100" i="12"/>
  <c r="BR103" i="12"/>
  <c r="BR111" i="12"/>
  <c r="BR112" i="12" s="1"/>
  <c r="BP112" i="12" s="1"/>
  <c r="BP113" i="12"/>
  <c r="BR116" i="12"/>
  <c r="T152" i="27"/>
  <c r="F153" i="27" a="1"/>
  <c r="F153" i="27" s="1"/>
  <c r="CB262" i="12"/>
  <c r="CB256" i="12" s="1"/>
  <c r="CD267" i="12"/>
  <c r="CB267" i="12" s="1"/>
  <c r="CB241" i="12"/>
  <c r="CB235" i="12" s="1"/>
  <c r="CD246" i="12"/>
  <c r="CB246" i="12" s="1"/>
  <c r="AE141" i="27"/>
  <c r="AG141" i="27"/>
  <c r="AH141" i="27" s="1"/>
  <c r="AF84" i="27"/>
  <c r="AH84" i="27" s="1"/>
  <c r="CH370" i="12"/>
  <c r="CH365" i="12" s="1"/>
  <c r="CJ374" i="12"/>
  <c r="CH374" i="12" s="1"/>
  <c r="CH404" i="12"/>
  <c r="CH399" i="12" s="1"/>
  <c r="CJ408" i="12"/>
  <c r="CH408" i="12" s="1"/>
  <c r="CP424" i="12"/>
  <c r="CN353" i="12"/>
  <c r="CP357" i="12"/>
  <c r="CN357" i="12" s="1"/>
  <c r="CN387" i="12"/>
  <c r="CN382" i="12" s="1"/>
  <c r="CP391" i="12"/>
  <c r="CN391" i="12" s="1"/>
  <c r="AQ111" i="12"/>
  <c r="AQ112" i="12" s="1"/>
  <c r="AO112" i="12" s="1"/>
  <c r="AO113" i="12"/>
  <c r="AQ116" i="12"/>
  <c r="AQ98" i="12"/>
  <c r="AQ99" i="12" s="1"/>
  <c r="AO99" i="12" s="1"/>
  <c r="AO100" i="12"/>
  <c r="AQ103" i="12"/>
  <c r="CG111" i="12"/>
  <c r="CG112" i="12" s="1"/>
  <c r="CE112" i="12" s="1"/>
  <c r="CE113" i="12"/>
  <c r="CG116" i="12"/>
  <c r="CG98" i="12"/>
  <c r="CG99" i="12" s="1"/>
  <c r="CE99" i="12" s="1"/>
  <c r="CE100" i="12"/>
  <c r="CG103" i="12"/>
  <c r="BU111" i="12"/>
  <c r="BU112" i="12" s="1"/>
  <c r="BS112" i="12" s="1"/>
  <c r="BS113" i="12"/>
  <c r="BU116" i="12"/>
  <c r="BU98" i="12"/>
  <c r="BU99" i="12" s="1"/>
  <c r="BS99" i="12" s="1"/>
  <c r="BS100" i="12"/>
  <c r="BU103" i="12"/>
  <c r="AU370" i="12"/>
  <c r="AU365" i="12" s="1"/>
  <c r="AW374" i="12"/>
  <c r="AU374" i="12" s="1"/>
  <c r="AU404" i="12"/>
  <c r="AU399" i="12" s="1"/>
  <c r="AW408" i="12"/>
  <c r="AU408" i="12" s="1"/>
  <c r="AX330" i="12"/>
  <c r="BP330" i="12"/>
  <c r="BL423" i="12"/>
  <c r="BL350" i="12"/>
  <c r="BL351" i="12" s="1"/>
  <c r="BJ351" i="12" s="1"/>
  <c r="BJ352" i="12"/>
  <c r="BL356" i="12"/>
  <c r="BL384" i="12"/>
  <c r="BL385" i="12" s="1"/>
  <c r="BJ385" i="12" s="1"/>
  <c r="BJ386" i="12"/>
  <c r="BL390" i="12"/>
  <c r="CM111" i="12"/>
  <c r="CM112" i="12" s="1"/>
  <c r="CK112" i="12" s="1"/>
  <c r="CK113" i="12"/>
  <c r="CM116" i="12"/>
  <c r="CM98" i="12"/>
  <c r="CM99" i="12" s="1"/>
  <c r="CK99" i="12" s="1"/>
  <c r="CK100" i="12"/>
  <c r="CM103" i="12"/>
  <c r="AL220" i="12"/>
  <c r="AL214" i="12" s="1"/>
  <c r="AN225" i="12"/>
  <c r="AL225" i="12" s="1"/>
  <c r="AL241" i="12"/>
  <c r="AL235" i="12" s="1"/>
  <c r="AN246" i="12"/>
  <c r="AL246" i="12" s="1"/>
  <c r="CJ284" i="12"/>
  <c r="CJ195" i="12"/>
  <c r="CJ196" i="12" s="1"/>
  <c r="CH196" i="12" s="1"/>
  <c r="CH197" i="12"/>
  <c r="CJ202" i="12"/>
  <c r="CJ258" i="12"/>
  <c r="CJ259" i="12" s="1"/>
  <c r="CH259" i="12" s="1"/>
  <c r="CH260" i="12"/>
  <c r="CJ265" i="12"/>
  <c r="CH170" i="12"/>
  <c r="CM424" i="12"/>
  <c r="CK353" i="12"/>
  <c r="CM357" i="12"/>
  <c r="CK357" i="12" s="1"/>
  <c r="CK387" i="12"/>
  <c r="CK382" i="12" s="1"/>
  <c r="CM391" i="12"/>
  <c r="CK391" i="12" s="1"/>
  <c r="BV370" i="12"/>
  <c r="BV365" i="12" s="1"/>
  <c r="BX374" i="12"/>
  <c r="BV374" i="12" s="1"/>
  <c r="BV404" i="12"/>
  <c r="BV399" i="12" s="1"/>
  <c r="BX408" i="12"/>
  <c r="BV408" i="12" s="1"/>
  <c r="BX284" i="12"/>
  <c r="BX195" i="12"/>
  <c r="BX196" i="12" s="1"/>
  <c r="BV196" i="12" s="1"/>
  <c r="BV197" i="12"/>
  <c r="BX202" i="12"/>
  <c r="BX258" i="12"/>
  <c r="BX259" i="12" s="1"/>
  <c r="BV259" i="12" s="1"/>
  <c r="BV260" i="12"/>
  <c r="BX265" i="12"/>
  <c r="BV170" i="12"/>
  <c r="CM350" i="12"/>
  <c r="CM351" i="12" s="1"/>
  <c r="CK351" i="12" s="1"/>
  <c r="CM423" i="12"/>
  <c r="CK352" i="12"/>
  <c r="CM356" i="12"/>
  <c r="CM384" i="12"/>
  <c r="CM385" i="12" s="1"/>
  <c r="CK385" i="12" s="1"/>
  <c r="CK386" i="12"/>
  <c r="CM390" i="12"/>
  <c r="BV330" i="12"/>
  <c r="U45" i="6"/>
  <c r="F46" i="6" a="1"/>
  <c r="F46" i="6" s="1"/>
  <c r="U46" i="6" s="1"/>
  <c r="AT98" i="12"/>
  <c r="AT99" i="12" s="1"/>
  <c r="AR99" i="12" s="1"/>
  <c r="AR100" i="12"/>
  <c r="AT103" i="12"/>
  <c r="AT111" i="12"/>
  <c r="AT112" i="12" s="1"/>
  <c r="AR112" i="12" s="1"/>
  <c r="AR113" i="12"/>
  <c r="AT116" i="12"/>
  <c r="BP240" i="12"/>
  <c r="BP234" i="12" s="1"/>
  <c r="BR245" i="12"/>
  <c r="BP245" i="12" s="1"/>
  <c r="BP261" i="12"/>
  <c r="BP255" i="12" s="1"/>
  <c r="BR266" i="12"/>
  <c r="BP266" i="12" s="1"/>
  <c r="AB83" i="18" a="1"/>
  <c r="AB83" i="18" s="1"/>
  <c r="V83" i="18" a="1"/>
  <c r="V83" i="18" s="1"/>
  <c r="S58" i="12" a="1"/>
  <c r="S58" i="12" s="1"/>
  <c r="U57" i="12"/>
  <c r="M70" i="31" a="1"/>
  <c r="M70" i="31" s="1"/>
  <c r="BI69" i="31" a="1"/>
  <c r="BI69" i="31" s="1"/>
  <c r="M43" i="31" a="1"/>
  <c r="M43" i="31" s="1"/>
  <c r="BI42" i="31" a="1"/>
  <c r="BI42" i="31" s="1"/>
  <c r="F48" i="13" a="1"/>
  <c r="F48" i="13" s="1"/>
  <c r="T47" i="13"/>
  <c r="T49" i="13" s="1" a="1"/>
  <c r="T49" i="13" s="1"/>
  <c r="CD423" i="12"/>
  <c r="CD350" i="12"/>
  <c r="CD351" i="12" s="1"/>
  <c r="CB351" i="12" s="1"/>
  <c r="CB352" i="12"/>
  <c r="CD356" i="12"/>
  <c r="CD384" i="12"/>
  <c r="CD385" i="12" s="1"/>
  <c r="CB385" i="12" s="1"/>
  <c r="CB386" i="12"/>
  <c r="CD390" i="12"/>
  <c r="BD262" i="12"/>
  <c r="BD256" i="12" s="1"/>
  <c r="BF267" i="12"/>
  <c r="BD267" i="12" s="1"/>
  <c r="BD241" i="12"/>
  <c r="BD235" i="12" s="1"/>
  <c r="BF246" i="12"/>
  <c r="BD246" i="12" s="1"/>
  <c r="BC216" i="12"/>
  <c r="BC217" i="12" s="1"/>
  <c r="BA217" i="12" s="1"/>
  <c r="BA218" i="12"/>
  <c r="BC223" i="12"/>
  <c r="BC237" i="12"/>
  <c r="BC238" i="12" s="1"/>
  <c r="BA238" i="12" s="1"/>
  <c r="BA239" i="12"/>
  <c r="BC244" i="12"/>
  <c r="F41" i="31" a="1"/>
  <c r="F41" i="31" s="1"/>
  <c r="T40" i="31"/>
  <c r="AN423" i="12"/>
  <c r="AN350" i="12"/>
  <c r="AN351" i="12" s="1"/>
  <c r="AL351" i="12" s="1"/>
  <c r="AL352" i="12"/>
  <c r="AN356" i="12"/>
  <c r="AN384" i="12"/>
  <c r="AN385" i="12" s="1"/>
  <c r="AL385" i="12" s="1"/>
  <c r="AL386" i="12"/>
  <c r="AN390" i="12"/>
  <c r="BO111" i="12"/>
  <c r="BO112" i="12" s="1"/>
  <c r="BM112" i="12" s="1"/>
  <c r="BM113" i="12"/>
  <c r="BO116" i="12"/>
  <c r="BO98" i="12"/>
  <c r="BO99" i="12" s="1"/>
  <c r="BM99" i="12" s="1"/>
  <c r="BM100" i="12"/>
  <c r="BO103" i="12"/>
  <c r="H107" i="18"/>
  <c r="F108" i="18" a="1"/>
  <c r="F108" i="18" s="1"/>
  <c r="T107" i="18"/>
  <c r="AO219" i="12"/>
  <c r="AO213" i="12" s="1"/>
  <c r="AQ224" i="12"/>
  <c r="AO224" i="12" s="1"/>
  <c r="AO240" i="12"/>
  <c r="AO234" i="12" s="1"/>
  <c r="AQ245" i="12"/>
  <c r="AO245" i="12" s="1"/>
  <c r="AO220" i="12"/>
  <c r="AO214" i="12" s="1"/>
  <c r="AQ225" i="12"/>
  <c r="AO225" i="12" s="1"/>
  <c r="AO241" i="12"/>
  <c r="AO235" i="12" s="1"/>
  <c r="AQ246" i="12"/>
  <c r="AO246" i="12" s="1"/>
  <c r="CK219" i="12"/>
  <c r="CK213" i="12" s="1"/>
  <c r="CM224" i="12"/>
  <c r="CK224" i="12" s="1"/>
  <c r="CK240" i="12"/>
  <c r="CK234" i="12" s="1"/>
  <c r="CM245" i="12"/>
  <c r="CK245" i="12" s="1"/>
  <c r="CK220" i="12"/>
  <c r="CK214" i="12" s="1"/>
  <c r="CM225" i="12"/>
  <c r="CK225" i="12" s="1"/>
  <c r="CK241" i="12"/>
  <c r="CK235" i="12" s="1"/>
  <c r="CM246" i="12"/>
  <c r="CK246" i="12" s="1"/>
  <c r="CD98" i="12"/>
  <c r="CD99" i="12" s="1"/>
  <c r="CB99" i="12" s="1"/>
  <c r="CB100" i="12"/>
  <c r="CD103" i="12"/>
  <c r="CD111" i="12"/>
  <c r="CD112" i="12" s="1"/>
  <c r="CB112" i="12" s="1"/>
  <c r="CB113" i="12"/>
  <c r="CD116" i="12"/>
  <c r="BL285" i="12"/>
  <c r="BJ198" i="12"/>
  <c r="BL203" i="12"/>
  <c r="BJ203" i="12" s="1"/>
  <c r="BJ261" i="12"/>
  <c r="BJ255" i="12" s="1"/>
  <c r="BL266" i="12"/>
  <c r="BJ266" i="12" s="1"/>
  <c r="AB52" i="18" a="1"/>
  <c r="AB52" i="18" s="1"/>
  <c r="V52" i="18" a="1"/>
  <c r="V52" i="18" s="1"/>
  <c r="M41" i="28" a="1"/>
  <c r="M41" i="28" s="1"/>
  <c r="AS40" i="28" a="1"/>
  <c r="AS40" i="28" s="1"/>
  <c r="N96" i="27" a="1"/>
  <c r="N96" i="27" s="1"/>
  <c r="BX95" i="27" a="1"/>
  <c r="BX95" i="27" s="1"/>
  <c r="X246" i="12"/>
  <c r="CY241" i="12" a="1"/>
  <c r="CY241" i="12" s="1"/>
  <c r="AE246" i="12" a="1"/>
  <c r="AE246" i="12" s="1"/>
  <c r="AR330" i="12"/>
  <c r="CG424" i="12"/>
  <c r="CE353" i="12"/>
  <c r="CG357" i="12"/>
  <c r="CE357" i="12" s="1"/>
  <c r="CE387" i="12"/>
  <c r="CE382" i="12" s="1"/>
  <c r="CG391" i="12"/>
  <c r="CE391" i="12" s="1"/>
  <c r="BC367" i="12"/>
  <c r="BC368" i="12" s="1"/>
  <c r="BA368" i="12" s="1"/>
  <c r="BA369" i="12"/>
  <c r="BC373" i="12"/>
  <c r="BC401" i="12"/>
  <c r="BC402" i="12" s="1"/>
  <c r="BA402" i="12" s="1"/>
  <c r="BA403" i="12"/>
  <c r="BC407" i="12"/>
  <c r="BA330" i="12"/>
  <c r="AL117" i="28"/>
  <c r="F119" i="28" a="1"/>
  <c r="F119" i="28" s="1"/>
  <c r="AJ118" i="28"/>
  <c r="AF118" i="28"/>
  <c r="AK118" i="28"/>
  <c r="AI118" i="28"/>
  <c r="AL118" i="28" s="1"/>
  <c r="AG118" i="28"/>
  <c r="AE118" i="28"/>
  <c r="L225" i="12" a="1"/>
  <c r="L225" i="12" s="1"/>
  <c r="T224" i="12"/>
  <c r="AT258" i="12"/>
  <c r="AT259" i="12" s="1"/>
  <c r="AR259" i="12" s="1"/>
  <c r="AR260" i="12"/>
  <c r="AT265" i="12"/>
  <c r="AT237" i="12"/>
  <c r="AT238" i="12" s="1"/>
  <c r="AR238" i="12" s="1"/>
  <c r="AR239" i="12"/>
  <c r="AT244" i="12"/>
  <c r="AQ367" i="12"/>
  <c r="AQ368" i="12" s="1"/>
  <c r="AO368" i="12" s="1"/>
  <c r="AO369" i="12"/>
  <c r="AQ373" i="12"/>
  <c r="AQ401" i="12"/>
  <c r="AQ402" i="12" s="1"/>
  <c r="AO402" i="12" s="1"/>
  <c r="AO403" i="12"/>
  <c r="AQ407" i="12"/>
  <c r="AO330" i="12"/>
  <c r="BF367" i="12"/>
  <c r="BF368" i="12" s="1"/>
  <c r="BD368" i="12" s="1"/>
  <c r="BD369" i="12"/>
  <c r="BF373" i="12"/>
  <c r="BF401" i="12"/>
  <c r="BF402" i="12" s="1"/>
  <c r="BD402" i="12" s="1"/>
  <c r="BD403" i="12"/>
  <c r="BF407" i="12"/>
  <c r="BU216" i="12"/>
  <c r="BU217" i="12" s="1"/>
  <c r="BS217" i="12" s="1"/>
  <c r="BS218" i="12"/>
  <c r="BU223" i="12"/>
  <c r="BU284" i="12"/>
  <c r="BU195" i="12"/>
  <c r="BU196" i="12" s="1"/>
  <c r="BS196" i="12" s="1"/>
  <c r="BS197" i="12"/>
  <c r="BU202" i="12"/>
  <c r="AG28" i="23" a="1"/>
  <c r="AG28" i="23" s="1"/>
  <c r="AG29" i="27" s="1"/>
  <c r="AH46" i="23"/>
  <c r="AH28" i="23" s="1" a="1"/>
  <c r="AH28" i="23" s="1"/>
  <c r="AZ424" i="12"/>
  <c r="AX353" i="12"/>
  <c r="AZ357" i="12"/>
  <c r="AX357" i="12" s="1"/>
  <c r="AX387" i="12"/>
  <c r="AX382" i="12" s="1"/>
  <c r="AZ391" i="12"/>
  <c r="AX391" i="12" s="1"/>
  <c r="BI367" i="12"/>
  <c r="BI368" i="12" s="1"/>
  <c r="BG368" i="12" s="1"/>
  <c r="BG369" i="12"/>
  <c r="BI373" i="12"/>
  <c r="BI401" i="12"/>
  <c r="BI402" i="12" s="1"/>
  <c r="BG402" i="12" s="1"/>
  <c r="BG403" i="12"/>
  <c r="BI407" i="12"/>
  <c r="BG330" i="12"/>
  <c r="AL170" i="12"/>
  <c r="AW111" i="12"/>
  <c r="AW112" i="12" s="1"/>
  <c r="AU112" i="12" s="1"/>
  <c r="AU113" i="12"/>
  <c r="AW116" i="12"/>
  <c r="AW98" i="12"/>
  <c r="AW99" i="12" s="1"/>
  <c r="AU99" i="12" s="1"/>
  <c r="AU100" i="12"/>
  <c r="AW103" i="12"/>
  <c r="BD240" i="12"/>
  <c r="BD234" i="12" s="1"/>
  <c r="BF245" i="12"/>
  <c r="BD245" i="12" s="1"/>
  <c r="BD261" i="12"/>
  <c r="BD255" i="12" s="1"/>
  <c r="BF266" i="12"/>
  <c r="BD266" i="12" s="1"/>
  <c r="AH50" i="28"/>
  <c r="BA219" i="12"/>
  <c r="BA213" i="12" s="1"/>
  <c r="BC224" i="12"/>
  <c r="BA224" i="12" s="1"/>
  <c r="BA240" i="12"/>
  <c r="BA234" i="12" s="1"/>
  <c r="BC245" i="12"/>
  <c r="BA245" i="12" s="1"/>
  <c r="BA220" i="12"/>
  <c r="BA214" i="12" s="1"/>
  <c r="BC225" i="12"/>
  <c r="BA225" i="12" s="1"/>
  <c r="BA241" i="12"/>
  <c r="BA235" i="12" s="1"/>
  <c r="BC246" i="12"/>
  <c r="BA246" i="12" s="1"/>
  <c r="AL370" i="12"/>
  <c r="AL365" i="12" s="1"/>
  <c r="AN374" i="12"/>
  <c r="AL374" i="12" s="1"/>
  <c r="AL404" i="12"/>
  <c r="AL399" i="12" s="1"/>
  <c r="AN408" i="12"/>
  <c r="AL408" i="12" s="1"/>
  <c r="AQ195" i="12"/>
  <c r="AQ196" i="12" s="1"/>
  <c r="AO196" i="12" s="1"/>
  <c r="AQ284" i="12"/>
  <c r="AO197" i="12"/>
  <c r="AQ202" i="12"/>
  <c r="AQ258" i="12"/>
  <c r="AQ259" i="12" s="1"/>
  <c r="AO259" i="12" s="1"/>
  <c r="AO260" i="12"/>
  <c r="AQ265" i="12"/>
  <c r="CA111" i="12"/>
  <c r="CA112" i="12" s="1"/>
  <c r="BY112" i="12" s="1"/>
  <c r="BY113" i="12"/>
  <c r="CA116" i="12"/>
  <c r="CA98" i="12"/>
  <c r="CA99" i="12" s="1"/>
  <c r="BY99" i="12" s="1"/>
  <c r="BY100" i="12"/>
  <c r="CA103" i="12"/>
  <c r="CQ261" i="12"/>
  <c r="CQ255" i="12" s="1"/>
  <c r="CS266" i="12"/>
  <c r="CQ266" i="12" s="1"/>
  <c r="CQ240" i="12"/>
  <c r="CQ234" i="12" s="1"/>
  <c r="CS245" i="12"/>
  <c r="CQ245" i="12" s="1"/>
  <c r="CQ220" i="12"/>
  <c r="CQ214" i="12" s="1"/>
  <c r="CS225" i="12"/>
  <c r="CQ225" i="12" s="1"/>
  <c r="CS286" i="12"/>
  <c r="CQ199" i="12"/>
  <c r="CS204" i="12"/>
  <c r="CQ204" i="12" s="1"/>
  <c r="CY391" i="12" a="1"/>
  <c r="CY391" i="12" s="1"/>
  <c r="AE395" i="12" a="1"/>
  <c r="AE395" i="12" s="1"/>
  <c r="X395" i="12"/>
  <c r="S169" i="12" a="1"/>
  <c r="S169" i="12" s="1"/>
  <c r="U168" i="12"/>
  <c r="T67" i="31"/>
  <c r="F68" i="31" a="1"/>
  <c r="F68" i="31" s="1"/>
  <c r="N40" i="27" a="1"/>
  <c r="N40" i="27" s="1"/>
  <c r="BX39" i="27" a="1"/>
  <c r="BX39" i="27" s="1"/>
  <c r="AT424" i="12"/>
  <c r="AR353" i="12"/>
  <c r="AT357" i="12"/>
  <c r="AR357" i="12" s="1"/>
  <c r="AR387" i="12"/>
  <c r="AR382" i="12" s="1"/>
  <c r="AT391" i="12"/>
  <c r="AR391" i="12" s="1"/>
  <c r="CA367" i="12"/>
  <c r="CA368" i="12" s="1"/>
  <c r="BY368" i="12" s="1"/>
  <c r="BY369" i="12"/>
  <c r="CA373" i="12"/>
  <c r="CA401" i="12"/>
  <c r="CA402" i="12" s="1"/>
  <c r="BY402" i="12" s="1"/>
  <c r="BY403" i="12"/>
  <c r="CA407" i="12"/>
  <c r="BA370" i="12"/>
  <c r="BA365" i="12" s="1"/>
  <c r="BC374" i="12"/>
  <c r="BA374" i="12" s="1"/>
  <c r="BA404" i="12"/>
  <c r="BA399" i="12" s="1"/>
  <c r="BC408" i="12"/>
  <c r="BA408" i="12" s="1"/>
  <c r="AN129" i="12"/>
  <c r="AN72" i="12"/>
  <c r="AN73" i="12" s="1"/>
  <c r="AL73" i="12" s="1"/>
  <c r="AL74" i="12"/>
  <c r="AN77" i="12"/>
  <c r="AN85" i="12"/>
  <c r="AN86" i="12" s="1"/>
  <c r="AL86" i="12" s="1"/>
  <c r="AL87" i="12"/>
  <c r="AN90" i="12"/>
  <c r="AX219" i="12"/>
  <c r="AX213" i="12" s="1"/>
  <c r="AZ224" i="12"/>
  <c r="AX224" i="12" s="1"/>
  <c r="AX240" i="12"/>
  <c r="AX234" i="12" s="1"/>
  <c r="AZ245" i="12"/>
  <c r="AX245" i="12" s="1"/>
  <c r="AR262" i="12"/>
  <c r="AR256" i="12" s="1"/>
  <c r="AT267" i="12"/>
  <c r="AR267" i="12" s="1"/>
  <c r="AR241" i="12"/>
  <c r="AR235" i="12" s="1"/>
  <c r="AT246" i="12"/>
  <c r="AR246" i="12" s="1"/>
  <c r="CP284" i="12"/>
  <c r="CP195" i="12"/>
  <c r="CP196" i="12" s="1"/>
  <c r="CN196" i="12" s="1"/>
  <c r="CN197" i="12"/>
  <c r="CP202" i="12"/>
  <c r="CP216" i="12"/>
  <c r="CP217" i="12" s="1"/>
  <c r="CN217" i="12" s="1"/>
  <c r="CN218" i="12"/>
  <c r="CP223" i="12"/>
  <c r="BL129" i="12"/>
  <c r="BL72" i="12"/>
  <c r="BL73" i="12" s="1"/>
  <c r="BJ73" i="12" s="1"/>
  <c r="BJ74" i="12"/>
  <c r="BL77" i="12"/>
  <c r="BL85" i="12"/>
  <c r="BL86" i="12" s="1"/>
  <c r="BJ86" i="12" s="1"/>
  <c r="BJ87" i="12"/>
  <c r="BL90" i="12"/>
  <c r="CS85" i="12"/>
  <c r="CS86" i="12" s="1"/>
  <c r="CQ86" i="12" s="1"/>
  <c r="CQ87" i="12"/>
  <c r="CS90" i="12"/>
  <c r="CS129" i="12"/>
  <c r="CS72" i="12"/>
  <c r="CS73" i="12" s="1"/>
  <c r="CQ73" i="12" s="1"/>
  <c r="CQ74" i="12"/>
  <c r="CS77" i="12"/>
  <c r="AF250" i="12" a="1"/>
  <c r="AF250" i="12" s="1"/>
  <c r="CZ245" i="12" a="1"/>
  <c r="CZ245" i="12" s="1"/>
  <c r="CS350" i="12"/>
  <c r="CS351" i="12" s="1"/>
  <c r="CQ351" i="12" s="1"/>
  <c r="CS423" i="12"/>
  <c r="CQ352" i="12"/>
  <c r="CS356" i="12"/>
  <c r="CS384" i="12"/>
  <c r="CS385" i="12" s="1"/>
  <c r="CQ385" i="12" s="1"/>
  <c r="CQ386" i="12"/>
  <c r="CS390" i="12"/>
  <c r="AH184" i="28"/>
  <c r="CA216" i="12"/>
  <c r="CA217" i="12" s="1"/>
  <c r="BY217" i="12" s="1"/>
  <c r="BY218" i="12"/>
  <c r="CA223" i="12"/>
  <c r="CA237" i="12"/>
  <c r="CA238" i="12" s="1"/>
  <c r="BY238" i="12" s="1"/>
  <c r="BY239" i="12"/>
  <c r="CA244" i="12"/>
  <c r="BX98" i="12"/>
  <c r="BX99" i="12" s="1"/>
  <c r="BV99" i="12" s="1"/>
  <c r="BV100" i="12"/>
  <c r="BX103" i="12"/>
  <c r="BX111" i="12"/>
  <c r="BX112" i="12" s="1"/>
  <c r="BV112" i="12" s="1"/>
  <c r="BV113" i="12"/>
  <c r="BX116" i="12"/>
  <c r="AZ367" i="12"/>
  <c r="AZ368" i="12" s="1"/>
  <c r="AX368" i="12" s="1"/>
  <c r="AX369" i="12"/>
  <c r="AZ373" i="12"/>
  <c r="AZ401" i="12"/>
  <c r="AZ402" i="12" s="1"/>
  <c r="AX402" i="12" s="1"/>
  <c r="AX403" i="12"/>
  <c r="AZ407" i="12"/>
  <c r="BU350" i="12"/>
  <c r="BU351" i="12" s="1"/>
  <c r="BS351" i="12" s="1"/>
  <c r="BU423" i="12"/>
  <c r="BS352" i="12"/>
  <c r="BU356" i="12"/>
  <c r="BU384" i="12"/>
  <c r="BU385" i="12" s="1"/>
  <c r="BS385" i="12" s="1"/>
  <c r="BS386" i="12"/>
  <c r="BU390" i="12"/>
  <c r="BR423" i="12"/>
  <c r="BR350" i="12"/>
  <c r="BR351" i="12" s="1"/>
  <c r="BP351" i="12" s="1"/>
  <c r="BP352" i="12"/>
  <c r="BR356" i="12"/>
  <c r="BR384" i="12"/>
  <c r="BR385" i="12" s="1"/>
  <c r="BP385" i="12" s="1"/>
  <c r="BP386" i="12"/>
  <c r="BR390" i="12"/>
  <c r="BG370" i="12"/>
  <c r="BG365" i="12" s="1"/>
  <c r="BI374" i="12"/>
  <c r="BG374" i="12" s="1"/>
  <c r="BG404" i="12"/>
  <c r="BG399" i="12" s="1"/>
  <c r="BI408" i="12"/>
  <c r="BG408" i="12" s="1"/>
  <c r="BO195" i="12"/>
  <c r="BO196" i="12" s="1"/>
  <c r="BM196" i="12" s="1"/>
  <c r="BO284" i="12"/>
  <c r="BM197" i="12"/>
  <c r="BO202" i="12"/>
  <c r="BO258" i="12"/>
  <c r="BO259" i="12" s="1"/>
  <c r="BM259" i="12" s="1"/>
  <c r="BM260" i="12"/>
  <c r="BO265" i="12"/>
  <c r="CJ285" i="12"/>
  <c r="CH198" i="12"/>
  <c r="CJ203" i="12"/>
  <c r="CH203" i="12" s="1"/>
  <c r="CH261" i="12"/>
  <c r="CH255" i="12" s="1"/>
  <c r="CJ266" i="12"/>
  <c r="CH266" i="12" s="1"/>
  <c r="BV219" i="12"/>
  <c r="BV213" i="12" s="1"/>
  <c r="BX224" i="12"/>
  <c r="BV224" i="12" s="1"/>
  <c r="BV240" i="12"/>
  <c r="BV234" i="12" s="1"/>
  <c r="BX245" i="12"/>
  <c r="BV245" i="12" s="1"/>
  <c r="F47" i="21" a="1"/>
  <c r="F47" i="21" s="1"/>
  <c r="T46" i="21"/>
  <c r="M175" i="28" a="1"/>
  <c r="M175" i="28" s="1"/>
  <c r="AS174" i="28" a="1"/>
  <c r="AS174" i="28" s="1"/>
  <c r="AW285" i="12"/>
  <c r="AU198" i="12"/>
  <c r="AW203" i="12"/>
  <c r="AU203" i="12" s="1"/>
  <c r="AU219" i="12"/>
  <c r="AU213" i="12" s="1"/>
  <c r="AW224" i="12"/>
  <c r="AU224" i="12" s="1"/>
  <c r="AU241" i="12"/>
  <c r="AU235" i="12" s="1"/>
  <c r="AW246" i="12"/>
  <c r="AU246" i="12" s="1"/>
  <c r="AU262" i="12"/>
  <c r="AU256" i="12" s="1"/>
  <c r="AW267" i="12"/>
  <c r="AU267" i="12" s="1"/>
  <c r="F145" i="33" a="1"/>
  <c r="F145" i="33" s="1"/>
  <c r="BX423" i="12"/>
  <c r="BX350" i="12"/>
  <c r="BX351" i="12" s="1"/>
  <c r="BV351" i="12" s="1"/>
  <c r="BV352" i="12"/>
  <c r="BX356" i="12"/>
  <c r="BX384" i="12"/>
  <c r="BX385" i="12" s="1"/>
  <c r="BV385" i="12" s="1"/>
  <c r="BV386" i="12"/>
  <c r="BX390" i="12"/>
  <c r="BV220" i="12"/>
  <c r="BV214" i="12" s="1"/>
  <c r="BX225" i="12"/>
  <c r="BV225" i="12" s="1"/>
  <c r="BV241" i="12"/>
  <c r="BV235" i="12" s="1"/>
  <c r="BX246" i="12"/>
  <c r="BV246" i="12" s="1"/>
  <c r="F92" i="13" a="1"/>
  <c r="F92" i="13" s="1"/>
  <c r="T91" i="13"/>
  <c r="T93" i="13" s="1" a="1"/>
  <c r="T93" i="13" s="1"/>
  <c r="BI216" i="12"/>
  <c r="BI217" i="12" s="1"/>
  <c r="BG217" i="12" s="1"/>
  <c r="BG218" i="12"/>
  <c r="BI223" i="12"/>
  <c r="BI284" i="12"/>
  <c r="BI195" i="12"/>
  <c r="BI196" i="12" s="1"/>
  <c r="BG196" i="12" s="1"/>
  <c r="BG197" i="12"/>
  <c r="BI202" i="12"/>
  <c r="BR284" i="12"/>
  <c r="BR195" i="12"/>
  <c r="BR196" i="12" s="1"/>
  <c r="BP196" i="12" s="1"/>
  <c r="BP197" i="12"/>
  <c r="BR202" i="12"/>
  <c r="BR216" i="12"/>
  <c r="BR217" i="12" s="1"/>
  <c r="BP217" i="12" s="1"/>
  <c r="BP218" i="12"/>
  <c r="BR223" i="12"/>
  <c r="U325" i="12"/>
  <c r="S326" i="12" a="1"/>
  <c r="S326" i="12" s="1"/>
  <c r="BM370" i="12"/>
  <c r="BM365" i="12" s="1"/>
  <c r="BO374" i="12"/>
  <c r="BM374" i="12" s="1"/>
  <c r="BM404" i="12"/>
  <c r="BM399" i="12" s="1"/>
  <c r="BO408" i="12"/>
  <c r="BM408" i="12" s="1"/>
  <c r="BL216" i="12"/>
  <c r="BL217" i="12" s="1"/>
  <c r="BJ217" i="12" s="1"/>
  <c r="BJ218" i="12"/>
  <c r="BL223" i="12"/>
  <c r="BL237" i="12"/>
  <c r="BL238" i="12" s="1"/>
  <c r="BJ238" i="12" s="1"/>
  <c r="BJ239" i="12"/>
  <c r="BL244" i="12"/>
  <c r="CS237" i="12"/>
  <c r="CS238" i="12" s="1"/>
  <c r="CQ238" i="12" s="1"/>
  <c r="CQ239" i="12"/>
  <c r="CS244" i="12"/>
  <c r="CS258" i="12"/>
  <c r="CS259" i="12" s="1"/>
  <c r="CQ259" i="12" s="1"/>
  <c r="CQ260" i="12"/>
  <c r="CS265" i="12"/>
  <c r="AI28" i="23" a="1"/>
  <c r="AI28" i="23" s="1"/>
  <c r="AI29" i="27" s="1"/>
  <c r="BD29" i="27" s="1"/>
  <c r="BD46" i="23"/>
  <c r="BD28" i="23" s="1" a="1"/>
  <c r="BD28" i="23" s="1"/>
  <c r="AT367" i="12"/>
  <c r="AT368" i="12" s="1"/>
  <c r="AR368" i="12" s="1"/>
  <c r="AR369" i="12"/>
  <c r="AT373" i="12"/>
  <c r="AT401" i="12"/>
  <c r="AT402" i="12" s="1"/>
  <c r="AR402" i="12" s="1"/>
  <c r="AR403" i="12"/>
  <c r="AT407" i="12"/>
  <c r="CA424" i="12"/>
  <c r="BY353" i="12"/>
  <c r="CA357" i="12"/>
  <c r="BY357" i="12" s="1"/>
  <c r="BY387" i="12"/>
  <c r="BY382" i="12" s="1"/>
  <c r="CA391" i="12"/>
  <c r="BY391" i="12" s="1"/>
  <c r="AX220" i="12"/>
  <c r="AX214" i="12" s="1"/>
  <c r="AZ225" i="12"/>
  <c r="AX225" i="12" s="1"/>
  <c r="AX241" i="12"/>
  <c r="AX235" i="12" s="1"/>
  <c r="AZ246" i="12"/>
  <c r="AX246" i="12" s="1"/>
  <c r="F135" i="13" a="1"/>
  <c r="F135" i="13" s="1"/>
  <c r="T134" i="13"/>
  <c r="CG237" i="12"/>
  <c r="CG238" i="12" s="1"/>
  <c r="CE238" i="12" s="1"/>
  <c r="CE239" i="12"/>
  <c r="CG244" i="12"/>
  <c r="CG258" i="12"/>
  <c r="CG259" i="12" s="1"/>
  <c r="CE259" i="12" s="1"/>
  <c r="CE260" i="12"/>
  <c r="CG265" i="12"/>
  <c r="CE170" i="12"/>
  <c r="AR240" i="12"/>
  <c r="AR234" i="12" s="1"/>
  <c r="AT245" i="12"/>
  <c r="AR245" i="12" s="1"/>
  <c r="AR261" i="12"/>
  <c r="AR255" i="12" s="1"/>
  <c r="AT266" i="12"/>
  <c r="AR266" i="12" s="1"/>
  <c r="CP286" i="12"/>
  <c r="CN199" i="12"/>
  <c r="CP204" i="12"/>
  <c r="CN204" i="12" s="1"/>
  <c r="CN220" i="12"/>
  <c r="CN214" i="12" s="1"/>
  <c r="CP225" i="12"/>
  <c r="CN225" i="12" s="1"/>
  <c r="AZ98" i="12"/>
  <c r="AZ99" i="12" s="1"/>
  <c r="AX99" i="12" s="1"/>
  <c r="AX100" i="12"/>
  <c r="AZ103" i="12"/>
  <c r="AZ111" i="12"/>
  <c r="AZ112" i="12" s="1"/>
  <c r="AX112" i="12" s="1"/>
  <c r="AX113" i="12"/>
  <c r="AZ116" i="12"/>
  <c r="CB219" i="12"/>
  <c r="CB213" i="12" s="1"/>
  <c r="CD224" i="12"/>
  <c r="CB224" i="12" s="1"/>
  <c r="CD285" i="12"/>
  <c r="CB198" i="12"/>
  <c r="CD203" i="12"/>
  <c r="CB203" i="12" s="1"/>
  <c r="CQ370" i="12"/>
  <c r="CQ365" i="12" s="1"/>
  <c r="CS374" i="12"/>
  <c r="CQ374" i="12" s="1"/>
  <c r="CQ404" i="12"/>
  <c r="CQ399" i="12" s="1"/>
  <c r="CS408" i="12"/>
  <c r="CQ408" i="12" s="1"/>
  <c r="CH330" i="12"/>
  <c r="CP367" i="12"/>
  <c r="CP368" i="12" s="1"/>
  <c r="CN368" i="12" s="1"/>
  <c r="CN369" i="12"/>
  <c r="CP373" i="12"/>
  <c r="CP401" i="12"/>
  <c r="CP402" i="12" s="1"/>
  <c r="CN402" i="12" s="1"/>
  <c r="CN403" i="12"/>
  <c r="CP407" i="12"/>
  <c r="CA285" i="12"/>
  <c r="BY198" i="12"/>
  <c r="CA203" i="12"/>
  <c r="BY203" i="12" s="1"/>
  <c r="BY261" i="12"/>
  <c r="BY255" i="12" s="1"/>
  <c r="CA266" i="12"/>
  <c r="BY266" i="12" s="1"/>
  <c r="CA286" i="12"/>
  <c r="BY199" i="12"/>
  <c r="CA204" i="12"/>
  <c r="BY204" i="12" s="1"/>
  <c r="BY262" i="12"/>
  <c r="BY256" i="12" s="1"/>
  <c r="CA267" i="12"/>
  <c r="BY267" i="12" s="1"/>
  <c r="BF129" i="12"/>
  <c r="BF72" i="12"/>
  <c r="BF73" i="12" s="1"/>
  <c r="BD73" i="12" s="1"/>
  <c r="BD74" i="12"/>
  <c r="BF77" i="12"/>
  <c r="BF85" i="12"/>
  <c r="BF86" i="12" s="1"/>
  <c r="BD86" i="12" s="1"/>
  <c r="BD87" i="12"/>
  <c r="BF90" i="12"/>
  <c r="AW350" i="12"/>
  <c r="AW351" i="12" s="1"/>
  <c r="AU351" i="12" s="1"/>
  <c r="AW423" i="12"/>
  <c r="AU352" i="12"/>
  <c r="AW356" i="12"/>
  <c r="AW384" i="12"/>
  <c r="AW385" i="12" s="1"/>
  <c r="AU385" i="12" s="1"/>
  <c r="AU386" i="12"/>
  <c r="AW390" i="12"/>
  <c r="BL424" i="12"/>
  <c r="BJ353" i="12"/>
  <c r="BL357" i="12"/>
  <c r="BJ357" i="12" s="1"/>
  <c r="BJ387" i="12"/>
  <c r="BJ382" i="12" s="1"/>
  <c r="BL391" i="12"/>
  <c r="BJ391" i="12" s="1"/>
  <c r="BM219" i="12"/>
  <c r="BM213" i="12" s="1"/>
  <c r="BO224" i="12"/>
  <c r="BM224" i="12" s="1"/>
  <c r="BM240" i="12"/>
  <c r="BM234" i="12" s="1"/>
  <c r="BO245" i="12"/>
  <c r="BM245" i="12" s="1"/>
  <c r="BM220" i="12"/>
  <c r="BM214" i="12" s="1"/>
  <c r="BO225" i="12"/>
  <c r="BM225" i="12" s="1"/>
  <c r="BM241" i="12"/>
  <c r="BM235" i="12" s="1"/>
  <c r="BO246" i="12"/>
  <c r="BM246" i="12" s="1"/>
  <c r="BI111" i="12"/>
  <c r="BI112" i="12" s="1"/>
  <c r="BG112" i="12" s="1"/>
  <c r="BG113" i="12"/>
  <c r="BI116" i="12"/>
  <c r="BI98" i="12"/>
  <c r="BI99" i="12" s="1"/>
  <c r="BG99" i="12" s="1"/>
  <c r="BG100" i="12"/>
  <c r="BI103" i="12"/>
  <c r="AN285" i="12"/>
  <c r="AL198" i="12"/>
  <c r="AN203" i="12"/>
  <c r="AL203" i="12" s="1"/>
  <c r="AL261" i="12"/>
  <c r="AL255" i="12" s="1"/>
  <c r="AN266" i="12"/>
  <c r="AL266" i="12" s="1"/>
  <c r="CJ286" i="12"/>
  <c r="CH199" i="12"/>
  <c r="CJ204" i="12"/>
  <c r="CH204" i="12" s="1"/>
  <c r="CH262" i="12"/>
  <c r="CH256" i="12" s="1"/>
  <c r="CJ267" i="12"/>
  <c r="CH267" i="12" s="1"/>
  <c r="CD258" i="12"/>
  <c r="CD259" i="12" s="1"/>
  <c r="CB259" i="12" s="1"/>
  <c r="CB260" i="12"/>
  <c r="CD265" i="12"/>
  <c r="CD237" i="12"/>
  <c r="CD238" i="12" s="1"/>
  <c r="CB238" i="12" s="1"/>
  <c r="CB239" i="12"/>
  <c r="CD244" i="12"/>
  <c r="T64" i="30"/>
  <c r="F65" i="30" a="1"/>
  <c r="F65" i="30" s="1"/>
  <c r="CJ367" i="12"/>
  <c r="CJ368" i="12" s="1"/>
  <c r="CH368" i="12" s="1"/>
  <c r="CH369" i="12"/>
  <c r="CJ373" i="12"/>
  <c r="CJ401" i="12"/>
  <c r="CJ402" i="12" s="1"/>
  <c r="CH402" i="12" s="1"/>
  <c r="CH403" i="12"/>
  <c r="CJ407" i="12"/>
  <c r="CJ129" i="12"/>
  <c r="CJ72" i="12"/>
  <c r="CJ73" i="12" s="1"/>
  <c r="CH73" i="12" s="1"/>
  <c r="CH74" i="12"/>
  <c r="CJ77" i="12"/>
  <c r="CJ85" i="12"/>
  <c r="CJ86" i="12" s="1"/>
  <c r="CH86" i="12" s="1"/>
  <c r="CH87" i="12"/>
  <c r="CJ90" i="12"/>
  <c r="BS370" i="12"/>
  <c r="BS365" i="12" s="1"/>
  <c r="BU374" i="12"/>
  <c r="BS374" i="12" s="1"/>
  <c r="BS404" i="12"/>
  <c r="BS399" i="12" s="1"/>
  <c r="BU408" i="12"/>
  <c r="BS408" i="12" s="1"/>
  <c r="BP404" i="12"/>
  <c r="BP399" i="12" s="1"/>
  <c r="BR408" i="12"/>
  <c r="BP408" i="12" s="1"/>
  <c r="BP387" i="12"/>
  <c r="BP382" i="12" s="1"/>
  <c r="BR391" i="12"/>
  <c r="BP391" i="12" s="1"/>
  <c r="AN216" i="12"/>
  <c r="AN217" i="12" s="1"/>
  <c r="AL217" i="12" s="1"/>
  <c r="AL218" i="12"/>
  <c r="AN223" i="12"/>
  <c r="AN237" i="12"/>
  <c r="AN238" i="12" s="1"/>
  <c r="AL238" i="12" s="1"/>
  <c r="AL239" i="12"/>
  <c r="AN244" i="12"/>
  <c r="AE245" i="12" a="1"/>
  <c r="AE245" i="12" s="1"/>
  <c r="X245" i="12"/>
  <c r="CY240" i="12" a="1"/>
  <c r="CY240" i="12" s="1"/>
  <c r="CB370" i="12"/>
  <c r="CB365" i="12" s="1"/>
  <c r="CD374" i="12"/>
  <c r="CB374" i="12" s="1"/>
  <c r="CB404" i="12"/>
  <c r="CB399" i="12" s="1"/>
  <c r="CD408" i="12"/>
  <c r="CB408" i="12" s="1"/>
  <c r="BC85" i="12"/>
  <c r="BC86" i="12" s="1"/>
  <c r="BA86" i="12" s="1"/>
  <c r="BA87" i="12"/>
  <c r="BC90" i="12"/>
  <c r="BC129" i="12"/>
  <c r="BC72" i="12"/>
  <c r="BC73" i="12" s="1"/>
  <c r="BA73" i="12" s="1"/>
  <c r="BA74" i="12"/>
  <c r="BC77" i="12"/>
  <c r="BF284" i="12"/>
  <c r="BF195" i="12"/>
  <c r="BF196" i="12" s="1"/>
  <c r="BD196" i="12" s="1"/>
  <c r="BD197" i="12"/>
  <c r="BF202" i="12"/>
  <c r="BF216" i="12"/>
  <c r="BF217" i="12" s="1"/>
  <c r="BD217" i="12" s="1"/>
  <c r="BD218" i="12"/>
  <c r="BF223" i="12"/>
  <c r="BD170" i="12"/>
  <c r="BO350" i="12"/>
  <c r="BO351" i="12" s="1"/>
  <c r="BM351" i="12" s="1"/>
  <c r="BO423" i="12"/>
  <c r="BM352" i="12"/>
  <c r="BO356" i="12"/>
  <c r="BO384" i="12"/>
  <c r="BO385" i="12" s="1"/>
  <c r="BM385" i="12" s="1"/>
  <c r="BM386" i="12"/>
  <c r="BO390" i="12"/>
  <c r="T389" i="12" a="1"/>
  <c r="T389" i="12" s="1"/>
  <c r="L390" i="12" a="1"/>
  <c r="L390" i="12" s="1"/>
  <c r="CM216" i="12"/>
  <c r="CM217" i="12" s="1"/>
  <c r="CK217" i="12" s="1"/>
  <c r="CK218" i="12"/>
  <c r="CM223" i="12"/>
  <c r="CM237" i="12"/>
  <c r="CM238" i="12" s="1"/>
  <c r="CK238" i="12" s="1"/>
  <c r="CK239" i="12"/>
  <c r="CM244" i="12"/>
  <c r="BL286" i="12"/>
  <c r="BJ199" i="12"/>
  <c r="BL204" i="12"/>
  <c r="BJ204" i="12" s="1"/>
  <c r="BJ262" i="12"/>
  <c r="BJ256" i="12" s="1"/>
  <c r="BL267" i="12"/>
  <c r="BJ267" i="12" s="1"/>
  <c r="CG367" i="12"/>
  <c r="CG368" i="12" s="1"/>
  <c r="CE368" i="12" s="1"/>
  <c r="CE369" i="12"/>
  <c r="CG373" i="12"/>
  <c r="CG401" i="12"/>
  <c r="CG402" i="12" s="1"/>
  <c r="CE402" i="12" s="1"/>
  <c r="CE403" i="12"/>
  <c r="CG407" i="12"/>
  <c r="CE330" i="12"/>
  <c r="AZ216" i="12"/>
  <c r="AZ217" i="12" s="1"/>
  <c r="AX217" i="12" s="1"/>
  <c r="AX218" i="12"/>
  <c r="AZ223" i="12"/>
  <c r="AZ237" i="12"/>
  <c r="AZ238" i="12" s="1"/>
  <c r="AX238" i="12" s="1"/>
  <c r="AX239" i="12"/>
  <c r="AZ244" i="12"/>
  <c r="CE261" i="12"/>
  <c r="CE255" i="12" s="1"/>
  <c r="CG266" i="12"/>
  <c r="CE266" i="12" s="1"/>
  <c r="CE240" i="12"/>
  <c r="CE234" i="12" s="1"/>
  <c r="CG245" i="12"/>
  <c r="CE245" i="12" s="1"/>
  <c r="CE220" i="12"/>
  <c r="CE214" i="12" s="1"/>
  <c r="CG225" i="12"/>
  <c r="CE225" i="12" s="1"/>
  <c r="CG286" i="12"/>
  <c r="CE199" i="12"/>
  <c r="CG204" i="12"/>
  <c r="CE204" i="12" s="1"/>
  <c r="CP98" i="12"/>
  <c r="CP99" i="12" s="1"/>
  <c r="CN99" i="12" s="1"/>
  <c r="CN100" i="12"/>
  <c r="CP103" i="12"/>
  <c r="CP111" i="12"/>
  <c r="CP112" i="12" s="1"/>
  <c r="CN112" i="12" s="1"/>
  <c r="CN113" i="12"/>
  <c r="CP116" i="12"/>
  <c r="CN240" i="12"/>
  <c r="CN234" i="12" s="1"/>
  <c r="CP245" i="12"/>
  <c r="CN245" i="12" s="1"/>
  <c r="CN261" i="12"/>
  <c r="CN255" i="12" s="1"/>
  <c r="CP266" i="12"/>
  <c r="CN266" i="12" s="1"/>
  <c r="AQ424" i="12"/>
  <c r="AO353" i="12"/>
  <c r="AQ357" i="12"/>
  <c r="AO357" i="12" s="1"/>
  <c r="AO387" i="12"/>
  <c r="AO382" i="12" s="1"/>
  <c r="AQ391" i="12"/>
  <c r="AO391" i="12" s="1"/>
  <c r="BD370" i="12"/>
  <c r="BD365" i="12" s="1"/>
  <c r="BF374" i="12"/>
  <c r="BD374" i="12" s="1"/>
  <c r="BD404" i="12"/>
  <c r="BD399" i="12" s="1"/>
  <c r="BF408" i="12"/>
  <c r="BD408" i="12" s="1"/>
  <c r="BU285" i="12"/>
  <c r="BS198" i="12"/>
  <c r="BU203" i="12"/>
  <c r="BS203" i="12" s="1"/>
  <c r="BS219" i="12"/>
  <c r="BS213" i="12" s="1"/>
  <c r="BU224" i="12"/>
  <c r="BS224" i="12" s="1"/>
  <c r="BS241" i="12"/>
  <c r="BS235" i="12" s="1"/>
  <c r="BU246" i="12"/>
  <c r="BS246" i="12" s="1"/>
  <c r="BS262" i="12"/>
  <c r="BS256" i="12" s="1"/>
  <c r="BU267" i="12"/>
  <c r="BS267" i="12" s="1"/>
  <c r="BR129" i="12"/>
  <c r="BR72" i="12"/>
  <c r="BR73" i="12" s="1"/>
  <c r="BP73" i="12" s="1"/>
  <c r="BP74" i="12"/>
  <c r="BR77" i="12"/>
  <c r="BR85" i="12"/>
  <c r="BR86" i="12" s="1"/>
  <c r="BP86" i="12" s="1"/>
  <c r="BP87" i="12"/>
  <c r="BR90" i="12"/>
  <c r="CD286" i="12"/>
  <c r="CB199" i="12"/>
  <c r="CD204" i="12"/>
  <c r="CB204" i="12" s="1"/>
  <c r="CB220" i="12"/>
  <c r="CB214" i="12" s="1"/>
  <c r="CD225" i="12"/>
  <c r="CB225" i="12" s="1"/>
  <c r="AE84" i="27"/>
  <c r="AI141" i="27"/>
  <c r="CJ424" i="12"/>
  <c r="CH353" i="12"/>
  <c r="CJ357" i="12"/>
  <c r="CH357" i="12" s="1"/>
  <c r="CH387" i="12"/>
  <c r="CH382" i="12" s="1"/>
  <c r="CJ391" i="12"/>
  <c r="CH391" i="12" s="1"/>
  <c r="CN370" i="12"/>
  <c r="CN365" i="12" s="1"/>
  <c r="CP374" i="12"/>
  <c r="CN374" i="12" s="1"/>
  <c r="CN404" i="12"/>
  <c r="CN399" i="12" s="1"/>
  <c r="CP408" i="12"/>
  <c r="CN408" i="12" s="1"/>
  <c r="AQ85" i="12"/>
  <c r="AQ86" i="12" s="1"/>
  <c r="AO86" i="12" s="1"/>
  <c r="AO87" i="12"/>
  <c r="AQ90" i="12"/>
  <c r="AQ129" i="12"/>
  <c r="AQ72" i="12"/>
  <c r="AQ73" i="12" s="1"/>
  <c r="AO73" i="12" s="1"/>
  <c r="AO74" i="12"/>
  <c r="AQ77" i="12"/>
  <c r="CG85" i="12"/>
  <c r="CG86" i="12" s="1"/>
  <c r="CE86" i="12" s="1"/>
  <c r="CE87" i="12"/>
  <c r="CG90" i="12"/>
  <c r="CG129" i="12"/>
  <c r="CG72" i="12"/>
  <c r="CG73" i="12" s="1"/>
  <c r="CE73" i="12" s="1"/>
  <c r="CE74" i="12"/>
  <c r="CG77" i="12"/>
  <c r="BU85" i="12"/>
  <c r="BU86" i="12" s="1"/>
  <c r="BS86" i="12" s="1"/>
  <c r="BS87" i="12"/>
  <c r="BU90" i="12"/>
  <c r="BU129" i="12"/>
  <c r="BU72" i="12"/>
  <c r="BU73" i="12" s="1"/>
  <c r="BS73" i="12" s="1"/>
  <c r="BS74" i="12"/>
  <c r="BU77" i="12"/>
  <c r="AW424" i="12"/>
  <c r="AU353" i="12"/>
  <c r="AW357" i="12"/>
  <c r="AU357" i="12" s="1"/>
  <c r="AU387" i="12"/>
  <c r="AU382" i="12" s="1"/>
  <c r="AW391" i="12"/>
  <c r="AU391" i="12" s="1"/>
  <c r="BL367" i="12"/>
  <c r="BL368" i="12" s="1"/>
  <c r="BJ368" i="12" s="1"/>
  <c r="BJ369" i="12"/>
  <c r="BL373" i="12"/>
  <c r="BL401" i="12"/>
  <c r="BL402" i="12" s="1"/>
  <c r="BJ402" i="12" s="1"/>
  <c r="BJ403" i="12"/>
  <c r="BL407" i="12"/>
  <c r="CM85" i="12"/>
  <c r="CM86" i="12" s="1"/>
  <c r="CK86" i="12" s="1"/>
  <c r="CK87" i="12"/>
  <c r="CM90" i="12"/>
  <c r="CM129" i="12"/>
  <c r="CM72" i="12"/>
  <c r="CM73" i="12" s="1"/>
  <c r="CK73" i="12" s="1"/>
  <c r="CK74" i="12"/>
  <c r="CM77" i="12"/>
  <c r="AN286" i="12"/>
  <c r="AL199" i="12"/>
  <c r="AN204" i="12"/>
  <c r="AL204" i="12" s="1"/>
  <c r="AL262" i="12"/>
  <c r="AL256" i="12" s="1"/>
  <c r="AN267" i="12"/>
  <c r="AL267" i="12" s="1"/>
  <c r="CJ216" i="12"/>
  <c r="CJ217" i="12" s="1"/>
  <c r="CH217" i="12" s="1"/>
  <c r="CH218" i="12"/>
  <c r="CJ223" i="12"/>
  <c r="CJ237" i="12"/>
  <c r="CJ238" i="12" s="1"/>
  <c r="CH238" i="12" s="1"/>
  <c r="CH239" i="12"/>
  <c r="CJ244" i="12"/>
  <c r="CK370" i="12"/>
  <c r="CK365" i="12" s="1"/>
  <c r="CM374" i="12"/>
  <c r="CK374" i="12" s="1"/>
  <c r="CK404" i="12"/>
  <c r="CK399" i="12" s="1"/>
  <c r="CM408" i="12"/>
  <c r="CK408" i="12" s="1"/>
  <c r="BX424" i="12"/>
  <c r="BV353" i="12"/>
  <c r="BX357" i="12"/>
  <c r="BV357" i="12" s="1"/>
  <c r="BV387" i="12"/>
  <c r="BV382" i="12" s="1"/>
  <c r="BX391" i="12"/>
  <c r="BV391" i="12" s="1"/>
  <c r="BX216" i="12"/>
  <c r="BX217" i="12" s="1"/>
  <c r="BV217" i="12" s="1"/>
  <c r="BV218" i="12"/>
  <c r="BX223" i="12"/>
  <c r="BX237" i="12"/>
  <c r="BX238" i="12" s="1"/>
  <c r="BV238" i="12" s="1"/>
  <c r="BV239" i="12"/>
  <c r="BX244" i="12"/>
  <c r="CM367" i="12"/>
  <c r="CM368" i="12" s="1"/>
  <c r="CK368" i="12" s="1"/>
  <c r="CK369" i="12"/>
  <c r="CM373" i="12"/>
  <c r="CM401" i="12"/>
  <c r="CM402" i="12" s="1"/>
  <c r="CK402" i="12" s="1"/>
  <c r="CK403" i="12"/>
  <c r="CM407" i="12"/>
  <c r="CK330" i="12"/>
  <c r="F43" i="8" a="1"/>
  <c r="F43" i="8" s="1"/>
  <c r="U42" i="8"/>
  <c r="AT129" i="12"/>
  <c r="AT72" i="12"/>
  <c r="AT73" i="12" s="1"/>
  <c r="AR73" i="12" s="1"/>
  <c r="AR74" i="12"/>
  <c r="AT77" i="12"/>
  <c r="AT85" i="12"/>
  <c r="AT86" i="12" s="1"/>
  <c r="AR86" i="12" s="1"/>
  <c r="AR87" i="12"/>
  <c r="AT90" i="12"/>
  <c r="BP219" i="12"/>
  <c r="BP213" i="12" s="1"/>
  <c r="BR224" i="12"/>
  <c r="BP224" i="12" s="1"/>
  <c r="BR285" i="12"/>
  <c r="BP198" i="12"/>
  <c r="BR203" i="12"/>
  <c r="BP203" i="12" s="1"/>
  <c r="AF399" i="12" a="1"/>
  <c r="AF399" i="12" s="1"/>
  <c r="CZ395" i="12" a="1"/>
  <c r="CZ395" i="12" s="1"/>
  <c r="CD367" i="12"/>
  <c r="CD368" i="12" s="1"/>
  <c r="CB368" i="12" s="1"/>
  <c r="CB369" i="12"/>
  <c r="CD373" i="12"/>
  <c r="CD401" i="12"/>
  <c r="CD402" i="12" s="1"/>
  <c r="CB402" i="12" s="1"/>
  <c r="CB403" i="12"/>
  <c r="CD407" i="12"/>
  <c r="BF286" i="12"/>
  <c r="BD199" i="12"/>
  <c r="BF204" i="12"/>
  <c r="BD204" i="12" s="1"/>
  <c r="BD220" i="12"/>
  <c r="BD214" i="12" s="1"/>
  <c r="BF225" i="12"/>
  <c r="BD225" i="12" s="1"/>
  <c r="BC195" i="12"/>
  <c r="BC196" i="12" s="1"/>
  <c r="BA196" i="12" s="1"/>
  <c r="BC284" i="12"/>
  <c r="BA197" i="12"/>
  <c r="BC202" i="12"/>
  <c r="BC258" i="12"/>
  <c r="BC259" i="12" s="1"/>
  <c r="BA259" i="12" s="1"/>
  <c r="BA260" i="12"/>
  <c r="BC265" i="12"/>
  <c r="BA170" i="12"/>
  <c r="AN367" i="12"/>
  <c r="AN368" i="12" s="1"/>
  <c r="AL368" i="12" s="1"/>
  <c r="AL369" i="12"/>
  <c r="AN373" i="12"/>
  <c r="AN401" i="12"/>
  <c r="AN402" i="12" s="1"/>
  <c r="AL402" i="12" s="1"/>
  <c r="AL403" i="12"/>
  <c r="AN407" i="12"/>
  <c r="BO85" i="12"/>
  <c r="BO86" i="12" s="1"/>
  <c r="BM86" i="12" s="1"/>
  <c r="BM87" i="12"/>
  <c r="BO90" i="12"/>
  <c r="BO129" i="12"/>
  <c r="BO72" i="12"/>
  <c r="BO73" i="12" s="1"/>
  <c r="BM73" i="12" s="1"/>
  <c r="BM74" i="12"/>
  <c r="BO77" i="12"/>
  <c r="AQ285" i="12"/>
  <c r="AO198" i="12"/>
  <c r="AQ203" i="12"/>
  <c r="AO203" i="12" s="1"/>
  <c r="AO261" i="12"/>
  <c r="AO255" i="12" s="1"/>
  <c r="AQ266" i="12"/>
  <c r="AO266" i="12" s="1"/>
  <c r="AQ286" i="12"/>
  <c r="AO199" i="12"/>
  <c r="AQ204" i="12"/>
  <c r="AO204" i="12" s="1"/>
  <c r="AO262" i="12"/>
  <c r="AO256" i="12" s="1"/>
  <c r="AQ267" i="12"/>
  <c r="AO267" i="12" s="1"/>
  <c r="CM285" i="12"/>
  <c r="CK198" i="12"/>
  <c r="CM203" i="12"/>
  <c r="CK203" i="12" s="1"/>
  <c r="CK261" i="12"/>
  <c r="CK255" i="12" s="1"/>
  <c r="CM266" i="12"/>
  <c r="CK266" i="12" s="1"/>
  <c r="CM286" i="12"/>
  <c r="CK199" i="12"/>
  <c r="CM204" i="12"/>
  <c r="CK204" i="12" s="1"/>
  <c r="CK262" i="12"/>
  <c r="CK256" i="12" s="1"/>
  <c r="CM267" i="12"/>
  <c r="CK267" i="12" s="1"/>
  <c r="CD129" i="12"/>
  <c r="CD72" i="12"/>
  <c r="CD73" i="12" s="1"/>
  <c r="CB73" i="12" s="1"/>
  <c r="CB74" i="12"/>
  <c r="CD77" i="12"/>
  <c r="CD85" i="12"/>
  <c r="CD86" i="12" s="1"/>
  <c r="CB86" i="12" s="1"/>
  <c r="CB87" i="12"/>
  <c r="CD90" i="12"/>
  <c r="BJ219" i="12"/>
  <c r="BJ213" i="12" s="1"/>
  <c r="BL224" i="12"/>
  <c r="BJ224" i="12" s="1"/>
  <c r="BJ240" i="12"/>
  <c r="BJ234" i="12" s="1"/>
  <c r="BL245" i="12"/>
  <c r="BJ245" i="12" s="1"/>
  <c r="CE370" i="12"/>
  <c r="CE365" i="12" s="1"/>
  <c r="CG374" i="12"/>
  <c r="CE374" i="12" s="1"/>
  <c r="CE404" i="12"/>
  <c r="CE399" i="12" s="1"/>
  <c r="CG408" i="12"/>
  <c r="CE408" i="12" s="1"/>
  <c r="BC350" i="12"/>
  <c r="BC351" i="12" s="1"/>
  <c r="BA351" i="12" s="1"/>
  <c r="BC423" i="12"/>
  <c r="BA352" i="12"/>
  <c r="BC356" i="12"/>
  <c r="BC384" i="12"/>
  <c r="BC385" i="12" s="1"/>
  <c r="BA385" i="12" s="1"/>
  <c r="BA386" i="12"/>
  <c r="BC390" i="12"/>
  <c r="AH117" i="28"/>
  <c r="AT284" i="12"/>
  <c r="AT195" i="12"/>
  <c r="AT196" i="12" s="1"/>
  <c r="AR196" i="12" s="1"/>
  <c r="AR197" i="12"/>
  <c r="AT202" i="12"/>
  <c r="AT216" i="12"/>
  <c r="AT217" i="12" s="1"/>
  <c r="AR217" i="12" s="1"/>
  <c r="AR218" i="12"/>
  <c r="AT223" i="12"/>
  <c r="AR170" i="12"/>
  <c r="F69" i="8" a="1"/>
  <c r="F69" i="8" s="1"/>
  <c r="U68" i="8"/>
  <c r="T115" i="12" a="1"/>
  <c r="T115" i="12" s="1"/>
  <c r="L116" i="12" a="1"/>
  <c r="L116" i="12" s="1"/>
  <c r="AQ350" i="12"/>
  <c r="AQ351" i="12" s="1"/>
  <c r="AO351" i="12" s="1"/>
  <c r="AQ423" i="12"/>
  <c r="AO352" i="12"/>
  <c r="AQ356" i="12"/>
  <c r="AQ384" i="12"/>
  <c r="AQ385" i="12" s="1"/>
  <c r="AO385" i="12" s="1"/>
  <c r="AO386" i="12"/>
  <c r="AQ390" i="12"/>
  <c r="BF423" i="12"/>
  <c r="BF350" i="12"/>
  <c r="BF351" i="12" s="1"/>
  <c r="BD351" i="12" s="1"/>
  <c r="BD352" i="12"/>
  <c r="BF356" i="12"/>
  <c r="BF384" i="12"/>
  <c r="BF385" i="12" s="1"/>
  <c r="BD385" i="12" s="1"/>
  <c r="BD386" i="12"/>
  <c r="BF390" i="12"/>
  <c r="BU237" i="12"/>
  <c r="BU238" i="12" s="1"/>
  <c r="BS238" i="12" s="1"/>
  <c r="BS239" i="12"/>
  <c r="BU244" i="12"/>
  <c r="BU258" i="12"/>
  <c r="BU259" i="12" s="1"/>
  <c r="BS259" i="12" s="1"/>
  <c r="BS260" i="12"/>
  <c r="BU265" i="12"/>
  <c r="BS170" i="12"/>
  <c r="T40" i="30"/>
  <c r="F41" i="30" a="1"/>
  <c r="F41" i="30" s="1"/>
  <c r="CN330" i="12"/>
  <c r="AX370" i="12"/>
  <c r="AX365" i="12" s="1"/>
  <c r="AZ374" i="12"/>
  <c r="AX374" i="12" s="1"/>
  <c r="AX404" i="12"/>
  <c r="AX399" i="12" s="1"/>
  <c r="AZ408" i="12"/>
  <c r="AX408" i="12" s="1"/>
  <c r="BI350" i="12"/>
  <c r="BI351" i="12" s="1"/>
  <c r="BG351" i="12" s="1"/>
  <c r="BI423" i="12"/>
  <c r="BG352" i="12"/>
  <c r="BI356" i="12"/>
  <c r="BI384" i="12"/>
  <c r="BI385" i="12" s="1"/>
  <c r="BG385" i="12" s="1"/>
  <c r="BG386" i="12"/>
  <c r="BI390" i="12"/>
  <c r="AF29" i="27"/>
  <c r="AE29" i="27"/>
  <c r="BI389" i="12" l="1"/>
  <c r="BG390" i="12"/>
  <c r="BG389" i="12" s="1"/>
  <c r="BS258" i="12"/>
  <c r="BS254" i="12"/>
  <c r="BU243" i="12"/>
  <c r="BS244" i="12"/>
  <c r="BS243" i="12" s="1"/>
  <c r="BD384" i="12"/>
  <c r="BD381" i="12"/>
  <c r="BF355" i="12"/>
  <c r="BD356" i="12"/>
  <c r="BD355" i="12" s="1"/>
  <c r="AQ389" i="12"/>
  <c r="AO390" i="12"/>
  <c r="AO389" i="12" s="1"/>
  <c r="F70" i="8" a="1"/>
  <c r="F70" i="8" s="1"/>
  <c r="U69" i="8"/>
  <c r="AT222" i="12"/>
  <c r="AR223" i="12"/>
  <c r="AR222" i="12" s="1"/>
  <c r="AR284" i="12"/>
  <c r="AR195" i="12"/>
  <c r="AR191" i="12"/>
  <c r="BC389" i="12"/>
  <c r="BA390" i="12"/>
  <c r="BA389" i="12" s="1"/>
  <c r="CD76" i="12"/>
  <c r="CB77" i="12"/>
  <c r="CB76" i="12" s="1"/>
  <c r="CM297" i="12"/>
  <c r="CM292" i="12"/>
  <c r="CK285" i="12"/>
  <c r="CK192" i="12"/>
  <c r="BO89" i="12"/>
  <c r="BM90" i="12"/>
  <c r="BM89" i="12" s="1"/>
  <c r="AN372" i="12"/>
  <c r="AL373" i="12"/>
  <c r="AL372" i="12" s="1"/>
  <c r="BD286" i="12"/>
  <c r="BD193" i="12"/>
  <c r="AR85" i="12"/>
  <c r="AR83" i="12"/>
  <c r="AT76" i="12"/>
  <c r="AR77" i="12"/>
  <c r="AR76" i="12" s="1"/>
  <c r="BV424" i="12"/>
  <c r="BV348" i="12"/>
  <c r="CJ243" i="12"/>
  <c r="CH244" i="12"/>
  <c r="CH243" i="12" s="1"/>
  <c r="AN292" i="12"/>
  <c r="AN297" i="12"/>
  <c r="CK129" i="12"/>
  <c r="CK72" i="12"/>
  <c r="CK70" i="12"/>
  <c r="CK85" i="12"/>
  <c r="CK83" i="12"/>
  <c r="BL406" i="12"/>
  <c r="BJ407" i="12"/>
  <c r="BJ406" i="12" s="1"/>
  <c r="AW433" i="12"/>
  <c r="AW429" i="12"/>
  <c r="BS129" i="12"/>
  <c r="BS72" i="12"/>
  <c r="BS70" i="12"/>
  <c r="BS85" i="12"/>
  <c r="BS83" i="12"/>
  <c r="CG89" i="12"/>
  <c r="CE90" i="12"/>
  <c r="CE89" i="12" s="1"/>
  <c r="AO129" i="12"/>
  <c r="AO72" i="12"/>
  <c r="AO70" i="12"/>
  <c r="AQ133" i="12"/>
  <c r="AQ136" i="12"/>
  <c r="AQ125" i="12"/>
  <c r="AO85" i="12"/>
  <c r="AO83" i="12"/>
  <c r="CJ429" i="12"/>
  <c r="CJ433" i="12"/>
  <c r="CB286" i="12"/>
  <c r="CB193" i="12"/>
  <c r="BR89" i="12"/>
  <c r="BP90" i="12"/>
  <c r="BP89" i="12" s="1"/>
  <c r="BP129" i="12"/>
  <c r="BP72" i="12"/>
  <c r="BP70" i="12"/>
  <c r="BR136" i="12"/>
  <c r="BR125" i="12"/>
  <c r="BR133" i="12"/>
  <c r="BS285" i="12"/>
  <c r="BS192" i="12"/>
  <c r="AQ433" i="12"/>
  <c r="AQ429" i="12"/>
  <c r="CN111" i="12"/>
  <c r="CN109" i="12"/>
  <c r="CP102" i="12"/>
  <c r="CN103" i="12"/>
  <c r="CN102" i="12" s="1"/>
  <c r="CE193" i="12"/>
  <c r="CE286" i="12"/>
  <c r="AZ243" i="12"/>
  <c r="AX244" i="12"/>
  <c r="AX243" i="12" s="1"/>
  <c r="AX216" i="12"/>
  <c r="AX212" i="12"/>
  <c r="CE401" i="12"/>
  <c r="CE398" i="12"/>
  <c r="CG372" i="12"/>
  <c r="CE373" i="12"/>
  <c r="CE372" i="12" s="1"/>
  <c r="BJ286" i="12"/>
  <c r="BJ193" i="12"/>
  <c r="CM243" i="12"/>
  <c r="CK244" i="12"/>
  <c r="CK243" i="12" s="1"/>
  <c r="CK216" i="12"/>
  <c r="CK212" i="12"/>
  <c r="T390" i="12"/>
  <c r="L391" i="12" a="1"/>
  <c r="L391" i="12" s="1"/>
  <c r="BO389" i="12"/>
  <c r="BM390" i="12"/>
  <c r="BM389" i="12" s="1"/>
  <c r="BM350" i="12"/>
  <c r="BM347" i="12"/>
  <c r="BM423" i="12"/>
  <c r="BF222" i="12"/>
  <c r="BD223" i="12"/>
  <c r="BD222" i="12" s="1"/>
  <c r="BD284" i="12"/>
  <c r="BD195" i="12"/>
  <c r="BD191" i="12"/>
  <c r="BF290" i="12"/>
  <c r="BF280" i="12"/>
  <c r="BF295" i="12"/>
  <c r="BA129" i="12"/>
  <c r="BA72" i="12"/>
  <c r="BA70" i="12"/>
  <c r="BC133" i="12"/>
  <c r="BC136" i="12"/>
  <c r="BC125" i="12"/>
  <c r="BA85" i="12"/>
  <c r="BA83" i="12"/>
  <c r="AE250" i="12" a="1"/>
  <c r="AE250" i="12" s="1"/>
  <c r="X250" i="12"/>
  <c r="CY245" i="12" a="1"/>
  <c r="CY245" i="12" s="1"/>
  <c r="AL237" i="12"/>
  <c r="AL233" i="12"/>
  <c r="AN222" i="12"/>
  <c r="AL223" i="12"/>
  <c r="AL222" i="12" s="1"/>
  <c r="CH85" i="12"/>
  <c r="CH83" i="12"/>
  <c r="CJ76" i="12"/>
  <c r="CH77" i="12"/>
  <c r="CH76" i="12" s="1"/>
  <c r="CJ406" i="12"/>
  <c r="CH407" i="12"/>
  <c r="CH406" i="12" s="1"/>
  <c r="CH367" i="12"/>
  <c r="CH364" i="12"/>
  <c r="F66" i="30" a="1"/>
  <c r="F66" i="30" s="1"/>
  <c r="T65" i="30"/>
  <c r="CD243" i="12"/>
  <c r="CB244" i="12"/>
  <c r="CB243" i="12" s="1"/>
  <c r="CB254" i="12"/>
  <c r="CB258" i="12"/>
  <c r="CJ292" i="12"/>
  <c r="CJ297" i="12"/>
  <c r="AL285" i="12"/>
  <c r="AL192" i="12"/>
  <c r="BI102" i="12"/>
  <c r="BG103" i="12"/>
  <c r="BG102" i="12" s="1"/>
  <c r="BG111" i="12"/>
  <c r="BG109" i="12"/>
  <c r="BL429" i="12"/>
  <c r="BL433" i="12"/>
  <c r="AU384" i="12"/>
  <c r="AU381" i="12"/>
  <c r="AW355" i="12"/>
  <c r="AU356" i="12"/>
  <c r="AU355" i="12" s="1"/>
  <c r="AW432" i="12"/>
  <c r="AW428" i="12"/>
  <c r="AW419" i="12"/>
  <c r="BF89" i="12"/>
  <c r="BD90" i="12"/>
  <c r="BD89" i="12" s="1"/>
  <c r="BD129" i="12"/>
  <c r="BD72" i="12"/>
  <c r="BD70" i="12"/>
  <c r="BF136" i="12"/>
  <c r="BF125" i="12"/>
  <c r="BF133" i="12"/>
  <c r="BY286" i="12"/>
  <c r="BY193" i="12"/>
  <c r="CA296" i="12"/>
  <c r="CA291" i="12"/>
  <c r="CN401" i="12"/>
  <c r="CN398" i="12"/>
  <c r="CP372" i="12"/>
  <c r="CN373" i="12"/>
  <c r="CN372" i="12" s="1"/>
  <c r="CD296" i="12"/>
  <c r="CD291" i="12"/>
  <c r="AX111" i="12"/>
  <c r="AX109" i="12"/>
  <c r="AZ102" i="12"/>
  <c r="AX103" i="12"/>
  <c r="AX102" i="12" s="1"/>
  <c r="CN286" i="12"/>
  <c r="CN193" i="12"/>
  <c r="CE258" i="12"/>
  <c r="CE254" i="12"/>
  <c r="CG243" i="12"/>
  <c r="CE244" i="12"/>
  <c r="CE243" i="12" s="1"/>
  <c r="F136" i="13" a="1"/>
  <c r="F136" i="13" s="1"/>
  <c r="T135" i="13"/>
  <c r="T137" i="13" s="1" a="1"/>
  <c r="T137" i="13" s="1"/>
  <c r="BY424" i="12"/>
  <c r="BY348" i="12"/>
  <c r="AT406" i="12"/>
  <c r="AR407" i="12"/>
  <c r="AR406" i="12" s="1"/>
  <c r="AR367" i="12"/>
  <c r="AR364" i="12"/>
  <c r="CS264" i="12"/>
  <c r="CQ265" i="12"/>
  <c r="CQ264" i="12" s="1"/>
  <c r="CQ237" i="12"/>
  <c r="CQ233" i="12"/>
  <c r="BL243" i="12"/>
  <c r="BJ244" i="12"/>
  <c r="BJ243" i="12" s="1"/>
  <c r="BJ216" i="12"/>
  <c r="BJ212" i="12"/>
  <c r="S327" i="12" a="1"/>
  <c r="S327" i="12" s="1"/>
  <c r="U326" i="12"/>
  <c r="BR222" i="12"/>
  <c r="BP223" i="12"/>
  <c r="BP222" i="12" s="1"/>
  <c r="BP284" i="12"/>
  <c r="BP195" i="12"/>
  <c r="BP191" i="12"/>
  <c r="BR290" i="12"/>
  <c r="BR280" i="12"/>
  <c r="BR295" i="12"/>
  <c r="BG195" i="12"/>
  <c r="BG191" i="12"/>
  <c r="BG284" i="12"/>
  <c r="BI295" i="12"/>
  <c r="BI280" i="12"/>
  <c r="BI290" i="12"/>
  <c r="BG216" i="12"/>
  <c r="BG212" i="12"/>
  <c r="T95" i="13" a="1"/>
  <c r="T95" i="13" s="1"/>
  <c r="T96" i="13" s="1" a="1"/>
  <c r="T96" i="13" s="1"/>
  <c r="T94" i="13" a="1"/>
  <c r="T94" i="13" s="1"/>
  <c r="BX389" i="12"/>
  <c r="BV390" i="12"/>
  <c r="BV389" i="12" s="1"/>
  <c r="BV423" i="12"/>
  <c r="BV350" i="12"/>
  <c r="BV347" i="12"/>
  <c r="BX432" i="12"/>
  <c r="BX428" i="12"/>
  <c r="BX419" i="12"/>
  <c r="AW296" i="12"/>
  <c r="AW291" i="12"/>
  <c r="M176" i="28" a="1"/>
  <c r="M176" i="28" s="1"/>
  <c r="AS175" i="28" a="1"/>
  <c r="AS175" i="28" s="1"/>
  <c r="F48" i="21" a="1"/>
  <c r="F48" i="21" s="1"/>
  <c r="T47" i="21"/>
  <c r="CH285" i="12"/>
  <c r="CH192" i="12"/>
  <c r="BO264" i="12"/>
  <c r="BM265" i="12"/>
  <c r="BM264" i="12" s="1"/>
  <c r="BM284" i="12"/>
  <c r="BM195" i="12"/>
  <c r="BM191" i="12"/>
  <c r="BP384" i="12"/>
  <c r="BP381" i="12"/>
  <c r="BR355" i="12"/>
  <c r="BP356" i="12"/>
  <c r="BP355" i="12" s="1"/>
  <c r="BU389" i="12"/>
  <c r="BS390" i="12"/>
  <c r="BS389" i="12" s="1"/>
  <c r="BS350" i="12"/>
  <c r="BS347" i="12"/>
  <c r="BS423" i="12"/>
  <c r="AX401" i="12"/>
  <c r="AX398" i="12"/>
  <c r="AZ372" i="12"/>
  <c r="AX373" i="12"/>
  <c r="AX372" i="12" s="1"/>
  <c r="BV111" i="12"/>
  <c r="BV109" i="12"/>
  <c r="BX102" i="12"/>
  <c r="BV103" i="12"/>
  <c r="BV102" i="12" s="1"/>
  <c r="BY237" i="12"/>
  <c r="BY233" i="12"/>
  <c r="CA222" i="12"/>
  <c r="BY223" i="12"/>
  <c r="BY222" i="12" s="1"/>
  <c r="CQ384" i="12"/>
  <c r="CQ381" i="12"/>
  <c r="CS355" i="12"/>
  <c r="CQ356" i="12"/>
  <c r="CQ355" i="12" s="1"/>
  <c r="CS432" i="12"/>
  <c r="CS428" i="12"/>
  <c r="CS419" i="12"/>
  <c r="CZ250" i="12" a="1"/>
  <c r="CZ250" i="12" s="1"/>
  <c r="AF255" i="12" a="1"/>
  <c r="AF255" i="12" s="1"/>
  <c r="CQ129" i="12"/>
  <c r="CQ72" i="12"/>
  <c r="CQ70" i="12"/>
  <c r="CS133" i="12"/>
  <c r="CS136" i="12"/>
  <c r="CS125" i="12"/>
  <c r="CQ85" i="12"/>
  <c r="CQ83" i="12"/>
  <c r="BL89" i="12"/>
  <c r="BJ90" i="12"/>
  <c r="BJ89" i="12" s="1"/>
  <c r="BJ129" i="12"/>
  <c r="BJ72" i="12"/>
  <c r="BJ70" i="12"/>
  <c r="BL136" i="12"/>
  <c r="BL125" i="12"/>
  <c r="BL133" i="12"/>
  <c r="CN216" i="12"/>
  <c r="CN212" i="12"/>
  <c r="CP201" i="12"/>
  <c r="CN202" i="12"/>
  <c r="CN201" i="12" s="1"/>
  <c r="AN89" i="12"/>
  <c r="AL90" i="12"/>
  <c r="AL89" i="12" s="1"/>
  <c r="AL129" i="12"/>
  <c r="AL72" i="12"/>
  <c r="AL70" i="12"/>
  <c r="AN136" i="12"/>
  <c r="AN125" i="12"/>
  <c r="AN133" i="12"/>
  <c r="BY401" i="12"/>
  <c r="BY398" i="12"/>
  <c r="CA372" i="12"/>
  <c r="BY373" i="12"/>
  <c r="BY372" i="12" s="1"/>
  <c r="AR424" i="12"/>
  <c r="AR348" i="12"/>
  <c r="T68" i="31"/>
  <c r="F69" i="31" a="1"/>
  <c r="F69" i="31" s="1"/>
  <c r="CQ193" i="12"/>
  <c r="CQ286" i="12"/>
  <c r="CA102" i="12"/>
  <c r="BY103" i="12"/>
  <c r="BY102" i="12" s="1"/>
  <c r="BY111" i="12"/>
  <c r="BY109" i="12"/>
  <c r="AQ264" i="12"/>
  <c r="AO265" i="12"/>
  <c r="AO264" i="12" s="1"/>
  <c r="AO284" i="12"/>
  <c r="AO195" i="12"/>
  <c r="AO191" i="12"/>
  <c r="AU98" i="12"/>
  <c r="AU96" i="12"/>
  <c r="AW115" i="12"/>
  <c r="AU116" i="12"/>
  <c r="AU115" i="12" s="1"/>
  <c r="BI406" i="12"/>
  <c r="BG407" i="12"/>
  <c r="BG406" i="12" s="1"/>
  <c r="BG367" i="12"/>
  <c r="BG364" i="12"/>
  <c r="AZ429" i="12"/>
  <c r="AZ433" i="12"/>
  <c r="AH29" i="27"/>
  <c r="BS195" i="12"/>
  <c r="BS191" i="12"/>
  <c r="BS284" i="12"/>
  <c r="BU295" i="12"/>
  <c r="BU280" i="12"/>
  <c r="BU290" i="12"/>
  <c r="BS216" i="12"/>
  <c r="BS212" i="12"/>
  <c r="BF406" i="12"/>
  <c r="BD407" i="12"/>
  <c r="BD406" i="12" s="1"/>
  <c r="BD367" i="12"/>
  <c r="BD364" i="12"/>
  <c r="AO401" i="12"/>
  <c r="AO398" i="12"/>
  <c r="AQ372" i="12"/>
  <c r="AO373" i="12"/>
  <c r="AO372" i="12" s="1"/>
  <c r="AT243" i="12"/>
  <c r="AR244" i="12"/>
  <c r="AR243" i="12" s="1"/>
  <c r="AR254" i="12"/>
  <c r="AR258" i="12"/>
  <c r="F120" i="28" a="1"/>
  <c r="F120" i="28" s="1"/>
  <c r="AJ119" i="28"/>
  <c r="AF119" i="28"/>
  <c r="AK119" i="28"/>
  <c r="AI119" i="28"/>
  <c r="AG119" i="28"/>
  <c r="AE119" i="28"/>
  <c r="BC406" i="12"/>
  <c r="BA407" i="12"/>
  <c r="BA406" i="12" s="1"/>
  <c r="BA367" i="12"/>
  <c r="BA364" i="12"/>
  <c r="CG433" i="12"/>
  <c r="CG429" i="12"/>
  <c r="X251" i="12"/>
  <c r="AE251" i="12" a="1"/>
  <c r="AE251" i="12" s="1"/>
  <c r="CY246" i="12" a="1"/>
  <c r="CY246" i="12" s="1"/>
  <c r="N97" i="27" a="1"/>
  <c r="N97" i="27" s="1"/>
  <c r="BX96" i="27" a="1"/>
  <c r="BX96" i="27" s="1"/>
  <c r="M42" i="28" a="1"/>
  <c r="M42" i="28" s="1"/>
  <c r="AS41" i="28" a="1"/>
  <c r="AS41" i="28" s="1"/>
  <c r="AB41" i="19" a="1"/>
  <c r="AB41" i="19" s="1"/>
  <c r="V41" i="19" a="1"/>
  <c r="V41" i="19" s="1"/>
  <c r="BJ285" i="12"/>
  <c r="BJ192" i="12"/>
  <c r="CD115" i="12"/>
  <c r="CB116" i="12"/>
  <c r="CB115" i="12" s="1"/>
  <c r="CB98" i="12"/>
  <c r="CB96" i="12"/>
  <c r="BM98" i="12"/>
  <c r="BM96" i="12"/>
  <c r="BO115" i="12"/>
  <c r="BM116" i="12"/>
  <c r="BM115" i="12" s="1"/>
  <c r="AL384" i="12"/>
  <c r="AL381" i="12"/>
  <c r="AN355" i="12"/>
  <c r="AL356" i="12"/>
  <c r="AL355" i="12" s="1"/>
  <c r="BC243" i="12"/>
  <c r="BA244" i="12"/>
  <c r="BA243" i="12" s="1"/>
  <c r="BA216" i="12"/>
  <c r="BA212" i="12"/>
  <c r="CD389" i="12"/>
  <c r="CB390" i="12"/>
  <c r="CB389" i="12" s="1"/>
  <c r="CB423" i="12"/>
  <c r="CB350" i="12"/>
  <c r="CB347" i="12"/>
  <c r="CD432" i="12"/>
  <c r="CD428" i="12"/>
  <c r="CD419" i="12"/>
  <c r="T51" i="13" a="1"/>
  <c r="T51" i="13" s="1"/>
  <c r="T52" i="13" s="1" a="1"/>
  <c r="T52" i="13" s="1"/>
  <c r="T50" i="13" a="1"/>
  <c r="T50" i="13" s="1"/>
  <c r="AT115" i="12"/>
  <c r="AR116" i="12"/>
  <c r="AR115" i="12" s="1"/>
  <c r="AR98" i="12"/>
  <c r="AR96" i="12"/>
  <c r="CM389" i="12"/>
  <c r="CK390" i="12"/>
  <c r="CK389" i="12" s="1"/>
  <c r="CK350" i="12"/>
  <c r="CK347" i="12"/>
  <c r="CK423" i="12"/>
  <c r="BX264" i="12"/>
  <c r="BV265" i="12"/>
  <c r="BV264" i="12" s="1"/>
  <c r="BV284" i="12"/>
  <c r="BV195" i="12"/>
  <c r="BV191" i="12"/>
  <c r="BX290" i="12"/>
  <c r="BX295" i="12"/>
  <c r="BX280" i="12"/>
  <c r="CK424" i="12"/>
  <c r="CK348" i="12"/>
  <c r="CH258" i="12"/>
  <c r="CH254" i="12"/>
  <c r="CJ201" i="12"/>
  <c r="CH202" i="12"/>
  <c r="CH201" i="12" s="1"/>
  <c r="CM102" i="12"/>
  <c r="CK103" i="12"/>
  <c r="CK102" i="12" s="1"/>
  <c r="CK111" i="12"/>
  <c r="CK109" i="12"/>
  <c r="BL389" i="12"/>
  <c r="BJ390" i="12"/>
  <c r="BJ389" i="12" s="1"/>
  <c r="BJ423" i="12"/>
  <c r="BJ350" i="12"/>
  <c r="BJ347" i="12"/>
  <c r="BL432" i="12"/>
  <c r="BL428" i="12"/>
  <c r="BL419" i="12"/>
  <c r="BS98" i="12"/>
  <c r="BS96" i="12"/>
  <c r="BU115" i="12"/>
  <c r="BS116" i="12"/>
  <c r="BS115" i="12" s="1"/>
  <c r="CE98" i="12"/>
  <c r="CE96" i="12"/>
  <c r="CG115" i="12"/>
  <c r="CE116" i="12"/>
  <c r="CE115" i="12" s="1"/>
  <c r="AO98" i="12"/>
  <c r="AO96" i="12"/>
  <c r="AQ115" i="12"/>
  <c r="AO116" i="12"/>
  <c r="AO115" i="12" s="1"/>
  <c r="CN424" i="12"/>
  <c r="CN348" i="12"/>
  <c r="BP111" i="12"/>
  <c r="BP109" i="12"/>
  <c r="BR102" i="12"/>
  <c r="BP103" i="12"/>
  <c r="BP102" i="12" s="1"/>
  <c r="BS193" i="12"/>
  <c r="BS286" i="12"/>
  <c r="BF429" i="12"/>
  <c r="BF433" i="12"/>
  <c r="CN285" i="12"/>
  <c r="CN192" i="12"/>
  <c r="CP89" i="12"/>
  <c r="CN90" i="12"/>
  <c r="CN89" i="12" s="1"/>
  <c r="CN129" i="12"/>
  <c r="CN72" i="12"/>
  <c r="CN70" i="12"/>
  <c r="CP136" i="12"/>
  <c r="CP125" i="12"/>
  <c r="CP133" i="12"/>
  <c r="CE285" i="12"/>
  <c r="CE192" i="12"/>
  <c r="AX258" i="12"/>
  <c r="AX254" i="12"/>
  <c r="AZ201" i="12"/>
  <c r="AX202" i="12"/>
  <c r="AX201" i="12" s="1"/>
  <c r="CG389" i="12"/>
  <c r="CE390" i="12"/>
  <c r="CE389" i="12" s="1"/>
  <c r="CE350" i="12"/>
  <c r="CE347" i="12"/>
  <c r="CE423" i="12"/>
  <c r="CM264" i="12"/>
  <c r="CK265" i="12"/>
  <c r="CK264" i="12" s="1"/>
  <c r="CK284" i="12"/>
  <c r="CK195" i="12"/>
  <c r="CK191" i="12"/>
  <c r="T97" i="27"/>
  <c r="F98" i="27" a="1"/>
  <c r="F98" i="27" s="1"/>
  <c r="BO406" i="12"/>
  <c r="BM407" i="12"/>
  <c r="BM406" i="12" s="1"/>
  <c r="BM367" i="12"/>
  <c r="BM364" i="12"/>
  <c r="BF243" i="12"/>
  <c r="BD244" i="12"/>
  <c r="BD243" i="12" s="1"/>
  <c r="BD254" i="12"/>
  <c r="BD258" i="12"/>
  <c r="BC102" i="12"/>
  <c r="BA103" i="12"/>
  <c r="BA102" i="12" s="1"/>
  <c r="BA111" i="12"/>
  <c r="BA109" i="12"/>
  <c r="CD429" i="12"/>
  <c r="CD433" i="12"/>
  <c r="AL258" i="12"/>
  <c r="AL254" i="12"/>
  <c r="AN201" i="12"/>
  <c r="AL202" i="12"/>
  <c r="AL201" i="12" s="1"/>
  <c r="BR429" i="12"/>
  <c r="BR433" i="12"/>
  <c r="BS424" i="12"/>
  <c r="BS348" i="12"/>
  <c r="CJ115" i="12"/>
  <c r="CH116" i="12"/>
  <c r="CH115" i="12" s="1"/>
  <c r="CH98" i="12"/>
  <c r="CH96" i="12"/>
  <c r="CJ389" i="12"/>
  <c r="CH390" i="12"/>
  <c r="CH389" i="12" s="1"/>
  <c r="CH423" i="12"/>
  <c r="CH350" i="12"/>
  <c r="CH347" i="12"/>
  <c r="CJ432" i="12"/>
  <c r="CJ428" i="12"/>
  <c r="CJ419" i="12"/>
  <c r="CD222" i="12"/>
  <c r="CB223" i="12"/>
  <c r="CB222" i="12" s="1"/>
  <c r="CB284" i="12"/>
  <c r="CB195" i="12"/>
  <c r="CB191" i="12"/>
  <c r="CD290" i="12"/>
  <c r="CD280" i="12"/>
  <c r="CD295" i="12"/>
  <c r="BG129" i="12"/>
  <c r="BG72" i="12"/>
  <c r="BG70" i="12"/>
  <c r="BI133" i="12"/>
  <c r="BI136" i="12"/>
  <c r="BI125" i="12"/>
  <c r="BG85" i="12"/>
  <c r="BG83" i="12"/>
  <c r="BO297" i="12"/>
  <c r="BO292" i="12"/>
  <c r="BM285" i="12"/>
  <c r="BM192" i="12"/>
  <c r="AU401" i="12"/>
  <c r="AU398" i="12"/>
  <c r="AW372" i="12"/>
  <c r="AU373" i="12"/>
  <c r="AU372" i="12" s="1"/>
  <c r="BD111" i="12"/>
  <c r="BD109" i="12"/>
  <c r="BF102" i="12"/>
  <c r="BD103" i="12"/>
  <c r="BD102" i="12" s="1"/>
  <c r="CN384" i="12"/>
  <c r="CN381" i="12"/>
  <c r="CP355" i="12"/>
  <c r="CN356" i="12"/>
  <c r="CN355" i="12" s="1"/>
  <c r="CS433" i="12"/>
  <c r="CS429" i="12"/>
  <c r="M109" i="28" a="1"/>
  <c r="M109" i="28" s="1"/>
  <c r="AS108" i="28" a="1"/>
  <c r="AS108" i="28" s="1"/>
  <c r="F90" i="30" a="1"/>
  <c r="F90" i="30" s="1"/>
  <c r="T89" i="30"/>
  <c r="AZ89" i="12"/>
  <c r="AX90" i="12"/>
  <c r="AX89" i="12" s="1"/>
  <c r="AX129" i="12"/>
  <c r="AX72" i="12"/>
  <c r="AX70" i="12"/>
  <c r="AZ136" i="12"/>
  <c r="AZ125" i="12"/>
  <c r="AZ133" i="12"/>
  <c r="AR285" i="12"/>
  <c r="AR192" i="12"/>
  <c r="CG201" i="12"/>
  <c r="CE202" i="12"/>
  <c r="CE201" i="12" s="1"/>
  <c r="CG222" i="12"/>
  <c r="CE223" i="12"/>
  <c r="CE222" i="12" s="1"/>
  <c r="AX286" i="12"/>
  <c r="AX193" i="12"/>
  <c r="AT389" i="12"/>
  <c r="AR390" i="12"/>
  <c r="AR389" i="12" s="1"/>
  <c r="AR423" i="12"/>
  <c r="AR350" i="12"/>
  <c r="AR347" i="12"/>
  <c r="AT432" i="12"/>
  <c r="AT428" i="12"/>
  <c r="AT419" i="12"/>
  <c r="F96" i="31" a="1"/>
  <c r="F96" i="31" s="1"/>
  <c r="T95" i="31"/>
  <c r="CQ195" i="12"/>
  <c r="CQ191" i="12"/>
  <c r="CQ284" i="12"/>
  <c r="CS295" i="12"/>
  <c r="CS280" i="12"/>
  <c r="CS290" i="12"/>
  <c r="CQ216" i="12"/>
  <c r="CQ212" i="12"/>
  <c r="BJ258" i="12"/>
  <c r="BJ254" i="12"/>
  <c r="BL201" i="12"/>
  <c r="BJ202" i="12"/>
  <c r="BJ201" i="12" s="1"/>
  <c r="BO433" i="12"/>
  <c r="BO429" i="12"/>
  <c r="BR243" i="12"/>
  <c r="BP244" i="12"/>
  <c r="BP243" i="12" s="1"/>
  <c r="BP254" i="12"/>
  <c r="BP258" i="12"/>
  <c r="BI264" i="12"/>
  <c r="BG265" i="12"/>
  <c r="BG264" i="12" s="1"/>
  <c r="BG237" i="12"/>
  <c r="BG233" i="12"/>
  <c r="BX292" i="12"/>
  <c r="BX297" i="12"/>
  <c r="BV401" i="12"/>
  <c r="BV398" i="12"/>
  <c r="BX372" i="12"/>
  <c r="BV373" i="12"/>
  <c r="BV372" i="12" s="1"/>
  <c r="AU193" i="12"/>
  <c r="AU286" i="12"/>
  <c r="BX291" i="12"/>
  <c r="BX296" i="12"/>
  <c r="BM237" i="12"/>
  <c r="BM233" i="12"/>
  <c r="BO222" i="12"/>
  <c r="BM223" i="12"/>
  <c r="BM222" i="12" s="1"/>
  <c r="BG424" i="12"/>
  <c r="BG348" i="12"/>
  <c r="BR406" i="12"/>
  <c r="BP407" i="12"/>
  <c r="BP406" i="12" s="1"/>
  <c r="BP367" i="12"/>
  <c r="BP364" i="12"/>
  <c r="BU406" i="12"/>
  <c r="BS407" i="12"/>
  <c r="BS406" i="12" s="1"/>
  <c r="BS367" i="12"/>
  <c r="BS364" i="12"/>
  <c r="AZ389" i="12"/>
  <c r="AX390" i="12"/>
  <c r="AX389" i="12" s="1"/>
  <c r="AX423" i="12"/>
  <c r="AX350" i="12"/>
  <c r="AX347" i="12"/>
  <c r="AZ432" i="12"/>
  <c r="AZ428" i="12"/>
  <c r="AZ419" i="12"/>
  <c r="BV85" i="12"/>
  <c r="BV83" i="12"/>
  <c r="BX76" i="12"/>
  <c r="BV77" i="12"/>
  <c r="BV76" i="12" s="1"/>
  <c r="F54" i="33" a="1"/>
  <c r="F54" i="33" s="1"/>
  <c r="BY258" i="12"/>
  <c r="BY254" i="12"/>
  <c r="CA201" i="12"/>
  <c r="BY202" i="12"/>
  <c r="BY201" i="12" s="1"/>
  <c r="CA295" i="12"/>
  <c r="CA280" i="12"/>
  <c r="CA290" i="12"/>
  <c r="F187" i="28" a="1"/>
  <c r="F187" i="28" s="1"/>
  <c r="AJ186" i="28"/>
  <c r="AF186" i="28"/>
  <c r="AK186" i="28"/>
  <c r="AI186" i="28"/>
  <c r="AL186" i="28" s="1"/>
  <c r="AG186" i="28"/>
  <c r="AE186" i="28"/>
  <c r="CQ401" i="12"/>
  <c r="CQ398" i="12"/>
  <c r="CS372" i="12"/>
  <c r="CQ373" i="12"/>
  <c r="CQ372" i="12" s="1"/>
  <c r="CS102" i="12"/>
  <c r="CQ103" i="12"/>
  <c r="CQ102" i="12" s="1"/>
  <c r="CQ111" i="12"/>
  <c r="CQ109" i="12"/>
  <c r="BL115" i="12"/>
  <c r="BJ116" i="12"/>
  <c r="BJ115" i="12" s="1"/>
  <c r="BJ98" i="12"/>
  <c r="BJ96" i="12"/>
  <c r="CP243" i="12"/>
  <c r="CN244" i="12"/>
  <c r="CN243" i="12" s="1"/>
  <c r="CN254" i="12"/>
  <c r="CN258" i="12"/>
  <c r="AT292" i="12"/>
  <c r="AT297" i="12"/>
  <c r="AX285" i="12"/>
  <c r="AX192" i="12"/>
  <c r="AN115" i="12"/>
  <c r="AL116" i="12"/>
  <c r="AL115" i="12" s="1"/>
  <c r="AL98" i="12"/>
  <c r="AL96" i="12"/>
  <c r="BC433" i="12"/>
  <c r="BC429" i="12"/>
  <c r="BY384" i="12"/>
  <c r="BY381" i="12"/>
  <c r="CA355" i="12"/>
  <c r="BY356" i="12"/>
  <c r="BY355" i="12" s="1"/>
  <c r="CA432" i="12"/>
  <c r="CA428" i="12"/>
  <c r="CA419" i="12"/>
  <c r="CS296" i="12"/>
  <c r="CS291" i="12"/>
  <c r="T42" i="18"/>
  <c r="T43" i="18" s="1" a="1"/>
  <c r="T43" i="18" s="1"/>
  <c r="T44" i="18" s="1" a="1"/>
  <c r="T44" i="18" s="1"/>
  <c r="F43" i="18" a="1"/>
  <c r="F43" i="18" s="1"/>
  <c r="BY129" i="12"/>
  <c r="BY72" i="12"/>
  <c r="BY70" i="12"/>
  <c r="CA133" i="12"/>
  <c r="CA136" i="12"/>
  <c r="CA125" i="12"/>
  <c r="BY85" i="12"/>
  <c r="BY83" i="12"/>
  <c r="AQ243" i="12"/>
  <c r="AO244" i="12"/>
  <c r="AO243" i="12" s="1"/>
  <c r="AO216" i="12"/>
  <c r="AO212" i="12"/>
  <c r="AN429" i="12"/>
  <c r="AN433" i="12"/>
  <c r="CZ251" i="12" a="1"/>
  <c r="CZ251" i="12" s="1"/>
  <c r="AF256" i="12" a="1"/>
  <c r="AF256" i="12" s="1"/>
  <c r="BA286" i="12"/>
  <c r="BA193" i="12"/>
  <c r="BC296" i="12"/>
  <c r="BC291" i="12"/>
  <c r="BF296" i="12"/>
  <c r="BF291" i="12"/>
  <c r="AU129" i="12"/>
  <c r="AU72" i="12"/>
  <c r="AU70" i="12"/>
  <c r="AW133" i="12"/>
  <c r="AW136" i="12"/>
  <c r="AW125" i="12"/>
  <c r="AU85" i="12"/>
  <c r="AU83" i="12"/>
  <c r="F101" i="33" a="1"/>
  <c r="F101" i="33" s="1"/>
  <c r="F102" i="33" s="1" a="1"/>
  <c r="F102" i="33" s="1"/>
  <c r="BP286" i="12"/>
  <c r="BP193" i="12"/>
  <c r="BI296" i="12"/>
  <c r="BI291" i="12"/>
  <c r="N153" i="27" a="1"/>
  <c r="N153" i="27" s="1"/>
  <c r="BX152" i="27" a="1"/>
  <c r="BX152" i="27" s="1"/>
  <c r="F42" i="27" a="1"/>
  <c r="F42" i="27" s="1"/>
  <c r="T41" i="27"/>
  <c r="M98" i="31" a="1"/>
  <c r="M98" i="31" s="1"/>
  <c r="M99" i="31" s="1" a="1"/>
  <c r="M99" i="31" s="1"/>
  <c r="BI97" i="31" a="1"/>
  <c r="BI97" i="31" s="1"/>
  <c r="AU258" i="12"/>
  <c r="AU254" i="12"/>
  <c r="AW243" i="12"/>
  <c r="AU244" i="12"/>
  <c r="AU243" i="12" s="1"/>
  <c r="BG193" i="12"/>
  <c r="BG286" i="12"/>
  <c r="AW201" i="12"/>
  <c r="AU202" i="12"/>
  <c r="AU201" i="12" s="1"/>
  <c r="AW222" i="12"/>
  <c r="AU223" i="12"/>
  <c r="AU222" i="12" s="1"/>
  <c r="BG350" i="12"/>
  <c r="BG347" i="12"/>
  <c r="BG423" i="12"/>
  <c r="F42" i="30" a="1"/>
  <c r="F42" i="30" s="1"/>
  <c r="T41" i="30"/>
  <c r="AO350" i="12"/>
  <c r="AO347" i="12"/>
  <c r="AO423" i="12"/>
  <c r="AT290" i="12"/>
  <c r="AT280" i="12"/>
  <c r="AT295" i="12"/>
  <c r="BA350" i="12"/>
  <c r="BA347" i="12"/>
  <c r="BA423" i="12"/>
  <c r="CB85" i="12"/>
  <c r="CB83" i="12"/>
  <c r="AQ297" i="12"/>
  <c r="AQ292" i="12"/>
  <c r="AO285" i="12"/>
  <c r="AO192" i="12"/>
  <c r="BO76" i="12"/>
  <c r="BM77" i="12"/>
  <c r="BM76" i="12" s="1"/>
  <c r="AL401" i="12"/>
  <c r="AL398" i="12"/>
  <c r="BC264" i="12"/>
  <c r="BA265" i="12"/>
  <c r="BA264" i="12" s="1"/>
  <c r="BA284" i="12"/>
  <c r="BA195" i="12"/>
  <c r="BA191" i="12"/>
  <c r="CD406" i="12"/>
  <c r="CB407" i="12"/>
  <c r="CB406" i="12" s="1"/>
  <c r="CB367" i="12"/>
  <c r="CB364" i="12"/>
  <c r="BR296" i="12"/>
  <c r="BR291" i="12"/>
  <c r="CK401" i="12"/>
  <c r="CK398" i="12"/>
  <c r="CM372" i="12"/>
  <c r="CK373" i="12"/>
  <c r="CK372" i="12" s="1"/>
  <c r="BV237" i="12"/>
  <c r="BV233" i="12"/>
  <c r="BX222" i="12"/>
  <c r="BV223" i="12"/>
  <c r="BV222" i="12" s="1"/>
  <c r="CH216" i="12"/>
  <c r="CH212" i="12"/>
  <c r="CM133" i="12"/>
  <c r="CM136" i="12"/>
  <c r="CM125" i="12"/>
  <c r="BJ367" i="12"/>
  <c r="BJ364" i="12"/>
  <c r="BU133" i="12"/>
  <c r="BU136" i="12"/>
  <c r="BU125" i="12"/>
  <c r="CG76" i="12"/>
  <c r="CE77" i="12"/>
  <c r="CE76" i="12" s="1"/>
  <c r="BG384" i="12"/>
  <c r="BG381" i="12"/>
  <c r="BI355" i="12"/>
  <c r="BG356" i="12"/>
  <c r="BG355" i="12" s="1"/>
  <c r="BI432" i="12"/>
  <c r="BI428" i="12"/>
  <c r="BI419" i="12"/>
  <c r="BU264" i="12"/>
  <c r="BS265" i="12"/>
  <c r="BS264" i="12" s="1"/>
  <c r="BS237" i="12"/>
  <c r="BS233" i="12"/>
  <c r="BF389" i="12"/>
  <c r="BD390" i="12"/>
  <c r="BD389" i="12" s="1"/>
  <c r="BD423" i="12"/>
  <c r="BD350" i="12"/>
  <c r="BD347" i="12"/>
  <c r="BF432" i="12"/>
  <c r="BF428" i="12"/>
  <c r="BF419" i="12"/>
  <c r="AO384" i="12"/>
  <c r="AO381" i="12"/>
  <c r="AQ355" i="12"/>
  <c r="AO356" i="12"/>
  <c r="AO355" i="12" s="1"/>
  <c r="AQ432" i="12"/>
  <c r="AQ428" i="12"/>
  <c r="AQ419" i="12"/>
  <c r="T116" i="12"/>
  <c r="L117" i="12" a="1"/>
  <c r="L117" i="12" s="1"/>
  <c r="L118" i="12" s="1" a="1"/>
  <c r="L118" i="12" s="1"/>
  <c r="L119" i="12" s="1" a="1"/>
  <c r="L119" i="12" s="1"/>
  <c r="L120" i="12" s="1" a="1"/>
  <c r="L120" i="12" s="1"/>
  <c r="L121" i="12" s="1" a="1"/>
  <c r="L121" i="12" s="1"/>
  <c r="L122" i="12" s="1" a="1"/>
  <c r="L122" i="12" s="1"/>
  <c r="AR216" i="12"/>
  <c r="AR212" i="12"/>
  <c r="AT201" i="12"/>
  <c r="AR202" i="12"/>
  <c r="AR201" i="12" s="1"/>
  <c r="BA384" i="12"/>
  <c r="BA381" i="12"/>
  <c r="BC355" i="12"/>
  <c r="BA356" i="12"/>
  <c r="BA355" i="12" s="1"/>
  <c r="BC432" i="12"/>
  <c r="BC428" i="12"/>
  <c r="BC419" i="12"/>
  <c r="CD89" i="12"/>
  <c r="CB90" i="12"/>
  <c r="CB89" i="12" s="1"/>
  <c r="CB129" i="12"/>
  <c r="CB72" i="12"/>
  <c r="CB70" i="12"/>
  <c r="CD136" i="12"/>
  <c r="CD125" i="12"/>
  <c r="CD133" i="12"/>
  <c r="CK286" i="12"/>
  <c r="CK193" i="12"/>
  <c r="CM296" i="12"/>
  <c r="CM291" i="12"/>
  <c r="AO286" i="12"/>
  <c r="AO193" i="12"/>
  <c r="AQ296" i="12"/>
  <c r="AQ291" i="12"/>
  <c r="BM129" i="12"/>
  <c r="BM72" i="12"/>
  <c r="BM70" i="12"/>
  <c r="BO133" i="12"/>
  <c r="BO136" i="12"/>
  <c r="BO125" i="12"/>
  <c r="BM85" i="12"/>
  <c r="BM83" i="12"/>
  <c r="AN406" i="12"/>
  <c r="AL407" i="12"/>
  <c r="AL406" i="12" s="1"/>
  <c r="AL367" i="12"/>
  <c r="AL364" i="12"/>
  <c r="BA258" i="12"/>
  <c r="BA254" i="12"/>
  <c r="BC201" i="12"/>
  <c r="BA202" i="12"/>
  <c r="BA201" i="12" s="1"/>
  <c r="BC295" i="12"/>
  <c r="BC280" i="12"/>
  <c r="BC290" i="12"/>
  <c r="BF292" i="12"/>
  <c r="BF297" i="12"/>
  <c r="CB401" i="12"/>
  <c r="CB398" i="12"/>
  <c r="CD372" i="12"/>
  <c r="CB373" i="12"/>
  <c r="CB372" i="12" s="1"/>
  <c r="CZ399" i="12" a="1"/>
  <c r="CZ399" i="12" s="1"/>
  <c r="AF404" i="12" a="1"/>
  <c r="AF404" i="12" s="1"/>
  <c r="BP285" i="12"/>
  <c r="BP192" i="12"/>
  <c r="AT89" i="12"/>
  <c r="AR90" i="12"/>
  <c r="AR89" i="12" s="1"/>
  <c r="AR129" i="12"/>
  <c r="AR72" i="12"/>
  <c r="AR70" i="12"/>
  <c r="AT136" i="12"/>
  <c r="AT125" i="12"/>
  <c r="AT133" i="12"/>
  <c r="F44" i="8" a="1"/>
  <c r="F44" i="8" s="1"/>
  <c r="U43" i="8"/>
  <c r="CM406" i="12"/>
  <c r="CK407" i="12"/>
  <c r="CK406" i="12" s="1"/>
  <c r="CK367" i="12"/>
  <c r="CK364" i="12"/>
  <c r="BX243" i="12"/>
  <c r="BV244" i="12"/>
  <c r="BV243" i="12" s="1"/>
  <c r="BV216" i="12"/>
  <c r="BV212" i="12"/>
  <c r="BX429" i="12"/>
  <c r="BX433" i="12"/>
  <c r="CH237" i="12"/>
  <c r="CH233" i="12"/>
  <c r="CJ222" i="12"/>
  <c r="CH223" i="12"/>
  <c r="CH222" i="12" s="1"/>
  <c r="AL286" i="12"/>
  <c r="AL193" i="12"/>
  <c r="CM76" i="12"/>
  <c r="CK77" i="12"/>
  <c r="CK76" i="12" s="1"/>
  <c r="CM89" i="12"/>
  <c r="CK90" i="12"/>
  <c r="CK89" i="12" s="1"/>
  <c r="BJ401" i="12"/>
  <c r="BJ398" i="12"/>
  <c r="BL372" i="12"/>
  <c r="BJ373" i="12"/>
  <c r="BJ372" i="12" s="1"/>
  <c r="AU424" i="12"/>
  <c r="AU348" i="12"/>
  <c r="BU76" i="12"/>
  <c r="BS77" i="12"/>
  <c r="BS76" i="12" s="1"/>
  <c r="BU89" i="12"/>
  <c r="BS90" i="12"/>
  <c r="BS89" i="12" s="1"/>
  <c r="CE129" i="12"/>
  <c r="CE72" i="12"/>
  <c r="CE70" i="12"/>
  <c r="CG133" i="12"/>
  <c r="CG136" i="12"/>
  <c r="CG125" i="12"/>
  <c r="CE85" i="12"/>
  <c r="CE83" i="12"/>
  <c r="AQ76" i="12"/>
  <c r="AO77" i="12"/>
  <c r="AO76" i="12" s="1"/>
  <c r="AQ89" i="12"/>
  <c r="AO90" i="12"/>
  <c r="AO89" i="12" s="1"/>
  <c r="CH424" i="12"/>
  <c r="CH348" i="12"/>
  <c r="CD292" i="12"/>
  <c r="CD297" i="12"/>
  <c r="BP85" i="12"/>
  <c r="BP83" i="12"/>
  <c r="BR76" i="12"/>
  <c r="BP77" i="12"/>
  <c r="BP76" i="12" s="1"/>
  <c r="BU296" i="12"/>
  <c r="BU291" i="12"/>
  <c r="AO424" i="12"/>
  <c r="AO348" i="12"/>
  <c r="CP115" i="12"/>
  <c r="CN116" i="12"/>
  <c r="CN115" i="12" s="1"/>
  <c r="CN98" i="12"/>
  <c r="CN96" i="12"/>
  <c r="CG297" i="12"/>
  <c r="CG292" i="12"/>
  <c r="AX237" i="12"/>
  <c r="AX233" i="12"/>
  <c r="AZ222" i="12"/>
  <c r="AX223" i="12"/>
  <c r="AX222" i="12" s="1"/>
  <c r="CG406" i="12"/>
  <c r="CE407" i="12"/>
  <c r="CE406" i="12" s="1"/>
  <c r="CE367" i="12"/>
  <c r="CE364" i="12"/>
  <c r="BL292" i="12"/>
  <c r="BL297" i="12"/>
  <c r="CK237" i="12"/>
  <c r="CK233" i="12"/>
  <c r="CM222" i="12"/>
  <c r="CK223" i="12"/>
  <c r="CK222" i="12" s="1"/>
  <c r="BM384" i="12"/>
  <c r="BM381" i="12"/>
  <c r="BO355" i="12"/>
  <c r="BM356" i="12"/>
  <c r="BM355" i="12" s="1"/>
  <c r="BO432" i="12"/>
  <c r="BO428" i="12"/>
  <c r="BO419" i="12"/>
  <c r="BD216" i="12"/>
  <c r="BD212" i="12"/>
  <c r="BF201" i="12"/>
  <c r="BD202" i="12"/>
  <c r="BD201" i="12" s="1"/>
  <c r="BC76" i="12"/>
  <c r="BA77" i="12"/>
  <c r="BA76" i="12" s="1"/>
  <c r="BC89" i="12"/>
  <c r="BA90" i="12"/>
  <c r="BA89" i="12" s="1"/>
  <c r="AN243" i="12"/>
  <c r="AL244" i="12"/>
  <c r="AL243" i="12" s="1"/>
  <c r="AL216" i="12"/>
  <c r="AL212" i="12"/>
  <c r="CJ89" i="12"/>
  <c r="CH90" i="12"/>
  <c r="CH89" i="12" s="1"/>
  <c r="CH129" i="12"/>
  <c r="CH72" i="12"/>
  <c r="CH70" i="12"/>
  <c r="CJ136" i="12"/>
  <c r="CJ125" i="12"/>
  <c r="CJ133" i="12"/>
  <c r="CH401" i="12"/>
  <c r="CH398" i="12"/>
  <c r="CJ372" i="12"/>
  <c r="CH373" i="12"/>
  <c r="CH372" i="12" s="1"/>
  <c r="CB237" i="12"/>
  <c r="CB233" i="12"/>
  <c r="CD264" i="12"/>
  <c r="CB265" i="12"/>
  <c r="CB264" i="12" s="1"/>
  <c r="CH286" i="12"/>
  <c r="CH193" i="12"/>
  <c r="AN291" i="12"/>
  <c r="AN296" i="12"/>
  <c r="BG98" i="12"/>
  <c r="BG96" i="12"/>
  <c r="BI115" i="12"/>
  <c r="BG116" i="12"/>
  <c r="BG115" i="12" s="1"/>
  <c r="BJ424" i="12"/>
  <c r="BJ348" i="12"/>
  <c r="AW389" i="12"/>
  <c r="AU390" i="12"/>
  <c r="AU389" i="12" s="1"/>
  <c r="AU350" i="12"/>
  <c r="AU347" i="12"/>
  <c r="AU423" i="12"/>
  <c r="BD85" i="12"/>
  <c r="BD83" i="12"/>
  <c r="BF76" i="12"/>
  <c r="BD77" i="12"/>
  <c r="BD76" i="12" s="1"/>
  <c r="CA297" i="12"/>
  <c r="CA292" i="12"/>
  <c r="BY285" i="12"/>
  <c r="BY192" i="12"/>
  <c r="CP406" i="12"/>
  <c r="CN407" i="12"/>
  <c r="CN406" i="12" s="1"/>
  <c r="CN367" i="12"/>
  <c r="CN364" i="12"/>
  <c r="CB285" i="12"/>
  <c r="CB192" i="12"/>
  <c r="AZ115" i="12"/>
  <c r="AX116" i="12"/>
  <c r="AX115" i="12" s="1"/>
  <c r="AX98" i="12"/>
  <c r="AX96" i="12"/>
  <c r="CP292" i="12"/>
  <c r="CP297" i="12"/>
  <c r="CG264" i="12"/>
  <c r="CE265" i="12"/>
  <c r="CE264" i="12" s="1"/>
  <c r="CE237" i="12"/>
  <c r="CE233" i="12"/>
  <c r="CA433" i="12"/>
  <c r="CA429" i="12"/>
  <c r="AR401" i="12"/>
  <c r="AR398" i="12"/>
  <c r="AT372" i="12"/>
  <c r="AR373" i="12"/>
  <c r="AR372" i="12" s="1"/>
  <c r="CQ258" i="12"/>
  <c r="CQ254" i="12"/>
  <c r="CS243" i="12"/>
  <c r="CQ244" i="12"/>
  <c r="CQ243" i="12" s="1"/>
  <c r="BJ237" i="12"/>
  <c r="BJ233" i="12"/>
  <c r="BL222" i="12"/>
  <c r="BJ223" i="12"/>
  <c r="BJ222" i="12" s="1"/>
  <c r="BP216" i="12"/>
  <c r="BP212" i="12"/>
  <c r="BR201" i="12"/>
  <c r="BP202" i="12"/>
  <c r="BP201" i="12" s="1"/>
  <c r="BI201" i="12"/>
  <c r="BG202" i="12"/>
  <c r="BG201" i="12" s="1"/>
  <c r="BI222" i="12"/>
  <c r="BG223" i="12"/>
  <c r="BG222" i="12" s="1"/>
  <c r="L92" i="13" a="1"/>
  <c r="L92" i="13" s="1"/>
  <c r="F93" i="13" a="1"/>
  <c r="F93" i="13" s="1"/>
  <c r="F94" i="13" s="1" a="1"/>
  <c r="F94" i="13" s="1"/>
  <c r="F95" i="13" s="1" a="1"/>
  <c r="F95" i="13" s="1"/>
  <c r="F96" i="13" s="1" a="1"/>
  <c r="F96" i="13" s="1"/>
  <c r="F97" i="13" s="1" a="1"/>
  <c r="F97" i="13" s="1"/>
  <c r="T92" i="13"/>
  <c r="BV384" i="12"/>
  <c r="BV381" i="12"/>
  <c r="BX355" i="12"/>
  <c r="BV356" i="12"/>
  <c r="BV355" i="12" s="1"/>
  <c r="F146" i="33" a="1"/>
  <c r="F146" i="33" s="1"/>
  <c r="AU285" i="12"/>
  <c r="AU192" i="12"/>
  <c r="CJ291" i="12"/>
  <c r="CJ296" i="12"/>
  <c r="BM258" i="12"/>
  <c r="BM254" i="12"/>
  <c r="BO201" i="12"/>
  <c r="BM202" i="12"/>
  <c r="BM201" i="12" s="1"/>
  <c r="BO295" i="12"/>
  <c r="BO280" i="12"/>
  <c r="BO290" i="12"/>
  <c r="BR389" i="12"/>
  <c r="BP390" i="12"/>
  <c r="BP389" i="12" s="1"/>
  <c r="BP423" i="12"/>
  <c r="BP350" i="12"/>
  <c r="BP347" i="12"/>
  <c r="BR432" i="12"/>
  <c r="BR428" i="12"/>
  <c r="BR419" i="12"/>
  <c r="BS384" i="12"/>
  <c r="BS381" i="12"/>
  <c r="BU355" i="12"/>
  <c r="BS356" i="12"/>
  <c r="BS355" i="12" s="1"/>
  <c r="BU432" i="12"/>
  <c r="BU428" i="12"/>
  <c r="BU419" i="12"/>
  <c r="AZ406" i="12"/>
  <c r="AX407" i="12"/>
  <c r="AX406" i="12" s="1"/>
  <c r="AX367" i="12"/>
  <c r="AX364" i="12"/>
  <c r="BX115" i="12"/>
  <c r="BV116" i="12"/>
  <c r="BV115" i="12" s="1"/>
  <c r="BV98" i="12"/>
  <c r="BV96" i="12"/>
  <c r="CA243" i="12"/>
  <c r="BY244" i="12"/>
  <c r="BY243" i="12" s="1"/>
  <c r="BY216" i="12"/>
  <c r="BY212" i="12"/>
  <c r="CS389" i="12"/>
  <c r="CQ390" i="12"/>
  <c r="CQ389" i="12" s="1"/>
  <c r="CQ350" i="12"/>
  <c r="CQ347" i="12"/>
  <c r="CQ423" i="12"/>
  <c r="CS76" i="12"/>
  <c r="CQ77" i="12"/>
  <c r="CQ76" i="12" s="1"/>
  <c r="CS89" i="12"/>
  <c r="CQ90" i="12"/>
  <c r="CQ89" i="12" s="1"/>
  <c r="BJ85" i="12"/>
  <c r="BJ83" i="12"/>
  <c r="BL76" i="12"/>
  <c r="BJ77" i="12"/>
  <c r="BJ76" i="12" s="1"/>
  <c r="CP222" i="12"/>
  <c r="CN223" i="12"/>
  <c r="CN222" i="12" s="1"/>
  <c r="CN284" i="12"/>
  <c r="CN195" i="12"/>
  <c r="CN191" i="12"/>
  <c r="CP290" i="12"/>
  <c r="CP280" i="12"/>
  <c r="CP295" i="12"/>
  <c r="AL85" i="12"/>
  <c r="AL83" i="12"/>
  <c r="AN76" i="12"/>
  <c r="AL77" i="12"/>
  <c r="AL76" i="12" s="1"/>
  <c r="CA406" i="12"/>
  <c r="BY407" i="12"/>
  <c r="BY406" i="12" s="1"/>
  <c r="BY367" i="12"/>
  <c r="BY364" i="12"/>
  <c r="AT429" i="12"/>
  <c r="AT433" i="12"/>
  <c r="N41" i="27" a="1"/>
  <c r="N41" i="27" s="1"/>
  <c r="BX40" i="27" a="1"/>
  <c r="BX40" i="27" s="1"/>
  <c r="S170" i="12" a="1"/>
  <c r="S170" i="12" s="1"/>
  <c r="U169" i="12"/>
  <c r="X399" i="12"/>
  <c r="CY395" i="12" a="1"/>
  <c r="CY395" i="12" s="1"/>
  <c r="AE399" i="12" a="1"/>
  <c r="AE399" i="12" s="1"/>
  <c r="CS297" i="12"/>
  <c r="CS292" i="12"/>
  <c r="BY98" i="12"/>
  <c r="BY96" i="12"/>
  <c r="CA115" i="12"/>
  <c r="BY116" i="12"/>
  <c r="BY115" i="12" s="1"/>
  <c r="AO258" i="12"/>
  <c r="AO254" i="12"/>
  <c r="AQ201" i="12"/>
  <c r="AO202" i="12"/>
  <c r="AO201" i="12" s="1"/>
  <c r="AQ295" i="12"/>
  <c r="AQ280" i="12"/>
  <c r="AQ290" i="12"/>
  <c r="AW102" i="12"/>
  <c r="AU103" i="12"/>
  <c r="AU102" i="12" s="1"/>
  <c r="AU111" i="12"/>
  <c r="AU109" i="12"/>
  <c r="BG401" i="12"/>
  <c r="BG398" i="12"/>
  <c r="BI372" i="12"/>
  <c r="BG373" i="12"/>
  <c r="BG372" i="12" s="1"/>
  <c r="AX424" i="12"/>
  <c r="AX348" i="12"/>
  <c r="BU201" i="12"/>
  <c r="BS202" i="12"/>
  <c r="BS201" i="12" s="1"/>
  <c r="BU222" i="12"/>
  <c r="BS223" i="12"/>
  <c r="BS222" i="12" s="1"/>
  <c r="BD401" i="12"/>
  <c r="BD398" i="12"/>
  <c r="BF372" i="12"/>
  <c r="BD373" i="12"/>
  <c r="BD372" i="12" s="1"/>
  <c r="AQ406" i="12"/>
  <c r="AO407" i="12"/>
  <c r="AO406" i="12" s="1"/>
  <c r="AO367" i="12"/>
  <c r="AO364" i="12"/>
  <c r="AR237" i="12"/>
  <c r="AR233" i="12"/>
  <c r="AT264" i="12"/>
  <c r="AR265" i="12"/>
  <c r="AR264" i="12" s="1"/>
  <c r="L226" i="12" a="1"/>
  <c r="L226" i="12" s="1"/>
  <c r="L227" i="12" s="1" a="1"/>
  <c r="L227" i="12" s="1"/>
  <c r="L228" i="12" s="1" a="1"/>
  <c r="L228" i="12" s="1"/>
  <c r="L229" i="12" s="1" a="1"/>
  <c r="L229" i="12" s="1"/>
  <c r="L230" i="12" s="1" a="1"/>
  <c r="L230" i="12" s="1"/>
  <c r="L231" i="12" s="1"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T225" i="12"/>
  <c r="AH118" i="28"/>
  <c r="BA401" i="12"/>
  <c r="BA398" i="12"/>
  <c r="BC372" i="12"/>
  <c r="BA373" i="12"/>
  <c r="BA372" i="12" s="1"/>
  <c r="CE424" i="12"/>
  <c r="CE348" i="12"/>
  <c r="BL291" i="12"/>
  <c r="BL296" i="12"/>
  <c r="CB111" i="12"/>
  <c r="CB109" i="12"/>
  <c r="CD102" i="12"/>
  <c r="CB103" i="12"/>
  <c r="CB102" i="12" s="1"/>
  <c r="F109" i="18" a="1"/>
  <c r="F109" i="18" s="1"/>
  <c r="T108" i="18"/>
  <c r="BO102" i="12"/>
  <c r="BM103" i="12"/>
  <c r="BM102" i="12" s="1"/>
  <c r="BM111" i="12"/>
  <c r="BM109" i="12"/>
  <c r="AN389" i="12"/>
  <c r="AL390" i="12"/>
  <c r="AL389" i="12" s="1"/>
  <c r="AL423" i="12"/>
  <c r="AL350" i="12"/>
  <c r="AL347" i="12"/>
  <c r="AN432" i="12"/>
  <c r="AN428" i="12"/>
  <c r="AN419" i="12"/>
  <c r="F42" i="31" a="1"/>
  <c r="F42" i="31" s="1"/>
  <c r="T41" i="31"/>
  <c r="BA237" i="12"/>
  <c r="BA233" i="12"/>
  <c r="BC222" i="12"/>
  <c r="BA223" i="12"/>
  <c r="BA222" i="12" s="1"/>
  <c r="CB384" i="12"/>
  <c r="CB381" i="12"/>
  <c r="CD355" i="12"/>
  <c r="CB356" i="12"/>
  <c r="CB355" i="12" s="1"/>
  <c r="F49" i="13" a="1"/>
  <c r="F49" i="13" s="1"/>
  <c r="F50" i="13" s="1" a="1"/>
  <c r="F50" i="13" s="1"/>
  <c r="F51" i="13" s="1" a="1"/>
  <c r="F51" i="13" s="1"/>
  <c r="F52" i="13" s="1" a="1"/>
  <c r="F52" i="13" s="1"/>
  <c r="F53" i="13" s="1" a="1"/>
  <c r="F53" i="13" s="1"/>
  <c r="L48" i="13" a="1"/>
  <c r="L48" i="13" s="1"/>
  <c r="T48" i="13" s="1"/>
  <c r="M44" i="31" a="1"/>
  <c r="M44" i="31" s="1"/>
  <c r="M45" i="31" s="1" a="1"/>
  <c r="M45" i="31" s="1"/>
  <c r="BI43" i="31" a="1"/>
  <c r="BI43" i="31" s="1"/>
  <c r="M71" i="31" a="1"/>
  <c r="M71" i="31" s="1"/>
  <c r="M72" i="31" s="1" a="1"/>
  <c r="M72" i="31" s="1"/>
  <c r="BI70" i="31" a="1"/>
  <c r="BI70" i="31" s="1"/>
  <c r="S59" i="12" a="1"/>
  <c r="S59" i="12" s="1"/>
  <c r="U58" i="12"/>
  <c r="AB55" i="19" a="1"/>
  <c r="AB55" i="19" s="1"/>
  <c r="V55" i="19" a="1"/>
  <c r="V55" i="19" s="1"/>
  <c r="AR111" i="12"/>
  <c r="AR109" i="12"/>
  <c r="AT102" i="12"/>
  <c r="AR103" i="12"/>
  <c r="AR102" i="12" s="1"/>
  <c r="CK384" i="12"/>
  <c r="CK381" i="12"/>
  <c r="CM355" i="12"/>
  <c r="CK356" i="12"/>
  <c r="CK355" i="12" s="1"/>
  <c r="CM432" i="12"/>
  <c r="CM428" i="12"/>
  <c r="CM419" i="12"/>
  <c r="BV258" i="12"/>
  <c r="BV254" i="12"/>
  <c r="BX201" i="12"/>
  <c r="BV202" i="12"/>
  <c r="BV201" i="12" s="1"/>
  <c r="CM433" i="12"/>
  <c r="CM429" i="12"/>
  <c r="CJ264" i="12"/>
  <c r="CH265" i="12"/>
  <c r="CH264" i="12" s="1"/>
  <c r="CH284" i="12"/>
  <c r="CH195" i="12"/>
  <c r="CH191" i="12"/>
  <c r="CJ290" i="12"/>
  <c r="CJ295" i="12"/>
  <c r="CJ280" i="12"/>
  <c r="CK98" i="12"/>
  <c r="CK96" i="12"/>
  <c r="CM115" i="12"/>
  <c r="CK116" i="12"/>
  <c r="CK115" i="12" s="1"/>
  <c r="BJ384" i="12"/>
  <c r="BJ381" i="12"/>
  <c r="BL355" i="12"/>
  <c r="BJ356" i="12"/>
  <c r="BJ355" i="12" s="1"/>
  <c r="BU102" i="12"/>
  <c r="BS103" i="12"/>
  <c r="BS102" i="12" s="1"/>
  <c r="BS111" i="12"/>
  <c r="BS109" i="12"/>
  <c r="CG102" i="12"/>
  <c r="CE103" i="12"/>
  <c r="CE102" i="12" s="1"/>
  <c r="CE111" i="12"/>
  <c r="CE109" i="12"/>
  <c r="AQ102" i="12"/>
  <c r="AO103" i="12"/>
  <c r="AO102" i="12" s="1"/>
  <c r="AO111" i="12"/>
  <c r="AO109" i="12"/>
  <c r="CP429" i="12"/>
  <c r="CP433" i="12"/>
  <c r="T153" i="27"/>
  <c r="F154" i="27" a="1"/>
  <c r="F154" i="27" s="1"/>
  <c r="BR115" i="12"/>
  <c r="BP116" i="12"/>
  <c r="BP115" i="12" s="1"/>
  <c r="BP98" i="12"/>
  <c r="BP96" i="12"/>
  <c r="BU297" i="12"/>
  <c r="BU292" i="12"/>
  <c r="BD424" i="12"/>
  <c r="BD348" i="12"/>
  <c r="CP296" i="12"/>
  <c r="CP291" i="12"/>
  <c r="CN85" i="12"/>
  <c r="CN83" i="12"/>
  <c r="CP76" i="12"/>
  <c r="CN77" i="12"/>
  <c r="CN76" i="12" s="1"/>
  <c r="CG296" i="12"/>
  <c r="CG291" i="12"/>
  <c r="AZ264" i="12"/>
  <c r="AX265" i="12"/>
  <c r="AX264" i="12" s="1"/>
  <c r="AX284" i="12"/>
  <c r="AX195" i="12"/>
  <c r="AX191" i="12"/>
  <c r="AZ290" i="12"/>
  <c r="AZ295" i="12"/>
  <c r="AZ280" i="12"/>
  <c r="CE384" i="12"/>
  <c r="CE381" i="12"/>
  <c r="CG355" i="12"/>
  <c r="CE356" i="12"/>
  <c r="CE355" i="12" s="1"/>
  <c r="CG432" i="12"/>
  <c r="CG428" i="12"/>
  <c r="CG419" i="12"/>
  <c r="CK258" i="12"/>
  <c r="CK254" i="12"/>
  <c r="CM201" i="12"/>
  <c r="CK202" i="12"/>
  <c r="CK201" i="12" s="1"/>
  <c r="CM295" i="12"/>
  <c r="CM280" i="12"/>
  <c r="CM290" i="12"/>
  <c r="BM401" i="12"/>
  <c r="BM398" i="12"/>
  <c r="BO372" i="12"/>
  <c r="BM373" i="12"/>
  <c r="BM372" i="12" s="1"/>
  <c r="BD237" i="12"/>
  <c r="BD233" i="12"/>
  <c r="BF264" i="12"/>
  <c r="BD265" i="12"/>
  <c r="BD264" i="12" s="1"/>
  <c r="BA98" i="12"/>
  <c r="BA96" i="12"/>
  <c r="BC115" i="12"/>
  <c r="BA116" i="12"/>
  <c r="BA115" i="12" s="1"/>
  <c r="CB424" i="12"/>
  <c r="CB348" i="12"/>
  <c r="AN264" i="12"/>
  <c r="AL265" i="12"/>
  <c r="AL264" i="12" s="1"/>
  <c r="AL284" i="12"/>
  <c r="AL195" i="12"/>
  <c r="AL191" i="12"/>
  <c r="AN290" i="12"/>
  <c r="AN295" i="12"/>
  <c r="AN280" i="12"/>
  <c r="BP424" i="12"/>
  <c r="BP348" i="12"/>
  <c r="BU433" i="12"/>
  <c r="BU429" i="12"/>
  <c r="CH111" i="12"/>
  <c r="CH109" i="12"/>
  <c r="CJ102" i="12"/>
  <c r="CH103" i="12"/>
  <c r="CH102" i="12" s="1"/>
  <c r="CH384" i="12"/>
  <c r="CH381" i="12"/>
  <c r="CJ355" i="12"/>
  <c r="CH356" i="12"/>
  <c r="CH355" i="12" s="1"/>
  <c r="CB216" i="12"/>
  <c r="CB212" i="12"/>
  <c r="CD201" i="12"/>
  <c r="CB202" i="12"/>
  <c r="CB201" i="12" s="1"/>
  <c r="BI76" i="12"/>
  <c r="BG77" i="12"/>
  <c r="BG76" i="12" s="1"/>
  <c r="BI89" i="12"/>
  <c r="BG90" i="12"/>
  <c r="BG89" i="12" s="1"/>
  <c r="BM286" i="12"/>
  <c r="BM193" i="12"/>
  <c r="BO296" i="12"/>
  <c r="BO291" i="12"/>
  <c r="AW406" i="12"/>
  <c r="AU407" i="12"/>
  <c r="AU406" i="12" s="1"/>
  <c r="AU367" i="12"/>
  <c r="AU364" i="12"/>
  <c r="BF115" i="12"/>
  <c r="BD116" i="12"/>
  <c r="BD115" i="12" s="1"/>
  <c r="BD98" i="12"/>
  <c r="BD96" i="12"/>
  <c r="CP389" i="12"/>
  <c r="CN390" i="12"/>
  <c r="CN389" i="12" s="1"/>
  <c r="CN423" i="12"/>
  <c r="CN350" i="12"/>
  <c r="CN347" i="12"/>
  <c r="CP432" i="12"/>
  <c r="CP428" i="12"/>
  <c r="CP419" i="12"/>
  <c r="CQ424" i="12"/>
  <c r="CQ348" i="12"/>
  <c r="AX85" i="12"/>
  <c r="AX83" i="12"/>
  <c r="AZ76" i="12"/>
  <c r="AX77" i="12"/>
  <c r="AX76" i="12" s="1"/>
  <c r="F98" i="8" a="1"/>
  <c r="F98" i="8" s="1"/>
  <c r="U97" i="8"/>
  <c r="AT296" i="12"/>
  <c r="AT291" i="12"/>
  <c r="CE195" i="12"/>
  <c r="CE191" i="12"/>
  <c r="CE284" i="12"/>
  <c r="CG295" i="12"/>
  <c r="CG280" i="12"/>
  <c r="CG290" i="12"/>
  <c r="CE216" i="12"/>
  <c r="CE212" i="12"/>
  <c r="AZ292" i="12"/>
  <c r="AZ297" i="12"/>
  <c r="AR384" i="12"/>
  <c r="AR381" i="12"/>
  <c r="AT355" i="12"/>
  <c r="AR356" i="12"/>
  <c r="AR355" i="12" s="1"/>
  <c r="CS201" i="12"/>
  <c r="CQ202" i="12"/>
  <c r="CQ201" i="12" s="1"/>
  <c r="CS222" i="12"/>
  <c r="CQ223" i="12"/>
  <c r="CQ222" i="12" s="1"/>
  <c r="BL264" i="12"/>
  <c r="BJ265" i="12"/>
  <c r="BJ264" i="12" s="1"/>
  <c r="BJ284" i="12"/>
  <c r="BJ195" i="12"/>
  <c r="BJ191" i="12"/>
  <c r="BL290" i="12"/>
  <c r="BL295" i="12"/>
  <c r="BL280" i="12"/>
  <c r="BM424" i="12"/>
  <c r="BM348" i="12"/>
  <c r="BP237" i="12"/>
  <c r="BP233" i="12"/>
  <c r="BR264" i="12"/>
  <c r="BP265" i="12"/>
  <c r="BP264" i="12" s="1"/>
  <c r="BG258" i="12"/>
  <c r="BG254" i="12"/>
  <c r="BI243" i="12"/>
  <c r="BG244" i="12"/>
  <c r="BG243" i="12" s="1"/>
  <c r="BV286" i="12"/>
  <c r="BV193" i="12"/>
  <c r="BX406" i="12"/>
  <c r="BV407" i="12"/>
  <c r="BV406" i="12" s="1"/>
  <c r="BV367" i="12"/>
  <c r="BV364" i="12"/>
  <c r="AW297" i="12"/>
  <c r="AW292" i="12"/>
  <c r="BV285" i="12"/>
  <c r="BV192" i="12"/>
  <c r="BO243" i="12"/>
  <c r="BM244" i="12"/>
  <c r="BM243" i="12" s="1"/>
  <c r="BM216" i="12"/>
  <c r="BM212" i="12"/>
  <c r="BI433" i="12"/>
  <c r="BI429" i="12"/>
  <c r="BP401" i="12"/>
  <c r="BP398" i="12"/>
  <c r="BR372" i="12"/>
  <c r="BP373" i="12"/>
  <c r="BP372" i="12" s="1"/>
  <c r="BS401" i="12"/>
  <c r="BS398" i="12"/>
  <c r="BU372" i="12"/>
  <c r="BS373" i="12"/>
  <c r="BS372" i="12" s="1"/>
  <c r="AX384" i="12"/>
  <c r="AX381" i="12"/>
  <c r="AZ355" i="12"/>
  <c r="AX356" i="12"/>
  <c r="AX355" i="12" s="1"/>
  <c r="BX89" i="12"/>
  <c r="BV90" i="12"/>
  <c r="BV89" i="12" s="1"/>
  <c r="BV129" i="12"/>
  <c r="BV72" i="12"/>
  <c r="BV70" i="12"/>
  <c r="BX136" i="12"/>
  <c r="BX125" i="12"/>
  <c r="BX133" i="12"/>
  <c r="F77" i="18" a="1"/>
  <c r="F77" i="18" s="1"/>
  <c r="T76" i="18"/>
  <c r="H76" i="18"/>
  <c r="CA264" i="12"/>
  <c r="BY265" i="12"/>
  <c r="BY264" i="12" s="1"/>
  <c r="BY284" i="12"/>
  <c r="BY195" i="12"/>
  <c r="BY191" i="12"/>
  <c r="AH185" i="28"/>
  <c r="CS406" i="12"/>
  <c r="CQ407" i="12"/>
  <c r="CQ406" i="12" s="1"/>
  <c r="CQ367" i="12"/>
  <c r="CQ364" i="12"/>
  <c r="CQ98" i="12"/>
  <c r="CQ96" i="12"/>
  <c r="CS115" i="12"/>
  <c r="CQ116" i="12"/>
  <c r="CQ115" i="12" s="1"/>
  <c r="BJ111" i="12"/>
  <c r="BJ109" i="12"/>
  <c r="BL102" i="12"/>
  <c r="BJ103" i="12"/>
  <c r="BJ102" i="12" s="1"/>
  <c r="CN237" i="12"/>
  <c r="CN233" i="12"/>
  <c r="CP264" i="12"/>
  <c r="CN265" i="12"/>
  <c r="CN264" i="12" s="1"/>
  <c r="AR286" i="12"/>
  <c r="AR193" i="12"/>
  <c r="AZ291" i="12"/>
  <c r="AZ296" i="12"/>
  <c r="AL111" i="12"/>
  <c r="AL109" i="12"/>
  <c r="AN102" i="12"/>
  <c r="AL103" i="12"/>
  <c r="AL102" i="12" s="1"/>
  <c r="BA424" i="12"/>
  <c r="BA348" i="12"/>
  <c r="CA389" i="12"/>
  <c r="BY390" i="12"/>
  <c r="BY389" i="12" s="1"/>
  <c r="BY350" i="12"/>
  <c r="BY347" i="12"/>
  <c r="BY423" i="12"/>
  <c r="CQ285" i="12"/>
  <c r="CQ192" i="12"/>
  <c r="CA76" i="12"/>
  <c r="BY77" i="12"/>
  <c r="BY76" i="12" s="1"/>
  <c r="CA89" i="12"/>
  <c r="BY90" i="12"/>
  <c r="BY89" i="12" s="1"/>
  <c r="AO237" i="12"/>
  <c r="AO233" i="12"/>
  <c r="AQ222" i="12"/>
  <c r="AO223" i="12"/>
  <c r="AO222" i="12" s="1"/>
  <c r="AL424" i="12"/>
  <c r="AL348" i="12"/>
  <c r="BC297" i="12"/>
  <c r="BC292" i="12"/>
  <c r="BA285" i="12"/>
  <c r="BA192" i="12"/>
  <c r="F53" i="28" a="1"/>
  <c r="F53" i="28" s="1"/>
  <c r="AJ52" i="28"/>
  <c r="AF52" i="28"/>
  <c r="AK52" i="28"/>
  <c r="AI52" i="28"/>
  <c r="AL52" i="28" s="1"/>
  <c r="AG52" i="28"/>
  <c r="AE52" i="28"/>
  <c r="BD285" i="12"/>
  <c r="BD192" i="12"/>
  <c r="AW76" i="12"/>
  <c r="AU77" i="12"/>
  <c r="AU76" i="12" s="1"/>
  <c r="AW89" i="12"/>
  <c r="AU90" i="12"/>
  <c r="AU89" i="12" s="1"/>
  <c r="BR292" i="12"/>
  <c r="BR297" i="12"/>
  <c r="BG285" i="12"/>
  <c r="BG192" i="12"/>
  <c r="AW264" i="12"/>
  <c r="AU265" i="12"/>
  <c r="AU264" i="12" s="1"/>
  <c r="AU237" i="12"/>
  <c r="AU233" i="12"/>
  <c r="BI297" i="12"/>
  <c r="BI292" i="12"/>
  <c r="AU195" i="12"/>
  <c r="AU191" i="12"/>
  <c r="AU284" i="12"/>
  <c r="AW295" i="12"/>
  <c r="AW280" i="12"/>
  <c r="AW290" i="12"/>
  <c r="AU216" i="12"/>
  <c r="AU212" i="12"/>
  <c r="AL119" i="28" l="1"/>
  <c r="BG296" i="12"/>
  <c r="BG291" i="12"/>
  <c r="BD291" i="12"/>
  <c r="BD296" i="12"/>
  <c r="F54" i="28" a="1"/>
  <c r="F54" i="28" s="1"/>
  <c r="AJ53" i="28"/>
  <c r="AF53" i="28"/>
  <c r="AK53" i="28"/>
  <c r="AI53" i="28"/>
  <c r="AL53" i="28" s="1"/>
  <c r="AG53" i="28"/>
  <c r="AE53" i="28"/>
  <c r="BA296" i="12"/>
  <c r="BA291" i="12"/>
  <c r="AL429" i="12"/>
  <c r="AL433" i="12"/>
  <c r="CQ296" i="12"/>
  <c r="CQ291" i="12"/>
  <c r="F78" i="18" a="1"/>
  <c r="F78" i="18" s="1"/>
  <c r="T77" i="18"/>
  <c r="BX131" i="12"/>
  <c r="BX126" i="12"/>
  <c r="BV136" i="12"/>
  <c r="BV125" i="12"/>
  <c r="BV131" i="12" s="1"/>
  <c r="BV133" i="12"/>
  <c r="BV296" i="12"/>
  <c r="BV291" i="12"/>
  <c r="BV292" i="12"/>
  <c r="BV297" i="12"/>
  <c r="BM433" i="12"/>
  <c r="BM429" i="12"/>
  <c r="BJ290" i="12"/>
  <c r="BJ280" i="12"/>
  <c r="BJ288" i="12" s="1"/>
  <c r="BJ295" i="12"/>
  <c r="CG288" i="12"/>
  <c r="CG281" i="12"/>
  <c r="CE295" i="12"/>
  <c r="CE280" i="12"/>
  <c r="CE288" i="12" s="1"/>
  <c r="CE290" i="12"/>
  <c r="F99" i="8" a="1"/>
  <c r="F99" i="8" s="1"/>
  <c r="U98" i="8"/>
  <c r="CQ433" i="12"/>
  <c r="CQ429" i="12"/>
  <c r="CN432" i="12"/>
  <c r="CN428" i="12"/>
  <c r="CN419" i="12"/>
  <c r="CN426" i="12" s="1"/>
  <c r="BM297" i="12"/>
  <c r="BM292" i="12"/>
  <c r="BP429" i="12"/>
  <c r="BP433" i="12"/>
  <c r="AL290" i="12"/>
  <c r="AL280" i="12"/>
  <c r="AL288" i="12" s="1"/>
  <c r="AL295" i="12"/>
  <c r="CB429" i="12"/>
  <c r="CB433" i="12"/>
  <c r="CM288" i="12"/>
  <c r="CM281" i="12"/>
  <c r="CG426" i="12"/>
  <c r="CG420" i="12"/>
  <c r="AX290" i="12"/>
  <c r="AX280" i="12"/>
  <c r="AX288" i="12" s="1"/>
  <c r="AX295" i="12"/>
  <c r="BD429" i="12"/>
  <c r="BD433" i="12"/>
  <c r="CH290" i="12"/>
  <c r="CH280" i="12"/>
  <c r="CH288" i="12" s="1"/>
  <c r="CH295" i="12"/>
  <c r="T53" i="13"/>
  <c r="F54" i="13" a="1"/>
  <c r="F54" i="13" s="1"/>
  <c r="A53" i="13"/>
  <c r="F43" i="31" a="1"/>
  <c r="F43" i="31" s="1"/>
  <c r="T42" i="31"/>
  <c r="AL432" i="12"/>
  <c r="AL428" i="12"/>
  <c r="AL419" i="12"/>
  <c r="AL426" i="12" s="1"/>
  <c r="F110" i="18" a="1"/>
  <c r="F110" i="18" s="1"/>
  <c r="T109" i="18"/>
  <c r="CE433" i="12"/>
  <c r="CE429" i="12"/>
  <c r="CQ432" i="12"/>
  <c r="CQ428" i="12"/>
  <c r="CQ419" i="12"/>
  <c r="CQ426" i="12" s="1"/>
  <c r="BR426" i="12"/>
  <c r="BR420" i="12"/>
  <c r="AU296" i="12"/>
  <c r="AU291" i="12"/>
  <c r="CB291" i="12"/>
  <c r="CB296" i="12"/>
  <c r="BY296" i="12"/>
  <c r="BY291" i="12"/>
  <c r="BO426" i="12"/>
  <c r="BO420" i="12"/>
  <c r="CH429" i="12"/>
  <c r="CH433" i="12"/>
  <c r="CE133" i="12"/>
  <c r="CE136" i="12"/>
  <c r="CE125" i="12"/>
  <c r="CE131" i="12" s="1"/>
  <c r="AU433" i="12"/>
  <c r="AU429" i="12"/>
  <c r="AL292" i="12"/>
  <c r="AL297" i="12"/>
  <c r="U44" i="8"/>
  <c r="F45" i="8" a="1"/>
  <c r="F45" i="8" s="1"/>
  <c r="AT131" i="12"/>
  <c r="AT126" i="12"/>
  <c r="AR136" i="12"/>
  <c r="AR125" i="12"/>
  <c r="AR131" i="12" s="1"/>
  <c r="AR133" i="12"/>
  <c r="BP291" i="12"/>
  <c r="BP296" i="12"/>
  <c r="BC288" i="12"/>
  <c r="BC281" i="12"/>
  <c r="BO131" i="12"/>
  <c r="BO126" i="12"/>
  <c r="BC426" i="12"/>
  <c r="BC420" i="12"/>
  <c r="BF426" i="12"/>
  <c r="BF420" i="12"/>
  <c r="BI426" i="12"/>
  <c r="BI420" i="12"/>
  <c r="CM131" i="12"/>
  <c r="CM126" i="12"/>
  <c r="BA432" i="12"/>
  <c r="BA428" i="12"/>
  <c r="BA419" i="12"/>
  <c r="BA426" i="12" s="1"/>
  <c r="AT288" i="12"/>
  <c r="AT281" i="12"/>
  <c r="BG432" i="12"/>
  <c r="BG428" i="12"/>
  <c r="BG419" i="12"/>
  <c r="BG426" i="12" s="1"/>
  <c r="M100" i="31" a="1"/>
  <c r="M100" i="31" s="1"/>
  <c r="M101" i="31" s="1" a="1"/>
  <c r="M101" i="31" s="1"/>
  <c r="BI99" i="31" a="1"/>
  <c r="BI99" i="31" s="1"/>
  <c r="F43" i="27" a="1"/>
  <c r="F43" i="27" s="1"/>
  <c r="T42" i="27"/>
  <c r="N154" i="27" a="1"/>
  <c r="N154" i="27" s="1"/>
  <c r="BX153" i="27" a="1"/>
  <c r="BX153" i="27" s="1"/>
  <c r="BP292" i="12"/>
  <c r="BP297" i="12"/>
  <c r="AW131" i="12"/>
  <c r="AW126" i="12"/>
  <c r="AF262" i="12" a="1"/>
  <c r="AF262" i="12" s="1"/>
  <c r="CZ256" i="12" a="1"/>
  <c r="CZ256" i="12" s="1"/>
  <c r="CA131" i="12"/>
  <c r="CA126" i="12"/>
  <c r="F44" i="18" a="1"/>
  <c r="F44" i="18" s="1"/>
  <c r="F45" i="18" s="1" a="1"/>
  <c r="F45" i="18" s="1"/>
  <c r="CA426" i="12"/>
  <c r="CA420" i="12"/>
  <c r="AX296" i="12"/>
  <c r="AX291" i="12"/>
  <c r="F188" i="28" a="1"/>
  <c r="F188" i="28" s="1"/>
  <c r="AJ187" i="28"/>
  <c r="AF187" i="28"/>
  <c r="AK187" i="28"/>
  <c r="AI187" i="28"/>
  <c r="AL187" i="28" s="1"/>
  <c r="AG187" i="28"/>
  <c r="AE187" i="28"/>
  <c r="CA288" i="12"/>
  <c r="CA281" i="12"/>
  <c r="F55" i="33" a="1"/>
  <c r="F55" i="33" s="1"/>
  <c r="F56" i="33" s="1" a="1"/>
  <c r="F56" i="33" s="1"/>
  <c r="AX432" i="12"/>
  <c r="AX428" i="12"/>
  <c r="AX419" i="12"/>
  <c r="AX426" i="12" s="1"/>
  <c r="BG433" i="12"/>
  <c r="BG429" i="12"/>
  <c r="CS288" i="12"/>
  <c r="CS281" i="12"/>
  <c r="CQ295" i="12"/>
  <c r="CQ280" i="12"/>
  <c r="CQ288" i="12" s="1"/>
  <c r="CQ290" i="12"/>
  <c r="F97" i="31" a="1"/>
  <c r="F97" i="31" s="1"/>
  <c r="T96" i="31"/>
  <c r="AR432" i="12"/>
  <c r="AR428" i="12"/>
  <c r="AR419" i="12"/>
  <c r="AR426" i="12" s="1"/>
  <c r="AX292" i="12"/>
  <c r="AX297" i="12"/>
  <c r="AR291" i="12"/>
  <c r="AR296" i="12"/>
  <c r="AZ131" i="12"/>
  <c r="AZ126" i="12"/>
  <c r="AX136" i="12"/>
  <c r="AX125" i="12"/>
  <c r="AX131" i="12" s="1"/>
  <c r="AX133" i="12"/>
  <c r="T90" i="30"/>
  <c r="F91" i="30" a="1"/>
  <c r="F91" i="30" s="1"/>
  <c r="M110" i="28" a="1"/>
  <c r="M110" i="28" s="1"/>
  <c r="AS109" i="28" a="1"/>
  <c r="AS109" i="28" s="1"/>
  <c r="BM296" i="12"/>
  <c r="BM291" i="12"/>
  <c r="BG133" i="12"/>
  <c r="BG136" i="12"/>
  <c r="BG125" i="12"/>
  <c r="BG131" i="12" s="1"/>
  <c r="CD288" i="12"/>
  <c r="CD281" i="12"/>
  <c r="CB290" i="12"/>
  <c r="CB295" i="12"/>
  <c r="CB280" i="12"/>
  <c r="CB288" i="12" s="1"/>
  <c r="CH432" i="12"/>
  <c r="CH428" i="12"/>
  <c r="CH419" i="12"/>
  <c r="CH426" i="12" s="1"/>
  <c r="BS433" i="12"/>
  <c r="BS429" i="12"/>
  <c r="CE432" i="12"/>
  <c r="CE428" i="12"/>
  <c r="CE419" i="12"/>
  <c r="CE426" i="12" s="1"/>
  <c r="CE296" i="12"/>
  <c r="CE291" i="12"/>
  <c r="CP131" i="12"/>
  <c r="CP126" i="12"/>
  <c r="CN136" i="12"/>
  <c r="CN125" i="12"/>
  <c r="CN131" i="12" s="1"/>
  <c r="CN133" i="12"/>
  <c r="CN291" i="12"/>
  <c r="CN296" i="12"/>
  <c r="CN429" i="12"/>
  <c r="CN433" i="12"/>
  <c r="BJ432" i="12"/>
  <c r="BJ428" i="12"/>
  <c r="BJ419" i="12"/>
  <c r="BJ426" i="12" s="1"/>
  <c r="CK433" i="12"/>
  <c r="CK429" i="12"/>
  <c r="BV290" i="12"/>
  <c r="BV280" i="12"/>
  <c r="BV288" i="12" s="1"/>
  <c r="BV295" i="12"/>
  <c r="CD426" i="12"/>
  <c r="CD420" i="12"/>
  <c r="F121" i="28" a="1"/>
  <c r="F121" i="28" s="1"/>
  <c r="AJ120" i="28"/>
  <c r="AF120" i="28"/>
  <c r="AK120" i="28"/>
  <c r="AI120" i="28"/>
  <c r="AL120" i="28" s="1"/>
  <c r="AG120" i="28"/>
  <c r="AE120" i="28"/>
  <c r="AO295" i="12"/>
  <c r="AO280" i="12"/>
  <c r="AO288" i="12" s="1"/>
  <c r="AO290" i="12"/>
  <c r="AR429" i="12"/>
  <c r="AR433" i="12"/>
  <c r="AN131" i="12"/>
  <c r="AN126" i="12"/>
  <c r="AL136" i="12"/>
  <c r="AL125" i="12"/>
  <c r="AL131" i="12" s="1"/>
  <c r="AL133" i="12"/>
  <c r="BL131" i="12"/>
  <c r="BL126" i="12"/>
  <c r="BJ136" i="12"/>
  <c r="BJ125" i="12"/>
  <c r="BJ131" i="12" s="1"/>
  <c r="BJ133" i="12"/>
  <c r="CQ133" i="12"/>
  <c r="CQ136" i="12"/>
  <c r="CQ125" i="12"/>
  <c r="CQ131" i="12" s="1"/>
  <c r="BS432" i="12"/>
  <c r="BS428" i="12"/>
  <c r="BS419" i="12"/>
  <c r="BS426" i="12" s="1"/>
  <c r="BX426" i="12"/>
  <c r="BX420" i="12"/>
  <c r="T139" i="13" a="1"/>
  <c r="T139" i="13" s="1"/>
  <c r="T140" i="13" s="1" a="1"/>
  <c r="T140" i="13" s="1"/>
  <c r="T138" i="13" a="1"/>
  <c r="T138" i="13" s="1"/>
  <c r="AW426" i="12"/>
  <c r="AW420" i="12"/>
  <c r="AL296" i="12"/>
  <c r="AL291" i="12"/>
  <c r="F67" i="30" a="1"/>
  <c r="F67" i="30" s="1"/>
  <c r="T66" i="30"/>
  <c r="BC131" i="12"/>
  <c r="BC126" i="12"/>
  <c r="BM432" i="12"/>
  <c r="BM428" i="12"/>
  <c r="BM419" i="12"/>
  <c r="BM426" i="12" s="1"/>
  <c r="BJ292" i="12"/>
  <c r="BJ297" i="12"/>
  <c r="BS296" i="12"/>
  <c r="BS291" i="12"/>
  <c r="BR131" i="12"/>
  <c r="BR126" i="12"/>
  <c r="BP136" i="12"/>
  <c r="BP125" i="12"/>
  <c r="BP131" i="12" s="1"/>
  <c r="BP133" i="12"/>
  <c r="CB292" i="12"/>
  <c r="CB297" i="12"/>
  <c r="AO133" i="12"/>
  <c r="AO136" i="12"/>
  <c r="AO125" i="12"/>
  <c r="AO131" i="12" s="1"/>
  <c r="CK133" i="12"/>
  <c r="CK136" i="12"/>
  <c r="CK125" i="12"/>
  <c r="CK131" i="12" s="1"/>
  <c r="BV429" i="12"/>
  <c r="BV433" i="12"/>
  <c r="BD292" i="12"/>
  <c r="BD297" i="12"/>
  <c r="CK296" i="12"/>
  <c r="CK291" i="12"/>
  <c r="AW288" i="12"/>
  <c r="AW281" i="12"/>
  <c r="AU295" i="12"/>
  <c r="AU280" i="12"/>
  <c r="AU288" i="12" s="1"/>
  <c r="AU290" i="12"/>
  <c r="AH52" i="28"/>
  <c r="BY432" i="12"/>
  <c r="BY428" i="12"/>
  <c r="BY419" i="12"/>
  <c r="BY426" i="12" s="1"/>
  <c r="BA433" i="12"/>
  <c r="BA429" i="12"/>
  <c r="AR292" i="12"/>
  <c r="AR297" i="12"/>
  <c r="BY295" i="12"/>
  <c r="BY280" i="12"/>
  <c r="BY288" i="12" s="1"/>
  <c r="BY290" i="12"/>
  <c r="BL288" i="12"/>
  <c r="BL281" i="12"/>
  <c r="CP426" i="12"/>
  <c r="CP420" i="12"/>
  <c r="AN288" i="12"/>
  <c r="AN281" i="12"/>
  <c r="AZ288" i="12"/>
  <c r="AZ281" i="12"/>
  <c r="T154" i="27"/>
  <c r="F155" i="27" a="1"/>
  <c r="F155" i="27" s="1"/>
  <c r="CJ288" i="12"/>
  <c r="CJ281" i="12"/>
  <c r="CM426" i="12"/>
  <c r="CM420" i="12"/>
  <c r="AB43" i="20" a="1"/>
  <c r="AB43" i="20" s="1"/>
  <c r="V43" i="20" a="1"/>
  <c r="V43" i="20" s="1"/>
  <c r="S60" i="12" a="1"/>
  <c r="S60" i="12" s="1"/>
  <c r="U59" i="12"/>
  <c r="M73" i="31" a="1"/>
  <c r="M73" i="31" s="1"/>
  <c r="M74" i="31" s="1" a="1"/>
  <c r="M74" i="31" s="1"/>
  <c r="BI72" i="31" a="1"/>
  <c r="BI72" i="31" s="1"/>
  <c r="M46" i="31" a="1"/>
  <c r="M46" i="31" s="1"/>
  <c r="M47" i="31" s="1" a="1"/>
  <c r="M47" i="31" s="1"/>
  <c r="BI45" i="31" a="1"/>
  <c r="BI45" i="31" s="1"/>
  <c r="AN426" i="12"/>
  <c r="AN420" i="12"/>
  <c r="T243" i="12" a="1"/>
  <c r="T243" i="12" s="1"/>
  <c r="L244" i="12" a="1"/>
  <c r="L244" i="12" s="1"/>
  <c r="AX429" i="12"/>
  <c r="AX433" i="12"/>
  <c r="AQ288" i="12"/>
  <c r="AQ281" i="12"/>
  <c r="CY399" i="12" a="1"/>
  <c r="CY399" i="12" s="1"/>
  <c r="AG399" i="12"/>
  <c r="AE404" i="12" a="1"/>
  <c r="AE404" i="12" s="1"/>
  <c r="X404" i="12"/>
  <c r="S171" i="12" a="1"/>
  <c r="S171" i="12" s="1"/>
  <c r="U170" i="12"/>
  <c r="N42" i="27" a="1"/>
  <c r="N42" i="27" s="1"/>
  <c r="BX41" i="27" a="1"/>
  <c r="BX41" i="27" s="1"/>
  <c r="CP288" i="12"/>
  <c r="CP281" i="12"/>
  <c r="CN290" i="12"/>
  <c r="CN295" i="12"/>
  <c r="CN280" i="12"/>
  <c r="CN288" i="12" s="1"/>
  <c r="BU426" i="12"/>
  <c r="BU420" i="12"/>
  <c r="BP432" i="12"/>
  <c r="BP428" i="12"/>
  <c r="BP419" i="12"/>
  <c r="BP426" i="12" s="1"/>
  <c r="BO288" i="12"/>
  <c r="BO281" i="12"/>
  <c r="F147" i="33" a="1"/>
  <c r="F147" i="33" s="1"/>
  <c r="F148" i="33" s="1" a="1"/>
  <c r="F148" i="33" s="1"/>
  <c r="F98" i="13" a="1"/>
  <c r="F98" i="13" s="1"/>
  <c r="A97" i="13"/>
  <c r="T97" i="13"/>
  <c r="AU432" i="12"/>
  <c r="AU428" i="12"/>
  <c r="AU419" i="12"/>
  <c r="AU426" i="12" s="1"/>
  <c r="BJ429" i="12"/>
  <c r="BJ433" i="12"/>
  <c r="CH292" i="12"/>
  <c r="CH297" i="12"/>
  <c r="CJ131" i="12"/>
  <c r="CJ126" i="12"/>
  <c r="CH136" i="12"/>
  <c r="CH125" i="12"/>
  <c r="CH131" i="12" s="1"/>
  <c r="CH133" i="12"/>
  <c r="AO433" i="12"/>
  <c r="AO429" i="12"/>
  <c r="CG131" i="12"/>
  <c r="CG126" i="12"/>
  <c r="AF408" i="12" a="1"/>
  <c r="AF408" i="12" s="1"/>
  <c r="CZ404" i="12" a="1"/>
  <c r="CZ404" i="12" s="1"/>
  <c r="BM133" i="12"/>
  <c r="BM136" i="12"/>
  <c r="BM125" i="12"/>
  <c r="BM131" i="12" s="1"/>
  <c r="AO297" i="12"/>
  <c r="AO292" i="12"/>
  <c r="CK297" i="12"/>
  <c r="CK292" i="12"/>
  <c r="CD131" i="12"/>
  <c r="CD126" i="12"/>
  <c r="CB136" i="12"/>
  <c r="CB125" i="12"/>
  <c r="CB131" i="12" s="1"/>
  <c r="CB133" i="12"/>
  <c r="T122" i="12" a="1"/>
  <c r="T122" i="12" s="1"/>
  <c r="L123" i="12" a="1"/>
  <c r="L123" i="12" s="1"/>
  <c r="AQ426" i="12"/>
  <c r="AQ420" i="12"/>
  <c r="BD432" i="12"/>
  <c r="BD428" i="12"/>
  <c r="BD419" i="12"/>
  <c r="BD426" i="12" s="1"/>
  <c r="BU131" i="12"/>
  <c r="BU126" i="12"/>
  <c r="BA295" i="12"/>
  <c r="BA280" i="12"/>
  <c r="BA288" i="12" s="1"/>
  <c r="BA290" i="12"/>
  <c r="AO296" i="12"/>
  <c r="AO291" i="12"/>
  <c r="AO432" i="12"/>
  <c r="AO428" i="12"/>
  <c r="AO419" i="12"/>
  <c r="AO426" i="12" s="1"/>
  <c r="F43" i="30" a="1"/>
  <c r="F43" i="30" s="1"/>
  <c r="T42" i="30"/>
  <c r="BG297" i="12"/>
  <c r="BG292" i="12"/>
  <c r="F103" i="33" a="1"/>
  <c r="F103" i="33" s="1"/>
  <c r="AU133" i="12"/>
  <c r="AU136" i="12"/>
  <c r="AU125" i="12"/>
  <c r="AU131" i="12" s="1"/>
  <c r="BA297" i="12"/>
  <c r="BA292" i="12"/>
  <c r="BY133" i="12"/>
  <c r="BY136" i="12"/>
  <c r="BY125" i="12"/>
  <c r="BY131" i="12" s="1"/>
  <c r="AH186" i="28"/>
  <c r="AZ426" i="12"/>
  <c r="AZ420" i="12"/>
  <c r="AU297" i="12"/>
  <c r="AU292" i="12"/>
  <c r="AT426" i="12"/>
  <c r="AT420" i="12"/>
  <c r="BI131" i="12"/>
  <c r="BI126" i="12"/>
  <c r="CJ426" i="12"/>
  <c r="CJ420" i="12"/>
  <c r="T98" i="27"/>
  <c r="F99" i="27" a="1"/>
  <c r="F99" i="27" s="1"/>
  <c r="CK295" i="12"/>
  <c r="CK280" i="12"/>
  <c r="CK288" i="12" s="1"/>
  <c r="CK290" i="12"/>
  <c r="BS297" i="12"/>
  <c r="BS292" i="12"/>
  <c r="BL426" i="12"/>
  <c r="BL420" i="12"/>
  <c r="BX288" i="12"/>
  <c r="BX281" i="12"/>
  <c r="CK432" i="12"/>
  <c r="CK428" i="12"/>
  <c r="CK419" i="12"/>
  <c r="CK426" i="12" s="1"/>
  <c r="CB432" i="12"/>
  <c r="CB428" i="12"/>
  <c r="CB419" i="12"/>
  <c r="CB426" i="12" s="1"/>
  <c r="BJ296" i="12"/>
  <c r="BJ291" i="12"/>
  <c r="AB35" i="20" a="1"/>
  <c r="AB35" i="20" s="1"/>
  <c r="V35" i="20" a="1"/>
  <c r="V35" i="20" s="1"/>
  <c r="M43" i="28" a="1"/>
  <c r="M43" i="28" s="1"/>
  <c r="AS42" i="28" a="1"/>
  <c r="AS42" i="28" s="1"/>
  <c r="N98" i="27" a="1"/>
  <c r="N98" i="27" s="1"/>
  <c r="BX97" i="27" a="1"/>
  <c r="BX97" i="27" s="1"/>
  <c r="AE256" i="12" a="1"/>
  <c r="AE256" i="12" s="1"/>
  <c r="X256" i="12"/>
  <c r="CY251" i="12" a="1"/>
  <c r="CY251" i="12" s="1"/>
  <c r="AH119" i="28"/>
  <c r="BU288" i="12"/>
  <c r="BU281" i="12"/>
  <c r="BS295" i="12"/>
  <c r="BS280" i="12"/>
  <c r="BS288" i="12" s="1"/>
  <c r="BS290" i="12"/>
  <c r="CQ297" i="12"/>
  <c r="CQ292" i="12"/>
  <c r="F70" i="31" a="1"/>
  <c r="F70" i="31" s="1"/>
  <c r="T69" i="31"/>
  <c r="CS131" i="12"/>
  <c r="CS126" i="12"/>
  <c r="CZ255" i="12" a="1"/>
  <c r="CZ255" i="12" s="1"/>
  <c r="AF261" i="12" a="1"/>
  <c r="AF261" i="12" s="1"/>
  <c r="CS426" i="12"/>
  <c r="CS420" i="12"/>
  <c r="BM295" i="12"/>
  <c r="BM280" i="12"/>
  <c r="BM288" i="12" s="1"/>
  <c r="BM290" i="12"/>
  <c r="CH296" i="12"/>
  <c r="CH291" i="12"/>
  <c r="T48" i="21"/>
  <c r="F49" i="21" a="1"/>
  <c r="F49" i="21" s="1"/>
  <c r="M177" i="28" a="1"/>
  <c r="M177" i="28" s="1"/>
  <c r="AS176" i="28" a="1"/>
  <c r="AS176" i="28" s="1"/>
  <c r="BV432" i="12"/>
  <c r="BV428" i="12"/>
  <c r="BV419" i="12"/>
  <c r="BV426" i="12" s="1"/>
  <c r="BI288" i="12"/>
  <c r="BI281" i="12"/>
  <c r="BG295" i="12"/>
  <c r="BG280" i="12"/>
  <c r="BG288" i="12" s="1"/>
  <c r="BG290" i="12"/>
  <c r="BR288" i="12"/>
  <c r="BR281" i="12"/>
  <c r="BP290" i="12"/>
  <c r="BP295" i="12"/>
  <c r="BP280" i="12"/>
  <c r="BP288" i="12" s="1"/>
  <c r="S328" i="12" a="1"/>
  <c r="S328" i="12" s="1"/>
  <c r="U327" i="12"/>
  <c r="BY433" i="12"/>
  <c r="BY429" i="12"/>
  <c r="F137" i="13" a="1"/>
  <c r="F137" i="13" s="1"/>
  <c r="F138" i="13" s="1" a="1"/>
  <c r="F138" i="13" s="1"/>
  <c r="F139" i="13" s="1" a="1"/>
  <c r="F139" i="13" s="1"/>
  <c r="F140" i="13" s="1" a="1"/>
  <c r="F140" i="13" s="1"/>
  <c r="F141" i="13" s="1" a="1"/>
  <c r="F141" i="13" s="1"/>
  <c r="L136" i="13" a="1"/>
  <c r="L136" i="13" s="1"/>
  <c r="T136" i="13" s="1"/>
  <c r="CN292" i="12"/>
  <c r="CN297" i="12"/>
  <c r="BY297" i="12"/>
  <c r="BY292" i="12"/>
  <c r="BF131" i="12"/>
  <c r="BF126" i="12"/>
  <c r="BD136" i="12"/>
  <c r="BD125" i="12"/>
  <c r="BD131" i="12" s="1"/>
  <c r="BD133" i="12"/>
  <c r="CY250" i="12" a="1"/>
  <c r="CY250" i="12" s="1"/>
  <c r="AE255" i="12" a="1"/>
  <c r="AE255" i="12" s="1"/>
  <c r="X255" i="12"/>
  <c r="BA133" i="12"/>
  <c r="BA136" i="12"/>
  <c r="BA125" i="12"/>
  <c r="BA131" i="12" s="1"/>
  <c r="BF288" i="12"/>
  <c r="BF281" i="12"/>
  <c r="BD290" i="12"/>
  <c r="BD295" i="12"/>
  <c r="BD280" i="12"/>
  <c r="BD288" i="12" s="1"/>
  <c r="L392" i="12" a="1"/>
  <c r="L392" i="12" s="1"/>
  <c r="L393" i="12" s="1" a="1"/>
  <c r="L393" i="12" s="1"/>
  <c r="L394" i="12" s="1" a="1"/>
  <c r="L394" i="12" s="1"/>
  <c r="L395" i="12" s="1" a="1"/>
  <c r="L395" i="12" s="1"/>
  <c r="L396" i="12" s="1" a="1"/>
  <c r="L396" i="12" s="1"/>
  <c r="L397" i="12" s="1" a="1"/>
  <c r="L397" i="12" s="1"/>
  <c r="L398" i="12" s="1" a="1"/>
  <c r="L398" i="12" s="1"/>
  <c r="L399" i="12" s="1" a="1"/>
  <c r="L399" i="12" s="1"/>
  <c r="L400" i="12" s="1" a="1"/>
  <c r="L400" i="12" s="1"/>
  <c r="L401" i="12" s="1" a="1"/>
  <c r="L401" i="12" s="1"/>
  <c r="L402" i="12" s="1" a="1"/>
  <c r="L402" i="12" s="1"/>
  <c r="L403" i="12" s="1" a="1"/>
  <c r="L403" i="12" s="1"/>
  <c r="L404" i="12" s="1" a="1"/>
  <c r="L404" i="12" s="1"/>
  <c r="L405" i="12" s="1" a="1"/>
  <c r="L405" i="12" s="1"/>
  <c r="L406" i="12" s="1" a="1"/>
  <c r="L406" i="12" s="1"/>
  <c r="T391" i="12"/>
  <c r="CE297" i="12"/>
  <c r="CE292" i="12"/>
  <c r="AQ131" i="12"/>
  <c r="AQ126" i="12"/>
  <c r="BS133" i="12"/>
  <c r="BS136" i="12"/>
  <c r="BS125" i="12"/>
  <c r="BS131" i="12" s="1"/>
  <c r="AR290" i="12"/>
  <c r="AR295" i="12"/>
  <c r="AR280" i="12"/>
  <c r="AR288" i="12" s="1"/>
  <c r="U70" i="8"/>
  <c r="F71" i="8" a="1"/>
  <c r="F71" i="8" s="1"/>
  <c r="AH187" i="28" l="1"/>
  <c r="AH53" i="28"/>
  <c r="BF138" i="12"/>
  <c r="BF132" i="12"/>
  <c r="BF127" i="12"/>
  <c r="BD126" i="12"/>
  <c r="T49" i="21"/>
  <c r="F50" i="21" a="1"/>
  <c r="F50" i="21" s="1"/>
  <c r="BU299" i="12"/>
  <c r="BU289" i="12"/>
  <c r="BU282" i="12"/>
  <c r="BS281" i="12"/>
  <c r="BX289" i="12"/>
  <c r="BX282" i="12"/>
  <c r="BX299" i="12"/>
  <c r="BV281" i="12"/>
  <c r="BL421" i="12"/>
  <c r="BL435" i="12"/>
  <c r="BL427" i="12"/>
  <c r="BJ420" i="12"/>
  <c r="AQ435" i="12"/>
  <c r="AQ427" i="12"/>
  <c r="AQ421" i="12"/>
  <c r="AO420" i="12"/>
  <c r="BO299" i="12"/>
  <c r="BO282" i="12"/>
  <c r="BO289" i="12"/>
  <c r="BM281" i="12"/>
  <c r="CP289" i="12"/>
  <c r="CP282" i="12"/>
  <c r="CP299" i="12"/>
  <c r="CN281" i="12"/>
  <c r="CJ289" i="12"/>
  <c r="CJ282" i="12"/>
  <c r="CJ299" i="12"/>
  <c r="CH281" i="12"/>
  <c r="AW299" i="12"/>
  <c r="AW289" i="12"/>
  <c r="AW282" i="12"/>
  <c r="AU281" i="12"/>
  <c r="F57" i="33" a="1"/>
  <c r="F57" i="33" s="1"/>
  <c r="CA435" i="12"/>
  <c r="CA427" i="12"/>
  <c r="CA421" i="12"/>
  <c r="BY420" i="12"/>
  <c r="N155" i="27" a="1"/>
  <c r="N155" i="27" s="1"/>
  <c r="BX154" i="27" a="1"/>
  <c r="BX154" i="27" s="1"/>
  <c r="F44" i="27" a="1"/>
  <c r="F44" i="27" s="1"/>
  <c r="T43" i="27"/>
  <c r="M102" i="31" a="1"/>
  <c r="M102" i="31" s="1"/>
  <c r="BI101" i="31" a="1"/>
  <c r="BI101" i="31" s="1"/>
  <c r="AT289" i="12"/>
  <c r="AT282" i="12"/>
  <c r="AT299" i="12"/>
  <c r="AR281" i="12"/>
  <c r="BC435" i="12"/>
  <c r="BC427" i="12"/>
  <c r="BC421" i="12"/>
  <c r="BA420" i="12"/>
  <c r="BO132" i="12"/>
  <c r="BO127" i="12"/>
  <c r="BO138" i="12"/>
  <c r="BM126" i="12"/>
  <c r="BC299" i="12"/>
  <c r="BC282" i="12"/>
  <c r="BC289" i="12"/>
  <c r="BA281" i="12"/>
  <c r="BO435" i="12"/>
  <c r="BO427" i="12"/>
  <c r="BO421" i="12"/>
  <c r="BM420" i="12"/>
  <c r="BR421" i="12"/>
  <c r="BR435" i="12"/>
  <c r="BR427" i="12"/>
  <c r="BP420" i="12"/>
  <c r="T43" i="31"/>
  <c r="F44" i="31" a="1"/>
  <c r="F44" i="31" s="1"/>
  <c r="F55" i="13" a="1"/>
  <c r="F55" i="13" s="1"/>
  <c r="F56" i="13" s="1" a="1"/>
  <c r="F56" i="13" s="1"/>
  <c r="L54" i="13" a="1"/>
  <c r="L54" i="13" s="1"/>
  <c r="T54" i="13" s="1"/>
  <c r="CG435" i="12"/>
  <c r="CG427" i="12"/>
  <c r="CG421" i="12"/>
  <c r="CE420" i="12"/>
  <c r="CM299" i="12"/>
  <c r="CM282" i="12"/>
  <c r="CM289" i="12"/>
  <c r="CK281" i="12"/>
  <c r="F79" i="18" a="1"/>
  <c r="F79" i="18" s="1"/>
  <c r="T78" i="18"/>
  <c r="F72" i="8" a="1"/>
  <c r="F72" i="8" s="1"/>
  <c r="U71" i="8"/>
  <c r="AQ132" i="12"/>
  <c r="AQ127" i="12"/>
  <c r="AQ138" i="12"/>
  <c r="AO126" i="12"/>
  <c r="T141" i="13"/>
  <c r="F142" i="13" a="1"/>
  <c r="F142" i="13" s="1"/>
  <c r="A141" i="13"/>
  <c r="S329" i="12" a="1"/>
  <c r="S329" i="12" s="1"/>
  <c r="U328" i="12"/>
  <c r="BR289" i="12"/>
  <c r="BR282" i="12"/>
  <c r="BR299" i="12"/>
  <c r="BP281" i="12"/>
  <c r="F71" i="31" a="1"/>
  <c r="F71" i="31" s="1"/>
  <c r="T70" i="31"/>
  <c r="F104" i="33" a="1"/>
  <c r="F104" i="33" s="1"/>
  <c r="F44" i="30" a="1"/>
  <c r="F44" i="30" s="1"/>
  <c r="T43" i="30"/>
  <c r="T123" i="12"/>
  <c r="L124" i="12" a="1"/>
  <c r="L124" i="12" s="1"/>
  <c r="L125" i="12" s="1" a="1"/>
  <c r="L125" i="12" s="1"/>
  <c r="L126" i="12" s="1" a="1"/>
  <c r="L126" i="12" s="1"/>
  <c r="CG132" i="12"/>
  <c r="CG127" i="12"/>
  <c r="CG138" i="12"/>
  <c r="CE126" i="12"/>
  <c r="T100" i="13" a="1"/>
  <c r="T100" i="13" s="1"/>
  <c r="T99" i="13" a="1"/>
  <c r="T99" i="13" s="1"/>
  <c r="L98" i="13" a="1"/>
  <c r="L98" i="13" s="1"/>
  <c r="T98" i="13" s="1"/>
  <c r="F99" i="13" a="1"/>
  <c r="F99" i="13" s="1"/>
  <c r="F100" i="13" s="1" a="1"/>
  <c r="F100" i="13" s="1"/>
  <c r="AQ299" i="12"/>
  <c r="AQ282" i="12"/>
  <c r="AQ289" i="12"/>
  <c r="AO281" i="12"/>
  <c r="T244" i="12"/>
  <c r="L245" i="12" a="1"/>
  <c r="L245" i="12" s="1"/>
  <c r="AN421" i="12"/>
  <c r="AN435" i="12"/>
  <c r="AN427" i="12"/>
  <c r="AL420" i="12"/>
  <c r="CM435" i="12"/>
  <c r="CM427" i="12"/>
  <c r="CM421" i="12"/>
  <c r="CK420" i="12"/>
  <c r="T155" i="27"/>
  <c r="F156" i="27" a="1"/>
  <c r="F156" i="27" s="1"/>
  <c r="AZ289" i="12"/>
  <c r="AZ282" i="12"/>
  <c r="AZ299" i="12"/>
  <c r="AX281" i="12"/>
  <c r="AN289" i="12"/>
  <c r="AN282" i="12"/>
  <c r="AN299" i="12"/>
  <c r="AL281" i="12"/>
  <c r="CP421" i="12"/>
  <c r="CP435" i="12"/>
  <c r="CP427" i="12"/>
  <c r="CN420" i="12"/>
  <c r="BL289" i="12"/>
  <c r="BL282" i="12"/>
  <c r="BL299" i="12"/>
  <c r="BJ281" i="12"/>
  <c r="BR138" i="12"/>
  <c r="BR132" i="12"/>
  <c r="BR127" i="12"/>
  <c r="BP126" i="12"/>
  <c r="BC132" i="12"/>
  <c r="BC127" i="12"/>
  <c r="BC138" i="12"/>
  <c r="BA126" i="12"/>
  <c r="AW435" i="12"/>
  <c r="AW427" i="12"/>
  <c r="AW421" i="12"/>
  <c r="AU420" i="12"/>
  <c r="BX421" i="12"/>
  <c r="BX435" i="12"/>
  <c r="BX427" i="12"/>
  <c r="BV420" i="12"/>
  <c r="AN138" i="12"/>
  <c r="AN132" i="12"/>
  <c r="AN127" i="12"/>
  <c r="AL126" i="12"/>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J121" i="28"/>
  <c r="AJ116" i="28" s="1"/>
  <c r="AF121" i="28"/>
  <c r="AF116" i="28" s="1"/>
  <c r="AK121" i="28"/>
  <c r="AK116" i="28" s="1"/>
  <c r="AI121" i="28"/>
  <c r="AG121" i="28"/>
  <c r="AE121" i="28"/>
  <c r="AE116" i="28" s="1"/>
  <c r="CP138" i="12"/>
  <c r="CP132" i="12"/>
  <c r="CP127" i="12"/>
  <c r="CN126" i="12"/>
  <c r="T91" i="30"/>
  <c r="F92" i="30" a="1"/>
  <c r="F92" i="30" s="1"/>
  <c r="H45" i="18"/>
  <c r="F46" i="18" a="1"/>
  <c r="F46" i="18" s="1"/>
  <c r="T45" i="18"/>
  <c r="AF267" i="12" a="1"/>
  <c r="AF267" i="12" s="1"/>
  <c r="CZ262" i="12" a="1"/>
  <c r="CZ262" i="12" s="1"/>
  <c r="T406" i="12" a="1"/>
  <c r="T406" i="12" s="1"/>
  <c r="L407" i="12" a="1"/>
  <c r="L407" i="12" s="1"/>
  <c r="BF289" i="12"/>
  <c r="BF282" i="12"/>
  <c r="BF299" i="12"/>
  <c r="BD281" i="12"/>
  <c r="CY255" i="12" a="1"/>
  <c r="CY255" i="12" s="1"/>
  <c r="AG255" i="12"/>
  <c r="AE261" i="12" a="1"/>
  <c r="AE261" i="12" s="1"/>
  <c r="X261" i="12"/>
  <c r="BI299" i="12"/>
  <c r="BI289" i="12"/>
  <c r="BI282" i="12"/>
  <c r="BG281" i="12"/>
  <c r="M178" i="28" a="1"/>
  <c r="M178" i="28" s="1"/>
  <c r="AS177" i="28" a="1"/>
  <c r="AS177" i="28" s="1"/>
  <c r="CS435" i="12"/>
  <c r="CS427" i="12"/>
  <c r="CS421" i="12"/>
  <c r="CQ420" i="12"/>
  <c r="AF266" i="12" a="1"/>
  <c r="AF266" i="12" s="1"/>
  <c r="CZ261" i="12" a="1"/>
  <c r="CZ261" i="12" s="1"/>
  <c r="CS132" i="12"/>
  <c r="CS127" i="12"/>
  <c r="CS138" i="12"/>
  <c r="CQ126" i="12"/>
  <c r="AE262" i="12" a="1"/>
  <c r="AE262" i="12" s="1"/>
  <c r="X262" i="12"/>
  <c r="CY256" i="12" a="1"/>
  <c r="CY256" i="12" s="1"/>
  <c r="AG256" i="12"/>
  <c r="N99" i="27" a="1"/>
  <c r="N99" i="27" s="1"/>
  <c r="BX98" i="27" a="1"/>
  <c r="BX98" i="27" s="1"/>
  <c r="M44" i="28" a="1"/>
  <c r="M44" i="28" s="1"/>
  <c r="AS43" i="28" a="1"/>
  <c r="AS43" i="28" s="1"/>
  <c r="AB51" i="21" a="1"/>
  <c r="AB51" i="21" s="1"/>
  <c r="V51" i="21" a="1"/>
  <c r="V51" i="21" s="1"/>
  <c r="T99" i="27"/>
  <c r="F100" i="27" a="1"/>
  <c r="F100" i="27" s="1"/>
  <c r="CJ421" i="12"/>
  <c r="CJ435" i="12"/>
  <c r="CJ427" i="12"/>
  <c r="CH420" i="12"/>
  <c r="BI132" i="12"/>
  <c r="BI127" i="12"/>
  <c r="BI138" i="12"/>
  <c r="BG126" i="12"/>
  <c r="AT421" i="12"/>
  <c r="AT435" i="12"/>
  <c r="AT427" i="12"/>
  <c r="AR420" i="12"/>
  <c r="AZ421" i="12"/>
  <c r="AZ435" i="12"/>
  <c r="AZ427" i="12"/>
  <c r="AX420" i="12"/>
  <c r="BU132" i="12"/>
  <c r="BU127" i="12"/>
  <c r="BU138" i="12"/>
  <c r="BS126" i="12"/>
  <c r="CD138" i="12"/>
  <c r="CD132" i="12"/>
  <c r="CD127" i="12"/>
  <c r="CB126" i="12"/>
  <c r="CZ408" i="12" a="1"/>
  <c r="CZ408" i="12" s="1"/>
  <c r="AF413" i="12" a="1"/>
  <c r="AF413" i="12" s="1"/>
  <c r="CJ138" i="12"/>
  <c r="CJ132" i="12"/>
  <c r="CJ127" i="12"/>
  <c r="CH126" i="12"/>
  <c r="F149" i="33" a="1"/>
  <c r="F149" i="33" s="1"/>
  <c r="BU435" i="12"/>
  <c r="BU427" i="12"/>
  <c r="BU421" i="12"/>
  <c r="BS420" i="12"/>
  <c r="N43" i="27" a="1"/>
  <c r="N43" i="27" s="1"/>
  <c r="BX42" i="27" a="1"/>
  <c r="BX42" i="27" s="1"/>
  <c r="S172" i="12" a="1"/>
  <c r="S172" i="12" s="1"/>
  <c r="U171" i="12"/>
  <c r="AE408" i="12" a="1"/>
  <c r="AE408" i="12" s="1"/>
  <c r="X408" i="12"/>
  <c r="CY404" i="12" a="1"/>
  <c r="CY404" i="12" s="1"/>
  <c r="M48" i="31" a="1"/>
  <c r="M48" i="31" s="1"/>
  <c r="BI47" i="31" a="1"/>
  <c r="BI47" i="31" s="1"/>
  <c r="M75" i="31" a="1"/>
  <c r="M75" i="31" s="1"/>
  <c r="BI74" i="31" a="1"/>
  <c r="BI74" i="31" s="1"/>
  <c r="S61" i="12" a="1"/>
  <c r="S61" i="12" s="1"/>
  <c r="U60" i="12"/>
  <c r="AB77" i="21" a="1"/>
  <c r="AB77" i="21" s="1"/>
  <c r="V77" i="21" a="1"/>
  <c r="V77" i="21" s="1"/>
  <c r="F68" i="30" a="1"/>
  <c r="F68" i="30" s="1"/>
  <c r="T67" i="30"/>
  <c r="BL138" i="12"/>
  <c r="BL132" i="12"/>
  <c r="BL127" i="12"/>
  <c r="BJ126" i="12"/>
  <c r="AH120" i="28"/>
  <c r="CD421" i="12"/>
  <c r="CD435" i="12"/>
  <c r="CD427" i="12"/>
  <c r="CB420" i="12"/>
  <c r="CD289" i="12"/>
  <c r="CD282" i="12"/>
  <c r="CD299" i="12"/>
  <c r="CB281" i="12"/>
  <c r="M111" i="28" a="1"/>
  <c r="M111" i="28" s="1"/>
  <c r="AS110" i="28" a="1"/>
  <c r="AS110" i="28" s="1"/>
  <c r="AZ138" i="12"/>
  <c r="AZ132" i="12"/>
  <c r="AZ127" i="12"/>
  <c r="AX126" i="12"/>
  <c r="T97" i="31"/>
  <c r="F98" i="31" a="1"/>
  <c r="F98" i="31" s="1"/>
  <c r="CS299" i="12"/>
  <c r="CS289" i="12"/>
  <c r="CS282" i="12"/>
  <c r="CQ281" i="12"/>
  <c r="CA299" i="12"/>
  <c r="CA282" i="12"/>
  <c r="CA289" i="12"/>
  <c r="BY281" i="12"/>
  <c r="F189" i="28" a="1"/>
  <c r="F189" i="28" s="1"/>
  <c r="F190" i="28" s="1" a="1"/>
  <c r="F190" i="28" s="1"/>
  <c r="F191" i="28" s="1" a="1"/>
  <c r="F191" i="28" s="1"/>
  <c r="F192" i="28" s="1" a="1"/>
  <c r="F192" i="28" s="1"/>
  <c r="F193" i="28" s="1" a="1"/>
  <c r="F193" i="28" s="1"/>
  <c r="F194" i="28" s="1" a="1"/>
  <c r="F194" i="28" s="1"/>
  <c r="F195" i="28" s="1" a="1"/>
  <c r="F195" i="28" s="1"/>
  <c r="F196" i="28" s="1" a="1"/>
  <c r="F196" i="28" s="1"/>
  <c r="F197" i="28" s="1" a="1"/>
  <c r="F197" i="28" s="1"/>
  <c r="F198" i="28" s="1" a="1"/>
  <c r="F198" i="28" s="1"/>
  <c r="F199" i="28" s="1" a="1"/>
  <c r="F199" i="28" s="1"/>
  <c r="F200" i="28" s="1" a="1"/>
  <c r="F200" i="28" s="1"/>
  <c r="F201" i="28" s="1" a="1"/>
  <c r="F201" i="28" s="1"/>
  <c r="AJ188" i="28"/>
  <c r="AJ183" i="28" s="1"/>
  <c r="AF188" i="28"/>
  <c r="AF183" i="28" s="1"/>
  <c r="AK188" i="28"/>
  <c r="AK183" i="28" s="1"/>
  <c r="AI188" i="28"/>
  <c r="AG188" i="28"/>
  <c r="AE188" i="28"/>
  <c r="AE183" i="28" s="1"/>
  <c r="CA132" i="12"/>
  <c r="CA127" i="12"/>
  <c r="CA138" i="12"/>
  <c r="BY126" i="12"/>
  <c r="AW132" i="12"/>
  <c r="AW127" i="12"/>
  <c r="AW138" i="12"/>
  <c r="AU126" i="12"/>
  <c r="CM132" i="12"/>
  <c r="CM127" i="12"/>
  <c r="CM138" i="12"/>
  <c r="CK126" i="12"/>
  <c r="BI435" i="12"/>
  <c r="BI427" i="12"/>
  <c r="BI421" i="12"/>
  <c r="BG420" i="12"/>
  <c r="BF421" i="12"/>
  <c r="BF435" i="12"/>
  <c r="BF427" i="12"/>
  <c r="BD420" i="12"/>
  <c r="AT138" i="12"/>
  <c r="AT132" i="12"/>
  <c r="AT127" i="12"/>
  <c r="AR126" i="12"/>
  <c r="F46" i="8" a="1"/>
  <c r="F46" i="8" s="1"/>
  <c r="U45" i="8"/>
  <c r="T110" i="18"/>
  <c r="T111" i="18" s="1" a="1"/>
  <c r="T111" i="18" s="1"/>
  <c r="T112" i="18" s="1" a="1"/>
  <c r="T112" i="18" s="1"/>
  <c r="F111" i="18" a="1"/>
  <c r="F111" i="18" s="1"/>
  <c r="F112" i="18" s="1" a="1"/>
  <c r="F112" i="18" s="1"/>
  <c r="F113" i="18" s="1" a="1"/>
  <c r="F113" i="18" s="1"/>
  <c r="T56" i="13" a="1"/>
  <c r="T56" i="13" s="1"/>
  <c r="T55" i="13" a="1"/>
  <c r="T55" i="13" s="1"/>
  <c r="F100" i="8" a="1"/>
  <c r="F100" i="8" s="1"/>
  <c r="U99" i="8"/>
  <c r="CG299" i="12"/>
  <c r="CG289" i="12"/>
  <c r="CG282" i="12"/>
  <c r="CE281" i="12"/>
  <c r="BX138" i="12"/>
  <c r="BX132" i="12"/>
  <c r="BX127" i="12"/>
  <c r="BV126" i="12"/>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J54" i="28"/>
  <c r="AJ49" i="28" s="1"/>
  <c r="AF54" i="28"/>
  <c r="AF49" i="28" s="1"/>
  <c r="AK54" i="28"/>
  <c r="AK49" i="28" s="1"/>
  <c r="AI54" i="28"/>
  <c r="AG54" i="28"/>
  <c r="AE54" i="28"/>
  <c r="AE49" i="28" s="1"/>
  <c r="U100" i="8" l="1"/>
  <c r="F101" i="8" a="1"/>
  <c r="F101" i="8" s="1"/>
  <c r="F47" i="8" a="1"/>
  <c r="F47" i="8" s="1"/>
  <c r="U46" i="8"/>
  <c r="AU132" i="12"/>
  <c r="AU127" i="12"/>
  <c r="AU138" i="12"/>
  <c r="BY132" i="12"/>
  <c r="BY127" i="12"/>
  <c r="BY138" i="12"/>
  <c r="AL188" i="28"/>
  <c r="AI183" i="28"/>
  <c r="AL183" i="28" s="1"/>
  <c r="F202" i="28" a="1"/>
  <c r="F202" i="28" s="1"/>
  <c r="F203" i="28" s="1" a="1"/>
  <c r="F203" i="28" s="1"/>
  <c r="F204" i="28" s="1" a="1"/>
  <c r="F204" i="28" s="1"/>
  <c r="F205" i="28" s="1" a="1"/>
  <c r="F205" i="28" s="1"/>
  <c r="F206" i="28" s="1" a="1"/>
  <c r="F206" i="28" s="1"/>
  <c r="F207" i="28" s="1" a="1"/>
  <c r="F207" i="28" s="1"/>
  <c r="AJ201" i="28"/>
  <c r="AF201" i="28"/>
  <c r="AK201" i="28"/>
  <c r="AI201" i="28"/>
  <c r="AL201" i="28" s="1"/>
  <c r="AG201" i="28"/>
  <c r="AE201" i="28"/>
  <c r="CQ299" i="12"/>
  <c r="CQ282" i="12"/>
  <c r="BC39" i="24" s="1"/>
  <c r="CQ289" i="12"/>
  <c r="T98" i="31"/>
  <c r="F99" i="31" a="1"/>
  <c r="F99" i="31" s="1"/>
  <c r="AX138" i="12"/>
  <c r="AX132" i="12"/>
  <c r="AX127" i="12"/>
  <c r="CB289" i="12"/>
  <c r="CB282" i="12"/>
  <c r="AX39" i="24" s="1"/>
  <c r="CB299" i="12"/>
  <c r="CB421" i="12"/>
  <c r="AX49" i="24" s="1"/>
  <c r="CB435" i="12"/>
  <c r="CB427" i="12"/>
  <c r="T68" i="30"/>
  <c r="F69" i="30" a="1"/>
  <c r="F69" i="30" s="1"/>
  <c r="AB45" i="22" a="1"/>
  <c r="AB45" i="22" s="1"/>
  <c r="V45" i="22" a="1"/>
  <c r="V45" i="22" s="1"/>
  <c r="S62" i="12" a="1"/>
  <c r="S62" i="12" s="1"/>
  <c r="U61" i="12"/>
  <c r="M76" i="31" a="1"/>
  <c r="M76" i="31" s="1"/>
  <c r="BI75" i="31" a="1"/>
  <c r="BI75" i="31" s="1"/>
  <c r="M49" i="31" a="1"/>
  <c r="M49" i="31" s="1"/>
  <c r="BI48" i="31" a="1"/>
  <c r="BI48" i="31" s="1"/>
  <c r="CY408" i="12" a="1"/>
  <c r="CY408" i="12" s="1"/>
  <c r="AE413" i="12" a="1"/>
  <c r="AE413" i="12" s="1"/>
  <c r="X413" i="12"/>
  <c r="S173" i="12" a="1"/>
  <c r="S173" i="12" s="1"/>
  <c r="U172" i="12"/>
  <c r="N44" i="27" a="1"/>
  <c r="N44" i="27" s="1"/>
  <c r="BX43" i="27" a="1"/>
  <c r="BX43" i="27" s="1"/>
  <c r="CH138" i="12"/>
  <c r="CH132" i="12"/>
  <c r="CH127" i="12"/>
  <c r="AF417" i="12" a="1"/>
  <c r="AF417" i="12" s="1"/>
  <c r="CZ413" i="12" a="1"/>
  <c r="CZ413" i="12" s="1"/>
  <c r="CB138" i="12"/>
  <c r="CB132" i="12"/>
  <c r="CB127" i="12"/>
  <c r="AX421" i="12"/>
  <c r="AN49" i="24" s="1"/>
  <c r="AX435" i="12"/>
  <c r="AX427" i="12"/>
  <c r="AR421" i="12"/>
  <c r="AL49" i="24" s="1"/>
  <c r="AR435" i="12"/>
  <c r="AR427" i="12"/>
  <c r="BG132" i="12"/>
  <c r="BG127" i="12"/>
  <c r="BG138" i="12"/>
  <c r="CH421" i="12"/>
  <c r="AZ49" i="24" s="1"/>
  <c r="CH435" i="12"/>
  <c r="CH427" i="12"/>
  <c r="T100" i="27"/>
  <c r="F101" i="27" a="1"/>
  <c r="F101" i="27" s="1"/>
  <c r="CQ132" i="12"/>
  <c r="CQ127" i="12"/>
  <c r="CQ138" i="12"/>
  <c r="CQ435" i="12"/>
  <c r="CQ427" i="12"/>
  <c r="CQ421" i="12"/>
  <c r="BC49" i="24" s="1"/>
  <c r="M179" i="28" a="1"/>
  <c r="M179" i="28" s="1"/>
  <c r="AS178" i="28" a="1"/>
  <c r="AS178" i="28" s="1"/>
  <c r="AE266" i="12" a="1"/>
  <c r="AE266" i="12" s="1"/>
  <c r="CY261" i="12" a="1"/>
  <c r="CY261" i="12" s="1"/>
  <c r="X266" i="12"/>
  <c r="AF273" i="12" a="1"/>
  <c r="AF273" i="12" s="1"/>
  <c r="CZ267" i="12" a="1"/>
  <c r="CZ267" i="12" s="1"/>
  <c r="F47" i="18" a="1"/>
  <c r="F47" i="18" s="1"/>
  <c r="T46" i="18"/>
  <c r="F93" i="30" a="1"/>
  <c r="F93" i="30" s="1"/>
  <c r="T92" i="30"/>
  <c r="CN138" i="12"/>
  <c r="CN132" i="12"/>
  <c r="CN127" i="12"/>
  <c r="AL121" i="28"/>
  <c r="AI116" i="28"/>
  <c r="AL116" i="28" s="1"/>
  <c r="F135" i="28" a="1"/>
  <c r="F135" i="28" s="1"/>
  <c r="F136" i="28" s="1" a="1"/>
  <c r="F136" i="28" s="1"/>
  <c r="F137" i="28" s="1" a="1"/>
  <c r="F137" i="28" s="1"/>
  <c r="F138" i="28" s="1" a="1"/>
  <c r="F138" i="28" s="1"/>
  <c r="F139" i="28" s="1" a="1"/>
  <c r="F139" i="28" s="1"/>
  <c r="F140" i="28" s="1" a="1"/>
  <c r="F140" i="28" s="1"/>
  <c r="AJ134" i="28"/>
  <c r="AF134" i="28"/>
  <c r="AK134" i="28"/>
  <c r="AI134" i="28"/>
  <c r="AL134" i="28" s="1"/>
  <c r="AG134" i="28"/>
  <c r="AE134" i="28"/>
  <c r="T44" i="30"/>
  <c r="F45" i="30" a="1"/>
  <c r="F45" i="30" s="1"/>
  <c r="BP289" i="12"/>
  <c r="BP282" i="12"/>
  <c r="BP299" i="12"/>
  <c r="T144" i="13" a="1"/>
  <c r="T144" i="13" s="1"/>
  <c r="T143" i="13" a="1"/>
  <c r="T143" i="13" s="1"/>
  <c r="F73" i="8" a="1"/>
  <c r="F73" i="8" s="1"/>
  <c r="U72" i="8"/>
  <c r="F80" i="18" a="1"/>
  <c r="F80" i="18" s="1"/>
  <c r="F81" i="18" s="1" a="1"/>
  <c r="F81" i="18" s="1"/>
  <c r="F82" i="18" s="1" a="1"/>
  <c r="F82" i="18" s="1"/>
  <c r="T79" i="18"/>
  <c r="T80" i="18" s="1" a="1"/>
  <c r="T80" i="18" s="1"/>
  <c r="T81" i="18" s="1" a="1"/>
  <c r="T81" i="18" s="1"/>
  <c r="A56" i="13"/>
  <c r="F57" i="13" a="1"/>
  <c r="F57" i="13" s="1"/>
  <c r="M103" i="31" a="1"/>
  <c r="M103" i="31" s="1"/>
  <c r="BI102" i="31" a="1"/>
  <c r="BI102" i="31" s="1"/>
  <c r="F45" i="27" a="1"/>
  <c r="F45" i="27" s="1"/>
  <c r="T44" i="27"/>
  <c r="N156" i="27" a="1"/>
  <c r="N156" i="27" s="1"/>
  <c r="BX155" i="27" a="1"/>
  <c r="BX155" i="27" s="1"/>
  <c r="AU299" i="12"/>
  <c r="AU282" i="12"/>
  <c r="AM39" i="24" s="1"/>
  <c r="AU289" i="12"/>
  <c r="CH289" i="12"/>
  <c r="CH282" i="12"/>
  <c r="AZ39" i="24" s="1"/>
  <c r="CH299" i="12"/>
  <c r="CN289" i="12"/>
  <c r="CN282" i="12"/>
  <c r="BB39" i="24" s="1"/>
  <c r="CN299" i="12"/>
  <c r="BM299" i="12"/>
  <c r="BM289" i="12"/>
  <c r="BM282" i="12"/>
  <c r="AS39" i="24" s="1"/>
  <c r="AO435" i="12"/>
  <c r="AO427" i="12"/>
  <c r="AO421" i="12"/>
  <c r="AK49" i="24" s="1"/>
  <c r="BJ421" i="12"/>
  <c r="AR49" i="24" s="1"/>
  <c r="BJ435" i="12"/>
  <c r="BJ427" i="12"/>
  <c r="BV289" i="12"/>
  <c r="BV282" i="12"/>
  <c r="AV39" i="24" s="1"/>
  <c r="BV299" i="12"/>
  <c r="BS299" i="12"/>
  <c r="BS282" i="12"/>
  <c r="AU39" i="24" s="1"/>
  <c r="BS289" i="12"/>
  <c r="T50" i="21"/>
  <c r="BD138" i="12"/>
  <c r="BD132" i="12"/>
  <c r="BD127" i="12"/>
  <c r="AL54" i="28"/>
  <c r="AI49" i="28"/>
  <c r="AL49" i="28" s="1"/>
  <c r="F68" i="28" a="1"/>
  <c r="F68" i="28" s="1"/>
  <c r="F69" i="28" s="1" a="1"/>
  <c r="F69" i="28" s="1"/>
  <c r="F70" i="28" s="1" a="1"/>
  <c r="F70" i="28" s="1"/>
  <c r="F71" i="28" s="1" a="1"/>
  <c r="F71" i="28" s="1"/>
  <c r="F72" i="28" s="1" a="1"/>
  <c r="F72" i="28" s="1"/>
  <c r="F73" i="28" s="1" a="1"/>
  <c r="F73" i="28" s="1"/>
  <c r="AJ67" i="28"/>
  <c r="AF67" i="28"/>
  <c r="AK67" i="28"/>
  <c r="AI67" i="28"/>
  <c r="AL67" i="28" s="1"/>
  <c r="AG67" i="28"/>
  <c r="AE67" i="28"/>
  <c r="AH54" i="28"/>
  <c r="AG49" i="28"/>
  <c r="AH49" i="28" s="1"/>
  <c r="BV138" i="12"/>
  <c r="BV132" i="12"/>
  <c r="BV127" i="12"/>
  <c r="CE299" i="12"/>
  <c r="CE282" i="12"/>
  <c r="AY39" i="24" s="1"/>
  <c r="CE289" i="12"/>
  <c r="H113" i="18"/>
  <c r="T113" i="18"/>
  <c r="AR138" i="12"/>
  <c r="AR132" i="12"/>
  <c r="AR127" i="12"/>
  <c r="BD421" i="12"/>
  <c r="AP49" i="24" s="1"/>
  <c r="BD435" i="12"/>
  <c r="BD427" i="12"/>
  <c r="BG435" i="12"/>
  <c r="BG427" i="12"/>
  <c r="BG421" i="12"/>
  <c r="AQ49" i="24" s="1"/>
  <c r="CK132" i="12"/>
  <c r="CK127" i="12"/>
  <c r="CK138" i="12"/>
  <c r="AH188" i="28"/>
  <c r="BY299" i="12"/>
  <c r="BY289" i="12"/>
  <c r="BY282" i="12"/>
  <c r="AW39" i="24" s="1"/>
  <c r="M112" i="28" a="1"/>
  <c r="M112" i="28" s="1"/>
  <c r="AS111" i="28" a="1"/>
  <c r="AS111" i="28" s="1"/>
  <c r="BJ138" i="12"/>
  <c r="BJ132" i="12"/>
  <c r="BJ127" i="12"/>
  <c r="BS435" i="12"/>
  <c r="BS427" i="12"/>
  <c r="BS421" i="12"/>
  <c r="AU49" i="24" s="1"/>
  <c r="F150" i="33" a="1"/>
  <c r="F150" i="33" s="1"/>
  <c r="BS132" i="12"/>
  <c r="BS127" i="12"/>
  <c r="BS138" i="12"/>
  <c r="AG183" i="28"/>
  <c r="AH183" i="28" s="1"/>
  <c r="AB36" i="22" a="1"/>
  <c r="AB36" i="22" s="1"/>
  <c r="V36" i="22" a="1"/>
  <c r="V36" i="22" s="1"/>
  <c r="M45" i="28" a="1"/>
  <c r="M45" i="28" s="1"/>
  <c r="AS44" i="28" a="1"/>
  <c r="AS44" i="28" s="1"/>
  <c r="N100" i="27" a="1"/>
  <c r="N100" i="27" s="1"/>
  <c r="BX99" i="27" a="1"/>
  <c r="BX99" i="27" s="1"/>
  <c r="AE267" i="12" a="1"/>
  <c r="AE267" i="12" s="1"/>
  <c r="X267" i="12"/>
  <c r="CY262" i="12" a="1"/>
  <c r="CY262" i="12" s="1"/>
  <c r="AF272" i="12" a="1"/>
  <c r="AF272" i="12" s="1"/>
  <c r="CZ266" i="12" a="1"/>
  <c r="CZ266" i="12" s="1"/>
  <c r="BG299" i="12"/>
  <c r="BG282" i="12"/>
  <c r="AQ39" i="24" s="1"/>
  <c r="BG289" i="12"/>
  <c r="BD289" i="12"/>
  <c r="BD282" i="12"/>
  <c r="AP39" i="24" s="1"/>
  <c r="BD299" i="12"/>
  <c r="T407" i="12"/>
  <c r="L408" i="12" a="1"/>
  <c r="L408" i="12" s="1"/>
  <c r="AH121" i="28"/>
  <c r="AG116" i="28"/>
  <c r="AH116" i="28" s="1"/>
  <c r="AL138" i="12"/>
  <c r="AL132" i="12"/>
  <c r="AL127" i="12"/>
  <c r="BV421" i="12"/>
  <c r="AV49" i="24" s="1"/>
  <c r="BV435" i="12"/>
  <c r="BV427" i="12"/>
  <c r="AU435" i="12"/>
  <c r="AU427" i="12"/>
  <c r="AU421" i="12"/>
  <c r="AM49" i="24" s="1"/>
  <c r="BA132" i="12"/>
  <c r="BA127" i="12"/>
  <c r="BA138" i="12"/>
  <c r="BP138" i="12"/>
  <c r="BP132" i="12"/>
  <c r="BP127" i="12"/>
  <c r="BJ289" i="12"/>
  <c r="BJ282" i="12"/>
  <c r="AR39" i="24" s="1"/>
  <c r="BJ299" i="12"/>
  <c r="CN421" i="12"/>
  <c r="BB49" i="24" s="1"/>
  <c r="CN435" i="12"/>
  <c r="CN427" i="12"/>
  <c r="AL289" i="12"/>
  <c r="AL282" i="12"/>
  <c r="AL299" i="12"/>
  <c r="AX289" i="12"/>
  <c r="AX282" i="12"/>
  <c r="AN39" i="24" s="1"/>
  <c r="AX299" i="12"/>
  <c r="T156" i="27"/>
  <c r="F157" i="27" a="1"/>
  <c r="F157" i="27" s="1"/>
  <c r="CK435" i="12"/>
  <c r="CK427" i="12"/>
  <c r="CK421" i="12"/>
  <c r="BA49" i="24" s="1"/>
  <c r="AL421" i="12"/>
  <c r="AL435" i="12"/>
  <c r="AL427" i="12"/>
  <c r="L246" i="12" a="1"/>
  <c r="L246" i="12" s="1"/>
  <c r="T245" i="12"/>
  <c r="AO299" i="12"/>
  <c r="AO289" i="12"/>
  <c r="AO282" i="12"/>
  <c r="AK39" i="24" s="1"/>
  <c r="F101" i="13" a="1"/>
  <c r="F101" i="13" s="1"/>
  <c r="A100" i="13"/>
  <c r="CE132" i="12"/>
  <c r="CE127" i="12"/>
  <c r="CE138" i="12"/>
  <c r="T126" i="12" a="1"/>
  <c r="T126" i="12" s="1"/>
  <c r="L127" i="12" a="1"/>
  <c r="L127" i="12" s="1"/>
  <c r="L128" i="12" s="1" a="1"/>
  <c r="L128" i="12" s="1"/>
  <c r="L129" i="12" s="1" a="1"/>
  <c r="L129" i="12" s="1"/>
  <c r="L130" i="12" s="1" a="1"/>
  <c r="L130" i="12" s="1"/>
  <c r="L131" i="12" s="1" a="1"/>
  <c r="L131" i="12" s="1"/>
  <c r="L132" i="12" s="1" a="1"/>
  <c r="L132" i="12" s="1"/>
  <c r="F105" i="33" a="1"/>
  <c r="F105" i="33" s="1"/>
  <c r="F72" i="31" a="1"/>
  <c r="F72" i="31" s="1"/>
  <c r="T71" i="31"/>
  <c r="U329" i="12"/>
  <c r="S330" i="12" a="1"/>
  <c r="S330" i="12" s="1"/>
  <c r="F143" i="13" a="1"/>
  <c r="F143" i="13" s="1"/>
  <c r="F144" i="13" s="1" a="1"/>
  <c r="F144" i="13" s="1"/>
  <c r="L142" i="13" a="1"/>
  <c r="L142" i="13" s="1"/>
  <c r="T142" i="13" s="1"/>
  <c r="AO132" i="12"/>
  <c r="AO127" i="12"/>
  <c r="AO138" i="12"/>
  <c r="CK299" i="12"/>
  <c r="CK289" i="12"/>
  <c r="CK282" i="12"/>
  <c r="BA39" i="24" s="1"/>
  <c r="CE435" i="12"/>
  <c r="CE427" i="12"/>
  <c r="CE421" i="12"/>
  <c r="AY49" i="24" s="1"/>
  <c r="T44" i="31"/>
  <c r="F45" i="31" a="1"/>
  <c r="F45" i="31" s="1"/>
  <c r="BP421" i="12"/>
  <c r="BP435" i="12"/>
  <c r="BP427" i="12"/>
  <c r="BM435" i="12"/>
  <c r="BM427" i="12"/>
  <c r="BM421" i="12"/>
  <c r="AS49" i="24" s="1"/>
  <c r="BA299" i="12"/>
  <c r="BA289" i="12"/>
  <c r="BA282" i="12"/>
  <c r="AO39" i="24" s="1"/>
  <c r="BM132" i="12"/>
  <c r="BM127" i="12"/>
  <c r="BM138" i="12"/>
  <c r="BA435" i="12"/>
  <c r="BA427" i="12"/>
  <c r="BA421" i="12"/>
  <c r="AO49" i="24" s="1"/>
  <c r="AR289" i="12"/>
  <c r="AR282" i="12"/>
  <c r="AL39" i="24" s="1"/>
  <c r="AR299" i="12"/>
  <c r="BY435" i="12"/>
  <c r="BY427" i="12"/>
  <c r="BY421" i="12"/>
  <c r="AW49" i="24" s="1"/>
  <c r="F58" i="33" a="1"/>
  <c r="F58" i="33" s="1"/>
  <c r="AH134" i="28" l="1"/>
  <c r="AH201" i="28"/>
  <c r="AW56" i="24"/>
  <c r="BH49" i="24"/>
  <c r="AO56" i="24"/>
  <c r="BA46" i="24"/>
  <c r="BL46" i="24" s="1"/>
  <c r="BL39" i="24"/>
  <c r="S331" i="12" a="1"/>
  <c r="S331" i="12" s="1"/>
  <c r="U330" i="12"/>
  <c r="F106" i="33" a="1"/>
  <c r="F106" i="33" s="1"/>
  <c r="AK46" i="24"/>
  <c r="L247" i="12" a="1"/>
  <c r="L247" i="12" s="1"/>
  <c r="L248" i="12" s="1" a="1"/>
  <c r="L248" i="12" s="1"/>
  <c r="L249" i="12" s="1" a="1"/>
  <c r="L249" i="12" s="1"/>
  <c r="L250" i="12" s="1" a="1"/>
  <c r="L250" i="12" s="1"/>
  <c r="L251" i="12" s="1" a="1"/>
  <c r="L251" i="12" s="1"/>
  <c r="L252" i="12" s="1" a="1"/>
  <c r="L252" i="12" s="1"/>
  <c r="L253" i="12" s="1" a="1"/>
  <c r="L253" i="12" s="1"/>
  <c r="L254" i="12" s="1" a="1"/>
  <c r="L254" i="12" s="1"/>
  <c r="L255" i="12" s="1" a="1"/>
  <c r="L255" i="12" s="1"/>
  <c r="L256" i="12" s="1" a="1"/>
  <c r="L256" i="12" s="1"/>
  <c r="L257" i="12" s="1" a="1"/>
  <c r="L257" i="12" s="1"/>
  <c r="L258" i="12" s="1" a="1"/>
  <c r="L258" i="12" s="1"/>
  <c r="L259" i="12" s="1" a="1"/>
  <c r="L259" i="12" s="1"/>
  <c r="L260" i="12" s="1" a="1"/>
  <c r="L260" i="12" s="1"/>
  <c r="L261" i="12" s="1" a="1"/>
  <c r="L261" i="12" s="1"/>
  <c r="L262" i="12" s="1" a="1"/>
  <c r="L262" i="12" s="1"/>
  <c r="L263" i="12" s="1" a="1"/>
  <c r="L263" i="12" s="1"/>
  <c r="L264" i="12" s="1" a="1"/>
  <c r="L264" i="12" s="1"/>
  <c r="T246" i="12"/>
  <c r="BA56" i="24"/>
  <c r="BL49" i="24"/>
  <c r="AN46" i="24"/>
  <c r="AV56" i="24"/>
  <c r="BG49" i="24"/>
  <c r="L409" i="12" a="1"/>
  <c r="L409" i="12" s="1"/>
  <c r="L410" i="12" s="1" a="1"/>
  <c r="L410" i="12" s="1"/>
  <c r="L411" i="12" s="1" a="1"/>
  <c r="L411" i="12" s="1"/>
  <c r="L412" i="12" s="1" a="1"/>
  <c r="L412" i="12" s="1"/>
  <c r="L413" i="12" s="1" a="1"/>
  <c r="L413" i="12" s="1"/>
  <c r="L414" i="12" s="1" a="1"/>
  <c r="L414" i="12" s="1"/>
  <c r="L415" i="12" s="1" a="1"/>
  <c r="L415" i="12" s="1"/>
  <c r="T408" i="12"/>
  <c r="AQ46" i="24"/>
  <c r="AE273" i="12" a="1"/>
  <c r="AE273" i="12" s="1"/>
  <c r="X273" i="12"/>
  <c r="CY267" i="12" a="1"/>
  <c r="CY267" i="12" s="1"/>
  <c r="N101" i="27" a="1"/>
  <c r="N101" i="27" s="1"/>
  <c r="BX100" i="27" a="1"/>
  <c r="BX100" i="27" s="1"/>
  <c r="M46" i="28" a="1"/>
  <c r="M46" i="28" s="1"/>
  <c r="AS45" i="28" a="1"/>
  <c r="AS45" i="28" s="1"/>
  <c r="AB47" i="23" a="1"/>
  <c r="AB47" i="23" s="1"/>
  <c r="V47" i="23" a="1"/>
  <c r="V47" i="23" s="1"/>
  <c r="AU56" i="24"/>
  <c r="BF49" i="24"/>
  <c r="AW46" i="24"/>
  <c r="BH46" i="24" s="1"/>
  <c r="BH39" i="24"/>
  <c r="AP56" i="24"/>
  <c r="F74" i="28" a="1"/>
  <c r="F74" i="28" s="1"/>
  <c r="T73" i="28"/>
  <c r="AV46" i="24"/>
  <c r="BG46" i="24" s="1"/>
  <c r="BG39" i="24"/>
  <c r="AR56" i="24"/>
  <c r="AS46" i="24"/>
  <c r="BB46" i="24"/>
  <c r="BM46" i="24" s="1"/>
  <c r="BM39" i="24"/>
  <c r="AM46" i="24"/>
  <c r="F46" i="27" a="1"/>
  <c r="F46" i="27" s="1"/>
  <c r="T45" i="27"/>
  <c r="M104" i="31" a="1"/>
  <c r="M104" i="31" s="1"/>
  <c r="BI103" i="31" a="1"/>
  <c r="BI103" i="31" s="1"/>
  <c r="T82" i="18"/>
  <c r="H82" i="18"/>
  <c r="F74" i="8" a="1"/>
  <c r="F74" i="8" s="1"/>
  <c r="U73" i="8"/>
  <c r="AT39" i="24"/>
  <c r="AK97" i="28"/>
  <c r="F46" i="30" a="1"/>
  <c r="F46" i="30" s="1"/>
  <c r="T45" i="30"/>
  <c r="F141" i="28" a="1"/>
  <c r="F141" i="28" s="1"/>
  <c r="T140" i="28"/>
  <c r="BC56" i="24"/>
  <c r="T101" i="27"/>
  <c r="F102" i="27" a="1"/>
  <c r="F102" i="27" s="1"/>
  <c r="AZ56" i="24"/>
  <c r="BK49" i="24"/>
  <c r="AL56" i="24"/>
  <c r="AF424" i="12" a="1"/>
  <c r="AF424" i="12" s="1"/>
  <c r="CZ417" i="12" a="1"/>
  <c r="CZ417" i="12" s="1"/>
  <c r="M50" i="31" a="1"/>
  <c r="M50" i="31" s="1"/>
  <c r="BI49" i="31" a="1"/>
  <c r="BI49" i="31" s="1"/>
  <c r="M77" i="31" a="1"/>
  <c r="M77" i="31" s="1"/>
  <c r="BI76" i="31" a="1"/>
  <c r="BI76" i="31" s="1"/>
  <c r="S63" i="12" a="1"/>
  <c r="S63" i="12" s="1"/>
  <c r="U62" i="12"/>
  <c r="AB67" i="23" a="1"/>
  <c r="AB67" i="23" s="1"/>
  <c r="V67" i="23" a="1"/>
  <c r="V67" i="23" s="1"/>
  <c r="F100" i="31" a="1"/>
  <c r="F100" i="31" s="1"/>
  <c r="T99" i="31"/>
  <c r="F102" i="8" a="1"/>
  <c r="F102" i="8" s="1"/>
  <c r="U101" i="8"/>
  <c r="AL46" i="24"/>
  <c r="AO46" i="24"/>
  <c r="AT49" i="24"/>
  <c r="AK164" i="28"/>
  <c r="F59" i="33" a="1"/>
  <c r="F59" i="33" s="1"/>
  <c r="AS56" i="24"/>
  <c r="F46" i="31" a="1"/>
  <c r="F46" i="31" s="1"/>
  <c r="T45" i="31"/>
  <c r="AY56" i="24"/>
  <c r="BJ49" i="24"/>
  <c r="A144" i="13"/>
  <c r="F145" i="13" a="1"/>
  <c r="F145" i="13" s="1"/>
  <c r="F73" i="31" a="1"/>
  <c r="F73" i="31" s="1"/>
  <c r="T72" i="31"/>
  <c r="L133" i="12" a="1"/>
  <c r="L133" i="12" s="1"/>
  <c r="L134" i="12" s="1" a="1"/>
  <c r="L134" i="12" s="1"/>
  <c r="L135" i="12" s="1" a="1"/>
  <c r="L135" i="12" s="1"/>
  <c r="L136" i="12" s="1" a="1"/>
  <c r="L136" i="12" s="1"/>
  <c r="L137" i="12" s="1" a="1"/>
  <c r="L137" i="12" s="1"/>
  <c r="L138" i="12" s="1" a="1"/>
  <c r="L138" i="12" s="1"/>
  <c r="T132" i="12" a="1"/>
  <c r="T132" i="12" s="1"/>
  <c r="F102" i="13" a="1"/>
  <c r="F102" i="13" s="1"/>
  <c r="T101" i="13"/>
  <c r="AJ49" i="24"/>
  <c r="AJ164" i="28"/>
  <c r="T157" i="27"/>
  <c r="F158" i="27" a="1"/>
  <c r="F158" i="27" s="1"/>
  <c r="AJ39" i="24"/>
  <c r="AJ97" i="28"/>
  <c r="BB56" i="24"/>
  <c r="BM49" i="24"/>
  <c r="AR46" i="24"/>
  <c r="AM56" i="24"/>
  <c r="AP46" i="24"/>
  <c r="AF277" i="12" a="1"/>
  <c r="AF277" i="12" s="1"/>
  <c r="CZ272" i="12" a="1"/>
  <c r="CZ272" i="12" s="1"/>
  <c r="F151" i="33" a="1"/>
  <c r="F151" i="33" s="1"/>
  <c r="M113" i="28" a="1"/>
  <c r="M113" i="28" s="1"/>
  <c r="AS112" i="28" a="1"/>
  <c r="AS112" i="28" s="1"/>
  <c r="AQ56" i="24"/>
  <c r="AY46" i="24"/>
  <c r="BJ46" i="24" s="1"/>
  <c r="BJ39" i="24"/>
  <c r="AH67" i="28"/>
  <c r="AU46" i="24"/>
  <c r="BF46" i="24" s="1"/>
  <c r="BF39" i="24"/>
  <c r="AK56" i="24"/>
  <c r="AZ46" i="24"/>
  <c r="BK46" i="24" s="1"/>
  <c r="BK39" i="24"/>
  <c r="N157" i="27" a="1"/>
  <c r="N157" i="27" s="1"/>
  <c r="BX156" i="27" a="1"/>
  <c r="BX156" i="27" s="1"/>
  <c r="F58" i="13" a="1"/>
  <c r="F58" i="13" s="1"/>
  <c r="T57" i="13"/>
  <c r="F94" i="30" a="1"/>
  <c r="F94" i="30" s="1"/>
  <c r="T93" i="30"/>
  <c r="F48" i="18" a="1"/>
  <c r="F48" i="18" s="1"/>
  <c r="T47" i="18"/>
  <c r="AF278" i="12" a="1"/>
  <c r="AF278" i="12" s="1"/>
  <c r="CZ273" i="12" a="1"/>
  <c r="CZ273" i="12" s="1"/>
  <c r="X272" i="12"/>
  <c r="CY266" i="12" a="1"/>
  <c r="CY266" i="12" s="1"/>
  <c r="AE272" i="12" a="1"/>
  <c r="AE272" i="12" s="1"/>
  <c r="M180" i="28" a="1"/>
  <c r="M180" i="28" s="1"/>
  <c r="AS179" i="28" a="1"/>
  <c r="AS179" i="28" s="1"/>
  <c r="AN56" i="24"/>
  <c r="N45" i="27" a="1"/>
  <c r="N45" i="27" s="1"/>
  <c r="BX44" i="27" a="1"/>
  <c r="BX44" i="27" s="1"/>
  <c r="S174" i="12" a="1"/>
  <c r="S174" i="12" s="1"/>
  <c r="U173" i="12"/>
  <c r="AE417" i="12" a="1"/>
  <c r="AE417" i="12" s="1"/>
  <c r="X417" i="12"/>
  <c r="CY413" i="12" a="1"/>
  <c r="CY413" i="12" s="1"/>
  <c r="F70" i="30" a="1"/>
  <c r="F70" i="30" s="1"/>
  <c r="T69" i="30"/>
  <c r="AX56" i="24"/>
  <c r="BI49" i="24"/>
  <c r="AX46" i="24"/>
  <c r="BI46" i="24" s="1"/>
  <c r="BI39" i="24"/>
  <c r="BC46" i="24"/>
  <c r="F208" i="28" a="1"/>
  <c r="F208" i="28" s="1"/>
  <c r="T207" i="28"/>
  <c r="F48" i="8" a="1"/>
  <c r="F48" i="8" s="1"/>
  <c r="U47" i="8"/>
  <c r="AE424" i="12" l="1" a="1"/>
  <c r="AE424" i="12" s="1"/>
  <c r="X424" i="12"/>
  <c r="CY417" i="12" a="1"/>
  <c r="CY417" i="12" s="1"/>
  <c r="N46" i="27" a="1"/>
  <c r="N46" i="27" s="1"/>
  <c r="BX45" i="27" a="1"/>
  <c r="BX45" i="27" s="1"/>
  <c r="F152" i="33" a="1"/>
  <c r="F152" i="33" s="1"/>
  <c r="AF285" i="12" a="1"/>
  <c r="AF285" i="12" s="1"/>
  <c r="CZ277" i="12" a="1"/>
  <c r="CZ277" i="12" s="1"/>
  <c r="AJ46" i="24"/>
  <c r="AJ56" i="24"/>
  <c r="F146" i="13" a="1"/>
  <c r="F146" i="13" s="1"/>
  <c r="T145" i="13"/>
  <c r="BJ56" i="24"/>
  <c r="F47" i="31" a="1"/>
  <c r="F47" i="31" s="1"/>
  <c r="T46" i="31"/>
  <c r="AL164" i="28"/>
  <c r="F142" i="28" a="1"/>
  <c r="F142" i="28" s="1"/>
  <c r="T141" i="28"/>
  <c r="F47" i="30" a="1"/>
  <c r="F47" i="30" s="1"/>
  <c r="T46" i="30"/>
  <c r="AT46" i="24"/>
  <c r="BE39" i="24"/>
  <c r="BD39" i="24"/>
  <c r="U74" i="8"/>
  <c r="F75" i="8" a="1"/>
  <c r="F75" i="8" s="1"/>
  <c r="M105" i="31" a="1"/>
  <c r="M105" i="31" s="1"/>
  <c r="BI104" i="31" a="1"/>
  <c r="BI104" i="31" s="1"/>
  <c r="F47" i="27" a="1"/>
  <c r="F47" i="27" s="1"/>
  <c r="T46" i="27"/>
  <c r="F75" i="28" a="1"/>
  <c r="F75" i="28" s="1"/>
  <c r="T74" i="28"/>
  <c r="BF56" i="24"/>
  <c r="V37" i="24" a="1"/>
  <c r="V37" i="24" s="1"/>
  <c r="AB37" i="24" a="1"/>
  <c r="AB37" i="24" s="1"/>
  <c r="M47" i="28" a="1"/>
  <c r="M47" i="28" s="1"/>
  <c r="AS46" i="28" a="1"/>
  <c r="AS46" i="28" s="1"/>
  <c r="N102" i="27" a="1"/>
  <c r="N102" i="27" s="1"/>
  <c r="BX101" i="27" a="1"/>
  <c r="BX101" i="27" s="1"/>
  <c r="BI56" i="24"/>
  <c r="S175" i="12" a="1"/>
  <c r="S175" i="12" s="1"/>
  <c r="U174" i="12"/>
  <c r="M181" i="28" a="1"/>
  <c r="M181" i="28" s="1"/>
  <c r="AS180" i="28" a="1"/>
  <c r="AS180" i="28" s="1"/>
  <c r="U48" i="8"/>
  <c r="F49" i="8" a="1"/>
  <c r="F49" i="8" s="1"/>
  <c r="F209" i="28" a="1"/>
  <c r="F209" i="28" s="1"/>
  <c r="T208" i="28"/>
  <c r="F71" i="30" a="1"/>
  <c r="F71" i="30" s="1"/>
  <c r="T70" i="30"/>
  <c r="X277" i="12"/>
  <c r="AE277" i="12" a="1"/>
  <c r="AE277" i="12" s="1"/>
  <c r="CY272" i="12" a="1"/>
  <c r="CY272" i="12" s="1"/>
  <c r="CZ278" i="12" a="1"/>
  <c r="CZ278" i="12" s="1"/>
  <c r="AF286" i="12" a="1"/>
  <c r="AF286" i="12" s="1"/>
  <c r="T48" i="18"/>
  <c r="T49" i="18" s="1" a="1"/>
  <c r="T49" i="18" s="1"/>
  <c r="T50" i="18" s="1" a="1"/>
  <c r="T50" i="18" s="1"/>
  <c r="F49" i="18" a="1"/>
  <c r="F49" i="18" s="1"/>
  <c r="F50" i="18" s="1" a="1"/>
  <c r="F50" i="18" s="1"/>
  <c r="F51" i="18" s="1" a="1"/>
  <c r="F51" i="18" s="1"/>
  <c r="AJ81" i="21"/>
  <c r="AJ78" i="21" s="1"/>
  <c r="AK31" i="21"/>
  <c r="AK28" i="21" s="1"/>
  <c r="AG31" i="21"/>
  <c r="AF55" i="21"/>
  <c r="AF52" i="21" s="1"/>
  <c r="AG81" i="21"/>
  <c r="AI31" i="21"/>
  <c r="AF81" i="21"/>
  <c r="AF78" i="21" s="1"/>
  <c r="AE55" i="21"/>
  <c r="AE52" i="21" s="1"/>
  <c r="AE83" i="27" s="1"/>
  <c r="AI55" i="21"/>
  <c r="AK37" i="28"/>
  <c r="AF171" i="28"/>
  <c r="AG37" i="28"/>
  <c r="AI171" i="28"/>
  <c r="AE37" i="28"/>
  <c r="AJ171" i="28"/>
  <c r="AE171" i="28"/>
  <c r="AI104" i="28"/>
  <c r="AK104" i="28"/>
  <c r="AJ55" i="21"/>
  <c r="AJ52" i="21" s="1"/>
  <c r="AI81" i="21"/>
  <c r="AE81" i="21"/>
  <c r="AE78" i="21" s="1"/>
  <c r="AE140" i="27" s="1"/>
  <c r="AK81" i="21"/>
  <c r="AK78" i="21" s="1"/>
  <c r="AJ31" i="21"/>
  <c r="AJ28" i="21" s="1"/>
  <c r="AG55" i="21"/>
  <c r="AF31" i="21"/>
  <c r="AF28" i="21" s="1"/>
  <c r="AE31" i="21"/>
  <c r="AE28" i="21" s="1"/>
  <c r="AK55" i="21"/>
  <c r="AK52" i="21" s="1"/>
  <c r="AK171" i="28"/>
  <c r="AJ37" i="28"/>
  <c r="AG171" i="28"/>
  <c r="AF37" i="28"/>
  <c r="AG104" i="28"/>
  <c r="AI37" i="28"/>
  <c r="AL37" i="28" s="1"/>
  <c r="AF104" i="28"/>
  <c r="AJ104" i="28"/>
  <c r="AE104" i="28"/>
  <c r="F95" i="30" a="1"/>
  <c r="F95" i="30" s="1"/>
  <c r="T94" i="30"/>
  <c r="F59" i="13" a="1"/>
  <c r="F59" i="13" s="1"/>
  <c r="T58" i="13"/>
  <c r="N158" i="27" a="1"/>
  <c r="N158" i="27" s="1"/>
  <c r="BX157" i="27" a="1"/>
  <c r="BX157" i="27" s="1"/>
  <c r="M114" i="28" a="1"/>
  <c r="M114" i="28" s="1"/>
  <c r="AS113" i="28" a="1"/>
  <c r="AS113" i="28" s="1"/>
  <c r="BM56" i="24"/>
  <c r="T158" i="27"/>
  <c r="F159" i="27" a="1"/>
  <c r="F159" i="27" s="1"/>
  <c r="F103" i="13" a="1"/>
  <c r="F103" i="13" s="1"/>
  <c r="T102" i="13"/>
  <c r="F74" i="31" a="1"/>
  <c r="F74" i="31" s="1"/>
  <c r="T73" i="31"/>
  <c r="F60" i="33" a="1"/>
  <c r="F60" i="33" s="1"/>
  <c r="AT56" i="24"/>
  <c r="BE49" i="24"/>
  <c r="BD49" i="24"/>
  <c r="F103" i="8" a="1"/>
  <c r="F103" i="8" s="1"/>
  <c r="U102" i="8"/>
  <c r="F101" i="31" a="1"/>
  <c r="F101" i="31" s="1"/>
  <c r="T100" i="31"/>
  <c r="AB47" i="24" a="1"/>
  <c r="AB47" i="24" s="1"/>
  <c r="V47" i="24" a="1"/>
  <c r="V47" i="24" s="1"/>
  <c r="S64" i="12" a="1"/>
  <c r="S64" i="12" s="1"/>
  <c r="U63" i="12"/>
  <c r="M78" i="31" a="1"/>
  <c r="M78" i="31" s="1"/>
  <c r="BI77" i="31" a="1"/>
  <c r="BI77" i="31" s="1"/>
  <c r="M51" i="31" a="1"/>
  <c r="M51" i="31" s="1"/>
  <c r="BI50" i="31" a="1"/>
  <c r="BI50" i="31" s="1"/>
  <c r="CZ424" i="12" a="1"/>
  <c r="CZ424" i="12" s="1"/>
  <c r="AF429" i="12" a="1"/>
  <c r="AF429" i="12" s="1"/>
  <c r="BK56" i="24"/>
  <c r="T102" i="27"/>
  <c r="F103" i="27" a="1"/>
  <c r="F103" i="27" s="1"/>
  <c r="AL97" i="28"/>
  <c r="AE278" i="12" a="1"/>
  <c r="AE278" i="12" s="1"/>
  <c r="X278" i="12"/>
  <c r="CY273" i="12" a="1"/>
  <c r="CY273" i="12" s="1"/>
  <c r="T415" i="12" a="1"/>
  <c r="T415" i="12" s="1"/>
  <c r="L416" i="12" a="1"/>
  <c r="L416" i="12" s="1"/>
  <c r="BG56" i="24"/>
  <c r="BL56" i="24"/>
  <c r="L265" i="12" a="1"/>
  <c r="L265" i="12" s="1"/>
  <c r="T264" i="12" a="1"/>
  <c r="T264" i="12"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S332" i="12" a="1"/>
  <c r="S332" i="12" s="1"/>
  <c r="U331" i="12"/>
  <c r="BH56" i="24"/>
  <c r="AH171" i="28" l="1"/>
  <c r="L266" i="12" a="1"/>
  <c r="L266" i="12" s="1"/>
  <c r="T265" i="12"/>
  <c r="T103" i="27"/>
  <c r="F104" i="27" a="1"/>
  <c r="F104" i="27" s="1"/>
  <c r="M52" i="31" a="1"/>
  <c r="M52" i="31" s="1"/>
  <c r="BI51" i="31" a="1"/>
  <c r="BI51" i="31" s="1"/>
  <c r="M79" i="31" a="1"/>
  <c r="M79" i="31" s="1"/>
  <c r="BI78" i="31" a="1"/>
  <c r="BI78" i="31" s="1"/>
  <c r="S65" i="12" a="1"/>
  <c r="S65" i="12" s="1"/>
  <c r="U64" i="12"/>
  <c r="AB122" i="25" a="1"/>
  <c r="AB122" i="25" s="1"/>
  <c r="V122" i="25" a="1"/>
  <c r="V122" i="25" s="1"/>
  <c r="F102" i="31" a="1"/>
  <c r="F102" i="31" s="1"/>
  <c r="T101" i="31"/>
  <c r="F104" i="8" a="1"/>
  <c r="F104" i="8" s="1"/>
  <c r="U103" i="8"/>
  <c r="AH104" i="28"/>
  <c r="AE34" i="22" a="1"/>
  <c r="AE34" i="22" s="1"/>
  <c r="AE28" i="27"/>
  <c r="AG52" i="21"/>
  <c r="AH55" i="21"/>
  <c r="AI78" i="21"/>
  <c r="AL81" i="21"/>
  <c r="AH37" i="28"/>
  <c r="AI28" i="21"/>
  <c r="AL31" i="21"/>
  <c r="AF79" i="25"/>
  <c r="AF83" i="27"/>
  <c r="H51" i="18"/>
  <c r="T51" i="18"/>
  <c r="CZ286" i="12" a="1"/>
  <c r="CZ286" i="12" s="1"/>
  <c r="AF292" i="12" a="1"/>
  <c r="AF292" i="12" s="1"/>
  <c r="F72" i="30" a="1"/>
  <c r="F72" i="30" s="1"/>
  <c r="T71" i="30"/>
  <c r="F210" i="28" a="1"/>
  <c r="F210" i="28" s="1"/>
  <c r="F211" i="28" s="1" a="1"/>
  <c r="F211" i="28" s="1"/>
  <c r="F212" i="28" s="1" a="1"/>
  <c r="F212" i="28" s="1"/>
  <c r="F213" i="28" s="1" a="1"/>
  <c r="F213" i="28" s="1"/>
  <c r="F214" i="28" s="1" a="1"/>
  <c r="F214" i="28" s="1"/>
  <c r="F215" i="28" s="1" a="1"/>
  <c r="F215" i="28" s="1"/>
  <c r="F216" i="28" s="1" a="1"/>
  <c r="F216" i="28" s="1"/>
  <c r="AI209" i="28"/>
  <c r="AE209" i="28"/>
  <c r="AE212" i="28" s="1"/>
  <c r="AE221" i="28" s="1"/>
  <c r="AE222" i="28" s="1"/>
  <c r="AK209" i="28"/>
  <c r="AK212" i="28" s="1"/>
  <c r="AK221" i="28" s="1"/>
  <c r="AK222" i="28" s="1"/>
  <c r="AJ209" i="28"/>
  <c r="AJ212" i="28" s="1"/>
  <c r="AJ221" i="28" s="1"/>
  <c r="AJ222" i="28" s="1"/>
  <c r="M182" i="28" a="1"/>
  <c r="M182" i="28" s="1"/>
  <c r="AS181" i="28" a="1"/>
  <c r="AS181" i="28" s="1"/>
  <c r="S176" i="12" a="1"/>
  <c r="S176" i="12" s="1"/>
  <c r="U175" i="12"/>
  <c r="AB75" i="25" a="1"/>
  <c r="AB75" i="25" s="1"/>
  <c r="V75" i="25" a="1"/>
  <c r="V75" i="25" s="1"/>
  <c r="F48" i="27" a="1"/>
  <c r="F48" i="27" s="1"/>
  <c r="T47" i="27"/>
  <c r="M106" i="31" a="1"/>
  <c r="M106" i="31" s="1"/>
  <c r="BI105" i="31" a="1"/>
  <c r="BI105" i="31" s="1"/>
  <c r="BE46" i="24"/>
  <c r="BD46" i="24"/>
  <c r="F48" i="30" a="1"/>
  <c r="F48" i="30" s="1"/>
  <c r="T47" i="30"/>
  <c r="F143" i="28" a="1"/>
  <c r="F143" i="28" s="1"/>
  <c r="F144" i="28" s="1" a="1"/>
  <c r="F144" i="28" s="1"/>
  <c r="F145" i="28" s="1" a="1"/>
  <c r="F145" i="28" s="1"/>
  <c r="F146" i="28" s="1" a="1"/>
  <c r="F146" i="28" s="1"/>
  <c r="F147" i="28" s="1" a="1"/>
  <c r="F147" i="28" s="1"/>
  <c r="F148" i="28" s="1" a="1"/>
  <c r="F148" i="28" s="1"/>
  <c r="F149" i="28" s="1" a="1"/>
  <c r="F149" i="28" s="1"/>
  <c r="AI142" i="28"/>
  <c r="AE142" i="28"/>
  <c r="AE145" i="28" s="1"/>
  <c r="AE154" i="28" s="1"/>
  <c r="AE155" i="28" s="1"/>
  <c r="AK142" i="28"/>
  <c r="AK145" i="28" s="1"/>
  <c r="AK154" i="28" s="1"/>
  <c r="AK155" i="28" s="1"/>
  <c r="AJ142" i="28"/>
  <c r="AJ145" i="28" s="1"/>
  <c r="AJ154" i="28" s="1"/>
  <c r="AJ155" i="28" s="1"/>
  <c r="F48" i="31" a="1"/>
  <c r="F48" i="31" s="1"/>
  <c r="T47" i="31"/>
  <c r="F147" i="13" a="1"/>
  <c r="F147" i="13" s="1"/>
  <c r="T146" i="13"/>
  <c r="F153" i="33"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H165" i="33" s="1"/>
  <c r="N47" i="27" a="1"/>
  <c r="N47" i="27" s="1"/>
  <c r="BX46" i="27" a="1"/>
  <c r="BX46" i="27" s="1"/>
  <c r="S333" i="12" a="1"/>
  <c r="S333" i="12" s="1"/>
  <c r="U332" i="12"/>
  <c r="T416" i="12"/>
  <c r="L417" i="12" a="1"/>
  <c r="L417" i="12" s="1"/>
  <c r="CY278" i="12" a="1"/>
  <c r="CY278" i="12" s="1"/>
  <c r="X286" i="12"/>
  <c r="AE286" i="12" a="1"/>
  <c r="AE286" i="12" s="1"/>
  <c r="AF433" i="12" a="1"/>
  <c r="AF433" i="12" s="1"/>
  <c r="CZ433" i="12" s="1" a="1"/>
  <c r="CZ433" i="12" s="1"/>
  <c r="CZ429" i="12" a="1"/>
  <c r="CZ429" i="12" s="1"/>
  <c r="BE56" i="24"/>
  <c r="BD56" i="24"/>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75" i="31" a="1"/>
  <c r="F75" i="31" s="1"/>
  <c r="T74" i="31"/>
  <c r="F104" i="13" a="1"/>
  <c r="F104" i="13" s="1"/>
  <c r="T103" i="13"/>
  <c r="T159" i="27"/>
  <c r="F160" i="27" a="1"/>
  <c r="F160" i="27" s="1"/>
  <c r="M115" i="28" a="1"/>
  <c r="M115" i="28" s="1"/>
  <c r="AS114" i="28" a="1"/>
  <c r="AS114" i="28" s="1"/>
  <c r="N159" i="27" a="1"/>
  <c r="N159" i="27" s="1"/>
  <c r="BX158" i="27" a="1"/>
  <c r="BX158" i="27" s="1"/>
  <c r="F60" i="13" a="1"/>
  <c r="F60" i="13" s="1"/>
  <c r="T59" i="13"/>
  <c r="F96" i="30" a="1"/>
  <c r="F96" i="30" s="1"/>
  <c r="T95" i="30"/>
  <c r="AF34" i="22" a="1"/>
  <c r="AF34" i="22" s="1"/>
  <c r="AF28" i="27"/>
  <c r="AF32" i="25"/>
  <c r="AL104" i="28"/>
  <c r="AL171" i="28"/>
  <c r="AI52" i="21"/>
  <c r="AL55" i="21"/>
  <c r="AF140" i="27"/>
  <c r="AF126" i="25"/>
  <c r="AG78" i="21"/>
  <c r="AH81" i="21"/>
  <c r="AG28" i="21"/>
  <c r="AH31" i="21"/>
  <c r="AE285" i="12" a="1"/>
  <c r="AE285" i="12" s="1"/>
  <c r="X285" i="12"/>
  <c r="CY277" i="12" a="1"/>
  <c r="CY277" i="12" s="1"/>
  <c r="F50" i="8" a="1"/>
  <c r="F50" i="8" s="1"/>
  <c r="U49" i="8"/>
  <c r="N103" i="27" a="1"/>
  <c r="N103" i="27" s="1"/>
  <c r="BX102" i="27" a="1"/>
  <c r="BX102" i="27" s="1"/>
  <c r="M48" i="28" a="1"/>
  <c r="M48" i="28" s="1"/>
  <c r="AS47" i="28" a="1"/>
  <c r="AS47" i="28" s="1"/>
  <c r="F76" i="28" a="1"/>
  <c r="F76" i="28" s="1"/>
  <c r="F77" i="28" s="1" a="1"/>
  <c r="F77" i="28" s="1"/>
  <c r="F78" i="28" s="1" a="1"/>
  <c r="F78" i="28" s="1"/>
  <c r="F79" i="28" s="1" a="1"/>
  <c r="F79" i="28" s="1"/>
  <c r="F80" i="28" s="1" a="1"/>
  <c r="F80" i="28" s="1"/>
  <c r="F81" i="28" s="1" a="1"/>
  <c r="F81" i="28" s="1"/>
  <c r="F82" i="28" s="1" a="1"/>
  <c r="F82" i="28" s="1"/>
  <c r="AI75" i="28"/>
  <c r="AE75" i="28"/>
  <c r="AE78" i="28" s="1"/>
  <c r="AE87" i="28" s="1"/>
  <c r="AE88" i="28" s="1"/>
  <c r="AK75" i="28"/>
  <c r="AK78" i="28" s="1"/>
  <c r="AK87" i="28" s="1"/>
  <c r="AK88" i="28" s="1"/>
  <c r="AJ75" i="28"/>
  <c r="AJ78" i="28" s="1"/>
  <c r="AJ87" i="28" s="1"/>
  <c r="AJ88" i="28" s="1"/>
  <c r="F76" i="8" a="1"/>
  <c r="F76" i="8" s="1"/>
  <c r="U75" i="8"/>
  <c r="AF291" i="12" a="1"/>
  <c r="AF291" i="12" s="1"/>
  <c r="CZ285" i="12" a="1"/>
  <c r="CZ285" i="12" s="1"/>
  <c r="CY424" i="12" a="1"/>
  <c r="CY424" i="12" s="1"/>
  <c r="AE429" i="12" a="1"/>
  <c r="AE429" i="12" s="1"/>
  <c r="X429" i="12"/>
  <c r="AE433" i="12" l="1" a="1"/>
  <c r="AE433" i="12" s="1"/>
  <c r="X433" i="12"/>
  <c r="CY429" i="12" a="1"/>
  <c r="CY429" i="12" s="1"/>
  <c r="AK82" i="28"/>
  <c r="AI82" i="28"/>
  <c r="T82" i="28"/>
  <c r="F83" i="28" a="1"/>
  <c r="F83" i="28" s="1"/>
  <c r="AJ82" i="28"/>
  <c r="AE82" i="28"/>
  <c r="M49" i="28" a="1"/>
  <c r="M49" i="28" s="1"/>
  <c r="AS48" i="28" a="1"/>
  <c r="AS48" i="28" s="1"/>
  <c r="N104" i="27" a="1"/>
  <c r="N104" i="27" s="1"/>
  <c r="BX103" i="27" a="1"/>
  <c r="BX103" i="27" s="1"/>
  <c r="F51" i="8" a="1"/>
  <c r="F51" i="8" s="1"/>
  <c r="U50" i="8"/>
  <c r="T160" i="27"/>
  <c r="F161" i="27" a="1"/>
  <c r="F161" i="27" s="1"/>
  <c r="L418" i="12" a="1"/>
  <c r="L418" i="12" s="1"/>
  <c r="L419" i="12" s="1" a="1"/>
  <c r="L419" i="12" s="1"/>
  <c r="L420" i="12" s="1" a="1"/>
  <c r="L420" i="12" s="1"/>
  <c r="T417" i="12"/>
  <c r="S334" i="12" a="1"/>
  <c r="S334" i="12" s="1"/>
  <c r="U333" i="12"/>
  <c r="N48" i="27" a="1"/>
  <c r="N48" i="27" s="1"/>
  <c r="BX47" i="27" a="1"/>
  <c r="BX47" i="27" s="1"/>
  <c r="AK149" i="28"/>
  <c r="AI149" i="28"/>
  <c r="T149" i="28"/>
  <c r="F150" i="28" a="1"/>
  <c r="F150" i="28" s="1"/>
  <c r="AJ149" i="28"/>
  <c r="AE149" i="28"/>
  <c r="F49" i="30" a="1"/>
  <c r="F49" i="30" s="1"/>
  <c r="T48" i="30"/>
  <c r="M107" i="31" a="1"/>
  <c r="M107" i="31" s="1"/>
  <c r="BI107" i="31" s="1" a="1"/>
  <c r="BI107" i="31" s="1"/>
  <c r="BI106" i="31" a="1"/>
  <c r="BI106" i="31" s="1"/>
  <c r="F49" i="27" a="1"/>
  <c r="F49" i="27" s="1"/>
  <c r="T48" i="27"/>
  <c r="AB82" i="27" a="1"/>
  <c r="AB82" i="27" s="1"/>
  <c r="V82" i="27" a="1"/>
  <c r="V82" i="27" s="1"/>
  <c r="S177" i="12" a="1"/>
  <c r="S177" i="12" s="1"/>
  <c r="U176" i="12"/>
  <c r="M183" i="28" a="1"/>
  <c r="M183" i="28" s="1"/>
  <c r="AS182" i="28" a="1"/>
  <c r="AS182" i="28" s="1"/>
  <c r="AI212" i="28"/>
  <c r="AL209" i="28"/>
  <c r="AF297" i="12" a="1"/>
  <c r="AF297" i="12" s="1"/>
  <c r="CZ297" i="12" s="1" a="1"/>
  <c r="CZ297" i="12" s="1"/>
  <c r="CZ292" i="12" a="1"/>
  <c r="CZ292" i="12" s="1"/>
  <c r="U104" i="8"/>
  <c r="F105" i="8" a="1"/>
  <c r="F105" i="8" s="1"/>
  <c r="F103" i="31" a="1"/>
  <c r="F103" i="31" s="1"/>
  <c r="T102" i="31"/>
  <c r="AB139" i="27" a="1"/>
  <c r="AB139" i="27" s="1"/>
  <c r="V139" i="27" a="1"/>
  <c r="V139" i="27" s="1"/>
  <c r="S66" i="12" a="1"/>
  <c r="S66" i="12" s="1"/>
  <c r="U65" i="12"/>
  <c r="M80" i="31" a="1"/>
  <c r="M80" i="31" s="1"/>
  <c r="BI80" i="31" s="1" a="1"/>
  <c r="BI80" i="31" s="1"/>
  <c r="BI79" i="31" a="1"/>
  <c r="BI79" i="31" s="1"/>
  <c r="M53" i="31" a="1"/>
  <c r="M53" i="31" s="1"/>
  <c r="BI53" i="31" s="1" a="1"/>
  <c r="BI53" i="31" s="1"/>
  <c r="BI52" i="31" a="1"/>
  <c r="BI52" i="31" s="1"/>
  <c r="CZ291" i="12" a="1"/>
  <c r="CZ291" i="12" s="1"/>
  <c r="AF296" i="12" a="1"/>
  <c r="AF296" i="12" s="1"/>
  <c r="CZ296" i="12" s="1" a="1"/>
  <c r="CZ296" i="12" s="1"/>
  <c r="F77" i="8" a="1"/>
  <c r="F77" i="8" s="1"/>
  <c r="U76" i="8"/>
  <c r="AI78" i="28"/>
  <c r="AL75" i="28"/>
  <c r="AE291" i="12" a="1"/>
  <c r="AE291" i="12" s="1"/>
  <c r="X291" i="12"/>
  <c r="CY285" i="12" a="1"/>
  <c r="CY285" i="12" s="1"/>
  <c r="AG34" i="22" a="1"/>
  <c r="AG34" i="22" s="1"/>
  <c r="AH28" i="21"/>
  <c r="AH34" i="22" s="1" a="1"/>
  <c r="AH34" i="22" s="1"/>
  <c r="AG28" i="27"/>
  <c r="AG32" i="25"/>
  <c r="AH78" i="21"/>
  <c r="AG140" i="27"/>
  <c r="AG126" i="25"/>
  <c r="AL52" i="21"/>
  <c r="AI83" i="27"/>
  <c r="AI43" i="22"/>
  <c r="F97" i="30" a="1"/>
  <c r="F97" i="30" s="1"/>
  <c r="T96" i="30"/>
  <c r="F61" i="13" a="1"/>
  <c r="F61" i="13" s="1"/>
  <c r="T60" i="13"/>
  <c r="N160" i="27" a="1"/>
  <c r="N160" i="27" s="1"/>
  <c r="BX159" i="27" a="1"/>
  <c r="BX159" i="27" s="1"/>
  <c r="M116" i="28" a="1"/>
  <c r="M116" i="28" s="1"/>
  <c r="AS115" i="28" a="1"/>
  <c r="AS115" i="28" s="1"/>
  <c r="T104" i="13"/>
  <c r="F105" i="13" a="1"/>
  <c r="F105" i="13" s="1"/>
  <c r="F76" i="31" a="1"/>
  <c r="F76" i="31" s="1"/>
  <c r="T75" i="31"/>
  <c r="AE292" i="12" a="1"/>
  <c r="AE292" i="12" s="1"/>
  <c r="X292" i="12"/>
  <c r="CY286" i="12" a="1"/>
  <c r="CY286" i="12" s="1"/>
  <c r="F148" i="13" a="1"/>
  <c r="F148" i="13" s="1"/>
  <c r="T147" i="13"/>
  <c r="F49" i="31" a="1"/>
  <c r="F49" i="31" s="1"/>
  <c r="T48" i="31"/>
  <c r="AI145" i="28"/>
  <c r="AL142" i="28"/>
  <c r="AK216" i="28"/>
  <c r="AI216" i="28"/>
  <c r="T216" i="28"/>
  <c r="F217" i="28" a="1"/>
  <c r="F217" i="28" s="1"/>
  <c r="AJ216" i="28"/>
  <c r="AE216" i="28"/>
  <c r="F73" i="30" a="1"/>
  <c r="F73" i="30" s="1"/>
  <c r="T72" i="30"/>
  <c r="AL28" i="21"/>
  <c r="AI28" i="27"/>
  <c r="AI34" i="22"/>
  <c r="AL78" i="21"/>
  <c r="AI140" i="27"/>
  <c r="AI52" i="22"/>
  <c r="AH52" i="21"/>
  <c r="AG79" i="25"/>
  <c r="AG83" i="27"/>
  <c r="T104" i="27"/>
  <c r="T105" i="27" s="1" a="1"/>
  <c r="T105" i="27" s="1"/>
  <c r="T106" i="27" s="1" a="1"/>
  <c r="T106" i="27" s="1"/>
  <c r="T107" i="27" s="1" a="1"/>
  <c r="T107" i="27" s="1"/>
  <c r="T108" i="27" s="1" a="1"/>
  <c r="T108" i="27" s="1"/>
  <c r="T109" i="27" s="1" a="1"/>
  <c r="T109" i="27" s="1"/>
  <c r="T110" i="27" s="1" a="1"/>
  <c r="T110" i="27" s="1"/>
  <c r="F105" i="27" a="1"/>
  <c r="F105" i="27" s="1"/>
  <c r="T266" i="12"/>
  <c r="L267" i="12" a="1"/>
  <c r="L267" i="12" s="1"/>
  <c r="L268" i="12" l="1" a="1"/>
  <c r="L268" i="12" s="1"/>
  <c r="L269" i="12" s="1" a="1"/>
  <c r="L269" i="12" s="1"/>
  <c r="L270" i="12" s="1" a="1"/>
  <c r="L270" i="12" s="1"/>
  <c r="L271" i="12" s="1" a="1"/>
  <c r="L271" i="12" s="1"/>
  <c r="L272" i="12" s="1" a="1"/>
  <c r="L272" i="12" s="1"/>
  <c r="L273" i="12" s="1" a="1"/>
  <c r="L273" i="12" s="1"/>
  <c r="L274" i="12" s="1" a="1"/>
  <c r="L274" i="12" s="1"/>
  <c r="L275" i="12" s="1" a="1"/>
  <c r="L275" i="12" s="1"/>
  <c r="T267" i="12"/>
  <c r="F106" i="27" a="1"/>
  <c r="F106" i="27" s="1"/>
  <c r="F107" i="27" s="1" a="1"/>
  <c r="F107" i="27" s="1"/>
  <c r="F108" i="27" s="1" a="1"/>
  <c r="F108" i="27" s="1"/>
  <c r="F109" i="27" s="1" a="1"/>
  <c r="F109" i="27" s="1"/>
  <c r="F110" i="27" s="1" a="1"/>
  <c r="F110" i="27" s="1"/>
  <c r="F111" i="27" s="1" a="1"/>
  <c r="F111" i="27" s="1"/>
  <c r="AJ105" i="27"/>
  <c r="BD28" i="27"/>
  <c r="F74" i="30" a="1"/>
  <c r="F74" i="30" s="1"/>
  <c r="T74" i="30" s="1"/>
  <c r="T73" i="30"/>
  <c r="AJ218" i="28" a="1"/>
  <c r="AJ218" i="28" s="1"/>
  <c r="AJ217" i="28" a="1"/>
  <c r="AJ217" i="28" s="1"/>
  <c r="AK218" i="28" a="1"/>
  <c r="AK218" i="28" s="1"/>
  <c r="AK217" i="28" a="1"/>
  <c r="AK217" i="28" s="1"/>
  <c r="AI154" i="28"/>
  <c r="AL145" i="28"/>
  <c r="F50" i="31" a="1"/>
  <c r="F50" i="31" s="1"/>
  <c r="T49" i="31"/>
  <c r="F149" i="13" a="1"/>
  <c r="F149" i="13" s="1"/>
  <c r="T148" i="13"/>
  <c r="X297" i="12"/>
  <c r="CY292" i="12" a="1"/>
  <c r="CY292" i="12" s="1"/>
  <c r="AE297" i="12" a="1"/>
  <c r="AE297" i="12" s="1"/>
  <c r="F77" i="31" a="1"/>
  <c r="F77" i="31" s="1"/>
  <c r="T76" i="31"/>
  <c r="T107" i="13" a="1"/>
  <c r="T107" i="13" s="1"/>
  <c r="T108" i="13" s="1" a="1"/>
  <c r="T108" i="13" s="1"/>
  <c r="T109" i="13" s="1" a="1"/>
  <c r="T109" i="13" s="1"/>
  <c r="T110" i="13" s="1" a="1"/>
  <c r="T110" i="13" s="1"/>
  <c r="T106" i="13" a="1"/>
  <c r="T106" i="13" s="1"/>
  <c r="M117" i="28" a="1"/>
  <c r="M117" i="28" s="1"/>
  <c r="AS116" i="28" a="1"/>
  <c r="AS116" i="28" s="1"/>
  <c r="N161" i="27" a="1"/>
  <c r="N161" i="27" s="1"/>
  <c r="BX160" i="27" a="1"/>
  <c r="BX160" i="27" s="1"/>
  <c r="L61" i="13" a="1"/>
  <c r="L61" i="13" s="1"/>
  <c r="T61" i="13" s="1"/>
  <c r="F62" i="13" a="1"/>
  <c r="F62" i="13" s="1"/>
  <c r="F63" i="13" s="1" a="1"/>
  <c r="F63" i="13" s="1"/>
  <c r="F98" i="30" a="1"/>
  <c r="F98" i="30" s="1"/>
  <c r="T98" i="30" s="1"/>
  <c r="T97" i="30"/>
  <c r="AH28" i="27"/>
  <c r="S67" i="12" a="1"/>
  <c r="S67" i="12" s="1"/>
  <c r="U66" i="12"/>
  <c r="AB161" i="28" a="1"/>
  <c r="AB161" i="28" s="1"/>
  <c r="V161" i="28" a="1"/>
  <c r="V161" i="28" s="1"/>
  <c r="F104" i="31" a="1"/>
  <c r="F104" i="31" s="1"/>
  <c r="T103" i="31"/>
  <c r="AI221" i="28"/>
  <c r="AL212" i="28"/>
  <c r="M184" i="28" a="1"/>
  <c r="M184" i="28" s="1"/>
  <c r="AS183" i="28" a="1"/>
  <c r="AS183" i="28" s="1"/>
  <c r="S178" i="12" a="1"/>
  <c r="S178" i="12" s="1"/>
  <c r="U177" i="12"/>
  <c r="AB94" i="28" a="1"/>
  <c r="AB94" i="28" s="1"/>
  <c r="V94" i="28" a="1"/>
  <c r="V94" i="28" s="1"/>
  <c r="F50" i="27" a="1"/>
  <c r="F50" i="27" s="1"/>
  <c r="T49" i="27"/>
  <c r="T50" i="27" s="1" a="1"/>
  <c r="T50" i="27" s="1"/>
  <c r="T51" i="27" s="1" a="1"/>
  <c r="T51" i="27" s="1"/>
  <c r="T52" i="27" s="1" a="1"/>
  <c r="T52" i="27" s="1"/>
  <c r="T53" i="27" s="1" a="1"/>
  <c r="T53" i="27" s="1"/>
  <c r="T54" i="27" s="1" a="1"/>
  <c r="T54" i="27" s="1"/>
  <c r="T55" i="27" s="1" a="1"/>
  <c r="T55" i="27" s="1"/>
  <c r="F50" i="30" a="1"/>
  <c r="F50" i="30" s="1"/>
  <c r="T50" i="30" s="1"/>
  <c r="T49" i="30"/>
  <c r="AJ151" i="28" a="1"/>
  <c r="AJ151" i="28" s="1"/>
  <c r="AJ150" i="28" a="1"/>
  <c r="AJ150" i="28" s="1"/>
  <c r="AK151" i="28" a="1"/>
  <c r="AK151" i="28" s="1"/>
  <c r="AK150" i="28" a="1"/>
  <c r="AK150" i="28" s="1"/>
  <c r="N49" i="27" a="1"/>
  <c r="N49" i="27" s="1"/>
  <c r="BX48" i="27" a="1"/>
  <c r="BX48" i="27" s="1"/>
  <c r="S335" i="12" a="1"/>
  <c r="S335" i="12" s="1"/>
  <c r="U334" i="12"/>
  <c r="L421" i="12" a="1"/>
  <c r="L421" i="12" s="1"/>
  <c r="L422" i="12" s="1" a="1"/>
  <c r="L422" i="12" s="1"/>
  <c r="L423" i="12" s="1" a="1"/>
  <c r="L423" i="12" s="1"/>
  <c r="L424" i="12" s="1" a="1"/>
  <c r="L424" i="12" s="1"/>
  <c r="L425" i="12" s="1" a="1"/>
  <c r="L425" i="12" s="1"/>
  <c r="L426" i="12" s="1" a="1"/>
  <c r="L426" i="12" s="1"/>
  <c r="L427" i="12" s="1" a="1"/>
  <c r="L427" i="12" s="1"/>
  <c r="T420" i="12" a="1"/>
  <c r="T420" i="12" s="1"/>
  <c r="F52" i="8" a="1"/>
  <c r="F52" i="8" s="1"/>
  <c r="U51" i="8"/>
  <c r="N105" i="27" a="1"/>
  <c r="N105" i="27" s="1"/>
  <c r="BX104" i="27" a="1"/>
  <c r="BX104" i="27" s="1"/>
  <c r="M50" i="28" a="1"/>
  <c r="M50" i="28" s="1"/>
  <c r="AS49" i="28" a="1"/>
  <c r="AS49" i="28" s="1"/>
  <c r="AJ84" i="28" a="1"/>
  <c r="AJ84" i="28" s="1"/>
  <c r="AJ83" i="28" a="1"/>
  <c r="AJ83" i="28" s="1"/>
  <c r="AK84" i="28" a="1"/>
  <c r="AK84" i="28" s="1"/>
  <c r="AK83" i="28" a="1"/>
  <c r="AK83" i="28" s="1"/>
  <c r="AH83" i="27"/>
  <c r="BD140" i="27"/>
  <c r="AE218" i="28" a="1"/>
  <c r="AE218" i="28" s="1"/>
  <c r="AE217" i="28" a="1"/>
  <c r="AE217" i="28" s="1"/>
  <c r="F218" i="28" a="1"/>
  <c r="F218" i="28" s="1"/>
  <c r="T217" i="28"/>
  <c r="AI218" i="28" a="1"/>
  <c r="AI218" i="28" s="1"/>
  <c r="AL218" i="28" s="1"/>
  <c r="AI217" i="28" a="1"/>
  <c r="AI217" i="28" s="1"/>
  <c r="AL217" i="28" s="1"/>
  <c r="AL216" i="28"/>
  <c r="F106" i="13" a="1"/>
  <c r="F106" i="13" s="1"/>
  <c r="F107" i="13" s="1" a="1"/>
  <c r="F107" i="13" s="1"/>
  <c r="L105" i="13" a="1"/>
  <c r="L105" i="13" s="1"/>
  <c r="T105" i="13" s="1"/>
  <c r="T63" i="13" a="1"/>
  <c r="T63" i="13" s="1"/>
  <c r="T64" i="13" s="1" a="1"/>
  <c r="T64" i="13" s="1"/>
  <c r="T65" i="13" s="1" a="1"/>
  <c r="T65" i="13" s="1"/>
  <c r="T66" i="13" s="1" a="1"/>
  <c r="T66" i="13" s="1"/>
  <c r="T62" i="13" a="1"/>
  <c r="T62" i="13" s="1"/>
  <c r="BD83" i="27"/>
  <c r="AH140" i="27"/>
  <c r="CY291" i="12" a="1"/>
  <c r="CY291" i="12" s="1"/>
  <c r="AE296" i="12" a="1"/>
  <c r="AE296" i="12" s="1"/>
  <c r="X296" i="12"/>
  <c r="AI87" i="28"/>
  <c r="AL78" i="28"/>
  <c r="F78" i="8" a="1"/>
  <c r="F78" i="8" s="1"/>
  <c r="U77" i="8"/>
  <c r="F106" i="8" a="1"/>
  <c r="F106" i="8" s="1"/>
  <c r="U105" i="8"/>
  <c r="AE151" i="28" a="1"/>
  <c r="AE151" i="28" s="1"/>
  <c r="AE150" i="28" a="1"/>
  <c r="AE150" i="28" s="1"/>
  <c r="F151" i="28" a="1"/>
  <c r="F151" i="28" s="1"/>
  <c r="T150" i="28"/>
  <c r="AI151" i="28" a="1"/>
  <c r="AI151" i="28" s="1"/>
  <c r="AL151" i="28" s="1"/>
  <c r="AI150" i="28" a="1"/>
  <c r="AI150" i="28" s="1"/>
  <c r="AL150" i="28" s="1"/>
  <c r="AL149" i="28"/>
  <c r="T161" i="27"/>
  <c r="T162" i="27" s="1" a="1"/>
  <c r="T162" i="27" s="1"/>
  <c r="T163" i="27" s="1" a="1"/>
  <c r="T163" i="27" s="1"/>
  <c r="T164" i="27" s="1" a="1"/>
  <c r="T164" i="27" s="1"/>
  <c r="T165" i="27" s="1" a="1"/>
  <c r="T165" i="27" s="1"/>
  <c r="T166" i="27" s="1" a="1"/>
  <c r="T166" i="27" s="1"/>
  <c r="T167" i="27" s="1" a="1"/>
  <c r="T167" i="27" s="1"/>
  <c r="F162" i="27" a="1"/>
  <c r="F162" i="27" s="1"/>
  <c r="AE84" i="28" a="1"/>
  <c r="AE84" i="28" s="1"/>
  <c r="AE83" i="28" a="1"/>
  <c r="AE83" i="28" s="1"/>
  <c r="F84" i="28" a="1"/>
  <c r="F84" i="28" s="1"/>
  <c r="T83" i="28"/>
  <c r="AI84" i="28" a="1"/>
  <c r="AI84" i="28" s="1"/>
  <c r="AL84" i="28" s="1"/>
  <c r="AI83" i="28" a="1"/>
  <c r="AI83" i="28" s="1"/>
  <c r="AL83" i="28" s="1"/>
  <c r="AL82" i="28"/>
  <c r="CY433" i="12" a="1"/>
  <c r="CY433" i="12" s="1"/>
  <c r="AG433" i="12"/>
  <c r="F107" i="8" l="1" a="1"/>
  <c r="F107" i="8" s="1"/>
  <c r="U106" i="8"/>
  <c r="AI88" i="28"/>
  <c r="AL87" i="28"/>
  <c r="N162" i="27" a="1"/>
  <c r="N162" i="27" s="1"/>
  <c r="BX161" i="27" a="1"/>
  <c r="BX161" i="27" s="1"/>
  <c r="M118" i="28" a="1"/>
  <c r="M118" i="28" s="1"/>
  <c r="AS117" i="28" a="1"/>
  <c r="AS117" i="28" s="1"/>
  <c r="F78" i="31" a="1"/>
  <c r="F78" i="31" s="1"/>
  <c r="T77" i="31"/>
  <c r="T151" i="13" a="1"/>
  <c r="T151" i="13" s="1"/>
  <c r="T152" i="13" s="1" a="1"/>
  <c r="T152" i="13" s="1"/>
  <c r="T153" i="13" s="1" a="1"/>
  <c r="T153" i="13" s="1"/>
  <c r="T154" i="13" s="1" a="1"/>
  <c r="T154" i="13" s="1"/>
  <c r="T150" i="13" a="1"/>
  <c r="T150" i="13" s="1"/>
  <c r="F85" i="28" a="1"/>
  <c r="F85" i="28" s="1"/>
  <c r="T84" i="28"/>
  <c r="F152" i="28" a="1"/>
  <c r="F152" i="28" s="1"/>
  <c r="T151" i="28"/>
  <c r="U78" i="8"/>
  <c r="F79" i="8" a="1"/>
  <c r="F79" i="8" s="1"/>
  <c r="CY296" i="12" a="1"/>
  <c r="CY296" i="12" s="1"/>
  <c r="AG296" i="12"/>
  <c r="F108" i="13" a="1"/>
  <c r="F108" i="13" s="1"/>
  <c r="A107" i="13"/>
  <c r="F163" i="27" a="1"/>
  <c r="F163" i="27" s="1"/>
  <c r="F164" i="27" s="1" a="1"/>
  <c r="F164" i="27" s="1"/>
  <c r="F165" i="27" s="1" a="1"/>
  <c r="F165" i="27" s="1"/>
  <c r="F166" i="27" s="1" a="1"/>
  <c r="F166" i="27" s="1"/>
  <c r="F167" i="27" s="1" a="1"/>
  <c r="F167" i="27" s="1"/>
  <c r="F168" i="27" s="1" a="1"/>
  <c r="F168" i="27" s="1"/>
  <c r="AT162" i="27"/>
  <c r="BE162" i="27" s="1"/>
  <c r="F219" i="28" a="1"/>
  <c r="F219" i="28" s="1"/>
  <c r="T218" i="28"/>
  <c r="M51" i="28" a="1"/>
  <c r="M51" i="28" s="1"/>
  <c r="AS50" i="28" a="1"/>
  <c r="AS50" i="28" s="1"/>
  <c r="N106" i="27" a="1"/>
  <c r="N106" i="27" s="1"/>
  <c r="BX105" i="27" a="1"/>
  <c r="BX105" i="27" s="1"/>
  <c r="U52" i="8"/>
  <c r="F53" i="8" a="1"/>
  <c r="F53" i="8" s="1"/>
  <c r="L428" i="12" a="1"/>
  <c r="L428" i="12" s="1"/>
  <c r="L429" i="12" s="1" a="1"/>
  <c r="L429" i="12" s="1"/>
  <c r="L430" i="12" s="1" a="1"/>
  <c r="L430" i="12" s="1"/>
  <c r="L431" i="12" s="1" a="1"/>
  <c r="L431" i="12" s="1"/>
  <c r="L432" i="12" s="1" a="1"/>
  <c r="L432" i="12" s="1"/>
  <c r="L433" i="12" s="1" a="1"/>
  <c r="L433" i="12" s="1"/>
  <c r="L434" i="12" s="1" a="1"/>
  <c r="L434" i="12" s="1"/>
  <c r="L435" i="12" s="1" a="1"/>
  <c r="L435" i="12" s="1"/>
  <c r="T427" i="12" a="1"/>
  <c r="T427" i="12" s="1"/>
  <c r="S336" i="12" a="1"/>
  <c r="S336" i="12" s="1"/>
  <c r="U335" i="12"/>
  <c r="N50" i="27" a="1"/>
  <c r="N50" i="27" s="1"/>
  <c r="BX49" i="27" a="1"/>
  <c r="BX49" i="27" s="1"/>
  <c r="AJ50" i="27"/>
  <c r="F51" i="27" a="1"/>
  <c r="F51" i="27" s="1"/>
  <c r="AT50" i="27"/>
  <c r="BE50" i="27" s="1"/>
  <c r="AB41" i="29" a="1"/>
  <c r="AB41" i="29" s="1"/>
  <c r="V41" i="29" a="1"/>
  <c r="V41" i="29" s="1"/>
  <c r="S179" i="12" a="1"/>
  <c r="S179" i="12" s="1"/>
  <c r="U178" i="12"/>
  <c r="M185" i="28" a="1"/>
  <c r="M185" i="28" s="1"/>
  <c r="AS184" i="28" a="1"/>
  <c r="AS184" i="28" s="1"/>
  <c r="AI222" i="28"/>
  <c r="AL221" i="28"/>
  <c r="F105" i="31" a="1"/>
  <c r="F105" i="31" s="1"/>
  <c r="T104" i="31"/>
  <c r="AB55" i="29" a="1"/>
  <c r="AB55" i="29" s="1"/>
  <c r="V55" i="29" a="1"/>
  <c r="V55" i="29" s="1"/>
  <c r="S68" i="12" a="1"/>
  <c r="S68" i="12" s="1"/>
  <c r="U67" i="12"/>
  <c r="F64" i="13" a="1"/>
  <c r="F64" i="13" s="1"/>
  <c r="A63" i="13"/>
  <c r="CY297" i="12" a="1"/>
  <c r="CY297" i="12" s="1"/>
  <c r="AG297" i="12"/>
  <c r="L149" i="13" a="1"/>
  <c r="L149" i="13" s="1"/>
  <c r="T149" i="13" s="1"/>
  <c r="F150" i="13" a="1"/>
  <c r="F150" i="13" s="1"/>
  <c r="F151" i="13" s="1" a="1"/>
  <c r="F151" i="13" s="1"/>
  <c r="F51" i="31" a="1"/>
  <c r="F51" i="31" s="1"/>
  <c r="T50" i="31"/>
  <c r="AI155" i="28"/>
  <c r="AL154" i="28"/>
  <c r="F112" i="27" a="1"/>
  <c r="F112" i="27" s="1"/>
  <c r="T111" i="27"/>
  <c r="L276" i="12" a="1"/>
  <c r="L276" i="12" s="1"/>
  <c r="T275" i="12" a="1"/>
  <c r="T275" i="12" s="1"/>
  <c r="L277" i="12" l="1" a="1"/>
  <c r="L277" i="12" s="1"/>
  <c r="T276" i="12"/>
  <c r="F113" i="27" a="1"/>
  <c r="F113" i="27" s="1"/>
  <c r="T112" i="27"/>
  <c r="F52" i="31" a="1"/>
  <c r="F52" i="31" s="1"/>
  <c r="T51" i="31"/>
  <c r="F65" i="13" a="1"/>
  <c r="F65" i="13" s="1"/>
  <c r="A64" i="13"/>
  <c r="S69" i="12" a="1"/>
  <c r="S69" i="12" s="1"/>
  <c r="U68" i="12"/>
  <c r="AB75" i="30" a="1"/>
  <c r="AB75" i="30" s="1"/>
  <c r="V75" i="30" a="1"/>
  <c r="V75" i="30" s="1"/>
  <c r="F106" i="31" a="1"/>
  <c r="F106" i="31" s="1"/>
  <c r="T105" i="31"/>
  <c r="M186" i="28" a="1"/>
  <c r="M186" i="28" s="1"/>
  <c r="AS185" i="28" a="1"/>
  <c r="AS185" i="28" s="1"/>
  <c r="S180" i="12" a="1"/>
  <c r="S180" i="12" s="1"/>
  <c r="U179" i="12"/>
  <c r="AB51" i="30" a="1"/>
  <c r="AB51" i="30" s="1"/>
  <c r="V51" i="30" a="1"/>
  <c r="V51" i="30" s="1"/>
  <c r="F52" i="27" a="1"/>
  <c r="F52" i="27" s="1"/>
  <c r="F54" i="8" a="1"/>
  <c r="F54" i="8" s="1"/>
  <c r="U54" i="8" s="1"/>
  <c r="U53" i="8"/>
  <c r="F109" i="13" a="1"/>
  <c r="F109" i="13" s="1"/>
  <c r="A108" i="13"/>
  <c r="F153" i="28" a="1"/>
  <c r="F153" i="28" s="1"/>
  <c r="T152" i="28"/>
  <c r="F86" i="28" a="1"/>
  <c r="F86" i="28" s="1"/>
  <c r="T85" i="28"/>
  <c r="F152" i="13" a="1"/>
  <c r="F152" i="13" s="1"/>
  <c r="A151" i="13"/>
  <c r="N51" i="27" a="1"/>
  <c r="N51" i="27" s="1"/>
  <c r="BX50" i="27" a="1"/>
  <c r="BX50" i="27" s="1"/>
  <c r="S337" i="12" a="1"/>
  <c r="S337" i="12" s="1"/>
  <c r="U336" i="12"/>
  <c r="N107" i="27" a="1"/>
  <c r="N107" i="27" s="1"/>
  <c r="BX106" i="27" a="1"/>
  <c r="BX106" i="27" s="1"/>
  <c r="M52" i="28" a="1"/>
  <c r="M52" i="28" s="1"/>
  <c r="AS51" i="28" a="1"/>
  <c r="AS51" i="28" s="1"/>
  <c r="F220" i="28" a="1"/>
  <c r="F220" i="28" s="1"/>
  <c r="T219" i="28"/>
  <c r="F169" i="27" a="1"/>
  <c r="F169" i="27" s="1"/>
  <c r="T168" i="27"/>
  <c r="F80" i="8" a="1"/>
  <c r="F80" i="8" s="1"/>
  <c r="U79" i="8"/>
  <c r="F79" i="31" a="1"/>
  <c r="F79" i="31" s="1"/>
  <c r="T78" i="31"/>
  <c r="M119" i="28" a="1"/>
  <c r="M119" i="28" s="1"/>
  <c r="AS118" i="28" a="1"/>
  <c r="AS118" i="28" s="1"/>
  <c r="N163" i="27" a="1"/>
  <c r="N163" i="27" s="1"/>
  <c r="BX162" i="27" a="1"/>
  <c r="BX162" i="27" s="1"/>
  <c r="F108" i="8" a="1"/>
  <c r="F108" i="8" s="1"/>
  <c r="U107" i="8"/>
  <c r="U108" i="8" l="1"/>
  <c r="AW42" i="22"/>
  <c r="N164" i="27" a="1"/>
  <c r="N164" i="27" s="1"/>
  <c r="BX163" i="27" a="1"/>
  <c r="BX163" i="27" s="1"/>
  <c r="M120" i="28" a="1"/>
  <c r="M120" i="28" s="1"/>
  <c r="AS119" i="28" a="1"/>
  <c r="AS119" i="28" s="1"/>
  <c r="F80" i="31" a="1"/>
  <c r="F80" i="31" s="1"/>
  <c r="T80" i="31" s="1"/>
  <c r="T79" i="31"/>
  <c r="F81" i="8" a="1"/>
  <c r="F81" i="8" s="1"/>
  <c r="U81" i="8" s="1"/>
  <c r="U80" i="8"/>
  <c r="T169" i="27"/>
  <c r="T170" i="27" s="1" a="1"/>
  <c r="T170" i="27" s="1"/>
  <c r="T171" i="27" s="1" a="1"/>
  <c r="T171" i="27" s="1"/>
  <c r="T172" i="27" s="1" a="1"/>
  <c r="T172" i="27" s="1"/>
  <c r="F170" i="27" a="1"/>
  <c r="F170" i="27" s="1"/>
  <c r="F171" i="27" s="1" a="1"/>
  <c r="F171" i="27" s="1"/>
  <c r="F172" i="27" s="1" a="1"/>
  <c r="F172" i="27" s="1"/>
  <c r="F173" i="27" s="1" a="1"/>
  <c r="F173" i="27" s="1"/>
  <c r="F221" i="28" a="1"/>
  <c r="F221" i="28" s="1"/>
  <c r="T220" i="28"/>
  <c r="M53" i="28" a="1"/>
  <c r="M53" i="28" s="1"/>
  <c r="AS52" i="28" a="1"/>
  <c r="AS52" i="28" s="1"/>
  <c r="N108" i="27" a="1"/>
  <c r="N108" i="27" s="1"/>
  <c r="BX107" i="27" a="1"/>
  <c r="BX107" i="27" s="1"/>
  <c r="S338" i="12" a="1"/>
  <c r="S338" i="12" s="1"/>
  <c r="U337" i="12"/>
  <c r="N52" i="27" a="1"/>
  <c r="N52" i="27" s="1"/>
  <c r="BX51" i="27" a="1"/>
  <c r="BX51" i="27" s="1"/>
  <c r="F153" i="13" a="1"/>
  <c r="F153" i="13" s="1"/>
  <c r="A152" i="13"/>
  <c r="F87" i="28" a="1"/>
  <c r="F87" i="28" s="1"/>
  <c r="T86" i="28"/>
  <c r="F154" i="28" a="1"/>
  <c r="F154" i="28" s="1"/>
  <c r="T153" i="28"/>
  <c r="F110" i="13" a="1"/>
  <c r="F110" i="13" s="1"/>
  <c r="A109" i="13"/>
  <c r="F53" i="27" a="1"/>
  <c r="F53" i="27" s="1"/>
  <c r="AB54" i="31" a="1"/>
  <c r="AB54" i="31" s="1"/>
  <c r="V54" i="31" a="1"/>
  <c r="V54" i="31" s="1"/>
  <c r="S181" i="12" a="1"/>
  <c r="S181" i="12" s="1"/>
  <c r="U180" i="12"/>
  <c r="M187" i="28" a="1"/>
  <c r="M187" i="28" s="1"/>
  <c r="AS186" i="28" a="1"/>
  <c r="AS186" i="28" s="1"/>
  <c r="F107" i="31" a="1"/>
  <c r="F107" i="31" s="1"/>
  <c r="T107" i="31" s="1"/>
  <c r="T106" i="31"/>
  <c r="AB81" i="31" a="1"/>
  <c r="AB81" i="31" s="1"/>
  <c r="V81" i="31" a="1"/>
  <c r="V81" i="31" s="1"/>
  <c r="S70" i="12" a="1"/>
  <c r="S70" i="12" s="1"/>
  <c r="U69" i="12"/>
  <c r="F66" i="13" a="1"/>
  <c r="F66" i="13" s="1"/>
  <c r="A65" i="13"/>
  <c r="F53" i="31" a="1"/>
  <c r="F53" i="31" s="1"/>
  <c r="T53" i="31" s="1"/>
  <c r="T52" i="31"/>
  <c r="F114" i="27" a="1"/>
  <c r="F114" i="27" s="1"/>
  <c r="T113" i="27"/>
  <c r="L278" i="12" a="1"/>
  <c r="L278" i="12" s="1"/>
  <c r="T277" i="12"/>
  <c r="BB42" i="22" l="1"/>
  <c r="AM42" i="22"/>
  <c r="AS51" i="22"/>
  <c r="AL42" i="22"/>
  <c r="AL51" i="22"/>
  <c r="AP42" i="22"/>
  <c r="AO51" i="22"/>
  <c r="AQ42" i="22"/>
  <c r="AX30" i="22"/>
  <c r="AN30" i="22"/>
  <c r="BA51" i="22"/>
  <c r="BA42" i="22"/>
  <c r="AM30" i="22"/>
  <c r="AZ30" i="22"/>
  <c r="AY30" i="22"/>
  <c r="AM51" i="22"/>
  <c r="AK42" i="22"/>
  <c r="AZ42" i="22"/>
  <c r="AJ30" i="22"/>
  <c r="AS30" i="22"/>
  <c r="AO42" i="22"/>
  <c r="AP51" i="22"/>
  <c r="AV30" i="22"/>
  <c r="AL30" i="22"/>
  <c r="AT30" i="22"/>
  <c r="AN29" i="22"/>
  <c r="AZ48" i="22"/>
  <c r="AL48" i="22"/>
  <c r="AS39" i="22"/>
  <c r="AY39" i="22"/>
  <c r="AU48" i="22"/>
  <c r="AK48" i="22"/>
  <c r="AQ39" i="22"/>
  <c r="AX48" i="22"/>
  <c r="AP39" i="22"/>
  <c r="BC48" i="22"/>
  <c r="AO48" i="22"/>
  <c r="AM29" i="22"/>
  <c r="AQ48" i="22"/>
  <c r="AM39" i="22"/>
  <c r="AJ48" i="22"/>
  <c r="AK29" i="22"/>
  <c r="BB48" i="22"/>
  <c r="AQ32" i="20"/>
  <c r="AF32" i="20"/>
  <c r="AK32" i="20"/>
  <c r="AE32" i="20"/>
  <c r="AE33" i="20" s="1"/>
  <c r="AO29" i="22"/>
  <c r="AP48" i="22"/>
  <c r="AY48" i="22"/>
  <c r="AW48" i="22"/>
  <c r="AO39" i="22"/>
  <c r="AX39" i="22"/>
  <c r="AM32" i="20"/>
  <c r="AU32" i="20"/>
  <c r="AG32" i="20"/>
  <c r="AX32" i="20"/>
  <c r="AR32" i="20"/>
  <c r="AY28" i="22"/>
  <c r="BC28" i="22"/>
  <c r="AV37" i="22"/>
  <c r="AE40" i="20"/>
  <c r="AE41" i="20" s="1"/>
  <c r="AU46" i="22"/>
  <c r="AJ28" i="22"/>
  <c r="AN28" i="22"/>
  <c r="AN37" i="22"/>
  <c r="AT40" i="20"/>
  <c r="AM46" i="22"/>
  <c r="AK28" i="22"/>
  <c r="AX28" i="22"/>
  <c r="AS37" i="22"/>
  <c r="AU40" i="20"/>
  <c r="AJ40" i="20"/>
  <c r="AU28" i="22"/>
  <c r="AK37" i="22"/>
  <c r="AM40" i="20"/>
  <c r="BC46" i="22"/>
  <c r="AQ29" i="22"/>
  <c r="AS47" i="22"/>
  <c r="AS46" i="22"/>
  <c r="AV48" i="20"/>
  <c r="AN38" i="22"/>
  <c r="AQ38" i="22"/>
  <c r="AO28" i="22"/>
  <c r="AK46" i="22"/>
  <c r="AN48" i="20"/>
  <c r="AJ47" i="22"/>
  <c r="AZ28" i="22"/>
  <c r="AN47" i="22"/>
  <c r="AH48" i="20"/>
  <c r="AU37" i="22"/>
  <c r="AW40" i="20"/>
  <c r="AM38" i="22"/>
  <c r="AM47" i="22"/>
  <c r="AS48" i="20"/>
  <c r="AM37" i="22"/>
  <c r="AO40" i="20"/>
  <c r="AO41" i="20" s="1"/>
  <c r="AP38" i="22"/>
  <c r="AS40" i="20"/>
  <c r="AQ37" i="22"/>
  <c r="AW48" i="20"/>
  <c r="AL46" i="22"/>
  <c r="AW46" i="22"/>
  <c r="AV40" i="20"/>
  <c r="AT37" i="22"/>
  <c r="AG48" i="20"/>
  <c r="AJ48" i="20"/>
  <c r="AZ46" i="22"/>
  <c r="AF40" i="20"/>
  <c r="AQ40" i="20"/>
  <c r="AO37" i="22"/>
  <c r="AM48" i="20"/>
  <c r="AJ46" i="22"/>
  <c r="AQ46" i="22"/>
  <c r="AX40" i="20"/>
  <c r="AR37" i="22"/>
  <c r="AY37" i="22"/>
  <c r="AL48" i="20"/>
  <c r="AL28" i="22"/>
  <c r="AO47" i="22"/>
  <c r="L279" i="12" a="1"/>
  <c r="L279" i="12" s="1"/>
  <c r="L280" i="12" s="1" a="1"/>
  <c r="L280" i="12" s="1"/>
  <c r="L281" i="12" s="1" a="1"/>
  <c r="L281" i="12" s="1"/>
  <c r="T278" i="12"/>
  <c r="F115" i="27" a="1"/>
  <c r="F115" i="27" s="1"/>
  <c r="F116" i="27" s="1" a="1"/>
  <c r="F116" i="27" s="1"/>
  <c r="F117" i="27" s="1" a="1"/>
  <c r="F117" i="27" s="1"/>
  <c r="F118" i="27" s="1" a="1"/>
  <c r="F118" i="27" s="1"/>
  <c r="T114" i="27"/>
  <c r="T115" i="27" s="1" a="1"/>
  <c r="T115" i="27" s="1"/>
  <c r="T116" i="27" s="1" a="1"/>
  <c r="T116" i="27" s="1"/>
  <c r="T117" i="27" s="1" a="1"/>
  <c r="T117" i="27" s="1"/>
  <c r="F67" i="13" a="1"/>
  <c r="F67" i="13" s="1"/>
  <c r="T67" i="13" s="1"/>
  <c r="A66" i="13"/>
  <c r="S71" i="12" a="1"/>
  <c r="S71" i="12" s="1"/>
  <c r="U70" i="12"/>
  <c r="AB69" i="32" a="1"/>
  <c r="AB69" i="32" s="1"/>
  <c r="V69" i="32" a="1"/>
  <c r="V69" i="32" s="1"/>
  <c r="M188" i="28" a="1"/>
  <c r="M188" i="28" s="1"/>
  <c r="AS187" i="28" a="1"/>
  <c r="AS187" i="28" s="1"/>
  <c r="S182" i="12" a="1"/>
  <c r="S182" i="12" s="1"/>
  <c r="U181" i="12"/>
  <c r="AB49" i="32" a="1"/>
  <c r="AB49" i="32" s="1"/>
  <c r="V49" i="32" a="1"/>
  <c r="V49" i="32" s="1"/>
  <c r="F154" i="13" a="1"/>
  <c r="F154" i="13" s="1"/>
  <c r="A153" i="13"/>
  <c r="N53" i="27" a="1"/>
  <c r="N53" i="27" s="1"/>
  <c r="BX52" i="27" a="1"/>
  <c r="BX52" i="27" s="1"/>
  <c r="U338" i="12"/>
  <c r="S339" i="12" a="1"/>
  <c r="S339" i="12" s="1"/>
  <c r="N109" i="27" a="1"/>
  <c r="N109" i="27" s="1"/>
  <c r="BX108" i="27" a="1"/>
  <c r="BX108" i="27" s="1"/>
  <c r="M54" i="28" a="1"/>
  <c r="M54" i="28" s="1"/>
  <c r="AS53" i="28" a="1"/>
  <c r="AS53" i="28" s="1"/>
  <c r="F222" i="28" a="1"/>
  <c r="F222" i="28" s="1"/>
  <c r="T221" i="28"/>
  <c r="T193" i="27" a="1"/>
  <c r="T193" i="27" s="1"/>
  <c r="T175" i="27" a="1"/>
  <c r="T175" i="27" s="1"/>
  <c r="T176" i="27" s="1" a="1"/>
  <c r="T176" i="27" s="1"/>
  <c r="T177" i="27" s="1" a="1"/>
  <c r="T177" i="27" s="1"/>
  <c r="T178" i="27" s="1" a="1"/>
  <c r="T178" i="27" s="1"/>
  <c r="T179" i="27" s="1" a="1"/>
  <c r="T179" i="27" s="1"/>
  <c r="T180" i="27" s="1" a="1"/>
  <c r="T180" i="27" s="1"/>
  <c r="T181" i="27" s="1" a="1"/>
  <c r="T181" i="27" s="1"/>
  <c r="M121" i="28" a="1"/>
  <c r="M121" i="28" s="1"/>
  <c r="AS120" i="28" a="1"/>
  <c r="AS120" i="28" s="1"/>
  <c r="N165" i="27" a="1"/>
  <c r="N165" i="27" s="1"/>
  <c r="BX164" i="27" a="1"/>
  <c r="BX164" i="27" s="1"/>
  <c r="AK33" i="22"/>
  <c r="AS33" i="22"/>
  <c r="AL33" i="22"/>
  <c r="AW33" i="22"/>
  <c r="AQ33" i="22"/>
  <c r="AZ33" i="22"/>
  <c r="AR33" i="22"/>
  <c r="AU33" i="22"/>
  <c r="AJ33" i="22"/>
  <c r="BB33" i="22"/>
  <c r="AQ51" i="22"/>
  <c r="AV42" i="22"/>
  <c r="BB51" i="22"/>
  <c r="AX51" i="22"/>
  <c r="F54" i="27" a="1"/>
  <c r="F54" i="27" s="1"/>
  <c r="F55" i="27" s="1" a="1"/>
  <c r="F55" i="27" s="1"/>
  <c r="F56" i="27" s="1" a="1"/>
  <c r="F56" i="27" s="1"/>
  <c r="A110" i="13"/>
  <c r="F111" i="13" a="1"/>
  <c r="F111" i="13" s="1"/>
  <c r="T111" i="13" s="1"/>
  <c r="F155" i="28" a="1"/>
  <c r="F155" i="28" s="1"/>
  <c r="T154" i="28"/>
  <c r="F88" i="28" a="1"/>
  <c r="F88" i="28" s="1"/>
  <c r="T87" i="28"/>
  <c r="BB173" i="27"/>
  <c r="AZ173" i="27"/>
  <c r="AX173" i="27"/>
  <c r="AV173" i="27"/>
  <c r="AT173" i="27"/>
  <c r="AR173" i="27"/>
  <c r="AP173" i="27"/>
  <c r="AN173" i="27"/>
  <c r="AL173" i="27"/>
  <c r="AJ173" i="27"/>
  <c r="F174" i="27" a="1"/>
  <c r="F174" i="27" s="1"/>
  <c r="F175" i="27" s="1" a="1"/>
  <c r="F175" i="27" s="1"/>
  <c r="BC173" i="27"/>
  <c r="BA173" i="27"/>
  <c r="AY173" i="27"/>
  <c r="AW173" i="27"/>
  <c r="AU173" i="27"/>
  <c r="AS173" i="27"/>
  <c r="AQ173" i="27"/>
  <c r="AO173" i="27"/>
  <c r="AM173" i="27"/>
  <c r="AK173" i="27"/>
  <c r="AI173" i="27"/>
  <c r="T173" i="27"/>
  <c r="AV33" i="22"/>
  <c r="AY33" i="22"/>
  <c r="AT33" i="22"/>
  <c r="BC33" i="22"/>
  <c r="BA33" i="22"/>
  <c r="AX33" i="22"/>
  <c r="AO33" i="22"/>
  <c r="AP33" i="22"/>
  <c r="AM33" i="22"/>
  <c r="AN33" i="22"/>
  <c r="AR42" i="22"/>
  <c r="AS42" i="22"/>
  <c r="AU51" i="22"/>
  <c r="AY42" i="22"/>
  <c r="AN51" i="22"/>
  <c r="AZ51" i="22"/>
  <c r="AW51" i="22"/>
  <c r="AX42" i="22"/>
  <c r="AJ51" i="22"/>
  <c r="BC42" i="22"/>
  <c r="AK51" i="22"/>
  <c r="AV51" i="22"/>
  <c r="AT42" i="22"/>
  <c r="BC30" i="22"/>
  <c r="AO30" i="22"/>
  <c r="AR30" i="22"/>
  <c r="AU42" i="22"/>
  <c r="AR51" i="22"/>
  <c r="BA30" i="22"/>
  <c r="AU30" i="22"/>
  <c r="AT51" i="22"/>
  <c r="AN42" i="22"/>
  <c r="AY51" i="22"/>
  <c r="AK30" i="22"/>
  <c r="BB30" i="22"/>
  <c r="AW30" i="22"/>
  <c r="BC51" i="22"/>
  <c r="AJ42" i="22"/>
  <c r="AQ30" i="22"/>
  <c r="AP30" i="22"/>
  <c r="AU39" i="22"/>
  <c r="AM48" i="22"/>
  <c r="AN39" i="22"/>
  <c r="BC39" i="22"/>
  <c r="AR39" i="22"/>
  <c r="AR29" i="22"/>
  <c r="AJ39" i="22"/>
  <c r="AV39" i="22"/>
  <c r="AJ29" i="22"/>
  <c r="AZ39" i="22"/>
  <c r="AS48" i="22"/>
  <c r="AL39" i="22"/>
  <c r="AK39" i="22"/>
  <c r="AR48" i="22"/>
  <c r="AS29" i="22"/>
  <c r="BA39" i="22"/>
  <c r="AT48" i="22"/>
  <c r="AN48" i="22"/>
  <c r="AW32" i="20"/>
  <c r="AL32" i="20"/>
  <c r="AT32" i="20"/>
  <c r="AN32" i="20"/>
  <c r="AS32" i="20"/>
  <c r="BB39" i="22"/>
  <c r="AV48" i="22"/>
  <c r="AL29" i="22"/>
  <c r="AT39" i="22"/>
  <c r="BA48" i="22"/>
  <c r="AW39" i="22"/>
  <c r="AH32" i="20"/>
  <c r="AP32" i="20"/>
  <c r="AJ32" i="20"/>
  <c r="AO32" i="20"/>
  <c r="AO33" i="20" s="1"/>
  <c r="AI32" i="20"/>
  <c r="AR47" i="22"/>
  <c r="AK38" i="22"/>
  <c r="AX48" i="20"/>
  <c r="AI48" i="20"/>
  <c r="AV32" i="20"/>
  <c r="AQ47" i="22"/>
  <c r="AS38" i="22"/>
  <c r="AP48" i="20"/>
  <c r="BC37" i="22"/>
  <c r="AT28" i="22"/>
  <c r="AM28" i="22"/>
  <c r="AW28" i="22"/>
  <c r="AW35" i="22" s="1"/>
  <c r="AV46" i="22"/>
  <c r="AF48" i="20"/>
  <c r="AQ28" i="22"/>
  <c r="AL38" i="22"/>
  <c r="AN46" i="22"/>
  <c r="AQ48" i="20"/>
  <c r="AP47" i="22"/>
  <c r="AR38" i="22"/>
  <c r="AK48" i="20"/>
  <c r="AX37" i="22"/>
  <c r="AX44" i="22" s="1"/>
  <c r="AG40" i="20"/>
  <c r="AO38" i="22"/>
  <c r="AP28" i="22"/>
  <c r="BA37" i="22"/>
  <c r="BA44" i="22" s="1"/>
  <c r="AP37" i="22"/>
  <c r="AR40" i="20"/>
  <c r="AP29" i="22"/>
  <c r="AV28" i="22"/>
  <c r="AL47" i="22"/>
  <c r="AL40" i="20"/>
  <c r="AX46" i="22"/>
  <c r="BB28" i="22"/>
  <c r="AJ38" i="22"/>
  <c r="AK47" i="22"/>
  <c r="BA46" i="22"/>
  <c r="AP46" i="22"/>
  <c r="AR28" i="22"/>
  <c r="BA28" i="22"/>
  <c r="AT46" i="22"/>
  <c r="AT53" i="22" s="1"/>
  <c r="AH40" i="20"/>
  <c r="AK40" i="20"/>
  <c r="BB37" i="22"/>
  <c r="BB44" i="22" s="1"/>
  <c r="AO48" i="20"/>
  <c r="AO49" i="20" s="1"/>
  <c r="AR48" i="20"/>
  <c r="AO46" i="22"/>
  <c r="AN40" i="20"/>
  <c r="AL37" i="22"/>
  <c r="AW37" i="22"/>
  <c r="AU48" i="20"/>
  <c r="AR46" i="22"/>
  <c r="AY46" i="22"/>
  <c r="AI40" i="20"/>
  <c r="AZ37" i="22"/>
  <c r="AE48" i="20"/>
  <c r="AE49" i="20" s="1"/>
  <c r="AT48" i="20"/>
  <c r="BB46" i="22"/>
  <c r="AP40" i="20"/>
  <c r="AJ37" i="22"/>
  <c r="AS28" i="22"/>
  <c r="AQ44" i="22" l="1"/>
  <c r="AM44" i="22"/>
  <c r="BB53" i="22"/>
  <c r="AV35" i="22"/>
  <c r="AT35" i="22"/>
  <c r="AT34" i="22" s="1"/>
  <c r="AJ44" i="22"/>
  <c r="AJ43" i="22" s="1"/>
  <c r="AR53" i="22"/>
  <c r="AW44" i="22"/>
  <c r="BA35" i="22"/>
  <c r="AP53" i="22"/>
  <c r="BB35" i="22"/>
  <c r="AL53" i="22"/>
  <c r="AO35" i="22"/>
  <c r="AS53" i="22"/>
  <c r="AJ35" i="22"/>
  <c r="AJ34" i="22" s="1"/>
  <c r="AF49" i="20"/>
  <c r="AE50" i="20"/>
  <c r="AJ84" i="23" s="1"/>
  <c r="AJ86" i="23" s="1"/>
  <c r="AJ68" i="23" s="1" a="1"/>
  <c r="AJ68" i="23" s="1"/>
  <c r="AJ141" i="27" s="1"/>
  <c r="BE34" i="22"/>
  <c r="T182" i="27" a="1"/>
  <c r="T182" i="27" s="1"/>
  <c r="T183" i="27" s="1" a="1"/>
  <c r="T183" i="27" s="1"/>
  <c r="T184" i="27" s="1" a="1"/>
  <c r="T184" i="27" s="1"/>
  <c r="T185" i="27" s="1" a="1"/>
  <c r="T185" i="27" s="1"/>
  <c r="T186" i="27" s="1" a="1"/>
  <c r="T186" i="27" s="1"/>
  <c r="T187" i="27" s="1" a="1"/>
  <c r="T187" i="27" s="1"/>
  <c r="T188" i="27" s="1" a="1"/>
  <c r="T188" i="27" s="1"/>
  <c r="T189" i="27" s="1" a="1"/>
  <c r="T189" i="27" s="1"/>
  <c r="T190" i="27" s="1" a="1"/>
  <c r="T190" i="27" s="1"/>
  <c r="T191" i="27" s="1" a="1"/>
  <c r="T191" i="27" s="1"/>
  <c r="T192" i="27" s="1" a="1"/>
  <c r="T192" i="27" s="1"/>
  <c r="T174" i="27" a="1"/>
  <c r="T174" i="27" s="1"/>
  <c r="BL173" i="27"/>
  <c r="F176" i="27" a="1"/>
  <c r="F176" i="27" s="1"/>
  <c r="F177" i="27" s="1" a="1"/>
  <c r="F177" i="27" s="1"/>
  <c r="F178" i="27" s="1" a="1"/>
  <c r="F178" i="27" s="1"/>
  <c r="F179" i="27" s="1" a="1"/>
  <c r="F179" i="27" s="1"/>
  <c r="F180" i="27" s="1" a="1"/>
  <c r="F180" i="27" s="1"/>
  <c r="F181" i="27" s="1" a="1"/>
  <c r="F181" i="27" s="1"/>
  <c r="F182" i="27" s="1" a="1"/>
  <c r="F182" i="27" s="1"/>
  <c r="AZ175" i="27"/>
  <c r="AZ178" i="27" s="1"/>
  <c r="AV175" i="27"/>
  <c r="AV178" i="27" s="1"/>
  <c r="AR175" i="27"/>
  <c r="AR178" i="27" s="1"/>
  <c r="AN175" i="27"/>
  <c r="AN178" i="27" s="1"/>
  <c r="AJ175" i="27"/>
  <c r="AJ178" i="27" s="1"/>
  <c r="BC175" i="27"/>
  <c r="BC178" i="27" s="1"/>
  <c r="AY175" i="27"/>
  <c r="AY178" i="27" s="1"/>
  <c r="AU175" i="27"/>
  <c r="AU178" i="27" s="1"/>
  <c r="AQ175" i="27"/>
  <c r="AQ178" i="27" s="1"/>
  <c r="AM175" i="27"/>
  <c r="AM178" i="27" s="1"/>
  <c r="AI175" i="27"/>
  <c r="AI178" i="27" s="1"/>
  <c r="BB175" i="27"/>
  <c r="BB178" i="27" s="1"/>
  <c r="AX175" i="27"/>
  <c r="AX178" i="27" s="1"/>
  <c r="AT175" i="27"/>
  <c r="AP175" i="27"/>
  <c r="AP178" i="27" s="1"/>
  <c r="AL175" i="27"/>
  <c r="AL178" i="27" s="1"/>
  <c r="AE175" i="27"/>
  <c r="AE178" i="27" s="1"/>
  <c r="BA175" i="27"/>
  <c r="BA178" i="27" s="1"/>
  <c r="AW175" i="27"/>
  <c r="AW178" i="27" s="1"/>
  <c r="AS175" i="27"/>
  <c r="AS178" i="27" s="1"/>
  <c r="AO175" i="27"/>
  <c r="AO178" i="27" s="1"/>
  <c r="AK175" i="27"/>
  <c r="AK178" i="27" s="1"/>
  <c r="BK173" i="27"/>
  <c r="S340" i="12" a="1"/>
  <c r="S340" i="12" s="1"/>
  <c r="U339" i="12"/>
  <c r="T138" i="27" a="1"/>
  <c r="T138" i="27" s="1"/>
  <c r="T120" i="27" a="1"/>
  <c r="T120" i="27" s="1"/>
  <c r="T121" i="27" s="1" a="1"/>
  <c r="T121" i="27" s="1"/>
  <c r="T122" i="27" s="1" a="1"/>
  <c r="T122" i="27" s="1"/>
  <c r="T123" i="27" s="1" a="1"/>
  <c r="T123" i="27" s="1"/>
  <c r="T124" i="27" s="1" a="1"/>
  <c r="T124" i="27" s="1"/>
  <c r="T125" i="27" s="1" a="1"/>
  <c r="T125" i="27" s="1"/>
  <c r="T126" i="27" s="1" a="1"/>
  <c r="T126" i="27" s="1"/>
  <c r="AR44" i="22"/>
  <c r="AZ53" i="22"/>
  <c r="AM53" i="22"/>
  <c r="BC35" i="22"/>
  <c r="BH173" i="27"/>
  <c r="BG173" i="27"/>
  <c r="F57" i="27" a="1"/>
  <c r="F57" i="27" s="1"/>
  <c r="T56" i="27"/>
  <c r="AQ53" i="22"/>
  <c r="AZ35" i="22"/>
  <c r="AU35" i="22"/>
  <c r="AU34" i="22" s="1"/>
  <c r="AX35" i="22"/>
  <c r="AN44" i="22"/>
  <c r="AF41" i="20"/>
  <c r="AE42" i="20"/>
  <c r="AJ64" i="23" s="1"/>
  <c r="AJ66" i="23" s="1"/>
  <c r="AJ48" i="23" s="1" a="1"/>
  <c r="AJ48" i="23" s="1"/>
  <c r="AJ84" i="27" s="1"/>
  <c r="AS35" i="22"/>
  <c r="AZ44" i="22"/>
  <c r="AY53" i="22"/>
  <c r="AL44" i="22"/>
  <c r="AO53" i="22"/>
  <c r="AP49" i="20"/>
  <c r="AO50" i="20"/>
  <c r="AT84" i="23" s="1"/>
  <c r="AT28" i="27"/>
  <c r="AR35" i="22"/>
  <c r="BA53" i="22"/>
  <c r="AX53" i="22"/>
  <c r="AP44" i="22"/>
  <c r="AP35" i="22"/>
  <c r="AN53" i="22"/>
  <c r="AQ35" i="22"/>
  <c r="AV53" i="22"/>
  <c r="AM35" i="22"/>
  <c r="BC44" i="22"/>
  <c r="AP33" i="20"/>
  <c r="AO34" i="20"/>
  <c r="AT44" i="23" s="1"/>
  <c r="BD173" i="27"/>
  <c r="BF173" i="27"/>
  <c r="BJ173" i="27"/>
  <c r="BE173" i="27"/>
  <c r="BI173" i="27"/>
  <c r="BM173" i="27"/>
  <c r="F89" i="28" a="1"/>
  <c r="F89" i="28" s="1"/>
  <c r="T88" i="28"/>
  <c r="F156" i="28" a="1"/>
  <c r="F156" i="28" s="1"/>
  <c r="T155" i="28"/>
  <c r="N166" i="27" a="1"/>
  <c r="N166" i="27" s="1"/>
  <c r="BX165" i="27" a="1"/>
  <c r="BX165" i="27" s="1"/>
  <c r="M122" i="28" a="1"/>
  <c r="M122" i="28" s="1"/>
  <c r="AS121" i="28" a="1"/>
  <c r="AS121" i="28" s="1"/>
  <c r="F223" i="28" a="1"/>
  <c r="F223" i="28" s="1"/>
  <c r="T222" i="28"/>
  <c r="M55" i="28" a="1"/>
  <c r="M55" i="28" s="1"/>
  <c r="AS54" i="28" a="1"/>
  <c r="AS54" i="28" s="1"/>
  <c r="N110" i="27" a="1"/>
  <c r="N110" i="27" s="1"/>
  <c r="N111" i="27" s="1" a="1"/>
  <c r="N111" i="27" s="1"/>
  <c r="BX109" i="27" a="1"/>
  <c r="BX109" i="27" s="1"/>
  <c r="N54" i="27" a="1"/>
  <c r="N54" i="27" s="1"/>
  <c r="BX53" i="27" a="1"/>
  <c r="BX53" i="27" s="1"/>
  <c r="F155" i="13" a="1"/>
  <c r="F155" i="13" s="1"/>
  <c r="A154" i="13"/>
  <c r="AB74" i="33" a="1"/>
  <c r="AB74" i="33" s="1"/>
  <c r="V74" i="33" a="1"/>
  <c r="V74" i="33" s="1"/>
  <c r="S183" i="12" a="1"/>
  <c r="S183" i="12" s="1"/>
  <c r="U182" i="12"/>
  <c r="M189" i="28" a="1"/>
  <c r="M189" i="28" s="1"/>
  <c r="AS188" i="28" a="1"/>
  <c r="AS188" i="28" s="1"/>
  <c r="AB120" i="33" a="1"/>
  <c r="AB120" i="33" s="1"/>
  <c r="V120" i="33" a="1"/>
  <c r="V120" i="33" s="1"/>
  <c r="S72" i="12" a="1"/>
  <c r="S72" i="12" s="1"/>
  <c r="U71" i="12"/>
  <c r="F119" i="27" a="1"/>
  <c r="F119" i="27" s="1"/>
  <c r="F120" i="27" s="1" a="1"/>
  <c r="F120" i="27" s="1"/>
  <c r="BC118" i="27"/>
  <c r="BA118" i="27"/>
  <c r="AY118" i="27"/>
  <c r="AW118" i="27"/>
  <c r="AU118" i="27"/>
  <c r="AS118" i="27"/>
  <c r="AQ118" i="27"/>
  <c r="AO118" i="27"/>
  <c r="AM118" i="27"/>
  <c r="AK118" i="27"/>
  <c r="AI118" i="27"/>
  <c r="T118" i="27"/>
  <c r="BB118" i="27"/>
  <c r="AZ118" i="27"/>
  <c r="AX118" i="27"/>
  <c r="AV118" i="27"/>
  <c r="AT118" i="27"/>
  <c r="AR118" i="27"/>
  <c r="AP118" i="27"/>
  <c r="AN118" i="27"/>
  <c r="AL118" i="27"/>
  <c r="AJ118" i="27"/>
  <c r="L282" i="12" a="1"/>
  <c r="L282" i="12" s="1"/>
  <c r="L283" i="12" s="1" a="1"/>
  <c r="L283" i="12" s="1"/>
  <c r="L284" i="12" s="1" a="1"/>
  <c r="L284" i="12" s="1"/>
  <c r="L285" i="12" s="1" a="1"/>
  <c r="L285" i="12" s="1"/>
  <c r="L286" i="12" s="1" a="1"/>
  <c r="L286" i="12" s="1"/>
  <c r="L287" i="12" s="1" a="1"/>
  <c r="L287" i="12" s="1"/>
  <c r="L288" i="12" s="1" a="1"/>
  <c r="L288" i="12" s="1"/>
  <c r="L289" i="12" s="1" a="1"/>
  <c r="L289" i="12" s="1"/>
  <c r="T281" i="12" a="1"/>
  <c r="T281" i="12" s="1"/>
  <c r="AL35" i="22"/>
  <c r="AY44" i="22"/>
  <c r="AJ53" i="22"/>
  <c r="AO44" i="22"/>
  <c r="AT44" i="22"/>
  <c r="AW53" i="22"/>
  <c r="AP41" i="20"/>
  <c r="AO42" i="20"/>
  <c r="AT64" i="23" s="1"/>
  <c r="AU44" i="22"/>
  <c r="AU43" i="22" s="1"/>
  <c r="AK53" i="22"/>
  <c r="BC53" i="22"/>
  <c r="AK44" i="22"/>
  <c r="AK43" i="22" s="1"/>
  <c r="AL43" i="22" s="1"/>
  <c r="AS44" i="22"/>
  <c r="AK35" i="22"/>
  <c r="AK34" i="22" s="1"/>
  <c r="AN35" i="22"/>
  <c r="AU53" i="22"/>
  <c r="AV44" i="22"/>
  <c r="AY35" i="22"/>
  <c r="AF33" i="20"/>
  <c r="AE34" i="20"/>
  <c r="AJ44" i="23" s="1"/>
  <c r="AJ46" i="23" s="1"/>
  <c r="AJ28" i="23" s="1" a="1"/>
  <c r="AJ28" i="23" s="1"/>
  <c r="AJ29" i="27" s="1"/>
  <c r="AL34" i="22" l="1"/>
  <c r="AM43" i="22"/>
  <c r="AN43" i="22" s="1"/>
  <c r="AO43" i="22" s="1"/>
  <c r="AP43" i="22" s="1"/>
  <c r="AL83" i="27"/>
  <c r="AM34" i="22"/>
  <c r="AL28" i="27"/>
  <c r="BF34" i="22"/>
  <c r="AV34" i="22"/>
  <c r="AU28" i="27"/>
  <c r="BE64" i="23"/>
  <c r="AT66" i="23"/>
  <c r="BE118" i="27"/>
  <c r="BM118" i="27"/>
  <c r="BD118" i="27"/>
  <c r="BE44" i="23"/>
  <c r="AT46" i="23"/>
  <c r="AN83" i="27"/>
  <c r="BE28" i="27"/>
  <c r="AQ49" i="20"/>
  <c r="AP50" i="20"/>
  <c r="AU84" i="23" s="1"/>
  <c r="T57" i="27"/>
  <c r="T58" i="27" s="1" a="1"/>
  <c r="T58" i="27" s="1"/>
  <c r="T59" i="27" s="1" a="1"/>
  <c r="T59" i="27" s="1"/>
  <c r="T60" i="27" s="1" a="1"/>
  <c r="T60" i="27" s="1"/>
  <c r="F58" i="27" a="1"/>
  <c r="F58" i="27" s="1"/>
  <c r="F59" i="27" s="1" a="1"/>
  <c r="F59" i="27" s="1"/>
  <c r="F60" i="27" s="1" a="1"/>
  <c r="F60" i="27" s="1"/>
  <c r="F61" i="27" s="1" a="1"/>
  <c r="F61" i="27" s="1"/>
  <c r="AM83" i="27"/>
  <c r="S341" i="12" a="1"/>
  <c r="S341" i="12" s="1"/>
  <c r="U340" i="12"/>
  <c r="F183" i="27" a="1"/>
  <c r="F183" i="27" s="1"/>
  <c r="F184" i="27" s="1" a="1"/>
  <c r="F184" i="27" s="1"/>
  <c r="F185" i="27" s="1" a="1"/>
  <c r="F185" i="27" s="1"/>
  <c r="F186" i="27" s="1" a="1"/>
  <c r="F186" i="27" s="1"/>
  <c r="F187" i="27" s="1" a="1"/>
  <c r="F187" i="27" s="1"/>
  <c r="F188" i="27" s="1" a="1"/>
  <c r="F188" i="27" s="1"/>
  <c r="F189" i="27" s="1" a="1"/>
  <c r="F189" i="27" s="1"/>
  <c r="F190" i="27" s="1" a="1"/>
  <c r="F190" i="27" s="1"/>
  <c r="F191" i="27" s="1" a="1"/>
  <c r="F191" i="27" s="1"/>
  <c r="F192" i="27" s="1" a="1"/>
  <c r="F192" i="27" s="1"/>
  <c r="F193" i="27" s="1" a="1"/>
  <c r="F193" i="27" s="1"/>
  <c r="BC182" i="27"/>
  <c r="BA182" i="27"/>
  <c r="AY182" i="27"/>
  <c r="AW182" i="27"/>
  <c r="AU182" i="27"/>
  <c r="AS182" i="27"/>
  <c r="AQ182" i="27"/>
  <c r="AO182" i="27"/>
  <c r="AM182" i="27"/>
  <c r="AK182" i="27"/>
  <c r="AI182" i="27"/>
  <c r="BB182" i="27"/>
  <c r="AZ182" i="27"/>
  <c r="AX182" i="27"/>
  <c r="AV182" i="27"/>
  <c r="AT182" i="27"/>
  <c r="AR182" i="27"/>
  <c r="AP182" i="27"/>
  <c r="AN182" i="27"/>
  <c r="AL182" i="27"/>
  <c r="AJ182" i="27"/>
  <c r="AE182" i="27"/>
  <c r="AG49" i="20"/>
  <c r="AF50" i="20"/>
  <c r="AK84" i="23" s="1"/>
  <c r="AK86" i="23" s="1"/>
  <c r="AK68" i="23" s="1" a="1"/>
  <c r="AK68" i="23" s="1"/>
  <c r="AK141" i="27" s="1"/>
  <c r="AU52" i="22"/>
  <c r="AU83" i="27"/>
  <c r="AK28" i="27"/>
  <c r="AK83" i="27"/>
  <c r="BI118" i="27"/>
  <c r="BF118" i="27"/>
  <c r="BJ118" i="27"/>
  <c r="AT176" i="27"/>
  <c r="AT178" i="27" s="1"/>
  <c r="AG33" i="20"/>
  <c r="AF34" i="20"/>
  <c r="AK44" i="23" s="1"/>
  <c r="AK46" i="23" s="1"/>
  <c r="AK28" i="23" s="1" a="1"/>
  <c r="AK28" i="23" s="1"/>
  <c r="AK29" i="27" s="1"/>
  <c r="BE43" i="22"/>
  <c r="AV43" i="22"/>
  <c r="AQ41" i="20"/>
  <c r="AP42" i="20"/>
  <c r="AU64" i="23" s="1"/>
  <c r="AJ83" i="27"/>
  <c r="AJ28" i="27"/>
  <c r="AJ52" i="22"/>
  <c r="L290" i="12" a="1"/>
  <c r="L290" i="12" s="1"/>
  <c r="L291" i="12" s="1" a="1"/>
  <c r="L291" i="12" s="1"/>
  <c r="L292" i="12" s="1" a="1"/>
  <c r="L292" i="12" s="1"/>
  <c r="L293" i="12" s="1" a="1"/>
  <c r="L293" i="12" s="1"/>
  <c r="L294" i="12" s="1" a="1"/>
  <c r="L294" i="12" s="1"/>
  <c r="L295" i="12" s="1" a="1"/>
  <c r="L295" i="12" s="1"/>
  <c r="L296" i="12" s="1" a="1"/>
  <c r="L296" i="12" s="1"/>
  <c r="L297" i="12" s="1" a="1"/>
  <c r="L297" i="12" s="1"/>
  <c r="L298" i="12" s="1" a="1"/>
  <c r="L298" i="12" s="1"/>
  <c r="L299" i="12" s="1" a="1"/>
  <c r="L299" i="12" s="1"/>
  <c r="T289" i="12" a="1"/>
  <c r="T289" i="12" s="1"/>
  <c r="BG118" i="27"/>
  <c r="BK118" i="27"/>
  <c r="T127" i="27"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36" i="27" s="1" a="1"/>
  <c r="T136" i="27" s="1"/>
  <c r="T137" i="27" s="1" a="1"/>
  <c r="T137" i="27" s="1"/>
  <c r="T119" i="27" a="1"/>
  <c r="T119" i="27" s="1"/>
  <c r="BH118" i="27"/>
  <c r="BL118" i="27"/>
  <c r="F121" i="27" a="1"/>
  <c r="F121" i="27" s="1"/>
  <c r="F122" i="27" s="1" a="1"/>
  <c r="F122" i="27" s="1"/>
  <c r="F123" i="27" s="1" a="1"/>
  <c r="F123" i="27" s="1"/>
  <c r="F124" i="27" s="1" a="1"/>
  <c r="F124" i="27" s="1"/>
  <c r="F125" i="27" s="1" a="1"/>
  <c r="F125" i="27" s="1"/>
  <c r="F126" i="27" s="1" a="1"/>
  <c r="F126" i="27" s="1"/>
  <c r="F127" i="27" s="1" a="1"/>
  <c r="F127" i="27" s="1"/>
  <c r="BC120" i="27"/>
  <c r="BC123" i="27" s="1"/>
  <c r="AY120" i="27"/>
  <c r="AY123" i="27" s="1"/>
  <c r="AU120" i="27"/>
  <c r="AU123" i="27" s="1"/>
  <c r="AQ120" i="27"/>
  <c r="AQ123" i="27" s="1"/>
  <c r="AM120" i="27"/>
  <c r="AM123" i="27" s="1"/>
  <c r="AI120" i="27"/>
  <c r="AI123" i="27" s="1"/>
  <c r="AZ120" i="27"/>
  <c r="AZ123" i="27" s="1"/>
  <c r="AV120" i="27"/>
  <c r="AV123" i="27" s="1"/>
  <c r="AR120" i="27"/>
  <c r="AR123" i="27" s="1"/>
  <c r="AN120" i="27"/>
  <c r="AN123" i="27" s="1"/>
  <c r="AJ120" i="27"/>
  <c r="AJ123" i="27" s="1"/>
  <c r="BA120" i="27"/>
  <c r="BA123" i="27" s="1"/>
  <c r="AW120" i="27"/>
  <c r="AW123" i="27" s="1"/>
  <c r="AS120" i="27"/>
  <c r="AS123" i="27" s="1"/>
  <c r="AO120" i="27"/>
  <c r="AO123" i="27" s="1"/>
  <c r="AK120" i="27"/>
  <c r="AK123" i="27" s="1"/>
  <c r="BB120" i="27"/>
  <c r="BB123" i="27" s="1"/>
  <c r="AX120" i="27"/>
  <c r="AX123" i="27" s="1"/>
  <c r="AT120" i="27"/>
  <c r="AT123" i="27" s="1"/>
  <c r="AP120" i="27"/>
  <c r="AP123" i="27" s="1"/>
  <c r="AL120" i="27"/>
  <c r="AL123" i="27" s="1"/>
  <c r="AE120" i="27"/>
  <c r="AE123" i="27" s="1"/>
  <c r="S73" i="12" a="1"/>
  <c r="S73" i="12" s="1"/>
  <c r="U72" i="12"/>
  <c r="AB131" i="34" a="1"/>
  <c r="AB131" i="34" s="1"/>
  <c r="V131" i="34" a="1"/>
  <c r="V131" i="34" s="1"/>
  <c r="M190" i="28" a="1"/>
  <c r="M190" i="28" s="1"/>
  <c r="AS189" i="28" a="1"/>
  <c r="AS189" i="28" s="1"/>
  <c r="S184" i="12" a="1"/>
  <c r="S184" i="12" s="1"/>
  <c r="U183" i="12"/>
  <c r="AB80" i="34" a="1"/>
  <c r="AB80" i="34" s="1"/>
  <c r="V80" i="34" a="1"/>
  <c r="V80" i="34" s="1"/>
  <c r="T155" i="13"/>
  <c r="AE32" i="28"/>
  <c r="AK32" i="28"/>
  <c r="AG99" i="28"/>
  <c r="AI99" i="28"/>
  <c r="AJ166" i="28"/>
  <c r="AJ32" i="28"/>
  <c r="AG32" i="28"/>
  <c r="AL50" i="24"/>
  <c r="AZ50" i="24"/>
  <c r="AF99" i="28"/>
  <c r="AW50" i="24"/>
  <c r="AE50" i="24"/>
  <c r="BA50" i="24"/>
  <c r="AE166" i="28"/>
  <c r="AX50" i="24"/>
  <c r="AJ167" i="28"/>
  <c r="AF32" i="28"/>
  <c r="AI166" i="28"/>
  <c r="AI32" i="28"/>
  <c r="AK166" i="28"/>
  <c r="AJ99" i="28"/>
  <c r="AS50" i="24"/>
  <c r="AK167" i="28"/>
  <c r="AF166" i="28"/>
  <c r="AP50" i="24"/>
  <c r="AG167" i="28"/>
  <c r="AI167" i="28"/>
  <c r="AL167" i="28" s="1"/>
  <c r="AT50" i="24"/>
  <c r="AI50" i="24"/>
  <c r="AE99" i="28"/>
  <c r="AM50" i="24"/>
  <c r="AX41" i="24"/>
  <c r="BI41" i="24" s="1"/>
  <c r="AI33" i="28"/>
  <c r="AL33" i="28" s="1"/>
  <c r="BC30" i="24"/>
  <c r="AX40" i="24"/>
  <c r="AW30" i="24"/>
  <c r="BC50" i="24"/>
  <c r="AF50" i="24"/>
  <c r="AK99" i="28"/>
  <c r="AY50" i="24"/>
  <c r="AK50" i="24"/>
  <c r="AN50" i="24"/>
  <c r="AG50" i="24"/>
  <c r="AE167" i="28"/>
  <c r="AJ50" i="24"/>
  <c r="AF41" i="24"/>
  <c r="AF96" i="25" s="1"/>
  <c r="AM30" i="24"/>
  <c r="AF33" i="28"/>
  <c r="AF100" i="28"/>
  <c r="AS40" i="24"/>
  <c r="AV30" i="24"/>
  <c r="AQ40" i="24"/>
  <c r="AP30" i="24"/>
  <c r="AV50" i="24"/>
  <c r="AO50" i="24"/>
  <c r="AF167" i="28"/>
  <c r="AR50" i="24"/>
  <c r="AU50" i="24"/>
  <c r="AG166" i="28"/>
  <c r="AQ50" i="24"/>
  <c r="BB50" i="24"/>
  <c r="AN40" i="24"/>
  <c r="AF40" i="24"/>
  <c r="AG30" i="24"/>
  <c r="AQ41" i="24"/>
  <c r="AL30" i="24"/>
  <c r="AM40" i="24"/>
  <c r="AR30" i="24"/>
  <c r="AO40" i="24"/>
  <c r="AI41" i="24"/>
  <c r="BD41" i="24" s="1"/>
  <c r="AX30" i="24"/>
  <c r="AY40" i="24"/>
  <c r="AE30" i="24"/>
  <c r="BA40" i="24"/>
  <c r="AW41" i="24"/>
  <c r="BH41" i="24" s="1"/>
  <c r="AL40" i="24"/>
  <c r="AQ30" i="24"/>
  <c r="AR40" i="24"/>
  <c r="AK41" i="24"/>
  <c r="AN41" i="24"/>
  <c r="AY41" i="24"/>
  <c r="BJ41" i="24" s="1"/>
  <c r="AR51" i="24"/>
  <c r="AY51" i="24"/>
  <c r="BJ51" i="24" s="1"/>
  <c r="AT31" i="24"/>
  <c r="BE31" i="24" s="1"/>
  <c r="AS51" i="24"/>
  <c r="AZ31" i="24"/>
  <c r="BK31" i="24" s="1"/>
  <c r="AL51" i="24"/>
  <c r="BB51" i="24"/>
  <c r="BM51" i="24" s="1"/>
  <c r="AI100" i="28"/>
  <c r="AL100" i="28" s="1"/>
  <c r="AG33" i="28"/>
  <c r="AH33" i="28" s="1"/>
  <c r="AJ100" i="28"/>
  <c r="AJ40" i="24"/>
  <c r="AS41" i="24"/>
  <c r="BC41" i="24"/>
  <c r="AF30" i="24"/>
  <c r="AI40" i="24"/>
  <c r="AN30" i="24"/>
  <c r="AK40" i="24"/>
  <c r="AZ41" i="24"/>
  <c r="BK41" i="24" s="1"/>
  <c r="AT30" i="24"/>
  <c r="AU40" i="24"/>
  <c r="AZ30" i="24"/>
  <c r="AW40" i="24"/>
  <c r="BA41" i="24"/>
  <c r="BL41" i="24" s="1"/>
  <c r="AR41" i="24"/>
  <c r="AW51" i="24"/>
  <c r="BH51" i="24" s="1"/>
  <c r="AI51" i="24"/>
  <c r="BD51" i="24" s="1"/>
  <c r="BC31" i="24"/>
  <c r="AN51" i="24"/>
  <c r="AU51" i="24"/>
  <c r="BF51" i="24" s="1"/>
  <c r="AO41" i="24"/>
  <c r="AS30" i="24"/>
  <c r="AT40" i="24"/>
  <c r="AY30" i="24"/>
  <c r="AZ40" i="24"/>
  <c r="BB41" i="24"/>
  <c r="BM41" i="24" s="1"/>
  <c r="AM41" i="24"/>
  <c r="AE100" i="28"/>
  <c r="AE33" i="28"/>
  <c r="AK100" i="28"/>
  <c r="AJ33" i="28"/>
  <c r="AP41" i="24"/>
  <c r="AK30" i="24"/>
  <c r="AE40" i="24"/>
  <c r="AJ30" i="24"/>
  <c r="AG40" i="24"/>
  <c r="AU41" i="24"/>
  <c r="BF41" i="24" s="1"/>
  <c r="AG51" i="24"/>
  <c r="AN31" i="24"/>
  <c r="AM31" i="24"/>
  <c r="AE52" i="24"/>
  <c r="AE56" i="24" s="1"/>
  <c r="AO31" i="24"/>
  <c r="AE51" i="24"/>
  <c r="AY31" i="24"/>
  <c r="BJ31" i="24" s="1"/>
  <c r="AP31" i="24"/>
  <c r="AJ41" i="24"/>
  <c r="BB30" i="24"/>
  <c r="BC40" i="24"/>
  <c r="BC45" i="24" s="1"/>
  <c r="AI30" i="24"/>
  <c r="AL41" i="24"/>
  <c r="AV41" i="24"/>
  <c r="BG41" i="24" s="1"/>
  <c r="AO30" i="24"/>
  <c r="AO35" i="24" s="1"/>
  <c r="AP40" i="24"/>
  <c r="AP45" i="24" s="1"/>
  <c r="AU30" i="24"/>
  <c r="AV40" i="24"/>
  <c r="AG41" i="24"/>
  <c r="BA30" i="24"/>
  <c r="BB40" i="24"/>
  <c r="AG100" i="28"/>
  <c r="AH100" i="28" s="1"/>
  <c r="AK33" i="28"/>
  <c r="AT41" i="24"/>
  <c r="BE41" i="24" s="1"/>
  <c r="AE41" i="24"/>
  <c r="AF52" i="24"/>
  <c r="AF56" i="24" s="1"/>
  <c r="AS31" i="24"/>
  <c r="AP51" i="24"/>
  <c r="AG32" i="24"/>
  <c r="AJ31" i="24"/>
  <c r="AI31" i="24"/>
  <c r="BD31" i="24" s="1"/>
  <c r="AT51" i="24"/>
  <c r="BE51" i="24" s="1"/>
  <c r="AW31" i="24"/>
  <c r="BH31" i="24" s="1"/>
  <c r="AF32" i="24"/>
  <c r="AF36" i="24" s="1"/>
  <c r="AU31" i="24"/>
  <c r="BF31" i="24" s="1"/>
  <c r="AV31" i="24"/>
  <c r="BG31" i="24" s="1"/>
  <c r="AZ51" i="24"/>
  <c r="BK51" i="24" s="1"/>
  <c r="AX31" i="24"/>
  <c r="BI31" i="24" s="1"/>
  <c r="BC51" i="24"/>
  <c r="AG31" i="24"/>
  <c r="AK51" i="24"/>
  <c r="AL31" i="24"/>
  <c r="AX51" i="24"/>
  <c r="BI51" i="24" s="1"/>
  <c r="BA31" i="24"/>
  <c r="BL31" i="24" s="1"/>
  <c r="AE32" i="24"/>
  <c r="AE36" i="24" s="1"/>
  <c r="AF31" i="24"/>
  <c r="AF49" i="25" s="1"/>
  <c r="AM51" i="24"/>
  <c r="BA51" i="24"/>
  <c r="BL51" i="24" s="1"/>
  <c r="BB31" i="24"/>
  <c r="BM31" i="24" s="1"/>
  <c r="AF51" i="24"/>
  <c r="AF143" i="25" s="1"/>
  <c r="AK31" i="24"/>
  <c r="AO51" i="24"/>
  <c r="AQ31" i="24"/>
  <c r="AR31" i="24"/>
  <c r="AV51" i="24"/>
  <c r="BG51" i="24" s="1"/>
  <c r="AG52" i="24"/>
  <c r="AE31" i="24"/>
  <c r="AQ51" i="24"/>
  <c r="AJ51" i="24"/>
  <c r="AE42" i="24"/>
  <c r="AE46" i="24" s="1"/>
  <c r="AE118" i="27" s="1"/>
  <c r="AE132" i="27" s="1"/>
  <c r="AE133" i="27" s="1"/>
  <c r="AF42" i="24"/>
  <c r="AF46" i="24" s="1"/>
  <c r="AF118" i="27" s="1"/>
  <c r="AG42" i="24"/>
  <c r="N55" i="27" a="1"/>
  <c r="N55" i="27" s="1"/>
  <c r="N56" i="27" s="1" a="1"/>
  <c r="N56" i="27" s="1"/>
  <c r="BX54" i="27" a="1"/>
  <c r="BX54" i="27" s="1"/>
  <c r="N112" i="27" a="1"/>
  <c r="N112" i="27" s="1"/>
  <c r="BX111" i="27" a="1"/>
  <c r="BX111" i="27" s="1"/>
  <c r="M56" i="28" a="1"/>
  <c r="M56" i="28" s="1"/>
  <c r="AS55" i="28" a="1"/>
  <c r="AS55" i="28" s="1"/>
  <c r="F224" i="28" a="1"/>
  <c r="F224" i="28" s="1"/>
  <c r="T223" i="28"/>
  <c r="M123" i="28" a="1"/>
  <c r="M123" i="28" s="1"/>
  <c r="AS122" i="28" a="1"/>
  <c r="AS122" i="28" s="1"/>
  <c r="N167" i="27" a="1"/>
  <c r="N167" i="27" s="1"/>
  <c r="N168" i="27" s="1" a="1"/>
  <c r="N168" i="27" s="1"/>
  <c r="BX166" i="27" a="1"/>
  <c r="BX166" i="27" s="1"/>
  <c r="F157" i="28" a="1"/>
  <c r="F157" i="28" s="1"/>
  <c r="T156" i="28"/>
  <c r="F90" i="28" a="1"/>
  <c r="F90" i="28" s="1"/>
  <c r="T89" i="28"/>
  <c r="AQ33" i="20"/>
  <c r="AP34" i="20"/>
  <c r="AU44" i="23" s="1"/>
  <c r="BE84" i="23"/>
  <c r="AT86" i="23"/>
  <c r="AO83" i="27"/>
  <c r="AG41" i="20"/>
  <c r="AF42" i="20"/>
  <c r="AK64" i="23" s="1"/>
  <c r="AK66" i="23" s="1"/>
  <c r="AK48" i="23" s="1" a="1"/>
  <c r="AK48" i="23" s="1"/>
  <c r="AK84" i="27" s="1"/>
  <c r="AK45" i="24" l="1"/>
  <c r="AH42" i="24"/>
  <c r="AG46" i="24"/>
  <c r="AH52" i="24"/>
  <c r="AG56" i="24"/>
  <c r="AH31" i="24"/>
  <c r="AG49" i="25"/>
  <c r="AF138" i="25"/>
  <c r="AF173" i="27"/>
  <c r="BL30" i="24"/>
  <c r="BA35" i="24"/>
  <c r="BG40" i="24"/>
  <c r="AV45" i="24"/>
  <c r="AP38" i="24" a="1"/>
  <c r="AP38" i="24" s="1"/>
  <c r="AP85" i="27"/>
  <c r="BD30" i="24"/>
  <c r="AI35" i="24"/>
  <c r="BM30" i="24"/>
  <c r="BB35" i="24"/>
  <c r="AE173" i="27"/>
  <c r="AE187" i="27" s="1"/>
  <c r="AJ35" i="24"/>
  <c r="AK35" i="24"/>
  <c r="BK40" i="24"/>
  <c r="AZ45" i="24"/>
  <c r="BE40" i="24"/>
  <c r="AT45" i="24"/>
  <c r="BH40" i="24"/>
  <c r="AW45" i="24"/>
  <c r="BF40" i="24"/>
  <c r="AU45" i="24"/>
  <c r="AN35" i="24"/>
  <c r="AF39" i="25"/>
  <c r="AF38" i="25" s="1"/>
  <c r="AF33" i="25" s="1"/>
  <c r="AF35" i="24"/>
  <c r="AQ35" i="24"/>
  <c r="AE35" i="24"/>
  <c r="BI30" i="24"/>
  <c r="AX35" i="24"/>
  <c r="AO45" i="24"/>
  <c r="AM45" i="24"/>
  <c r="AF45" i="24"/>
  <c r="AF38" i="24" s="1" a="1"/>
  <c r="AF38" i="24" s="1"/>
  <c r="AF86" i="25"/>
  <c r="AF85" i="25" s="1"/>
  <c r="AF80" i="25" s="1"/>
  <c r="BM50" i="24"/>
  <c r="BB55" i="24"/>
  <c r="AH166" i="28"/>
  <c r="AG165" i="28"/>
  <c r="AR55" i="24"/>
  <c r="AO55" i="24"/>
  <c r="AP35" i="24"/>
  <c r="BG30" i="24"/>
  <c r="AV35" i="24"/>
  <c r="AM35" i="24"/>
  <c r="AJ55" i="24"/>
  <c r="AH50" i="24"/>
  <c r="AG55" i="24"/>
  <c r="AK55" i="24"/>
  <c r="AK98" i="28"/>
  <c r="AK95" i="28" s="1"/>
  <c r="AK137" i="28" s="1"/>
  <c r="AK139" i="28" s="1"/>
  <c r="BC55" i="24"/>
  <c r="BI40" i="24"/>
  <c r="AX45" i="24"/>
  <c r="AM55" i="24"/>
  <c r="BD50" i="24"/>
  <c r="AI55" i="24"/>
  <c r="AP55" i="24"/>
  <c r="AJ98" i="28"/>
  <c r="AJ95" i="28" s="1"/>
  <c r="AJ137" i="28" s="1"/>
  <c r="AJ139" i="28" s="1"/>
  <c r="AL32" i="28"/>
  <c r="AI31" i="28"/>
  <c r="AF31" i="28"/>
  <c r="AF28" i="28" s="1"/>
  <c r="AF70" i="28" s="1"/>
  <c r="AF72" i="28" s="1"/>
  <c r="AF74" i="28" s="1"/>
  <c r="BI50" i="24"/>
  <c r="AX55" i="24"/>
  <c r="BL50" i="24"/>
  <c r="BA55" i="24"/>
  <c r="BH50" i="24"/>
  <c r="AW55" i="24"/>
  <c r="BK50" i="24"/>
  <c r="AZ55" i="24"/>
  <c r="AH32" i="28"/>
  <c r="AG31" i="28"/>
  <c r="AJ165" i="28"/>
  <c r="AJ162" i="28" s="1"/>
  <c r="AJ204" i="28" s="1"/>
  <c r="AJ206" i="28" s="1"/>
  <c r="AH99" i="28"/>
  <c r="AG98" i="28"/>
  <c r="AE31" i="28"/>
  <c r="AE28" i="28" s="1"/>
  <c r="AE70" i="28" s="1"/>
  <c r="AE72" i="28" s="1"/>
  <c r="F128" i="27"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F137" i="27" s="1" a="1"/>
  <c r="F137" i="27" s="1"/>
  <c r="F138" i="27" s="1" a="1"/>
  <c r="F138" i="27" s="1"/>
  <c r="BC127" i="27"/>
  <c r="BA127" i="27"/>
  <c r="AY127" i="27"/>
  <c r="AW127" i="27"/>
  <c r="AU127" i="27"/>
  <c r="AS127" i="27"/>
  <c r="AQ127" i="27"/>
  <c r="AO127" i="27"/>
  <c r="AM127" i="27"/>
  <c r="AK127" i="27"/>
  <c r="AI127" i="27"/>
  <c r="BB127" i="27"/>
  <c r="AZ127" i="27"/>
  <c r="AX127" i="27"/>
  <c r="AV127" i="27"/>
  <c r="AT127" i="27"/>
  <c r="AR127" i="27"/>
  <c r="AP127" i="27"/>
  <c r="AN127" i="27"/>
  <c r="AL127" i="27"/>
  <c r="AJ127" i="27"/>
  <c r="AE127" i="27"/>
  <c r="BF64" i="23"/>
  <c r="AU66" i="23"/>
  <c r="AW43" i="22"/>
  <c r="BG43" i="22" s="1"/>
  <c r="BF43" i="22"/>
  <c r="AH33" i="20"/>
  <c r="AG34" i="20"/>
  <c r="AL44" i="23" s="1"/>
  <c r="AL46" i="23" s="1"/>
  <c r="AL28" i="23" s="1" a="1"/>
  <c r="AL28" i="23" s="1"/>
  <c r="AL29" i="27" s="1"/>
  <c r="BE83" i="27"/>
  <c r="AE184" i="27" a="1"/>
  <c r="AE184" i="27" s="1"/>
  <c r="AE183" i="27" a="1"/>
  <c r="AE183" i="27" s="1"/>
  <c r="AL184" i="27" a="1"/>
  <c r="AL184" i="27" s="1"/>
  <c r="AL183" i="27" a="1"/>
  <c r="AL183" i="27" s="1"/>
  <c r="AP184" i="27" a="1"/>
  <c r="AP184" i="27" s="1"/>
  <c r="AP183" i="27" a="1"/>
  <c r="AP183" i="27" s="1"/>
  <c r="AT184" i="27" a="1"/>
  <c r="AT184" i="27" s="1"/>
  <c r="AT183" i="27" a="1"/>
  <c r="AT183" i="27" s="1"/>
  <c r="AX184" i="27" a="1"/>
  <c r="AX184" i="27" s="1"/>
  <c r="AX183" i="27" a="1"/>
  <c r="AX183" i="27" s="1"/>
  <c r="BB184" i="27" a="1"/>
  <c r="BB184" i="27" s="1"/>
  <c r="BB183" i="27" a="1"/>
  <c r="BB183" i="27" s="1"/>
  <c r="AK184" i="27" a="1"/>
  <c r="AK184" i="27" s="1"/>
  <c r="AK183" i="27" a="1"/>
  <c r="AK183" i="27" s="1"/>
  <c r="AO184" i="27" a="1"/>
  <c r="AO184" i="27" s="1"/>
  <c r="AO183" i="27" a="1"/>
  <c r="AO183" i="27" s="1"/>
  <c r="AS184" i="27" a="1"/>
  <c r="AS184" i="27" s="1"/>
  <c r="AS183" i="27" a="1"/>
  <c r="AS183" i="27" s="1"/>
  <c r="AW184" i="27" a="1"/>
  <c r="AW184" i="27" s="1"/>
  <c r="AW183" i="27" a="1"/>
  <c r="AW183" i="27" s="1"/>
  <c r="BA184" i="27" a="1"/>
  <c r="BA184" i="27" s="1"/>
  <c r="BA183" i="27" a="1"/>
  <c r="BA183" i="27" s="1"/>
  <c r="S342" i="12" a="1"/>
  <c r="S342" i="12" s="1"/>
  <c r="U341" i="12"/>
  <c r="BB61" i="27"/>
  <c r="AZ61" i="27"/>
  <c r="AX61" i="27"/>
  <c r="AV61" i="27"/>
  <c r="AT61" i="27"/>
  <c r="AR61" i="27"/>
  <c r="AP61" i="27"/>
  <c r="AN61" i="27"/>
  <c r="AL61" i="27"/>
  <c r="AJ61" i="27"/>
  <c r="AF61" i="27"/>
  <c r="F62" i="27" a="1"/>
  <c r="F62" i="27" s="1"/>
  <c r="F63" i="27" s="1" a="1"/>
  <c r="F63" i="27" s="1"/>
  <c r="BC61" i="27"/>
  <c r="BA61" i="27"/>
  <c r="AY61" i="27"/>
  <c r="AW61" i="27"/>
  <c r="AU61" i="27"/>
  <c r="AS61" i="27"/>
  <c r="AQ61" i="27"/>
  <c r="AO61" i="27"/>
  <c r="AM61" i="27"/>
  <c r="AK61" i="27"/>
  <c r="AI61" i="27"/>
  <c r="AE61" i="27"/>
  <c r="T61" i="27"/>
  <c r="AR49" i="20"/>
  <c r="AQ50" i="20"/>
  <c r="AV84" i="23" s="1"/>
  <c r="BE46" i="23"/>
  <c r="BE28" i="23" s="1" a="1"/>
  <c r="BE28" i="23" s="1"/>
  <c r="AT28" i="23" a="1"/>
  <c r="AT28" i="23" s="1"/>
  <c r="AT29" i="27" s="1"/>
  <c r="AI131" i="27"/>
  <c r="AI132" i="27" s="1"/>
  <c r="AI133" i="27" s="1"/>
  <c r="AW34" i="22"/>
  <c r="BG34" i="22"/>
  <c r="AV28" i="27"/>
  <c r="AR33" i="20"/>
  <c r="AQ34" i="20"/>
  <c r="AV44" i="23" s="1"/>
  <c r="AH41" i="20"/>
  <c r="AG42" i="20"/>
  <c r="AL64" i="23" s="1"/>
  <c r="AL66" i="23" s="1"/>
  <c r="AL48" i="23" s="1" a="1"/>
  <c r="AL48" i="23" s="1"/>
  <c r="AL84" i="27" s="1"/>
  <c r="AT68" i="23" a="1"/>
  <c r="AT68" i="23" s="1"/>
  <c r="AT141" i="27" s="1"/>
  <c r="BD86" i="23"/>
  <c r="BD68" i="23" s="1" a="1"/>
  <c r="BD68" i="23" s="1"/>
  <c r="BF44" i="23"/>
  <c r="AU46" i="23"/>
  <c r="F91" i="28" a="1"/>
  <c r="F91" i="28" s="1"/>
  <c r="T90" i="28"/>
  <c r="F158" i="28" a="1"/>
  <c r="F158" i="28" s="1"/>
  <c r="T157" i="28"/>
  <c r="N169" i="27" a="1"/>
  <c r="N169" i="27" s="1"/>
  <c r="N170" i="27" s="1" a="1"/>
  <c r="N170" i="27" s="1"/>
  <c r="BX168" i="27" a="1"/>
  <c r="BX168" i="27" s="1"/>
  <c r="M124" i="28" a="1"/>
  <c r="M124" i="28" s="1"/>
  <c r="AS123" i="28" a="1"/>
  <c r="AS123" i="28" s="1"/>
  <c r="F225" i="28" a="1"/>
  <c r="F225" i="28" s="1"/>
  <c r="T224" i="28"/>
  <c r="M57" i="28" a="1"/>
  <c r="M57" i="28" s="1"/>
  <c r="AS56" i="28" a="1"/>
  <c r="AS56" i="28" s="1"/>
  <c r="N113" i="27" a="1"/>
  <c r="N113" i="27" s="1"/>
  <c r="BX112" i="27" a="1"/>
  <c r="BX112" i="27" s="1"/>
  <c r="N57" i="27" a="1"/>
  <c r="N57" i="27" s="1"/>
  <c r="N58" i="27" s="1" a="1"/>
  <c r="N58" i="27" s="1"/>
  <c r="BX56" i="27" a="1"/>
  <c r="BX56" i="27" s="1"/>
  <c r="AH32" i="24"/>
  <c r="AG36" i="24"/>
  <c r="AH36" i="24" s="1"/>
  <c r="BM40" i="24"/>
  <c r="BB45" i="24"/>
  <c r="AH41" i="24"/>
  <c r="AG96" i="25"/>
  <c r="BF30" i="24"/>
  <c r="AU35" i="24"/>
  <c r="AO28" i="24" a="1"/>
  <c r="AO28" i="24" s="1"/>
  <c r="AO30" i="27"/>
  <c r="BC38" i="24" a="1"/>
  <c r="BC38" i="24" s="1"/>
  <c r="BC85" i="27"/>
  <c r="AH51" i="24"/>
  <c r="AG143" i="25"/>
  <c r="AH40" i="24"/>
  <c r="AG45" i="24"/>
  <c r="AE45" i="24"/>
  <c r="AE38" i="24" s="1" a="1"/>
  <c r="AE38" i="24" s="1"/>
  <c r="BJ30" i="24"/>
  <c r="AY35" i="24"/>
  <c r="AS35" i="24"/>
  <c r="BK30" i="24"/>
  <c r="AZ35" i="24"/>
  <c r="BE30" i="24"/>
  <c r="AT35" i="24"/>
  <c r="AK38" i="24" a="1"/>
  <c r="AK38" i="24" s="1"/>
  <c r="AK85" i="27"/>
  <c r="AK115" i="27" s="1"/>
  <c r="AK117" i="27" s="1"/>
  <c r="BD40" i="24"/>
  <c r="AI45" i="24"/>
  <c r="AJ45" i="24"/>
  <c r="AR45" i="24"/>
  <c r="AL45" i="24"/>
  <c r="BL40" i="24"/>
  <c r="BA45" i="24"/>
  <c r="BJ40" i="24"/>
  <c r="AY45" i="24"/>
  <c r="AR35" i="24"/>
  <c r="AL35" i="24"/>
  <c r="AH30" i="24"/>
  <c r="AG39" i="25"/>
  <c r="AG38" i="25" s="1"/>
  <c r="AG33" i="25" s="1"/>
  <c r="AG35" i="24"/>
  <c r="AN45" i="24"/>
  <c r="AQ55" i="24"/>
  <c r="BF50" i="24"/>
  <c r="AU55" i="24"/>
  <c r="BG50" i="24"/>
  <c r="AV55" i="24"/>
  <c r="AQ45" i="24"/>
  <c r="AS45" i="24"/>
  <c r="AN55" i="24"/>
  <c r="BJ50" i="24"/>
  <c r="AY55" i="24"/>
  <c r="AF55" i="24"/>
  <c r="AF48" i="24" s="1" a="1"/>
  <c r="AF48" i="24" s="1"/>
  <c r="AF133" i="25"/>
  <c r="AF132" i="25" s="1"/>
  <c r="AF127" i="25" s="1"/>
  <c r="BH30" i="24"/>
  <c r="AW35" i="24"/>
  <c r="BC35" i="24"/>
  <c r="AE98" i="28"/>
  <c r="AE95" i="28" s="1"/>
  <c r="AE137" i="28" s="1"/>
  <c r="AE139" i="28" s="1"/>
  <c r="BE50" i="24"/>
  <c r="AT55" i="24"/>
  <c r="AH167" i="28"/>
  <c r="AF165" i="28"/>
  <c r="AF162" i="28" s="1"/>
  <c r="AF204" i="28" s="1"/>
  <c r="AF206" i="28" s="1"/>
  <c r="AF208" i="28" s="1"/>
  <c r="AS55" i="24"/>
  <c r="AK165" i="28"/>
  <c r="AK162" i="28" s="1"/>
  <c r="AK204" i="28" s="1"/>
  <c r="AK206" i="28" s="1"/>
  <c r="AL166" i="28"/>
  <c r="AI165" i="28"/>
  <c r="AE165" i="28"/>
  <c r="AE162" i="28" s="1"/>
  <c r="AE204" i="28" s="1"/>
  <c r="AE206" i="28" s="1"/>
  <c r="AE55" i="24"/>
  <c r="AF98" i="28"/>
  <c r="AF95" i="28" s="1"/>
  <c r="AF137" i="28" s="1"/>
  <c r="AF139" i="28" s="1"/>
  <c r="AF141" i="28" s="1"/>
  <c r="AL55" i="24"/>
  <c r="AJ31" i="28"/>
  <c r="AJ28" i="28" s="1"/>
  <c r="AJ70" i="28" s="1"/>
  <c r="AJ72" i="28" s="1"/>
  <c r="AL99" i="28"/>
  <c r="AI98" i="28"/>
  <c r="AK31" i="28"/>
  <c r="AK28" i="28" s="1"/>
  <c r="AK70" i="28" s="1"/>
  <c r="AK72" i="28" s="1"/>
  <c r="S185" i="12" a="1"/>
  <c r="S185" i="12" s="1"/>
  <c r="U184" i="12"/>
  <c r="M191" i="28" a="1"/>
  <c r="M191" i="28" s="1"/>
  <c r="AS190" i="28" a="1"/>
  <c r="AS190" i="28" s="1"/>
  <c r="S74" i="12" a="1"/>
  <c r="S74" i="12" s="1"/>
  <c r="U73" i="12"/>
  <c r="AJ131" i="27"/>
  <c r="AJ132" i="27" s="1"/>
  <c r="AJ133" i="27" s="1"/>
  <c r="AK52" i="22"/>
  <c r="AJ140" i="27"/>
  <c r="AR41" i="20"/>
  <c r="AQ42" i="20"/>
  <c r="AV64" i="23" s="1"/>
  <c r="BE52" i="22"/>
  <c r="AV52" i="22"/>
  <c r="AU140" i="27"/>
  <c r="AH49" i="20"/>
  <c r="AG50" i="20"/>
  <c r="AL84" i="23" s="1"/>
  <c r="AL86" i="23" s="1"/>
  <c r="AL68" i="23" s="1" a="1"/>
  <c r="AL68" i="23" s="1"/>
  <c r="AL141" i="27" s="1"/>
  <c r="AJ184" i="27" a="1"/>
  <c r="AJ184" i="27" s="1"/>
  <c r="AJ183" i="27" a="1"/>
  <c r="AJ183" i="27" s="1"/>
  <c r="AN184" i="27" a="1"/>
  <c r="AN184" i="27" s="1"/>
  <c r="AN183" i="27" a="1"/>
  <c r="AN183" i="27" s="1"/>
  <c r="AR184" i="27" a="1"/>
  <c r="AR184" i="27" s="1"/>
  <c r="AR183" i="27" a="1"/>
  <c r="AR183" i="27" s="1"/>
  <c r="AV184" i="27" a="1"/>
  <c r="AV184" i="27" s="1"/>
  <c r="AV183" i="27" a="1"/>
  <c r="AV183" i="27" s="1"/>
  <c r="AZ184" i="27" a="1"/>
  <c r="AZ184" i="27" s="1"/>
  <c r="AZ183" i="27" a="1"/>
  <c r="AZ183" i="27" s="1"/>
  <c r="AI184" i="27" a="1"/>
  <c r="AI184" i="27" s="1"/>
  <c r="AI183" i="27" a="1"/>
  <c r="AI183" i="27" s="1"/>
  <c r="AM184" i="27" a="1"/>
  <c r="AM184" i="27" s="1"/>
  <c r="AM183" i="27" a="1"/>
  <c r="AM183" i="27" s="1"/>
  <c r="AQ184" i="27" a="1"/>
  <c r="AQ184" i="27" s="1"/>
  <c r="AQ183" i="27" a="1"/>
  <c r="AQ183" i="27" s="1"/>
  <c r="AU184" i="27" a="1"/>
  <c r="AU184" i="27" s="1"/>
  <c r="AU183" i="27" a="1"/>
  <c r="AU183" i="27" s="1"/>
  <c r="AY184" i="27" a="1"/>
  <c r="AY184" i="27" s="1"/>
  <c r="AY183" i="27" a="1"/>
  <c r="AY183" i="27" s="1"/>
  <c r="BC184" i="27" a="1"/>
  <c r="BC184" i="27" s="1"/>
  <c r="BC183" i="27" a="1"/>
  <c r="BC183" i="27" s="1"/>
  <c r="T81" i="27" a="1"/>
  <c r="T81" i="27" s="1"/>
  <c r="T63" i="27" a="1"/>
  <c r="T63" i="27" s="1"/>
  <c r="T64" i="27" s="1" a="1"/>
  <c r="T64" i="27" s="1"/>
  <c r="T65" i="27" s="1" a="1"/>
  <c r="T65" i="27" s="1"/>
  <c r="T66" i="27" s="1" a="1"/>
  <c r="T66" i="27" s="1"/>
  <c r="T67" i="27" s="1" a="1"/>
  <c r="T67" i="27" s="1"/>
  <c r="T68" i="27" s="1" a="1"/>
  <c r="T68" i="27" s="1"/>
  <c r="T69" i="27" s="1" a="1"/>
  <c r="T69" i="27" s="1"/>
  <c r="BF84" i="23"/>
  <c r="AU86" i="23"/>
  <c r="AV83" i="27"/>
  <c r="BE66" i="23"/>
  <c r="BE48" i="23" s="1" a="1"/>
  <c r="BE48" i="23" s="1"/>
  <c r="AT48" i="23" a="1"/>
  <c r="AT48" i="23" s="1"/>
  <c r="AT84" i="27" s="1"/>
  <c r="BD66" i="23"/>
  <c r="BD48" i="23" s="1" a="1"/>
  <c r="BD48" i="23" s="1"/>
  <c r="BF28" i="27"/>
  <c r="AN34" i="22"/>
  <c r="AM28" i="27"/>
  <c r="AQ43" i="22"/>
  <c r="AP83" i="27"/>
  <c r="AT131" i="27" l="1"/>
  <c r="AT132" i="27" s="1"/>
  <c r="AT133" i="27" s="1"/>
  <c r="AK126" i="27"/>
  <c r="AK119" i="27"/>
  <c r="AR43" i="22"/>
  <c r="AQ83" i="27"/>
  <c r="AO34" i="22"/>
  <c r="AN28" i="27"/>
  <c r="BD84" i="27"/>
  <c r="AU68" i="23" a="1"/>
  <c r="AU68" i="23" s="1"/>
  <c r="AU141" i="27" s="1"/>
  <c r="BF141" i="27" s="1"/>
  <c r="BF86" i="23"/>
  <c r="BF68" i="23" s="1" a="1"/>
  <c r="BF68" i="23" s="1"/>
  <c r="AI49" i="20"/>
  <c r="AH50" i="20"/>
  <c r="AM84" i="23" s="1"/>
  <c r="AM86" i="23" s="1"/>
  <c r="AM68" i="23" s="1" a="1"/>
  <c r="AM68" i="23" s="1"/>
  <c r="AM141" i="27" s="1"/>
  <c r="AW52" i="22"/>
  <c r="BG52" i="22" s="1"/>
  <c r="AV140" i="27"/>
  <c r="BF52" i="22"/>
  <c r="AS41" i="20"/>
  <c r="AR42" i="20"/>
  <c r="AW64" i="23" s="1"/>
  <c r="AK81" i="28"/>
  <c r="AK79" i="28"/>
  <c r="AK80" i="28" s="1"/>
  <c r="AK74" i="28"/>
  <c r="AK91" i="28" s="1"/>
  <c r="AK92" i="28" s="1"/>
  <c r="AL48" i="24" a="1"/>
  <c r="AL48" i="24" s="1"/>
  <c r="AL142" i="27"/>
  <c r="AE48" i="24" a="1"/>
  <c r="AE48" i="24" s="1"/>
  <c r="AE142" i="27"/>
  <c r="AE170" i="27" s="1"/>
  <c r="AE172" i="27" s="1"/>
  <c r="AL165" i="28"/>
  <c r="AI162" i="28"/>
  <c r="AK215" i="28"/>
  <c r="AK213" i="28"/>
  <c r="AK214" i="28" s="1"/>
  <c r="AK208" i="28"/>
  <c r="AK225" i="28" s="1"/>
  <c r="AK226" i="28" s="1"/>
  <c r="AT48" i="24" a="1"/>
  <c r="AT48" i="24" s="1"/>
  <c r="BE55" i="24"/>
  <c r="BE48" i="24" s="1" a="1"/>
  <c r="BE48" i="24" s="1"/>
  <c r="AT142" i="27"/>
  <c r="AE148" i="28"/>
  <c r="AE146" i="28"/>
  <c r="AE147" i="28" s="1"/>
  <c r="AE141" i="28"/>
  <c r="AE158" i="28" s="1"/>
  <c r="AE159" i="28" s="1"/>
  <c r="BH35" i="24"/>
  <c r="BH28" i="24" s="1" a="1"/>
  <c r="BH28" i="24" s="1"/>
  <c r="AW28" i="24" a="1"/>
  <c r="AW28" i="24" s="1"/>
  <c r="AW30" i="27"/>
  <c r="BH30" i="27" s="1"/>
  <c r="BJ55" i="24"/>
  <c r="BJ48" i="24" s="1" a="1"/>
  <c r="BJ48" i="24" s="1"/>
  <c r="AY48" i="24" a="1"/>
  <c r="AY48" i="24" s="1"/>
  <c r="AY142" i="27"/>
  <c r="BJ142" i="27" s="1"/>
  <c r="AN48" i="24" a="1"/>
  <c r="AN48" i="24" s="1"/>
  <c r="AN142" i="27"/>
  <c r="AQ38" i="24" a="1"/>
  <c r="AQ38" i="24" s="1"/>
  <c r="AQ85" i="27"/>
  <c r="AN38" i="24" a="1"/>
  <c r="AN38" i="24" s="1"/>
  <c r="AN85" i="27"/>
  <c r="AL28" i="24" a="1"/>
  <c r="AL28" i="24" s="1"/>
  <c r="AL30" i="27"/>
  <c r="AL58" i="27" s="1"/>
  <c r="AL60" i="27" s="1"/>
  <c r="BJ45" i="24"/>
  <c r="BJ38" i="24" s="1" a="1"/>
  <c r="BJ38" i="24" s="1"/>
  <c r="AY38" i="24" a="1"/>
  <c r="AY38" i="24" s="1"/>
  <c r="AY85" i="27"/>
  <c r="BJ85" i="27" s="1"/>
  <c r="BL45" i="24"/>
  <c r="BL38" i="24" s="1" a="1"/>
  <c r="BL38" i="24" s="1"/>
  <c r="BA38" i="24" a="1"/>
  <c r="BA38" i="24" s="1"/>
  <c r="BA85" i="27"/>
  <c r="BL85" i="27" s="1"/>
  <c r="AL38" i="24" a="1"/>
  <c r="AL38" i="24" s="1"/>
  <c r="AL85" i="27"/>
  <c r="AL115" i="27" s="1"/>
  <c r="AL117" i="27" s="1"/>
  <c r="AJ38" i="24" a="1"/>
  <c r="AJ38" i="24" s="1"/>
  <c r="AJ85" i="27"/>
  <c r="AJ115" i="27" s="1"/>
  <c r="AJ117" i="27" s="1"/>
  <c r="BJ35" i="24"/>
  <c r="BJ28" i="24" s="1" a="1"/>
  <c r="BJ28" i="24" s="1"/>
  <c r="AY28" i="24" a="1"/>
  <c r="AY28" i="24" s="1"/>
  <c r="AY30" i="27"/>
  <c r="BJ30" i="27" s="1"/>
  <c r="N59" i="27" a="1"/>
  <c r="N59" i="27" s="1"/>
  <c r="BX58" i="27" a="1"/>
  <c r="BX58" i="27" s="1"/>
  <c r="N114" i="27" a="1"/>
  <c r="N114" i="27" s="1"/>
  <c r="N115" i="27" s="1" a="1"/>
  <c r="N115" i="27" s="1"/>
  <c r="BX113" i="27" a="1"/>
  <c r="BX113" i="27" s="1"/>
  <c r="M58" i="28" a="1"/>
  <c r="M58" i="28" s="1"/>
  <c r="AS57" i="28" a="1"/>
  <c r="AS57" i="28" s="1"/>
  <c r="F226" i="28" a="1"/>
  <c r="F226" i="28" s="1"/>
  <c r="T225" i="28"/>
  <c r="M125" i="28" a="1"/>
  <c r="M125" i="28" s="1"/>
  <c r="AS124" i="28" a="1"/>
  <c r="AS124" i="28" s="1"/>
  <c r="N171" i="27" a="1"/>
  <c r="N171" i="27" s="1"/>
  <c r="BX170" i="27" a="1"/>
  <c r="BX170" i="27" s="1"/>
  <c r="F159" i="28" a="1"/>
  <c r="F159" i="28" s="1"/>
  <c r="T158" i="28"/>
  <c r="F92" i="28" a="1"/>
  <c r="F92" i="28" s="1"/>
  <c r="T91" i="28"/>
  <c r="BE141" i="27"/>
  <c r="AT170" i="27"/>
  <c r="BD141" i="27"/>
  <c r="BG44" i="23"/>
  <c r="AV46" i="23"/>
  <c r="BG28" i="27"/>
  <c r="BH34" i="22"/>
  <c r="AX34" i="22"/>
  <c r="AW28" i="27"/>
  <c r="AS49" i="20"/>
  <c r="AR50" i="20"/>
  <c r="AW84" i="23" s="1"/>
  <c r="BD61" i="27"/>
  <c r="BF61" i="27"/>
  <c r="BJ61" i="27"/>
  <c r="BE61" i="27"/>
  <c r="BI61" i="27"/>
  <c r="BM61" i="27"/>
  <c r="S343" i="12" a="1"/>
  <c r="S343" i="12" s="1"/>
  <c r="U342" i="12"/>
  <c r="AX43" i="22"/>
  <c r="BH43" i="22" s="1"/>
  <c r="AW83" i="27"/>
  <c r="AJ129" i="27" a="1"/>
  <c r="AJ129" i="27" s="1"/>
  <c r="AJ128" i="27" a="1"/>
  <c r="AJ128" i="27" s="1"/>
  <c r="AN129" i="27" a="1"/>
  <c r="AN129" i="27" s="1"/>
  <c r="AN128" i="27" a="1"/>
  <c r="AN128" i="27" s="1"/>
  <c r="AR129" i="27" a="1"/>
  <c r="AR129" i="27" s="1"/>
  <c r="AR128" i="27" a="1"/>
  <c r="AR128" i="27" s="1"/>
  <c r="AV129" i="27" a="1"/>
  <c r="AV129" i="27" s="1"/>
  <c r="AV128" i="27" a="1"/>
  <c r="AV128" i="27" s="1"/>
  <c r="AZ129" i="27" a="1"/>
  <c r="AZ129" i="27" s="1"/>
  <c r="AZ128" i="27" a="1"/>
  <c r="AZ128" i="27" s="1"/>
  <c r="AI129" i="27" a="1"/>
  <c r="AI129" i="27" s="1"/>
  <c r="AI128" i="27" a="1"/>
  <c r="AI128" i="27" s="1"/>
  <c r="AM129" i="27" a="1"/>
  <c r="AM129" i="27" s="1"/>
  <c r="AM128" i="27" a="1"/>
  <c r="AM128" i="27" s="1"/>
  <c r="AQ129" i="27" a="1"/>
  <c r="AQ129" i="27" s="1"/>
  <c r="AQ128" i="27" a="1"/>
  <c r="AQ128" i="27" s="1"/>
  <c r="AU129" i="27" a="1"/>
  <c r="AU129" i="27" s="1"/>
  <c r="AU128" i="27" a="1"/>
  <c r="AU128" i="27" s="1"/>
  <c r="AY129" i="27" a="1"/>
  <c r="AY129" i="27" s="1"/>
  <c r="AY128" i="27" a="1"/>
  <c r="AY128" i="27" s="1"/>
  <c r="BC129" i="27" a="1"/>
  <c r="BC129" i="27" s="1"/>
  <c r="BC128" i="27" a="1"/>
  <c r="BC128" i="27" s="1"/>
  <c r="AE81" i="28"/>
  <c r="AE79" i="28"/>
  <c r="AE80" i="28" s="1"/>
  <c r="AE74" i="28"/>
  <c r="AE91" i="28" s="1"/>
  <c r="AE92" i="28" s="1"/>
  <c r="AH31" i="28"/>
  <c r="AG28" i="28"/>
  <c r="AZ48" i="24" a="1"/>
  <c r="AZ48" i="24" s="1"/>
  <c r="BK55" i="24"/>
  <c r="BK48" i="24" s="1" a="1"/>
  <c r="BK48" i="24" s="1"/>
  <c r="AZ142" i="27"/>
  <c r="BK142" i="27" s="1"/>
  <c r="BH55" i="24"/>
  <c r="BH48" i="24" s="1" a="1"/>
  <c r="BH48" i="24" s="1"/>
  <c r="AW48" i="24" a="1"/>
  <c r="AW48" i="24" s="1"/>
  <c r="AW142" i="27"/>
  <c r="BH142" i="27" s="1"/>
  <c r="BL55" i="24"/>
  <c r="BL48" i="24" s="1" a="1"/>
  <c r="BL48" i="24" s="1"/>
  <c r="BA48" i="24" a="1"/>
  <c r="BA48" i="24" s="1"/>
  <c r="BA142" i="27"/>
  <c r="BL142" i="27" s="1"/>
  <c r="AX48" i="24" a="1"/>
  <c r="AX48" i="24" s="1"/>
  <c r="BI55" i="24"/>
  <c r="BI48" i="24" s="1" a="1"/>
  <c r="BI48" i="24" s="1"/>
  <c r="AX142" i="27"/>
  <c r="BI142" i="27" s="1"/>
  <c r="AP48" i="24" a="1"/>
  <c r="AP48" i="24" s="1"/>
  <c r="AP142" i="27"/>
  <c r="BI45" i="24"/>
  <c r="BI38" i="24" s="1" a="1"/>
  <c r="BI38" i="24" s="1"/>
  <c r="AX38" i="24" a="1"/>
  <c r="AX38" i="24" s="1"/>
  <c r="AX85" i="27"/>
  <c r="BI85" i="27" s="1"/>
  <c r="BC48" i="24" a="1"/>
  <c r="BC48" i="24" s="1"/>
  <c r="BC142" i="27"/>
  <c r="AK48" i="24" a="1"/>
  <c r="AK48" i="24" s="1"/>
  <c r="AK142" i="27"/>
  <c r="AM28" i="24" a="1"/>
  <c r="AM28" i="24" s="1"/>
  <c r="AM30" i="27"/>
  <c r="AO48" i="24" a="1"/>
  <c r="AO48" i="24" s="1"/>
  <c r="AO142" i="27"/>
  <c r="AH165" i="28"/>
  <c r="AG162" i="28"/>
  <c r="BB48" i="24" a="1"/>
  <c r="BB48" i="24" s="1"/>
  <c r="BM55" i="24"/>
  <c r="BM48" i="24" s="1" a="1"/>
  <c r="BM48" i="24" s="1"/>
  <c r="BB142" i="27"/>
  <c r="BM142" i="27" s="1"/>
  <c r="AM38" i="24" a="1"/>
  <c r="AM38" i="24" s="1"/>
  <c r="AM85" i="27"/>
  <c r="AX28" i="24" a="1"/>
  <c r="AX28" i="24" s="1"/>
  <c r="BI35" i="24"/>
  <c r="BI28" i="24" s="1" a="1"/>
  <c r="BI28" i="24" s="1"/>
  <c r="AX30" i="27"/>
  <c r="BI30" i="27" s="1"/>
  <c r="AE28" i="24" a="1"/>
  <c r="AE28" i="24" s="1"/>
  <c r="AE30" i="27"/>
  <c r="AE58" i="27" s="1"/>
  <c r="AE60" i="27" s="1"/>
  <c r="AF28" i="24" a="1"/>
  <c r="AF28" i="24" s="1"/>
  <c r="AF30" i="27"/>
  <c r="AF58" i="27" s="1"/>
  <c r="AF60" i="27" s="1"/>
  <c r="AF62" i="27" s="1"/>
  <c r="AN28" i="24" a="1"/>
  <c r="AN28" i="24" s="1"/>
  <c r="AN30" i="27"/>
  <c r="AJ28" i="24" a="1"/>
  <c r="AJ28" i="24" s="1"/>
  <c r="AJ30" i="27"/>
  <c r="AJ58" i="27" s="1"/>
  <c r="AJ60" i="27" s="1"/>
  <c r="AE85" i="27"/>
  <c r="AE115" i="27" s="1"/>
  <c r="AE117" i="27" s="1"/>
  <c r="AF85" i="27"/>
  <c r="AF115" i="27" s="1"/>
  <c r="AF117" i="27" s="1"/>
  <c r="AF119" i="27" s="1"/>
  <c r="BF140" i="27"/>
  <c r="BE140" i="27"/>
  <c r="BG64" i="23"/>
  <c r="AV66" i="23"/>
  <c r="AL52" i="22"/>
  <c r="AK140" i="27"/>
  <c r="S75" i="12" a="1"/>
  <c r="S75" i="12" s="1"/>
  <c r="U74" i="12"/>
  <c r="M192" i="28" a="1"/>
  <c r="M192" i="28" s="1"/>
  <c r="AS191" i="28" a="1"/>
  <c r="AS191" i="28" s="1"/>
  <c r="S186" i="12" a="1"/>
  <c r="S186" i="12" s="1"/>
  <c r="U185" i="12"/>
  <c r="AL98" i="28"/>
  <c r="AI95" i="28"/>
  <c r="AJ74" i="28"/>
  <c r="AJ91" i="28" s="1"/>
  <c r="AJ92" i="28" s="1"/>
  <c r="AJ81" i="28"/>
  <c r="AJ79" i="28"/>
  <c r="AJ80" i="28" s="1"/>
  <c r="AE215" i="28"/>
  <c r="AE213" i="28"/>
  <c r="AE214" i="28" s="1"/>
  <c r="AE208" i="28"/>
  <c r="AE225" i="28" s="1"/>
  <c r="AE226" i="28" s="1"/>
  <c r="AS48" i="24" a="1"/>
  <c r="AS48" i="24" s="1"/>
  <c r="AS142" i="27"/>
  <c r="BC28" i="24" a="1"/>
  <c r="BC28" i="24" s="1"/>
  <c r="BC30" i="27"/>
  <c r="AS38" i="24" a="1"/>
  <c r="AS38" i="24" s="1"/>
  <c r="AS85" i="27"/>
  <c r="AV48" i="24" a="1"/>
  <c r="AV48" i="24" s="1"/>
  <c r="BG55" i="24"/>
  <c r="BG48" i="24" s="1" a="1"/>
  <c r="BG48" i="24" s="1"/>
  <c r="AV142" i="27"/>
  <c r="BG142" i="27" s="1"/>
  <c r="BF55" i="24"/>
  <c r="BF48" i="24" s="1" a="1"/>
  <c r="BF48" i="24" s="1"/>
  <c r="AU48" i="24" a="1"/>
  <c r="AU48" i="24" s="1"/>
  <c r="AU142" i="27"/>
  <c r="BF142" i="27" s="1"/>
  <c r="AQ48" i="24" a="1"/>
  <c r="AQ48" i="24" s="1"/>
  <c r="AQ142" i="27"/>
  <c r="AH35" i="24"/>
  <c r="AH28" i="24" s="1" a="1"/>
  <c r="AH28" i="24" s="1"/>
  <c r="AG28" i="24" a="1"/>
  <c r="AG28" i="24" s="1"/>
  <c r="AG30" i="27"/>
  <c r="AR28" i="24" a="1"/>
  <c r="AR28" i="24" s="1"/>
  <c r="AR30" i="27"/>
  <c r="AR38" i="24" a="1"/>
  <c r="AR38" i="24" s="1"/>
  <c r="AR85" i="27"/>
  <c r="BD45" i="24"/>
  <c r="BD38" i="24" s="1" a="1"/>
  <c r="BD38" i="24" s="1"/>
  <c r="AI38" i="24" a="1"/>
  <c r="AI38" i="24" s="1"/>
  <c r="AI85" i="27"/>
  <c r="AT28" i="24" a="1"/>
  <c r="AT28" i="24" s="1"/>
  <c r="BE35" i="24"/>
  <c r="BE28" i="24" s="1" a="1"/>
  <c r="BE28" i="24" s="1"/>
  <c r="AT30" i="27"/>
  <c r="BE30" i="27" s="1"/>
  <c r="BK35" i="24"/>
  <c r="BK28" i="24" s="1" a="1"/>
  <c r="BK28" i="24" s="1"/>
  <c r="AZ28" i="24" a="1"/>
  <c r="AZ28" i="24" s="1"/>
  <c r="AZ30" i="27"/>
  <c r="BK30" i="27" s="1"/>
  <c r="AS28" i="24" a="1"/>
  <c r="AS28" i="24" s="1"/>
  <c r="AS30" i="27"/>
  <c r="AH45" i="24"/>
  <c r="AH38" i="24" s="1" a="1"/>
  <c r="AH38" i="24" s="1"/>
  <c r="AG38" i="24" a="1"/>
  <c r="AG38" i="24" s="1"/>
  <c r="AG85" i="27"/>
  <c r="BF35" i="24"/>
  <c r="BF28" i="24" s="1" a="1"/>
  <c r="BF28" i="24" s="1"/>
  <c r="AU28" i="24" a="1"/>
  <c r="AU28" i="24" s="1"/>
  <c r="AU30" i="27"/>
  <c r="BF30" i="27" s="1"/>
  <c r="BM45" i="24"/>
  <c r="BM38" i="24" s="1" a="1"/>
  <c r="BM38" i="24" s="1"/>
  <c r="BB38" i="24" a="1"/>
  <c r="BB38" i="24" s="1"/>
  <c r="BB85" i="27"/>
  <c r="BM85" i="27" s="1"/>
  <c r="AU28" i="23" a="1"/>
  <c r="AU28" i="23" s="1"/>
  <c r="AU29" i="27" s="1"/>
  <c r="BF46" i="23"/>
  <c r="BF28" i="23" s="1" a="1"/>
  <c r="BF28" i="23" s="1"/>
  <c r="BE86" i="23"/>
  <c r="BE68" i="23" s="1" a="1"/>
  <c r="BE68" i="23" s="1"/>
  <c r="AI41" i="20"/>
  <c r="AH42" i="20"/>
  <c r="AM64" i="23" s="1"/>
  <c r="AM66" i="23" s="1"/>
  <c r="AM48" i="23" s="1" a="1"/>
  <c r="AM48" i="23" s="1"/>
  <c r="AM84" i="27" s="1"/>
  <c r="AM115" i="27" s="1"/>
  <c r="AM117" i="27" s="1"/>
  <c r="AS33" i="20"/>
  <c r="AR34" i="20"/>
  <c r="AW44" i="23" s="1"/>
  <c r="BE29" i="27"/>
  <c r="AT58" i="27"/>
  <c r="BG84" i="23"/>
  <c r="AV86" i="23"/>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AG61" i="27"/>
  <c r="AH61" i="27" s="1"/>
  <c r="BH61" i="27"/>
  <c r="BL61" i="27"/>
  <c r="F64" i="27" a="1"/>
  <c r="F64" i="27" s="1"/>
  <c r="F65" i="27" s="1" a="1"/>
  <c r="F65" i="27" s="1"/>
  <c r="F66" i="27" s="1" a="1"/>
  <c r="F66" i="27" s="1"/>
  <c r="F67" i="27" s="1" a="1"/>
  <c r="F67" i="27" s="1"/>
  <c r="F68" i="27" s="1" a="1"/>
  <c r="F68" i="27" s="1"/>
  <c r="F69" i="27" s="1" a="1"/>
  <c r="F69" i="27" s="1"/>
  <c r="F70" i="27" s="1" a="1"/>
  <c r="F70" i="27" s="1"/>
  <c r="AZ63" i="27"/>
  <c r="AZ66" i="27" s="1"/>
  <c r="AV63" i="27"/>
  <c r="AV66" i="27" s="1"/>
  <c r="AR63" i="27"/>
  <c r="AR66" i="27" s="1"/>
  <c r="AN63" i="27"/>
  <c r="AN66" i="27" s="1"/>
  <c r="AJ63" i="27"/>
  <c r="AJ66" i="27" s="1"/>
  <c r="BC63" i="27"/>
  <c r="BC66" i="27" s="1"/>
  <c r="AY63" i="27"/>
  <c r="AY66" i="27" s="1"/>
  <c r="AU63" i="27"/>
  <c r="AU66" i="27" s="1"/>
  <c r="AQ63" i="27"/>
  <c r="AQ66" i="27" s="1"/>
  <c r="AM63" i="27"/>
  <c r="AM66" i="27" s="1"/>
  <c r="AI63" i="27"/>
  <c r="AI66" i="27" s="1"/>
  <c r="BB63" i="27"/>
  <c r="BB66" i="27" s="1"/>
  <c r="AX63" i="27"/>
  <c r="AX66" i="27" s="1"/>
  <c r="AT63" i="27"/>
  <c r="AT66" i="27" s="1"/>
  <c r="AP63" i="27"/>
  <c r="AP66" i="27" s="1"/>
  <c r="AL63" i="27"/>
  <c r="AL66" i="27" s="1"/>
  <c r="AE63" i="27"/>
  <c r="AE66" i="27" s="1"/>
  <c r="AE75" i="27" s="1"/>
  <c r="AE76" i="27" s="1"/>
  <c r="BA63" i="27"/>
  <c r="BA66" i="27" s="1"/>
  <c r="AW63" i="27"/>
  <c r="AW66" i="27" s="1"/>
  <c r="AS63" i="27"/>
  <c r="AS66" i="27" s="1"/>
  <c r="AO63" i="27"/>
  <c r="AO66" i="27" s="1"/>
  <c r="AK63" i="27"/>
  <c r="AK66" i="27" s="1"/>
  <c r="BG61" i="27"/>
  <c r="BK61" i="27"/>
  <c r="BF83" i="27"/>
  <c r="AU131" i="27"/>
  <c r="AU132" i="27" s="1"/>
  <c r="AI33" i="20"/>
  <c r="AH34" i="20"/>
  <c r="AM44" i="23" s="1"/>
  <c r="AM46" i="23" s="1"/>
  <c r="AM28" i="23" s="1" a="1"/>
  <c r="AM28" i="23" s="1"/>
  <c r="AM29" i="27" s="1"/>
  <c r="AM58" i="27" s="1"/>
  <c r="AM60" i="27" s="1"/>
  <c r="AU48" i="23" a="1"/>
  <c r="AU48" i="23" s="1"/>
  <c r="AU84" i="27" s="1"/>
  <c r="BF66" i="23"/>
  <c r="BF48" i="23" s="1" a="1"/>
  <c r="BF48" i="23" s="1"/>
  <c r="AK131" i="27"/>
  <c r="AK132" i="27" s="1"/>
  <c r="AE129" i="27" a="1"/>
  <c r="AE129" i="27" s="1"/>
  <c r="AE128" i="27" a="1"/>
  <c r="AE128" i="27" s="1"/>
  <c r="AL129" i="27" a="1"/>
  <c r="AL129" i="27" s="1"/>
  <c r="AL128" i="27" a="1"/>
  <c r="AL128" i="27" s="1"/>
  <c r="AP129" i="27" a="1"/>
  <c r="AP129" i="27" s="1"/>
  <c r="AP128" i="27" a="1"/>
  <c r="AP128" i="27" s="1"/>
  <c r="AT129" i="27" a="1"/>
  <c r="AT129" i="27" s="1"/>
  <c r="AT128" i="27" a="1"/>
  <c r="AT128" i="27" s="1"/>
  <c r="AX129" i="27" a="1"/>
  <c r="AX129" i="27" s="1"/>
  <c r="AX128" i="27" a="1"/>
  <c r="AX128" i="27" s="1"/>
  <c r="BB129" i="27" a="1"/>
  <c r="BB129" i="27" s="1"/>
  <c r="BB128" i="27" a="1"/>
  <c r="BB128" i="27" s="1"/>
  <c r="AK129" i="27" a="1"/>
  <c r="AK129" i="27" s="1"/>
  <c r="AK128" i="27" a="1"/>
  <c r="AK128" i="27" s="1"/>
  <c r="AO129" i="27" a="1"/>
  <c r="AO129" i="27" s="1"/>
  <c r="AO128" i="27" a="1"/>
  <c r="AO128" i="27" s="1"/>
  <c r="AS129" i="27" a="1"/>
  <c r="AS129" i="27" s="1"/>
  <c r="AS128" i="27" a="1"/>
  <c r="AS128" i="27" s="1"/>
  <c r="AW129" i="27" a="1"/>
  <c r="AW129" i="27" s="1"/>
  <c r="AW128" i="27" a="1"/>
  <c r="AW128" i="27" s="1"/>
  <c r="BA129" i="27" a="1"/>
  <c r="BA129" i="27" s="1"/>
  <c r="BA128" i="27" a="1"/>
  <c r="BA128" i="27" s="1"/>
  <c r="AH98" i="28"/>
  <c r="AG95" i="28"/>
  <c r="AJ208" i="28"/>
  <c r="AJ225" i="28" s="1"/>
  <c r="AJ226" i="28" s="1"/>
  <c r="AJ215" i="28"/>
  <c r="AJ213" i="28"/>
  <c r="AJ214" i="28" s="1"/>
  <c r="AL31" i="28"/>
  <c r="AI28" i="28"/>
  <c r="AJ141" i="28"/>
  <c r="AJ158" i="28" s="1"/>
  <c r="AJ159" i="28" s="1"/>
  <c r="AJ148" i="28"/>
  <c r="AJ146" i="28"/>
  <c r="AJ147" i="28" s="1"/>
  <c r="BD55" i="24"/>
  <c r="BD48" i="24" s="1" a="1"/>
  <c r="BD48" i="24" s="1"/>
  <c r="AI48" i="24" a="1"/>
  <c r="AI48" i="24" s="1"/>
  <c r="AI142" i="27"/>
  <c r="AM48" i="24" a="1"/>
  <c r="AM48" i="24" s="1"/>
  <c r="AM142" i="27"/>
  <c r="AK148" i="28"/>
  <c r="AK146" i="28"/>
  <c r="AK147" i="28" s="1"/>
  <c r="AK141" i="28"/>
  <c r="AK158" i="28" s="1"/>
  <c r="AK159" i="28" s="1"/>
  <c r="AH55" i="24"/>
  <c r="AH48" i="24" s="1" a="1"/>
  <c r="AH48" i="24" s="1"/>
  <c r="AG48" i="24" a="1"/>
  <c r="AG48" i="24" s="1"/>
  <c r="AJ48" i="24" a="1"/>
  <c r="AJ48" i="24" s="1"/>
  <c r="AJ142" i="27"/>
  <c r="AJ170" i="27" s="1"/>
  <c r="AJ172" i="27" s="1"/>
  <c r="BG35" i="24"/>
  <c r="BG28" i="24" s="1" a="1"/>
  <c r="BG28" i="24" s="1"/>
  <c r="AV28" i="24" a="1"/>
  <c r="AV28" i="24" s="1"/>
  <c r="AV30" i="27"/>
  <c r="BG30" i="27" s="1"/>
  <c r="AP28" i="24" a="1"/>
  <c r="AP28" i="24" s="1"/>
  <c r="AP30" i="27"/>
  <c r="AR48" i="24" a="1"/>
  <c r="AR48" i="24" s="1"/>
  <c r="AR142" i="27"/>
  <c r="AO38" i="24" a="1"/>
  <c r="AO38" i="24" s="1"/>
  <c r="AO85" i="27"/>
  <c r="AQ28" i="24" a="1"/>
  <c r="AQ28" i="24" s="1"/>
  <c r="AQ30" i="27"/>
  <c r="BF45" i="24"/>
  <c r="BF38" i="24" s="1" a="1"/>
  <c r="BF38" i="24" s="1"/>
  <c r="AU38" i="24" a="1"/>
  <c r="AU38" i="24" s="1"/>
  <c r="AU85" i="27"/>
  <c r="BF85" i="27" s="1"/>
  <c r="BH45" i="24"/>
  <c r="BH38" i="24" s="1" a="1"/>
  <c r="BH38" i="24" s="1"/>
  <c r="AW38" i="24" a="1"/>
  <c r="AW38" i="24" s="1"/>
  <c r="AW85" i="27"/>
  <c r="BH85" i="27" s="1"/>
  <c r="BE45" i="24"/>
  <c r="BE38" i="24" s="1" a="1"/>
  <c r="BE38" i="24" s="1"/>
  <c r="AT38" i="24" a="1"/>
  <c r="AT38" i="24" s="1"/>
  <c r="AT85" i="27"/>
  <c r="BE85" i="27" s="1"/>
  <c r="BK45" i="24"/>
  <c r="BK38" i="24" s="1" a="1"/>
  <c r="BK38" i="24" s="1"/>
  <c r="AZ38" i="24" a="1"/>
  <c r="AZ38" i="24" s="1"/>
  <c r="AZ85" i="27"/>
  <c r="BK85" i="27" s="1"/>
  <c r="AK28" i="24" a="1"/>
  <c r="AK28" i="24" s="1"/>
  <c r="AK30" i="27"/>
  <c r="AK58" i="27" s="1"/>
  <c r="AK60" i="27" s="1"/>
  <c r="AE188" i="27"/>
  <c r="AI186" i="27"/>
  <c r="AI187" i="27" s="1"/>
  <c r="BB28" i="24" a="1"/>
  <c r="BB28" i="24" s="1"/>
  <c r="BM35" i="24"/>
  <c r="BM28" i="24" s="1" a="1"/>
  <c r="BM28" i="24" s="1"/>
  <c r="BB30" i="27"/>
  <c r="BM30" i="27" s="1"/>
  <c r="BD35" i="24"/>
  <c r="BD28" i="24" s="1" a="1"/>
  <c r="BD28" i="24" s="1"/>
  <c r="AI28" i="24" a="1"/>
  <c r="AI28" i="24" s="1"/>
  <c r="AI30" i="27"/>
  <c r="BG45" i="24"/>
  <c r="BG38" i="24" s="1" a="1"/>
  <c r="BG38" i="24" s="1"/>
  <c r="AV38" i="24" a="1"/>
  <c r="AV38" i="24" s="1"/>
  <c r="AV85" i="27"/>
  <c r="BG85" i="27" s="1"/>
  <c r="BL35" i="24"/>
  <c r="BL28" i="24" s="1" a="1"/>
  <c r="BL28" i="24" s="1"/>
  <c r="BA28" i="24" a="1"/>
  <c r="BA28" i="24" s="1"/>
  <c r="BA30" i="27"/>
  <c r="BL30" i="27" s="1"/>
  <c r="AF142" i="27"/>
  <c r="AF170" i="27" s="1"/>
  <c r="AF172" i="27" s="1"/>
  <c r="AF174" i="27" s="1"/>
  <c r="AH56" i="24"/>
  <c r="AG86" i="25"/>
  <c r="AG85" i="25" s="1"/>
  <c r="AG80" i="25" s="1"/>
  <c r="AG133" i="25"/>
  <c r="AG132" i="25" s="1"/>
  <c r="AG127" i="25" s="1"/>
  <c r="AG142" i="27"/>
  <c r="AG173" i="27"/>
  <c r="AH173" i="27" s="1"/>
  <c r="AH46" i="24"/>
  <c r="AG118" i="27"/>
  <c r="AH118" i="27" s="1"/>
  <c r="AJ174" i="27" l="1"/>
  <c r="AJ181" i="27"/>
  <c r="AJ177" i="27" s="1"/>
  <c r="AJ179" i="27" s="1"/>
  <c r="AL126" i="27"/>
  <c r="AL119" i="27"/>
  <c r="AM69" i="27"/>
  <c r="AM62" i="27"/>
  <c r="BD30" i="27"/>
  <c r="AI58" i="27"/>
  <c r="AI188" i="27"/>
  <c r="AJ186" i="27"/>
  <c r="AJ187" i="27" s="1"/>
  <c r="AT186" i="27"/>
  <c r="AT187" i="27" s="1"/>
  <c r="BF84" i="27"/>
  <c r="AU115" i="27"/>
  <c r="AT33" i="20"/>
  <c r="AS34" i="20"/>
  <c r="AX44" i="23" s="1"/>
  <c r="AJ41" i="20"/>
  <c r="AI42" i="20"/>
  <c r="AN64" i="23" s="1"/>
  <c r="AN66" i="23" s="1"/>
  <c r="AN48" i="23" s="1" a="1"/>
  <c r="AN48" i="23" s="1"/>
  <c r="AN84" i="27" s="1"/>
  <c r="AN115" i="27" s="1"/>
  <c r="AN117" i="27" s="1"/>
  <c r="AH85" i="27"/>
  <c r="AG115" i="27"/>
  <c r="AH30" i="27"/>
  <c r="AG58" i="27"/>
  <c r="S187" i="12" a="1"/>
  <c r="S187" i="12" s="1"/>
  <c r="U186" i="12"/>
  <c r="M193" i="28" a="1"/>
  <c r="M193" i="28" s="1"/>
  <c r="AS192" i="28" a="1"/>
  <c r="AS192" i="28" s="1"/>
  <c r="S76" i="12" a="1"/>
  <c r="S76" i="12" s="1"/>
  <c r="U75" i="12"/>
  <c r="AM52" i="22"/>
  <c r="AL140" i="27"/>
  <c r="AL170" i="27" s="1"/>
  <c r="AL172" i="27" s="1"/>
  <c r="AE119" i="27"/>
  <c r="AE136" i="27" s="1"/>
  <c r="AE137" i="27" s="1"/>
  <c r="AE126" i="27"/>
  <c r="AH162" i="28"/>
  <c r="AG204" i="28"/>
  <c r="S344" i="12" a="1"/>
  <c r="S344" i="12" s="1"/>
  <c r="U343" i="12"/>
  <c r="AI74" i="27"/>
  <c r="AI75" i="27" s="1"/>
  <c r="AI76" i="27" s="1"/>
  <c r="BH84" i="23"/>
  <c r="AW86" i="23"/>
  <c r="BH28" i="27"/>
  <c r="AT172" i="27"/>
  <c r="BE142" i="27"/>
  <c r="AL162" i="28"/>
  <c r="AI204" i="28"/>
  <c r="AE181" i="27"/>
  <c r="AE174" i="27"/>
  <c r="AE191" i="27" s="1"/>
  <c r="AE192" i="27" s="1"/>
  <c r="BH64" i="23"/>
  <c r="AW66" i="23"/>
  <c r="BG83" i="27"/>
  <c r="BE84" i="27"/>
  <c r="AP34" i="22"/>
  <c r="AO28" i="27"/>
  <c r="AS43" i="22"/>
  <c r="AS83" i="27" s="1"/>
  <c r="AR83" i="27"/>
  <c r="AK69" i="27"/>
  <c r="AK62" i="27"/>
  <c r="AH95" i="28"/>
  <c r="AG137" i="28"/>
  <c r="AK133" i="27"/>
  <c r="AL131" i="27"/>
  <c r="AL132" i="27" s="1"/>
  <c r="AJ33" i="20"/>
  <c r="AI34" i="20"/>
  <c r="AN44" i="23" s="1"/>
  <c r="AN46" i="23" s="1"/>
  <c r="AN28" i="23" s="1" a="1"/>
  <c r="AN28" i="23" s="1"/>
  <c r="AN29" i="27" s="1"/>
  <c r="AH142" i="27"/>
  <c r="AG170" i="27"/>
  <c r="BD142" i="27"/>
  <c r="AI170" i="27"/>
  <c r="AL28" i="28"/>
  <c r="AI70" i="28"/>
  <c r="AU133" i="27"/>
  <c r="AV131" i="27"/>
  <c r="AV132" i="27" s="1"/>
  <c r="AJ74" i="27"/>
  <c r="AJ75" i="27" s="1"/>
  <c r="AJ76" i="27" s="1"/>
  <c r="F71" i="27" a="1"/>
  <c r="F71" i="27" s="1"/>
  <c r="BC70" i="27"/>
  <c r="BA70" i="27"/>
  <c r="AY70" i="27"/>
  <c r="AW70" i="27"/>
  <c r="AU70" i="27"/>
  <c r="AS70" i="27"/>
  <c r="AQ70" i="27"/>
  <c r="AO70" i="27"/>
  <c r="AM70" i="27"/>
  <c r="AK70" i="27"/>
  <c r="AI70" i="27"/>
  <c r="BB70" i="27"/>
  <c r="AZ70" i="27"/>
  <c r="AX70" i="27"/>
  <c r="AV70" i="27"/>
  <c r="AT70" i="27"/>
  <c r="AR70" i="27"/>
  <c r="AP70" i="27"/>
  <c r="AN70" i="27"/>
  <c r="AL70" i="27"/>
  <c r="AJ70" i="27"/>
  <c r="AE70" i="27"/>
  <c r="AK74" i="27"/>
  <c r="AK75" i="27" s="1"/>
  <c r="AK76" i="27" s="1"/>
  <c r="BG86" i="23"/>
  <c r="BG68" i="23" s="1" a="1"/>
  <c r="BG68" i="23" s="1"/>
  <c r="AV68" i="23" a="1"/>
  <c r="AV68" i="23" s="1"/>
  <c r="AV141" i="27" s="1"/>
  <c r="BG141" i="27" s="1"/>
  <c r="BE58" i="27"/>
  <c r="AT60" i="27"/>
  <c r="BH44" i="23"/>
  <c r="AW46" i="23"/>
  <c r="AM126" i="27"/>
  <c r="AM119" i="27"/>
  <c r="BF29" i="27"/>
  <c r="AU58" i="27"/>
  <c r="BD85" i="27"/>
  <c r="AI115" i="27"/>
  <c r="AL95" i="28"/>
  <c r="AI137" i="28"/>
  <c r="AK170" i="27"/>
  <c r="AK172" i="27" s="1"/>
  <c r="BG66" i="23"/>
  <c r="BG48" i="23" s="1" a="1"/>
  <c r="BG48" i="23" s="1"/>
  <c r="AV48" i="23" a="1"/>
  <c r="AV48" i="23" s="1"/>
  <c r="AV84" i="27" s="1"/>
  <c r="AU170" i="27"/>
  <c r="BE170" i="27" s="1"/>
  <c r="AJ62" i="27"/>
  <c r="AJ69" i="27"/>
  <c r="AJ65" i="27" s="1"/>
  <c r="AJ67" i="27" s="1"/>
  <c r="AE69" i="27"/>
  <c r="AE62" i="27"/>
  <c r="AH28" i="28"/>
  <c r="AG70" i="28"/>
  <c r="AY43" i="22"/>
  <c r="BI43" i="22" s="1"/>
  <c r="AX83" i="27"/>
  <c r="BH83" i="27" s="1"/>
  <c r="AT49" i="20"/>
  <c r="AS50" i="20"/>
  <c r="AX84" i="23" s="1"/>
  <c r="AY34" i="22"/>
  <c r="BI34" i="22"/>
  <c r="AX28" i="27"/>
  <c r="BG46" i="23"/>
  <c r="BG28" i="23" s="1" a="1"/>
  <c r="BG28" i="23" s="1"/>
  <c r="AV28" i="23" a="1"/>
  <c r="AV28" i="23" s="1"/>
  <c r="AV29" i="27" s="1"/>
  <c r="T92" i="28"/>
  <c r="F93" i="28" a="1"/>
  <c r="F93" i="28" s="1"/>
  <c r="T159" i="28"/>
  <c r="F160" i="28" a="1"/>
  <c r="F160" i="28" s="1"/>
  <c r="N172" i="27" a="1"/>
  <c r="N172" i="27" s="1"/>
  <c r="BX171" i="27" a="1"/>
  <c r="BX171" i="27" s="1"/>
  <c r="M126" i="28" a="1"/>
  <c r="M126" i="28" s="1"/>
  <c r="AS125" i="28" a="1"/>
  <c r="AS125" i="28" s="1"/>
  <c r="T226" i="28"/>
  <c r="F227" i="28" a="1"/>
  <c r="F227" i="28" s="1"/>
  <c r="M59" i="28" a="1"/>
  <c r="M59" i="28" s="1"/>
  <c r="AS58" i="28" a="1"/>
  <c r="AS58" i="28" s="1"/>
  <c r="N116" i="27" a="1"/>
  <c r="N116" i="27" s="1"/>
  <c r="BX115" i="27" a="1"/>
  <c r="BX115" i="27" s="1"/>
  <c r="N60" i="27" a="1"/>
  <c r="N60" i="27" s="1"/>
  <c r="BX59" i="27" a="1"/>
  <c r="BX59" i="27" s="1"/>
  <c r="AJ126" i="27"/>
  <c r="AJ122" i="27" s="1"/>
  <c r="AJ124" i="27" s="1"/>
  <c r="AJ119" i="27"/>
  <c r="AL62" i="27"/>
  <c r="AL69" i="27"/>
  <c r="AT41" i="20"/>
  <c r="AS42" i="20"/>
  <c r="AX64" i="23" s="1"/>
  <c r="AV170" i="27"/>
  <c r="AX52" i="22"/>
  <c r="BH52" i="22" s="1"/>
  <c r="AW140" i="27"/>
  <c r="BG140" i="27" s="1"/>
  <c r="AJ49" i="20"/>
  <c r="AI50" i="20"/>
  <c r="AN84" i="23" s="1"/>
  <c r="AN86" i="23" s="1"/>
  <c r="AN68" i="23" s="1" a="1"/>
  <c r="AN68" i="23" s="1"/>
  <c r="AN141" i="27" s="1"/>
  <c r="AT115" i="27"/>
  <c r="AN58" i="27"/>
  <c r="AN60" i="27" s="1"/>
  <c r="AJ125" i="27" l="1"/>
  <c r="AK122" i="27"/>
  <c r="AK124" i="27" s="1"/>
  <c r="AJ180" i="27"/>
  <c r="AV172" i="27"/>
  <c r="AU41" i="20"/>
  <c r="AT42" i="20"/>
  <c r="AY64" i="23" s="1"/>
  <c r="N61" i="27" a="1"/>
  <c r="N61" i="27" s="1"/>
  <c r="BX60" i="27" a="1"/>
  <c r="BX60" i="27" s="1"/>
  <c r="N117" i="27" a="1"/>
  <c r="N117" i="27" s="1"/>
  <c r="BX116" i="27" a="1"/>
  <c r="BX116" i="27" s="1"/>
  <c r="M60" i="28" a="1"/>
  <c r="M60" i="28" s="1"/>
  <c r="AS59" i="28" a="1"/>
  <c r="AS59" i="28" s="1"/>
  <c r="M127" i="28" a="1"/>
  <c r="M127" i="28" s="1"/>
  <c r="AS126" i="28" a="1"/>
  <c r="AS126" i="28" s="1"/>
  <c r="N173" i="27" a="1"/>
  <c r="N173" i="27" s="1"/>
  <c r="BX172" i="27" a="1"/>
  <c r="BX172" i="27" s="1"/>
  <c r="BI84" i="23"/>
  <c r="AX86" i="23"/>
  <c r="AH70" i="28"/>
  <c r="AG72" i="28"/>
  <c r="AJ68" i="27"/>
  <c r="AK65" i="27"/>
  <c r="BG84" i="27"/>
  <c r="AV115" i="27"/>
  <c r="AK181" i="27"/>
  <c r="AK177" i="27" s="1"/>
  <c r="AK179" i="27" s="1"/>
  <c r="AK174" i="27"/>
  <c r="AW28" i="23" a="1"/>
  <c r="AW28" i="23" s="1"/>
  <c r="AW29" i="27" s="1"/>
  <c r="BH46" i="23"/>
  <c r="BH28" i="23" s="1" a="1"/>
  <c r="BH28" i="23" s="1"/>
  <c r="AT62" i="27"/>
  <c r="BE60" i="27"/>
  <c r="AT69" i="27"/>
  <c r="AT65" i="27" s="1"/>
  <c r="AT67" i="27"/>
  <c r="AE72" i="27" a="1"/>
  <c r="AE72" i="27" s="1"/>
  <c r="AE71" i="27" a="1"/>
  <c r="AE71" i="27" s="1"/>
  <c r="AE79" i="27" s="1"/>
  <c r="AE80" i="27" s="1"/>
  <c r="AL72" i="27" a="1"/>
  <c r="AL72" i="27" s="1"/>
  <c r="AL71" i="27" a="1"/>
  <c r="AL71" i="27" s="1"/>
  <c r="AP72" i="27" a="1"/>
  <c r="AP72" i="27" s="1"/>
  <c r="AP71" i="27" a="1"/>
  <c r="AP71" i="27" s="1"/>
  <c r="AT72" i="27" a="1"/>
  <c r="AT72" i="27" s="1"/>
  <c r="AT71" i="27" a="1"/>
  <c r="AT71" i="27" s="1"/>
  <c r="AX72" i="27" a="1"/>
  <c r="AX72" i="27" s="1"/>
  <c r="AX71" i="27" a="1"/>
  <c r="AX71" i="27" s="1"/>
  <c r="BB72" i="27" a="1"/>
  <c r="BB72" i="27" s="1"/>
  <c r="BB71" i="27" a="1"/>
  <c r="BB71" i="27" s="1"/>
  <c r="AK72" i="27" a="1"/>
  <c r="AK72" i="27" s="1"/>
  <c r="AK71" i="27" a="1"/>
  <c r="AK71" i="27" s="1"/>
  <c r="AO72" i="27" a="1"/>
  <c r="AO72" i="27" s="1"/>
  <c r="AO71" i="27" a="1"/>
  <c r="AO71" i="27" s="1"/>
  <c r="AS72" i="27" a="1"/>
  <c r="AS72" i="27" s="1"/>
  <c r="AS71" i="27" a="1"/>
  <c r="AS71" i="27" s="1"/>
  <c r="AW72" i="27" a="1"/>
  <c r="AW72" i="27" s="1"/>
  <c r="AW71" i="27" a="1"/>
  <c r="AW71" i="27" s="1"/>
  <c r="BA72" i="27" a="1"/>
  <c r="BA72" i="27" s="1"/>
  <c r="BA71" i="27" a="1"/>
  <c r="BA71" i="27" s="1"/>
  <c r="F72" i="27" a="1"/>
  <c r="F72" i="27" s="1"/>
  <c r="AK33" i="20"/>
  <c r="AJ34" i="20"/>
  <c r="AO44" i="23" s="1"/>
  <c r="AO46" i="23" s="1"/>
  <c r="AO28" i="23" s="1" a="1"/>
  <c r="AO28" i="23" s="1"/>
  <c r="AO29" i="27" s="1"/>
  <c r="AO58" i="27" s="1"/>
  <c r="AO60" i="27" s="1"/>
  <c r="AW48" i="23" a="1"/>
  <c r="AW48" i="23" s="1"/>
  <c r="AW84" i="27" s="1"/>
  <c r="BH66" i="23"/>
  <c r="BH48" i="23" s="1" a="1"/>
  <c r="BH48" i="23" s="1"/>
  <c r="AL204" i="28"/>
  <c r="AI206" i="28"/>
  <c r="S345" i="12" a="1"/>
  <c r="S345" i="12" s="1"/>
  <c r="U344" i="12"/>
  <c r="AN52" i="22"/>
  <c r="AM140" i="27"/>
  <c r="AM170" i="27" s="1"/>
  <c r="AM172" i="27" s="1"/>
  <c r="S77" i="12" a="1"/>
  <c r="S77" i="12" s="1"/>
  <c r="U76" i="12"/>
  <c r="M194" i="28" a="1"/>
  <c r="M194" i="28" s="1"/>
  <c r="AS193" i="28" a="1"/>
  <c r="AS193" i="28" s="1"/>
  <c r="S188" i="12" a="1"/>
  <c r="S188" i="12" s="1"/>
  <c r="U187" i="12"/>
  <c r="AK41" i="20"/>
  <c r="AJ42" i="20"/>
  <c r="AO64" i="23" s="1"/>
  <c r="AO66" i="23" s="1"/>
  <c r="AO48" i="23" s="1" a="1"/>
  <c r="AO48" i="23" s="1"/>
  <c r="AO84" i="27" s="1"/>
  <c r="AO115" i="27" s="1"/>
  <c r="AO117" i="27" s="1"/>
  <c r="AU33" i="20"/>
  <c r="AT34" i="20"/>
  <c r="AY44" i="23" s="1"/>
  <c r="BF115" i="27"/>
  <c r="AU117" i="27"/>
  <c r="AT188" i="27"/>
  <c r="AU186" i="27"/>
  <c r="AU187" i="27" s="1"/>
  <c r="AN62" i="27"/>
  <c r="AN69" i="27"/>
  <c r="AT117" i="27"/>
  <c r="BE115" i="27"/>
  <c r="AK49" i="20"/>
  <c r="AJ50" i="20"/>
  <c r="AO84" i="23" s="1"/>
  <c r="AO86" i="23" s="1"/>
  <c r="AO68" i="23" s="1" a="1"/>
  <c r="AO68" i="23" s="1"/>
  <c r="AO141" i="27" s="1"/>
  <c r="AY52" i="22"/>
  <c r="BI52" i="22"/>
  <c r="AX140" i="27"/>
  <c r="BH140" i="27" s="1"/>
  <c r="BI64" i="23"/>
  <c r="AX66" i="23"/>
  <c r="BG29" i="27"/>
  <c r="AV58" i="27"/>
  <c r="BI28" i="27"/>
  <c r="BJ34" i="22"/>
  <c r="AZ34" i="22"/>
  <c r="AY28" i="27"/>
  <c r="AU49" i="20"/>
  <c r="AT50" i="20"/>
  <c r="AY84" i="23" s="1"/>
  <c r="AZ43" i="22"/>
  <c r="AY83" i="27"/>
  <c r="BI83" i="27" s="1"/>
  <c r="AU172" i="27"/>
  <c r="BE172" i="27" s="1"/>
  <c r="BF170" i="27"/>
  <c r="AL137" i="28"/>
  <c r="AI139" i="28"/>
  <c r="BD115" i="27"/>
  <c r="AI117" i="27"/>
  <c r="AU60" i="27"/>
  <c r="BF58" i="27"/>
  <c r="AJ72" i="27" a="1"/>
  <c r="AJ72" i="27" s="1"/>
  <c r="AJ71" i="27" a="1"/>
  <c r="AJ71" i="27" s="1"/>
  <c r="AN72" i="27" a="1"/>
  <c r="AN72" i="27" s="1"/>
  <c r="AN71" i="27" a="1"/>
  <c r="AN71" i="27" s="1"/>
  <c r="AR72" i="27" a="1"/>
  <c r="AR72" i="27" s="1"/>
  <c r="AR71" i="27" a="1"/>
  <c r="AR71" i="27" s="1"/>
  <c r="AV72" i="27" a="1"/>
  <c r="AV72" i="27" s="1"/>
  <c r="AV71" i="27" a="1"/>
  <c r="AV71" i="27" s="1"/>
  <c r="AZ72" i="27" a="1"/>
  <c r="AZ72" i="27" s="1"/>
  <c r="AZ71" i="27" a="1"/>
  <c r="AZ71" i="27" s="1"/>
  <c r="AI72" i="27" a="1"/>
  <c r="AI72" i="27" s="1"/>
  <c r="AI71" i="27" a="1"/>
  <c r="AI71" i="27" s="1"/>
  <c r="AM72" i="27" a="1"/>
  <c r="AM72" i="27" s="1"/>
  <c r="AM71" i="27" a="1"/>
  <c r="AM71" i="27" s="1"/>
  <c r="AQ72" i="27" a="1"/>
  <c r="AQ72" i="27" s="1"/>
  <c r="AQ71" i="27" a="1"/>
  <c r="AQ71" i="27" s="1"/>
  <c r="AU72" i="27" a="1"/>
  <c r="AU72" i="27" s="1"/>
  <c r="AU71" i="27" a="1"/>
  <c r="AU71" i="27" s="1"/>
  <c r="AY72" i="27" a="1"/>
  <c r="AY72" i="27" s="1"/>
  <c r="AY71" i="27" a="1"/>
  <c r="AY71" i="27" s="1"/>
  <c r="BC72" i="27" a="1"/>
  <c r="BC72" i="27" s="1"/>
  <c r="BC71" i="27" a="1"/>
  <c r="BC71" i="27" s="1"/>
  <c r="AV133" i="27"/>
  <c r="AW131" i="27"/>
  <c r="AW132" i="27" s="1"/>
  <c r="AL70" i="28"/>
  <c r="AI72" i="28"/>
  <c r="AI172" i="27"/>
  <c r="BD170" i="27"/>
  <c r="AG172" i="27"/>
  <c r="AH170" i="27"/>
  <c r="AL133" i="27"/>
  <c r="AM131" i="27"/>
  <c r="AM132" i="27" s="1"/>
  <c r="AH137" i="28"/>
  <c r="AG139" i="28"/>
  <c r="AQ34" i="22"/>
  <c r="AP28" i="27"/>
  <c r="AT174" i="27"/>
  <c r="AT181" i="27"/>
  <c r="AW68" i="23" a="1"/>
  <c r="AW68" i="23" s="1"/>
  <c r="AW141" i="27" s="1"/>
  <c r="BH141" i="27" s="1"/>
  <c r="BH86" i="23"/>
  <c r="BH68" i="23" s="1" a="1"/>
  <c r="BH68" i="23" s="1"/>
  <c r="AL74" i="27"/>
  <c r="AL75" i="27" s="1"/>
  <c r="AT74" i="27"/>
  <c r="AT75" i="27" s="1"/>
  <c r="AH204" i="28"/>
  <c r="AG206" i="28"/>
  <c r="AL174" i="27"/>
  <c r="AL181" i="27"/>
  <c r="AG60" i="27"/>
  <c r="AH58" i="27"/>
  <c r="AH115" i="27"/>
  <c r="AG117" i="27"/>
  <c r="AN126" i="27"/>
  <c r="AN119" i="27"/>
  <c r="BI44" i="23"/>
  <c r="AX46" i="23"/>
  <c r="AJ188" i="27"/>
  <c r="AK186" i="27"/>
  <c r="AK187" i="27" s="1"/>
  <c r="AI60" i="27"/>
  <c r="BD58" i="27"/>
  <c r="AK180" i="27" l="1"/>
  <c r="AL177" i="27"/>
  <c r="AL179" i="27" s="1"/>
  <c r="AI69" i="27"/>
  <c r="AI65" i="27" s="1"/>
  <c r="AI68" i="27" s="1"/>
  <c r="AI62" i="27"/>
  <c r="BD60" i="27"/>
  <c r="AL76" i="27"/>
  <c r="AM74" i="27"/>
  <c r="AM75" i="27" s="1"/>
  <c r="AG174" i="27"/>
  <c r="AH174" i="27" s="1"/>
  <c r="AH172" i="27"/>
  <c r="AI181" i="27"/>
  <c r="AI174" i="27"/>
  <c r="BD172" i="27"/>
  <c r="AU69" i="27"/>
  <c r="AU62" i="27"/>
  <c r="BF60" i="27"/>
  <c r="AU181" i="27"/>
  <c r="AU177" i="27" s="1"/>
  <c r="AU179" i="27" s="1"/>
  <c r="AU174" i="27"/>
  <c r="BF172" i="27"/>
  <c r="BA43" i="22"/>
  <c r="BK43" i="22" s="1"/>
  <c r="AZ83" i="27"/>
  <c r="BJ84" i="23"/>
  <c r="AY86" i="23"/>
  <c r="BJ28" i="27"/>
  <c r="AV33" i="20"/>
  <c r="AU34" i="20"/>
  <c r="AZ44" i="23" s="1"/>
  <c r="AL41" i="20"/>
  <c r="AK42" i="20"/>
  <c r="AP64" i="23" s="1"/>
  <c r="AP66" i="23" s="1"/>
  <c r="AP48" i="23" s="1" a="1"/>
  <c r="AP48" i="23" s="1"/>
  <c r="AP84" i="27" s="1"/>
  <c r="AP115" i="27" s="1"/>
  <c r="AP117" i="27" s="1"/>
  <c r="S189" i="12" a="1"/>
  <c r="S189" i="12" s="1"/>
  <c r="U188" i="12"/>
  <c r="M195" i="28" a="1"/>
  <c r="M195" i="28" s="1"/>
  <c r="AS194" i="28" a="1"/>
  <c r="AS194" i="28" s="1"/>
  <c r="S78" i="12" a="1"/>
  <c r="S78" i="12" s="1"/>
  <c r="U77" i="12"/>
  <c r="AO52" i="22"/>
  <c r="AN140" i="27"/>
  <c r="AN170" i="27" s="1"/>
  <c r="AN172" i="27" s="1"/>
  <c r="S346" i="12" a="1"/>
  <c r="S346" i="12" s="1"/>
  <c r="U345" i="12"/>
  <c r="BH84" i="27"/>
  <c r="AW115" i="27"/>
  <c r="BG115" i="27" s="1"/>
  <c r="AL33" i="20"/>
  <c r="AK34" i="20"/>
  <c r="AP44" i="23" s="1"/>
  <c r="AP46" i="23" s="1"/>
  <c r="AP28" i="23" s="1" a="1"/>
  <c r="AP28" i="23" s="1"/>
  <c r="AP29" i="27" s="1"/>
  <c r="AP58" i="27" s="1"/>
  <c r="AP60" i="27" s="1"/>
  <c r="AT68" i="27"/>
  <c r="AU65" i="27"/>
  <c r="AH72" i="28"/>
  <c r="AG74" i="28"/>
  <c r="AH74" i="28" s="1"/>
  <c r="BI86" i="23"/>
  <c r="BI68" i="23" s="1" a="1"/>
  <c r="BI68" i="23" s="1"/>
  <c r="AX68" i="23" a="1"/>
  <c r="AX68" i="23" s="1"/>
  <c r="AX141" i="27" s="1"/>
  <c r="BI141" i="27" s="1"/>
  <c r="BJ64" i="23"/>
  <c r="AY66" i="23"/>
  <c r="AV174" i="27"/>
  <c r="AV181" i="27"/>
  <c r="AK125" i="27"/>
  <c r="AL122" i="27"/>
  <c r="AL124" i="27" s="1"/>
  <c r="AG119" i="27"/>
  <c r="AH119" i="27" s="1"/>
  <c r="AH117" i="27"/>
  <c r="AK188" i="27"/>
  <c r="AL186" i="27"/>
  <c r="AL187" i="27" s="1"/>
  <c r="BI46" i="23"/>
  <c r="BI28" i="23" s="1" a="1"/>
  <c r="BI28" i="23" s="1"/>
  <c r="AX28" i="23" a="1"/>
  <c r="AX28" i="23" s="1"/>
  <c r="AX29" i="27" s="1"/>
  <c r="AG62" i="27"/>
  <c r="AH62" i="27" s="1"/>
  <c r="AH60" i="27"/>
  <c r="AH206" i="28"/>
  <c r="AG208" i="28"/>
  <c r="AH208" i="28" s="1"/>
  <c r="AT76" i="27"/>
  <c r="AU74" i="27"/>
  <c r="AU75" i="27" s="1"/>
  <c r="BE174" i="27"/>
  <c r="AR34" i="22"/>
  <c r="AQ28" i="27"/>
  <c r="AH139" i="28"/>
  <c r="AG141" i="28"/>
  <c r="AH141" i="28" s="1"/>
  <c r="AM133" i="27"/>
  <c r="AN131" i="27"/>
  <c r="AN132" i="27" s="1"/>
  <c r="AI81" i="28"/>
  <c r="AL81" i="28" s="1"/>
  <c r="AI79" i="28"/>
  <c r="AL72" i="28"/>
  <c r="AI74" i="28"/>
  <c r="AW133" i="27"/>
  <c r="AX131" i="27"/>
  <c r="AX132" i="27" s="1"/>
  <c r="AI126" i="27"/>
  <c r="AI119" i="27"/>
  <c r="BD117" i="27"/>
  <c r="AI148" i="28"/>
  <c r="AL148" i="28" s="1"/>
  <c r="AI146" i="28"/>
  <c r="AL139" i="28"/>
  <c r="AI141" i="28"/>
  <c r="BJ83" i="27"/>
  <c r="BJ43" i="22"/>
  <c r="AV49" i="20"/>
  <c r="AU50" i="20"/>
  <c r="AZ84" i="23" s="1"/>
  <c r="BA34" i="22"/>
  <c r="BK34" i="22"/>
  <c r="AZ28" i="27"/>
  <c r="BG58" i="27"/>
  <c r="AV60" i="27"/>
  <c r="BI66" i="23"/>
  <c r="BI48" i="23" s="1" a="1"/>
  <c r="BI48" i="23" s="1"/>
  <c r="AX48" i="23" a="1"/>
  <c r="AX48" i="23" s="1"/>
  <c r="AX84" i="27" s="1"/>
  <c r="AX170" i="27"/>
  <c r="AZ52" i="22"/>
  <c r="BJ52" i="22" s="1"/>
  <c r="AY140" i="27"/>
  <c r="AL49" i="20"/>
  <c r="AK50" i="20"/>
  <c r="AP84" i="23" s="1"/>
  <c r="AP86" i="23" s="1"/>
  <c r="AP68" i="23" s="1" a="1"/>
  <c r="AP68" i="23" s="1"/>
  <c r="AP141" i="27" s="1"/>
  <c r="AT126" i="27"/>
  <c r="AT119" i="27"/>
  <c r="BE117" i="27"/>
  <c r="AU188" i="27"/>
  <c r="AV186" i="27"/>
  <c r="AV187" i="27" s="1"/>
  <c r="AU126" i="27"/>
  <c r="AU122" i="27" s="1"/>
  <c r="AU124" i="27" s="1"/>
  <c r="AU119" i="27"/>
  <c r="BJ44" i="23"/>
  <c r="AY46" i="23"/>
  <c r="AO126" i="27"/>
  <c r="AO119" i="27"/>
  <c r="AM181" i="27"/>
  <c r="AM174" i="27"/>
  <c r="AI215" i="28"/>
  <c r="AL215" i="28" s="1"/>
  <c r="AI213" i="28"/>
  <c r="AL206" i="28"/>
  <c r="AI208" i="28"/>
  <c r="AO69" i="27"/>
  <c r="AO62" i="27"/>
  <c r="F73" i="27" a="1"/>
  <c r="F73" i="27" s="1"/>
  <c r="BE62" i="27"/>
  <c r="BH29" i="27"/>
  <c r="AW58" i="27"/>
  <c r="AV117" i="27"/>
  <c r="AK67" i="27"/>
  <c r="N174" i="27" a="1"/>
  <c r="N174" i="27" s="1"/>
  <c r="BX173" i="27" a="1"/>
  <c r="BX173" i="27" s="1"/>
  <c r="M128" i="28" a="1"/>
  <c r="M128" i="28" s="1"/>
  <c r="AS127" i="28" a="1"/>
  <c r="AS127" i="28" s="1"/>
  <c r="M61" i="28" a="1"/>
  <c r="M61" i="28" s="1"/>
  <c r="AS60" i="28" a="1"/>
  <c r="AS60" i="28" s="1"/>
  <c r="N118" i="27" a="1"/>
  <c r="N118" i="27" s="1"/>
  <c r="BX117" i="27" a="1"/>
  <c r="BX117" i="27" s="1"/>
  <c r="N62" i="27" a="1"/>
  <c r="N62" i="27" s="1"/>
  <c r="BX61" i="27" a="1"/>
  <c r="BX61" i="27" s="1"/>
  <c r="AV41" i="20"/>
  <c r="AU42" i="20"/>
  <c r="AZ64" i="23" s="1"/>
  <c r="AW170" i="27"/>
  <c r="AU125" i="27" l="1"/>
  <c r="AP62" i="27"/>
  <c r="AP69" i="27"/>
  <c r="AW172" i="27"/>
  <c r="BH170" i="27"/>
  <c r="BG170" i="27"/>
  <c r="N63" i="27" a="1"/>
  <c r="N63" i="27" s="1"/>
  <c r="BX62" i="27" a="1"/>
  <c r="BX62" i="27" s="1"/>
  <c r="M129" i="28" a="1"/>
  <c r="M129" i="28" s="1"/>
  <c r="AS128" i="28" a="1"/>
  <c r="AS128" i="28" s="1"/>
  <c r="AK68" i="27"/>
  <c r="AL65" i="27"/>
  <c r="BE119" i="27"/>
  <c r="AX172" i="27"/>
  <c r="BK84" i="23"/>
  <c r="AZ86" i="23"/>
  <c r="AI135" i="27"/>
  <c r="AI136" i="27"/>
  <c r="BD119" i="27"/>
  <c r="AS34" i="22"/>
  <c r="AS28" i="27" s="1"/>
  <c r="AR28" i="27"/>
  <c r="AU76" i="27"/>
  <c r="AV74" i="27"/>
  <c r="AV75" i="27" s="1"/>
  <c r="BI29" i="27"/>
  <c r="AX58" i="27"/>
  <c r="AL188" i="27"/>
  <c r="AM186" i="27"/>
  <c r="AM187" i="27" s="1"/>
  <c r="AL125" i="27"/>
  <c r="AM122" i="27"/>
  <c r="AM124" i="27" s="1"/>
  <c r="AY48" i="23" a="1"/>
  <c r="AY48" i="23" s="1"/>
  <c r="AY84" i="27" s="1"/>
  <c r="BJ66" i="23"/>
  <c r="BJ48" i="23" s="1" a="1"/>
  <c r="BJ48" i="23" s="1"/>
  <c r="AW117" i="27"/>
  <c r="AN174" i="27"/>
  <c r="AN181" i="27"/>
  <c r="AP126" i="27"/>
  <c r="AP119" i="27"/>
  <c r="BK44" i="23"/>
  <c r="AZ46" i="23"/>
  <c r="AY68" i="23" a="1"/>
  <c r="AY68" i="23" s="1"/>
  <c r="AY141" i="27" s="1"/>
  <c r="BJ141" i="27" s="1"/>
  <c r="BJ86" i="23"/>
  <c r="BJ68" i="23" s="1" a="1"/>
  <c r="BJ68" i="23" s="1"/>
  <c r="BB43" i="22"/>
  <c r="BL43" i="22" s="1"/>
  <c r="BA83" i="27"/>
  <c r="BK83" i="27" s="1"/>
  <c r="BF174" i="27"/>
  <c r="BF62" i="27"/>
  <c r="AI190" i="27"/>
  <c r="BD174" i="27"/>
  <c r="AI191" i="27"/>
  <c r="AI78" i="27"/>
  <c r="BD62" i="27"/>
  <c r="AI79" i="27"/>
  <c r="AL180" i="27"/>
  <c r="AM177" i="27"/>
  <c r="AM179" i="27" s="1"/>
  <c r="AW41" i="20"/>
  <c r="AV42" i="20"/>
  <c r="BA64" i="23" s="1"/>
  <c r="N119" i="27" a="1"/>
  <c r="N119" i="27" s="1"/>
  <c r="BX118" i="27" a="1"/>
  <c r="BX118" i="27" s="1"/>
  <c r="M62" i="28" a="1"/>
  <c r="M62" i="28" s="1"/>
  <c r="AS61" i="28" a="1"/>
  <c r="AS61" i="28" s="1"/>
  <c r="N175" i="27" a="1"/>
  <c r="N175" i="27" s="1"/>
  <c r="BX174" i="27" a="1"/>
  <c r="BX174" i="27" s="1"/>
  <c r="AW60" i="27"/>
  <c r="BH58" i="27"/>
  <c r="BK64" i="23"/>
  <c r="AZ66" i="23"/>
  <c r="AV126" i="27"/>
  <c r="AV122" i="27" s="1"/>
  <c r="AV124" i="27" s="1"/>
  <c r="AV119" i="27"/>
  <c r="BG117" i="27"/>
  <c r="F74" i="27" a="1"/>
  <c r="F74" i="27" s="1"/>
  <c r="AI225" i="28"/>
  <c r="AL208" i="28"/>
  <c r="AI214" i="28"/>
  <c r="AL214" i="28" s="1"/>
  <c r="AL213" i="28"/>
  <c r="AY28" i="23" a="1"/>
  <c r="AY28" i="23" s="1"/>
  <c r="AY29" i="27" s="1"/>
  <c r="BJ46" i="23"/>
  <c r="BJ28" i="23" s="1" a="1"/>
  <c r="BJ28" i="23" s="1"/>
  <c r="BF117" i="27"/>
  <c r="AV188" i="27"/>
  <c r="AW186" i="27"/>
  <c r="AW187" i="27" s="1"/>
  <c r="AM49" i="20"/>
  <c r="AL50" i="20"/>
  <c r="AQ84" i="23" s="1"/>
  <c r="AQ86" i="23" s="1"/>
  <c r="AQ68" i="23" s="1" a="1"/>
  <c r="AQ68" i="23" s="1"/>
  <c r="AQ141" i="27" s="1"/>
  <c r="BA52" i="22"/>
  <c r="BK52" i="22"/>
  <c r="AZ140" i="27"/>
  <c r="BI140" i="27"/>
  <c r="BI84" i="27"/>
  <c r="AX115" i="27"/>
  <c r="AV62" i="27"/>
  <c r="BG60" i="27"/>
  <c r="AV69" i="27"/>
  <c r="BK28" i="27"/>
  <c r="BL34" i="22"/>
  <c r="BB34" i="22"/>
  <c r="BA28" i="27"/>
  <c r="AW49" i="20"/>
  <c r="AV50" i="20"/>
  <c r="BA84" i="23" s="1"/>
  <c r="AI158" i="28"/>
  <c r="AL141" i="28"/>
  <c r="AI147" i="28"/>
  <c r="AL147" i="28" s="1"/>
  <c r="AL146" i="28"/>
  <c r="AX133" i="27"/>
  <c r="AY131" i="27"/>
  <c r="AY132" i="27" s="1"/>
  <c r="AI91" i="28"/>
  <c r="AL74" i="28"/>
  <c r="AI80" i="28"/>
  <c r="AL80" i="28" s="1"/>
  <c r="AL79" i="28"/>
  <c r="AN133" i="27"/>
  <c r="AO131" i="27"/>
  <c r="AO132" i="27" s="1"/>
  <c r="AM33" i="20"/>
  <c r="AL34" i="20"/>
  <c r="AQ44" i="23" s="1"/>
  <c r="AQ46" i="23" s="1"/>
  <c r="AQ28" i="23" s="1" a="1"/>
  <c r="AQ28" i="23" s="1"/>
  <c r="AQ29" i="27" s="1"/>
  <c r="AQ58" i="27" s="1"/>
  <c r="AQ60" i="27" s="1"/>
  <c r="U346" i="12"/>
  <c r="S347" i="12" a="1"/>
  <c r="S347" i="12" s="1"/>
  <c r="AP52" i="22"/>
  <c r="AO140" i="27"/>
  <c r="AO170" i="27" s="1"/>
  <c r="AO172" i="27" s="1"/>
  <c r="S79" i="12" a="1"/>
  <c r="S79" i="12" s="1"/>
  <c r="U78" i="12"/>
  <c r="M196" i="28" a="1"/>
  <c r="M196" i="28" s="1"/>
  <c r="AS195" i="28" a="1"/>
  <c r="AS195" i="28" s="1"/>
  <c r="S190" i="12" a="1"/>
  <c r="S190" i="12" s="1"/>
  <c r="U189" i="12"/>
  <c r="AM41" i="20"/>
  <c r="AL42" i="20"/>
  <c r="AQ64" i="23" s="1"/>
  <c r="AQ66" i="23" s="1"/>
  <c r="AQ48" i="23" s="1" a="1"/>
  <c r="AQ48" i="23" s="1"/>
  <c r="AQ84" i="27" s="1"/>
  <c r="AQ115" i="27" s="1"/>
  <c r="AQ117" i="27" s="1"/>
  <c r="AW33" i="20"/>
  <c r="AV34" i="20"/>
  <c r="BA44" i="23" s="1"/>
  <c r="AV177" i="27"/>
  <c r="AV179" i="27" s="1"/>
  <c r="AU180" i="27"/>
  <c r="AU67" i="27"/>
  <c r="AM76" i="27"/>
  <c r="AN74" i="27"/>
  <c r="AN75" i="27" s="1"/>
  <c r="AV125" i="27" l="1"/>
  <c r="AQ69" i="27"/>
  <c r="AQ62" i="27"/>
  <c r="BL44" i="23"/>
  <c r="BA46" i="23"/>
  <c r="AO181" i="27"/>
  <c r="AO174" i="27"/>
  <c r="S348" i="12" a="1"/>
  <c r="S348" i="12" s="1"/>
  <c r="U347" i="12"/>
  <c r="AI92" i="28"/>
  <c r="AL91" i="28"/>
  <c r="AI159" i="28"/>
  <c r="AL158" i="28"/>
  <c r="AX49" i="20"/>
  <c r="AX50" i="20" s="1"/>
  <c r="BC84" i="23" s="1"/>
  <c r="BC86" i="23" s="1"/>
  <c r="BC68" i="23" s="1" a="1"/>
  <c r="BC68" i="23" s="1"/>
  <c r="BC141" i="27" s="1"/>
  <c r="AW50" i="20"/>
  <c r="BB84" i="23" s="1"/>
  <c r="BC34" i="22"/>
  <c r="BC28" i="27" s="1"/>
  <c r="BM34" i="22"/>
  <c r="BB28" i="27"/>
  <c r="AX117" i="27"/>
  <c r="BJ29" i="27"/>
  <c r="AY58" i="27"/>
  <c r="AN76" i="27"/>
  <c r="AO74" i="27"/>
  <c r="AU68" i="27"/>
  <c r="AV65" i="27"/>
  <c r="AV180" i="27"/>
  <c r="AX33" i="20"/>
  <c r="AX34" i="20" s="1"/>
  <c r="BC44" i="23" s="1"/>
  <c r="BC46" i="23" s="1"/>
  <c r="BC28" i="23" s="1" a="1"/>
  <c r="BC28" i="23" s="1"/>
  <c r="BC29" i="27" s="1"/>
  <c r="AW34" i="20"/>
  <c r="BB44" i="23" s="1"/>
  <c r="AN41" i="20"/>
  <c r="AN42" i="20" s="1"/>
  <c r="AS64" i="23" s="1"/>
  <c r="AS66" i="23" s="1"/>
  <c r="AS48" i="23" s="1" a="1"/>
  <c r="AS48" i="23" s="1"/>
  <c r="AS84" i="27" s="1"/>
  <c r="AS115" i="27" s="1"/>
  <c r="AS117" i="27" s="1"/>
  <c r="AM42" i="20"/>
  <c r="AR64" i="23" s="1"/>
  <c r="AR66" i="23" s="1"/>
  <c r="AR48" i="23" s="1" a="1"/>
  <c r="AR48" i="23" s="1"/>
  <c r="AR84" i="27" s="1"/>
  <c r="AR115" i="27" s="1"/>
  <c r="AR117" i="27" s="1"/>
  <c r="S191" i="12" a="1"/>
  <c r="S191" i="12" s="1"/>
  <c r="U190" i="12"/>
  <c r="M197" i="28" a="1"/>
  <c r="M197" i="28" s="1"/>
  <c r="AS196" i="28" a="1"/>
  <c r="AS196" i="28" s="1"/>
  <c r="S80" i="12" a="1"/>
  <c r="S80" i="12" s="1"/>
  <c r="U79" i="12"/>
  <c r="AQ52" i="22"/>
  <c r="AP140" i="27"/>
  <c r="AP170" i="27" s="1"/>
  <c r="AP172" i="27" s="1"/>
  <c r="AN33" i="20"/>
  <c r="AN34" i="20" s="1"/>
  <c r="AS44" i="23" s="1"/>
  <c r="AS46" i="23" s="1"/>
  <c r="AS28" i="23" s="1" a="1"/>
  <c r="AS28" i="23" s="1"/>
  <c r="AS29" i="27" s="1"/>
  <c r="AM34" i="20"/>
  <c r="AR44" i="23" s="1"/>
  <c r="AR46" i="23" s="1"/>
  <c r="AR28" i="23" s="1" a="1"/>
  <c r="AR28" i="23" s="1"/>
  <c r="AR29" i="27" s="1"/>
  <c r="AO133" i="27"/>
  <c r="AP131" i="27"/>
  <c r="AP132" i="27" s="1"/>
  <c r="AY133" i="27"/>
  <c r="AZ131" i="27"/>
  <c r="AZ132" i="27" s="1"/>
  <c r="BL84" i="23"/>
  <c r="BA86" i="23"/>
  <c r="BL28" i="27"/>
  <c r="BG62" i="27"/>
  <c r="BB52" i="22"/>
  <c r="BL52" i="22" s="1"/>
  <c r="BA140" i="27"/>
  <c r="BK140" i="27" s="1"/>
  <c r="AN49" i="20"/>
  <c r="AN50" i="20" s="1"/>
  <c r="AS84" i="23" s="1"/>
  <c r="AS86" i="23" s="1"/>
  <c r="AS68" i="23" s="1" a="1"/>
  <c r="AS68" i="23" s="1"/>
  <c r="AS141" i="27" s="1"/>
  <c r="AM50" i="20"/>
  <c r="AR84" i="23" s="1"/>
  <c r="AR86" i="23" s="1"/>
  <c r="AR68" i="23" s="1" a="1"/>
  <c r="AR68" i="23" s="1"/>
  <c r="AR141" i="27" s="1"/>
  <c r="F75" i="27" a="1"/>
  <c r="F75" i="27" s="1"/>
  <c r="AW69" i="27"/>
  <c r="AW62" i="27"/>
  <c r="BH60" i="27"/>
  <c r="N176" i="27" a="1"/>
  <c r="N176" i="27" s="1"/>
  <c r="BX175" i="27" a="1"/>
  <c r="BX175" i="27" s="1"/>
  <c r="M63" i="28" a="1"/>
  <c r="M63" i="28" s="1"/>
  <c r="AS62" i="28" a="1"/>
  <c r="AS62" i="28" s="1"/>
  <c r="N120" i="27" a="1"/>
  <c r="N120" i="27" s="1"/>
  <c r="BX119" i="27" a="1"/>
  <c r="BX119" i="27" s="1"/>
  <c r="AX41" i="20"/>
  <c r="AX42" i="20" s="1"/>
  <c r="BC64" i="23" s="1"/>
  <c r="BC66" i="23" s="1"/>
  <c r="BC48" i="23" s="1" a="1"/>
  <c r="BC48" i="23" s="1"/>
  <c r="BC84" i="27" s="1"/>
  <c r="AW42" i="20"/>
  <c r="BB64" i="23" s="1"/>
  <c r="AI192" i="27"/>
  <c r="AJ190" i="27"/>
  <c r="AJ191" i="27" s="1"/>
  <c r="AT190" i="27"/>
  <c r="AT191" i="27" s="1"/>
  <c r="BC43" i="22"/>
  <c r="BC83" i="27" s="1"/>
  <c r="BB83" i="27"/>
  <c r="BL83" i="27" s="1"/>
  <c r="BK46" i="23"/>
  <c r="BK28" i="23" s="1" a="1"/>
  <c r="BK28" i="23" s="1"/>
  <c r="AZ28" i="23" a="1"/>
  <c r="AZ28" i="23" s="1"/>
  <c r="AZ29" i="27" s="1"/>
  <c r="AW126" i="27"/>
  <c r="AW122" i="27" s="1"/>
  <c r="AW124" i="27" s="1"/>
  <c r="AW119" i="27"/>
  <c r="BH117" i="27"/>
  <c r="AM125" i="27"/>
  <c r="AN122" i="27"/>
  <c r="AN124" i="27" s="1"/>
  <c r="AM188" i="27"/>
  <c r="AN186" i="27"/>
  <c r="AN187" i="27" s="1"/>
  <c r="BI58" i="27"/>
  <c r="AX60" i="27"/>
  <c r="AV76" i="27"/>
  <c r="AW74" i="27"/>
  <c r="AW75" i="27" s="1"/>
  <c r="AR58" i="27"/>
  <c r="AR60" i="27" s="1"/>
  <c r="AY170" i="27"/>
  <c r="BF119" i="27"/>
  <c r="M130" i="28" a="1"/>
  <c r="M130" i="28" s="1"/>
  <c r="AS129" i="28" a="1"/>
  <c r="AS129" i="28" s="1"/>
  <c r="N64" i="27" a="1"/>
  <c r="N64" i="27" s="1"/>
  <c r="BX63" i="27" a="1"/>
  <c r="BX63" i="27" s="1"/>
  <c r="AQ126" i="27"/>
  <c r="AQ119" i="27"/>
  <c r="AW188" i="27"/>
  <c r="AX186" i="27"/>
  <c r="AX187" i="27" s="1"/>
  <c r="AI226" i="28"/>
  <c r="AL225" i="28"/>
  <c r="BK66" i="23"/>
  <c r="BK48" i="23" s="1" a="1"/>
  <c r="BK48" i="23" s="1"/>
  <c r="AZ48" i="23" a="1"/>
  <c r="AZ48" i="23" s="1"/>
  <c r="AZ84" i="27" s="1"/>
  <c r="BL64" i="23"/>
  <c r="BA66" i="23"/>
  <c r="AM180" i="27"/>
  <c r="AN177" i="27"/>
  <c r="AN179" i="27" s="1"/>
  <c r="AI80" i="27"/>
  <c r="AJ78" i="27"/>
  <c r="AJ79" i="27" s="1"/>
  <c r="AT78" i="27"/>
  <c r="AT79" i="27" s="1"/>
  <c r="BH115" i="27"/>
  <c r="BJ84" i="27"/>
  <c r="AY115" i="27"/>
  <c r="AS58" i="27"/>
  <c r="AS60" i="27" s="1"/>
  <c r="AI137" i="27"/>
  <c r="AJ135" i="27"/>
  <c r="AJ136" i="27" s="1"/>
  <c r="BK86" i="23"/>
  <c r="BK68" i="23" s="1" a="1"/>
  <c r="BK68" i="23" s="1"/>
  <c r="AZ68" i="23" a="1"/>
  <c r="AZ68" i="23" s="1"/>
  <c r="AZ141" i="27" s="1"/>
  <c r="BK141" i="27" s="1"/>
  <c r="AX174" i="27"/>
  <c r="AX181" i="27"/>
  <c r="BJ140" i="27"/>
  <c r="AT135" i="27"/>
  <c r="AT136" i="27" s="1"/>
  <c r="AL67" i="27"/>
  <c r="AW181" i="27"/>
  <c r="AW177" i="27" s="1"/>
  <c r="AW179" i="27" s="1"/>
  <c r="AW174" i="27"/>
  <c r="BH172" i="27"/>
  <c r="BG172" i="27"/>
  <c r="BC115" i="27" l="1"/>
  <c r="BC117" i="27" s="1"/>
  <c r="BC126" i="27" s="1"/>
  <c r="AX177" i="27"/>
  <c r="AX179" i="27" s="1"/>
  <c r="AW180" i="27"/>
  <c r="AW125" i="27"/>
  <c r="AS69" i="27"/>
  <c r="AS62" i="27"/>
  <c r="AY172" i="27"/>
  <c r="BI170" i="27"/>
  <c r="AW76" i="27"/>
  <c r="AX74" i="27"/>
  <c r="AX62" i="27"/>
  <c r="BI60" i="27"/>
  <c r="AX69" i="27"/>
  <c r="AN188" i="27"/>
  <c r="AO186" i="27"/>
  <c r="AO187" i="27" s="1"/>
  <c r="AN125" i="27"/>
  <c r="AO122" i="27"/>
  <c r="AO124" i="27" s="1"/>
  <c r="BC119" i="27"/>
  <c r="AJ192" i="27"/>
  <c r="AK190" i="27"/>
  <c r="AK191" i="27" s="1"/>
  <c r="BH174" i="27"/>
  <c r="BG174" i="27"/>
  <c r="AY117" i="27"/>
  <c r="AJ80" i="27"/>
  <c r="AK78" i="27"/>
  <c r="AK79" i="27" s="1"/>
  <c r="AN180" i="27"/>
  <c r="AO177" i="27"/>
  <c r="AO179" i="27" s="1"/>
  <c r="BA48" i="23" a="1"/>
  <c r="BA48" i="23" s="1"/>
  <c r="BA84" i="27" s="1"/>
  <c r="BL66" i="23"/>
  <c r="BL48" i="23" s="1" a="1"/>
  <c r="BL48" i="23" s="1"/>
  <c r="BK84" i="27"/>
  <c r="AZ115" i="27"/>
  <c r="AX188" i="27"/>
  <c r="AY186" i="27"/>
  <c r="AY187" i="27" s="1"/>
  <c r="N65" i="27" a="1"/>
  <c r="N65" i="27" s="1"/>
  <c r="BX64" i="27" a="1"/>
  <c r="BX64" i="27" s="1"/>
  <c r="M131" i="28" a="1"/>
  <c r="M131" i="28" s="1"/>
  <c r="AS130" i="28" a="1"/>
  <c r="AS130" i="28" s="1"/>
  <c r="AR62" i="27"/>
  <c r="AR69" i="27"/>
  <c r="BM43" i="22"/>
  <c r="AT192" i="27"/>
  <c r="AU190" i="27"/>
  <c r="AU191" i="27" s="1"/>
  <c r="N121" i="27" a="1"/>
  <c r="N121" i="27" s="1"/>
  <c r="BX120" i="27" a="1"/>
  <c r="BX120" i="27" s="1"/>
  <c r="M64" i="28" a="1"/>
  <c r="M64" i="28" s="1"/>
  <c r="AS63" i="28" a="1"/>
  <c r="AS63" i="28" s="1"/>
  <c r="N177" i="27" a="1"/>
  <c r="N177" i="27" s="1"/>
  <c r="BX176" i="27" a="1"/>
  <c r="BX176" i="27" s="1"/>
  <c r="BH62" i="27"/>
  <c r="BG119" i="27"/>
  <c r="F76" i="27" a="1"/>
  <c r="F76" i="27" s="1"/>
  <c r="BC52" i="22"/>
  <c r="BC140" i="27" s="1"/>
  <c r="BC170" i="27" s="1"/>
  <c r="BC172" i="27" s="1"/>
  <c r="BB140" i="27"/>
  <c r="AR52" i="22"/>
  <c r="AQ140" i="27"/>
  <c r="AQ170" i="27" s="1"/>
  <c r="AQ172" i="27" s="1"/>
  <c r="S81" i="12" a="1"/>
  <c r="S81" i="12" s="1"/>
  <c r="U80" i="12"/>
  <c r="M198" i="28" a="1"/>
  <c r="M198" i="28" s="1"/>
  <c r="AS197" i="28" a="1"/>
  <c r="AS197" i="28" s="1"/>
  <c r="S192" i="12" a="1"/>
  <c r="S192" i="12" s="1"/>
  <c r="U191" i="12"/>
  <c r="AS126" i="27"/>
  <c r="AS119" i="27"/>
  <c r="AX126" i="27"/>
  <c r="AX122" i="27" s="1"/>
  <c r="AX124" i="27" s="1"/>
  <c r="AX119" i="27"/>
  <c r="BH119" i="27" s="1"/>
  <c r="BI117" i="27"/>
  <c r="BM84" i="23"/>
  <c r="BB86" i="23"/>
  <c r="AL68" i="27"/>
  <c r="AM65" i="27"/>
  <c r="AT137" i="27"/>
  <c r="AU135" i="27"/>
  <c r="AU136" i="27" s="1"/>
  <c r="AJ137" i="27"/>
  <c r="AK135" i="27"/>
  <c r="AK136" i="27" s="1"/>
  <c r="AT80" i="27"/>
  <c r="AU78" i="27"/>
  <c r="AU79" i="27" s="1"/>
  <c r="BK29" i="27"/>
  <c r="AZ58" i="27"/>
  <c r="BM83" i="27"/>
  <c r="BM64" i="23"/>
  <c r="BB66" i="23"/>
  <c r="BL140" i="27"/>
  <c r="AZ170" i="27"/>
  <c r="BA68" i="23" a="1"/>
  <c r="BA68" i="23" s="1"/>
  <c r="BA141" i="27" s="1"/>
  <c r="BL141" i="27" s="1"/>
  <c r="BL86" i="23"/>
  <c r="BL68" i="23" s="1" a="1"/>
  <c r="BL68" i="23" s="1"/>
  <c r="AZ133" i="27"/>
  <c r="BA131" i="27"/>
  <c r="BA132" i="27" s="1"/>
  <c r="AP133" i="27"/>
  <c r="AQ131" i="27"/>
  <c r="AQ132" i="27" s="1"/>
  <c r="AP174" i="27"/>
  <c r="AP181" i="27"/>
  <c r="AR126" i="27"/>
  <c r="AR119" i="27"/>
  <c r="BM44" i="23"/>
  <c r="BB46" i="23"/>
  <c r="AV67" i="27"/>
  <c r="AO75" i="27"/>
  <c r="AY60" i="27"/>
  <c r="BJ58" i="27"/>
  <c r="BI115" i="27"/>
  <c r="BM28" i="27"/>
  <c r="BC58" i="27"/>
  <c r="BC60" i="27" s="1"/>
  <c r="S349" i="12" a="1"/>
  <c r="S349" i="12" s="1"/>
  <c r="U348" i="12"/>
  <c r="BA28" i="23" a="1"/>
  <c r="BA28" i="23" s="1"/>
  <c r="BA29" i="27" s="1"/>
  <c r="BL46" i="23"/>
  <c r="BL28" i="23" s="1" a="1"/>
  <c r="BL28" i="23" s="1"/>
  <c r="AX125" i="27" l="1"/>
  <c r="BM66" i="23"/>
  <c r="BM48" i="23" s="1" a="1"/>
  <c r="BM48" i="23" s="1"/>
  <c r="BB48" i="23" a="1"/>
  <c r="BB48" i="23" s="1"/>
  <c r="BB84" i="27" s="1"/>
  <c r="AU80" i="27"/>
  <c r="AV78" i="27"/>
  <c r="AV79" i="27" s="1"/>
  <c r="AM67" i="27"/>
  <c r="BM86" i="23"/>
  <c r="BM68" i="23" s="1" a="1"/>
  <c r="BM68" i="23" s="1"/>
  <c r="BB68" i="23" a="1"/>
  <c r="BB68" i="23" s="1"/>
  <c r="BB141" i="27" s="1"/>
  <c r="BM141" i="27" s="1"/>
  <c r="AQ181" i="27"/>
  <c r="AQ174" i="27"/>
  <c r="BB170" i="27"/>
  <c r="BM140" i="27"/>
  <c r="BC181" i="27"/>
  <c r="BC174" i="27"/>
  <c r="F77" i="27" a="1"/>
  <c r="F77" i="27" s="1"/>
  <c r="N178" i="27" a="1"/>
  <c r="N178" i="27" s="1"/>
  <c r="BX177" i="27" a="1"/>
  <c r="BX177" i="27" s="1"/>
  <c r="M65" i="28" a="1"/>
  <c r="M65" i="28" s="1"/>
  <c r="AS64" i="28" a="1"/>
  <c r="AS64" i="28" s="1"/>
  <c r="N122" i="27" a="1"/>
  <c r="N122" i="27" s="1"/>
  <c r="BX121" i="27" a="1"/>
  <c r="BX121" i="27" s="1"/>
  <c r="AY188" i="27"/>
  <c r="AZ186" i="27"/>
  <c r="AZ187" i="27" s="1"/>
  <c r="AZ117" i="27"/>
  <c r="AO180" i="27"/>
  <c r="AP177" i="27"/>
  <c r="AP179" i="27" s="1"/>
  <c r="AK80" i="27"/>
  <c r="AL78" i="27"/>
  <c r="AL79" i="27" s="1"/>
  <c r="AY126" i="27"/>
  <c r="AY122" i="27" s="1"/>
  <c r="AY124" i="27" s="1"/>
  <c r="AY119" i="27"/>
  <c r="BJ117" i="27"/>
  <c r="AO125" i="27"/>
  <c r="AP122" i="27"/>
  <c r="AP124" i="27" s="1"/>
  <c r="AO188" i="27"/>
  <c r="AP186" i="27"/>
  <c r="AP187" i="27" s="1"/>
  <c r="AX75" i="27"/>
  <c r="AY181" i="27"/>
  <c r="AY174" i="27"/>
  <c r="BI172" i="27"/>
  <c r="BL29" i="27"/>
  <c r="BA58" i="27"/>
  <c r="U349" i="12"/>
  <c r="S350" i="12" a="1"/>
  <c r="S350" i="12" s="1"/>
  <c r="AY69" i="27"/>
  <c r="AY62" i="27"/>
  <c r="BJ60" i="27"/>
  <c r="AO76" i="27"/>
  <c r="AP74" i="27"/>
  <c r="AP75" i="27" s="1"/>
  <c r="BK58" i="27"/>
  <c r="AZ60" i="27"/>
  <c r="AK137" i="27"/>
  <c r="AL135" i="27"/>
  <c r="AL136" i="27" s="1"/>
  <c r="AU137" i="27"/>
  <c r="AV135" i="27"/>
  <c r="AV136" i="27" s="1"/>
  <c r="BC69" i="27"/>
  <c r="BC62" i="27"/>
  <c r="AV68" i="27"/>
  <c r="AW65" i="27"/>
  <c r="BM46" i="23"/>
  <c r="BM28" i="23" s="1" a="1"/>
  <c r="BM28" i="23" s="1"/>
  <c r="BB28" i="23" a="1"/>
  <c r="BB28" i="23" s="1"/>
  <c r="BB29" i="27" s="1"/>
  <c r="AQ133" i="27"/>
  <c r="AR131" i="27"/>
  <c r="AR132" i="27" s="1"/>
  <c r="BA133" i="27"/>
  <c r="BB131" i="27"/>
  <c r="BB132" i="27" s="1"/>
  <c r="AZ172" i="27"/>
  <c r="BA170" i="27"/>
  <c r="BI119" i="27"/>
  <c r="S193" i="12" a="1"/>
  <c r="S193" i="12" s="1"/>
  <c r="U192" i="12"/>
  <c r="M199" i="28" a="1"/>
  <c r="M199" i="28" s="1"/>
  <c r="AS198" i="28" a="1"/>
  <c r="AS198" i="28" s="1"/>
  <c r="S82" i="12" a="1"/>
  <c r="S82" i="12" s="1"/>
  <c r="U81" i="12"/>
  <c r="AS52" i="22"/>
  <c r="AS140" i="27" s="1"/>
  <c r="AS170" i="27" s="1"/>
  <c r="AS172" i="27" s="1"/>
  <c r="AR140" i="27"/>
  <c r="AR170" i="27" s="1"/>
  <c r="AR172" i="27" s="1"/>
  <c r="BM52" i="22"/>
  <c r="AU192" i="27"/>
  <c r="AV190" i="27"/>
  <c r="AV191" i="27" s="1"/>
  <c r="M132" i="28" a="1"/>
  <c r="M132" i="28" s="1"/>
  <c r="AS131" i="28" a="1"/>
  <c r="AS131" i="28" s="1"/>
  <c r="N66" i="27" a="1"/>
  <c r="N66" i="27" s="1"/>
  <c r="BX65" i="27" a="1"/>
  <c r="BX65" i="27" s="1"/>
  <c r="BL84" i="27"/>
  <c r="BA115" i="27"/>
  <c r="BK115" i="27" s="1"/>
  <c r="BJ115" i="27"/>
  <c r="AK192" i="27"/>
  <c r="AL190" i="27"/>
  <c r="AL191" i="27" s="1"/>
  <c r="BI62" i="27"/>
  <c r="BJ170" i="27"/>
  <c r="AX180" i="27"/>
  <c r="AY177" i="27"/>
  <c r="AY179" i="27" s="1"/>
  <c r="AY180" i="27" l="1"/>
  <c r="AL192" i="27"/>
  <c r="AM190" i="27"/>
  <c r="AM191" i="27" s="1"/>
  <c r="N67" i="27" a="1"/>
  <c r="N67" i="27" s="1"/>
  <c r="BX66" i="27" a="1"/>
  <c r="BX66" i="27" s="1"/>
  <c r="M133" i="28" a="1"/>
  <c r="M133" i="28" s="1"/>
  <c r="AS132" i="28" a="1"/>
  <c r="AS132" i="28" s="1"/>
  <c r="AR174" i="27"/>
  <c r="AR181" i="27"/>
  <c r="AZ174" i="27"/>
  <c r="AZ181" i="27"/>
  <c r="AZ177" i="27" s="1"/>
  <c r="AZ179" i="27" s="1"/>
  <c r="BB133" i="27"/>
  <c r="BC131" i="27"/>
  <c r="BC132" i="27" s="1"/>
  <c r="BC133" i="27" s="1"/>
  <c r="AR133" i="27"/>
  <c r="AS131" i="27"/>
  <c r="AS132" i="27" s="1"/>
  <c r="AS133" i="27" s="1"/>
  <c r="BM29" i="27"/>
  <c r="BB58" i="27"/>
  <c r="AW67" i="27"/>
  <c r="BJ62" i="27"/>
  <c r="BJ172" i="27"/>
  <c r="AP188" i="27"/>
  <c r="AQ186" i="27"/>
  <c r="AQ187" i="27" s="1"/>
  <c r="AP125" i="27"/>
  <c r="AQ122" i="27"/>
  <c r="AQ124" i="27" s="1"/>
  <c r="AY125" i="27"/>
  <c r="AL80" i="27"/>
  <c r="AM78" i="27"/>
  <c r="AM79" i="27" s="1"/>
  <c r="AP180" i="27"/>
  <c r="AQ177" i="27"/>
  <c r="AQ179" i="27" s="1"/>
  <c r="AZ188" i="27"/>
  <c r="BA186" i="27"/>
  <c r="BA187" i="27" s="1"/>
  <c r="F78" i="27" a="1"/>
  <c r="F78" i="27" s="1"/>
  <c r="AV80" i="27"/>
  <c r="AW78" i="27"/>
  <c r="AW79" i="27" s="1"/>
  <c r="BM84" i="27"/>
  <c r="BB115" i="27"/>
  <c r="BL115" i="27"/>
  <c r="BA117" i="27"/>
  <c r="AV192" i="27"/>
  <c r="AW190" i="27"/>
  <c r="AW191" i="27" s="1"/>
  <c r="AS181" i="27"/>
  <c r="AS174" i="27"/>
  <c r="S83" i="12" a="1"/>
  <c r="S83" i="12" s="1"/>
  <c r="U82" i="12"/>
  <c r="M200" i="28" a="1"/>
  <c r="M200" i="28" s="1"/>
  <c r="AS199" i="28" a="1"/>
  <c r="AS199" i="28" s="1"/>
  <c r="S194" i="12" a="1"/>
  <c r="S194" i="12" s="1"/>
  <c r="U193" i="12"/>
  <c r="BA172" i="27"/>
  <c r="BL170" i="27"/>
  <c r="BK170" i="27"/>
  <c r="AV137" i="27"/>
  <c r="AW135" i="27"/>
  <c r="AW136" i="27" s="1"/>
  <c r="AL137" i="27"/>
  <c r="AM135" i="27"/>
  <c r="AM136" i="27" s="1"/>
  <c r="AZ62" i="27"/>
  <c r="BK60" i="27"/>
  <c r="AZ69" i="27"/>
  <c r="AP76" i="27"/>
  <c r="AQ74" i="27"/>
  <c r="AQ75" i="27" s="1"/>
  <c r="S351" i="12" a="1"/>
  <c r="S351" i="12" s="1"/>
  <c r="U350" i="12"/>
  <c r="BA60" i="27"/>
  <c r="BL58" i="27"/>
  <c r="BJ174" i="27"/>
  <c r="BI174" i="27"/>
  <c r="AX76" i="27"/>
  <c r="AY74" i="27"/>
  <c r="AY75" i="27" s="1"/>
  <c r="AZ126" i="27"/>
  <c r="AZ122" i="27" s="1"/>
  <c r="AZ124" i="27" s="1"/>
  <c r="AZ119" i="27"/>
  <c r="BK117" i="27"/>
  <c r="N123" i="27" a="1"/>
  <c r="N123" i="27" s="1"/>
  <c r="BX122" i="27" a="1"/>
  <c r="BX122" i="27" s="1"/>
  <c r="M66" i="28" a="1"/>
  <c r="M66" i="28" s="1"/>
  <c r="AS65" i="28" a="1"/>
  <c r="AS65" i="28" s="1"/>
  <c r="N179" i="27" a="1"/>
  <c r="N179" i="27" s="1"/>
  <c r="BX178" i="27" a="1"/>
  <c r="BX178" i="27" s="1"/>
  <c r="BM170" i="27"/>
  <c r="BB172" i="27"/>
  <c r="AM68" i="27"/>
  <c r="AN65" i="27"/>
  <c r="AZ125" i="27" l="1"/>
  <c r="AZ180" i="27"/>
  <c r="AN67" i="27"/>
  <c r="BB174" i="27"/>
  <c r="BM172" i="27"/>
  <c r="BB181" i="27"/>
  <c r="N180" i="27" a="1"/>
  <c r="N180" i="27" s="1"/>
  <c r="BX179" i="27" a="1"/>
  <c r="BX179" i="27" s="1"/>
  <c r="M67" i="28" a="1"/>
  <c r="M67" i="28" s="1"/>
  <c r="AS66" i="28" a="1"/>
  <c r="AS66" i="28" s="1"/>
  <c r="N124" i="27" a="1"/>
  <c r="N124" i="27" s="1"/>
  <c r="BX123" i="27" a="1"/>
  <c r="BX123" i="27" s="1"/>
  <c r="AY76" i="27"/>
  <c r="AZ74" i="27"/>
  <c r="AQ76" i="27"/>
  <c r="AR74" i="27"/>
  <c r="AM137" i="27"/>
  <c r="AN135" i="27"/>
  <c r="AN136" i="27" s="1"/>
  <c r="AW137" i="27"/>
  <c r="AX135" i="27"/>
  <c r="AX136" i="27" s="1"/>
  <c r="BA188" i="27"/>
  <c r="BB186" i="27"/>
  <c r="BB187" i="27" s="1"/>
  <c r="AQ180" i="27"/>
  <c r="AR177" i="27"/>
  <c r="AR179" i="27" s="1"/>
  <c r="AM80" i="27"/>
  <c r="AN78" i="27"/>
  <c r="AN79" i="27" s="1"/>
  <c r="AQ125" i="27"/>
  <c r="AR122" i="27"/>
  <c r="AR124" i="27" s="1"/>
  <c r="AQ188" i="27"/>
  <c r="AR186" i="27"/>
  <c r="AR187" i="27" s="1"/>
  <c r="AW68" i="27"/>
  <c r="AX65" i="27"/>
  <c r="AM192" i="27"/>
  <c r="AN190" i="27"/>
  <c r="AN191" i="27" s="1"/>
  <c r="BJ119" i="27"/>
  <c r="BA69" i="27"/>
  <c r="BA62" i="27"/>
  <c r="BL60" i="27"/>
  <c r="S352" i="12" a="1"/>
  <c r="S352" i="12" s="1"/>
  <c r="U351" i="12"/>
  <c r="BK62" i="27"/>
  <c r="BA181" i="27"/>
  <c r="BA177" i="27" s="1"/>
  <c r="BA179" i="27" s="1"/>
  <c r="BA174" i="27"/>
  <c r="BL172" i="27"/>
  <c r="S195" i="12" a="1"/>
  <c r="S195" i="12" s="1"/>
  <c r="U194" i="12"/>
  <c r="M201" i="28" a="1"/>
  <c r="M201" i="28" s="1"/>
  <c r="AS200" i="28" a="1"/>
  <c r="AS200" i="28" s="1"/>
  <c r="S84" i="12" a="1"/>
  <c r="S84" i="12" s="1"/>
  <c r="U83" i="12"/>
  <c r="AW192" i="27"/>
  <c r="AX190" i="27"/>
  <c r="AX191" i="27" s="1"/>
  <c r="BA126" i="27"/>
  <c r="BA122" i="27" s="1"/>
  <c r="BA124" i="27" s="1"/>
  <c r="BA119" i="27"/>
  <c r="BB117" i="27"/>
  <c r="BM115" i="27"/>
  <c r="AW80" i="27"/>
  <c r="AX78" i="27"/>
  <c r="AX79" i="27" s="1"/>
  <c r="F79" i="27" a="1"/>
  <c r="F79" i="27" s="1"/>
  <c r="BM58" i="27"/>
  <c r="BB60" i="27"/>
  <c r="BK172" i="27"/>
  <c r="M134" i="28" a="1"/>
  <c r="M134" i="28" s="1"/>
  <c r="AS133" i="28" a="1"/>
  <c r="AS133" i="28" s="1"/>
  <c r="N68" i="27" a="1"/>
  <c r="N68" i="27" s="1"/>
  <c r="BX67" i="27" a="1"/>
  <c r="BX67" i="27" s="1"/>
  <c r="BB177" i="27" l="1"/>
  <c r="BB179" i="27" s="1"/>
  <c r="BA180" i="27"/>
  <c r="BA125" i="27"/>
  <c r="N69" i="27" a="1"/>
  <c r="N69" i="27" s="1"/>
  <c r="BX68" i="27" a="1"/>
  <c r="BX68" i="27" s="1"/>
  <c r="M135" i="28" a="1"/>
  <c r="M135" i="28" s="1"/>
  <c r="AS134" i="28" a="1"/>
  <c r="AS134" i="28" s="1"/>
  <c r="BB62" i="27"/>
  <c r="BM60" i="27"/>
  <c r="BB69" i="27"/>
  <c r="F80" i="27" a="1"/>
  <c r="F80" i="27" s="1"/>
  <c r="BB126" i="27"/>
  <c r="BB122" i="27" s="1"/>
  <c r="BB124" i="27" s="1"/>
  <c r="BB119" i="27"/>
  <c r="BM117" i="27"/>
  <c r="BL119" i="27"/>
  <c r="S85" i="12" a="1"/>
  <c r="S85" i="12" s="1"/>
  <c r="U84" i="12"/>
  <c r="M202" i="28" a="1"/>
  <c r="M202" i="28" s="1"/>
  <c r="AS201" i="28" a="1"/>
  <c r="AS201" i="28" s="1"/>
  <c r="S196" i="12" a="1"/>
  <c r="S196" i="12" s="1"/>
  <c r="U195" i="12"/>
  <c r="BL174" i="27"/>
  <c r="AX67" i="27"/>
  <c r="AR188" i="27"/>
  <c r="AS186" i="27"/>
  <c r="AS187" i="27" s="1"/>
  <c r="AS188" i="27" s="1"/>
  <c r="AR125" i="27"/>
  <c r="AS122" i="27"/>
  <c r="AS124" i="27" s="1"/>
  <c r="AS125" i="27" s="1"/>
  <c r="AN80" i="27"/>
  <c r="AO78" i="27"/>
  <c r="AO79" i="27" s="1"/>
  <c r="AR180" i="27"/>
  <c r="AS177" i="27"/>
  <c r="AS179" i="27" s="1"/>
  <c r="AS180" i="27" s="1"/>
  <c r="BB188" i="27"/>
  <c r="BC186" i="27"/>
  <c r="BC187" i="27" s="1"/>
  <c r="BC188" i="27" s="1"/>
  <c r="AX137" i="27"/>
  <c r="AY135" i="27"/>
  <c r="AY136" i="27" s="1"/>
  <c r="AN137" i="27"/>
  <c r="AO135" i="27"/>
  <c r="AO136" i="27" s="1"/>
  <c r="AR75" i="27"/>
  <c r="AZ75" i="27"/>
  <c r="N125" i="27" a="1"/>
  <c r="N125" i="27" s="1"/>
  <c r="BX124" i="27" a="1"/>
  <c r="BX124" i="27" s="1"/>
  <c r="M68" i="28" a="1"/>
  <c r="M68" i="28" s="1"/>
  <c r="AS67" i="28" a="1"/>
  <c r="AS67" i="28" s="1"/>
  <c r="N181" i="27" a="1"/>
  <c r="N181" i="27" s="1"/>
  <c r="BX180" i="27" a="1"/>
  <c r="BX180" i="27" s="1"/>
  <c r="BM174" i="27"/>
  <c r="AX80" i="27"/>
  <c r="AY78" i="27"/>
  <c r="AY79" i="27" s="1"/>
  <c r="BL117" i="27"/>
  <c r="AX192" i="27"/>
  <c r="AY190" i="27"/>
  <c r="AY191" i="27" s="1"/>
  <c r="S353" i="12" a="1"/>
  <c r="S353" i="12" s="1"/>
  <c r="U352" i="12"/>
  <c r="BL62" i="27"/>
  <c r="AN192" i="27"/>
  <c r="AO190" i="27"/>
  <c r="AO191" i="27" s="1"/>
  <c r="BK174" i="27"/>
  <c r="BK119" i="27"/>
  <c r="AN68" i="27"/>
  <c r="AO65" i="27"/>
  <c r="BB125" i="27" l="1"/>
  <c r="BC122" i="27"/>
  <c r="BC124" i="27" s="1"/>
  <c r="BC125" i="27" s="1"/>
  <c r="AY80" i="27"/>
  <c r="AZ78" i="27"/>
  <c r="AZ79" i="27" s="1"/>
  <c r="AO192" i="27"/>
  <c r="AP190" i="27"/>
  <c r="AP191" i="27" s="1"/>
  <c r="S354" i="12" a="1"/>
  <c r="S354" i="12" s="1"/>
  <c r="U353" i="12"/>
  <c r="AO137" i="27"/>
  <c r="AP135" i="27"/>
  <c r="AP136" i="27" s="1"/>
  <c r="AY137" i="27"/>
  <c r="AZ135" i="27"/>
  <c r="AZ136" i="27" s="1"/>
  <c r="AO80" i="27"/>
  <c r="AP78" i="27"/>
  <c r="AP79" i="27" s="1"/>
  <c r="AX68" i="27"/>
  <c r="AY65" i="27"/>
  <c r="S197" i="12" a="1"/>
  <c r="S197" i="12" s="1"/>
  <c r="U196" i="12"/>
  <c r="M203" i="28" a="1"/>
  <c r="M203" i="28" s="1"/>
  <c r="AS202" i="28" a="1"/>
  <c r="AS202" i="28" s="1"/>
  <c r="S86" i="12" a="1"/>
  <c r="S86" i="12" s="1"/>
  <c r="U85" i="12"/>
  <c r="BM119" i="27"/>
  <c r="AO67" i="27"/>
  <c r="AP51" i="33"/>
  <c r="AR51" i="33" s="1"/>
  <c r="AY192" i="27"/>
  <c r="AZ190" i="27"/>
  <c r="AZ191" i="27" s="1"/>
  <c r="N182" i="27" a="1"/>
  <c r="N182" i="27" s="1"/>
  <c r="BX181" i="27" a="1"/>
  <c r="BX181" i="27" s="1"/>
  <c r="M69" i="28" a="1"/>
  <c r="M69" i="28" s="1"/>
  <c r="AS68" i="28" a="1"/>
  <c r="AS68" i="28" s="1"/>
  <c r="N126" i="27" a="1"/>
  <c r="N126" i="27" s="1"/>
  <c r="BX125" i="27" a="1"/>
  <c r="BX125" i="27" s="1"/>
  <c r="AZ76" i="27"/>
  <c r="BA74" i="27"/>
  <c r="BA75" i="27" s="1"/>
  <c r="AR76" i="27"/>
  <c r="AS74" i="27"/>
  <c r="AS75" i="27" s="1"/>
  <c r="AS76" i="27" s="1"/>
  <c r="F81" i="27" a="1"/>
  <c r="F81" i="27" s="1"/>
  <c r="AN50" i="33"/>
  <c r="BM62" i="27"/>
  <c r="M136" i="28" a="1"/>
  <c r="M136" i="28" s="1"/>
  <c r="AS135" i="28" a="1"/>
  <c r="AS135" i="28" s="1"/>
  <c r="N70" i="27" a="1"/>
  <c r="N70" i="27" s="1"/>
  <c r="BX69" i="27" a="1"/>
  <c r="BX69" i="27" s="1"/>
  <c r="BB180" i="27"/>
  <c r="BC177" i="27"/>
  <c r="BC179" i="27" s="1"/>
  <c r="BC180" i="27" s="1"/>
  <c r="BA76" i="27" l="1"/>
  <c r="BB74" i="27"/>
  <c r="BB75" i="27" s="1"/>
  <c r="AZ192" i="27"/>
  <c r="BA190" i="27"/>
  <c r="BA191" i="27" s="1"/>
  <c r="BF60" i="33"/>
  <c r="AH54" i="33"/>
  <c r="AP54" i="33"/>
  <c r="AR54" i="33" s="1"/>
  <c r="AT60" i="33"/>
  <c r="AK60" i="33"/>
  <c r="AS54" i="33"/>
  <c r="AU54" i="33" s="1"/>
  <c r="AQ54" i="33"/>
  <c r="AV54" i="33"/>
  <c r="AX54" i="33" s="1"/>
  <c r="AM54" i="33"/>
  <c r="AO54" i="33" s="1"/>
  <c r="BF54" i="33"/>
  <c r="AK54" i="33"/>
  <c r="AD54" i="33"/>
  <c r="AF54" i="33" s="1"/>
  <c r="AH60" i="33"/>
  <c r="AP60" i="33"/>
  <c r="AR60" i="33" s="1"/>
  <c r="AG54" i="33"/>
  <c r="AI54" i="33" s="1"/>
  <c r="AE54" i="33"/>
  <c r="AT54" i="33"/>
  <c r="BB54" i="33"/>
  <c r="BD54" i="33" s="1"/>
  <c r="AE34" i="33"/>
  <c r="AE40" i="33" s="1"/>
  <c r="AY152" i="33"/>
  <c r="BA152" i="33" s="1"/>
  <c r="AM106" i="33"/>
  <c r="AO106" i="33" s="1"/>
  <c r="AP58" i="33"/>
  <c r="AR58" i="33" s="1"/>
  <c r="AT151" i="33"/>
  <c r="BE149" i="33"/>
  <c r="BG149" i="33" s="1"/>
  <c r="AG105" i="33"/>
  <c r="AI105" i="33" s="1"/>
  <c r="AK148" i="33"/>
  <c r="AV103" i="33"/>
  <c r="AX103" i="33" s="1"/>
  <c r="AW146" i="33"/>
  <c r="BE146" i="33"/>
  <c r="BG146" i="33" s="1"/>
  <c r="AN99" i="33"/>
  <c r="AP52" i="33"/>
  <c r="AR52" i="33" s="1"/>
  <c r="AN98" i="33"/>
  <c r="BE98" i="33"/>
  <c r="BG98" i="33" s="1"/>
  <c r="AT143" i="33"/>
  <c r="BE97" i="33"/>
  <c r="BG97" i="33" s="1"/>
  <c r="AG153" i="25"/>
  <c r="AJ84" i="33"/>
  <c r="AL84" i="33" s="1"/>
  <c r="AN130" i="33"/>
  <c r="AH129" i="33"/>
  <c r="AD83" i="33"/>
  <c r="AZ80" i="33"/>
  <c r="AZ86" i="33" s="1"/>
  <c r="AH79" i="33"/>
  <c r="AW60" i="33"/>
  <c r="AH106" i="33"/>
  <c r="AY150" i="33"/>
  <c r="BA150" i="33" s="1"/>
  <c r="AK58" i="33"/>
  <c r="AS148" i="33"/>
  <c r="AU148" i="33" s="1"/>
  <c r="AY54" i="33"/>
  <c r="BA54" i="33" s="1"/>
  <c r="AM102" i="33"/>
  <c r="AO102" i="33" s="1"/>
  <c r="AS52" i="33"/>
  <c r="AU52" i="33" s="1"/>
  <c r="AK144" i="33"/>
  <c r="AF59" i="25"/>
  <c r="AG142" i="33"/>
  <c r="AI142" i="33" s="1"/>
  <c r="AD98" i="33"/>
  <c r="AF98" i="33" s="1"/>
  <c r="AJ96" i="33"/>
  <c r="AL96" i="33" s="1"/>
  <c r="AG106" i="25"/>
  <c r="AK37" i="33"/>
  <c r="AG37" i="33"/>
  <c r="AP130" i="33"/>
  <c r="AR130" i="33" s="1"/>
  <c r="BC79" i="33"/>
  <c r="BF79" i="33"/>
  <c r="AW106" i="33"/>
  <c r="AD58" i="33"/>
  <c r="AF58" i="33" s="1"/>
  <c r="AK151" i="33"/>
  <c r="AN57" i="33"/>
  <c r="BE104" i="33"/>
  <c r="BG104" i="33" s="1"/>
  <c r="AQ148" i="33"/>
  <c r="BF102" i="33"/>
  <c r="BB146" i="33"/>
  <c r="BD146" i="33" s="1"/>
  <c r="AS100" i="33"/>
  <c r="AU100" i="33" s="1"/>
  <c r="BF52" i="33"/>
  <c r="AJ97" i="33"/>
  <c r="AL97" i="33" s="1"/>
  <c r="AP142" i="33"/>
  <c r="AR142" i="33" s="1"/>
  <c r="AS96" i="33"/>
  <c r="AU96" i="33" s="1"/>
  <c r="AG62" i="25"/>
  <c r="BB84" i="33"/>
  <c r="BD84" i="33" s="1"/>
  <c r="AD34" i="33"/>
  <c r="AE129" i="33"/>
  <c r="BE130" i="33"/>
  <c r="BG130" i="33" s="1"/>
  <c r="AN125" i="33"/>
  <c r="BE79" i="33"/>
  <c r="AQ152" i="33"/>
  <c r="AV152" i="33"/>
  <c r="AX152" i="33" s="1"/>
  <c r="AS150" i="33"/>
  <c r="AU150" i="33" s="1"/>
  <c r="AE58" i="33"/>
  <c r="BB104" i="33"/>
  <c r="BD104" i="33" s="1"/>
  <c r="AS104" i="33"/>
  <c r="AU104" i="33" s="1"/>
  <c r="AT148" i="33"/>
  <c r="AD148" i="33"/>
  <c r="AF148" i="33" s="1"/>
  <c r="AH102" i="33"/>
  <c r="AW54" i="33"/>
  <c r="AE52" i="33"/>
  <c r="AJ144" i="33"/>
  <c r="AL144" i="33" s="1"/>
  <c r="AG53" i="33"/>
  <c r="AI53" i="33" s="1"/>
  <c r="AS143" i="33"/>
  <c r="AU143" i="33" s="1"/>
  <c r="AY97" i="33"/>
  <c r="BA97" i="33" s="1"/>
  <c r="BC142" i="33"/>
  <c r="AN38" i="33"/>
  <c r="AW129" i="33"/>
  <c r="AE37" i="33"/>
  <c r="AW130" i="33"/>
  <c r="AS129" i="33"/>
  <c r="AS79" i="33"/>
  <c r="AW152" i="33"/>
  <c r="AG59" i="33"/>
  <c r="AI59" i="33" s="1"/>
  <c r="AK59" i="33"/>
  <c r="AG58" i="33"/>
  <c r="AI58" i="33" s="1"/>
  <c r="AT105" i="33"/>
  <c r="AQ57" i="33"/>
  <c r="AK57" i="33"/>
  <c r="AQ103" i="33"/>
  <c r="AT102" i="33"/>
  <c r="AD56" i="33"/>
  <c r="AF56" i="33" s="1"/>
  <c r="AZ145" i="33"/>
  <c r="AG52" i="33"/>
  <c r="AI52" i="33" s="1"/>
  <c r="AN100" i="33"/>
  <c r="AJ52" i="33"/>
  <c r="AL52" i="33" s="1"/>
  <c r="AJ142" i="33"/>
  <c r="AL142" i="33" s="1"/>
  <c r="AM51" i="33"/>
  <c r="AO51" i="33" s="1"/>
  <c r="AV143" i="33"/>
  <c r="AX143" i="33" s="1"/>
  <c r="AY96" i="33"/>
  <c r="BA96" i="33" s="1"/>
  <c r="BC38" i="33"/>
  <c r="AQ129" i="33"/>
  <c r="AZ83" i="33"/>
  <c r="AF154" i="25"/>
  <c r="AV79" i="33"/>
  <c r="BE80" i="33"/>
  <c r="BB60" i="33"/>
  <c r="BD60" i="33" s="1"/>
  <c r="AZ106" i="33"/>
  <c r="AJ150" i="33"/>
  <c r="AL150" i="33" s="1"/>
  <c r="AH58" i="33"/>
  <c r="AE149" i="33"/>
  <c r="AP57" i="33"/>
  <c r="AR57" i="33" s="1"/>
  <c r="AM57" i="33"/>
  <c r="AO57" i="33" s="1"/>
  <c r="AY103" i="33"/>
  <c r="BA103" i="33" s="1"/>
  <c r="AD146" i="33"/>
  <c r="AF146" i="33" s="1"/>
  <c r="AK145" i="33"/>
  <c r="AH53" i="33"/>
  <c r="AG144" i="33"/>
  <c r="AI144" i="33" s="1"/>
  <c r="AP143" i="33"/>
  <c r="AR143" i="33" s="1"/>
  <c r="BB143" i="33"/>
  <c r="BD143" i="33" s="1"/>
  <c r="AH142" i="33"/>
  <c r="AG109" i="25"/>
  <c r="AG154" i="25"/>
  <c r="AQ84" i="33"/>
  <c r="AK126" i="33"/>
  <c r="AK132" i="33" s="1"/>
  <c r="AY83" i="33"/>
  <c r="BF126" i="33"/>
  <c r="BF132" i="33" s="1"/>
  <c r="AP80" i="33"/>
  <c r="AD125" i="33"/>
  <c r="AT152" i="33"/>
  <c r="AT106" i="33"/>
  <c r="AM58" i="33"/>
  <c r="AO58" i="33" s="1"/>
  <c r="AH151" i="33"/>
  <c r="AG57" i="33"/>
  <c r="AI57" i="33" s="1"/>
  <c r="AT104" i="33"/>
  <c r="AD103" i="33"/>
  <c r="AF103" i="33" s="1"/>
  <c r="AV102" i="33"/>
  <c r="AX102" i="33" s="1"/>
  <c r="AG102" i="33"/>
  <c r="AI102" i="33" s="1"/>
  <c r="AZ102" i="33"/>
  <c r="AM53" i="33"/>
  <c r="AO53" i="33" s="1"/>
  <c r="AP53" i="33"/>
  <c r="AR53" i="33" s="1"/>
  <c r="AW144" i="33"/>
  <c r="AQ142" i="33"/>
  <c r="AE97" i="33"/>
  <c r="AW96" i="33"/>
  <c r="AK38" i="33"/>
  <c r="AD84" i="33"/>
  <c r="AF84" i="33" s="1"/>
  <c r="AV130" i="33"/>
  <c r="AX130" i="33" s="1"/>
  <c r="AJ37" i="33"/>
  <c r="AV125" i="33"/>
  <c r="AJ125" i="33"/>
  <c r="AD60" i="33"/>
  <c r="AF60" i="33" s="1"/>
  <c r="AQ106" i="33"/>
  <c r="AV150" i="33"/>
  <c r="AX150" i="33" s="1"/>
  <c r="AT58" i="33"/>
  <c r="AW57" i="33"/>
  <c r="AS149" i="33"/>
  <c r="AU149" i="33" s="1"/>
  <c r="AM149" i="33"/>
  <c r="AO149" i="33" s="1"/>
  <c r="AH103" i="33"/>
  <c r="AH146" i="33"/>
  <c r="BE54" i="33"/>
  <c r="BG54" i="33" s="1"/>
  <c r="AH100" i="33"/>
  <c r="AQ52" i="33"/>
  <c r="AP99" i="33"/>
  <c r="AR99" i="33" s="1"/>
  <c r="BE144" i="33"/>
  <c r="BG144" i="33" s="1"/>
  <c r="AJ98" i="33"/>
  <c r="AL98" i="33" s="1"/>
  <c r="BE143" i="33"/>
  <c r="BG143" i="33" s="1"/>
  <c r="AV142" i="33"/>
  <c r="AX142" i="33" s="1"/>
  <c r="AG96" i="33"/>
  <c r="AI96" i="33" s="1"/>
  <c r="AZ38" i="33"/>
  <c r="AV84" i="33"/>
  <c r="AX84" i="33" s="1"/>
  <c r="AV126" i="33"/>
  <c r="AV83" i="33"/>
  <c r="AN79" i="33"/>
  <c r="AT80" i="33"/>
  <c r="AT86" i="33" s="1"/>
  <c r="AE56" i="33"/>
  <c r="AZ125" i="33"/>
  <c r="AY79" i="33"/>
  <c r="BC83" i="33"/>
  <c r="AP37" i="33"/>
  <c r="AP84" i="33"/>
  <c r="AR84" i="33" s="1"/>
  <c r="AH130" i="33"/>
  <c r="AW38" i="33"/>
  <c r="AN96" i="33"/>
  <c r="AF63" i="25"/>
  <c r="AD97" i="33"/>
  <c r="AF97" i="33" s="1"/>
  <c r="AZ143" i="33"/>
  <c r="AQ100" i="33"/>
  <c r="AM145" i="33"/>
  <c r="AO145" i="33" s="1"/>
  <c r="BF100" i="33"/>
  <c r="AD144" i="33"/>
  <c r="AF144" i="33" s="1"/>
  <c r="AZ146" i="33"/>
  <c r="AG148" i="33"/>
  <c r="AI148" i="33" s="1"/>
  <c r="AK105" i="33"/>
  <c r="AJ105" i="33"/>
  <c r="AL105" i="33" s="1"/>
  <c r="BF104" i="33"/>
  <c r="AK150" i="33"/>
  <c r="AQ58" i="33"/>
  <c r="AY106" i="33"/>
  <c r="BA106" i="33" s="1"/>
  <c r="BB152" i="33"/>
  <c r="BD152" i="33" s="1"/>
  <c r="AM80" i="33"/>
  <c r="BB80" i="33"/>
  <c r="AM126" i="33"/>
  <c r="BC126" i="33"/>
  <c r="BC132" i="33" s="1"/>
  <c r="AQ126" i="33"/>
  <c r="AQ132" i="33" s="1"/>
  <c r="AZ126" i="33"/>
  <c r="AZ132" i="33" s="1"/>
  <c r="AN129" i="33"/>
  <c r="AN128" i="33" s="1"/>
  <c r="AF153" i="25"/>
  <c r="AQ96" i="33"/>
  <c r="AK98" i="33"/>
  <c r="AD51" i="33"/>
  <c r="AF51" i="33" s="1"/>
  <c r="AE100" i="33"/>
  <c r="AQ99" i="33"/>
  <c r="BE100" i="33"/>
  <c r="BG100" i="33" s="1"/>
  <c r="AM100" i="33"/>
  <c r="AO100" i="33" s="1"/>
  <c r="AP102" i="33"/>
  <c r="AR102" i="33" s="1"/>
  <c r="AJ148" i="33"/>
  <c r="AL148" i="33" s="1"/>
  <c r="AH57" i="33"/>
  <c r="BF149" i="33"/>
  <c r="AP104" i="33"/>
  <c r="AR104" i="33" s="1"/>
  <c r="AD151" i="33"/>
  <c r="AF151" i="33" s="1"/>
  <c r="AS106" i="33"/>
  <c r="AU106" i="33" s="1"/>
  <c r="AE60" i="33"/>
  <c r="AE50" i="33"/>
  <c r="AG33" i="33"/>
  <c r="AP150" i="33"/>
  <c r="AR150" i="33" s="1"/>
  <c r="AN106" i="33"/>
  <c r="AZ152" i="33"/>
  <c r="AY80" i="33"/>
  <c r="AD80" i="33"/>
  <c r="AS84" i="33"/>
  <c r="AU84" i="33" s="1"/>
  <c r="AN84" i="33"/>
  <c r="AM83" i="33"/>
  <c r="BB130" i="33"/>
  <c r="BD130" i="33" s="1"/>
  <c r="AY38" i="33"/>
  <c r="BA38" i="33" s="1"/>
  <c r="AV97" i="33"/>
  <c r="AX97" i="33" s="1"/>
  <c r="AK143" i="33"/>
  <c r="AM142" i="33"/>
  <c r="AO142" i="33" s="1"/>
  <c r="BB142" i="33"/>
  <c r="BD142" i="33" s="1"/>
  <c r="AE99" i="33"/>
  <c r="BC52" i="33"/>
  <c r="BB103" i="33"/>
  <c r="BD103" i="33" s="1"/>
  <c r="AP151" i="33"/>
  <c r="AR151" i="33" s="1"/>
  <c r="AH80" i="33"/>
  <c r="AH86" i="33" s="1"/>
  <c r="AS80" i="33"/>
  <c r="BB83" i="33"/>
  <c r="AE84" i="33"/>
  <c r="AP126" i="33"/>
  <c r="AY129" i="33"/>
  <c r="AJ38" i="33"/>
  <c r="AL38" i="33" s="1"/>
  <c r="AK97" i="33"/>
  <c r="AE98" i="33"/>
  <c r="AY143" i="33"/>
  <c r="BA143" i="33" s="1"/>
  <c r="AV145" i="33"/>
  <c r="AX145" i="33" s="1"/>
  <c r="AT144" i="33"/>
  <c r="AN102" i="33"/>
  <c r="AM103" i="33"/>
  <c r="AO103" i="33" s="1"/>
  <c r="AE103" i="33"/>
  <c r="BB58" i="33"/>
  <c r="BD58" i="33" s="1"/>
  <c r="AH150" i="33"/>
  <c r="AG106" i="33"/>
  <c r="AI106" i="33" s="1"/>
  <c r="AY60" i="33"/>
  <c r="BA60" i="33" s="1"/>
  <c r="AM60" i="33"/>
  <c r="AO60" i="33" s="1"/>
  <c r="AZ79" i="33"/>
  <c r="AN80" i="33"/>
  <c r="AN86" i="33" s="1"/>
  <c r="BE37" i="33"/>
  <c r="BF37" i="33"/>
  <c r="AW84" i="33"/>
  <c r="AK129" i="33"/>
  <c r="AF106" i="25"/>
  <c r="AT96" i="33"/>
  <c r="AG110" i="25"/>
  <c r="BC143" i="33"/>
  <c r="AS99" i="33"/>
  <c r="AU99" i="33" s="1"/>
  <c r="AP145" i="33"/>
  <c r="AR145" i="33" s="1"/>
  <c r="AW53" i="33"/>
  <c r="AZ144" i="33"/>
  <c r="AM146" i="33"/>
  <c r="AO146" i="33" s="1"/>
  <c r="AN103" i="33"/>
  <c r="AG149" i="33"/>
  <c r="AI149" i="33" s="1"/>
  <c r="BB149" i="33"/>
  <c r="BD149" i="33" s="1"/>
  <c r="AD150" i="33"/>
  <c r="AF150" i="33" s="1"/>
  <c r="AM151" i="33"/>
  <c r="AO151" i="33" s="1"/>
  <c r="AM59" i="33"/>
  <c r="AO59" i="33" s="1"/>
  <c r="AM152" i="33"/>
  <c r="AO152" i="33" s="1"/>
  <c r="BE152" i="33"/>
  <c r="BG152" i="33" s="1"/>
  <c r="AG50" i="33"/>
  <c r="AI50" i="33" s="1"/>
  <c r="AZ104" i="33"/>
  <c r="AG151" i="33"/>
  <c r="AI151" i="33" s="1"/>
  <c r="BC152" i="33"/>
  <c r="AW80" i="33"/>
  <c r="AW86" i="33" s="1"/>
  <c r="BE125" i="33"/>
  <c r="AK83" i="33"/>
  <c r="AS126" i="33"/>
  <c r="AD37" i="33"/>
  <c r="AQ130" i="33"/>
  <c r="AM130" i="33"/>
  <c r="AO130" i="33" s="1"/>
  <c r="AD96" i="33"/>
  <c r="AF96" i="33" s="1"/>
  <c r="AG63" i="25"/>
  <c r="AY98" i="33"/>
  <c r="BA98" i="33" s="1"/>
  <c r="AG143" i="33"/>
  <c r="AI143" i="33" s="1"/>
  <c r="AV99" i="33"/>
  <c r="AX99" i="33" s="1"/>
  <c r="BF144" i="33"/>
  <c r="AK53" i="33"/>
  <c r="AG100" i="33"/>
  <c r="AI100" i="33" s="1"/>
  <c r="AD102" i="33"/>
  <c r="AF102" i="33" s="1"/>
  <c r="BF103" i="33"/>
  <c r="AP149" i="33"/>
  <c r="AR149" i="33" s="1"/>
  <c r="AK104" i="33"/>
  <c r="AE150" i="33"/>
  <c r="AW58" i="33"/>
  <c r="AN60" i="33"/>
  <c r="AM79" i="33"/>
  <c r="BB79" i="33"/>
  <c r="BC80" i="33"/>
  <c r="BC86" i="33" s="1"/>
  <c r="AH84" i="33"/>
  <c r="AH126" i="33"/>
  <c r="AH132" i="33" s="1"/>
  <c r="AH83" i="33"/>
  <c r="AH82" i="33" s="1"/>
  <c r="AW37" i="33"/>
  <c r="AW36" i="33" s="1"/>
  <c r="AV38" i="33"/>
  <c r="AX38" i="33" s="1"/>
  <c r="BF97" i="33"/>
  <c r="AV98" i="33"/>
  <c r="AX98" i="33" s="1"/>
  <c r="AT142" i="33"/>
  <c r="BC100" i="33"/>
  <c r="BE52" i="33"/>
  <c r="BG52" i="33" s="1"/>
  <c r="BB144" i="33"/>
  <c r="BD144" i="33" s="1"/>
  <c r="AY146" i="33"/>
  <c r="BA146" i="33" s="1"/>
  <c r="BC148" i="33"/>
  <c r="BE148" i="33"/>
  <c r="BG148" i="33" s="1"/>
  <c r="AW105" i="33"/>
  <c r="AN149" i="33"/>
  <c r="AD59" i="33"/>
  <c r="AF59" i="33" s="1"/>
  <c r="AG34" i="33"/>
  <c r="AE53" i="33"/>
  <c r="AH145" i="33"/>
  <c r="AS146" i="33"/>
  <c r="AU146" i="33" s="1"/>
  <c r="AZ148" i="33"/>
  <c r="AM104" i="33"/>
  <c r="AO104" i="33" s="1"/>
  <c r="AG104" i="33"/>
  <c r="AI104" i="33" s="1"/>
  <c r="BE58" i="33"/>
  <c r="BG58" i="33" s="1"/>
  <c r="AT150" i="33"/>
  <c r="AP106" i="33"/>
  <c r="AR106" i="33" s="1"/>
  <c r="BF106" i="33"/>
  <c r="BC60" i="33"/>
  <c r="BF80" i="33"/>
  <c r="BF86" i="33" s="1"/>
  <c r="AV80" i="33"/>
  <c r="BE126" i="33"/>
  <c r="BE84" i="33"/>
  <c r="BG84" i="33" s="1"/>
  <c r="AZ130" i="33"/>
  <c r="AQ37" i="33"/>
  <c r="AF60" i="25"/>
  <c r="AE96" i="33"/>
  <c r="AF156" i="25"/>
  <c r="BC97" i="33"/>
  <c r="AS142" i="33"/>
  <c r="AU142" i="33" s="1"/>
  <c r="AT99" i="33"/>
  <c r="AN52" i="33"/>
  <c r="AM99" i="33"/>
  <c r="AO99" i="33" s="1"/>
  <c r="AN53" i="33"/>
  <c r="AG146" i="33"/>
  <c r="AI146" i="33" s="1"/>
  <c r="AH104" i="33"/>
  <c r="AE105" i="33"/>
  <c r="AH59" i="33"/>
  <c r="AE152" i="33"/>
  <c r="AJ152" i="33"/>
  <c r="AL152" i="33" s="1"/>
  <c r="AJ59" i="33"/>
  <c r="AL59" i="33" s="1"/>
  <c r="AW151" i="33"/>
  <c r="AW104" i="33"/>
  <c r="AV149" i="33"/>
  <c r="AX149" i="33" s="1"/>
  <c r="AH148" i="33"/>
  <c r="AN146" i="33"/>
  <c r="AK146" i="33"/>
  <c r="AT145" i="33"/>
  <c r="AW100" i="33"/>
  <c r="AJ100" i="33"/>
  <c r="AL100" i="33" s="1"/>
  <c r="AV144" i="33"/>
  <c r="AX144" i="33" s="1"/>
  <c r="AM143" i="33"/>
  <c r="AO143" i="33" s="1"/>
  <c r="BC98" i="33"/>
  <c r="AS98" i="33"/>
  <c r="AU98" i="33" s="1"/>
  <c r="BF96" i="33"/>
  <c r="AE38" i="33"/>
  <c r="AT84" i="33"/>
  <c r="AK130" i="33"/>
  <c r="BF129" i="33"/>
  <c r="BC130" i="33"/>
  <c r="AQ80" i="33"/>
  <c r="AQ86" i="33" s="1"/>
  <c r="AJ79" i="33"/>
  <c r="BE38" i="33"/>
  <c r="BG38" i="33" s="1"/>
  <c r="AY126" i="33"/>
  <c r="AT79" i="33"/>
  <c r="AN152" i="33"/>
  <c r="AV106" i="33"/>
  <c r="AX106" i="33" s="1"/>
  <c r="AS151" i="33"/>
  <c r="AU151" i="33" s="1"/>
  <c r="BE150" i="33"/>
  <c r="BG150" i="33" s="1"/>
  <c r="AK149" i="33"/>
  <c r="AE104" i="33"/>
  <c r="AJ149" i="33"/>
  <c r="AL149" i="33" s="1"/>
  <c r="BF148" i="33"/>
  <c r="BC102" i="33"/>
  <c r="AT52" i="33"/>
  <c r="BC144" i="33"/>
  <c r="AJ145" i="33"/>
  <c r="AL145" i="33" s="1"/>
  <c r="AS53" i="33"/>
  <c r="AU53" i="33" s="1"/>
  <c r="AK51" i="33"/>
  <c r="AJ51" i="33"/>
  <c r="AL51" i="33" s="1"/>
  <c r="AH97" i="33"/>
  <c r="AT38" i="33"/>
  <c r="AE130" i="33"/>
  <c r="AW126" i="33"/>
  <c r="AW132" i="33" s="1"/>
  <c r="AJ80" i="33"/>
  <c r="AK152" i="33"/>
  <c r="AG150" i="33"/>
  <c r="AI150" i="33" s="1"/>
  <c r="AN150" i="33"/>
  <c r="AM105" i="33"/>
  <c r="AO105" i="33" s="1"/>
  <c r="AP105" i="33"/>
  <c r="AR105" i="33" s="1"/>
  <c r="AV148" i="33"/>
  <c r="AX148" i="33" s="1"/>
  <c r="AJ146" i="33"/>
  <c r="AL146" i="33" s="1"/>
  <c r="AZ54" i="33"/>
  <c r="AK99" i="33"/>
  <c r="AJ99" i="33"/>
  <c r="AL99" i="33" s="1"/>
  <c r="AK52" i="33"/>
  <c r="AW98" i="33"/>
  <c r="AN142" i="33"/>
  <c r="AE143" i="33"/>
  <c r="AQ98" i="33"/>
  <c r="AP96" i="33"/>
  <c r="AR96" i="33" s="1"/>
  <c r="AP38" i="33"/>
  <c r="AR38" i="33" s="1"/>
  <c r="BC84" i="33"/>
  <c r="AZ37" i="33"/>
  <c r="AZ36" i="33" s="1"/>
  <c r="AK84" i="33"/>
  <c r="AS83" i="33"/>
  <c r="AG79" i="33"/>
  <c r="AN97" i="33"/>
  <c r="AT129" i="33"/>
  <c r="AZ129" i="33"/>
  <c r="AZ128" i="33" s="1"/>
  <c r="AM125" i="33"/>
  <c r="BE60" i="33"/>
  <c r="BG60" i="33" s="1"/>
  <c r="AD106" i="33"/>
  <c r="AF106" i="33" s="1"/>
  <c r="BC150" i="33"/>
  <c r="AS58" i="33"/>
  <c r="AU58" i="33" s="1"/>
  <c r="AQ104" i="33"/>
  <c r="AY149" i="33"/>
  <c r="BA149" i="33" s="1"/>
  <c r="AN148" i="33"/>
  <c r="AP148" i="33"/>
  <c r="AR148" i="33" s="1"/>
  <c r="AQ102" i="33"/>
  <c r="AE144" i="33"/>
  <c r="BB100" i="33"/>
  <c r="BD100" i="33" s="1"/>
  <c r="AY52" i="33"/>
  <c r="BA52" i="33" s="1"/>
  <c r="AT98" i="33"/>
  <c r="AE51" i="33"/>
  <c r="AP97" i="33"/>
  <c r="AR97" i="33" s="1"/>
  <c r="AG38" i="33"/>
  <c r="AI38" i="33" s="1"/>
  <c r="AD129" i="33"/>
  <c r="AT126" i="33"/>
  <c r="AT132" i="33" s="1"/>
  <c r="AH125" i="33"/>
  <c r="AD152" i="33"/>
  <c r="AF152" i="33" s="1"/>
  <c r="BE106" i="33"/>
  <c r="BG106" i="33" s="1"/>
  <c r="BC106" i="33"/>
  <c r="AZ151" i="33"/>
  <c r="AD104" i="33"/>
  <c r="AF104" i="33" s="1"/>
  <c r="AY148" i="33"/>
  <c r="BA148" i="33" s="1"/>
  <c r="AJ102" i="33"/>
  <c r="AL102" i="33" s="1"/>
  <c r="AE146" i="33"/>
  <c r="AQ145" i="33"/>
  <c r="AW99" i="33"/>
  <c r="AM144" i="33"/>
  <c r="AO144" i="33" s="1"/>
  <c r="AH98" i="33"/>
  <c r="AQ97" i="33"/>
  <c r="AG157" i="25"/>
  <c r="AZ97" i="33"/>
  <c r="AK96" i="33"/>
  <c r="BB38" i="33"/>
  <c r="BD38" i="33" s="1"/>
  <c r="AN37" i="33"/>
  <c r="AN36" i="33" s="1"/>
  <c r="AG130" i="33"/>
  <c r="AI130" i="33" s="1"/>
  <c r="AT37" i="33"/>
  <c r="AT36" i="33" s="1"/>
  <c r="AN83" i="33"/>
  <c r="AN82" i="33" s="1"/>
  <c r="AW79" i="33"/>
  <c r="AF157" i="25"/>
  <c r="AP129" i="33"/>
  <c r="AZ84" i="33"/>
  <c r="AE80" i="33"/>
  <c r="AE86" i="33" s="1"/>
  <c r="AQ60" i="33"/>
  <c r="BB150" i="33"/>
  <c r="BD150" i="33" s="1"/>
  <c r="AZ149" i="33"/>
  <c r="AJ57" i="33"/>
  <c r="AL57" i="33" s="1"/>
  <c r="AM148" i="33"/>
  <c r="AO148" i="33" s="1"/>
  <c r="BE102" i="33"/>
  <c r="BG102" i="33" s="1"/>
  <c r="AV100" i="33"/>
  <c r="AX100" i="33" s="1"/>
  <c r="AY100" i="33"/>
  <c r="BA100" i="33" s="1"/>
  <c r="AT100" i="33"/>
  <c r="BB52" i="33"/>
  <c r="BD52" i="33" s="1"/>
  <c r="AP98" i="33"/>
  <c r="AR98" i="33" s="1"/>
  <c r="AH51" i="33"/>
  <c r="AG60" i="25"/>
  <c r="BB37" i="33"/>
  <c r="AM129" i="33"/>
  <c r="AE79" i="33"/>
  <c r="AG60" i="33"/>
  <c r="AI60" i="33" s="1"/>
  <c r="AE59" i="33"/>
  <c r="AP59" i="33"/>
  <c r="AR59" i="33" s="1"/>
  <c r="BF58" i="33"/>
  <c r="AQ150" i="33"/>
  <c r="AV104" i="33"/>
  <c r="AX104" i="33" s="1"/>
  <c r="AJ104" i="33"/>
  <c r="AL104" i="33" s="1"/>
  <c r="BE103" i="33"/>
  <c r="BG103" i="33" s="1"/>
  <c r="AW102" i="33"/>
  <c r="AN54" i="33"/>
  <c r="AK100" i="33"/>
  <c r="AD100" i="33"/>
  <c r="AF100" i="33" s="1"/>
  <c r="AS144" i="33"/>
  <c r="AU144" i="33" s="1"/>
  <c r="AM97" i="33"/>
  <c r="AO97" i="33" s="1"/>
  <c r="AG98" i="33"/>
  <c r="AI98" i="33" s="1"/>
  <c r="AW97" i="33"/>
  <c r="AZ96" i="33"/>
  <c r="AD38" i="33"/>
  <c r="AF38" i="33" s="1"/>
  <c r="AJ129" i="33"/>
  <c r="AV37" i="33"/>
  <c r="AT130" i="33"/>
  <c r="AJ126" i="33"/>
  <c r="AE125" i="33"/>
  <c r="AG97" i="33"/>
  <c r="AI97" i="33" s="1"/>
  <c r="AG129" i="33"/>
  <c r="BB129" i="33"/>
  <c r="AQ125" i="33"/>
  <c r="BF152" i="33"/>
  <c r="AW59" i="33"/>
  <c r="AJ58" i="33"/>
  <c r="AL58" i="33" s="1"/>
  <c r="AD57" i="33"/>
  <c r="AF57" i="33" s="1"/>
  <c r="BB148" i="33"/>
  <c r="BD148" i="33" s="1"/>
  <c r="AY102" i="33"/>
  <c r="BA102" i="33" s="1"/>
  <c r="AK102" i="33"/>
  <c r="AS145" i="33"/>
  <c r="AU145" i="33" s="1"/>
  <c r="AY144" i="33"/>
  <c r="BA144" i="33" s="1"/>
  <c r="AP144" i="33"/>
  <c r="AR144" i="33" s="1"/>
  <c r="AH52" i="33"/>
  <c r="AM98" i="33"/>
  <c r="AO98" i="33" s="1"/>
  <c r="AY142" i="33"/>
  <c r="BA142" i="33" s="1"/>
  <c r="AV96" i="33"/>
  <c r="AX96" i="33" s="1"/>
  <c r="AS37" i="33"/>
  <c r="AD126" i="33"/>
  <c r="BC125" i="33"/>
  <c r="AH50" i="33"/>
  <c r="AS51" i="33"/>
  <c r="AU51" i="33" s="1"/>
  <c r="AZ60" i="33"/>
  <c r="AS59" i="33"/>
  <c r="AU59" i="33" s="1"/>
  <c r="AE151" i="33"/>
  <c r="AN151" i="33"/>
  <c r="AH105" i="33"/>
  <c r="AY104" i="33"/>
  <c r="BA104" i="33" s="1"/>
  <c r="AT149" i="33"/>
  <c r="BC103" i="33"/>
  <c r="BF146" i="33"/>
  <c r="AQ146" i="33"/>
  <c r="AD53" i="33"/>
  <c r="AF53" i="33" s="1"/>
  <c r="AP100" i="33"/>
  <c r="AR100" i="33" s="1"/>
  <c r="AN144" i="33"/>
  <c r="BE142" i="33"/>
  <c r="BG142" i="33" s="1"/>
  <c r="AZ142" i="33"/>
  <c r="AQ143" i="33"/>
  <c r="AF107" i="25"/>
  <c r="AS38" i="33"/>
  <c r="AU38" i="33" s="1"/>
  <c r="AS130" i="33"/>
  <c r="AU130" i="33" s="1"/>
  <c r="AE83" i="33"/>
  <c r="AE82" i="33" s="1"/>
  <c r="AQ83" i="33"/>
  <c r="AQ82" i="33" s="1"/>
  <c r="AP79" i="33"/>
  <c r="AS125" i="33"/>
  <c r="AF62" i="25"/>
  <c r="AV129" i="33"/>
  <c r="AM37" i="33"/>
  <c r="AQ79" i="33"/>
  <c r="AS152" i="33"/>
  <c r="AU152" i="33" s="1"/>
  <c r="AK106" i="33"/>
  <c r="AV151" i="33"/>
  <c r="AX151" i="33" s="1"/>
  <c r="AZ58" i="33"/>
  <c r="AP103" i="33"/>
  <c r="AR103" i="33" s="1"/>
  <c r="AT103" i="33"/>
  <c r="BC146" i="33"/>
  <c r="AV52" i="33"/>
  <c r="AX52" i="33" s="1"/>
  <c r="AJ53" i="33"/>
  <c r="AL53" i="33" s="1"/>
  <c r="AM52" i="33"/>
  <c r="AO52" i="33" s="1"/>
  <c r="AN143" i="33"/>
  <c r="AW143" i="33"/>
  <c r="AD142" i="33"/>
  <c r="AF142" i="33" s="1"/>
  <c r="AM96" i="33"/>
  <c r="AO96" i="33" s="1"/>
  <c r="BF84" i="33"/>
  <c r="AW83" i="33"/>
  <c r="AW82" i="33" s="1"/>
  <c r="AP125" i="33"/>
  <c r="AP152" i="33"/>
  <c r="AR152" i="33" s="1"/>
  <c r="AG152" i="33"/>
  <c r="AI152" i="33" s="1"/>
  <c r="AJ106" i="33"/>
  <c r="AL106" i="33" s="1"/>
  <c r="BC58" i="33"/>
  <c r="AW150" i="33"/>
  <c r="AH149" i="33"/>
  <c r="BC149" i="33"/>
  <c r="AZ103" i="33"/>
  <c r="AJ103" i="33"/>
  <c r="AL103" i="33" s="1"/>
  <c r="AP146" i="33"/>
  <c r="AR146" i="33" s="1"/>
  <c r="AE145" i="33"/>
  <c r="AQ144" i="33"/>
  <c r="AH144" i="33"/>
  <c r="BB98" i="33"/>
  <c r="BD98" i="33" s="1"/>
  <c r="AW142" i="33"/>
  <c r="AH143" i="33"/>
  <c r="AE142" i="33"/>
  <c r="BE96" i="33"/>
  <c r="BG96" i="33" s="1"/>
  <c r="AH37" i="33"/>
  <c r="AT83" i="33"/>
  <c r="AT82" i="33" s="1"/>
  <c r="AG126" i="33"/>
  <c r="AG83" i="33"/>
  <c r="AK80" i="33"/>
  <c r="AK86" i="33" s="1"/>
  <c r="AD79" i="33"/>
  <c r="BC96" i="33"/>
  <c r="AG84" i="33"/>
  <c r="AI84" i="33" s="1"/>
  <c r="BC129" i="33"/>
  <c r="BC128" i="33" s="1"/>
  <c r="BF125" i="33"/>
  <c r="AV59" i="33"/>
  <c r="AX59" i="33" s="1"/>
  <c r="AN59" i="33"/>
  <c r="AV58" i="33"/>
  <c r="AX58" i="33" s="1"/>
  <c r="AQ149" i="33"/>
  <c r="AW149" i="33"/>
  <c r="AE148" i="33"/>
  <c r="BC54" i="33"/>
  <c r="AN145" i="33"/>
  <c r="AG145" i="33"/>
  <c r="AI145" i="33" s="1"/>
  <c r="AD145" i="33"/>
  <c r="AF145" i="33" s="1"/>
  <c r="AW52" i="33"/>
  <c r="BB97" i="33"/>
  <c r="BD97" i="33" s="1"/>
  <c r="AD143" i="33"/>
  <c r="AF143" i="33" s="1"/>
  <c r="AK142" i="33"/>
  <c r="AY130" i="33"/>
  <c r="BA130" i="33" s="1"/>
  <c r="BE129" i="33"/>
  <c r="AY125" i="33"/>
  <c r="AH33" i="33"/>
  <c r="AS60" i="33"/>
  <c r="AU60" i="33" s="1"/>
  <c r="AQ151" i="33"/>
  <c r="AD105" i="33"/>
  <c r="AF105" i="33" s="1"/>
  <c r="AV105" i="33"/>
  <c r="AX105" i="33" s="1"/>
  <c r="AW103" i="33"/>
  <c r="AG103" i="33"/>
  <c r="AI103" i="33" s="1"/>
  <c r="BB102" i="33"/>
  <c r="BD102" i="33" s="1"/>
  <c r="AS102" i="33"/>
  <c r="AU102" i="33" s="1"/>
  <c r="AT53" i="33"/>
  <c r="AD52" i="33"/>
  <c r="AF52" i="33" s="1"/>
  <c r="AG99" i="33"/>
  <c r="AI99" i="33" s="1"/>
  <c r="AZ98" i="33"/>
  <c r="AS97" i="33"/>
  <c r="AU97" i="33" s="1"/>
  <c r="AG156" i="25"/>
  <c r="AQ38" i="33"/>
  <c r="AD130" i="33"/>
  <c r="AF130" i="33" s="1"/>
  <c r="BE83" i="33"/>
  <c r="BF83" i="33"/>
  <c r="BF82" i="33" s="1"/>
  <c r="BF130" i="33"/>
  <c r="AK79" i="33"/>
  <c r="AW125" i="33"/>
  <c r="AM38" i="33"/>
  <c r="AO38" i="33" s="1"/>
  <c r="AE126" i="33"/>
  <c r="AY37" i="33"/>
  <c r="AV60" i="33"/>
  <c r="AX60" i="33" s="1"/>
  <c r="BB106" i="33"/>
  <c r="BD106" i="33" s="1"/>
  <c r="AT59" i="33"/>
  <c r="AJ151" i="33"/>
  <c r="AL151" i="33" s="1"/>
  <c r="AN58" i="33"/>
  <c r="AS105" i="33"/>
  <c r="AU105" i="33" s="1"/>
  <c r="AK103" i="33"/>
  <c r="AJ54" i="33"/>
  <c r="AL54" i="33" s="1"/>
  <c r="AW145" i="33"/>
  <c r="AH99" i="33"/>
  <c r="AT97" i="33"/>
  <c r="AG51" i="33"/>
  <c r="AI51" i="33" s="1"/>
  <c r="BB96" i="33"/>
  <c r="BD96" i="33" s="1"/>
  <c r="AJ130" i="33"/>
  <c r="AL130" i="33" s="1"/>
  <c r="AY84" i="33"/>
  <c r="BA84" i="33" s="1"/>
  <c r="AT125" i="33"/>
  <c r="AD50" i="33"/>
  <c r="AF50" i="33" s="1"/>
  <c r="AH152" i="33"/>
  <c r="AE106" i="33"/>
  <c r="AM150" i="33"/>
  <c r="AO150" i="33" s="1"/>
  <c r="AZ150" i="33"/>
  <c r="AE57" i="33"/>
  <c r="AN104" i="33"/>
  <c r="BC104" i="33"/>
  <c r="AW148" i="33"/>
  <c r="AV146" i="33"/>
  <c r="AX146" i="33" s="1"/>
  <c r="AE102" i="33"/>
  <c r="AG59" i="25"/>
  <c r="AG30" i="25" s="1"/>
  <c r="AG29" i="25" s="1"/>
  <c r="AM72" i="25" s="1" a="1"/>
  <c r="AM72" i="25" s="1"/>
  <c r="AM74" i="25" s="1"/>
  <c r="AQ53" i="33"/>
  <c r="BF98" i="33"/>
  <c r="AZ100" i="33"/>
  <c r="BF143" i="33"/>
  <c r="AF110" i="25"/>
  <c r="AF109" i="25"/>
  <c r="AH38" i="33"/>
  <c r="AM84" i="33"/>
  <c r="AO84" i="33" s="1"/>
  <c r="AJ83" i="33"/>
  <c r="BB126" i="33"/>
  <c r="BC37" i="33"/>
  <c r="BC36" i="33" s="1"/>
  <c r="AG80" i="33"/>
  <c r="AG125" i="33"/>
  <c r="AG107" i="25"/>
  <c r="AN126" i="33"/>
  <c r="AN132" i="33" s="1"/>
  <c r="BB125" i="33"/>
  <c r="AJ60" i="33"/>
  <c r="AL60" i="33" s="1"/>
  <c r="AQ59" i="33"/>
  <c r="BF150" i="33"/>
  <c r="AY58" i="33"/>
  <c r="BA58" i="33" s="1"/>
  <c r="AD149" i="33"/>
  <c r="AF149" i="33" s="1"/>
  <c r="AQ105" i="33"/>
  <c r="AN105" i="33"/>
  <c r="AS103" i="33"/>
  <c r="AU103" i="33" s="1"/>
  <c r="AT146" i="33"/>
  <c r="AZ52" i="33"/>
  <c r="AD99" i="33"/>
  <c r="AF99" i="33" s="1"/>
  <c r="AV53" i="33"/>
  <c r="AX53" i="33" s="1"/>
  <c r="AJ143" i="33"/>
  <c r="AL143" i="33" s="1"/>
  <c r="BF142" i="33"/>
  <c r="AH96" i="33"/>
  <c r="BF38" i="33"/>
  <c r="AP83" i="33"/>
  <c r="AK125" i="33"/>
  <c r="AD33" i="33"/>
  <c r="AH34" i="33"/>
  <c r="AH40" i="33" s="1"/>
  <c r="AJ50" i="33"/>
  <c r="AL50" i="33" s="1"/>
  <c r="AE33" i="33"/>
  <c r="AG56" i="33"/>
  <c r="AI56" i="33" s="1"/>
  <c r="AQ51" i="33"/>
  <c r="AK33" i="33"/>
  <c r="AJ56" i="33"/>
  <c r="AL56" i="33" s="1"/>
  <c r="AM33" i="33"/>
  <c r="AJ34" i="33"/>
  <c r="AH56" i="33"/>
  <c r="AK50" i="33"/>
  <c r="AK34" i="33"/>
  <c r="AK40" i="33" s="1"/>
  <c r="AJ33" i="33"/>
  <c r="AK56" i="33"/>
  <c r="AM50" i="33"/>
  <c r="AO50" i="33" s="1"/>
  <c r="AM34" i="33"/>
  <c r="AN51" i="33"/>
  <c r="AN56" i="33"/>
  <c r="AQ50" i="33"/>
  <c r="AP56" i="33"/>
  <c r="AR56" i="33" s="1"/>
  <c r="AM56" i="33"/>
  <c r="AO56" i="33" s="1"/>
  <c r="AN33" i="33"/>
  <c r="AQ33" i="33"/>
  <c r="BB51" i="33"/>
  <c r="BD51" i="33" s="1"/>
  <c r="AP33" i="33"/>
  <c r="AP34" i="33"/>
  <c r="AP50" i="33"/>
  <c r="AR50" i="33" s="1"/>
  <c r="AW51" i="33"/>
  <c r="AN34" i="33"/>
  <c r="AN40" i="33" s="1"/>
  <c r="N127" i="27" a="1"/>
  <c r="N127" i="27" s="1"/>
  <c r="BX126" i="27" a="1"/>
  <c r="BX126" i="27" s="1"/>
  <c r="M70" i="28" a="1"/>
  <c r="M70" i="28" s="1"/>
  <c r="AS69" i="28" a="1"/>
  <c r="AS69" i="28" s="1"/>
  <c r="N183" i="27" a="1"/>
  <c r="N183" i="27" s="1"/>
  <c r="BX182" i="27" a="1"/>
  <c r="BX182" i="27" s="1"/>
  <c r="AT51" i="33"/>
  <c r="AT57" i="33"/>
  <c r="AO68" i="27"/>
  <c r="AP65" i="27"/>
  <c r="AS34" i="33"/>
  <c r="AS56" i="33"/>
  <c r="AU56" i="33" s="1"/>
  <c r="AS50" i="33"/>
  <c r="AU50" i="33" s="1"/>
  <c r="AQ56" i="33"/>
  <c r="AT33" i="33"/>
  <c r="AT50" i="33"/>
  <c r="AY67" i="27"/>
  <c r="AP80" i="27"/>
  <c r="AQ78" i="27"/>
  <c r="AQ79" i="27" s="1"/>
  <c r="AZ137" i="27"/>
  <c r="BA135" i="27"/>
  <c r="BA136" i="27" s="1"/>
  <c r="AP137" i="27"/>
  <c r="AQ135" i="27"/>
  <c r="AQ136" i="27" s="1"/>
  <c r="AP192" i="27"/>
  <c r="AQ190" i="27"/>
  <c r="AQ191" i="27" s="1"/>
  <c r="AZ80" i="27"/>
  <c r="BA78" i="27"/>
  <c r="BA79" i="27" s="1"/>
  <c r="N71" i="27" a="1"/>
  <c r="N71" i="27" s="1"/>
  <c r="BX70" i="27" a="1"/>
  <c r="BX70" i="27" s="1"/>
  <c r="M137" i="28" a="1"/>
  <c r="M137" i="28" s="1"/>
  <c r="AS136" i="28" a="1"/>
  <c r="AS136" i="28" s="1"/>
  <c r="AS33" i="33"/>
  <c r="U86" i="12"/>
  <c r="S87" i="12" a="1"/>
  <c r="S87" i="12" s="1"/>
  <c r="M204" i="28" a="1"/>
  <c r="M204" i="28" s="1"/>
  <c r="AS203" i="28" a="1"/>
  <c r="AS203" i="28" s="1"/>
  <c r="S198" i="12" a="1"/>
  <c r="S198" i="12" s="1"/>
  <c r="U197" i="12"/>
  <c r="AQ34" i="33"/>
  <c r="AQ40" i="33" s="1"/>
  <c r="S355" i="12" a="1"/>
  <c r="S355" i="12" s="1"/>
  <c r="U354" i="12"/>
  <c r="AS57" i="33"/>
  <c r="AU57" i="33" s="1"/>
  <c r="S199" i="12" l="1" a="1"/>
  <c r="S199" i="12" s="1"/>
  <c r="U198" i="12"/>
  <c r="M205" i="28" a="1"/>
  <c r="M205" i="28" s="1"/>
  <c r="AS204" i="28" a="1"/>
  <c r="AS204" i="28" s="1"/>
  <c r="BA80" i="27"/>
  <c r="BB78" i="27"/>
  <c r="AQ192" i="27"/>
  <c r="AR190" i="27"/>
  <c r="AQ137" i="27"/>
  <c r="AR135" i="27"/>
  <c r="BA137" i="27"/>
  <c r="BB135" i="27"/>
  <c r="AQ80" i="27"/>
  <c r="AR78" i="27"/>
  <c r="AY68" i="27"/>
  <c r="AZ65" i="27"/>
  <c r="AT34" i="33"/>
  <c r="AT40" i="33" s="1"/>
  <c r="AT56" i="33"/>
  <c r="AT39" i="33"/>
  <c r="AT41" i="33" s="1"/>
  <c r="AT35" i="33"/>
  <c r="AS40" i="33"/>
  <c r="AU40" i="33" s="1"/>
  <c r="AU34" i="33"/>
  <c r="N184" i="27" a="1"/>
  <c r="N184" i="27" s="1"/>
  <c r="BX183" i="27" a="1"/>
  <c r="BX183" i="27" s="1"/>
  <c r="M71" i="28" a="1"/>
  <c r="M71" i="28" s="1"/>
  <c r="AS70" i="28" a="1"/>
  <c r="AS70" i="28" s="1"/>
  <c r="N128" i="27" a="1"/>
  <c r="N128" i="27" s="1"/>
  <c r="BX127" i="27" a="1"/>
  <c r="BX127" i="27" s="1"/>
  <c r="AP40" i="33"/>
  <c r="AR40" i="33" s="1"/>
  <c r="AR34" i="33"/>
  <c r="AN35" i="33"/>
  <c r="AN39" i="33"/>
  <c r="AN41" i="33" s="1"/>
  <c r="AM40" i="33"/>
  <c r="AO40" i="33" s="1"/>
  <c r="AO34" i="33"/>
  <c r="AM39" i="33"/>
  <c r="AO33" i="33"/>
  <c r="AM35" i="33"/>
  <c r="AK39" i="33"/>
  <c r="AK41" i="33" s="1"/>
  <c r="AK35" i="33"/>
  <c r="AD39" i="33"/>
  <c r="AD35" i="33"/>
  <c r="AF33" i="33"/>
  <c r="AR83" i="33"/>
  <c r="AP82" i="33"/>
  <c r="AR82" i="33" s="1"/>
  <c r="BB131" i="33"/>
  <c r="BB127" i="33"/>
  <c r="BD125" i="33"/>
  <c r="AG86" i="33"/>
  <c r="AI86" i="33" s="1"/>
  <c r="AI80" i="33"/>
  <c r="BB132" i="33"/>
  <c r="BD132" i="33" s="1"/>
  <c r="BD126" i="33"/>
  <c r="S356" i="12" a="1"/>
  <c r="S356" i="12" s="1"/>
  <c r="U355" i="12"/>
  <c r="S88" i="12" a="1"/>
  <c r="S88" i="12" s="1"/>
  <c r="U87" i="12"/>
  <c r="AS39" i="33"/>
  <c r="AU33" i="33"/>
  <c r="AS35" i="33"/>
  <c r="M138" i="28" a="1"/>
  <c r="M138" i="28" s="1"/>
  <c r="AS137" i="28" a="1"/>
  <c r="AS137" i="28" s="1"/>
  <c r="N72" i="27" a="1"/>
  <c r="N72" i="27" s="1"/>
  <c r="BX71" i="27" a="1"/>
  <c r="BX71" i="27" s="1"/>
  <c r="AV51" i="33"/>
  <c r="AX51" i="33" s="1"/>
  <c r="AV57" i="33"/>
  <c r="AX57" i="33" s="1"/>
  <c r="AV50" i="33"/>
  <c r="AX50" i="33" s="1"/>
  <c r="AV33" i="33"/>
  <c r="AP67" i="27"/>
  <c r="AP39" i="33"/>
  <c r="AP35" i="33"/>
  <c r="AR33" i="33"/>
  <c r="AQ39" i="33"/>
  <c r="AQ41" i="33" s="1"/>
  <c r="AQ35" i="33"/>
  <c r="AJ39" i="33"/>
  <c r="AJ35" i="33"/>
  <c r="AL33" i="33"/>
  <c r="AJ40" i="33"/>
  <c r="AL40" i="33" s="1"/>
  <c r="AL34" i="33"/>
  <c r="AE39" i="33"/>
  <c r="AE41" i="33" s="1"/>
  <c r="AE35" i="33"/>
  <c r="AK127" i="33"/>
  <c r="AK131" i="33"/>
  <c r="AK133" i="33" s="1"/>
  <c r="AI125" i="33"/>
  <c r="AG131" i="33"/>
  <c r="AG127" i="33"/>
  <c r="AL83" i="33"/>
  <c r="AJ82" i="33"/>
  <c r="AL82" i="33" s="1"/>
  <c r="BA37" i="33"/>
  <c r="AY36" i="33"/>
  <c r="BA36" i="33" s="1"/>
  <c r="AK85" i="33"/>
  <c r="AK87" i="33" s="1"/>
  <c r="AK81" i="33"/>
  <c r="BA125" i="33"/>
  <c r="AY131" i="33"/>
  <c r="AY127" i="33"/>
  <c r="AG132" i="33"/>
  <c r="AI132" i="33" s="1"/>
  <c r="AI126" i="33"/>
  <c r="AH36" i="33"/>
  <c r="AY99" i="33"/>
  <c r="BA99" i="33" s="1"/>
  <c r="AP131" i="33"/>
  <c r="AP127" i="33"/>
  <c r="AR125" i="33"/>
  <c r="AQ85" i="33"/>
  <c r="AQ87" i="33" s="1"/>
  <c r="AQ81" i="33"/>
  <c r="AX129" i="33"/>
  <c r="AV128" i="33"/>
  <c r="AX128" i="33" s="1"/>
  <c r="AU125" i="33"/>
  <c r="AS131" i="33"/>
  <c r="AS127" i="33"/>
  <c r="BC127" i="33"/>
  <c r="BC131" i="33"/>
  <c r="BC133" i="33" s="1"/>
  <c r="AU37" i="33"/>
  <c r="AS36" i="33"/>
  <c r="AU36" i="33" s="1"/>
  <c r="AQ127" i="33"/>
  <c r="AQ131" i="33"/>
  <c r="AQ133" i="33" s="1"/>
  <c r="AI129" i="33"/>
  <c r="AG128" i="33"/>
  <c r="AI128" i="33" s="1"/>
  <c r="AE127" i="33"/>
  <c r="AL129" i="33"/>
  <c r="AJ128" i="33"/>
  <c r="AL128" i="33" s="1"/>
  <c r="AE85" i="33"/>
  <c r="AE87" i="33" s="1"/>
  <c r="AE81" i="33"/>
  <c r="BD37" i="33"/>
  <c r="BB36" i="33"/>
  <c r="BD36" i="33" s="1"/>
  <c r="AR129" i="33"/>
  <c r="AP128" i="33"/>
  <c r="AR128" i="33" s="1"/>
  <c r="AW85" i="33"/>
  <c r="AW87" i="33" s="1"/>
  <c r="AW81" i="33"/>
  <c r="AH131" i="33"/>
  <c r="AH133" i="33" s="1"/>
  <c r="AH127" i="33"/>
  <c r="AF129" i="33"/>
  <c r="AD128" i="33"/>
  <c r="AF128" i="33" s="1"/>
  <c r="AO125" i="33"/>
  <c r="AM131" i="33"/>
  <c r="AM127" i="33"/>
  <c r="AT128" i="33"/>
  <c r="AG85" i="33"/>
  <c r="AI79" i="33"/>
  <c r="AG81" i="33"/>
  <c r="AY132" i="33"/>
  <c r="BA132" i="33" s="1"/>
  <c r="BA126" i="33"/>
  <c r="AJ85" i="33"/>
  <c r="AJ81" i="33"/>
  <c r="AL79" i="33"/>
  <c r="AQ36" i="33"/>
  <c r="AV86" i="33"/>
  <c r="AX86" i="33" s="1"/>
  <c r="AX80" i="33"/>
  <c r="BB85" i="33"/>
  <c r="BB81" i="33"/>
  <c r="BD79" i="33"/>
  <c r="AF37" i="33"/>
  <c r="AD36" i="33"/>
  <c r="AF36" i="33" s="1"/>
  <c r="AK82" i="33"/>
  <c r="AK128" i="33"/>
  <c r="BF36" i="33"/>
  <c r="AP132" i="33"/>
  <c r="AR132" i="33" s="1"/>
  <c r="AR126" i="33"/>
  <c r="BD83" i="33"/>
  <c r="BB82" i="33"/>
  <c r="BD82" i="33" s="1"/>
  <c r="AD86" i="33"/>
  <c r="AF86" i="33" s="1"/>
  <c r="AF80" i="33"/>
  <c r="AM132" i="33"/>
  <c r="AO132" i="33" s="1"/>
  <c r="AO126" i="33"/>
  <c r="AM86" i="33"/>
  <c r="AO86" i="33" s="1"/>
  <c r="AO80" i="33"/>
  <c r="BC82" i="33"/>
  <c r="AZ131" i="33"/>
  <c r="AZ133" i="33" s="1"/>
  <c r="AZ127" i="33"/>
  <c r="AX83" i="33"/>
  <c r="AV82" i="33"/>
  <c r="AX82" i="33" s="1"/>
  <c r="AJ131" i="33"/>
  <c r="AJ127" i="33"/>
  <c r="AL125" i="33"/>
  <c r="AL37" i="33"/>
  <c r="AJ36" i="33"/>
  <c r="AL36" i="33" s="1"/>
  <c r="AY145" i="33"/>
  <c r="BA145" i="33" s="1"/>
  <c r="AP86" i="33"/>
  <c r="AR86" i="33" s="1"/>
  <c r="AR80" i="33"/>
  <c r="BA83" i="33"/>
  <c r="AY82" i="33"/>
  <c r="BA82" i="33" s="1"/>
  <c r="AY53" i="33"/>
  <c r="BA53" i="33" s="1"/>
  <c r="AV85" i="33"/>
  <c r="AV81" i="33"/>
  <c r="AX79" i="33"/>
  <c r="AZ82" i="33"/>
  <c r="AU129" i="33"/>
  <c r="AS128" i="33"/>
  <c r="AU128" i="33" s="1"/>
  <c r="AE36" i="33"/>
  <c r="BE85" i="33"/>
  <c r="BG79" i="33"/>
  <c r="BE81" i="33"/>
  <c r="AD40" i="33"/>
  <c r="AF40" i="33" s="1"/>
  <c r="AF34" i="33"/>
  <c r="BC85" i="33"/>
  <c r="BC87" i="33" s="1"/>
  <c r="BC81" i="33"/>
  <c r="AI37" i="33"/>
  <c r="AG36" i="33"/>
  <c r="AI36" i="33" s="1"/>
  <c r="AF30" i="25"/>
  <c r="AF29" i="25" s="1"/>
  <c r="AG72" i="25" s="1" a="1"/>
  <c r="AG72" i="25" s="1"/>
  <c r="AG74" i="25" s="1"/>
  <c r="AH128" i="33"/>
  <c r="BA192" i="27"/>
  <c r="BB190" i="27"/>
  <c r="BB76" i="27"/>
  <c r="BC74" i="27"/>
  <c r="AT131" i="33"/>
  <c r="AT133" i="33" s="1"/>
  <c r="AT127" i="33"/>
  <c r="AZ99" i="33"/>
  <c r="AZ53" i="33"/>
  <c r="AY105" i="33"/>
  <c r="BA105" i="33" s="1"/>
  <c r="AW127" i="33"/>
  <c r="AW131" i="33"/>
  <c r="AW133" i="33" s="1"/>
  <c r="BG83" i="33"/>
  <c r="BE82" i="33"/>
  <c r="BG82" i="33" s="1"/>
  <c r="AH39" i="33"/>
  <c r="AH41" i="33" s="1"/>
  <c r="AH35" i="33"/>
  <c r="BG129" i="33"/>
  <c r="BE128" i="33"/>
  <c r="BG128" i="33" s="1"/>
  <c r="BF131" i="33"/>
  <c r="BF133" i="33" s="1"/>
  <c r="BF127" i="33"/>
  <c r="AD85" i="33"/>
  <c r="AD81" i="33"/>
  <c r="AF79" i="33"/>
  <c r="AI83" i="33"/>
  <c r="AG82" i="33"/>
  <c r="AI82" i="33" s="1"/>
  <c r="AZ105" i="33"/>
  <c r="AO37" i="33"/>
  <c r="AM36" i="33"/>
  <c r="AO36" i="33" s="1"/>
  <c r="AP85" i="33"/>
  <c r="AP81" i="33"/>
  <c r="AR79" i="33"/>
  <c r="AD132" i="33"/>
  <c r="AF132" i="33" s="1"/>
  <c r="AF126" i="33"/>
  <c r="BD129" i="33"/>
  <c r="BB128" i="33"/>
  <c r="BD128" i="33" s="1"/>
  <c r="AJ132" i="33"/>
  <c r="AL132" i="33" s="1"/>
  <c r="AL126" i="33"/>
  <c r="AX37" i="33"/>
  <c r="AV36" i="33"/>
  <c r="AX36" i="33" s="1"/>
  <c r="AO129" i="33"/>
  <c r="AM128" i="33"/>
  <c r="AO128" i="33" s="1"/>
  <c r="AY151" i="33"/>
  <c r="BA151" i="33" s="1"/>
  <c r="AU83" i="33"/>
  <c r="AS82" i="33"/>
  <c r="AU82" i="33" s="1"/>
  <c r="AJ86" i="33"/>
  <c r="AL86" i="33" s="1"/>
  <c r="AL80" i="33"/>
  <c r="AT81" i="33"/>
  <c r="AT85" i="33"/>
  <c r="AT87" i="33" s="1"/>
  <c r="BF128" i="33"/>
  <c r="BE132" i="33"/>
  <c r="BG132" i="33" s="1"/>
  <c r="BG126" i="33"/>
  <c r="AG40" i="33"/>
  <c r="AI40" i="33" s="1"/>
  <c r="AI34" i="33"/>
  <c r="AM85" i="33"/>
  <c r="AO79" i="33"/>
  <c r="AM81" i="33"/>
  <c r="AY59" i="33"/>
  <c r="BA59" i="33" s="1"/>
  <c r="AS132" i="33"/>
  <c r="AU132" i="33" s="1"/>
  <c r="AU126" i="33"/>
  <c r="BG125" i="33"/>
  <c r="BE131" i="33"/>
  <c r="BE127" i="33"/>
  <c r="AF77" i="25"/>
  <c r="AF76" i="25" s="1"/>
  <c r="AG119" i="25" s="1" a="1"/>
  <c r="AG119" i="25" s="1"/>
  <c r="AG121" i="25" s="1"/>
  <c r="BG37" i="33"/>
  <c r="BE36" i="33"/>
  <c r="BG36" i="33" s="1"/>
  <c r="AZ81" i="33"/>
  <c r="AZ85" i="33"/>
  <c r="AZ87" i="33" s="1"/>
  <c r="BA129" i="33"/>
  <c r="AY128" i="33"/>
  <c r="BA128" i="33" s="1"/>
  <c r="AS86" i="33"/>
  <c r="AU86" i="33" s="1"/>
  <c r="AU80" i="33"/>
  <c r="AO83" i="33"/>
  <c r="AM82" i="33"/>
  <c r="AO82" i="33" s="1"/>
  <c r="AY86" i="33"/>
  <c r="BA86" i="33" s="1"/>
  <c r="BA80" i="33"/>
  <c r="AG39" i="33"/>
  <c r="AI33" i="33"/>
  <c r="AG35" i="33"/>
  <c r="AF124" i="25"/>
  <c r="AF123" i="25" s="1"/>
  <c r="AG166" i="25" s="1" a="1"/>
  <c r="AG166" i="25" s="1"/>
  <c r="AG168" i="25" s="1"/>
  <c r="BB86" i="33"/>
  <c r="BD86" i="33" s="1"/>
  <c r="BD80" i="33"/>
  <c r="AR37" i="33"/>
  <c r="AP36" i="33"/>
  <c r="AR36" i="33" s="1"/>
  <c r="AY85" i="33"/>
  <c r="BA79" i="33"/>
  <c r="AY81" i="33"/>
  <c r="AN81" i="33"/>
  <c r="AN85" i="33"/>
  <c r="AN87" i="33" s="1"/>
  <c r="AV132" i="33"/>
  <c r="AX132" i="33" s="1"/>
  <c r="AX126" i="33"/>
  <c r="AV131" i="33"/>
  <c r="AV127" i="33"/>
  <c r="AX125" i="33"/>
  <c r="AD131" i="33"/>
  <c r="AD127" i="33"/>
  <c r="AF125" i="33"/>
  <c r="BE86" i="33"/>
  <c r="BG86" i="33" s="1"/>
  <c r="BG80" i="33"/>
  <c r="AQ128" i="33"/>
  <c r="AS85" i="33"/>
  <c r="AU79" i="33"/>
  <c r="AS81" i="33"/>
  <c r="AW128" i="33"/>
  <c r="AN131" i="33"/>
  <c r="AN133" i="33" s="1"/>
  <c r="AN127" i="33"/>
  <c r="AE128" i="33"/>
  <c r="BF81" i="33"/>
  <c r="BF85" i="33"/>
  <c r="BF87" i="33" s="1"/>
  <c r="AK36" i="33"/>
  <c r="AZ59" i="33"/>
  <c r="AH81" i="33"/>
  <c r="AH85" i="33"/>
  <c r="AH87" i="33" s="1"/>
  <c r="AF83" i="33"/>
  <c r="AD82" i="33"/>
  <c r="AF82" i="33" s="1"/>
  <c r="AX131" i="33" l="1"/>
  <c r="AV133" i="33"/>
  <c r="BE133" i="33"/>
  <c r="BG131" i="33"/>
  <c r="AP87" i="33"/>
  <c r="AR85" i="33"/>
  <c r="AD87" i="33"/>
  <c r="AF85" i="33"/>
  <c r="BC75" i="27"/>
  <c r="BC76" i="27" s="1"/>
  <c r="BF51" i="33"/>
  <c r="BB191" i="27"/>
  <c r="BC145" i="33"/>
  <c r="BG85" i="33"/>
  <c r="BE87" i="33"/>
  <c r="AL131" i="33"/>
  <c r="AJ133" i="33"/>
  <c r="AI85" i="33"/>
  <c r="AG87" i="33"/>
  <c r="AG133" i="33"/>
  <c r="AI131" i="33"/>
  <c r="AJ41" i="33"/>
  <c r="AL39" i="33"/>
  <c r="AP68" i="27"/>
  <c r="AQ65" i="27"/>
  <c r="AV34" i="33"/>
  <c r="AV56" i="33"/>
  <c r="AX56" i="33" s="1"/>
  <c r="N73" i="27" a="1"/>
  <c r="N73" i="27" s="1"/>
  <c r="BX72" i="27" a="1"/>
  <c r="BX72" i="27" s="1"/>
  <c r="M139" i="28" a="1"/>
  <c r="M139" i="28" s="1"/>
  <c r="AS138" i="28" a="1"/>
  <c r="AS138" i="28" s="1"/>
  <c r="BD131" i="33"/>
  <c r="BB133" i="33"/>
  <c r="AO39" i="33"/>
  <c r="AM41" i="33"/>
  <c r="N129" i="27" a="1"/>
  <c r="N129" i="27" s="1"/>
  <c r="BX128" i="27" a="1"/>
  <c r="BX128" i="27" s="1"/>
  <c r="M72" i="28" a="1"/>
  <c r="M72" i="28" s="1"/>
  <c r="AS71" i="28" a="1"/>
  <c r="AS71" i="28" s="1"/>
  <c r="N185" i="27" a="1"/>
  <c r="N185" i="27" s="1"/>
  <c r="BX184" i="27" a="1"/>
  <c r="BX184" i="27" s="1"/>
  <c r="AY51" i="33"/>
  <c r="BA51" i="33" s="1"/>
  <c r="AY57" i="33"/>
  <c r="BA57" i="33" s="1"/>
  <c r="M206" i="28" a="1"/>
  <c r="M206" i="28" s="1"/>
  <c r="AS205" i="28" a="1"/>
  <c r="AS205" i="28" s="1"/>
  <c r="S200" i="12" a="1"/>
  <c r="S200" i="12" s="1"/>
  <c r="U199" i="12"/>
  <c r="AU85" i="33"/>
  <c r="AS87" i="33"/>
  <c r="AF131" i="33"/>
  <c r="AD133" i="33"/>
  <c r="BA85" i="33"/>
  <c r="AY87" i="33"/>
  <c r="AI39" i="33"/>
  <c r="AG41" i="33"/>
  <c r="AO85" i="33"/>
  <c r="AM87" i="33"/>
  <c r="AZ51" i="33"/>
  <c r="AZ57" i="33"/>
  <c r="AV87" i="33"/>
  <c r="AX85" i="33"/>
  <c r="BB87" i="33"/>
  <c r="BD85" i="33"/>
  <c r="AJ87" i="33"/>
  <c r="AL85" i="33"/>
  <c r="AM133" i="33"/>
  <c r="AO131" i="33"/>
  <c r="AS133" i="33"/>
  <c r="AU131" i="33"/>
  <c r="AR131" i="33"/>
  <c r="AP133" i="33"/>
  <c r="AY133" i="33"/>
  <c r="BA131" i="33"/>
  <c r="AP41" i="33"/>
  <c r="AR39" i="33"/>
  <c r="AV39" i="33"/>
  <c r="AV35" i="33"/>
  <c r="AX33" i="33"/>
  <c r="AU39" i="33"/>
  <c r="AS41" i="33"/>
  <c r="S89" i="12" a="1"/>
  <c r="S89" i="12" s="1"/>
  <c r="U88" i="12"/>
  <c r="S357" i="12" a="1"/>
  <c r="S357" i="12" s="1"/>
  <c r="U356" i="12"/>
  <c r="AD41" i="33"/>
  <c r="AF39" i="33"/>
  <c r="AW50" i="33"/>
  <c r="AW33" i="33"/>
  <c r="AZ67" i="27"/>
  <c r="AR79" i="27"/>
  <c r="BB53" i="33"/>
  <c r="BD53" i="33" s="1"/>
  <c r="BB136" i="27"/>
  <c r="BC99" i="33"/>
  <c r="AR136" i="27"/>
  <c r="BB99" i="33"/>
  <c r="BD99" i="33" s="1"/>
  <c r="AR191" i="27"/>
  <c r="BB145" i="33"/>
  <c r="BD145" i="33" s="1"/>
  <c r="BB79" i="27"/>
  <c r="BC53" i="33"/>
  <c r="S358" i="12" l="1" a="1"/>
  <c r="S358" i="12" s="1"/>
  <c r="U357" i="12"/>
  <c r="S90" i="12" a="1"/>
  <c r="S90" i="12" s="1"/>
  <c r="U89" i="12"/>
  <c r="AY33" i="33"/>
  <c r="AY50" i="33"/>
  <c r="BA50" i="33" s="1"/>
  <c r="AQ67" i="27"/>
  <c r="AZ68" i="27"/>
  <c r="BA65" i="27"/>
  <c r="AW34" i="33"/>
  <c r="AW40" i="33" s="1"/>
  <c r="AW56" i="33"/>
  <c r="BB80" i="27"/>
  <c r="BC78" i="27"/>
  <c r="BC59" i="33"/>
  <c r="AR192" i="27"/>
  <c r="BB57" i="33" s="1"/>
  <c r="BD57" i="33" s="1"/>
  <c r="AS190" i="27"/>
  <c r="BB151" i="33"/>
  <c r="BD151" i="33" s="1"/>
  <c r="AR137" i="27"/>
  <c r="AS135" i="27"/>
  <c r="BB105" i="33"/>
  <c r="BD105" i="33" s="1"/>
  <c r="BB137" i="27"/>
  <c r="BC135" i="27"/>
  <c r="BC105" i="33"/>
  <c r="AR80" i="27"/>
  <c r="AS78" i="27"/>
  <c r="BB59" i="33"/>
  <c r="BD59" i="33" s="1"/>
  <c r="AW39" i="33"/>
  <c r="AW41" i="33" s="1"/>
  <c r="AW35" i="33"/>
  <c r="AV41" i="33"/>
  <c r="AX39" i="33"/>
  <c r="S201" i="12" a="1"/>
  <c r="S201" i="12" s="1"/>
  <c r="U200" i="12"/>
  <c r="M207" i="28" a="1"/>
  <c r="M207" i="28" s="1"/>
  <c r="AS206" i="28" a="1"/>
  <c r="AS206" i="28" s="1"/>
  <c r="N186" i="27" a="1"/>
  <c r="N186" i="27" s="1"/>
  <c r="BX185" i="27" a="1"/>
  <c r="BX185" i="27" s="1"/>
  <c r="M73" i="28" a="1"/>
  <c r="M73" i="28" s="1"/>
  <c r="AS72" i="28" a="1"/>
  <c r="AS72" i="28" s="1"/>
  <c r="N130" i="27" a="1"/>
  <c r="N130" i="27" s="1"/>
  <c r="BX129" i="27" a="1"/>
  <c r="BX129" i="27" s="1"/>
  <c r="M140" i="28" a="1"/>
  <c r="M140" i="28" s="1"/>
  <c r="AS139" i="28" a="1"/>
  <c r="AS139" i="28" s="1"/>
  <c r="N74" i="27" a="1"/>
  <c r="N74" i="27" s="1"/>
  <c r="BX73" i="27" a="1"/>
  <c r="BX73" i="27" s="1"/>
  <c r="AV40" i="33"/>
  <c r="AX40" i="33" s="1"/>
  <c r="AX34" i="33"/>
  <c r="BB192" i="27"/>
  <c r="BC190" i="27"/>
  <c r="BC151" i="33"/>
  <c r="BC191" i="27" l="1"/>
  <c r="BF145" i="33"/>
  <c r="BC136" i="27"/>
  <c r="BF99" i="33"/>
  <c r="AS191" i="27"/>
  <c r="BE145" i="33"/>
  <c r="BG145" i="33" s="1"/>
  <c r="BC57" i="33"/>
  <c r="BC51" i="33"/>
  <c r="N75" i="27" a="1"/>
  <c r="N75" i="27" s="1"/>
  <c r="BX74" i="27" a="1"/>
  <c r="BX74" i="27" s="1"/>
  <c r="M141" i="28" a="1"/>
  <c r="M141" i="28" s="1"/>
  <c r="AS140" i="28" a="1"/>
  <c r="AS140" i="28" s="1"/>
  <c r="N131" i="27" a="1"/>
  <c r="N131" i="27" s="1"/>
  <c r="BX130" i="27" a="1"/>
  <c r="BX130" i="27" s="1"/>
  <c r="M74" i="28" a="1"/>
  <c r="M74" i="28" s="1"/>
  <c r="AS73" i="28" a="1"/>
  <c r="AS73" i="28" s="1"/>
  <c r="N187" i="27" a="1"/>
  <c r="N187" i="27" s="1"/>
  <c r="BX186" i="27" a="1"/>
  <c r="BX186" i="27" s="1"/>
  <c r="M208" i="28" a="1"/>
  <c r="M208" i="28" s="1"/>
  <c r="AS207" i="28" a="1"/>
  <c r="AS207" i="28" s="1"/>
  <c r="S202" i="12" a="1"/>
  <c r="S202" i="12" s="1"/>
  <c r="U201" i="12"/>
  <c r="AS79" i="27"/>
  <c r="BE53" i="33"/>
  <c r="BG53" i="33" s="1"/>
  <c r="AS136" i="27"/>
  <c r="BE99" i="33"/>
  <c r="BG99" i="33" s="1"/>
  <c r="BC79" i="27"/>
  <c r="BF53" i="33"/>
  <c r="AZ50" i="33"/>
  <c r="AZ33" i="33"/>
  <c r="BA67" i="27"/>
  <c r="AQ68" i="27"/>
  <c r="AR65" i="27"/>
  <c r="AY56" i="33"/>
  <c r="BA56" i="33" s="1"/>
  <c r="AY34" i="33"/>
  <c r="AY39" i="33"/>
  <c r="BA33" i="33"/>
  <c r="AY35" i="33"/>
  <c r="S91" i="12" a="1"/>
  <c r="S91" i="12" s="1"/>
  <c r="U90" i="12"/>
  <c r="S359" i="12" a="1"/>
  <c r="S359" i="12" s="1"/>
  <c r="U358" i="12"/>
  <c r="BA39" i="33" l="1"/>
  <c r="AY41" i="33"/>
  <c r="AZ35" i="33"/>
  <c r="AZ39" i="33"/>
  <c r="AZ41" i="33" s="1"/>
  <c r="S360" i="12" a="1"/>
  <c r="S360" i="12" s="1"/>
  <c r="U359" i="12"/>
  <c r="S92" i="12" a="1"/>
  <c r="S92" i="12" s="1"/>
  <c r="U91" i="12"/>
  <c r="AY40" i="33"/>
  <c r="BA40" i="33" s="1"/>
  <c r="BA34" i="33"/>
  <c r="BB33" i="33"/>
  <c r="BB50" i="33"/>
  <c r="BD50" i="33" s="1"/>
  <c r="AR67" i="27"/>
  <c r="BA68" i="27"/>
  <c r="BB65" i="27"/>
  <c r="AZ56" i="33"/>
  <c r="AZ34" i="33"/>
  <c r="AZ40" i="33" s="1"/>
  <c r="BC80" i="27"/>
  <c r="BF59" i="33"/>
  <c r="AS137" i="27"/>
  <c r="BE105" i="33"/>
  <c r="BG105" i="33" s="1"/>
  <c r="AS80" i="27"/>
  <c r="BE59" i="33"/>
  <c r="BG59" i="33" s="1"/>
  <c r="S203" i="12" a="1"/>
  <c r="S203" i="12" s="1"/>
  <c r="U202" i="12"/>
  <c r="M209" i="28" a="1"/>
  <c r="M209" i="28" s="1"/>
  <c r="AS208" i="28" a="1"/>
  <c r="AS208" i="28" s="1"/>
  <c r="N188" i="27" a="1"/>
  <c r="N188" i="27" s="1"/>
  <c r="BX187" i="27" a="1"/>
  <c r="BX187" i="27" s="1"/>
  <c r="M75" i="28" a="1"/>
  <c r="M75" i="28" s="1"/>
  <c r="AS74" i="28" a="1"/>
  <c r="AS74" i="28" s="1"/>
  <c r="N132" i="27" a="1"/>
  <c r="N132" i="27" s="1"/>
  <c r="BX131" i="27" a="1"/>
  <c r="BX131" i="27" s="1"/>
  <c r="M142" i="28" a="1"/>
  <c r="M142" i="28" s="1"/>
  <c r="AS141" i="28" a="1"/>
  <c r="AS141" i="28" s="1"/>
  <c r="N76" i="27" a="1"/>
  <c r="N76" i="27" s="1"/>
  <c r="BX75" i="27" a="1"/>
  <c r="BX75" i="27" s="1"/>
  <c r="AS192" i="27"/>
  <c r="BE151" i="33"/>
  <c r="BG151" i="33" s="1"/>
  <c r="BC137" i="27"/>
  <c r="BF105" i="33"/>
  <c r="BC192" i="27"/>
  <c r="BF57" i="33" s="1"/>
  <c r="BF151" i="33"/>
  <c r="BE51" i="33" l="1"/>
  <c r="BG51" i="33" s="1"/>
  <c r="BE57" i="33"/>
  <c r="BG57" i="33" s="1"/>
  <c r="N77" i="27" a="1"/>
  <c r="N77" i="27" s="1"/>
  <c r="BX76" i="27" a="1"/>
  <c r="BX76" i="27" s="1"/>
  <c r="M143" i="28" a="1"/>
  <c r="M143" i="28" s="1"/>
  <c r="AS142" i="28" a="1"/>
  <c r="AS142" i="28" s="1"/>
  <c r="N133" i="27" a="1"/>
  <c r="N133" i="27" s="1"/>
  <c r="BX132" i="27" a="1"/>
  <c r="BX132" i="27" s="1"/>
  <c r="M76" i="28" a="1"/>
  <c r="M76" i="28" s="1"/>
  <c r="AS75" i="28" a="1"/>
  <c r="AS75" i="28" s="1"/>
  <c r="N189" i="27" a="1"/>
  <c r="N189" i="27" s="1"/>
  <c r="BX188" i="27" a="1"/>
  <c r="BX188" i="27" s="1"/>
  <c r="M210" i="28" a="1"/>
  <c r="M210" i="28" s="1"/>
  <c r="AS209" i="28" a="1"/>
  <c r="AS209" i="28" s="1"/>
  <c r="S204" i="12" a="1"/>
  <c r="S204" i="12" s="1"/>
  <c r="U203" i="12"/>
  <c r="BC33" i="33"/>
  <c r="BC50" i="33"/>
  <c r="BB67" i="27"/>
  <c r="AR68" i="27"/>
  <c r="AS65" i="27"/>
  <c r="BB34" i="33"/>
  <c r="BB56" i="33"/>
  <c r="BD56" i="33" s="1"/>
  <c r="BB39" i="33"/>
  <c r="BB35" i="33"/>
  <c r="BD33" i="33"/>
  <c r="S93" i="12" a="1"/>
  <c r="S93" i="12" s="1"/>
  <c r="U92" i="12"/>
  <c r="S361" i="12" a="1"/>
  <c r="S361" i="12" s="1"/>
  <c r="U360" i="12"/>
  <c r="BB40" i="33" l="1"/>
  <c r="BD40" i="33" s="1"/>
  <c r="BD34" i="33"/>
  <c r="BB41" i="33"/>
  <c r="BD39" i="33"/>
  <c r="S362" i="12" a="1"/>
  <c r="S362" i="12" s="1"/>
  <c r="U361" i="12"/>
  <c r="S94" i="12" a="1"/>
  <c r="S94" i="12" s="1"/>
  <c r="U93" i="12"/>
  <c r="BE33" i="33"/>
  <c r="BE50" i="33"/>
  <c r="BG50" i="33" s="1"/>
  <c r="AS67" i="27"/>
  <c r="BB68" i="27"/>
  <c r="BC65" i="27"/>
  <c r="BC56" i="33"/>
  <c r="BC34" i="33"/>
  <c r="BC40" i="33" s="1"/>
  <c r="BC39" i="33"/>
  <c r="BC41" i="33" s="1"/>
  <c r="BC35" i="33"/>
  <c r="S205" i="12" a="1"/>
  <c r="S205" i="12" s="1"/>
  <c r="U204" i="12"/>
  <c r="M211" i="28" a="1"/>
  <c r="M211" i="28" s="1"/>
  <c r="AS210" i="28" a="1"/>
  <c r="AS210" i="28" s="1"/>
  <c r="N190" i="27" a="1"/>
  <c r="N190" i="27" s="1"/>
  <c r="BX189" i="27" a="1"/>
  <c r="BX189" i="27" s="1"/>
  <c r="M77" i="28" a="1"/>
  <c r="M77" i="28" s="1"/>
  <c r="AS76" i="28" a="1"/>
  <c r="AS76" i="28" s="1"/>
  <c r="N134" i="27" a="1"/>
  <c r="N134" i="27" s="1"/>
  <c r="BX133" i="27" a="1"/>
  <c r="BX133" i="27" s="1"/>
  <c r="M144" i="28" a="1"/>
  <c r="M144" i="28" s="1"/>
  <c r="AS143" i="28" a="1"/>
  <c r="AS143" i="28" s="1"/>
  <c r="N78" i="27" a="1"/>
  <c r="N78" i="27" s="1"/>
  <c r="BX77" i="27" a="1"/>
  <c r="BX77" i="27" s="1"/>
  <c r="N79" i="27" l="1" a="1"/>
  <c r="N79" i="27" s="1"/>
  <c r="BX78" i="27" a="1"/>
  <c r="BX78" i="27" s="1"/>
  <c r="M145" i="28" a="1"/>
  <c r="M145" i="28" s="1"/>
  <c r="AS144" i="28" a="1"/>
  <c r="AS144" i="28" s="1"/>
  <c r="N135" i="27" a="1"/>
  <c r="N135" i="27" s="1"/>
  <c r="BX134" i="27" a="1"/>
  <c r="BX134" i="27" s="1"/>
  <c r="M78" i="28" a="1"/>
  <c r="M78" i="28" s="1"/>
  <c r="AS77" i="28" a="1"/>
  <c r="AS77" i="28" s="1"/>
  <c r="N191" i="27" a="1"/>
  <c r="N191" i="27" s="1"/>
  <c r="BX190" i="27" a="1"/>
  <c r="BX190" i="27" s="1"/>
  <c r="M212" i="28" a="1"/>
  <c r="M212" i="28" s="1"/>
  <c r="AS211" i="28" a="1"/>
  <c r="AS211" i="28" s="1"/>
  <c r="S206" i="12" a="1"/>
  <c r="S206" i="12" s="1"/>
  <c r="U205" i="12"/>
  <c r="BF33" i="33"/>
  <c r="BF50" i="33"/>
  <c r="BC67" i="27"/>
  <c r="AS68" i="27"/>
  <c r="BE34" i="33"/>
  <c r="BE56" i="33"/>
  <c r="BG56" i="33" s="1"/>
  <c r="BE39" i="33"/>
  <c r="BG33" i="33"/>
  <c r="BE35" i="33"/>
  <c r="S95" i="12" a="1"/>
  <c r="S95" i="12" s="1"/>
  <c r="U94" i="12"/>
  <c r="S363" i="12" a="1"/>
  <c r="S363" i="12" s="1"/>
  <c r="U362" i="12"/>
  <c r="U363" i="12" l="1"/>
  <c r="S364" i="12" a="1"/>
  <c r="S364" i="12" s="1"/>
  <c r="S96" i="12" a="1"/>
  <c r="S96" i="12" s="1"/>
  <c r="U95" i="12"/>
  <c r="BG39" i="33"/>
  <c r="BE41" i="33"/>
  <c r="BE40" i="33"/>
  <c r="BG40" i="33" s="1"/>
  <c r="BG34" i="33"/>
  <c r="BC68" i="27"/>
  <c r="BF56" i="33"/>
  <c r="BF34" i="33"/>
  <c r="BF40" i="33" s="1"/>
  <c r="BF39" i="33"/>
  <c r="BF41" i="33" s="1"/>
  <c r="BF35" i="33"/>
  <c r="S207" i="12" a="1"/>
  <c r="S207" i="12" s="1"/>
  <c r="U206" i="12"/>
  <c r="M213" i="28" a="1"/>
  <c r="M213" i="28" s="1"/>
  <c r="AS212" i="28" a="1"/>
  <c r="AS212" i="28" s="1"/>
  <c r="N192" i="27" a="1"/>
  <c r="N192" i="27" s="1"/>
  <c r="BX191" i="27" a="1"/>
  <c r="BX191" i="27" s="1"/>
  <c r="M79" i="28" a="1"/>
  <c r="M79" i="28" s="1"/>
  <c r="AS78" i="28" a="1"/>
  <c r="AS78" i="28" s="1"/>
  <c r="N136" i="27" a="1"/>
  <c r="N136" i="27" s="1"/>
  <c r="BX135" i="27" a="1"/>
  <c r="BX135" i="27" s="1"/>
  <c r="M146" i="28" a="1"/>
  <c r="M146" i="28" s="1"/>
  <c r="AS145" i="28" a="1"/>
  <c r="AS145" i="28" s="1"/>
  <c r="N80" i="27" a="1"/>
  <c r="N80" i="27" s="1"/>
  <c r="BX79" i="27" a="1"/>
  <c r="BX79" i="27" s="1"/>
  <c r="N81" i="27" l="1" a="1"/>
  <c r="N81" i="27" s="1"/>
  <c r="BX81" i="27" s="1" a="1"/>
  <c r="BX81" i="27" s="1"/>
  <c r="BX80" i="27" a="1"/>
  <c r="BX80" i="27" s="1"/>
  <c r="M147" i="28" a="1"/>
  <c r="M147" i="28" s="1"/>
  <c r="AS146" i="28" a="1"/>
  <c r="AS146" i="28" s="1"/>
  <c r="N137" i="27" a="1"/>
  <c r="N137" i="27" s="1"/>
  <c r="BX136" i="27" a="1"/>
  <c r="BX136" i="27" s="1"/>
  <c r="M80" i="28" a="1"/>
  <c r="M80" i="28" s="1"/>
  <c r="AS79" i="28" a="1"/>
  <c r="AS79" i="28" s="1"/>
  <c r="N193" i="27" a="1"/>
  <c r="N193" i="27" s="1"/>
  <c r="BX193" i="27" s="1" a="1"/>
  <c r="BX193" i="27" s="1"/>
  <c r="BX192" i="27" a="1"/>
  <c r="BX192" i="27" s="1"/>
  <c r="M214" i="28" a="1"/>
  <c r="M214" i="28" s="1"/>
  <c r="AS213" i="28" a="1"/>
  <c r="AS213" i="28" s="1"/>
  <c r="S208" i="12" a="1"/>
  <c r="S208" i="12" s="1"/>
  <c r="U207" i="12"/>
  <c r="S365" i="12" a="1"/>
  <c r="S365" i="12" s="1"/>
  <c r="U364" i="12"/>
  <c r="S97" i="12" a="1"/>
  <c r="S97" i="12" s="1"/>
  <c r="U96" i="12"/>
  <c r="S98" i="12" l="1" a="1"/>
  <c r="S98" i="12" s="1"/>
  <c r="U97" i="12"/>
  <c r="S366" i="12" a="1"/>
  <c r="S366" i="12" s="1"/>
  <c r="U365" i="12"/>
  <c r="S209" i="12" a="1"/>
  <c r="S209" i="12" s="1"/>
  <c r="U208" i="12"/>
  <c r="M215" i="28" a="1"/>
  <c r="M215" i="28" s="1"/>
  <c r="AS214" i="28" a="1"/>
  <c r="AS214" i="28" s="1"/>
  <c r="M81" i="28" a="1"/>
  <c r="M81" i="28" s="1"/>
  <c r="AS80" i="28" a="1"/>
  <c r="AS80" i="28" s="1"/>
  <c r="N138" i="27" a="1"/>
  <c r="N138" i="27" s="1"/>
  <c r="BX138" i="27" s="1" a="1"/>
  <c r="BX138" i="27" s="1"/>
  <c r="BX137" i="27" a="1"/>
  <c r="BX137" i="27" s="1"/>
  <c r="M148" i="28" a="1"/>
  <c r="M148" i="28" s="1"/>
  <c r="AS147" i="28" a="1"/>
  <c r="AS147" i="28" s="1"/>
  <c r="M149" i="28" l="1" a="1"/>
  <c r="M149" i="28" s="1"/>
  <c r="AS148" i="28" a="1"/>
  <c r="AS148" i="28" s="1"/>
  <c r="M82" i="28" a="1"/>
  <c r="M82" i="28" s="1"/>
  <c r="AS81" i="28" a="1"/>
  <c r="AS81" i="28" s="1"/>
  <c r="M216" i="28" a="1"/>
  <c r="M216" i="28" s="1"/>
  <c r="AS215" i="28" a="1"/>
  <c r="AS215" i="28" s="1"/>
  <c r="S210" i="12" a="1"/>
  <c r="S210" i="12" s="1"/>
  <c r="U209" i="12"/>
  <c r="U366" i="12"/>
  <c r="S367" i="12" a="1"/>
  <c r="S367" i="12" s="1"/>
  <c r="S99" i="12" a="1"/>
  <c r="S99" i="12" s="1"/>
  <c r="U98" i="12"/>
  <c r="S368" i="12" l="1" a="1"/>
  <c r="S368" i="12" s="1"/>
  <c r="U367" i="12"/>
  <c r="S100" i="12" a="1"/>
  <c r="S100" i="12" s="1"/>
  <c r="U99" i="12"/>
  <c r="S211" i="12" a="1"/>
  <c r="S211" i="12" s="1"/>
  <c r="U210" i="12"/>
  <c r="M217" i="28" a="1"/>
  <c r="M217" i="28" s="1"/>
  <c r="AS216" i="28" a="1"/>
  <c r="AS216" i="28" s="1"/>
  <c r="M83" i="28" a="1"/>
  <c r="M83" i="28" s="1"/>
  <c r="AS82" i="28" a="1"/>
  <c r="AS82" i="28" s="1"/>
  <c r="M150" i="28" a="1"/>
  <c r="M150" i="28" s="1"/>
  <c r="AS149" i="28" a="1"/>
  <c r="AS149" i="28" s="1"/>
  <c r="M151" i="28" l="1" a="1"/>
  <c r="M151" i="28" s="1"/>
  <c r="AS150" i="28" a="1"/>
  <c r="AS150" i="28" s="1"/>
  <c r="M84" i="28" a="1"/>
  <c r="M84" i="28" s="1"/>
  <c r="AS83" i="28" a="1"/>
  <c r="AS83" i="28" s="1"/>
  <c r="M218" i="28" a="1"/>
  <c r="M218" i="28" s="1"/>
  <c r="AS217" i="28" a="1"/>
  <c r="AS217" i="28" s="1"/>
  <c r="S212" i="12" a="1"/>
  <c r="S212" i="12" s="1"/>
  <c r="U211" i="12"/>
  <c r="S101" i="12" a="1"/>
  <c r="S101" i="12" s="1"/>
  <c r="U100" i="12"/>
  <c r="S369" i="12" a="1"/>
  <c r="S369" i="12" s="1"/>
  <c r="U368" i="12"/>
  <c r="S370" i="12" l="1" a="1"/>
  <c r="S370" i="12" s="1"/>
  <c r="U369" i="12"/>
  <c r="S102" i="12" a="1"/>
  <c r="S102" i="12" s="1"/>
  <c r="U101" i="12"/>
  <c r="S213" i="12" a="1"/>
  <c r="S213" i="12" s="1"/>
  <c r="U212" i="12"/>
  <c r="M219" i="28" a="1"/>
  <c r="M219" i="28" s="1"/>
  <c r="AS218" i="28" a="1"/>
  <c r="AS218" i="28" s="1"/>
  <c r="M85" i="28" a="1"/>
  <c r="M85" i="28" s="1"/>
  <c r="AS84" i="28" a="1"/>
  <c r="AS84" i="28" s="1"/>
  <c r="M152" i="28" a="1"/>
  <c r="M152" i="28" s="1"/>
  <c r="AS151" i="28" a="1"/>
  <c r="AS151" i="28" s="1"/>
  <c r="M153" i="28" l="1" a="1"/>
  <c r="M153" i="28" s="1"/>
  <c r="AS152" i="28" a="1"/>
  <c r="AS152" i="28" s="1"/>
  <c r="M86" i="28" a="1"/>
  <c r="M86" i="28" s="1"/>
  <c r="AS85" i="28" a="1"/>
  <c r="AS85" i="28" s="1"/>
  <c r="M220" i="28" a="1"/>
  <c r="M220" i="28" s="1"/>
  <c r="AS219" i="28" a="1"/>
  <c r="AS219" i="28" s="1"/>
  <c r="S214" i="12" a="1"/>
  <c r="S214" i="12" s="1"/>
  <c r="U213" i="12"/>
  <c r="S103" i="12" a="1"/>
  <c r="S103" i="12" s="1"/>
  <c r="U102" i="12"/>
  <c r="S371" i="12" a="1"/>
  <c r="S371" i="12" s="1"/>
  <c r="U370" i="12"/>
  <c r="S372" i="12" l="1" a="1"/>
  <c r="S372" i="12" s="1"/>
  <c r="U371" i="12"/>
  <c r="S104" i="12" a="1"/>
  <c r="S104" i="12" s="1"/>
  <c r="U103" i="12"/>
  <c r="S215" i="12" a="1"/>
  <c r="S215" i="12" s="1"/>
  <c r="U214" i="12"/>
  <c r="M221" i="28" a="1"/>
  <c r="M221" i="28" s="1"/>
  <c r="AS220" i="28" a="1"/>
  <c r="AS220" i="28" s="1"/>
  <c r="M87" i="28" a="1"/>
  <c r="M87" i="28" s="1"/>
  <c r="AS86" i="28" a="1"/>
  <c r="AS86" i="28" s="1"/>
  <c r="M154" i="28" a="1"/>
  <c r="M154" i="28" s="1"/>
  <c r="AS153" i="28" a="1"/>
  <c r="AS153" i="28" s="1"/>
  <c r="M155" i="28" l="1" a="1"/>
  <c r="M155" i="28" s="1"/>
  <c r="AS154" i="28" a="1"/>
  <c r="AS154" i="28" s="1"/>
  <c r="M88" i="28" a="1"/>
  <c r="M88" i="28" s="1"/>
  <c r="AS87" i="28" a="1"/>
  <c r="AS87" i="28" s="1"/>
  <c r="M222" i="28" a="1"/>
  <c r="M222" i="28" s="1"/>
  <c r="AS221" i="28" a="1"/>
  <c r="AS221" i="28" s="1"/>
  <c r="S216" i="12" a="1"/>
  <c r="S216" i="12" s="1"/>
  <c r="U215" i="12"/>
  <c r="S105" i="12" a="1"/>
  <c r="S105" i="12" s="1"/>
  <c r="U104" i="12"/>
  <c r="S373" i="12" a="1"/>
  <c r="S373" i="12" s="1"/>
  <c r="U372" i="12"/>
  <c r="S374" i="12" l="1" a="1"/>
  <c r="S374" i="12" s="1"/>
  <c r="U373" i="12"/>
  <c r="S106" i="12" a="1"/>
  <c r="S106" i="12" s="1"/>
  <c r="U105" i="12"/>
  <c r="S217" i="12" a="1"/>
  <c r="S217" i="12" s="1"/>
  <c r="U216" i="12"/>
  <c r="M223" i="28" a="1"/>
  <c r="M223" i="28" s="1"/>
  <c r="AS222" i="28" a="1"/>
  <c r="AS222" i="28" s="1"/>
  <c r="M89" i="28" a="1"/>
  <c r="M89" i="28" s="1"/>
  <c r="AS88" i="28" a="1"/>
  <c r="AS88" i="28" s="1"/>
  <c r="M156" i="28" a="1"/>
  <c r="M156" i="28" s="1"/>
  <c r="AS155" i="28" a="1"/>
  <c r="AS155" i="28" s="1"/>
  <c r="M157" i="28" l="1" a="1"/>
  <c r="M157" i="28" s="1"/>
  <c r="AS156" i="28" a="1"/>
  <c r="AS156" i="28" s="1"/>
  <c r="M90" i="28" a="1"/>
  <c r="M90" i="28" s="1"/>
  <c r="AS89" i="28" a="1"/>
  <c r="AS89" i="28" s="1"/>
  <c r="M224" i="28" a="1"/>
  <c r="M224" i="28" s="1"/>
  <c r="AS223" i="28" a="1"/>
  <c r="AS223" i="28" s="1"/>
  <c r="U217" i="12"/>
  <c r="S218" i="12" a="1"/>
  <c r="S218" i="12" s="1"/>
  <c r="S107" i="12" a="1"/>
  <c r="S107" i="12" s="1"/>
  <c r="U106" i="12"/>
  <c r="S375" i="12" a="1"/>
  <c r="S375" i="12" s="1"/>
  <c r="U374" i="12"/>
  <c r="S219" i="12" l="1" a="1"/>
  <c r="S219" i="12" s="1"/>
  <c r="U218" i="12"/>
  <c r="S376" i="12" a="1"/>
  <c r="S376" i="12" s="1"/>
  <c r="U375" i="12"/>
  <c r="S108" i="12" a="1"/>
  <c r="S108" i="12" s="1"/>
  <c r="U107" i="12"/>
  <c r="M225" i="28" a="1"/>
  <c r="M225" i="28" s="1"/>
  <c r="AS224" i="28" a="1"/>
  <c r="AS224" i="28" s="1"/>
  <c r="M91" i="28" a="1"/>
  <c r="M91" i="28" s="1"/>
  <c r="AS90" i="28" a="1"/>
  <c r="AS90" i="28" s="1"/>
  <c r="M158" i="28" a="1"/>
  <c r="M158" i="28" s="1"/>
  <c r="AS157" i="28" a="1"/>
  <c r="AS157" i="28" s="1"/>
  <c r="M159" i="28" l="1" a="1"/>
  <c r="M159" i="28" s="1"/>
  <c r="AS158" i="28" a="1"/>
  <c r="AS158" i="28" s="1"/>
  <c r="M92" i="28" a="1"/>
  <c r="M92" i="28" s="1"/>
  <c r="AS91" i="28" a="1"/>
  <c r="AS91" i="28" s="1"/>
  <c r="M226" i="28" a="1"/>
  <c r="M226" i="28" s="1"/>
  <c r="AS225" i="28" a="1"/>
  <c r="AS225" i="28" s="1"/>
  <c r="S109" i="12" a="1"/>
  <c r="S109" i="12" s="1"/>
  <c r="U108" i="12"/>
  <c r="S377" i="12" a="1"/>
  <c r="S377" i="12" s="1"/>
  <c r="U376" i="12"/>
  <c r="S220" i="12" a="1"/>
  <c r="S220" i="12" s="1"/>
  <c r="U219" i="12"/>
  <c r="S221" i="12" l="1" a="1"/>
  <c r="S221" i="12" s="1"/>
  <c r="U220" i="12"/>
  <c r="S378" i="12" a="1"/>
  <c r="S378" i="12" s="1"/>
  <c r="U377" i="12"/>
  <c r="S110" i="12" a="1"/>
  <c r="S110" i="12" s="1"/>
  <c r="U109" i="12"/>
  <c r="M227" i="28" a="1"/>
  <c r="M227" i="28" s="1"/>
  <c r="AS227" i="28" s="1" a="1"/>
  <c r="AS227" i="28" s="1"/>
  <c r="AS226" i="28" a="1"/>
  <c r="AS226" i="28" s="1"/>
  <c r="M93" i="28" a="1"/>
  <c r="M93" i="28" s="1"/>
  <c r="AS93" i="28" s="1" a="1"/>
  <c r="AS93" i="28" s="1"/>
  <c r="AS92" i="28" a="1"/>
  <c r="AS92" i="28" s="1"/>
  <c r="M160" i="28" a="1"/>
  <c r="M160" i="28" s="1"/>
  <c r="AS160" i="28" s="1" a="1"/>
  <c r="AS160" i="28" s="1"/>
  <c r="AS159" i="28" a="1"/>
  <c r="AS159" i="28" s="1"/>
  <c r="S111" i="12" l="1" a="1"/>
  <c r="S111" i="12" s="1"/>
  <c r="U110" i="12"/>
  <c r="S379" i="12" a="1"/>
  <c r="S379" i="12" s="1"/>
  <c r="U378" i="12"/>
  <c r="S222" i="12" a="1"/>
  <c r="S222" i="12" s="1"/>
  <c r="U221" i="12"/>
  <c r="S223" i="12" l="1" a="1"/>
  <c r="S223" i="12" s="1"/>
  <c r="U222" i="12"/>
  <c r="S380" i="12" a="1"/>
  <c r="S380" i="12" s="1"/>
  <c r="U379" i="12"/>
  <c r="S112" i="12" a="1"/>
  <c r="S112" i="12" s="1"/>
  <c r="U111" i="12"/>
  <c r="U112" i="12" l="1"/>
  <c r="S113" i="12" a="1"/>
  <c r="S113" i="12" s="1"/>
  <c r="U380" i="12"/>
  <c r="S381" i="12" a="1"/>
  <c r="S381" i="12" s="1"/>
  <c r="S224" i="12" a="1"/>
  <c r="S224" i="12" s="1"/>
  <c r="U223" i="12"/>
  <c r="S382" i="12" l="1" a="1"/>
  <c r="S382" i="12" s="1"/>
  <c r="U381" i="12"/>
  <c r="S114" i="12" a="1"/>
  <c r="S114" i="12" s="1"/>
  <c r="U113" i="12"/>
  <c r="S225" i="12" a="1"/>
  <c r="S225" i="12" s="1"/>
  <c r="U224" i="12"/>
  <c r="S226" i="12" l="1" a="1"/>
  <c r="S226" i="12" s="1"/>
  <c r="U225" i="12"/>
  <c r="S115" i="12" a="1"/>
  <c r="S115" i="12" s="1"/>
  <c r="U114" i="12"/>
  <c r="S383" i="12" a="1"/>
  <c r="S383" i="12" s="1"/>
  <c r="U382" i="12"/>
  <c r="U383" i="12" l="1"/>
  <c r="S384" i="12" a="1"/>
  <c r="S384" i="12" s="1"/>
  <c r="S116" i="12" a="1"/>
  <c r="S116" i="12" s="1"/>
  <c r="U115" i="12"/>
  <c r="S227" i="12" a="1"/>
  <c r="S227" i="12" s="1"/>
  <c r="U226" i="12"/>
  <c r="S385" i="12" l="1" a="1"/>
  <c r="S385" i="12" s="1"/>
  <c r="U384" i="12"/>
  <c r="S228" i="12" a="1"/>
  <c r="S228" i="12" s="1"/>
  <c r="U227" i="12"/>
  <c r="S117" i="12" a="1"/>
  <c r="S117" i="12" s="1"/>
  <c r="U116" i="12"/>
  <c r="S118" i="12" l="1" a="1"/>
  <c r="S118" i="12" s="1"/>
  <c r="U117" i="12"/>
  <c r="S229" i="12" a="1"/>
  <c r="S229" i="12" s="1"/>
  <c r="U228" i="12"/>
  <c r="S386" i="12" a="1"/>
  <c r="S386" i="12" s="1"/>
  <c r="U385" i="12"/>
  <c r="S387" i="12" l="1" a="1"/>
  <c r="S387" i="12" s="1"/>
  <c r="U386" i="12"/>
  <c r="S230" i="12" a="1"/>
  <c r="S230" i="12" s="1"/>
  <c r="U229" i="12"/>
  <c r="S119" i="12" a="1"/>
  <c r="S119" i="12" s="1"/>
  <c r="U118" i="12"/>
  <c r="U119" i="12" l="1"/>
  <c r="S120" i="12" a="1"/>
  <c r="S120" i="12" s="1"/>
  <c r="S231" i="12" a="1"/>
  <c r="S231" i="12" s="1"/>
  <c r="U230" i="12"/>
  <c r="S388" i="12" a="1"/>
  <c r="S388" i="12" s="1"/>
  <c r="U387" i="12"/>
  <c r="S121" i="12" l="1" a="1"/>
  <c r="S121" i="12" s="1"/>
  <c r="U120" i="12"/>
  <c r="S389" i="12" a="1"/>
  <c r="S389" i="12" s="1"/>
  <c r="U388" i="12"/>
  <c r="S232" i="12" a="1"/>
  <c r="S232" i="12" s="1"/>
  <c r="U231" i="12"/>
  <c r="S233" i="12" l="1" a="1"/>
  <c r="S233" i="12" s="1"/>
  <c r="U232" i="12"/>
  <c r="S390" i="12" a="1"/>
  <c r="S390" i="12" s="1"/>
  <c r="U389" i="12"/>
  <c r="S122" i="12" a="1"/>
  <c r="S122" i="12" s="1"/>
  <c r="U121" i="12"/>
  <c r="S123" i="12" l="1" a="1"/>
  <c r="S123" i="12" s="1"/>
  <c r="U122" i="12"/>
  <c r="S391" i="12" a="1"/>
  <c r="S391" i="12" s="1"/>
  <c r="U390" i="12"/>
  <c r="S234" i="12" a="1"/>
  <c r="S234" i="12" s="1"/>
  <c r="U233" i="12"/>
  <c r="S235" i="12" l="1" a="1"/>
  <c r="S235" i="12" s="1"/>
  <c r="U234" i="12"/>
  <c r="S392" i="12" a="1"/>
  <c r="S392" i="12" s="1"/>
  <c r="U391" i="12"/>
  <c r="S124" i="12" a="1"/>
  <c r="S124" i="12" s="1"/>
  <c r="U123" i="12"/>
  <c r="S125" i="12" l="1" a="1"/>
  <c r="S125" i="12" s="1"/>
  <c r="U124" i="12"/>
  <c r="S393" i="12" a="1"/>
  <c r="S393" i="12" s="1"/>
  <c r="U392" i="12"/>
  <c r="S236" i="12" a="1"/>
  <c r="S236" i="12" s="1"/>
  <c r="U235" i="12"/>
  <c r="S237" i="12" l="1" a="1"/>
  <c r="S237" i="12" s="1"/>
  <c r="U236" i="12"/>
  <c r="S394" i="12" a="1"/>
  <c r="S394" i="12" s="1"/>
  <c r="U393" i="12"/>
  <c r="S126" i="12" a="1"/>
  <c r="S126" i="12" s="1"/>
  <c r="U125" i="12"/>
  <c r="S127" i="12" l="1" a="1"/>
  <c r="S127" i="12" s="1"/>
  <c r="U126" i="12"/>
  <c r="S395" i="12" a="1"/>
  <c r="S395" i="12" s="1"/>
  <c r="U394" i="12"/>
  <c r="S238" i="12" a="1"/>
  <c r="S238" i="12" s="1"/>
  <c r="U237" i="12"/>
  <c r="S239" i="12" l="1" a="1"/>
  <c r="S239" i="12" s="1"/>
  <c r="U238" i="12"/>
  <c r="S396" i="12" a="1"/>
  <c r="S396" i="12" s="1"/>
  <c r="U395" i="12"/>
  <c r="U127" i="12"/>
  <c r="S128" i="12" a="1"/>
  <c r="S128" i="12" s="1"/>
  <c r="S129" i="12" l="1" a="1"/>
  <c r="S129" i="12" s="1"/>
  <c r="U128" i="12"/>
  <c r="S397" i="12" a="1"/>
  <c r="S397" i="12" s="1"/>
  <c r="U396" i="12"/>
  <c r="S240" i="12" a="1"/>
  <c r="S240" i="12" s="1"/>
  <c r="U239" i="12"/>
  <c r="S241" i="12" l="1" a="1"/>
  <c r="S241" i="12" s="1"/>
  <c r="U240" i="12"/>
  <c r="U397" i="12"/>
  <c r="S398" i="12" a="1"/>
  <c r="S398" i="12" s="1"/>
  <c r="S130" i="12" a="1"/>
  <c r="S130" i="12" s="1"/>
  <c r="U129" i="12"/>
  <c r="S399" i="12" l="1" a="1"/>
  <c r="S399" i="12" s="1"/>
  <c r="U398" i="12"/>
  <c r="S131" i="12" a="1"/>
  <c r="S131" i="12" s="1"/>
  <c r="U130" i="12"/>
  <c r="S242" i="12" a="1"/>
  <c r="S242" i="12" s="1"/>
  <c r="U241" i="12"/>
  <c r="S243" i="12" l="1" a="1"/>
  <c r="S243" i="12" s="1"/>
  <c r="U242" i="12"/>
  <c r="S132" i="12" a="1"/>
  <c r="S132" i="12" s="1"/>
  <c r="U131" i="12"/>
  <c r="S400" i="12" a="1"/>
  <c r="S400" i="12" s="1"/>
  <c r="U399" i="12"/>
  <c r="U400" i="12" l="1"/>
  <c r="S401" i="12" a="1"/>
  <c r="S401" i="12" s="1"/>
  <c r="S133" i="12" a="1"/>
  <c r="S133" i="12" s="1"/>
  <c r="U132" i="12"/>
  <c r="S244" i="12" a="1"/>
  <c r="S244" i="12" s="1"/>
  <c r="U243" i="12"/>
  <c r="S402" i="12" l="1" a="1"/>
  <c r="S402" i="12" s="1"/>
  <c r="U401" i="12"/>
  <c r="S245" i="12" a="1"/>
  <c r="S245" i="12" s="1"/>
  <c r="U244" i="12"/>
  <c r="S134" i="12" a="1"/>
  <c r="S134" i="12" s="1"/>
  <c r="U133" i="12"/>
  <c r="S246" i="12" l="1" a="1"/>
  <c r="S246" i="12" s="1"/>
  <c r="U245" i="12"/>
  <c r="S135" i="12" a="1"/>
  <c r="S135" i="12" s="1"/>
  <c r="U134" i="12"/>
  <c r="S403" i="12" a="1"/>
  <c r="S403" i="12" s="1"/>
  <c r="U402" i="12"/>
  <c r="S404" i="12" l="1" a="1"/>
  <c r="S404" i="12" s="1"/>
  <c r="U403" i="12"/>
  <c r="S136" i="12" a="1"/>
  <c r="S136" i="12" s="1"/>
  <c r="U135" i="12"/>
  <c r="S247" i="12" a="1"/>
  <c r="S247" i="12" s="1"/>
  <c r="U246" i="12"/>
  <c r="S248" i="12" l="1" a="1"/>
  <c r="S248" i="12" s="1"/>
  <c r="U247" i="12"/>
  <c r="S137" i="12" a="1"/>
  <c r="S137" i="12" s="1"/>
  <c r="U136" i="12"/>
  <c r="S405" i="12" a="1"/>
  <c r="S405" i="12" s="1"/>
  <c r="U404" i="12"/>
  <c r="S406" i="12" l="1" a="1"/>
  <c r="S406" i="12" s="1"/>
  <c r="U405" i="12"/>
  <c r="S138" i="12" a="1"/>
  <c r="S138" i="12" s="1"/>
  <c r="U138" i="12" s="1"/>
  <c r="U137" i="12"/>
  <c r="S249" i="12" a="1"/>
  <c r="S249" i="12" s="1"/>
  <c r="U248" i="12"/>
  <c r="U249" i="12" l="1"/>
  <c r="S250" i="12" a="1"/>
  <c r="S250" i="12" s="1"/>
  <c r="S407" i="12" a="1"/>
  <c r="S407" i="12" s="1"/>
  <c r="U406" i="12"/>
  <c r="S251" i="12" l="1" a="1"/>
  <c r="S251" i="12" s="1"/>
  <c r="U250" i="12"/>
  <c r="S408" i="12" a="1"/>
  <c r="S408" i="12" s="1"/>
  <c r="U407" i="12"/>
  <c r="S409" i="12" l="1" a="1"/>
  <c r="S409" i="12" s="1"/>
  <c r="U408" i="12"/>
  <c r="S252" i="12" a="1"/>
  <c r="S252" i="12" s="1"/>
  <c r="U251" i="12"/>
  <c r="S253" i="12" l="1" a="1"/>
  <c r="S253" i="12" s="1"/>
  <c r="U252" i="12"/>
  <c r="S410" i="12" a="1"/>
  <c r="S410" i="12" s="1"/>
  <c r="U409" i="12"/>
  <c r="S411" i="12" l="1" a="1"/>
  <c r="S411" i="12" s="1"/>
  <c r="U410" i="12"/>
  <c r="S254" i="12" a="1"/>
  <c r="S254" i="12" s="1"/>
  <c r="U253" i="12"/>
  <c r="S255" i="12" l="1" a="1"/>
  <c r="S255" i="12" s="1"/>
  <c r="U254" i="12"/>
  <c r="S412" i="12" a="1"/>
  <c r="S412" i="12" s="1"/>
  <c r="U411" i="12"/>
  <c r="S413" i="12" l="1" a="1"/>
  <c r="S413" i="12" s="1"/>
  <c r="U412" i="12"/>
  <c r="S256" i="12" a="1"/>
  <c r="S256" i="12" s="1"/>
  <c r="U255" i="12"/>
  <c r="S257" i="12" l="1" a="1"/>
  <c r="S257" i="12" s="1"/>
  <c r="U256" i="12"/>
  <c r="U413" i="12"/>
  <c r="S414" i="12" a="1"/>
  <c r="S414" i="12" s="1"/>
  <c r="S415" i="12" l="1" a="1"/>
  <c r="S415" i="12" s="1"/>
  <c r="U414" i="12"/>
  <c r="U257" i="12"/>
  <c r="S258" i="12" a="1"/>
  <c r="S258" i="12" s="1"/>
  <c r="S259" i="12" l="1" a="1"/>
  <c r="S259" i="12" s="1"/>
  <c r="U258" i="12"/>
  <c r="S416" i="12" a="1"/>
  <c r="S416" i="12" s="1"/>
  <c r="U415" i="12"/>
  <c r="S417" i="12" l="1" a="1"/>
  <c r="S417" i="12" s="1"/>
  <c r="U416" i="12"/>
  <c r="S260" i="12" a="1"/>
  <c r="S260" i="12" s="1"/>
  <c r="U259" i="12"/>
  <c r="S261" i="12" l="1" a="1"/>
  <c r="S261" i="12" s="1"/>
  <c r="U260" i="12"/>
  <c r="S418" i="12" a="1"/>
  <c r="S418" i="12" s="1"/>
  <c r="U417" i="12"/>
  <c r="S419" i="12" l="1" a="1"/>
  <c r="S419" i="12" s="1"/>
  <c r="U418" i="12"/>
  <c r="S262" i="12" a="1"/>
  <c r="S262" i="12" s="1"/>
  <c r="U261" i="12"/>
  <c r="S263" i="12" l="1" a="1"/>
  <c r="S263" i="12" s="1"/>
  <c r="U262" i="12"/>
  <c r="U419" i="12"/>
  <c r="S420" i="12" a="1"/>
  <c r="S420" i="12" s="1"/>
  <c r="S421" i="12" l="1" a="1"/>
  <c r="S421" i="12" s="1"/>
  <c r="U420" i="12"/>
  <c r="U263" i="12"/>
  <c r="S264" i="12" a="1"/>
  <c r="S264" i="12" s="1"/>
  <c r="S265" i="12" l="1" a="1"/>
  <c r="S265" i="12" s="1"/>
  <c r="U264" i="12"/>
  <c r="S422" i="12" a="1"/>
  <c r="S422" i="12" s="1"/>
  <c r="U421" i="12"/>
  <c r="S423" i="12" l="1" a="1"/>
  <c r="S423" i="12" s="1"/>
  <c r="U422" i="12"/>
  <c r="S266" i="12" a="1"/>
  <c r="S266" i="12" s="1"/>
  <c r="U265" i="12"/>
  <c r="S267" i="12" l="1" a="1"/>
  <c r="S267" i="12" s="1"/>
  <c r="U266" i="12"/>
  <c r="S424" i="12" a="1"/>
  <c r="S424" i="12" s="1"/>
  <c r="U423" i="12"/>
  <c r="S425" i="12" l="1" a="1"/>
  <c r="S425" i="12" s="1"/>
  <c r="U424" i="12"/>
  <c r="S268" i="12" a="1"/>
  <c r="S268" i="12" s="1"/>
  <c r="U267" i="12"/>
  <c r="S269" i="12" l="1" a="1"/>
  <c r="S269" i="12" s="1"/>
  <c r="U268" i="12"/>
  <c r="S426" i="12" a="1"/>
  <c r="S426" i="12" s="1"/>
  <c r="U425" i="12"/>
  <c r="S427" i="12" l="1" a="1"/>
  <c r="S427" i="12" s="1"/>
  <c r="U426" i="12"/>
  <c r="S270" i="12" a="1"/>
  <c r="S270" i="12" s="1"/>
  <c r="U269" i="12"/>
  <c r="S271" i="12" l="1" a="1"/>
  <c r="S271" i="12" s="1"/>
  <c r="U270" i="12"/>
  <c r="S428" i="12" a="1"/>
  <c r="S428" i="12" s="1"/>
  <c r="U427" i="12"/>
  <c r="S429" i="12" l="1" a="1"/>
  <c r="S429" i="12" s="1"/>
  <c r="U428" i="12"/>
  <c r="S272" i="12" a="1"/>
  <c r="S272" i="12" s="1"/>
  <c r="U271" i="12"/>
  <c r="S273" i="12" l="1" a="1"/>
  <c r="S273" i="12" s="1"/>
  <c r="U272" i="12"/>
  <c r="U429" i="12"/>
  <c r="S430" i="12" a="1"/>
  <c r="S430" i="12" s="1"/>
  <c r="S431" i="12" l="1" a="1"/>
  <c r="S431" i="12" s="1"/>
  <c r="U430" i="12"/>
  <c r="S274" i="12" a="1"/>
  <c r="S274" i="12" s="1"/>
  <c r="U273" i="12"/>
  <c r="S275" i="12" l="1" a="1"/>
  <c r="S275" i="12" s="1"/>
  <c r="U274" i="12"/>
  <c r="S432" i="12" a="1"/>
  <c r="S432" i="12" s="1"/>
  <c r="U431" i="12"/>
  <c r="S433" i="12" l="1" a="1"/>
  <c r="S433" i="12" s="1"/>
  <c r="U432" i="12"/>
  <c r="S276" i="12" a="1"/>
  <c r="S276" i="12" s="1"/>
  <c r="U275" i="12"/>
  <c r="S277" i="12" l="1" a="1"/>
  <c r="S277" i="12" s="1"/>
  <c r="U276" i="12"/>
  <c r="S434" i="12" a="1"/>
  <c r="S434" i="12" s="1"/>
  <c r="U433" i="12"/>
  <c r="S435" i="12" l="1" a="1"/>
  <c r="S435" i="12" s="1"/>
  <c r="U435" i="12" s="1"/>
  <c r="U434" i="12"/>
  <c r="S278" i="12" a="1"/>
  <c r="S278" i="12" s="1"/>
  <c r="U277" i="12"/>
  <c r="S279" i="12" l="1" a="1"/>
  <c r="S279" i="12" s="1"/>
  <c r="U278" i="12"/>
  <c r="U279" i="12" l="1"/>
  <c r="S280" i="12" a="1"/>
  <c r="S280" i="12" s="1"/>
  <c r="U280" i="12" l="1"/>
  <c r="S281" i="12" a="1"/>
  <c r="S281" i="12" s="1"/>
  <c r="S282" i="12" l="1" a="1"/>
  <c r="S282" i="12" s="1"/>
  <c r="U281" i="12"/>
  <c r="S283" i="12" l="1" a="1"/>
  <c r="S283" i="12" s="1"/>
  <c r="U282" i="12"/>
  <c r="S284" i="12" l="1" a="1"/>
  <c r="S284" i="12" s="1"/>
  <c r="U283" i="12"/>
  <c r="U284" i="12" l="1"/>
  <c r="S285" i="12" a="1"/>
  <c r="S285" i="12" s="1"/>
  <c r="S286" i="12" l="1" a="1"/>
  <c r="S286" i="12" s="1"/>
  <c r="U285" i="12"/>
  <c r="S287" i="12" l="1" a="1"/>
  <c r="S287" i="12" s="1"/>
  <c r="U286" i="12"/>
  <c r="S288" i="12" l="1" a="1"/>
  <c r="S288" i="12" s="1"/>
  <c r="U287" i="12"/>
  <c r="S289" i="12" l="1" a="1"/>
  <c r="S289" i="12" s="1"/>
  <c r="U288" i="12"/>
  <c r="S290" i="12" l="1" a="1"/>
  <c r="S290" i="12" s="1"/>
  <c r="U289" i="12"/>
  <c r="S291" i="12" l="1" a="1"/>
  <c r="S291" i="12" s="1"/>
  <c r="U290" i="12"/>
  <c r="S292" i="12" l="1" a="1"/>
  <c r="S292" i="12" s="1"/>
  <c r="U291" i="12"/>
  <c r="S293" i="12" l="1" a="1"/>
  <c r="S293" i="12" s="1"/>
  <c r="U292" i="12"/>
  <c r="S294" i="12" l="1" a="1"/>
  <c r="S294" i="12" s="1"/>
  <c r="U293" i="12"/>
  <c r="U294" i="12" l="1"/>
  <c r="S295" i="12" a="1"/>
  <c r="S295" i="12" s="1"/>
  <c r="S296" i="12" l="1" a="1"/>
  <c r="S296" i="12" s="1"/>
  <c r="U295" i="12"/>
  <c r="S297" i="12" l="1" a="1"/>
  <c r="S297" i="12" s="1"/>
  <c r="U296" i="12"/>
  <c r="S298" i="12" l="1" a="1"/>
  <c r="S298" i="12" s="1"/>
  <c r="U297" i="12"/>
  <c r="U298" i="12" l="1"/>
  <c r="S299" i="12" a="1"/>
  <c r="S299" i="12" s="1"/>
  <c r="U299" i="1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<sst xmlns="http://schemas.openxmlformats.org/spreadsheetml/2006/main" count="77397" uniqueCount="6391">
  <si>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</si>
  <si>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</si>
  <si>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</si>
  <si>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</si>
  <si>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</si>
  <si>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</si>
  <si>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</si>
  <si>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</si>
  <si>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</si>
  <si>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</si>
  <si>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</si>
  <si>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</si>
  <si>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</si>
  <si>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</si>
  <si>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</si>
  <si>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</si>
  <si>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</si>
  <si>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</si>
  <si>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</si>
  <si>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</si>
  <si>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</si>
  <si>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</si>
  <si>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</si>
  <si>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</si>
  <si>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</si>
  <si>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</si>
  <si>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</si>
  <si>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</si>
  <si>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</si>
  <si>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</si>
  <si>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</si>
  <si>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</si>
  <si>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</si>
  <si>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</si>
  <si>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</si>
  <si>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</si>
  <si>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</si>
  <si>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</si>
  <si>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</si>
  <si>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</si>
  <si>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</si>
  <si>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</si>
  <si>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</si>
  <si>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</si>
  <si>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</si>
  <si>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</si>
  <si>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</si>
  <si>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</si>
  <si>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</si>
  <si>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</si>
  <si>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</si>
  <si>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</si>
  <si>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</si>
  <si>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</si>
  <si>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</si>
  <si>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</si>
  <si>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</si>
  <si>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</si>
  <si>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</si>
  <si>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</si>
  <si>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</si>
  <si>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</si>
  <si>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</si>
  <si>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</si>
  <si>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</si>
  <si>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</si>
  <si>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</si>
  <si>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</si>
  <si>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</si>
  <si>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</si>
  <si>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</si>
  <si>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</si>
  <si>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</si>
  <si>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</si>
  <si>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</si>
  <si>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</si>
  <si>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</si>
  <si>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</si>
  <si>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</si>
  <si>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</si>
  <si>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</si>
  <si>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</si>
  <si>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</si>
  <si>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</si>
  <si>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</si>
  <si>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</si>
  <si>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</si>
  <si>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</si>
  <si>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</si>
  <si>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</si>
  <si>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</si>
  <si>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</si>
  <si>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</si>
  <si>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</si>
  <si>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</si>
  <si>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</si>
  <si>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</si>
  <si>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</si>
  <si>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</si>
  <si>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</si>
  <si>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</si>
  <si>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</si>
  <si>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</si>
  <si>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</si>
  <si>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</si>
  <si>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</si>
  <si>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</si>
  <si>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</si>
  <si>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</si>
  <si>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</si>
  <si>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</si>
  <si>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</si>
  <si>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</si>
  <si>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</si>
  <si>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</si>
  <si>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</si>
  <si>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</si>
  <si>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</si>
  <si>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</si>
  <si>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</si>
  <si>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</si>
  <si>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</si>
  <si>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</si>
  <si>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</si>
  <si>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</si>
  <si>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</si>
  <si>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</si>
  <si>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</si>
  <si>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</si>
  <si>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</si>
  <si>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</si>
  <si>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</si>
  <si>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</si>
  <si>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</si>
  <si>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</si>
  <si>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</si>
  <si>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</si>
  <si>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</si>
  <si>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</si>
  <si>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</si>
  <si>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</si>
  <si>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</si>
  <si>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</si>
  <si>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</si>
  <si>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</si>
  <si>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</si>
  <si>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</si>
  <si>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</si>
  <si>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</si>
  <si>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</si>
  <si>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</si>
  <si>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</si>
  <si>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</si>
  <si>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</si>
  <si>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</si>
  <si>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</si>
  <si>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</si>
  <si>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</si>
  <si>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</si>
  <si>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</si>
  <si>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</si>
  <si>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</si>
  <si>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</si>
  <si>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</si>
  <si>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</si>
  <si>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</si>
  <si>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</si>
  <si>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8 (384-2)36-26-83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</si>
  <si>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</si>
  <si>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</si>
  <si>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</si>
  <si>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</si>
  <si>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</si>
  <si>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</si>
  <si>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</si>
  <si>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</si>
  <si>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</si>
  <si>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</si>
  <si>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</si>
  <si>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И.о.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</si>
  <si>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</si>
  <si>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</si>
  <si>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</si>
  <si>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</si>
  <si>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</si>
  <si>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</si>
  <si>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</si>
  <si>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</si>
  <si>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</si>
  <si>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</si>
  <si>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</si>
  <si>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</si>
  <si>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</si>
  <si>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</si>
  <si>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</si>
  <si>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</si>
  <si>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</si>
  <si>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</si>
  <si>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</si>
  <si>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</si>
  <si>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</si>
  <si>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</si>
  <si>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</si>
  <si>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</si>
  <si>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</si>
  <si>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</si>
  <si>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</si>
  <si>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</si>
  <si>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</si>
  <si>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</si>
  <si>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</si>
  <si>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</si>
  <si>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</si>
  <si>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</si>
  <si>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</si>
  <si>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</si>
  <si>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</si>
  <si>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</si>
  <si>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</si>
  <si>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</si>
  <si>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</si>
  <si>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</si>
  <si>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</si>
  <si>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</si>
  <si>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</si>
  <si>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</si>
  <si>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</si>
  <si>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</si>
  <si>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решение</t>
  </si>
  <si>
    <t>65.8.0.</t>
  </si>
  <si>
    <t>Номер (при наличии)</t>
  </si>
  <si>
    <t>65.11.0.</t>
  </si>
  <si>
    <t>Дата принятия</t>
  </si>
  <si>
    <t>65.9.0.</t>
  </si>
  <si>
    <t>https://portal.eias.ru/Portal/DownloadPage.aspx?type=12&amp;guid=41c2ea20-e5f2-4587-b8b6-ddb0fe21db2a</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</si>
  <si>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</si>
  <si>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</si>
  <si>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</si>
  <si>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</si>
  <si>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</si>
  <si>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</si>
  <si>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</si>
  <si>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</si>
  <si>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</si>
  <si>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закон</t>
  </si>
  <si>
    <t>69-ОЗ</t>
  </si>
  <si>
    <t>HAS_DOC5</t>
  </si>
  <si>
    <t>L4_10</t>
  </si>
  <si>
    <t>334.0.1.</t>
  </si>
  <si>
    <t>26.0.4.</t>
  </si>
  <si>
    <t>О внесении изменений в постановление РЭК Кузбасса от 23.12.2021 №919</t>
  </si>
  <si>
    <t>постановление</t>
  </si>
  <si>
    <t>93</t>
  </si>
  <si>
    <t>Дата начала реализации / действия инвестиционной программы</t>
  </si>
  <si>
    <t>65.12.0.</t>
  </si>
  <si>
    <t>Дата окончания реализации / действия инвестиционной программы</t>
  </si>
  <si>
    <t>65.13.0.</t>
  </si>
  <si>
    <t>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t>
  </si>
  <si>
    <t>94</t>
  </si>
  <si>
    <t>HAS_DOC6</t>
  </si>
  <si>
    <t>L4_11</t>
  </si>
  <si>
    <t>26.0.6.</t>
  </si>
  <si>
    <t>HAS_DOC7</t>
  </si>
  <si>
    <t>L4_12</t>
  </si>
  <si>
    <t>334.0.2.</t>
  </si>
  <si>
    <t>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t>
  </si>
  <si>
    <t>соглашение</t>
  </si>
  <si>
    <t>Номер</t>
  </si>
  <si>
    <t>5/ТГО</t>
  </si>
  <si>
    <t>Дата начала реализации / действия концессионного соглашения</t>
  </si>
  <si>
    <t>Дата окончания реализации / действия концессионного соглашения</t>
  </si>
  <si>
    <t>2024/ТГО</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</si>
  <si>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</si>
  <si>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</si>
  <si>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</si>
  <si>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</si>
  <si>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</si>
  <si>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</si>
  <si>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</si>
  <si>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</si>
  <si>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</si>
  <si>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</si>
  <si>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</si>
  <si>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</si>
  <si>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</si>
  <si>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</si>
  <si>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</si>
  <si>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</si>
  <si>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</si>
  <si>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</si>
  <si>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</si>
  <si>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</si>
  <si>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</si>
  <si>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</si>
  <si>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</si>
  <si>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</si>
  <si>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</si>
  <si>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</si>
  <si>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</si>
  <si>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</si>
  <si>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</si>
  <si>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</si>
  <si>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</si>
  <si>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</si>
  <si>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</si>
  <si>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</si>
  <si>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</si>
  <si>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</si>
  <si>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</si>
  <si>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</si>
  <si>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741</t>
  </si>
  <si>
    <t>L6_3</t>
  </si>
  <si>
    <t>L6_4</t>
  </si>
  <si>
    <t>ТЭ.42.26322895.0003::ТЭ.42.26322895.0004</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</si>
  <si>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</si>
  <si>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</si>
  <si>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</si>
  <si>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</si>
  <si>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</si>
  <si>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</si>
  <si>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</si>
  <si>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</si>
  <si>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</si>
  <si>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</si>
  <si>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</si>
  <si>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</si>
  <si>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</si>
  <si>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</si>
  <si>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</si>
  <si>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</si>
  <si>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</si>
  <si>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</si>
  <si>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</si>
  <si>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</si>
  <si>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</si>
  <si>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</si>
  <si>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</si>
  <si>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</si>
  <si>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</si>
  <si>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</si>
  <si>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</si>
  <si>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</si>
  <si>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ТЭ.42.26322895.0003</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</si>
  <si>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</si>
  <si>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</si>
  <si>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</si>
  <si>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</si>
  <si>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</si>
  <si>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2</t>
  </si>
  <si>
    <t>ТЭ.42.26322895.0004</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</si>
  <si>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</si>
  <si>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</si>
  <si>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</si>
  <si>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</si>
  <si>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</si>
  <si>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</si>
  <si>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РЭК/104-СКЭКт-2026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</si>
  <si>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</si>
  <si>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</si>
  <si>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</si>
  <si>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</si>
  <si>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</si>
  <si>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</si>
  <si>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</si>
  <si>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</si>
  <si>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</si>
  <si>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</si>
  <si>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</si>
  <si>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</si>
  <si>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</si>
  <si>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</si>
  <si>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</si>
  <si>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</si>
  <si>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</si>
  <si>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</si>
  <si>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</si>
  <si>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</si>
  <si>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</si>
  <si>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</si>
  <si>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</si>
  <si>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</si>
  <si>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</si>
  <si>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</si>
  <si>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</si>
  <si>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</si>
  <si>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</si>
  <si>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</si>
  <si>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</si>
  <si>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</si>
  <si>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</si>
  <si>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</si>
  <si>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</si>
  <si>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</si>
  <si>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</si>
  <si>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</si>
  <si>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</si>
  <si>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</si>
  <si>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</si>
  <si>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</si>
  <si>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</si>
  <si>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</si>
  <si>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</si>
  <si>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</si>
  <si>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</si>
  <si>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</si>
  <si>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Тайга</t>
  </si>
  <si>
    <t>32740000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</si>
  <si>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</si>
  <si>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</si>
  <si>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</si>
  <si>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</si>
  <si>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</si>
  <si>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</si>
  <si>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</si>
  <si>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</si>
  <si>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</si>
  <si>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</si>
  <si>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</si>
  <si>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</si>
  <si>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</si>
  <si>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</si>
  <si>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</si>
  <si>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</si>
  <si>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</si>
  <si>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</si>
  <si>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</si>
  <si>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</si>
  <si>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</si>
  <si>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t>
  </si>
  <si>
    <t>г Тайга, Почтовая, 135 Д</t>
  </si>
  <si>
    <t>концессионное соглашение</t>
  </si>
  <si>
    <t>договор</t>
  </si>
  <si>
    <t>03.11.2021</t>
  </si>
  <si>
    <t>Центральная котельная</t>
  </si>
  <si>
    <t>г Тайга, Таежная, 11</t>
  </si>
  <si>
    <t>Котельная д/сад</t>
  </si>
  <si>
    <t>г Тайга, Рабочая, 179</t>
  </si>
  <si>
    <t>3</t>
  </si>
  <si>
    <t>Котельная Приют</t>
  </si>
  <si>
    <t>г Тайга, Трудовые резервы, 18</t>
  </si>
  <si>
    <t>4</t>
  </si>
  <si>
    <t>Котельная №4</t>
  </si>
  <si>
    <t>г Тайга, ул. Чернышевского, 3</t>
  </si>
  <si>
    <t>5</t>
  </si>
  <si>
    <t>6-24-23</t>
  </si>
  <si>
    <t>01.09.2023</t>
  </si>
  <si>
    <t>Котельная Диспансер</t>
  </si>
  <si>
    <t>п Кедровый, Кедровый, 1</t>
  </si>
  <si>
    <t>6</t>
  </si>
  <si>
    <t>Котельная Кузель</t>
  </si>
  <si>
    <t>рзд Кузель, Школьная, 14 А</t>
  </si>
  <si>
    <t>7</t>
  </si>
  <si>
    <t>Котельная №2</t>
  </si>
  <si>
    <t>г Тайга, пр-кт. Пролетарский, 9А</t>
  </si>
  <si>
    <t>8</t>
  </si>
  <si>
    <t>Котельная №3</t>
  </si>
  <si>
    <t>г Тайга, ул. Почтовая, 70А</t>
  </si>
  <si>
    <t>9</t>
  </si>
  <si>
    <t>Котельная №7</t>
  </si>
  <si>
    <t>г Тайга, ул. Школьная, 7А</t>
  </si>
  <si>
    <t>10</t>
  </si>
  <si>
    <t>Котельная №8</t>
  </si>
  <si>
    <t>г Тайга, ул. Восточная, 82/1</t>
  </si>
  <si>
    <t>11</t>
  </si>
  <si>
    <t>Котельная №9</t>
  </si>
  <si>
    <t>г Тайга, ул. Советская, 250</t>
  </si>
  <si>
    <t>12</t>
  </si>
  <si>
    <t>Котельная Терморобот ул. Герцена</t>
  </si>
  <si>
    <t>г Тайга, ул.Герцена, 17</t>
  </si>
  <si>
    <t>13</t>
  </si>
  <si>
    <t>аренда</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</si>
  <si>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</si>
  <si>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</si>
  <si>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</si>
  <si>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</si>
  <si>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</si>
  <si>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</si>
  <si>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</si>
  <si>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</si>
  <si>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</si>
  <si>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</si>
  <si>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</si>
  <si>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</si>
  <si>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</si>
  <si>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</si>
  <si>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</si>
  <si>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</si>
  <si>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</si>
  <si>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</si>
  <si>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</si>
  <si>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</si>
  <si>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</si>
  <si>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</si>
  <si>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</si>
  <si>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</si>
  <si>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</si>
  <si>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</si>
  <si>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</si>
  <si>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</si>
  <si>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</si>
  <si>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</si>
  <si>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</si>
  <si>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</si>
  <si>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</si>
  <si>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</si>
  <si>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</si>
  <si>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</si>
  <si>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</si>
  <si>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</si>
  <si>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</si>
  <si>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</si>
  <si>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</si>
  <si>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</si>
  <si>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</si>
  <si>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</si>
  <si>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</si>
  <si>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</si>
  <si>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</si>
  <si>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</si>
  <si>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</si>
  <si>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</si>
  <si>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</si>
  <si>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</si>
  <si>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</si>
  <si>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</si>
  <si>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</si>
  <si>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</si>
  <si>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</si>
  <si>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</si>
  <si>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</si>
  <si>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</si>
  <si>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</si>
  <si>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</si>
  <si>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</si>
  <si>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</si>
  <si>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</si>
  <si>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</si>
  <si>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</si>
  <si>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</si>
  <si>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</si>
  <si>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</si>
  <si>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</si>
  <si>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</si>
  <si>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</si>
  <si>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</si>
  <si>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</si>
  <si>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</si>
  <si>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</si>
  <si>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</si>
  <si>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</si>
  <si>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</si>
  <si>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</si>
  <si>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</si>
  <si>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</si>
  <si>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</si>
  <si>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</si>
  <si>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</si>
  <si>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</si>
  <si>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</si>
  <si>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</si>
  <si>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</si>
  <si>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</si>
  <si>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</si>
  <si>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</si>
  <si>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</si>
  <si>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</si>
  <si>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</si>
  <si>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</si>
  <si>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</si>
  <si>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</si>
  <si>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</si>
  <si>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</si>
  <si>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</si>
  <si>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</si>
  <si>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</si>
  <si>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</si>
  <si>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</si>
  <si>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</si>
  <si>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</si>
  <si>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</si>
  <si>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</si>
  <si>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</si>
  <si>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</si>
  <si>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</si>
  <si>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</si>
  <si>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</si>
  <si>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</si>
  <si>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</si>
  <si>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</si>
  <si>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</si>
  <si>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</si>
  <si>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</si>
  <si>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</si>
  <si>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</si>
  <si>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</si>
  <si>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</si>
  <si>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</si>
  <si>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</si>
  <si>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</si>
  <si>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</si>
  <si>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</si>
  <si>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</si>
  <si>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</si>
  <si>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</si>
  <si>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</si>
  <si>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</si>
  <si>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</si>
  <si>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</si>
  <si>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</si>
  <si>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</si>
  <si>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</si>
  <si>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</si>
  <si>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</si>
  <si>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</si>
  <si>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</si>
  <si>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</si>
  <si>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</si>
  <si>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</si>
  <si>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</si>
  <si>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</si>
  <si>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</si>
  <si>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</si>
  <si>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</si>
  <si>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</si>
  <si>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</si>
  <si>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</si>
  <si>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</si>
  <si>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</si>
  <si>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</si>
  <si>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</si>
  <si>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</si>
  <si>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</si>
  <si>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</si>
  <si>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</si>
  <si>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</si>
  <si>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</si>
  <si>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</si>
  <si>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</si>
  <si>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</si>
  <si>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</si>
  <si>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</si>
  <si>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</si>
  <si>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</si>
  <si>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</si>
  <si>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</si>
  <si>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</si>
  <si>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</si>
  <si>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</si>
  <si>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</si>
  <si>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</si>
  <si>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</si>
  <si>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</si>
  <si>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</si>
  <si>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</si>
  <si>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</si>
  <si>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</si>
  <si>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</si>
  <si>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</si>
  <si>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</si>
  <si>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</si>
  <si>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</si>
  <si>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</si>
  <si>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</si>
  <si>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</si>
  <si>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</si>
  <si>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</si>
  <si>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</si>
  <si>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</si>
  <si>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</si>
  <si>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</si>
  <si>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</si>
  <si>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</si>
  <si>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</si>
  <si>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</si>
  <si>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</si>
  <si>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</si>
  <si>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</si>
  <si>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</si>
  <si>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</si>
  <si>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</si>
  <si>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</si>
  <si>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</si>
  <si>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</si>
  <si>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</si>
  <si>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</si>
  <si>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</si>
  <si>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</si>
  <si>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</si>
  <si>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</si>
  <si>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</si>
  <si>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</si>
  <si>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</si>
  <si>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</si>
  <si>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</si>
  <si>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</si>
  <si>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</si>
  <si>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</si>
  <si>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</si>
  <si>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</si>
  <si>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</si>
  <si>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</si>
  <si>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</si>
  <si>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</si>
  <si>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</si>
  <si>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</si>
  <si>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</si>
  <si>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</si>
  <si>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</si>
  <si>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</si>
  <si>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</si>
  <si>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</si>
  <si>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</si>
  <si>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</si>
  <si>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</si>
  <si>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</si>
  <si>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</si>
  <si>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</si>
  <si>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</si>
  <si>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</si>
  <si>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</si>
  <si>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</si>
  <si>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</si>
  <si>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</si>
  <si>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</si>
  <si>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</si>
  <si>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</si>
  <si>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</si>
  <si>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</si>
  <si>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</si>
  <si>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</si>
  <si>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</si>
  <si>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</si>
  <si>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</si>
  <si>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</si>
  <si>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</si>
  <si>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</si>
  <si>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</si>
  <si>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</si>
  <si>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</si>
  <si>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</si>
  <si>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</si>
  <si>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</si>
  <si>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</si>
  <si>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</si>
  <si>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</si>
  <si>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</si>
  <si>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</si>
  <si>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</si>
  <si>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</si>
  <si>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</si>
  <si>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</si>
  <si>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</si>
  <si>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</si>
  <si>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</si>
  <si>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</si>
  <si>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</si>
  <si>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</si>
  <si>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</si>
  <si>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</si>
  <si>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</si>
  <si>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</si>
  <si>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</si>
  <si>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</si>
  <si>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</si>
  <si>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</si>
  <si>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</si>
  <si>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</si>
  <si>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</si>
  <si>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</si>
  <si>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</si>
  <si>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</si>
  <si>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</si>
  <si>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</si>
  <si>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</si>
  <si>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</si>
  <si>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</si>
  <si>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</si>
  <si>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</si>
  <si>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</si>
  <si>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</si>
  <si>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</si>
  <si>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</si>
  <si>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</si>
  <si>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</si>
  <si>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</si>
  <si>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</si>
  <si>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</si>
  <si>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</si>
  <si>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</si>
  <si>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</si>
  <si>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</si>
  <si>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</si>
  <si>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</si>
  <si>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</si>
  <si>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</si>
  <si>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</si>
  <si>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</si>
  <si>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</si>
  <si>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</si>
  <si>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</si>
  <si>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</si>
  <si>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</si>
  <si>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</si>
  <si>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</si>
  <si>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</si>
  <si>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</si>
  <si>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</si>
  <si>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</si>
  <si>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</si>
  <si>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</si>
  <si>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</si>
  <si>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</si>
  <si>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</si>
  <si>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</si>
  <si>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</si>
  <si>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</si>
  <si>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</si>
  <si>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</si>
  <si>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</si>
  <si>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</si>
  <si>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</si>
  <si>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</si>
  <si>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</si>
  <si>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</si>
  <si>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</si>
  <si>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</si>
  <si>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</si>
  <si>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</si>
  <si>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</si>
  <si>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</si>
  <si>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</si>
  <si>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</si>
  <si>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</si>
  <si>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</si>
  <si>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</si>
  <si>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</si>
  <si>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</si>
  <si>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</si>
  <si>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</si>
  <si>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</si>
  <si>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</si>
  <si>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</si>
  <si>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</si>
  <si>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</si>
  <si>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</si>
  <si>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</si>
  <si>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</si>
  <si>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</si>
  <si>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</si>
  <si>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</si>
  <si>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</si>
  <si>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</si>
  <si>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</si>
  <si>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</si>
  <si>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</si>
  <si>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</si>
  <si>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</si>
  <si>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</si>
  <si>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</si>
  <si>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</si>
  <si>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</si>
  <si>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</si>
  <si>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</si>
  <si>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</si>
  <si>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</si>
  <si>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</si>
  <si>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</si>
  <si>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</si>
  <si>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</si>
  <si>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</si>
  <si>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</si>
  <si>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</si>
  <si>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</si>
  <si>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</si>
  <si>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</si>
  <si>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</si>
  <si>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</si>
  <si>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</si>
  <si>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</si>
  <si>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</si>
  <si>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</si>
  <si>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</si>
  <si>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</si>
  <si>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</si>
  <si>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</si>
  <si>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</si>
  <si>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</si>
  <si>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</si>
  <si>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</si>
  <si>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</si>
  <si>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</si>
  <si>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</si>
  <si>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</si>
  <si>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</si>
  <si>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</si>
  <si>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</si>
  <si>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</si>
  <si>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</si>
  <si>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</si>
  <si>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</si>
  <si>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</si>
  <si>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</si>
  <si>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</si>
  <si>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</si>
  <si>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</si>
  <si>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</si>
  <si>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</si>
  <si>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</si>
  <si>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</si>
  <si>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</si>
  <si>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</si>
  <si>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</si>
  <si>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</si>
  <si>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</si>
  <si>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</si>
  <si>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</si>
  <si>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</si>
  <si>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</si>
  <si>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</si>
  <si>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</si>
  <si>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</si>
  <si>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</si>
  <si>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</si>
  <si>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</si>
  <si>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</si>
  <si>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</si>
  <si>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</si>
  <si>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</si>
  <si>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</si>
  <si>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</si>
  <si>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</si>
  <si>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</si>
  <si>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Уголь бурый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</si>
  <si>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</si>
  <si>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</si>
  <si>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</si>
  <si>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</si>
  <si>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</si>
  <si>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</si>
  <si>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</si>
  <si>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</si>
  <si>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</si>
  <si>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</si>
  <si>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</si>
  <si>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</si>
  <si>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</si>
  <si>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</si>
  <si>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</si>
  <si>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</si>
  <si>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</si>
  <si>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</si>
  <si>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</si>
  <si>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</si>
  <si>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</si>
  <si>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</si>
  <si>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</si>
  <si>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</si>
  <si>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</si>
  <si>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</si>
  <si>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</si>
  <si>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</si>
  <si>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</si>
  <si>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</si>
  <si>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</si>
  <si>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</si>
  <si>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</si>
  <si>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</si>
  <si>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</si>
  <si>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</si>
  <si>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</si>
  <si>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</si>
  <si>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</si>
  <si>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</si>
  <si>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</si>
  <si>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</si>
  <si>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</si>
  <si>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</si>
  <si>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</si>
  <si>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</si>
  <si>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</si>
  <si>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</si>
  <si>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</si>
  <si>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</si>
  <si>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</si>
  <si>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</si>
  <si>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</si>
  <si>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</si>
  <si>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</si>
  <si>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</si>
  <si>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</si>
  <si>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</si>
  <si>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</si>
  <si>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</si>
  <si>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</si>
  <si>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</si>
  <si>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</si>
  <si>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</si>
  <si>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</si>
  <si>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</si>
  <si>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</si>
  <si>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</si>
  <si>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</si>
  <si>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</si>
  <si>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</si>
  <si>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</si>
  <si>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</si>
  <si>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</si>
  <si>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</si>
  <si>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</si>
  <si>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</si>
  <si>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</si>
  <si>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</si>
  <si>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</si>
  <si>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</si>
  <si>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</si>
  <si>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</si>
  <si>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</si>
  <si>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</si>
  <si>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</si>
  <si>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</si>
  <si>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</si>
  <si>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</si>
  <si>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</si>
  <si>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</si>
  <si>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</si>
  <si>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</si>
  <si>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</si>
  <si>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</si>
  <si>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</si>
  <si>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</si>
  <si>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</si>
  <si>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</si>
  <si>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</si>
  <si>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</si>
  <si>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</si>
  <si>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</si>
  <si>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</si>
  <si>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</si>
  <si>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</si>
  <si>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</si>
  <si>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</si>
  <si>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</si>
  <si>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</si>
  <si>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</si>
  <si>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</si>
  <si>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</si>
  <si>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</si>
  <si>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</si>
  <si>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</si>
  <si>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</si>
  <si>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</si>
  <si>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</si>
  <si>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</si>
  <si>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</si>
  <si>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</si>
  <si>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</si>
  <si>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</si>
  <si>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</si>
  <si>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</si>
  <si>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</si>
  <si>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</si>
  <si>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</si>
  <si>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</si>
  <si>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</si>
  <si>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</si>
  <si>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</si>
  <si>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</si>
  <si>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</si>
  <si>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</si>
  <si>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</si>
  <si>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"ТВКХ"::4205375960::424601001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</si>
  <si>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</si>
  <si>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</si>
  <si>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</si>
  <si>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</si>
  <si>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</si>
  <si>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</si>
  <si>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</si>
  <si>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</si>
  <si>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</si>
  <si>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</si>
  <si>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</si>
  <si>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</si>
  <si>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</si>
  <si>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</si>
  <si>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</si>
  <si>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</si>
  <si>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</si>
  <si>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</si>
  <si>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</si>
  <si>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</si>
  <si>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</si>
  <si>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</si>
  <si>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</si>
  <si>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</si>
  <si>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</si>
  <si>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</si>
  <si>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</si>
  <si>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</si>
  <si>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</si>
  <si>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</si>
  <si>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</si>
  <si>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</si>
  <si>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</si>
  <si>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</si>
  <si>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</si>
  <si>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</si>
  <si>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</si>
  <si>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</si>
  <si>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</si>
  <si>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</si>
  <si>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</si>
  <si>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</si>
  <si>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</si>
  <si>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</si>
  <si>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</si>
  <si>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</si>
  <si>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</si>
  <si>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</si>
  <si>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</si>
  <si>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</si>
  <si>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</si>
  <si>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</si>
  <si>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</si>
  <si>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</si>
  <si>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</si>
  <si>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</si>
  <si>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</si>
  <si>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</si>
  <si>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</si>
  <si>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</si>
  <si>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</si>
  <si>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</si>
  <si>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</si>
  <si>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</si>
  <si>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</si>
  <si>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</si>
  <si>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</si>
  <si>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</si>
  <si>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</si>
  <si>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</si>
  <si>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</si>
  <si>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</si>
  <si>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</si>
  <si>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</si>
  <si>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</si>
  <si>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</si>
  <si>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</si>
  <si>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</si>
  <si>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</si>
  <si>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</si>
  <si>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</si>
  <si>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</si>
  <si>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</si>
  <si>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</si>
  <si>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</si>
  <si>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</si>
  <si>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</si>
  <si>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</si>
  <si>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</si>
  <si>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</si>
  <si>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</si>
  <si>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</si>
  <si>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</si>
  <si>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</si>
  <si>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</si>
  <si>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</si>
  <si>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</si>
  <si>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</si>
  <si>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</si>
  <si>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</si>
  <si>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</si>
  <si>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</si>
  <si>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</si>
  <si>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</si>
  <si>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</si>
  <si>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</si>
  <si>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</si>
  <si>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</si>
  <si>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</si>
  <si>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</si>
  <si>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</si>
  <si>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</si>
  <si>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</si>
  <si>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</si>
  <si>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</si>
  <si>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</si>
  <si>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</si>
  <si>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</si>
  <si>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</si>
  <si>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</si>
  <si>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</si>
  <si>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</si>
  <si>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</si>
  <si>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</si>
  <si>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</si>
  <si>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</si>
  <si>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</si>
  <si>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</si>
  <si>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</si>
  <si>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</si>
  <si>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</si>
  <si>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</si>
  <si>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</si>
  <si>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</si>
  <si>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</si>
  <si>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</si>
  <si>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</si>
  <si>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</si>
  <si>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</si>
  <si>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</si>
  <si>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</si>
  <si>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</si>
  <si>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</si>
  <si>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</si>
  <si>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</si>
  <si>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</si>
  <si>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</si>
  <si>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</si>
  <si>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</si>
  <si>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</si>
  <si>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</si>
  <si>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</si>
  <si>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</si>
  <si>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</si>
  <si>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</si>
  <si>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</si>
  <si>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</si>
  <si>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</si>
  <si>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</si>
  <si>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</si>
  <si>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</si>
  <si>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</si>
  <si>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</si>
  <si>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</si>
  <si>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</si>
  <si>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</si>
  <si>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</si>
  <si>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</si>
  <si>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</si>
  <si>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</si>
  <si>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</si>
  <si>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</si>
  <si>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</si>
  <si>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</si>
  <si>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</si>
  <si>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</si>
  <si>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</si>
  <si>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</si>
  <si>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</si>
  <si>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</si>
  <si>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</si>
  <si>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</si>
  <si>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</si>
  <si>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</si>
  <si>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</si>
  <si>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</si>
  <si>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</si>
  <si>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"СЭР"::4213011759::421301001</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</si>
  <si>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</si>
  <si>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</si>
  <si>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</si>
  <si>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</si>
  <si>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</si>
  <si>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</si>
  <si>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</si>
  <si>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</si>
  <si>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</si>
  <si>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</si>
  <si>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</si>
  <si>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</si>
  <si>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</si>
  <si>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</si>
  <si>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</si>
  <si>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</si>
  <si>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</si>
  <si>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</si>
  <si>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</si>
  <si>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</si>
  <si>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</si>
  <si>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</si>
  <si>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</si>
  <si>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</si>
  <si>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</si>
  <si>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</si>
  <si>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</si>
  <si>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</si>
  <si>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</si>
  <si>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</si>
  <si>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</si>
  <si>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</si>
  <si>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</si>
  <si>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</si>
  <si>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</si>
  <si>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</si>
  <si>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</si>
  <si>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</si>
  <si>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</si>
  <si>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</si>
  <si>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</si>
  <si>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</si>
  <si>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</si>
  <si>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</si>
  <si>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</si>
  <si>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</si>
  <si>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</si>
  <si>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</si>
  <si>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</si>
  <si>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</si>
  <si>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</si>
  <si>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</si>
  <si>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</si>
  <si>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</si>
  <si>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</si>
  <si>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</si>
  <si>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</si>
  <si>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</si>
  <si>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</si>
  <si>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</si>
  <si>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</si>
  <si>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</si>
  <si>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</si>
  <si>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</si>
  <si>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</si>
  <si>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</si>
  <si>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</si>
  <si>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</si>
  <si>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</si>
  <si>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</si>
  <si>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</si>
  <si>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</si>
  <si>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</si>
  <si>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</si>
  <si>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</si>
  <si>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</si>
  <si>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</si>
  <si>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</si>
  <si>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</si>
  <si>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</si>
  <si>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</si>
  <si>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</si>
  <si>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</si>
  <si>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</si>
  <si>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</si>
  <si>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</si>
  <si>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</si>
  <si>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</si>
  <si>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</si>
  <si>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</si>
  <si>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</si>
  <si>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</si>
  <si>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</si>
  <si>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</si>
  <si>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</si>
  <si>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</si>
  <si>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</si>
  <si>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</si>
  <si>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</si>
  <si>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</si>
  <si>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</si>
  <si>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</si>
  <si>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</si>
  <si>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</si>
  <si>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</si>
  <si>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</si>
  <si>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</si>
  <si>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</si>
  <si>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</si>
  <si>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</si>
  <si>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</si>
  <si>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</si>
  <si>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</si>
  <si>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</si>
  <si>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</si>
  <si>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</si>
  <si>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</si>
  <si>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</si>
  <si>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</si>
  <si>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</si>
  <si>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</si>
  <si>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</si>
  <si>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</si>
  <si>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</si>
  <si>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</si>
  <si>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</si>
  <si>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</si>
  <si>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</si>
  <si>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</si>
  <si>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</si>
  <si>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</si>
  <si>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</si>
  <si>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</si>
  <si>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</si>
  <si>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</si>
  <si>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</si>
  <si>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</si>
  <si>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</si>
  <si>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</si>
  <si>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</si>
  <si>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</si>
  <si>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</si>
  <si>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</si>
  <si>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</si>
  <si>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</si>
  <si>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</si>
  <si>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</si>
  <si>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</si>
  <si>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</si>
  <si>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</si>
  <si>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</si>
  <si>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</si>
  <si>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</si>
  <si>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</si>
  <si>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</si>
  <si>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</si>
  <si>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</si>
  <si>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</si>
  <si>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</si>
  <si>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</si>
  <si>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</si>
  <si>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</si>
  <si>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</si>
  <si>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</si>
  <si>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</si>
  <si>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</si>
  <si>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</si>
  <si>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</si>
  <si>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</si>
  <si>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</si>
  <si>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</si>
  <si>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</si>
  <si>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</si>
  <si>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</si>
  <si>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</si>
  <si>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</si>
  <si>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</si>
  <si>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</si>
  <si>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</si>
  <si>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</si>
  <si>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</si>
  <si>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</si>
  <si>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</si>
  <si>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</si>
  <si>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</si>
  <si>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</si>
  <si>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</si>
  <si>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</si>
  <si>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</si>
  <si>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</si>
  <si>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</si>
  <si>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</si>
  <si>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</si>
  <si>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</si>
  <si>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</si>
  <si>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</si>
  <si>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</si>
  <si>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</si>
  <si>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</si>
  <si>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</si>
  <si>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</si>
  <si>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</si>
  <si>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</si>
  <si>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</si>
  <si>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</si>
  <si>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</si>
  <si>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</si>
  <si>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</si>
  <si>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</si>
  <si>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</si>
  <si>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</si>
  <si>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</si>
  <si>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</si>
  <si>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</si>
  <si>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</si>
  <si>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</si>
  <si>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</si>
  <si>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</si>
  <si>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</si>
  <si>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</si>
  <si>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</si>
  <si>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</si>
  <si>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</si>
  <si>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</si>
  <si>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</si>
  <si>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</si>
  <si>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</si>
  <si>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</si>
  <si>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</si>
  <si>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</si>
  <si>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</si>
  <si>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</si>
  <si>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</si>
  <si>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</si>
  <si>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</si>
  <si>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</si>
  <si>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</si>
  <si>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</si>
  <si>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</si>
  <si>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</si>
  <si>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</si>
  <si>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</si>
  <si>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</si>
  <si>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</si>
  <si>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</si>
  <si>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</si>
  <si>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</si>
  <si>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</si>
  <si>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</si>
  <si>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</si>
  <si>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</si>
  <si>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</si>
  <si>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</si>
  <si>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</si>
  <si>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</si>
  <si>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</si>
  <si>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</si>
  <si>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</si>
  <si>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</si>
  <si>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</si>
  <si>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</si>
  <si>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</si>
  <si>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</si>
  <si>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</si>
  <si>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</si>
  <si>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</si>
  <si>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</si>
  <si>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</si>
  <si>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</si>
  <si>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</si>
  <si>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</si>
  <si>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</si>
  <si>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</si>
  <si>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</si>
  <si>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</si>
  <si>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</si>
  <si>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</si>
  <si>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</si>
  <si>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</si>
  <si>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</si>
  <si>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</si>
  <si>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</si>
  <si>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</si>
  <si>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</si>
  <si>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</si>
  <si>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</si>
  <si>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</si>
  <si>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</si>
  <si>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</si>
  <si>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</si>
  <si>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</si>
  <si>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</si>
  <si>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</si>
  <si>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</si>
  <si>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</si>
  <si>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</si>
  <si>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</si>
  <si>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</si>
  <si>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</si>
  <si>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</si>
  <si>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</si>
  <si>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</si>
  <si>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</si>
  <si>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</si>
  <si>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</si>
  <si>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</si>
  <si>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</si>
  <si>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</si>
  <si>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</si>
  <si>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</si>
  <si>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</si>
  <si>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</si>
  <si>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</si>
  <si>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</si>
  <si>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</si>
  <si>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</si>
  <si>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</si>
  <si>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</si>
  <si>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</si>
  <si>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</si>
  <si>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</si>
  <si>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</si>
  <si>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</si>
  <si>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</si>
  <si>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</si>
  <si>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</si>
  <si>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</si>
  <si>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</si>
  <si>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</si>
  <si>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</si>
  <si>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</si>
  <si>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</si>
  <si>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</si>
  <si>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</si>
  <si>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</si>
  <si>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</si>
  <si>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</si>
  <si>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</si>
  <si>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</si>
  <si>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</si>
  <si>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</si>
  <si>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</si>
  <si>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</si>
  <si>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</si>
  <si>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</si>
  <si>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</si>
  <si>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</si>
  <si>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</si>
  <si>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</si>
  <si>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</si>
  <si>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</si>
  <si>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</si>
  <si>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</si>
  <si>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</si>
  <si>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</si>
  <si>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</si>
  <si>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</si>
  <si>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</si>
  <si>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</si>
  <si>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</si>
  <si>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</si>
  <si>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</si>
  <si>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</si>
  <si>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</si>
  <si>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</si>
  <si>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</si>
  <si>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</si>
  <si>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</si>
  <si>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</si>
  <si>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</si>
  <si>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</si>
  <si>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</si>
  <si>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</si>
  <si>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</si>
  <si>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</si>
  <si>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</si>
  <si>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</si>
  <si>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</si>
  <si>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</si>
  <si>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</si>
  <si>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</si>
  <si>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</si>
  <si>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</si>
  <si>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</si>
  <si>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</si>
  <si>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</si>
  <si>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</si>
  <si>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</si>
  <si>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</si>
  <si>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</si>
  <si>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</si>
  <si>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</si>
  <si>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</si>
  <si>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</si>
  <si>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</si>
  <si>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</si>
  <si>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</si>
  <si>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</si>
  <si>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</si>
  <si>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</si>
  <si>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</si>
  <si>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</si>
  <si>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</si>
  <si>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</si>
  <si>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</si>
  <si>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</si>
  <si>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</si>
  <si>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</si>
  <si>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</si>
  <si>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</si>
  <si>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</si>
  <si>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</si>
  <si>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</si>
  <si>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</si>
  <si>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</si>
  <si>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</si>
  <si>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</si>
  <si>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</si>
  <si>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</si>
  <si>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</si>
  <si>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</si>
  <si>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</si>
  <si>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</si>
  <si>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</si>
  <si>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</si>
  <si>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</si>
  <si>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</si>
  <si>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</si>
  <si>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</si>
  <si>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</si>
  <si>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</si>
  <si>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</si>
  <si>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</si>
  <si>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</si>
  <si>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</si>
  <si>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</si>
  <si>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</si>
  <si>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</si>
  <si>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</si>
  <si>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</si>
  <si>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</si>
  <si>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</si>
  <si>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</si>
  <si>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</si>
  <si>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</si>
  <si>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</si>
  <si>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</si>
  <si>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</si>
  <si>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</si>
  <si>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</si>
  <si>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</si>
  <si>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</si>
  <si>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</si>
  <si>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</si>
  <si>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</si>
  <si>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</si>
  <si>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</si>
  <si>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</si>
  <si>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</si>
  <si>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</si>
  <si>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</si>
  <si>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</si>
  <si>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</si>
  <si>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</si>
  <si>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</si>
  <si>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</si>
  <si>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</si>
  <si>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</si>
  <si>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</si>
  <si>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</si>
  <si>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</si>
  <si>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</si>
  <si>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</si>
  <si>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</si>
  <si>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</si>
  <si>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</si>
  <si>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</si>
  <si>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</si>
  <si>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</si>
  <si>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</si>
  <si>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</si>
  <si>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</si>
  <si>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</si>
  <si>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</si>
  <si>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</si>
  <si>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</si>
  <si>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</si>
  <si>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</si>
  <si>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</si>
  <si>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</si>
  <si>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</si>
  <si>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</si>
  <si>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</si>
  <si>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</si>
  <si>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</si>
  <si>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</si>
  <si>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</si>
  <si>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</si>
  <si>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</si>
  <si>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</si>
  <si>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</si>
  <si>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</si>
  <si>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</si>
  <si>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</si>
  <si>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</si>
  <si>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</si>
  <si>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</si>
  <si>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</si>
  <si>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</si>
  <si>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</si>
  <si>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</si>
  <si>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</si>
  <si>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</si>
  <si>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</si>
  <si>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</si>
  <si>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</si>
  <si>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</si>
  <si>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</si>
  <si>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</si>
  <si>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</si>
  <si>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</si>
  <si>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</si>
  <si>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</si>
  <si>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</si>
  <si>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</si>
  <si>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</si>
  <si>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</si>
  <si>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</si>
  <si>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</si>
  <si>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</si>
  <si>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</si>
  <si>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</si>
  <si>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</si>
  <si>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</si>
  <si>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</si>
  <si>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</si>
  <si>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</si>
  <si>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</si>
  <si>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</si>
  <si>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</si>
  <si>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</si>
  <si>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</si>
  <si>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</si>
  <si>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</si>
  <si>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</si>
  <si>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</si>
  <si>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</si>
  <si>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</si>
  <si>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</si>
  <si>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</si>
  <si>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</si>
  <si>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</si>
  <si>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</si>
  <si>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</si>
  <si>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</si>
  <si>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</si>
  <si>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</si>
  <si>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</si>
  <si>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</si>
  <si>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</si>
  <si>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</si>
  <si>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</si>
  <si>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</si>
  <si>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</si>
  <si>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</si>
  <si>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</si>
  <si>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</si>
  <si>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</si>
  <si>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</si>
  <si>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</si>
  <si>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</si>
  <si>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</si>
  <si>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</si>
  <si>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</si>
  <si>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</si>
  <si>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</si>
  <si>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</si>
  <si>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</si>
  <si>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</si>
  <si>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</si>
  <si>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</si>
  <si>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</si>
  <si>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</si>
  <si>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</si>
  <si>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</si>
  <si>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</si>
  <si>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</si>
  <si>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</si>
  <si>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</si>
  <si>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</si>
  <si>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</si>
  <si>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необоснованно начисленного/полученного дохода в рамках ИП</t>
  </si>
  <si>
    <t>Корректировка НВВ (исключение пара) и потерь ООО СЭР</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</si>
  <si>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</si>
  <si>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</si>
  <si>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</si>
  <si>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</si>
  <si>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</si>
  <si>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</si>
  <si>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</si>
  <si>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</si>
  <si>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</si>
  <si>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</si>
  <si>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</si>
  <si>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</si>
  <si>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</si>
  <si>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</si>
  <si>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</si>
  <si>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</si>
  <si>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</si>
  <si>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</si>
  <si>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</si>
  <si>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</si>
  <si>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</si>
  <si>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</si>
  <si>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</si>
  <si>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</si>
  <si>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</si>
  <si>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</si>
  <si>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</si>
  <si>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</si>
  <si>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</si>
  <si>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</si>
  <si>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</si>
  <si>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</si>
  <si>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</si>
  <si>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</si>
  <si>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</si>
  <si>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</si>
  <si>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</si>
  <si>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</si>
  <si>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</si>
  <si>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</si>
  <si>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</si>
  <si>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</si>
  <si>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</si>
  <si>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</si>
  <si>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</si>
  <si>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</si>
  <si>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</si>
  <si>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</si>
  <si>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</si>
  <si>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</si>
  <si>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</si>
  <si>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</si>
  <si>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</si>
  <si>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</si>
  <si>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</si>
  <si>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</si>
  <si>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</si>
  <si>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</si>
  <si>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</si>
  <si>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</si>
  <si>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</si>
  <si>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</si>
  <si>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</si>
  <si>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</si>
  <si>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</si>
  <si>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</si>
  <si>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</si>
  <si>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</si>
  <si>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</si>
  <si>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</si>
  <si>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</si>
  <si>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</si>
  <si>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</si>
  <si>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</si>
  <si>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</si>
  <si>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</si>
  <si>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</si>
  <si>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</si>
  <si>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</si>
  <si>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</si>
  <si>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</si>
  <si>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</si>
  <si>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</si>
  <si>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</si>
  <si>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</si>
  <si>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</si>
  <si>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</si>
  <si>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</si>
  <si>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</si>
  <si>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</si>
  <si>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</si>
  <si>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</si>
  <si>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</si>
  <si>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</si>
  <si>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</si>
  <si>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</si>
  <si>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</si>
  <si>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</si>
  <si>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</si>
  <si>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</si>
  <si>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</si>
  <si>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</si>
  <si>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</si>
  <si>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</si>
  <si>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</si>
  <si>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</si>
  <si>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</si>
  <si>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</si>
  <si>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</si>
  <si>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</si>
  <si>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</si>
  <si>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</si>
  <si>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</si>
  <si>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</si>
  <si>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</si>
  <si>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</si>
  <si>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</si>
  <si>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</si>
  <si>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</si>
  <si>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</si>
  <si>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</si>
  <si>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</si>
  <si>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</si>
  <si>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</si>
  <si>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</si>
  <si>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</si>
  <si>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</si>
  <si>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</si>
  <si>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</si>
  <si>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</si>
  <si>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</si>
  <si>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</si>
  <si>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</si>
  <si>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</si>
  <si>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</si>
  <si>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</si>
  <si>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</si>
  <si>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</si>
  <si>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</si>
  <si>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</si>
  <si>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</si>
  <si>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</si>
  <si>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</si>
  <si>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</si>
  <si>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</si>
  <si>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</si>
  <si>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</si>
  <si>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</si>
  <si>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</si>
  <si>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</si>
  <si>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</si>
  <si>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</si>
  <si>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</si>
  <si>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</si>
  <si>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</si>
  <si>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</si>
  <si>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</si>
  <si>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</si>
  <si>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</si>
  <si>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</si>
  <si>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</si>
  <si>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</si>
  <si>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</si>
  <si>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</si>
  <si>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</si>
  <si>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</si>
  <si>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</si>
  <si>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</si>
  <si>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</si>
  <si>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</si>
  <si>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</si>
  <si>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</si>
  <si>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</si>
  <si>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</si>
  <si>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</si>
  <si>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</si>
  <si>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</si>
  <si>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</si>
  <si>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</si>
  <si>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</si>
  <si>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</si>
  <si>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</si>
  <si>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</si>
  <si>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</si>
  <si>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</si>
  <si>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</si>
  <si>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</si>
  <si>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</si>
  <si>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</si>
  <si>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</si>
  <si>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</si>
  <si>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</si>
  <si>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</si>
  <si>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</si>
  <si>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</si>
  <si>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</si>
  <si>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</si>
  <si>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</si>
  <si>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</si>
  <si>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</si>
  <si>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</si>
  <si>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</si>
  <si>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</si>
  <si>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</si>
  <si>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</si>
  <si>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</si>
  <si>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</si>
  <si>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</si>
  <si>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</si>
  <si>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</si>
  <si>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</si>
  <si>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</si>
  <si>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</si>
  <si>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</si>
  <si>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</si>
  <si>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</si>
  <si>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</si>
  <si>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</si>
  <si>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</si>
  <si>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</si>
  <si>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</si>
  <si>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</si>
  <si>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</si>
  <si>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</si>
  <si>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</si>
  <si>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</si>
  <si>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</si>
  <si>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</si>
  <si>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</si>
  <si>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</si>
  <si>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</si>
  <si>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</si>
  <si>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</si>
  <si>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</si>
  <si>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</si>
  <si>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</si>
  <si>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</si>
  <si>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</si>
  <si>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</si>
  <si>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</si>
  <si>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</si>
  <si>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</si>
  <si>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</si>
  <si>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</si>
  <si>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</si>
  <si>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</si>
  <si>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</si>
  <si>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</si>
  <si>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</si>
  <si>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</si>
  <si>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</si>
  <si>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</si>
  <si>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</si>
  <si>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</si>
  <si>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</si>
  <si>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</si>
  <si>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</si>
  <si>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</si>
  <si>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</si>
  <si>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</si>
  <si>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</si>
  <si>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</si>
  <si>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</si>
  <si>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</si>
  <si>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</si>
  <si>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</si>
  <si>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</si>
  <si>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</si>
  <si>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</si>
  <si>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</si>
  <si>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</si>
  <si>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</si>
  <si>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</si>
  <si>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</si>
  <si>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</si>
  <si>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</si>
  <si>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</si>
  <si>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</si>
  <si>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</si>
  <si>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</si>
  <si>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</si>
  <si>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</si>
  <si>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</si>
  <si>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</si>
  <si>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</si>
  <si>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</si>
  <si>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</si>
  <si>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</si>
  <si>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</si>
  <si>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</si>
  <si>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</si>
  <si>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</si>
  <si>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</si>
  <si>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</si>
  <si>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</si>
  <si>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</si>
  <si>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</si>
  <si>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</si>
  <si>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</si>
  <si>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</si>
  <si>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</si>
  <si>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</si>
  <si>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</si>
  <si>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</si>
  <si>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</si>
  <si>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</si>
  <si>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</si>
  <si>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</si>
  <si>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</si>
  <si>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</si>
  <si>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</si>
  <si>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</si>
  <si>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</si>
  <si>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</si>
  <si>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</si>
  <si>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</si>
  <si>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</si>
  <si>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</si>
  <si>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</si>
  <si>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</si>
  <si>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</si>
  <si>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</si>
  <si>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</si>
  <si>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</si>
  <si>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</si>
  <si>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</si>
  <si>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</si>
  <si>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</si>
  <si>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</si>
  <si>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</si>
  <si>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</si>
  <si>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</si>
  <si>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</si>
  <si>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</si>
  <si>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</si>
  <si>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</si>
  <si>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</si>
  <si>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</si>
  <si>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</si>
  <si>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</si>
  <si>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</si>
  <si>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</si>
  <si>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</si>
  <si>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</si>
  <si>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</si>
  <si>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</si>
  <si>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</si>
  <si>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</si>
  <si>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</si>
  <si>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</si>
  <si>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</si>
  <si>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</si>
  <si>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</si>
  <si>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</si>
  <si>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</si>
  <si>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</si>
  <si>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</si>
  <si>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</si>
  <si>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</si>
  <si>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</si>
  <si>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</si>
  <si>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</si>
  <si>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</si>
  <si>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</si>
  <si>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</si>
  <si>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</si>
  <si>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</si>
  <si>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</si>
  <si>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</si>
  <si>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</si>
  <si>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</si>
  <si>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</si>
  <si>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</si>
  <si>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</si>
  <si>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</si>
  <si>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</si>
  <si>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</si>
  <si>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</si>
  <si>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</si>
  <si>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</si>
  <si>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</si>
  <si>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</si>
  <si>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</si>
  <si>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</si>
  <si>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</si>
  <si>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</si>
  <si>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</si>
  <si>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</si>
  <si>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</si>
  <si>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</si>
  <si>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</si>
  <si>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</si>
  <si>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</si>
  <si>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</si>
  <si>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</si>
  <si>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</si>
  <si>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</si>
  <si>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</si>
  <si>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</si>
  <si>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</si>
  <si>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</si>
  <si>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</si>
  <si>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</si>
  <si>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</si>
  <si>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</si>
  <si>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</si>
  <si>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</si>
  <si>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</si>
  <si>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</si>
  <si>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</si>
  <si>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</si>
  <si>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</si>
  <si>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</si>
  <si>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</si>
  <si>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</si>
  <si>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</si>
  <si>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</si>
  <si>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</si>
  <si>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</si>
  <si>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</si>
  <si>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</si>
  <si>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</si>
  <si>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</si>
  <si>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</si>
  <si>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</si>
  <si>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</si>
  <si>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</si>
  <si>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</si>
  <si>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</si>
  <si>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</si>
  <si>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</si>
  <si>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</si>
  <si>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</si>
  <si>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</si>
  <si>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</si>
  <si>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</si>
  <si>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</si>
  <si>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</si>
  <si>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</si>
  <si>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</si>
  <si>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</si>
  <si>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</si>
  <si>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</si>
  <si>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</si>
  <si>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</si>
  <si>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</si>
  <si>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</si>
  <si>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</si>
  <si>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</si>
  <si>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</si>
  <si>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</si>
  <si>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</si>
  <si>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</si>
  <si>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</si>
  <si>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</si>
  <si>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</si>
  <si>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</si>
  <si>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</si>
  <si>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</si>
  <si>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</si>
  <si>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</si>
  <si>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</si>
  <si>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</si>
  <si>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</si>
  <si>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</si>
  <si>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</si>
  <si>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</si>
  <si>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</si>
  <si>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</si>
  <si>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</si>
  <si>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</si>
  <si>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</si>
  <si>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</si>
  <si>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</si>
  <si>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</si>
  <si>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</si>
  <si>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</si>
  <si>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</si>
  <si>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</si>
  <si>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</si>
  <si>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</si>
  <si>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</si>
  <si>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</si>
  <si>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</si>
  <si>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</si>
  <si>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</si>
  <si>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</si>
  <si>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</si>
  <si>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</si>
  <si>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</si>
  <si>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</si>
  <si>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</si>
  <si>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</si>
  <si>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</si>
  <si>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</si>
  <si>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</si>
  <si>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</si>
  <si>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</si>
  <si>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</si>
  <si>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</si>
  <si>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</si>
  <si>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</si>
  <si>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</si>
  <si>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</si>
  <si>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</si>
  <si>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</si>
  <si>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</si>
  <si>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</si>
  <si>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</si>
  <si>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</si>
  <si>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</si>
  <si>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</si>
  <si>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</si>
  <si>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</si>
  <si>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</si>
  <si>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</si>
  <si>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</si>
  <si>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</si>
  <si>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</si>
  <si>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</si>
  <si>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</si>
  <si>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</si>
  <si>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</si>
  <si>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</si>
  <si>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</si>
  <si>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</si>
  <si>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</si>
  <si>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</si>
  <si>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</si>
  <si>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</si>
  <si>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</si>
  <si>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</si>
  <si>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</si>
  <si>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</si>
  <si>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</si>
  <si>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</si>
  <si>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</si>
  <si>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</si>
  <si>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</si>
  <si>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</si>
  <si>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</si>
  <si>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</si>
  <si>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</si>
  <si>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</si>
  <si>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</si>
  <si>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</si>
  <si>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</si>
  <si>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</si>
  <si>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</si>
  <si>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</si>
  <si>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</si>
  <si>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</si>
  <si>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</si>
  <si>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</si>
  <si>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</si>
  <si>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</si>
  <si>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</si>
  <si>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</si>
  <si>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</si>
  <si>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</si>
  <si>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</si>
  <si>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</si>
  <si>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</si>
  <si>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</si>
  <si>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</si>
  <si>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</si>
  <si>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</si>
  <si>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</si>
  <si>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</si>
  <si>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</si>
  <si>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</si>
  <si>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</si>
  <si>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</si>
  <si>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</si>
  <si>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</si>
  <si>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</si>
  <si>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</si>
  <si>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</si>
  <si>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</si>
  <si>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</si>
  <si>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</si>
  <si>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</si>
  <si>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</si>
  <si>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</si>
  <si>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</si>
  <si>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</si>
  <si>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</si>
  <si>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</si>
  <si>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</si>
  <si>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</si>
  <si>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</si>
  <si>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</si>
  <si>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</si>
  <si>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</si>
  <si>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</si>
  <si>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</si>
  <si>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</si>
  <si>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</si>
  <si>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</si>
  <si>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</si>
  <si>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</si>
  <si>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</si>
  <si>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</si>
  <si>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</si>
  <si>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</si>
  <si>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</si>
  <si>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</si>
  <si>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</si>
  <si>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</si>
  <si>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</si>
  <si>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</si>
  <si>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</si>
  <si>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</si>
  <si>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</si>
  <si>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</si>
  <si>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</si>
  <si>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</si>
  <si>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</si>
  <si>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</si>
  <si>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</si>
  <si>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</si>
  <si>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</si>
  <si>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</si>
  <si>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</si>
  <si>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</si>
  <si>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</si>
  <si>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</si>
  <si>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</si>
  <si>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</si>
  <si>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</si>
  <si>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</si>
  <si>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</si>
  <si>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</si>
  <si>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</si>
  <si>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</si>
  <si>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</si>
  <si>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</si>
  <si>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</si>
  <si>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</si>
  <si>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</si>
  <si>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</si>
  <si>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</si>
  <si>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</si>
  <si>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</si>
  <si>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</si>
  <si>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</si>
  <si>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</si>
  <si>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</si>
  <si>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</si>
  <si>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</si>
  <si>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</si>
  <si>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</si>
  <si>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</si>
  <si>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</si>
  <si>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</si>
  <si>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</si>
  <si>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</si>
  <si>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</si>
  <si>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</si>
  <si>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</si>
  <si>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</si>
  <si>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</si>
  <si>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</si>
  <si>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</si>
  <si>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</si>
  <si>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</si>
  <si>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</si>
  <si>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</si>
  <si>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</si>
  <si>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</si>
  <si>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</si>
  <si>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</si>
  <si>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</si>
  <si>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</si>
  <si>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</si>
  <si>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</si>
  <si>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</si>
  <si>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</si>
  <si>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</si>
  <si>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</si>
  <si>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</si>
  <si>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</si>
  <si>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</si>
  <si>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</si>
  <si>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</si>
  <si>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</si>
  <si>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</si>
  <si>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</si>
  <si>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</si>
  <si>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</si>
  <si>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</si>
  <si>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</si>
  <si>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</si>
  <si>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</si>
  <si>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</si>
  <si>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</si>
  <si>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</si>
  <si>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</si>
  <si>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</si>
  <si>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</si>
  <si>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</si>
  <si>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</si>
  <si>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</si>
  <si>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</si>
  <si>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</si>
  <si>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</si>
  <si>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</si>
  <si>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</si>
  <si>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</si>
  <si>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</si>
  <si>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</si>
  <si>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</si>
  <si>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</si>
  <si>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</si>
  <si>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</si>
  <si>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</si>
  <si>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</si>
  <si>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</si>
  <si>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</si>
  <si>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</si>
  <si>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</si>
  <si>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</si>
  <si>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</si>
  <si>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</si>
  <si>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</si>
  <si>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</si>
  <si>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</si>
  <si>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</si>
  <si>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</si>
  <si>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</si>
  <si>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</si>
  <si>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</si>
  <si>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</si>
  <si>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</si>
  <si>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</si>
  <si>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</si>
  <si>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</si>
  <si>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</si>
  <si>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</si>
  <si>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</si>
  <si>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</si>
  <si>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</si>
  <si>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</si>
  <si>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</si>
  <si>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</si>
  <si>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</si>
  <si>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</si>
  <si>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</si>
  <si>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</si>
  <si>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</si>
  <si>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</si>
  <si>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</si>
  <si>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</si>
  <si>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</si>
  <si>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</si>
  <si>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</si>
  <si>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</si>
  <si>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</si>
  <si>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</si>
  <si>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</si>
  <si>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</si>
  <si>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</si>
  <si>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</si>
  <si>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</si>
  <si>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</si>
  <si>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</si>
  <si>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</si>
  <si>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</si>
  <si>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</si>
  <si>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</si>
  <si>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</si>
  <si>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</si>
  <si>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</si>
  <si>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</si>
  <si>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</si>
  <si>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</si>
  <si>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</si>
  <si>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</si>
  <si>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</si>
  <si>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</si>
  <si>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</si>
  <si>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</si>
  <si>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</si>
  <si>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</si>
  <si>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</si>
  <si>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</si>
  <si>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</si>
  <si>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</si>
  <si>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</si>
  <si>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</si>
  <si>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</si>
  <si>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</si>
  <si>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</si>
  <si>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</si>
  <si>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</si>
  <si>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</si>
  <si>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</si>
  <si>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</si>
  <si>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</si>
  <si>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</si>
  <si>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</si>
  <si>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</si>
  <si>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</si>
  <si>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</si>
  <si>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</si>
  <si>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</si>
  <si>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</si>
  <si>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</si>
  <si>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</si>
  <si>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</si>
  <si>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</si>
  <si>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</si>
  <si>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</si>
  <si>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</si>
  <si>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</si>
  <si>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</si>
  <si>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</si>
  <si>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</si>
  <si>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</si>
  <si>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</si>
  <si>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</si>
  <si>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</si>
  <si>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</si>
  <si>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</si>
  <si>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</si>
  <si>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</si>
  <si>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</si>
  <si>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</si>
  <si>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</si>
  <si>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</si>
  <si>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</si>
  <si>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</si>
  <si>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</si>
  <si>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</si>
  <si>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</si>
  <si>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</si>
  <si>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</si>
  <si>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</si>
  <si>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</si>
  <si>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</si>
  <si>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</si>
  <si>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</si>
  <si>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</si>
  <si>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</si>
  <si>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</si>
  <si>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</si>
  <si>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</si>
  <si>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</si>
  <si>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</si>
  <si>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</si>
  <si>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</si>
  <si>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</si>
  <si>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</si>
  <si>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</si>
  <si>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</si>
  <si>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</si>
  <si>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</si>
  <si>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</si>
  <si>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</si>
  <si>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</si>
  <si>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</si>
  <si>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</si>
  <si>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</si>
  <si>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</si>
  <si>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</si>
  <si>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</si>
  <si>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</si>
  <si>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</si>
  <si>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</si>
  <si>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</si>
  <si>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</si>
  <si>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</si>
  <si>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</si>
  <si>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</si>
  <si>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</si>
  <si>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</si>
  <si>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</si>
  <si>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</si>
  <si>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</si>
  <si>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</si>
  <si>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</si>
  <si>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</si>
  <si>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</si>
  <si>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</si>
  <si>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</si>
  <si>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</si>
  <si>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</si>
  <si>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</si>
  <si>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</si>
  <si>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</si>
  <si>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</si>
  <si>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</si>
  <si>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</si>
  <si>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</si>
  <si>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</si>
  <si>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</si>
  <si>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</si>
  <si>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</si>
  <si>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</si>
  <si>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</si>
  <si>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</si>
  <si>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</si>
  <si>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</si>
  <si>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</si>
  <si>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</si>
  <si>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</si>
  <si>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</si>
  <si>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</si>
  <si>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</si>
  <si>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</si>
  <si>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</si>
  <si>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</si>
  <si>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</si>
  <si>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</si>
  <si>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</si>
  <si>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</si>
  <si>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</si>
  <si>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</si>
  <si>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</si>
  <si>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</si>
  <si>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</si>
  <si>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</si>
  <si>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</si>
  <si>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</si>
  <si>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</si>
  <si>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</si>
  <si>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</si>
  <si>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</si>
  <si>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</si>
  <si>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</si>
  <si>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</si>
  <si>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</si>
  <si>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</si>
  <si>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</si>
  <si>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</si>
  <si>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</si>
  <si>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</si>
  <si>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</si>
  <si>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</si>
  <si>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</si>
  <si>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</si>
  <si>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</si>
  <si>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</si>
  <si>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</si>
  <si>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</si>
  <si>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</si>
  <si>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</si>
  <si>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</si>
  <si>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</si>
  <si>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</si>
  <si>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</si>
  <si>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</si>
  <si>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</si>
  <si>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</si>
  <si>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</si>
  <si>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</si>
  <si>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</si>
  <si>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</si>
  <si>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</si>
  <si>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</si>
  <si>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</si>
  <si>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</si>
  <si>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</si>
  <si>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</si>
  <si>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</si>
  <si>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</si>
  <si>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</si>
  <si>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</si>
  <si>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</si>
  <si>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</si>
  <si>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</si>
  <si>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</si>
  <si>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</si>
  <si>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</si>
  <si>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</si>
  <si>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</si>
  <si>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</si>
  <si>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</si>
  <si>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</si>
  <si>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</si>
  <si>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</si>
  <si>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</si>
  <si>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</si>
  <si>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</si>
  <si>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</si>
  <si>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</si>
  <si>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</si>
  <si>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</si>
  <si>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</si>
  <si>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</si>
  <si>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</si>
  <si>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</si>
  <si>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</si>
  <si>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</si>
  <si>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</si>
  <si>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</si>
  <si>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</si>
  <si>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</si>
  <si>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</si>
  <si>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</si>
  <si>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</si>
  <si>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</si>
  <si>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</si>
  <si>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</si>
  <si>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</si>
  <si>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</si>
  <si>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</si>
  <si>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</si>
  <si>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</si>
  <si>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</si>
  <si>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</si>
  <si>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</si>
  <si>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</si>
  <si>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</si>
  <si>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</si>
  <si>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</si>
  <si>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</si>
  <si>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</si>
  <si>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</si>
  <si>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</si>
  <si>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</si>
  <si>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</si>
  <si>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</si>
  <si>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</si>
  <si>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</si>
  <si>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</si>
  <si>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</si>
  <si>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</si>
  <si>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</si>
  <si>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</si>
  <si>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</si>
  <si>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</si>
  <si>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</si>
  <si>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</si>
  <si>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</si>
  <si>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</si>
  <si>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</si>
  <si>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</si>
  <si>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</si>
  <si>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</si>
  <si>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</si>
  <si>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</si>
  <si>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</si>
  <si>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</si>
  <si>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</si>
  <si>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</si>
  <si>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</si>
  <si>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</si>
  <si>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</si>
  <si>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</si>
  <si>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</si>
  <si>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</si>
  <si>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</si>
  <si>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</si>
  <si>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</si>
  <si>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</si>
  <si>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</si>
  <si>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</si>
  <si>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</si>
  <si>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</si>
  <si>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</si>
  <si>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</si>
  <si>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</si>
  <si>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</si>
  <si>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</si>
  <si>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</si>
  <si>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</si>
  <si>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</si>
  <si>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</si>
  <si>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</si>
  <si>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</si>
  <si>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</si>
  <si>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</si>
  <si>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</si>
  <si>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</si>
  <si>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</si>
  <si>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</si>
  <si>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</si>
  <si>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</si>
  <si>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</si>
  <si>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</si>
  <si>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</si>
  <si>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</si>
  <si>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</si>
  <si>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</si>
  <si>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</si>
  <si>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</si>
  <si>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</si>
  <si>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</si>
  <si>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</si>
  <si>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</si>
  <si>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</si>
  <si>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</si>
  <si>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</si>
  <si>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</si>
  <si>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</si>
  <si>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</si>
  <si>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</si>
  <si>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</si>
  <si>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</si>
  <si>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</si>
  <si>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</si>
  <si>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</si>
  <si>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</si>
  <si>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</si>
  <si>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</si>
  <si>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</si>
  <si>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</si>
  <si>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</si>
  <si>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</si>
  <si>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</si>
  <si>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</si>
  <si>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</si>
  <si>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</si>
  <si>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</si>
  <si>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</si>
  <si>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</si>
  <si>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</si>
  <si>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</si>
  <si>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</si>
  <si>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</si>
  <si>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</si>
  <si>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</si>
  <si>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</si>
  <si>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</si>
  <si>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</si>
  <si>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</si>
  <si>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</si>
  <si>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</si>
  <si>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</si>
  <si>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</si>
  <si>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</si>
  <si>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</si>
  <si>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</si>
  <si>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</si>
  <si>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</si>
  <si>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</si>
  <si>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</si>
  <si>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</si>
  <si>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</si>
  <si>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</si>
  <si>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</si>
  <si>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</si>
  <si>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</si>
  <si>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</si>
  <si>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</si>
  <si>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</si>
  <si>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</si>
  <si>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</si>
  <si>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</si>
  <si>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</si>
  <si>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</si>
  <si>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</si>
  <si>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</si>
  <si>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</si>
  <si>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</si>
  <si>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</si>
  <si>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</si>
  <si>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</si>
  <si>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</si>
  <si>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</si>
  <si>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</si>
  <si>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</si>
  <si>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</si>
  <si>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</si>
  <si>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</si>
  <si>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</si>
  <si>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</si>
  <si>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</si>
  <si>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</si>
  <si>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</si>
  <si>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</si>
  <si>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</si>
  <si>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</si>
  <si>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</si>
  <si>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</si>
  <si>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</si>
  <si>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</si>
  <si>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</si>
  <si>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</si>
  <si>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</si>
  <si>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</si>
  <si>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</si>
  <si>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</si>
  <si>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</si>
  <si>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</si>
  <si>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</si>
  <si>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</si>
  <si>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</si>
  <si>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</si>
  <si>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</si>
  <si>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</si>
  <si>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</si>
  <si>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</si>
  <si>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</si>
  <si>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</si>
  <si>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</si>
  <si>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</si>
  <si>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</si>
  <si>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</si>
  <si>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</si>
  <si>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</si>
  <si>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</si>
  <si>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</si>
  <si>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</si>
  <si>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</si>
  <si>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</si>
  <si>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</si>
  <si>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</si>
  <si>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</si>
  <si>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</si>
  <si>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</si>
  <si>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</si>
  <si>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</si>
  <si>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</si>
  <si>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</si>
  <si>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</si>
  <si>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</si>
  <si>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</si>
  <si>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</si>
  <si>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</si>
  <si>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</si>
  <si>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</si>
  <si>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</si>
  <si>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</si>
  <si>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</si>
  <si>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</si>
  <si>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</si>
  <si>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</si>
  <si>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</si>
  <si>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</si>
  <si>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</si>
  <si>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</si>
  <si>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</si>
  <si>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</si>
  <si>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</si>
  <si>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</si>
  <si>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</si>
  <si>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</si>
  <si>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</si>
  <si>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</si>
  <si>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</si>
  <si>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</si>
  <si>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</si>
  <si>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</si>
  <si>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</si>
  <si>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</si>
  <si>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</si>
  <si>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</si>
  <si>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</si>
  <si>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</si>
  <si>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</si>
  <si>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</si>
  <si>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</si>
  <si>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</si>
  <si>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</si>
  <si>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</si>
  <si>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</si>
  <si>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</si>
  <si>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</si>
  <si>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</si>
  <si>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</si>
  <si>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</si>
  <si>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</si>
  <si>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</si>
  <si>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</si>
  <si>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</si>
  <si>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</si>
  <si>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</si>
  <si>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</si>
  <si>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</si>
  <si>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</si>
  <si>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</si>
  <si>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</si>
  <si>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</si>
  <si>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</si>
  <si>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</si>
  <si>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</si>
  <si>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</si>
  <si>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</si>
  <si>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</si>
  <si>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</si>
  <si>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</si>
  <si>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</si>
  <si>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</si>
  <si>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</si>
  <si>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</si>
  <si>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</si>
  <si>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</si>
  <si>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</si>
  <si>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</si>
  <si>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</si>
  <si>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</si>
  <si>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</si>
  <si>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</si>
  <si>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</si>
  <si>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</si>
  <si>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</si>
  <si>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</si>
  <si>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</si>
  <si>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</si>
  <si>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</si>
  <si>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</si>
  <si>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</si>
  <si>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</si>
  <si>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</si>
  <si>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</si>
  <si>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</si>
  <si>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</si>
  <si>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</si>
  <si>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</si>
  <si>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</si>
  <si>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</si>
  <si>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</si>
  <si>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</si>
  <si>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</si>
  <si>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</si>
  <si>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</si>
  <si>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</si>
  <si>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</si>
  <si>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</si>
  <si>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</si>
  <si>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</si>
  <si>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</si>
  <si>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</si>
  <si>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</si>
  <si>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</si>
  <si>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</si>
  <si>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</si>
  <si>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</si>
  <si>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</si>
  <si>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</si>
  <si>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</si>
  <si>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</si>
  <si>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</si>
  <si>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</si>
  <si>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</si>
  <si>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</si>
  <si>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</si>
  <si>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</si>
  <si>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</si>
  <si>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</si>
  <si>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</si>
  <si>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</si>
  <si>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</si>
  <si>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</si>
  <si>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</si>
  <si>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</si>
  <si>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</si>
  <si>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</si>
  <si>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</si>
  <si>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</si>
  <si>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</si>
  <si>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</si>
  <si>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</si>
  <si>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</si>
  <si>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</si>
  <si>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</si>
  <si>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</si>
  <si>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</si>
  <si>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</si>
  <si>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</si>
  <si>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</si>
  <si>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</si>
  <si>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</si>
  <si>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</si>
  <si>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</si>
  <si>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</si>
  <si>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</si>
  <si>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</si>
  <si>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</si>
  <si>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</si>
  <si>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</si>
  <si>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</si>
  <si>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</si>
  <si>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</si>
  <si>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</si>
  <si>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</si>
  <si>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</si>
  <si>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</si>
  <si>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</si>
  <si>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</si>
  <si>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</si>
  <si>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</si>
  <si>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</si>
  <si>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</si>
  <si>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</si>
  <si>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</si>
  <si>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</si>
  <si>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</si>
  <si>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</si>
  <si>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</si>
  <si>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</si>
  <si>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</si>
  <si>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</si>
  <si>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</si>
  <si>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</si>
  <si>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</si>
  <si>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</si>
  <si>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</si>
  <si>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</si>
  <si>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</si>
  <si>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</si>
  <si>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</si>
  <si>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</si>
  <si>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</si>
  <si>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</si>
  <si>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</si>
  <si>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</si>
  <si>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</si>
  <si>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</si>
  <si>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</si>
  <si>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</si>
  <si>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</si>
  <si>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</si>
  <si>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</si>
  <si>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</si>
  <si>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</si>
  <si>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</si>
  <si>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</si>
  <si>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</si>
  <si>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</si>
  <si>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</si>
  <si>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</si>
  <si>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</si>
  <si>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</si>
  <si>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</si>
  <si>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</si>
  <si>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</si>
  <si>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</si>
  <si>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</si>
  <si>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</si>
  <si>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</si>
  <si>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</si>
  <si>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</si>
  <si>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</si>
  <si>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</si>
  <si>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</si>
  <si>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</si>
  <si>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</si>
  <si>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</si>
  <si>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</si>
  <si>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</si>
  <si>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</si>
  <si>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</si>
  <si>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</si>
  <si>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</si>
  <si>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</si>
  <si>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</si>
  <si>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</si>
  <si>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</si>
  <si>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</si>
  <si>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</si>
  <si>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</si>
  <si>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</si>
  <si>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</si>
  <si>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</si>
  <si>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</si>
  <si>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</si>
  <si>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</si>
  <si>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</si>
  <si>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</si>
  <si>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</si>
  <si>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</si>
  <si>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</si>
  <si>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</si>
  <si>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</si>
  <si>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</si>
  <si>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</si>
  <si>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</si>
  <si>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</si>
  <si>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</si>
  <si>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</si>
  <si>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</si>
  <si>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</si>
  <si>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</si>
  <si>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</si>
  <si>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</si>
  <si>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</si>
  <si>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</si>
  <si>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</si>
  <si>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</si>
  <si>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</si>
  <si>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</si>
  <si>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</si>
  <si>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</si>
  <si>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</si>
  <si>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</si>
  <si>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</si>
  <si>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</si>
  <si>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</si>
  <si>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</si>
  <si>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</si>
  <si>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</si>
  <si>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</si>
  <si>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</si>
  <si>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</si>
  <si>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</si>
  <si>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</si>
  <si>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</si>
  <si>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</si>
  <si>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</si>
  <si>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</si>
  <si>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</si>
  <si>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</si>
  <si>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</si>
  <si>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</si>
  <si>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</si>
  <si>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</si>
  <si>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</si>
  <si>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147</t>
  </si>
  <si>
    <t>Рабочая</t>
  </si>
  <si>
    <t>179</t>
  </si>
  <si>
    <t>01.08.1963</t>
  </si>
  <si>
    <t>149</t>
  </si>
  <si>
    <t>рзд Кузель</t>
  </si>
  <si>
    <t>32740000106</t>
  </si>
  <si>
    <t>Школьная</t>
  </si>
  <si>
    <t>14 А</t>
  </si>
  <si>
    <t>0.1500000000</t>
  </si>
  <si>
    <t>[Уголь длиннопламенный] :: [Уголь бурый]</t>
  </si>
  <si>
    <t>[175] :: [175]</t>
  </si>
  <si>
    <t>[184] :: [184]</t>
  </si>
  <si>
    <t>01.08.1977</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</si>
  <si>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</si>
  <si>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</si>
  <si>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</si>
  <si>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</si>
  <si>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</si>
  <si>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</si>
  <si>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</si>
  <si>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</si>
  <si>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</si>
  <si>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</si>
  <si>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</si>
  <si>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</si>
  <si>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</si>
  <si>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</si>
  <si>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</si>
  <si>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</si>
  <si>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</si>
  <si>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</si>
  <si>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</si>
  <si>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</si>
  <si>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</si>
  <si>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</si>
  <si>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</si>
  <si>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</si>
  <si>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</si>
  <si>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</si>
  <si>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</si>
  <si>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</si>
  <si>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</si>
  <si>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</si>
  <si>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</si>
  <si>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</si>
  <si>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</si>
  <si>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</si>
  <si>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</si>
  <si>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</si>
  <si>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</si>
  <si>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</si>
  <si>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</si>
  <si>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</si>
  <si>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</si>
  <si>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</si>
  <si>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</si>
  <si>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</si>
  <si>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</si>
  <si>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</si>
  <si>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</si>
  <si>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</si>
  <si>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</si>
  <si>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</si>
  <si>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</si>
  <si>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</si>
  <si>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</si>
  <si>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</si>
  <si>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</si>
  <si>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</si>
  <si>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</si>
  <si>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</si>
  <si>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</si>
  <si>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</si>
  <si>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</si>
  <si>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</si>
  <si>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</si>
  <si>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</si>
  <si>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</si>
  <si>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</si>
  <si>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</si>
  <si>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</si>
  <si>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</si>
  <si>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</si>
  <si>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</si>
  <si>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</si>
  <si>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</si>
  <si>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</si>
  <si>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</si>
  <si>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</si>
  <si>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</si>
  <si>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</si>
  <si>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</si>
  <si>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</si>
  <si>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</si>
  <si>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</si>
  <si>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</si>
  <si>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</si>
  <si>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</si>
  <si>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</si>
  <si>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</si>
  <si>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</si>
  <si>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</si>
  <si>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</si>
  <si>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</si>
  <si>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</si>
  <si>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</si>
  <si>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</si>
  <si>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</si>
  <si>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</si>
  <si>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</si>
  <si>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</si>
  <si>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</si>
  <si>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</si>
  <si>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</si>
  <si>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</si>
  <si>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</si>
  <si>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</si>
  <si>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</si>
  <si>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</si>
  <si>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</si>
  <si>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</si>
  <si>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</si>
  <si>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</si>
  <si>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</si>
  <si>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</si>
  <si>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</si>
  <si>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</si>
  <si>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</si>
  <si>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</si>
  <si>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</si>
  <si>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</si>
  <si>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</si>
  <si>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</si>
  <si>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</si>
  <si>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</si>
  <si>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</si>
  <si>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</si>
  <si>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</si>
  <si>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</si>
  <si>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</si>
  <si>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</si>
  <si>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</si>
  <si>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</si>
  <si>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</si>
  <si>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</si>
  <si>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</si>
  <si>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</si>
  <si>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</si>
  <si>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</si>
  <si>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</si>
  <si>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</si>
  <si>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</si>
  <si>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</si>
  <si>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</si>
  <si>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</si>
  <si>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</si>
  <si>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</si>
  <si>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</si>
  <si>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</si>
  <si>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</si>
  <si>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</si>
  <si>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</si>
  <si>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</si>
  <si>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</si>
  <si>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</si>
  <si>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</si>
  <si>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</si>
  <si>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</si>
  <si>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</si>
  <si>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</si>
  <si>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</si>
  <si>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</si>
  <si>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</si>
  <si>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ул. Восточная</t>
  </si>
  <si>
    <t>82/1</t>
  </si>
  <si>
    <t>0.1220000000</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</si>
  <si>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</si>
  <si>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</si>
  <si>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</si>
  <si>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</si>
  <si>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</si>
  <si>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</si>
  <si>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</si>
  <si>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</si>
  <si>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</si>
  <si>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</si>
  <si>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</si>
  <si>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</si>
  <si>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</si>
  <si>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</si>
  <si>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</si>
  <si>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</si>
  <si>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</si>
  <si>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</si>
  <si>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</si>
  <si>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</si>
  <si>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</si>
  <si>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</si>
  <si>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</si>
  <si>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</si>
  <si>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</si>
  <si>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</si>
  <si>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</si>
  <si>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</si>
  <si>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</si>
  <si>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</si>
  <si>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</si>
  <si>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</si>
  <si>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</si>
  <si>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</si>
  <si>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</si>
  <si>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</si>
  <si>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</si>
  <si>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</si>
  <si>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</si>
  <si>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</si>
  <si>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</si>
  <si>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</si>
  <si>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</si>
  <si>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</si>
  <si>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</si>
  <si>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</si>
  <si>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</si>
  <si>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</si>
  <si>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</si>
  <si>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</si>
  <si>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</si>
  <si>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</si>
  <si>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</si>
  <si>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</si>
  <si>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</si>
  <si>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</si>
  <si>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</si>
  <si>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</si>
  <si>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</si>
  <si>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</si>
  <si>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</si>
  <si>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</si>
  <si>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</si>
  <si>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</si>
  <si>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</si>
  <si>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</si>
  <si>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</si>
  <si>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</si>
  <si>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</si>
  <si>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</si>
  <si>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</si>
  <si>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</si>
  <si>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</si>
  <si>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</si>
  <si>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</si>
  <si>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</si>
  <si>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</si>
  <si>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</si>
  <si>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</si>
  <si>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</si>
  <si>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</si>
  <si>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</si>
  <si>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</si>
  <si>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</si>
  <si>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</si>
  <si>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</si>
  <si>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</si>
  <si>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</si>
  <si>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</si>
  <si>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</si>
  <si>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</si>
  <si>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</si>
  <si>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</si>
  <si>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</si>
  <si>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</si>
  <si>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</si>
  <si>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</si>
  <si>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</si>
  <si>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</si>
  <si>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</si>
  <si>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</si>
  <si>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</si>
  <si>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</si>
  <si>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</si>
  <si>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</si>
  <si>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</si>
  <si>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</si>
  <si>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</si>
  <si>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</si>
  <si>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</si>
  <si>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</si>
  <si>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</si>
  <si>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</si>
  <si>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</si>
  <si>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</si>
  <si>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</si>
  <si>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</si>
  <si>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</si>
  <si>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</si>
  <si>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</si>
  <si>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</si>
  <si>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</si>
  <si>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</si>
  <si>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</si>
  <si>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</si>
  <si>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</si>
  <si>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</si>
  <si>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</si>
  <si>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</si>
  <si>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</si>
  <si>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</si>
  <si>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</si>
  <si>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</si>
  <si>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</si>
  <si>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</si>
  <si>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</si>
  <si>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</si>
  <si>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</si>
  <si>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</si>
  <si>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</si>
  <si>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</si>
  <si>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</si>
  <si>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</si>
  <si>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</si>
  <si>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</si>
  <si>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</si>
  <si>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</si>
  <si>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</si>
  <si>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</si>
  <si>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</si>
  <si>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</si>
  <si>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</si>
  <si>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</si>
  <si>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</si>
  <si>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</si>
  <si>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</si>
  <si>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</si>
  <si>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</si>
  <si>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</si>
  <si>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</si>
  <si>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</si>
  <si>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</si>
  <si>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</si>
  <si>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</si>
  <si>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</si>
  <si>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</si>
  <si>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</si>
  <si>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</si>
  <si>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</si>
  <si>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</si>
  <si>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</si>
  <si>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</si>
  <si>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</si>
  <si>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ул.Герцена</t>
  </si>
  <si>
    <t>[217]</t>
  </si>
  <si>
    <t>31.12.2023</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</si>
  <si>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</si>
  <si>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</si>
  <si>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</si>
  <si>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</si>
  <si>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</si>
  <si>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</si>
  <si>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</si>
  <si>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</si>
  <si>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</si>
  <si>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</si>
  <si>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</si>
  <si>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</si>
  <si>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</si>
  <si>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</si>
  <si>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</si>
  <si>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</si>
  <si>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</si>
  <si>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</si>
  <si>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</si>
  <si>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</si>
  <si>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</si>
  <si>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</si>
  <si>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</si>
  <si>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</si>
  <si>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</si>
  <si>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</si>
  <si>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</si>
  <si>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</si>
  <si>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</si>
  <si>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</si>
  <si>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</si>
  <si>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</si>
  <si>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</si>
  <si>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</si>
  <si>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</si>
  <si>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</si>
  <si>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</si>
  <si>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</si>
  <si>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</si>
  <si>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</si>
  <si>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</si>
  <si>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</si>
  <si>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</si>
  <si>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</si>
  <si>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</si>
  <si>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</si>
  <si>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</si>
  <si>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</si>
  <si>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</si>
  <si>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</si>
  <si>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</si>
  <si>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</si>
  <si>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</si>
  <si>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</si>
  <si>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</si>
  <si>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</si>
  <si>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</si>
  <si>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</si>
  <si>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</si>
  <si>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</si>
  <si>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</si>
  <si>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</si>
  <si>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</si>
  <si>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</si>
  <si>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</si>
  <si>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</si>
  <si>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</si>
  <si>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</si>
  <si>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</si>
  <si>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</si>
  <si>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</si>
  <si>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</si>
  <si>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</si>
  <si>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</si>
  <si>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</si>
  <si>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</si>
  <si>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</si>
  <si>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</si>
  <si>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</si>
  <si>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</si>
  <si>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</si>
  <si>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</si>
  <si>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</si>
  <si>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</si>
  <si>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</si>
  <si>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</si>
  <si>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</si>
  <si>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</si>
  <si>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</si>
  <si>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</si>
  <si>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</si>
  <si>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</si>
  <si>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</si>
  <si>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</si>
  <si>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</si>
  <si>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</si>
  <si>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</si>
  <si>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</si>
  <si>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</si>
  <si>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</si>
  <si>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</si>
  <si>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</si>
  <si>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</si>
  <si>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</si>
  <si>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</si>
  <si>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</si>
  <si>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</si>
  <si>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</si>
  <si>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</si>
  <si>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</si>
  <si>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</si>
  <si>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</si>
  <si>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</si>
  <si>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</si>
  <si>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</si>
  <si>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</si>
  <si>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</si>
  <si>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</si>
  <si>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</si>
  <si>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</si>
  <si>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</si>
  <si>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</si>
  <si>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</si>
  <si>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</si>
  <si>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</si>
  <si>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</si>
  <si>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</si>
  <si>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</si>
  <si>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</si>
  <si>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</si>
  <si>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</si>
  <si>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</si>
  <si>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</si>
  <si>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</si>
  <si>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</si>
  <si>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</si>
  <si>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</si>
  <si>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</si>
  <si>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</si>
  <si>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</si>
  <si>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</si>
  <si>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</si>
  <si>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</si>
  <si>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</si>
  <si>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</si>
  <si>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</si>
  <si>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</si>
  <si>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</si>
  <si>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</si>
  <si>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</si>
  <si>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</si>
  <si>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</si>
  <si>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</si>
  <si>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</si>
  <si>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</si>
  <si>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</si>
  <si>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</si>
  <si>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</si>
  <si>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</si>
  <si>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</si>
  <si>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</si>
  <si>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</si>
  <si>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</si>
  <si>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</si>
  <si>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</si>
  <si>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</si>
  <si>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</si>
  <si>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</si>
  <si>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</si>
  <si>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</si>
  <si>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</si>
  <si>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</si>
  <si>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</si>
  <si>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</si>
  <si>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</si>
  <si>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</si>
  <si>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</si>
  <si>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</si>
  <si>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</si>
  <si>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</si>
  <si>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</si>
  <si>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</si>
  <si>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</si>
  <si>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</si>
  <si>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</si>
  <si>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</si>
  <si>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</si>
  <si>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</si>
  <si>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</si>
  <si>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</si>
  <si>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</si>
  <si>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</si>
  <si>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</si>
  <si>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</si>
  <si>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</si>
  <si>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</si>
  <si>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</si>
  <si>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</si>
  <si>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</si>
  <si>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</si>
  <si>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</si>
  <si>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</si>
  <si>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</si>
  <si>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</si>
  <si>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</si>
  <si>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</si>
  <si>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</si>
  <si>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</si>
  <si>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</si>
  <si>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</si>
  <si>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</si>
  <si>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</si>
  <si>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</si>
  <si>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</si>
  <si>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</si>
  <si>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</si>
  <si>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</si>
  <si>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</si>
  <si>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</si>
  <si>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</si>
  <si>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</si>
  <si>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</si>
  <si>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</si>
  <si>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</si>
  <si>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</si>
  <si>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</si>
  <si>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</si>
  <si>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</si>
  <si>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</si>
  <si>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</si>
  <si>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</si>
  <si>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</si>
  <si>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</si>
  <si>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</si>
  <si>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</si>
  <si>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</si>
  <si>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</si>
  <si>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</si>
  <si>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</si>
  <si>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</si>
  <si>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</si>
  <si>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</si>
  <si>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</si>
  <si>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</si>
  <si>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</si>
  <si>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</si>
  <si>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</si>
  <si>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</si>
  <si>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</si>
  <si>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</si>
  <si>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</si>
  <si>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</si>
  <si>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</si>
  <si>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</si>
  <si>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</si>
  <si>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</si>
  <si>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</si>
  <si>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</si>
  <si>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</si>
  <si>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</si>
  <si>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</si>
  <si>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</si>
  <si>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</si>
  <si>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</si>
  <si>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</si>
  <si>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</si>
  <si>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</si>
  <si>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</si>
  <si>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</si>
  <si>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</si>
  <si>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</si>
  <si>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</si>
  <si>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</si>
  <si>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</si>
  <si>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</si>
  <si>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</si>
  <si>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</si>
  <si>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</si>
  <si>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</si>
  <si>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</si>
  <si>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</si>
  <si>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</si>
  <si>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</si>
  <si>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</si>
  <si>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</si>
  <si>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</si>
  <si>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</si>
  <si>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</si>
  <si>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</si>
  <si>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</si>
  <si>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</si>
  <si>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</si>
  <si>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</si>
  <si>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</si>
  <si>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</si>
  <si>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</si>
  <si>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</si>
  <si>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</si>
  <si>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</si>
  <si>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</si>
  <si>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</si>
  <si>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</si>
  <si>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</si>
  <si>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</si>
  <si>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</si>
  <si>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</si>
  <si>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</si>
  <si>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</si>
  <si>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</si>
  <si>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</si>
  <si>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</si>
  <si>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</si>
  <si>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</si>
  <si>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</si>
  <si>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</si>
  <si>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</si>
  <si>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</si>
  <si>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</si>
  <si>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</si>
  <si>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</si>
  <si>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</si>
  <si>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</si>
  <si>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</si>
  <si>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</si>
  <si>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</si>
  <si>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</si>
  <si>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</si>
  <si>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</si>
  <si>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</si>
  <si>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</si>
  <si>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</si>
  <si>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</si>
  <si>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</si>
  <si>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</si>
  <si>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</si>
  <si>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</si>
  <si>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</si>
  <si>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</si>
  <si>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</si>
  <si>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</si>
  <si>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</si>
  <si>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</si>
  <si>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</si>
  <si>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</si>
  <si>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</si>
  <si>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</si>
  <si>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</si>
  <si>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</si>
  <si>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</si>
  <si>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</si>
  <si>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</si>
  <si>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</si>
  <si>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</si>
  <si>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</si>
  <si>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</si>
  <si>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</si>
  <si>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</si>
  <si>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</si>
  <si>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</si>
  <si>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</si>
  <si>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</si>
  <si>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</si>
  <si>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</si>
  <si>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</si>
  <si>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</si>
  <si>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</si>
  <si>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</si>
  <si>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</si>
  <si>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</si>
  <si>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</si>
  <si>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</si>
  <si>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</si>
  <si>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</si>
  <si>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</si>
  <si>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</si>
  <si>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</si>
  <si>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</si>
  <si>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</si>
  <si>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</si>
  <si>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</si>
  <si>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</si>
  <si>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</si>
  <si>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</si>
  <si>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</si>
  <si>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</si>
  <si>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</si>
  <si>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</si>
  <si>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</si>
  <si>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</si>
  <si>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</si>
  <si>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</si>
  <si>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</si>
  <si>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</si>
  <si>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</si>
  <si>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</si>
  <si>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</si>
  <si>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</si>
  <si>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</si>
  <si>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</si>
  <si>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</si>
  <si>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</si>
  <si>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</si>
  <si>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</si>
  <si>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</si>
  <si>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</si>
  <si>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</si>
  <si>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</si>
  <si>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</si>
  <si>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</si>
  <si>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</si>
  <si>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</si>
  <si>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</si>
  <si>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</si>
  <si>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</si>
  <si>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</si>
  <si>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</si>
  <si>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</si>
  <si>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</si>
  <si>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</si>
  <si>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</si>
  <si>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</si>
  <si>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</si>
  <si>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Трудовые резервы</t>
  </si>
  <si>
    <t>01.08.2011</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</si>
  <si>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</si>
  <si>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</si>
  <si>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</si>
  <si>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</si>
  <si>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</si>
  <si>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</si>
  <si>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</si>
  <si>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</si>
  <si>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</si>
  <si>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</si>
  <si>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</si>
  <si>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</si>
  <si>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</si>
  <si>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</si>
  <si>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</si>
  <si>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</si>
  <si>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</si>
  <si>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</si>
  <si>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</si>
  <si>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</si>
  <si>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</si>
  <si>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</si>
  <si>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</si>
  <si>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</si>
  <si>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</si>
  <si>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</si>
  <si>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</si>
  <si>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</si>
  <si>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</si>
  <si>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</si>
  <si>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</si>
  <si>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</si>
  <si>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</si>
  <si>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</si>
  <si>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</si>
  <si>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</si>
  <si>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</si>
  <si>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</si>
  <si>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</si>
  <si>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</si>
  <si>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</si>
  <si>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</si>
  <si>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</si>
  <si>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</si>
  <si>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</si>
  <si>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</si>
  <si>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</si>
  <si>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</si>
  <si>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</si>
  <si>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</si>
  <si>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</si>
  <si>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</si>
  <si>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</si>
  <si>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</si>
  <si>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</si>
  <si>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</si>
  <si>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п Кедровый</t>
  </si>
  <si>
    <t>32740000111</t>
  </si>
  <si>
    <t>Кедровый</t>
  </si>
  <si>
    <t>01.08.1968</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</si>
  <si>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</si>
  <si>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</si>
  <si>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</si>
  <si>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</si>
  <si>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</si>
  <si>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</si>
  <si>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</si>
  <si>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</si>
  <si>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</si>
  <si>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</si>
  <si>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</si>
  <si>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</si>
  <si>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</si>
  <si>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</si>
  <si>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</si>
  <si>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</si>
  <si>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</si>
  <si>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</si>
  <si>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</si>
  <si>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</si>
  <si>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</si>
  <si>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</si>
  <si>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</si>
  <si>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</si>
  <si>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</si>
  <si>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</si>
  <si>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</si>
  <si>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</si>
  <si>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</si>
  <si>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</si>
  <si>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</si>
  <si>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</si>
  <si>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</si>
  <si>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</si>
  <si>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</si>
  <si>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</si>
  <si>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</si>
  <si>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</si>
  <si>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</si>
  <si>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</si>
  <si>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</si>
  <si>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</si>
  <si>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</si>
  <si>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</si>
  <si>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</si>
  <si>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</si>
  <si>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</si>
  <si>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</si>
  <si>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</si>
  <si>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</si>
  <si>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</si>
  <si>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</si>
  <si>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</si>
  <si>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</si>
  <si>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</si>
  <si>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</si>
  <si>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</si>
  <si>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</si>
  <si>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</si>
  <si>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</si>
  <si>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</si>
  <si>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</si>
  <si>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</si>
  <si>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</si>
  <si>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</si>
  <si>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</si>
  <si>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</si>
  <si>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</si>
  <si>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</si>
  <si>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</si>
  <si>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</si>
  <si>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</si>
  <si>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</si>
  <si>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</si>
  <si>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</si>
  <si>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</si>
  <si>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</si>
  <si>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</si>
  <si>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</si>
  <si>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</si>
  <si>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</si>
  <si>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</si>
  <si>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</si>
  <si>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</si>
  <si>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</si>
  <si>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</si>
  <si>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</si>
  <si>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</si>
  <si>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</si>
  <si>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</si>
  <si>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</si>
  <si>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</si>
  <si>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</si>
  <si>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</si>
  <si>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</si>
  <si>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</si>
  <si>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</si>
  <si>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</si>
  <si>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</si>
  <si>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</si>
  <si>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</si>
  <si>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</si>
  <si>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</si>
  <si>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</si>
  <si>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</si>
  <si>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</si>
  <si>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</si>
  <si>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</si>
  <si>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</si>
  <si>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</si>
  <si>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</si>
  <si>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</si>
  <si>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</si>
  <si>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</si>
  <si>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</si>
  <si>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</si>
  <si>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</si>
  <si>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</si>
  <si>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</si>
  <si>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</si>
  <si>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</si>
  <si>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</si>
  <si>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</si>
  <si>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</si>
  <si>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</si>
  <si>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</si>
  <si>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</si>
  <si>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</si>
  <si>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</si>
  <si>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</si>
  <si>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</si>
  <si>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</si>
  <si>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</si>
  <si>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</si>
  <si>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</si>
  <si>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</si>
  <si>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</si>
  <si>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</si>
  <si>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</si>
  <si>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</si>
  <si>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</si>
  <si>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</si>
  <si>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</si>
  <si>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</si>
  <si>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</si>
  <si>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</si>
  <si>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</si>
  <si>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</si>
  <si>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</si>
  <si>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</si>
  <si>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</si>
  <si>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</si>
  <si>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</si>
  <si>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</si>
  <si>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</si>
  <si>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</si>
  <si>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</si>
  <si>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</si>
  <si>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</si>
  <si>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</si>
  <si>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</si>
  <si>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</si>
  <si>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</si>
  <si>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</si>
  <si>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</si>
  <si>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</si>
  <si>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</si>
  <si>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</si>
  <si>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</si>
  <si>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</si>
  <si>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</si>
  <si>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</si>
  <si>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</si>
  <si>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</si>
  <si>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</si>
  <si>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</si>
  <si>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</si>
  <si>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</si>
  <si>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</si>
  <si>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</si>
  <si>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</si>
  <si>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</si>
  <si>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</si>
  <si>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</si>
  <si>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</si>
  <si>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</si>
  <si>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</si>
  <si>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</si>
  <si>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</si>
  <si>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</si>
  <si>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</si>
  <si>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</si>
  <si>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</si>
  <si>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</si>
  <si>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</si>
  <si>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</si>
  <si>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</si>
  <si>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</si>
  <si>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</si>
  <si>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</si>
  <si>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</si>
  <si>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</si>
  <si>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</si>
  <si>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</si>
  <si>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</si>
  <si>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</si>
  <si>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</si>
  <si>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</si>
  <si>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</si>
  <si>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</si>
  <si>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</si>
  <si>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</si>
  <si>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</si>
  <si>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</si>
  <si>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</si>
  <si>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</si>
  <si>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</si>
  <si>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</si>
  <si>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</si>
  <si>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</si>
  <si>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</si>
  <si>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</si>
  <si>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</si>
  <si>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</si>
  <si>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</si>
  <si>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</si>
  <si>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</si>
  <si>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</si>
  <si>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</si>
  <si>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</si>
  <si>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</si>
  <si>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</si>
  <si>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</si>
  <si>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</si>
  <si>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</si>
  <si>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</si>
  <si>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</si>
  <si>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</si>
  <si>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</si>
  <si>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</si>
  <si>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</si>
  <si>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</si>
  <si>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</si>
  <si>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</si>
  <si>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</si>
  <si>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</si>
  <si>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</si>
  <si>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</si>
  <si>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</si>
  <si>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8923372687.0000000000</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</si>
  <si>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</si>
  <si>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</si>
  <si>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</si>
  <si>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</si>
  <si>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</si>
  <si>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</si>
  <si>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</si>
  <si>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</si>
  <si>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</si>
  <si>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</si>
  <si>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</si>
  <si>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</si>
  <si>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</si>
  <si>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</si>
  <si>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</si>
  <si>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</si>
  <si>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</si>
  <si>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</si>
  <si>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</si>
  <si>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</si>
  <si>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</si>
  <si>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[189,2] :: [189,2]</t>
  </si>
  <si>
    <t>31.12.2019</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</si>
  <si>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</si>
  <si>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</si>
  <si>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</si>
  <si>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</si>
  <si>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</si>
  <si>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</si>
  <si>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</si>
  <si>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</si>
  <si>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</si>
  <si>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</si>
  <si>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</si>
  <si>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</si>
  <si>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</si>
  <si>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</si>
  <si>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</si>
  <si>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</si>
  <si>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</si>
  <si>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</si>
  <si>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</si>
  <si>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</si>
  <si>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</si>
  <si>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</si>
  <si>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</si>
  <si>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</si>
  <si>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</si>
  <si>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</si>
  <si>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</si>
  <si>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</si>
  <si>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</si>
  <si>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</si>
  <si>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</si>
  <si>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</si>
  <si>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</si>
  <si>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</si>
  <si>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</si>
  <si>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</si>
  <si>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</si>
  <si>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</si>
  <si>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</si>
  <si>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</si>
  <si>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</si>
  <si>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</si>
  <si>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</si>
  <si>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</si>
  <si>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</si>
  <si>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</si>
  <si>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</si>
  <si>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</si>
  <si>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</si>
  <si>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</si>
  <si>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</si>
  <si>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</si>
  <si>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</si>
  <si>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</si>
  <si>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</si>
  <si>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</si>
  <si>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</si>
  <si>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</si>
  <si>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</si>
  <si>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</si>
  <si>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</si>
  <si>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</si>
  <si>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</si>
  <si>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</si>
  <si>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</si>
  <si>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</si>
  <si>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</si>
  <si>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</si>
  <si>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</si>
  <si>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</si>
  <si>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</si>
  <si>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</si>
  <si>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</si>
  <si>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</si>
  <si>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</si>
  <si>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</si>
  <si>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</si>
  <si>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</si>
  <si>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</si>
  <si>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</si>
  <si>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</si>
  <si>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</si>
  <si>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</si>
  <si>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</si>
  <si>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</si>
  <si>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</si>
  <si>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</si>
  <si>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</si>
  <si>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</si>
  <si>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</si>
  <si>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</si>
  <si>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</si>
  <si>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</si>
  <si>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</si>
  <si>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</si>
  <si>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</si>
  <si>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</si>
  <si>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</si>
  <si>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</si>
  <si>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</si>
  <si>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</si>
  <si>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</si>
  <si>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</si>
  <si>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</si>
  <si>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</si>
  <si>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</si>
  <si>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</si>
  <si>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</si>
  <si>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</si>
  <si>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</si>
  <si>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</si>
  <si>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</si>
  <si>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</si>
  <si>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</si>
  <si>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</si>
  <si>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</si>
  <si>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</si>
  <si>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</si>
  <si>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</si>
  <si>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</si>
  <si>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</si>
  <si>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</si>
  <si>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</si>
  <si>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</si>
  <si>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</si>
  <si>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</si>
  <si>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</si>
  <si>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</si>
  <si>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</si>
  <si>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</si>
  <si>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</si>
  <si>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</si>
  <si>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</si>
  <si>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</si>
  <si>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</si>
  <si>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</si>
  <si>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</si>
  <si>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</si>
  <si>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</si>
  <si>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</si>
  <si>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</si>
  <si>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</si>
  <si>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</si>
  <si>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</si>
  <si>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</si>
  <si>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</si>
  <si>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</si>
  <si>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</si>
  <si>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</si>
  <si>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</si>
  <si>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</si>
  <si>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</si>
  <si>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</si>
  <si>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</si>
  <si>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</si>
  <si>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</si>
  <si>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</si>
  <si>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</si>
  <si>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</si>
  <si>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</si>
  <si>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</si>
  <si>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</si>
  <si>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</si>
  <si>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</si>
  <si>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</si>
  <si>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</si>
  <si>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</si>
  <si>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</si>
  <si>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</si>
  <si>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</si>
  <si>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</si>
  <si>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</si>
  <si>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</si>
  <si>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</si>
  <si>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</si>
  <si>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</si>
  <si>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</si>
  <si>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</si>
  <si>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</si>
  <si>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</si>
  <si>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</si>
  <si>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</si>
  <si>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</si>
  <si>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</si>
  <si>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</si>
  <si>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</si>
  <si>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</si>
  <si>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</si>
  <si>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</si>
  <si>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</si>
  <si>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</si>
  <si>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</si>
  <si>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</si>
  <si>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</si>
  <si>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</si>
  <si>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</si>
  <si>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</si>
  <si>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</si>
  <si>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</si>
  <si>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</si>
  <si>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</si>
  <si>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</si>
  <si>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</si>
  <si>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</si>
  <si>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</si>
  <si>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</si>
  <si>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</si>
  <si>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</si>
  <si>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</si>
  <si>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</si>
  <si>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</si>
  <si>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</si>
  <si>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</si>
  <si>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</si>
  <si>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</si>
  <si>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</si>
  <si>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</si>
  <si>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</si>
  <si>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</si>
  <si>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</si>
  <si>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</si>
  <si>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</si>
  <si>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</si>
  <si>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</si>
  <si>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</si>
  <si>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</si>
  <si>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</si>
  <si>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</si>
  <si>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</si>
  <si>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</si>
  <si>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</si>
  <si>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</si>
  <si>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</si>
  <si>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</si>
  <si>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</si>
  <si>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</si>
  <si>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</si>
  <si>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</si>
  <si>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</si>
  <si>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</si>
  <si>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</si>
  <si>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</si>
  <si>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</si>
  <si>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</si>
  <si>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</si>
  <si>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</si>
  <si>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</si>
  <si>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</si>
  <si>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</si>
  <si>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</si>
  <si>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</si>
  <si>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</si>
  <si>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</si>
  <si>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</si>
  <si>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</si>
  <si>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</si>
  <si>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</si>
  <si>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</si>
  <si>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</si>
  <si>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</si>
  <si>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</si>
  <si>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</si>
  <si>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</si>
  <si>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</si>
  <si>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</si>
  <si>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</si>
  <si>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</si>
  <si>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</si>
  <si>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</si>
  <si>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</si>
  <si>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</si>
  <si>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</si>
  <si>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</si>
  <si>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</si>
  <si>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</si>
  <si>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</si>
  <si>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</si>
  <si>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</si>
  <si>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</si>
  <si>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</si>
  <si>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</si>
  <si>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</si>
  <si>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</si>
  <si>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</si>
  <si>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</si>
  <si>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</si>
  <si>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</si>
  <si>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</si>
  <si>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</si>
  <si>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</si>
  <si>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</si>
  <si>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</si>
  <si>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</si>
  <si>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</si>
  <si>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</si>
  <si>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</si>
  <si>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</si>
  <si>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</si>
  <si>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</si>
  <si>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</si>
  <si>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</si>
  <si>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</si>
  <si>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</si>
  <si>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</si>
  <si>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</si>
  <si>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</si>
  <si>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</si>
  <si>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</si>
  <si>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</si>
  <si>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</si>
  <si>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</si>
  <si>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</si>
  <si>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</si>
  <si>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</si>
  <si>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</si>
  <si>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</si>
  <si>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</si>
  <si>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</si>
  <si>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</si>
  <si>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</si>
  <si>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</si>
  <si>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</si>
  <si>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</si>
  <si>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</si>
  <si>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</si>
  <si>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</si>
  <si>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</si>
  <si>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</si>
  <si>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</si>
  <si>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</si>
  <si>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</si>
  <si>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</si>
  <si>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</si>
  <si>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</si>
  <si>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</si>
  <si>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</si>
  <si>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</si>
  <si>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</si>
  <si>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</si>
  <si>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</si>
  <si>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</si>
  <si>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</si>
  <si>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</si>
  <si>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</si>
  <si>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</si>
  <si>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</si>
  <si>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</si>
  <si>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</si>
  <si>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</si>
  <si>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</si>
  <si>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</si>
  <si>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</si>
  <si>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</si>
  <si>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</si>
  <si>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</si>
  <si>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</si>
  <si>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</si>
  <si>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</si>
  <si>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</si>
  <si>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</si>
  <si>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</si>
  <si>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</si>
  <si>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</si>
  <si>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</si>
  <si>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</si>
  <si>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</si>
  <si>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</si>
  <si>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</si>
  <si>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</si>
  <si>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</si>
  <si>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</si>
  <si>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</si>
  <si>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</si>
  <si>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</si>
  <si>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</si>
  <si>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</si>
  <si>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</si>
  <si>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</si>
  <si>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</si>
  <si>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</si>
  <si>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</si>
  <si>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</si>
  <si>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</si>
  <si>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</si>
  <si>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</si>
  <si>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</si>
  <si>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</si>
  <si>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</si>
  <si>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</si>
  <si>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</si>
  <si>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</si>
  <si>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</si>
  <si>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</si>
  <si>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</si>
  <si>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</si>
  <si>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</si>
  <si>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</si>
  <si>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</si>
  <si>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</si>
  <si>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</si>
  <si>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</si>
  <si>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</si>
  <si>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</si>
  <si>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</si>
  <si>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</si>
  <si>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</si>
  <si>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</si>
  <si>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</si>
  <si>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</si>
  <si>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</si>
  <si>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</si>
  <si>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</si>
  <si>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</si>
  <si>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</si>
  <si>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</si>
  <si>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</si>
  <si>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</si>
  <si>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</si>
  <si>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</si>
  <si>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</si>
  <si>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</si>
  <si>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</si>
  <si>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</si>
  <si>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</si>
  <si>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</si>
  <si>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</si>
  <si>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</si>
  <si>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</si>
  <si>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</si>
  <si>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</si>
  <si>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</si>
  <si>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</si>
  <si>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</si>
  <si>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</si>
  <si>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</si>
  <si>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</si>
  <si>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</si>
  <si>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</si>
  <si>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</si>
  <si>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</si>
  <si>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</si>
  <si>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</si>
  <si>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</si>
  <si>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</si>
  <si>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</si>
  <si>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</si>
  <si>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</si>
  <si>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</si>
  <si>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</si>
  <si>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</si>
  <si>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</si>
  <si>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</si>
  <si>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</si>
  <si>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</si>
  <si>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</si>
  <si>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</si>
  <si>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</si>
  <si>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</si>
  <si>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</si>
  <si>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</si>
  <si>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</si>
  <si>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</si>
  <si>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</si>
  <si>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</si>
  <si>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</si>
  <si>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</si>
  <si>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</si>
  <si>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</si>
  <si>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</si>
  <si>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</si>
  <si>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</si>
  <si>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</si>
  <si>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</si>
  <si>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</si>
  <si>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</si>
  <si>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</si>
  <si>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</si>
  <si>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</si>
  <si>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</si>
  <si>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</si>
  <si>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</si>
  <si>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</si>
  <si>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</si>
  <si>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</si>
  <si>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</si>
  <si>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</si>
  <si>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</si>
  <si>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</si>
  <si>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</si>
  <si>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</si>
  <si>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</si>
  <si>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</si>
  <si>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</si>
  <si>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</si>
  <si>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</si>
  <si>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</si>
  <si>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</si>
  <si>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</si>
  <si>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</si>
  <si>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</si>
  <si>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</si>
  <si>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</si>
  <si>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</si>
  <si>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</si>
  <si>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</si>
  <si>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</si>
  <si>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</si>
  <si>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</si>
  <si>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</si>
  <si>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</si>
  <si>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</si>
  <si>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</si>
  <si>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</si>
  <si>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</si>
  <si>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</si>
  <si>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</si>
  <si>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</si>
  <si>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</si>
  <si>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</si>
  <si>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</si>
  <si>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</si>
  <si>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</si>
  <si>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</si>
  <si>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</si>
  <si>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</si>
  <si>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</si>
  <si>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</si>
  <si>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</si>
  <si>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</si>
  <si>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</si>
  <si>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</si>
  <si>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</si>
  <si>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</si>
  <si>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</si>
  <si>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</si>
  <si>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</si>
  <si>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</si>
  <si>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</si>
  <si>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</si>
  <si>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</si>
  <si>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</si>
  <si>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</si>
  <si>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</si>
  <si>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</si>
  <si>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</si>
  <si>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</si>
  <si>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</si>
  <si>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</si>
  <si>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</si>
  <si>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</si>
  <si>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</si>
  <si>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</si>
  <si>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</si>
  <si>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</si>
  <si>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</si>
  <si>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</si>
  <si>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</si>
  <si>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</si>
  <si>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</si>
  <si>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</si>
  <si>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</si>
  <si>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</si>
  <si>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</si>
  <si>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</si>
  <si>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</si>
  <si>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</si>
  <si>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</si>
  <si>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</si>
  <si>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</si>
  <si>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</si>
  <si>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</si>
  <si>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</si>
  <si>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</si>
  <si>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</si>
  <si>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</si>
  <si>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</si>
  <si>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</si>
  <si>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</si>
  <si>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</si>
  <si>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</si>
  <si>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</si>
  <si>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</si>
  <si>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</si>
  <si>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</si>
  <si>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</si>
  <si>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</si>
  <si>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</si>
  <si>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</si>
  <si>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</si>
  <si>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</si>
  <si>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</si>
  <si>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</si>
  <si>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</si>
  <si>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</si>
  <si>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</si>
  <si>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</si>
  <si>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</si>
  <si>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</si>
  <si>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</si>
  <si>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</si>
  <si>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</si>
  <si>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</si>
  <si>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</si>
  <si>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</si>
  <si>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</si>
  <si>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</si>
  <si>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</si>
  <si>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</si>
  <si>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</si>
  <si>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</si>
  <si>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</si>
  <si>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</si>
  <si>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</si>
  <si>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</si>
  <si>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</si>
  <si>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</si>
  <si>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</si>
  <si>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</si>
  <si>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</si>
  <si>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</si>
  <si>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</si>
  <si>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</si>
  <si>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</si>
  <si>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</si>
  <si>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</si>
  <si>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</si>
  <si>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</si>
  <si>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</si>
  <si>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</si>
  <si>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</si>
  <si>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</si>
  <si>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</si>
  <si>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</si>
  <si>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</si>
  <si>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</si>
  <si>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</si>
  <si>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</si>
  <si>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</si>
  <si>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</si>
  <si>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</si>
  <si>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</si>
  <si>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</si>
  <si>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</si>
  <si>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</si>
  <si>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</si>
  <si>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</si>
  <si>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</si>
  <si>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</si>
  <si>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</si>
  <si>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</si>
  <si>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</si>
  <si>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</si>
  <si>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</si>
  <si>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</si>
  <si>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</si>
  <si>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</si>
  <si>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</si>
  <si>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</si>
  <si>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</si>
  <si>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</si>
  <si>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</si>
  <si>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</si>
  <si>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</si>
  <si>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</si>
  <si>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</si>
  <si>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</si>
  <si>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</si>
  <si>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</si>
  <si>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</si>
  <si>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</si>
  <si>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</si>
  <si>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</si>
  <si>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</si>
  <si>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</si>
  <si>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</si>
  <si>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</si>
  <si>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</si>
  <si>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</si>
  <si>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</si>
  <si>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</si>
  <si>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</si>
  <si>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</si>
  <si>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</si>
  <si>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</si>
  <si>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</si>
  <si>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</si>
  <si>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</si>
  <si>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</si>
  <si>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</si>
  <si>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</si>
  <si>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</si>
  <si>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</si>
  <si>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</si>
  <si>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</si>
  <si>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</si>
  <si>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</si>
  <si>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</si>
  <si>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</si>
  <si>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</si>
  <si>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</si>
  <si>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</si>
  <si>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</si>
  <si>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</si>
  <si>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</si>
  <si>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</si>
  <si>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</si>
  <si>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</si>
  <si>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</si>
  <si>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</si>
  <si>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</si>
  <si>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</si>
  <si>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</si>
  <si>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</si>
  <si>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</si>
  <si>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</si>
  <si>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</si>
  <si>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</si>
  <si>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</si>
  <si>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</si>
  <si>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</si>
  <si>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</si>
  <si>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</si>
  <si>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</si>
  <si>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</si>
  <si>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</si>
  <si>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</si>
  <si>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</si>
  <si>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</si>
  <si>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</si>
  <si>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</si>
  <si>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</si>
  <si>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</si>
  <si>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</si>
  <si>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</si>
  <si>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</si>
  <si>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</si>
  <si>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</si>
  <si>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</si>
  <si>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</si>
  <si>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</si>
  <si>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</si>
  <si>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</si>
  <si>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</si>
  <si>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</si>
  <si>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</si>
  <si>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</si>
  <si>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</si>
  <si>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</si>
  <si>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</si>
  <si>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</si>
  <si>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</si>
  <si>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</si>
  <si>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</si>
  <si>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</si>
  <si>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</si>
  <si>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</si>
  <si>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</si>
  <si>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</si>
  <si>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</si>
  <si>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</si>
  <si>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</si>
  <si>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</si>
  <si>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</si>
  <si>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</si>
  <si>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</si>
  <si>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</si>
  <si>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</si>
  <si>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</si>
  <si>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</si>
  <si>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</si>
  <si>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</si>
  <si>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</si>
  <si>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</si>
  <si>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</si>
  <si>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</si>
  <si>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</si>
  <si>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</si>
  <si>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</si>
  <si>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</si>
  <si>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</si>
  <si>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</si>
  <si>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</si>
  <si>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</si>
  <si>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</si>
  <si>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</si>
  <si>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</si>
  <si>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</si>
  <si>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</si>
  <si>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</si>
  <si>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</si>
  <si>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</si>
  <si>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</si>
  <si>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</si>
  <si>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</si>
  <si>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</si>
  <si>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</si>
  <si>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</si>
  <si>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</si>
  <si>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</si>
  <si>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</si>
  <si>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</si>
  <si>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</si>
  <si>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</si>
  <si>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</si>
  <si>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</si>
  <si>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</si>
  <si>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</si>
  <si>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</si>
  <si>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</si>
  <si>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</si>
  <si>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</si>
  <si>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</si>
  <si>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</si>
  <si>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</si>
  <si>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</si>
  <si>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</si>
  <si>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</si>
  <si>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</si>
  <si>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</si>
  <si>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</si>
  <si>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</si>
  <si>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</si>
  <si>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</si>
  <si>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</si>
  <si>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</si>
  <si>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</si>
  <si>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</si>
  <si>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</si>
  <si>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</si>
  <si>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</si>
  <si>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</si>
  <si>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</si>
  <si>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</si>
  <si>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</si>
  <si>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</si>
  <si>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</si>
  <si>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</si>
  <si>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</si>
  <si>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</si>
  <si>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</si>
  <si>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</si>
  <si>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</si>
  <si>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</si>
  <si>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</si>
  <si>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</si>
  <si>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</si>
  <si>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</si>
  <si>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</si>
  <si>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</si>
  <si>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</si>
  <si>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</si>
  <si>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</si>
  <si>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</si>
  <si>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</si>
  <si>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</si>
  <si>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</si>
  <si>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</si>
  <si>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</si>
  <si>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</si>
  <si>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</si>
  <si>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</si>
  <si>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</si>
  <si>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</si>
  <si>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</si>
  <si>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</si>
  <si>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</si>
  <si>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</si>
  <si>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</si>
  <si>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</si>
  <si>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</si>
  <si>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</si>
  <si>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</si>
  <si>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</si>
  <si>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</si>
  <si>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</si>
  <si>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</si>
  <si>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</si>
  <si>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</si>
  <si>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</si>
  <si>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</si>
  <si>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</si>
  <si>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</si>
  <si>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</si>
  <si>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</si>
  <si>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</si>
  <si>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</si>
  <si>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</si>
  <si>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</si>
  <si>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</si>
  <si>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</si>
  <si>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</si>
  <si>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</si>
  <si>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</si>
  <si>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</si>
  <si>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</si>
  <si>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</si>
  <si>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</si>
  <si>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</si>
  <si>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</si>
  <si>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</si>
  <si>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</si>
  <si>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</si>
  <si>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</si>
  <si>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</si>
  <si>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</si>
  <si>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</si>
  <si>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</si>
  <si>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</si>
  <si>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</si>
  <si>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</si>
  <si>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</si>
  <si>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</si>
  <si>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</si>
  <si>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</si>
  <si>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</si>
  <si>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</si>
  <si>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</si>
  <si>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</si>
  <si>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</si>
  <si>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</si>
  <si>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</si>
  <si>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</si>
  <si>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</si>
  <si>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</si>
  <si>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</si>
  <si>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</si>
  <si>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</si>
  <si>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</si>
  <si>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</si>
  <si>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</si>
  <si>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</si>
  <si>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</si>
  <si>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</si>
  <si>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</si>
  <si>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</si>
  <si>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</si>
  <si>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</si>
  <si>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</si>
  <si>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</si>
  <si>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</si>
  <si>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</si>
  <si>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</si>
  <si>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</si>
  <si>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</si>
  <si>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</si>
  <si>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</si>
  <si>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</si>
  <si>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</si>
  <si>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</si>
  <si>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</si>
  <si>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</si>
  <si>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</si>
  <si>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</si>
  <si>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</si>
  <si>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</si>
  <si>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</si>
  <si>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</si>
  <si>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</si>
  <si>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</si>
  <si>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</si>
  <si>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</si>
  <si>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</si>
  <si>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</si>
  <si>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</si>
  <si>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</si>
  <si>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</si>
  <si>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</si>
  <si>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</si>
  <si>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</si>
  <si>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</si>
  <si>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</si>
  <si>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</si>
  <si>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</si>
  <si>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</si>
  <si>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</si>
  <si>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</si>
  <si>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</si>
  <si>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</si>
  <si>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</si>
  <si>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</si>
  <si>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</si>
  <si>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</si>
  <si>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</si>
  <si>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</si>
  <si>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</si>
  <si>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</si>
  <si>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</si>
  <si>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</si>
  <si>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</si>
  <si>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</si>
  <si>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</si>
  <si>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</si>
  <si>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</si>
  <si>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</si>
  <si>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</si>
  <si>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</si>
  <si>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</si>
  <si>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</si>
  <si>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</si>
  <si>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</si>
  <si>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</si>
  <si>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</si>
  <si>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</si>
  <si>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</si>
  <si>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</si>
  <si>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</si>
  <si>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</si>
  <si>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</si>
  <si>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</si>
  <si>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</si>
  <si>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</si>
  <si>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</si>
  <si>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</si>
  <si>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</si>
  <si>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</si>
  <si>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</si>
  <si>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</si>
  <si>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</si>
  <si>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</si>
  <si>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</si>
  <si>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</si>
  <si>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</si>
  <si>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</si>
  <si>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</si>
  <si>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</si>
  <si>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</si>
  <si>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</si>
  <si>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</si>
  <si>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</si>
  <si>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</si>
  <si>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</si>
  <si>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</si>
  <si>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</si>
  <si>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</si>
  <si>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</si>
  <si>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</si>
  <si>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</si>
  <si>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</si>
  <si>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</si>
  <si>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</si>
  <si>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</si>
  <si>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</si>
  <si>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</si>
  <si>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</si>
  <si>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</si>
  <si>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</si>
  <si>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</si>
  <si>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</si>
  <si>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</si>
  <si>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</si>
  <si>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</si>
  <si>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</si>
  <si>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</si>
  <si>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</si>
  <si>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</si>
  <si>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</si>
  <si>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</si>
  <si>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</si>
  <si>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</si>
  <si>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</si>
  <si>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</si>
  <si>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</si>
  <si>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</si>
  <si>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</si>
  <si>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</si>
  <si>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</si>
  <si>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</si>
  <si>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</si>
  <si>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</si>
  <si>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</si>
  <si>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</si>
  <si>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</si>
  <si>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</si>
  <si>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</si>
  <si>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</si>
  <si>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</si>
  <si>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</si>
  <si>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</si>
  <si>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</si>
  <si>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</si>
  <si>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</si>
  <si>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</si>
  <si>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</si>
  <si>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</si>
  <si>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</si>
  <si>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</si>
  <si>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</si>
  <si>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</si>
  <si>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</si>
  <si>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</si>
  <si>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</si>
  <si>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</si>
  <si>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</si>
  <si>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</si>
  <si>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</si>
  <si>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</si>
  <si>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</si>
  <si>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</si>
  <si>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</si>
  <si>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</si>
  <si>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</si>
  <si>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</si>
  <si>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</si>
  <si>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</si>
  <si>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</si>
  <si>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</si>
  <si>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</si>
  <si>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</si>
  <si>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</si>
  <si>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</si>
  <si>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</si>
  <si>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</si>
  <si>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</si>
  <si>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</si>
  <si>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</si>
  <si>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</si>
  <si>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</si>
  <si>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</si>
  <si>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</si>
  <si>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</si>
  <si>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</si>
  <si>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</si>
  <si>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</si>
  <si>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</si>
  <si>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</si>
  <si>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</si>
  <si>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</si>
  <si>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</si>
  <si>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</si>
  <si>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</si>
  <si>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</si>
  <si>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</si>
  <si>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</si>
  <si>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</si>
  <si>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</si>
  <si>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</si>
  <si>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</si>
  <si>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</si>
  <si>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</si>
  <si>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</si>
  <si>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</si>
  <si>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</si>
  <si>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</si>
  <si>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</si>
  <si>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</si>
  <si>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</si>
  <si>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</si>
  <si>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</si>
  <si>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</si>
  <si>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</si>
  <si>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</si>
  <si>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</si>
  <si>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</si>
  <si>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</si>
  <si>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</si>
  <si>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</si>
  <si>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</si>
  <si>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</si>
  <si>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</si>
  <si>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</si>
  <si>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</si>
  <si>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</si>
  <si>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</si>
  <si>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</si>
  <si>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</si>
  <si>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</si>
  <si>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</si>
  <si>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</si>
  <si>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</si>
  <si>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</si>
  <si>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</si>
  <si>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</si>
  <si>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</si>
  <si>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</si>
  <si>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</si>
  <si>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</si>
  <si>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</si>
  <si>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</si>
  <si>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</si>
  <si>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</si>
  <si>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</si>
  <si>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</si>
  <si>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</si>
  <si>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</si>
  <si>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</si>
  <si>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</si>
  <si>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</si>
  <si>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</si>
  <si>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</si>
  <si>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</si>
  <si>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</si>
  <si>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</si>
  <si>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</si>
  <si>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</si>
  <si>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</si>
  <si>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</si>
  <si>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</si>
  <si>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</si>
  <si>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</si>
  <si>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</si>
  <si>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</si>
  <si>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</si>
  <si>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</si>
  <si>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</si>
  <si>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</si>
  <si>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</si>
  <si>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</si>
  <si>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</si>
  <si>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</si>
  <si>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</si>
  <si>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</si>
  <si>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</si>
  <si>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</si>
  <si>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</si>
  <si>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</si>
  <si>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</si>
  <si>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</si>
  <si>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</si>
  <si>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</si>
  <si>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</si>
  <si>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</si>
  <si>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</si>
  <si>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</si>
  <si>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</si>
  <si>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</si>
  <si>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</si>
  <si>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</si>
  <si>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</si>
  <si>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</si>
  <si>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</si>
  <si>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</si>
  <si>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</si>
  <si>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</si>
  <si>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</si>
  <si>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</si>
  <si>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</si>
  <si>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</si>
  <si>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</si>
  <si>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</si>
  <si>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</si>
  <si>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</si>
  <si>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</si>
  <si>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</si>
  <si>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</si>
  <si>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</si>
  <si>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</si>
  <si>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</si>
  <si>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</si>
  <si>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</si>
  <si>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</si>
  <si>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</si>
  <si>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</si>
  <si>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</si>
  <si>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</si>
  <si>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</si>
  <si>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</si>
  <si>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</si>
  <si>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</si>
  <si>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</si>
  <si>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</si>
  <si>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</si>
  <si>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</si>
  <si>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</si>
  <si>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</si>
  <si>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</si>
  <si>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</si>
  <si>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</si>
  <si>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</si>
  <si>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</si>
  <si>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</si>
  <si>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</si>
  <si>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</si>
  <si>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</si>
  <si>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</si>
  <si>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</si>
  <si>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</si>
  <si>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</si>
  <si>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</si>
  <si>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</si>
  <si>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</si>
  <si>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</si>
  <si>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</si>
  <si>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</si>
  <si>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</si>
  <si>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</si>
  <si>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</si>
  <si>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</si>
  <si>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</si>
  <si>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</si>
  <si>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</si>
  <si>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</si>
  <si>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</si>
  <si>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</si>
  <si>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</si>
  <si>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</si>
  <si>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</si>
  <si>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</si>
  <si>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</si>
  <si>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</si>
  <si>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</si>
  <si>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</si>
  <si>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</si>
  <si>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</si>
  <si>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</si>
  <si>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</si>
  <si>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</si>
  <si>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</si>
  <si>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</si>
  <si>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</si>
  <si>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</si>
  <si>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</si>
  <si>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</si>
  <si>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</si>
  <si>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</si>
  <si>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</si>
  <si>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</si>
  <si>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</si>
  <si>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</si>
  <si>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</si>
  <si>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</si>
  <si>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</si>
  <si>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</si>
  <si>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</si>
  <si>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</si>
  <si>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</si>
  <si>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</si>
  <si>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</si>
  <si>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</si>
  <si>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</si>
  <si>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</si>
  <si>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</si>
  <si>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</si>
  <si>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</si>
  <si>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</si>
  <si>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</si>
  <si>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</si>
  <si>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</si>
  <si>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</si>
  <si>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</si>
  <si>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</si>
  <si>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</si>
  <si>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</si>
  <si>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</si>
  <si>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</si>
  <si>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</si>
  <si>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</si>
  <si>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</si>
  <si>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</si>
  <si>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</si>
  <si>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</si>
  <si>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</si>
  <si>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</si>
  <si>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</si>
  <si>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</si>
  <si>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</si>
  <si>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</si>
  <si>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</si>
  <si>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</si>
  <si>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</si>
  <si>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</si>
  <si>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</si>
  <si>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</si>
  <si>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</si>
  <si>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</si>
  <si>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</si>
  <si>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</si>
  <si>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</si>
  <si>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</si>
  <si>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</si>
  <si>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</si>
  <si>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</si>
  <si>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</si>
  <si>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</si>
  <si>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</si>
  <si>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</si>
  <si>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</si>
  <si>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</si>
  <si>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</si>
  <si>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</si>
  <si>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</si>
  <si>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</si>
  <si>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</si>
  <si>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</si>
  <si>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</si>
  <si>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</si>
  <si>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</si>
  <si>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</si>
  <si>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</si>
  <si>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</si>
  <si>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</si>
  <si>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</si>
  <si>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</si>
  <si>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</si>
  <si>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</si>
  <si>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</si>
  <si>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</si>
  <si>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</si>
  <si>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</si>
  <si>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</si>
  <si>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</si>
  <si>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</si>
  <si>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</si>
  <si>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</si>
  <si>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</si>
  <si>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</si>
  <si>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</si>
  <si>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</si>
  <si>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</si>
  <si>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</si>
  <si>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</si>
  <si>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</si>
  <si>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</si>
  <si>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</si>
  <si>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</si>
  <si>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</si>
  <si>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</si>
  <si>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</si>
  <si>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</si>
  <si>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</si>
  <si>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</si>
  <si>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</si>
  <si>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</si>
  <si>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</si>
  <si>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</si>
  <si>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</si>
  <si>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</si>
  <si>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</si>
  <si>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</si>
  <si>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</si>
  <si>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</si>
  <si>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</si>
  <si>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</si>
  <si>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</si>
  <si>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</si>
  <si>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</si>
  <si>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</si>
  <si>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</si>
  <si>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</si>
  <si>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</si>
  <si>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</si>
  <si>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</si>
  <si>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</si>
  <si>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</si>
  <si>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</si>
  <si>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</si>
  <si>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</si>
  <si>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</si>
  <si>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</si>
  <si>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</si>
  <si>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</si>
  <si>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</si>
  <si>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</si>
  <si>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</si>
  <si>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</si>
  <si>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</si>
  <si>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</si>
  <si>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</si>
  <si>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</si>
  <si>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</si>
  <si>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</si>
  <si>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</si>
  <si>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</si>
  <si>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</si>
  <si>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</si>
  <si>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</si>
  <si>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</si>
  <si>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</si>
  <si>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</si>
  <si>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</si>
  <si>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</si>
  <si>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</si>
  <si>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</si>
  <si>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</si>
  <si>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</si>
  <si>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</si>
  <si>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</si>
  <si>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</si>
  <si>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</si>
  <si>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</si>
  <si>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</si>
  <si>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</si>
  <si>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</si>
  <si>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</si>
  <si>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</si>
  <si>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</si>
  <si>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</si>
  <si>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</si>
  <si>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</si>
  <si>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</si>
  <si>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</si>
  <si>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</si>
  <si>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</si>
  <si>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</si>
  <si>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</si>
  <si>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</si>
  <si>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</si>
  <si>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</si>
  <si>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</si>
  <si>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</si>
  <si>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</si>
  <si>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</si>
  <si>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</si>
  <si>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</si>
  <si>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</si>
  <si>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</si>
  <si>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</si>
  <si>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</si>
  <si>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</si>
  <si>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</si>
  <si>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</si>
  <si>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</si>
  <si>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</si>
  <si>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</si>
  <si>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</si>
  <si>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</si>
  <si>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</si>
  <si>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</si>
  <si>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</si>
  <si>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</si>
  <si>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</si>
  <si>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</si>
  <si>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</si>
  <si>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</si>
  <si>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</si>
  <si>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</si>
  <si>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</si>
  <si>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</si>
  <si>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</si>
  <si>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</si>
  <si>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</si>
  <si>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</si>
  <si>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</si>
  <si>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</si>
  <si>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</si>
  <si>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</si>
  <si>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</si>
  <si>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</si>
  <si>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</si>
  <si>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</si>
  <si>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</si>
  <si>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</si>
  <si>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</si>
  <si>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</si>
  <si>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</si>
  <si>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</si>
  <si>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</si>
  <si>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</si>
  <si>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</si>
  <si>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</si>
  <si>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</si>
  <si>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</si>
  <si>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</si>
  <si>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</si>
  <si>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</si>
  <si>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</si>
  <si>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</si>
  <si>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</si>
  <si>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</si>
  <si>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</si>
  <si>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</si>
  <si>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</si>
  <si>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</si>
  <si>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</si>
  <si>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</si>
  <si>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</si>
  <si>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</si>
  <si>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</si>
  <si>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</si>
  <si>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</si>
  <si>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</si>
  <si>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</si>
  <si>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</si>
  <si>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</si>
  <si>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</si>
  <si>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</si>
  <si>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</si>
  <si>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</si>
  <si>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</si>
  <si>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</si>
  <si>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</si>
  <si>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</si>
  <si>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</si>
  <si>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</si>
  <si>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</si>
  <si>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</si>
  <si>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</si>
  <si>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</si>
  <si>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</si>
  <si>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</si>
  <si>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</si>
  <si>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</si>
  <si>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</si>
  <si>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</si>
  <si>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</si>
  <si>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</si>
  <si>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</si>
  <si>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</si>
  <si>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</si>
  <si>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</si>
  <si>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</si>
  <si>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</si>
  <si>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</si>
  <si>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</si>
  <si>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</si>
  <si>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</si>
  <si>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</si>
  <si>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</si>
  <si>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</si>
  <si>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</si>
  <si>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</si>
  <si>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</si>
  <si>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</si>
  <si>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</si>
  <si>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</si>
  <si>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</si>
  <si>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</si>
  <si>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</si>
  <si>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</si>
  <si>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</si>
  <si>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</si>
  <si>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</si>
  <si>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</si>
  <si>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</si>
  <si>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</si>
  <si>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</si>
  <si>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</si>
  <si>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</si>
  <si>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</si>
  <si>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</si>
  <si>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</si>
  <si>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</si>
  <si>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</si>
  <si>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</si>
  <si>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</si>
  <si>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</si>
  <si>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</si>
  <si>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</si>
  <si>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</si>
  <si>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</si>
  <si>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</si>
  <si>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</si>
  <si>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</si>
  <si>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</si>
  <si>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</si>
  <si>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</si>
  <si>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</si>
  <si>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</si>
  <si>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</si>
  <si>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</si>
  <si>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</si>
  <si>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</si>
  <si>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</si>
  <si>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</si>
  <si>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</si>
  <si>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</si>
  <si>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</si>
  <si>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</si>
  <si>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</si>
  <si>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</si>
  <si>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</si>
  <si>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</si>
  <si>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</si>
  <si>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</si>
  <si>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</si>
  <si>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</si>
  <si>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</si>
  <si>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</si>
  <si>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</si>
  <si>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</si>
  <si>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</si>
  <si>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</si>
  <si>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</si>
  <si>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</si>
  <si>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</si>
  <si>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</si>
  <si>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</si>
  <si>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</si>
  <si>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</si>
  <si>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</si>
  <si>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</si>
  <si>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</si>
  <si>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</si>
  <si>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</si>
  <si>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</si>
  <si>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</si>
  <si>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</si>
  <si>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</si>
  <si>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</si>
  <si>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</si>
  <si>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</si>
  <si>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</si>
  <si>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</si>
  <si>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</si>
  <si>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</si>
  <si>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</si>
  <si>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</si>
  <si>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</si>
  <si>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</si>
  <si>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</si>
  <si>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</si>
  <si>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</si>
  <si>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</si>
  <si>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</si>
  <si>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</si>
  <si>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</si>
  <si>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</si>
  <si>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</si>
  <si>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</si>
  <si>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</si>
  <si>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</si>
  <si>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</si>
  <si>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</si>
  <si>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</si>
  <si>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</si>
  <si>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</si>
  <si>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</si>
  <si>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</si>
  <si>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</si>
  <si>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</si>
  <si>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</si>
  <si>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</si>
  <si>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</si>
  <si>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</si>
  <si>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</si>
  <si>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</si>
  <si>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</si>
  <si>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</si>
  <si>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</si>
  <si>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</si>
  <si>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</si>
  <si>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</si>
  <si>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</si>
  <si>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</si>
  <si>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</si>
  <si>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</si>
  <si>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</si>
  <si>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</si>
  <si>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</si>
  <si>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</si>
  <si>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</si>
  <si>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</si>
  <si>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</si>
  <si>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</si>
  <si>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</si>
  <si>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</si>
  <si>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</si>
  <si>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</si>
  <si>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</si>
  <si>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</si>
  <si>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</si>
  <si>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</si>
  <si>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</si>
  <si>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</si>
  <si>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</si>
  <si>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</si>
  <si>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</si>
  <si>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</si>
  <si>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</si>
  <si>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</si>
  <si>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</si>
  <si>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</si>
  <si>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</si>
  <si>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</si>
  <si>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</si>
  <si>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</si>
  <si>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</si>
  <si>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</si>
  <si>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</si>
  <si>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</si>
  <si>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</si>
  <si>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</si>
  <si>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</si>
  <si>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</si>
  <si>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</si>
  <si>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</si>
  <si>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</si>
  <si>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</si>
  <si>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</si>
  <si>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</si>
  <si>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</si>
  <si>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</si>
  <si>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</si>
  <si>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</si>
  <si>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</si>
  <si>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</si>
  <si>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</si>
  <si>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</si>
  <si>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</si>
  <si>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</si>
  <si>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</si>
  <si>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</si>
  <si>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</si>
  <si>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</si>
  <si>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</si>
  <si>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</si>
  <si>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</si>
  <si>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</si>
  <si>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</si>
  <si>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</si>
  <si>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</si>
  <si>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</si>
  <si>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</si>
  <si>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</si>
  <si>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</si>
  <si>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</si>
  <si>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</si>
  <si>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</si>
  <si>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</si>
  <si>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</si>
  <si>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</si>
  <si>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</si>
  <si>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</si>
  <si>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</si>
  <si>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</si>
  <si>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</si>
  <si>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</si>
  <si>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</si>
  <si>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</si>
  <si>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</si>
  <si>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</si>
  <si>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</si>
  <si>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</si>
  <si>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</si>
  <si>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</si>
  <si>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</si>
  <si>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</si>
  <si>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</si>
  <si>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</si>
  <si>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</si>
  <si>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</si>
  <si>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</si>
  <si>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</si>
  <si>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</si>
  <si>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</si>
  <si>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</si>
  <si>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</si>
  <si>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</si>
  <si>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</si>
  <si>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</si>
  <si>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</si>
  <si>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</si>
  <si>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</si>
  <si>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</si>
  <si>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</si>
  <si>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</si>
  <si>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</si>
  <si>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</si>
  <si>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</si>
  <si>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</si>
  <si>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</si>
  <si>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</si>
  <si>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</si>
  <si>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</si>
  <si>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</si>
  <si>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</si>
  <si>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</si>
  <si>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</si>
  <si>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</si>
  <si>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</si>
  <si>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</si>
  <si>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</si>
  <si>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</si>
  <si>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</si>
  <si>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</si>
  <si>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</si>
  <si>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</si>
  <si>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</si>
  <si>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</si>
  <si>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</si>
  <si>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</si>
  <si>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</si>
  <si>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</si>
  <si>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</si>
  <si>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</si>
  <si>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</si>
  <si>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</si>
  <si>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</si>
  <si>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</si>
  <si>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</si>
  <si>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</si>
  <si>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</si>
  <si>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</si>
  <si>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</si>
  <si>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</si>
  <si>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</si>
  <si>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</si>
  <si>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</si>
  <si>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</si>
  <si>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</si>
  <si>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</si>
  <si>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</si>
  <si>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</si>
  <si>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</si>
  <si>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</si>
  <si>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</si>
  <si>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</si>
  <si>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</si>
  <si>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</si>
  <si>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</si>
  <si>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</si>
  <si>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</si>
  <si>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</si>
  <si>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</si>
  <si>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</si>
  <si>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</si>
  <si>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</si>
  <si>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</si>
  <si>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</si>
  <si>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</si>
  <si>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</si>
  <si>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</si>
  <si>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</si>
  <si>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</si>
  <si>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</si>
  <si>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</si>
  <si>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</si>
  <si>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</si>
  <si>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</si>
  <si>
    <t>16.12.2024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</si>
</sst>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8">
    <font>
      <sz val="9"/>
      <color rgb="FF000000"/>
      <name val="Tahoma"/>
    </font>
    <font>
      <sz val="9"/>
      <name val="Tahoma"/>
    </font>
    <font>
      <sz val="11"/>
      <color theme="1"/>
      <name val="Calibri"/>
      <scheme val="minor"/>
    </font>
    <font>
      <sz val="11"/>
      <color indexed="0"/>
      <name val="Calibri"/>
      <family val="2"/>
    </font>
    <font>
      <sz val="14"/>
      <color rgb="FFBCBCBC"/>
      <name val="Calibri"/>
    </font>
    <font>
      <u/>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
      <patternFill patternType="solid">
        <fgColor rgb="FFECF1DE"/>
      </patternFill>
    </fill>
    <fill>
      <patternFill patternType="solid">
        <fgColor rgb="FFCCC0DA"/>
      </patternFill>
    </fill>
  </fills>
  <borders count="74">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13">
    <xf numFmtId="49" fontId="0" fillId="0" borderId="0" applyFill="0" applyBorder="0">
      <alignment vertical="top"/>
    </xf>
    <xf numFmtId="0" fontId="4" fillId="0" borderId="1" applyFill="0">
      <alignment horizontal="center" vertical="top" wrapText="1"/>
    </xf>
    <xf numFmtId="170" fontId="1" fillId="11" borderId="2">
      <alignment horizontal="left" vertical="center" wrapText="1" indent="1"/>
    </xf>
    <xf numFmtId="49" fontId="5" fillId="12" borderId="2">
      <alignment horizontal="left" vertical="center" wrapText="1" indent="1"/>
    </xf>
    <xf numFmtId="0" fontId="1" fillId="11" borderId="3">
      <alignment horizontal="right" vertical="center" wrapText="1" indent="1"/>
    </xf>
    <xf numFmtId="0" fontId="6" fillId="11" borderId="3">
      <alignment horizontal="right" vertical="center" wrapText="1" indent="1"/>
    </xf>
    <xf numFmtId="49" fontId="4" fillId="0" borderId="4" applyFill="0">
      <alignment horizontal="center" vertical="top" wrapText="1"/>
    </xf>
    <xf numFmtId="49" fontId="6" fillId="11" borderId="2">
      <alignment horizontal="left" vertical="center" wrapText="1" indent="1"/>
    </xf>
    <xf numFmtId="0" fontId="1" fillId="11" borderId="2">
      <alignment horizontal="left" vertical="center" wrapText="1" indent="1"/>
    </xf>
    <xf numFmtId="0" fontId="6" fillId="11" borderId="2">
      <alignment horizontal="left" vertical="center" wrapText="1" indent="1"/>
    </xf>
    <xf numFmtId="0" fontId="1" fillId="12" borderId="2">
      <alignment horizontal="left" vertical="center" wrapText="1" indent="1"/>
    </xf>
    <xf numFmtId="170" fontId="6" fillId="12" borderId="2">
      <alignment horizontal="left" vertical="center" wrapText="1" indent="1"/>
    </xf>
    <xf numFmtId="0" fontId="1" fillId="11" borderId="3">
      <alignment horizontal="left" vertical="center" wrapText="1" indent="1"/>
    </xf>
    <xf numFmtId="1" fontId="1" fillId="11" borderId="3">
      <alignment horizontal="left" vertical="center" wrapText="1" indent="1"/>
    </xf>
    <xf numFmtId="0" fontId="4" fillId="0" borderId="0" applyFill="0" applyBorder="0">
      <alignment horizontal="center" vertical="center" wrapText="1"/>
    </xf>
    <xf numFmtId="49" fontId="1" fillId="12" borderId="5">
      <alignment horizontal="left" vertical="center" wrapText="1" indent="1"/>
    </xf>
    <xf numFmtId="49" fontId="1" fillId="12" borderId="3">
      <alignment horizontal="left" vertical="center" wrapText="1"/>
    </xf>
    <xf numFmtId="4" fontId="1" fillId="12" borderId="2">
      <alignment horizontal="right" vertical="center"/>
    </xf>
    <xf numFmtId="0" fontId="1" fillId="12" borderId="3">
      <alignment horizontal="left" vertical="center" wrapText="1"/>
    </xf>
    <xf numFmtId="4" fontId="1" fillId="12" borderId="6">
      <alignment horizontal="right" vertical="center"/>
    </xf>
    <xf numFmtId="4" fontId="1" fillId="12" borderId="3">
      <alignment horizontal="right" vertical="center"/>
    </xf>
    <xf numFmtId="4" fontId="1" fillId="12" borderId="7">
      <alignment horizontal="right" vertical="center"/>
    </xf>
    <xf numFmtId="4" fontId="1" fillId="12" borderId="8">
      <alignment horizontal="right" vertical="center"/>
    </xf>
    <xf numFmtId="4" fontId="1" fillId="12" borderId="9">
      <alignment horizontal="right" vertical="center"/>
    </xf>
    <xf numFmtId="4" fontId="1" fillId="12" borderId="10">
      <alignment horizontal="right" vertical="center"/>
    </xf>
    <xf numFmtId="4" fontId="6" fillId="12" borderId="2">
      <alignment horizontal="right" vertical="center"/>
    </xf>
    <xf numFmtId="2" fontId="6" fillId="13" borderId="2">
      <alignment horizontal="right" vertical="center"/>
    </xf>
    <xf numFmtId="0" fontId="6" fillId="12" borderId="11">
      <alignment horizontal="left" vertical="center" wrapText="1"/>
    </xf>
    <xf numFmtId="2" fontId="6" fillId="12" borderId="11">
      <alignment horizontal="right" vertical="center"/>
    </xf>
    <xf numFmtId="4" fontId="6" fillId="12" borderId="12">
      <alignment horizontal="right" vertical="center"/>
    </xf>
    <xf numFmtId="2" fontId="6" fillId="12" borderId="2">
      <alignment horizontal="right" vertical="center"/>
    </xf>
    <xf numFmtId="0" fontId="6" fillId="12" borderId="2">
      <alignment horizontal="left" vertical="center" wrapText="1"/>
    </xf>
    <xf numFmtId="4" fontId="1" fillId="12" borderId="3">
      <alignment horizontal="right" vertical="center" wrapText="1"/>
    </xf>
    <xf numFmtId="4" fontId="1" fillId="12" borderId="7">
      <alignment horizontal="right" vertical="center" wrapText="1"/>
    </xf>
    <xf numFmtId="4" fontId="1" fillId="12" borderId="9">
      <alignment horizontal="right" vertical="center" wrapText="1"/>
    </xf>
    <xf numFmtId="4" fontId="1" fillId="12" borderId="12">
      <alignment horizontal="right" vertical="center" wrapText="1"/>
    </xf>
    <xf numFmtId="4" fontId="1" fillId="12" borderId="13">
      <alignment horizontal="right" vertical="center" wrapText="1"/>
    </xf>
    <xf numFmtId="0" fontId="6" fillId="12" borderId="3">
      <alignment horizontal="left" vertical="center" wrapText="1"/>
    </xf>
    <xf numFmtId="0" fontId="6" fillId="12" borderId="12">
      <alignment horizontal="left" vertical="center" wrapText="1"/>
    </xf>
    <xf numFmtId="4" fontId="1" fillId="12" borderId="14">
      <alignment horizontal="right" vertical="center" wrapText="1"/>
    </xf>
    <xf numFmtId="4" fontId="1" fillId="12" borderId="15">
      <alignment horizontal="right" vertical="center" wrapText="1"/>
    </xf>
    <xf numFmtId="4" fontId="1" fillId="12" borderId="16">
      <alignment horizontal="right" vertical="center" wrapText="1"/>
    </xf>
    <xf numFmtId="4" fontId="1" fillId="12" borderId="17">
      <alignment horizontal="right" vertical="center" wrapText="1"/>
    </xf>
    <xf numFmtId="4" fontId="1" fillId="12" borderId="2">
      <alignment horizontal="right" vertical="center" wrapText="1"/>
    </xf>
    <xf numFmtId="4" fontId="1" fillId="12" borderId="9">
      <alignment vertical="center"/>
    </xf>
    <xf numFmtId="4" fontId="1" fillId="12" borderId="3">
      <alignment vertical="center"/>
    </xf>
    <xf numFmtId="49" fontId="7" fillId="12" borderId="9">
      <alignment horizontal="left" vertical="center" wrapText="1" indent="1"/>
    </xf>
    <xf numFmtId="49" fontId="7" fillId="12" borderId="3">
      <alignment horizontal="left" vertical="center" wrapText="1" indent="1"/>
    </xf>
    <xf numFmtId="9" fontId="1" fillId="12" borderId="9">
      <alignment vertical="center"/>
    </xf>
    <xf numFmtId="0" fontId="6" fillId="0" borderId="2" applyFill="0">
      <alignment horizontal="left" vertical="center" wrapText="1"/>
    </xf>
    <xf numFmtId="10" fontId="1" fillId="12" borderId="9">
      <alignment vertical="center"/>
    </xf>
    <xf numFmtId="10" fontId="1" fillId="12" borderId="3">
      <alignment vertical="center"/>
    </xf>
    <xf numFmtId="9" fontId="1" fillId="12" borderId="3">
      <alignment vertical="center"/>
    </xf>
    <xf numFmtId="9" fontId="1" fillId="0" borderId="3" applyFill="0">
      <alignment vertical="center"/>
    </xf>
    <xf numFmtId="4" fontId="8" fillId="12" borderId="9">
      <alignment vertical="center"/>
    </xf>
    <xf numFmtId="4" fontId="8" fillId="12" borderId="12">
      <alignment horizontal="right" vertical="center"/>
    </xf>
    <xf numFmtId="4" fontId="6" fillId="12" borderId="3">
      <alignment horizontal="right" vertical="center"/>
    </xf>
    <xf numFmtId="169" fontId="1" fillId="12" borderId="2">
      <alignment horizontal="right" vertical="center"/>
    </xf>
    <xf numFmtId="0" fontId="1" fillId="11" borderId="2">
      <alignment horizontal="left" vertical="center" wrapText="1"/>
    </xf>
    <xf numFmtId="4" fontId="1" fillId="12" borderId="11">
      <alignment horizontal="right" vertical="center"/>
    </xf>
    <xf numFmtId="4" fontId="1" fillId="14" borderId="11">
      <alignment horizontal="right" vertical="center"/>
    </xf>
    <xf numFmtId="4" fontId="8" fillId="12" borderId="3">
      <alignment horizontal="right" vertical="center"/>
    </xf>
    <xf numFmtId="0" fontId="4" fillId="0" borderId="18" applyFill="0">
      <alignment horizontal="center" vertical="top" wrapText="1"/>
    </xf>
    <xf numFmtId="0" fontId="6" fillId="12" borderId="19">
      <alignment horizontal="left" vertical="center" wrapText="1"/>
    </xf>
    <xf numFmtId="0" fontId="6" fillId="12" borderId="20">
      <alignment horizontal="left" vertical="center" wrapText="1"/>
    </xf>
    <xf numFmtId="0" fontId="1" fillId="12" borderId="2">
      <alignment horizontal="left" vertical="center" wrapText="1"/>
    </xf>
    <xf numFmtId="0" fontId="3" fillId="0" borderId="0" applyFont="0" applyFill="0" applyBorder="0">
      <alignment vertical="top"/>
    </xf>
    <xf numFmtId="0" fontId="1" fillId="11" borderId="3">
      <alignment horizontal="center" vertical="center"/>
    </xf>
    <xf numFmtId="4" fontId="6" fillId="12" borderId="3">
      <alignment horizontal="right" vertical="center" wrapText="1"/>
    </xf>
    <xf numFmtId="4" fontId="6" fillId="12" borderId="3">
      <alignment horizontal="right"/>
    </xf>
    <xf numFmtId="49" fontId="1" fillId="11" borderId="3">
      <alignment horizontal="left" vertical="center" wrapText="1" indent="1"/>
    </xf>
    <xf numFmtId="4" fontId="70" fillId="12" borderId="3">
      <alignment horizontal="right" vertical="center" wrapText="1"/>
    </xf>
    <xf numFmtId="169" fontId="70" fillId="12" borderId="3">
      <alignment horizontal="right" vertical="center" wrapText="1"/>
    </xf>
    <xf numFmtId="4" fontId="9" fillId="12" borderId="3">
      <alignment horizontal="right" vertical="center"/>
    </xf>
    <xf numFmtId="169" fontId="6" fillId="12" borderId="3">
      <alignment horizontal="right" vertical="center"/>
    </xf>
    <xf numFmtId="0" fontId="4" fillId="0" borderId="0" applyFill="0" applyBorder="0">
      <alignment horizontal="center" vertical="center"/>
    </xf>
    <xf numFmtId="49" fontId="1" fillId="11" borderId="7">
      <alignment horizontal="left" vertical="center" wrapText="1" indent="1"/>
    </xf>
    <xf numFmtId="4" fontId="6" fillId="12" borderId="7">
      <alignment horizontal="right" vertical="center"/>
    </xf>
    <xf numFmtId="4" fontId="6" fillId="12" borderId="10">
      <alignment horizontal="right" vertical="center"/>
    </xf>
    <xf numFmtId="2" fontId="7" fillId="12" borderId="3">
      <alignment vertical="center" wrapText="1"/>
    </xf>
    <xf numFmtId="2" fontId="7" fillId="12" borderId="7">
      <alignment vertical="center" wrapText="1"/>
    </xf>
    <xf numFmtId="4" fontId="6" fillId="13" borderId="3">
      <alignment horizontal="right" vertical="center"/>
    </xf>
    <xf numFmtId="2" fontId="6" fillId="12" borderId="3">
      <alignment horizontal="right" vertical="center"/>
    </xf>
    <xf numFmtId="4" fontId="7" fillId="12" borderId="3">
      <alignment vertical="center" wrapText="1"/>
    </xf>
    <xf numFmtId="4" fontId="10" fillId="12" borderId="3">
      <alignment vertical="center" wrapText="1"/>
    </xf>
    <xf numFmtId="9" fontId="1" fillId="12" borderId="3">
      <alignment horizontal="right" vertical="center" wrapText="1"/>
    </xf>
    <xf numFmtId="2" fontId="8" fillId="10" borderId="3">
      <alignment horizontal="center" vertical="center" wrapText="1"/>
    </xf>
    <xf numFmtId="2" fontId="1" fillId="10" borderId="3">
      <alignment horizontal="center" vertical="center" wrapText="1"/>
    </xf>
    <xf numFmtId="2" fontId="1" fillId="12" borderId="3">
      <alignment horizontal="right" vertical="center" wrapText="1"/>
    </xf>
    <xf numFmtId="49" fontId="6" fillId="0" borderId="3" applyFill="0">
      <alignment horizontal="left" vertical="center" wrapText="1" indent="1"/>
    </xf>
    <xf numFmtId="49" fontId="6" fillId="0" borderId="3" applyFill="0">
      <alignment horizontal="left" vertical="center" wrapText="1" indent="2"/>
    </xf>
    <xf numFmtId="4" fontId="7" fillId="12" borderId="7">
      <alignment vertical="center" wrapText="1"/>
    </xf>
    <xf numFmtId="4" fontId="7" fillId="0" borderId="16" applyFill="0">
      <alignment vertical="center" wrapText="1"/>
    </xf>
    <xf numFmtId="49" fontId="7" fillId="11" borderId="3">
      <alignment vertical="center" wrapText="1"/>
    </xf>
    <xf numFmtId="4" fontId="7" fillId="12" borderId="16">
      <alignment vertical="center" wrapText="1"/>
    </xf>
    <xf numFmtId="4" fontId="7" fillId="12" borderId="9">
      <alignment vertical="center" wrapText="1"/>
    </xf>
    <xf numFmtId="4" fontId="7" fillId="12" borderId="10">
      <alignment vertical="center" wrapText="1"/>
    </xf>
    <xf numFmtId="4" fontId="6" fillId="12" borderId="16">
      <alignment horizontal="right" vertical="center"/>
    </xf>
    <xf numFmtId="4" fontId="6" fillId="12" borderId="9">
      <alignment horizontal="right" vertical="center"/>
    </xf>
    <xf numFmtId="0" fontId="1" fillId="12" borderId="3">
      <alignment horizontal="left" vertical="center"/>
    </xf>
    <xf numFmtId="10" fontId="1" fillId="12" borderId="3">
      <alignment horizontal="right" vertical="center"/>
    </xf>
    <xf numFmtId="0" fontId="1" fillId="12" borderId="7">
      <alignment horizontal="left" vertical="center"/>
    </xf>
    <xf numFmtId="0" fontId="1" fillId="12" borderId="7">
      <alignment horizontal="left" vertical="center" wrapText="1"/>
    </xf>
    <xf numFmtId="0" fontId="1" fillId="11" borderId="9">
      <alignment horizontal="left" vertical="center" wrapText="1" indent="2"/>
    </xf>
    <xf numFmtId="4" fontId="1" fillId="12" borderId="21">
      <alignment horizontal="right" vertical="center"/>
    </xf>
    <xf numFmtId="0" fontId="1" fillId="11" borderId="3">
      <alignment horizontal="left" vertical="center" wrapText="1" indent="3"/>
    </xf>
    <xf numFmtId="4" fontId="9" fillId="12" borderId="2">
      <alignment horizontal="right" vertical="center"/>
    </xf>
    <xf numFmtId="169" fontId="6" fillId="12" borderId="2">
      <alignment horizontal="right" vertical="center"/>
    </xf>
    <xf numFmtId="49" fontId="1" fillId="11" borderId="2">
      <alignment horizontal="left" vertical="center" wrapText="1"/>
    </xf>
    <xf numFmtId="0" fontId="3" fillId="0" borderId="0" applyFont="0" applyFill="0" applyBorder="0">
      <alignment horizontal="left" vertical="top"/>
    </xf>
    <xf numFmtId="4" fontId="6" fillId="12" borderId="22">
      <alignment horizontal="right" vertical="center"/>
    </xf>
    <xf numFmtId="2" fontId="6" fillId="12" borderId="22">
      <alignment horizontal="right" vertical="center"/>
    </xf>
    <xf numFmtId="4" fontId="11" fillId="0" borderId="22" applyFill="0">
      <alignment horizontal="right" vertical="center"/>
    </xf>
  </cellStyleXfs>
  <cellXfs count="1866">
    <xf numFmtId="49" fontId="1" fillId="0" borderId="0" xfId="0" applyNumberFormat="1" applyFont="1">
      <alignment vertical="top"/>
    </xf>
    <xf numFmtId="49" fontId="0" fillId="0" borderId="0" xfId="0" applyNumberFormat="1" applyFont="1">
      <alignment vertical="top"/>
    </xf>
    <xf numFmtId="170" fontId="1" fillId="11" borderId="2" xfId="2" applyNumberFormat="1" applyFont="1" applyFill="1" applyBorder="1">
      <alignment horizontal="left" vertical="center" wrapText="1" indent="1"/>
    </xf>
    <xf numFmtId="49" fontId="5" fillId="12" borderId="2" xfId="3" applyNumberFormat="1" applyFont="1" applyFill="1" applyBorder="1">
      <alignment horizontal="left" vertical="center" wrapText="1" indent="1"/>
    </xf>
    <xf numFmtId="49" fontId="6" fillId="11" borderId="2" xfId="7" applyNumberFormat="1" applyFont="1" applyFill="1" applyBorder="1">
      <alignment horizontal="left" vertical="center" wrapText="1" indent="1"/>
    </xf>
    <xf numFmtId="0" fontId="1" fillId="11" borderId="2" xfId="8" applyFont="1" applyFill="1" applyBorder="1">
      <alignment horizontal="left" vertical="center" wrapText="1" indent="1"/>
    </xf>
    <xf numFmtId="0" fontId="6" fillId="11" borderId="2" xfId="9" applyFont="1" applyFill="1" applyBorder="1">
      <alignment horizontal="left" vertical="center" wrapText="1" indent="1"/>
    </xf>
    <xf numFmtId="0" fontId="1" fillId="12" borderId="2" xfId="10" applyFont="1" applyFill="1" applyBorder="1">
      <alignment horizontal="left" vertical="center" wrapText="1" indent="1"/>
    </xf>
    <xf numFmtId="170" fontId="6" fillId="12" borderId="2" xfId="11" applyNumberFormat="1" applyFont="1" applyFill="1" applyBorder="1">
      <alignment horizontal="left" vertical="center" wrapText="1" indent="1"/>
    </xf>
    <xf numFmtId="0" fontId="1" fillId="11" borderId="3" xfId="12" applyFont="1" applyFill="1" applyBorder="1">
      <alignment horizontal="left" vertical="center" wrapText="1" indent="1"/>
    </xf>
    <xf numFmtId="1" fontId="1" fillId="11" borderId="3" xfId="13" applyNumberFormat="1" applyFont="1" applyFill="1" applyBorder="1">
      <alignment horizontal="left" vertical="center" wrapText="1" indent="1"/>
    </xf>
    <xf numFmtId="0" fontId="4" fillId="0" borderId="0" xfId="14" applyFont="1">
      <alignment horizontal="center" vertical="center" wrapText="1"/>
    </xf>
    <xf numFmtId="49" fontId="1" fillId="12" borderId="5" xfId="15" applyNumberFormat="1" applyFont="1" applyFill="1" applyBorder="1">
      <alignment horizontal="left" vertical="center" wrapText="1" indent="1"/>
    </xf>
    <xf numFmtId="49" fontId="1" fillId="12" borderId="3" xfId="16" applyNumberFormat="1" applyFont="1" applyFill="1" applyBorder="1">
      <alignment horizontal="left" vertical="center" wrapText="1"/>
    </xf>
    <xf numFmtId="4" fontId="1" fillId="12" borderId="2" xfId="17" applyNumberFormat="1" applyFont="1" applyFill="1" applyBorder="1">
      <alignment horizontal="right" vertical="center"/>
    </xf>
    <xf numFmtId="0" fontId="1" fillId="12" borderId="3" xfId="18" applyFont="1" applyFill="1" applyBorder="1">
      <alignment horizontal="left" vertical="center" wrapText="1"/>
    </xf>
    <xf numFmtId="4" fontId="1" fillId="12" borderId="6" xfId="19" applyNumberFormat="1" applyFont="1" applyFill="1" applyBorder="1">
      <alignment horizontal="right" vertical="center"/>
    </xf>
    <xf numFmtId="4" fontId="1" fillId="12" borderId="3" xfId="20" applyNumberFormat="1" applyFont="1" applyFill="1" applyBorder="1">
      <alignment horizontal="right" vertical="center"/>
    </xf>
    <xf numFmtId="4" fontId="1" fillId="12" borderId="7" xfId="21" applyNumberFormat="1" applyFont="1" applyFill="1" applyBorder="1">
      <alignment horizontal="right" vertical="center"/>
    </xf>
    <xf numFmtId="4" fontId="1" fillId="12" borderId="8" xfId="22" applyNumberFormat="1" applyFont="1" applyFill="1" applyBorder="1">
      <alignment horizontal="right" vertical="center"/>
    </xf>
    <xf numFmtId="4" fontId="1" fillId="12" borderId="9" xfId="23" applyNumberFormat="1" applyFont="1" applyFill="1" applyBorder="1">
      <alignment horizontal="right" vertical="center"/>
    </xf>
    <xf numFmtId="4" fontId="1" fillId="12" borderId="10" xfId="24" applyNumberFormat="1" applyFont="1" applyFill="1" applyBorder="1">
      <alignment horizontal="right" vertical="center"/>
    </xf>
    <xf numFmtId="4" fontId="6" fillId="12" borderId="2" xfId="25" applyNumberFormat="1" applyFont="1" applyFill="1" applyBorder="1">
      <alignment horizontal="right" vertical="center"/>
    </xf>
    <xf numFmtId="2" fontId="6" fillId="13" borderId="2" xfId="26" applyNumberFormat="1" applyFont="1" applyFill="1" applyBorder="1">
      <alignment horizontal="right" vertical="center"/>
    </xf>
    <xf numFmtId="0" fontId="6" fillId="12" borderId="11" xfId="27" applyFont="1" applyFill="1" applyBorder="1">
      <alignment horizontal="left" vertical="center" wrapText="1"/>
    </xf>
    <xf numFmtId="2" fontId="6" fillId="12" borderId="11" xfId="28" applyNumberFormat="1" applyFont="1" applyFill="1" applyBorder="1">
      <alignment horizontal="right" vertical="center"/>
    </xf>
    <xf numFmtId="4" fontId="6" fillId="12" borderId="12" xfId="29" applyNumberFormat="1" applyFont="1" applyFill="1" applyBorder="1">
      <alignment horizontal="right" vertical="center"/>
    </xf>
    <xf numFmtId="2" fontId="6" fillId="12" borderId="2" xfId="30" applyNumberFormat="1" applyFont="1" applyFill="1" applyBorder="1">
      <alignment horizontal="right" vertical="center"/>
    </xf>
    <xf numFmtId="0" fontId="6" fillId="12" borderId="2" xfId="31" applyFont="1" applyFill="1" applyBorder="1">
      <alignment horizontal="left" vertical="center" wrapText="1"/>
    </xf>
    <xf numFmtId="4" fontId="1" fillId="12" borderId="3" xfId="32" applyNumberFormat="1" applyFont="1" applyFill="1" applyBorder="1">
      <alignment horizontal="right" vertical="center" wrapText="1"/>
    </xf>
    <xf numFmtId="4" fontId="1" fillId="12" borderId="7" xfId="33" applyNumberFormat="1" applyFont="1" applyFill="1" applyBorder="1">
      <alignment horizontal="right" vertical="center" wrapText="1"/>
    </xf>
    <xf numFmtId="4" fontId="1" fillId="12" borderId="9" xfId="34" applyNumberFormat="1" applyFont="1" applyFill="1" applyBorder="1">
      <alignment horizontal="right" vertical="center" wrapText="1"/>
    </xf>
    <xf numFmtId="4" fontId="1" fillId="12" borderId="12" xfId="35" applyNumberFormat="1" applyFont="1" applyFill="1" applyBorder="1">
      <alignment horizontal="right" vertical="center" wrapText="1"/>
    </xf>
    <xf numFmtId="4" fontId="1" fillId="12" borderId="13" xfId="36" applyNumberFormat="1" applyFont="1" applyFill="1" applyBorder="1">
      <alignment horizontal="right" vertical="center" wrapText="1"/>
    </xf>
    <xf numFmtId="0" fontId="6" fillId="12" borderId="3" xfId="37" applyFont="1" applyFill="1" applyBorder="1">
      <alignment horizontal="left" vertical="center" wrapText="1"/>
    </xf>
    <xf numFmtId="0" fontId="6" fillId="12" borderId="12" xfId="38" applyFont="1" applyFill="1" applyBorder="1">
      <alignment horizontal="left" vertical="center" wrapText="1"/>
    </xf>
    <xf numFmtId="4" fontId="1" fillId="12" borderId="14" xfId="39" applyNumberFormat="1" applyFont="1" applyFill="1" applyBorder="1">
      <alignment horizontal="right" vertical="center" wrapText="1"/>
    </xf>
    <xf numFmtId="4" fontId="1" fillId="12" borderId="15" xfId="40" applyNumberFormat="1" applyFont="1" applyFill="1" applyBorder="1">
      <alignment horizontal="right" vertical="center" wrapText="1"/>
    </xf>
    <xf numFmtId="4" fontId="1" fillId="12" borderId="16" xfId="41" applyNumberFormat="1" applyFont="1" applyFill="1" applyBorder="1">
      <alignment horizontal="right" vertical="center" wrapText="1"/>
    </xf>
    <xf numFmtId="4" fontId="1" fillId="12" borderId="17" xfId="42" applyNumberFormat="1" applyFont="1" applyFill="1" applyBorder="1">
      <alignment horizontal="right" vertical="center" wrapText="1"/>
    </xf>
    <xf numFmtId="4" fontId="1" fillId="12" borderId="2" xfId="43" applyNumberFormat="1" applyFont="1" applyFill="1" applyBorder="1">
      <alignment horizontal="right" vertical="center" wrapText="1"/>
    </xf>
    <xf numFmtId="4" fontId="1" fillId="12" borderId="9" xfId="44" applyNumberFormat="1" applyFont="1" applyFill="1" applyBorder="1">
      <alignment vertical="center"/>
    </xf>
    <xf numFmtId="4" fontId="1" fillId="12" borderId="3" xfId="45" applyNumberFormat="1" applyFont="1" applyFill="1" applyBorder="1">
      <alignment vertical="center"/>
    </xf>
    <xf numFmtId="49" fontId="7" fillId="12" borderId="9" xfId="46" applyNumberFormat="1" applyFont="1" applyFill="1" applyBorder="1">
      <alignment horizontal="left" vertical="center" wrapText="1" indent="1"/>
    </xf>
    <xf numFmtId="49" fontId="7" fillId="12" borderId="3" xfId="47" applyNumberFormat="1" applyFont="1" applyFill="1" applyBorder="1">
      <alignment horizontal="left" vertical="center" wrapText="1" indent="1"/>
    </xf>
    <xf numFmtId="9" fontId="1" fillId="12" borderId="9" xfId="48" applyNumberFormat="1" applyFont="1" applyFill="1" applyBorder="1">
      <alignment vertical="center"/>
    </xf>
    <xf numFmtId="0" fontId="6" fillId="0" borderId="2" xfId="49" applyFont="1" applyBorder="1">
      <alignment horizontal="left" vertical="center" wrapText="1"/>
    </xf>
    <xf numFmtId="10" fontId="1" fillId="12" borderId="9" xfId="50" applyNumberFormat="1" applyFont="1" applyFill="1" applyBorder="1">
      <alignment vertical="center"/>
    </xf>
    <xf numFmtId="10" fontId="1" fillId="12" borderId="3" xfId="51" applyNumberFormat="1" applyFont="1" applyFill="1" applyBorder="1">
      <alignment vertical="center"/>
    </xf>
    <xf numFmtId="9" fontId="1" fillId="12" borderId="3" xfId="52" applyNumberFormat="1" applyFont="1" applyFill="1" applyBorder="1">
      <alignment vertical="center"/>
    </xf>
    <xf numFmtId="9" fontId="1" fillId="0" borderId="3" xfId="53" applyNumberFormat="1" applyFont="1" applyBorder="1">
      <alignment vertical="center"/>
    </xf>
    <xf numFmtId="4" fontId="8" fillId="12" borderId="9" xfId="54" applyNumberFormat="1" applyFont="1" applyFill="1" applyBorder="1">
      <alignment vertical="center"/>
    </xf>
    <xf numFmtId="4" fontId="8" fillId="12" borderId="12" xfId="55" applyNumberFormat="1" applyFont="1" applyFill="1" applyBorder="1">
      <alignment horizontal="right" vertical="center"/>
    </xf>
    <xf numFmtId="4" fontId="6" fillId="12" borderId="3" xfId="56" applyNumberFormat="1" applyFont="1" applyFill="1" applyBorder="1">
      <alignment horizontal="right" vertical="center"/>
    </xf>
    <xf numFmtId="169" fontId="1" fillId="12" borderId="2" xfId="57" applyNumberFormat="1" applyFont="1" applyFill="1" applyBorder="1">
      <alignment horizontal="right" vertical="center"/>
    </xf>
    <xf numFmtId="0" fontId="1" fillId="11" borderId="2" xfId="58" applyFont="1" applyFill="1" applyBorder="1">
      <alignment horizontal="left" vertical="center" wrapText="1"/>
    </xf>
    <xf numFmtId="4" fontId="1" fillId="12" borderId="11" xfId="59" applyNumberFormat="1" applyFont="1" applyFill="1" applyBorder="1">
      <alignment horizontal="right" vertical="center"/>
    </xf>
    <xf numFmtId="4" fontId="8" fillId="12" borderId="3" xfId="61" applyNumberFormat="1" applyFont="1" applyFill="1" applyBorder="1">
      <alignment horizontal="right" vertical="center"/>
    </xf>
    <xf numFmtId="0" fontId="6" fillId="12" borderId="19" xfId="63" applyFont="1" applyFill="1" applyBorder="1">
      <alignment horizontal="left" vertical="center" wrapText="1"/>
    </xf>
    <xf numFmtId="0" fontId="6" fillId="12" borderId="20" xfId="64" applyFont="1" applyFill="1" applyBorder="1">
      <alignment horizontal="left" vertical="center" wrapText="1"/>
    </xf>
    <xf numFmtId="0" fontId="1" fillId="12" borderId="2" xfId="65" applyFont="1" applyFill="1" applyBorder="1">
      <alignment horizontal="left" vertical="center" wrapText="1"/>
    </xf>
    <xf numFmtId="0" fontId="1" fillId="11" borderId="3" xfId="67" applyFont="1" applyFill="1" applyBorder="1">
      <alignment horizontal="center" vertical="center"/>
    </xf>
    <xf numFmtId="4" fontId="6" fillId="12" borderId="3" xfId="68" applyNumberFormat="1" applyFont="1" applyFill="1" applyBorder="1">
      <alignment horizontal="right" vertical="center" wrapText="1"/>
    </xf>
    <xf numFmtId="4" fontId="6" fillId="12" borderId="3" xfId="69" applyNumberFormat="1" applyFont="1" applyFill="1" applyBorder="1">
      <alignment horizontal="right"/>
    </xf>
    <xf numFmtId="49" fontId="1" fillId="11" borderId="3" xfId="70" applyNumberFormat="1" applyFont="1" applyFill="1" applyBorder="1">
      <alignment horizontal="left" vertical="center" wrapText="1" indent="1"/>
    </xf>
    <xf numFmtId="4" fontId="0" fillId="12" borderId="3" xfId="71" applyNumberFormat="1" applyFont="1" applyFill="1" applyBorder="1">
      <alignment horizontal="right" vertical="center" wrapText="1"/>
    </xf>
    <xf numFmtId="169" fontId="0" fillId="12" borderId="3" xfId="72" applyNumberFormat="1" applyFont="1" applyFill="1" applyBorder="1">
      <alignment horizontal="right" vertical="center" wrapText="1"/>
    </xf>
    <xf numFmtId="4" fontId="9" fillId="12" borderId="3" xfId="73" applyNumberFormat="1" applyFont="1" applyFill="1" applyBorder="1">
      <alignment horizontal="right" vertical="center"/>
    </xf>
    <xf numFmtId="169" fontId="6" fillId="12" borderId="3" xfId="74" applyNumberFormat="1" applyFont="1" applyFill="1" applyBorder="1">
      <alignment horizontal="right" vertical="center"/>
    </xf>
    <xf numFmtId="0" fontId="4" fillId="0" borderId="0" xfId="75" applyFont="1">
      <alignment horizontal="center" vertical="center"/>
    </xf>
    <xf numFmtId="49" fontId="1" fillId="11" borderId="7" xfId="76" applyNumberFormat="1" applyFont="1" applyFill="1" applyBorder="1">
      <alignment horizontal="left" vertical="center" wrapText="1" indent="1"/>
    </xf>
    <xf numFmtId="4" fontId="6" fillId="12" borderId="7" xfId="77" applyNumberFormat="1" applyFont="1" applyFill="1" applyBorder="1">
      <alignment horizontal="right" vertical="center"/>
    </xf>
    <xf numFmtId="4" fontId="6" fillId="12" borderId="10" xfId="78" applyNumberFormat="1" applyFont="1" applyFill="1" applyBorder="1">
      <alignment horizontal="right" vertical="center"/>
    </xf>
    <xf numFmtId="2" fontId="7" fillId="12" borderId="3" xfId="79" applyNumberFormat="1" applyFont="1" applyFill="1" applyBorder="1">
      <alignment vertical="center" wrapText="1"/>
    </xf>
    <xf numFmtId="2" fontId="7" fillId="12" borderId="7" xfId="80" applyNumberFormat="1" applyFont="1" applyFill="1" applyBorder="1">
      <alignment vertical="center" wrapText="1"/>
    </xf>
    <xf numFmtId="4" fontId="6" fillId="13" borderId="3" xfId="81" applyNumberFormat="1" applyFont="1" applyFill="1" applyBorder="1">
      <alignment horizontal="right" vertical="center"/>
    </xf>
    <xf numFmtId="2" fontId="6" fillId="12" borderId="3" xfId="82" applyNumberFormat="1" applyFont="1" applyFill="1" applyBorder="1">
      <alignment horizontal="right" vertical="center"/>
    </xf>
    <xf numFmtId="4" fontId="7" fillId="12" borderId="3" xfId="83" applyNumberFormat="1" applyFont="1" applyFill="1" applyBorder="1">
      <alignment vertical="center" wrapText="1"/>
    </xf>
    <xf numFmtId="4" fontId="10" fillId="12" borderId="3" xfId="84" applyNumberFormat="1" applyFont="1" applyFill="1" applyBorder="1">
      <alignment vertical="center" wrapText="1"/>
    </xf>
    <xf numFmtId="9" fontId="1" fillId="12" borderId="3" xfId="85" applyNumberFormat="1" applyFont="1" applyFill="1" applyBorder="1">
      <alignment horizontal="right" vertical="center" wrapText="1"/>
    </xf>
    <xf numFmtId="2" fontId="1" fillId="10" borderId="3" xfId="87" applyNumberFormat="1" applyFont="1" applyFill="1" applyBorder="1">
      <alignment horizontal="center" vertical="center" wrapText="1"/>
    </xf>
    <xf numFmtId="2" fontId="1" fillId="12" borderId="3" xfId="88" applyNumberFormat="1" applyFont="1" applyFill="1" applyBorder="1">
      <alignment horizontal="right" vertical="center" wrapText="1"/>
    </xf>
    <xf numFmtId="49" fontId="6" fillId="0" borderId="3" xfId="89" applyNumberFormat="1" applyFont="1" applyBorder="1">
      <alignment horizontal="left" vertical="center" wrapText="1" indent="1"/>
    </xf>
    <xf numFmtId="49" fontId="6" fillId="0" borderId="3" xfId="90" applyNumberFormat="1" applyFont="1" applyBorder="1">
      <alignment horizontal="left" vertical="center" wrapText="1" indent="2"/>
    </xf>
    <xf numFmtId="4" fontId="7" fillId="12" borderId="7" xfId="91" applyNumberFormat="1" applyFont="1" applyFill="1" applyBorder="1">
      <alignment vertical="center" wrapText="1"/>
    </xf>
    <xf numFmtId="4" fontId="7" fillId="0" borderId="16" xfId="92" applyNumberFormat="1" applyFont="1" applyBorder="1">
      <alignment vertical="center" wrapText="1"/>
    </xf>
    <xf numFmtId="49" fontId="7" fillId="11" borderId="3" xfId="93" applyNumberFormat="1" applyFont="1" applyFill="1" applyBorder="1">
      <alignment vertical="center" wrapText="1"/>
    </xf>
    <xf numFmtId="4" fontId="7" fillId="12" borderId="16" xfId="94" applyNumberFormat="1" applyFont="1" applyFill="1" applyBorder="1">
      <alignment vertical="center" wrapText="1"/>
    </xf>
    <xf numFmtId="4" fontId="7" fillId="12" borderId="9" xfId="95" applyNumberFormat="1" applyFont="1" applyFill="1" applyBorder="1">
      <alignment vertical="center" wrapText="1"/>
    </xf>
    <xf numFmtId="4" fontId="7" fillId="12" borderId="10" xfId="96" applyNumberFormat="1" applyFont="1" applyFill="1" applyBorder="1">
      <alignment vertical="center" wrapText="1"/>
    </xf>
    <xf numFmtId="4" fontId="6" fillId="12" borderId="16" xfId="97" applyNumberFormat="1" applyFont="1" applyFill="1" applyBorder="1">
      <alignment horizontal="right" vertical="center"/>
    </xf>
    <xf numFmtId="4" fontId="6" fillId="12" borderId="9" xfId="98" applyNumberFormat="1" applyFont="1" applyFill="1" applyBorder="1">
      <alignment horizontal="right" vertical="center"/>
    </xf>
    <xf numFmtId="0" fontId="1" fillId="12" borderId="3" xfId="99" applyFont="1" applyFill="1" applyBorder="1">
      <alignment horizontal="left" vertical="center"/>
    </xf>
    <xf numFmtId="10" fontId="1" fillId="12" borderId="3" xfId="100" applyNumberFormat="1" applyFont="1" applyFill="1" applyBorder="1">
      <alignment horizontal="right" vertical="center"/>
    </xf>
    <xf numFmtId="0" fontId="1" fillId="12" borderId="7" xfId="101" applyFont="1" applyFill="1" applyBorder="1">
      <alignment horizontal="left" vertical="center"/>
    </xf>
    <xf numFmtId="0" fontId="1" fillId="12" borderId="7" xfId="102" applyFont="1" applyFill="1" applyBorder="1">
      <alignment horizontal="left" vertical="center" wrapText="1"/>
    </xf>
    <xf numFmtId="0" fontId="1" fillId="11" borderId="9" xfId="103" applyFont="1" applyFill="1" applyBorder="1">
      <alignment horizontal="left" vertical="center" wrapText="1" indent="2"/>
    </xf>
    <xf numFmtId="4" fontId="1" fillId="12" borderId="21" xfId="104" applyNumberFormat="1" applyFont="1" applyFill="1" applyBorder="1">
      <alignment horizontal="right" vertical="center"/>
    </xf>
    <xf numFmtId="0" fontId="1" fillId="11" borderId="3" xfId="105" applyFont="1" applyFill="1" applyBorder="1">
      <alignment horizontal="left" vertical="center" wrapText="1" indent="3"/>
    </xf>
    <xf numFmtId="4" fontId="9" fillId="12" borderId="2" xfId="106" applyNumberFormat="1" applyFont="1" applyFill="1" applyBorder="1">
      <alignment horizontal="right" vertical="center"/>
    </xf>
    <xf numFmtId="169" fontId="6" fillId="12" borderId="2" xfId="107" applyNumberFormat="1" applyFont="1" applyFill="1" applyBorder="1">
      <alignment horizontal="right" vertical="center"/>
    </xf>
    <xf numFmtId="49" fontId="1" fillId="11" borderId="2" xfId="108" applyNumberFormat="1" applyFont="1" applyFill="1" applyBorder="1">
      <alignment horizontal="left" vertical="center" wrapText="1"/>
    </xf>
    <xf numFmtId="4" fontId="6" fillId="12" borderId="22" xfId="110" applyNumberFormat="1" applyFont="1" applyFill="1" applyBorder="1">
      <alignment horizontal="right" vertical="center"/>
    </xf>
    <xf numFmtId="2" fontId="6" fillId="12" borderId="22" xfId="111" applyNumberFormat="1" applyFont="1" applyFill="1" applyBorder="1">
      <alignment horizontal="right" vertical="center"/>
    </xf>
    <xf numFmtId="4" fontId="11" fillId="0" borderId="22" xfId="112" applyNumberFormat="1" applyFont="1" applyBorder="1">
      <alignment horizontal="right" vertical="center"/>
    </xf>
    <xf numFmtId="0" fontId="1" fillId="0" borderId="3" xfId="0" applyNumberFormat="1" applyFont="1" applyBorder="1" applyAlignment="1">
      <alignment horizontal="center" vertical="center"/>
    </xf>
    <xf numFmtId="0" fontId="12" fillId="0" borderId="0" xfId="0" applyNumberFormat="1" applyFont="1" applyAlignment="1">
      <alignment vertical="center"/>
    </xf>
    <xf numFmtId="0" fontId="1" fillId="15" borderId="2" xfId="0" applyNumberFormat="1" applyFont="1" applyFill="1" applyBorder="1" applyAlignment="1">
      <alignment horizontal="center" vertical="center" wrapText="1"/>
    </xf>
    <xf numFmtId="0" fontId="1" fillId="0" borderId="3" xfId="0" applyNumberFormat="1" applyFont="1" applyBorder="1" applyAlignment="1">
      <alignment horizontal="center" vertical="center" wrapText="1"/>
    </xf>
    <xf numFmtId="0" fontId="1" fillId="15" borderId="0" xfId="0" applyNumberFormat="1" applyFont="1" applyFill="1" applyAlignment="1">
      <alignment vertical="center" wrapText="1"/>
    </xf>
    <xf numFmtId="0" fontId="1" fillId="0" borderId="0" xfId="0" applyNumberFormat="1" applyFont="1" applyAlignment="1">
      <alignment horizontal="center" vertical="center"/>
    </xf>
    <xf numFmtId="49" fontId="7" fillId="15" borderId="3" xfId="0" applyNumberFormat="1" applyFont="1" applyFill="1" applyBorder="1" applyAlignment="1">
      <alignment horizontal="center" vertical="center" wrapText="1"/>
    </xf>
    <xf numFmtId="49" fontId="10" fillId="15" borderId="3" xfId="0" applyNumberFormat="1" applyFont="1" applyFill="1" applyBorder="1" applyAlignment="1">
      <alignment horizontal="center" vertical="center" wrapText="1"/>
    </xf>
    <xf numFmtId="49" fontId="10" fillId="15" borderId="3" xfId="0" applyNumberFormat="1" applyFont="1" applyFill="1" applyBorder="1" applyAlignment="1">
      <alignment horizontal="left" vertical="center" wrapText="1"/>
    </xf>
    <xf numFmtId="49" fontId="8" fillId="0" borderId="3" xfId="0" applyNumberFormat="1" applyFont="1" applyBorder="1" applyAlignment="1">
      <alignment horizontal="left" vertical="center" wrapText="1"/>
    </xf>
    <xf numFmtId="49" fontId="1" fillId="0" borderId="3" xfId="0" applyNumberFormat="1" applyFont="1" applyBorder="1" applyAlignment="1">
      <alignment horizontal="left" vertical="center" wrapText="1" indent="1"/>
    </xf>
    <xf numFmtId="49" fontId="7" fillId="15" borderId="3" xfId="0" applyNumberFormat="1" applyFont="1" applyFill="1" applyBorder="1" applyAlignment="1">
      <alignment horizontal="left" vertical="center" wrapText="1" indent="1"/>
    </xf>
    <xf numFmtId="49" fontId="7" fillId="15" borderId="3" xfId="0" applyNumberFormat="1" applyFont="1" applyFill="1" applyBorder="1" applyAlignment="1">
      <alignment horizontal="left" vertical="center" wrapText="1" indent="2"/>
    </xf>
    <xf numFmtId="49" fontId="7" fillId="0" borderId="3" xfId="0" applyNumberFormat="1" applyFont="1" applyBorder="1" applyAlignment="1">
      <alignment horizontal="left" vertical="center" wrapText="1"/>
    </xf>
    <xf numFmtId="49" fontId="7" fillId="15" borderId="3" xfId="0" applyNumberFormat="1" applyFont="1" applyFill="1" applyBorder="1" applyAlignment="1">
      <alignment horizontal="left" vertical="center" wrapText="1"/>
    </xf>
    <xf numFmtId="0" fontId="6" fillId="0" borderId="3"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0" xfId="0" applyNumberFormat="1" applyFont="1" applyAlignment="1">
      <alignment horizontal="center" vertical="center"/>
    </xf>
    <xf numFmtId="49" fontId="8" fillId="0" borderId="0" xfId="0" applyNumberFormat="1" applyFont="1" applyAlignment="1">
      <alignment horizontal="center" vertical="center" wrapText="1" shrinkToFit="1"/>
    </xf>
    <xf numFmtId="0" fontId="6"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2" fillId="0" borderId="0" xfId="0" applyNumberFormat="1" applyFont="1" applyAlignment="1">
      <alignment horizontal="left" vertical="center" wrapText="1"/>
    </xf>
    <xf numFmtId="0" fontId="1" fillId="0" borderId="16"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2" fillId="0" borderId="0" xfId="0" applyNumberFormat="1" applyFont="1" applyAlignment="1">
      <alignment horizontal="center" vertical="center"/>
    </xf>
    <xf numFmtId="0" fontId="1" fillId="0" borderId="2" xfId="0" applyNumberFormat="1" applyFont="1" applyBorder="1" applyAlignment="1">
      <alignment horizontal="right" vertical="center" wrapText="1" indent="1"/>
    </xf>
    <xf numFmtId="0" fontId="1" fillId="0" borderId="2" xfId="0" applyNumberFormat="1" applyFont="1" applyBorder="1" applyAlignment="1">
      <alignment horizontal="right" vertical="center" wrapText="1" indent="1"/>
    </xf>
    <xf numFmtId="0" fontId="13" fillId="0" borderId="24" xfId="0" applyNumberFormat="1" applyFont="1" applyBorder="1" applyAlignment="1">
      <alignment horizontal="center" vertical="center"/>
    </xf>
    <xf numFmtId="0" fontId="1" fillId="0" borderId="0" xfId="0" applyNumberFormat="1" applyFont="1" applyAlignment="1"/>
    <xf numFmtId="0" fontId="1" fillId="15" borderId="0" xfId="0" applyNumberFormat="1" applyFont="1" applyFill="1" applyAlignment="1"/>
    <xf numFmtId="49" fontId="1" fillId="12" borderId="25"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14" fillId="0" borderId="0" xfId="0" applyNumberFormat="1" applyFont="1" applyAlignment="1">
      <alignment vertical="center"/>
    </xf>
    <xf numFmtId="0" fontId="14" fillId="0" borderId="0" xfId="0" applyNumberFormat="1" applyFont="1" applyAlignment="1">
      <alignment horizontal="center" vertical="center"/>
    </xf>
    <xf numFmtId="0" fontId="15" fillId="0" borderId="0" xfId="0" applyNumberFormat="1" applyFont="1" applyAlignment="1">
      <alignment vertical="center"/>
    </xf>
    <xf numFmtId="49" fontId="1" fillId="0" borderId="0" xfId="0" applyNumberFormat="1" applyFont="1" applyAlignment="1">
      <alignment vertical="center" wrapText="1"/>
    </xf>
    <xf numFmtId="49" fontId="8" fillId="0" borderId="0" xfId="0" applyNumberFormat="1" applyFont="1" applyAlignment="1">
      <alignment vertical="center" wrapText="1"/>
    </xf>
    <xf numFmtId="49" fontId="1" fillId="0" borderId="0" xfId="0" applyNumberFormat="1" applyFont="1" applyAlignment="1">
      <alignment horizontal="left" vertical="center" wrapText="1"/>
    </xf>
    <xf numFmtId="0" fontId="1" fillId="15" borderId="26" xfId="0" applyNumberFormat="1" applyFont="1" applyFill="1" applyBorder="1" applyAlignment="1">
      <alignment horizontal="center" vertical="center" wrapText="1"/>
    </xf>
    <xf numFmtId="0" fontId="1" fillId="15" borderId="27" xfId="0" applyNumberFormat="1" applyFont="1" applyFill="1" applyBorder="1" applyAlignment="1">
      <alignment horizontal="center" vertical="center" wrapText="1"/>
    </xf>
    <xf numFmtId="0" fontId="1" fillId="15" borderId="28"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6" fillId="0" borderId="0" xfId="0" applyNumberFormat="1" applyFont="1" applyAlignment="1"/>
    <xf numFmtId="0" fontId="1" fillId="0" borderId="0" xfId="0" applyNumberFormat="1" applyFont="1" applyAlignment="1">
      <alignment horizontal="center"/>
    </xf>
    <xf numFmtId="0" fontId="1" fillId="0" borderId="0" xfId="0" applyNumberFormat="1" applyFont="1" applyAlignment="1">
      <alignment horizontal="center" wrapText="1"/>
    </xf>
    <xf numFmtId="0" fontId="0" fillId="0" borderId="0" xfId="0" applyNumberFormat="1" applyFont="1" applyAlignment="1">
      <alignment horizontal="center" vertical="center"/>
    </xf>
    <xf numFmtId="0" fontId="6" fillId="0" borderId="0" xfId="0" applyNumberFormat="1" applyFont="1" applyAlignment="1">
      <alignment horizontal="center"/>
    </xf>
    <xf numFmtId="0" fontId="1" fillId="0" borderId="2" xfId="0" applyNumberFormat="1" applyFont="1" applyBorder="1" applyAlignment="1">
      <alignment horizontal="center" vertical="center"/>
    </xf>
    <xf numFmtId="0" fontId="6" fillId="13" borderId="2" xfId="0" applyNumberFormat="1" applyFont="1" applyFill="1" applyBorder="1" applyAlignment="1">
      <alignment horizontal="left"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center" vertical="center"/>
    </xf>
    <xf numFmtId="0" fontId="1" fillId="0" borderId="2" xfId="0" applyNumberFormat="1" applyFont="1" applyBorder="1" applyAlignment="1">
      <alignment vertical="center" wrapText="1"/>
    </xf>
    <xf numFmtId="0" fontId="6" fillId="0" borderId="0" xfId="0" applyNumberFormat="1" applyFont="1" applyAlignment="1">
      <alignment wrapText="1"/>
    </xf>
    <xf numFmtId="4" fontId="1" fillId="12" borderId="2" xfId="0" applyNumberFormat="1" applyFont="1" applyFill="1" applyBorder="1" applyAlignment="1" applyProtection="1">
      <alignment horizontal="right" vertical="center"/>
      <protection locked="0"/>
    </xf>
    <xf numFmtId="0" fontId="6" fillId="0" borderId="0" xfId="0" applyNumberFormat="1" applyFont="1" applyAlignment="1">
      <alignment vertical="center"/>
    </xf>
    <xf numFmtId="0" fontId="1" fillId="0" borderId="0" xfId="0" applyNumberFormat="1" applyFont="1" applyAlignment="1">
      <alignment vertical="center"/>
    </xf>
    <xf numFmtId="0" fontId="6" fillId="0" borderId="0" xfId="0" applyNumberFormat="1" applyFont="1" applyAlignment="1">
      <alignment vertical="center" wrapText="1"/>
    </xf>
    <xf numFmtId="49" fontId="1" fillId="15" borderId="2" xfId="0" applyNumberFormat="1" applyFont="1" applyFill="1" applyBorder="1" applyAlignment="1">
      <alignment horizontal="center" vertical="center" wrapText="1"/>
    </xf>
    <xf numFmtId="0" fontId="8" fillId="0" borderId="0" xfId="0" applyNumberFormat="1" applyFont="1" applyAlignment="1"/>
    <xf numFmtId="0" fontId="1" fillId="0" borderId="0" xfId="0" applyNumberFormat="1" applyFont="1" applyAlignment="1">
      <alignment vertical="center" wrapText="1"/>
    </xf>
    <xf numFmtId="4" fontId="1" fillId="0" borderId="0" xfId="0" applyNumberFormat="1" applyFont="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168" fontId="16" fillId="0" borderId="0" xfId="0" applyNumberFormat="1" applyFont="1" applyAlignment="1">
      <alignment horizontal="left" vertical="center" wrapText="1"/>
    </xf>
    <xf numFmtId="0" fontId="12" fillId="0" borderId="0" xfId="0" applyNumberFormat="1" applyFont="1" applyAlignment="1"/>
    <xf numFmtId="0" fontId="14" fillId="0" borderId="0" xfId="0" applyNumberFormat="1" applyFont="1" applyAlignment="1"/>
    <xf numFmtId="0" fontId="14" fillId="0" borderId="0" xfId="0" applyNumberFormat="1" applyFont="1" applyAlignment="1">
      <alignment horizontal="left"/>
    </xf>
    <xf numFmtId="0" fontId="12" fillId="0" borderId="0" xfId="0" applyNumberFormat="1" applyFont="1" applyAlignment="1">
      <alignment horizontal="left"/>
    </xf>
    <xf numFmtId="0" fontId="17" fillId="0" borderId="0" xfId="0" applyNumberFormat="1" applyFont="1" applyAlignment="1">
      <alignment horizontal="left" vertical="top" wrapText="1"/>
    </xf>
    <xf numFmtId="0" fontId="18" fillId="0" borderId="0" xfId="0" applyNumberFormat="1" applyFont="1" applyAlignment="1">
      <alignment horizontal="center" vertical="center"/>
    </xf>
    <xf numFmtId="0" fontId="18" fillId="0" borderId="0" xfId="0" applyNumberFormat="1" applyFont="1" applyAlignment="1">
      <alignment vertical="center" wrapText="1"/>
    </xf>
    <xf numFmtId="0" fontId="18" fillId="0" borderId="0" xfId="0" applyNumberFormat="1" applyFont="1" applyAlignment="1">
      <alignment vertical="center"/>
    </xf>
    <xf numFmtId="49" fontId="19"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9" fillId="0" borderId="0" xfId="0" applyNumberFormat="1" applyFont="1" applyAlignment="1">
      <alignment vertical="center" wrapText="1"/>
    </xf>
    <xf numFmtId="0" fontId="19" fillId="0" borderId="0" xfId="0" applyNumberFormat="1" applyFont="1" applyAlignment="1">
      <alignment vertical="center"/>
    </xf>
    <xf numFmtId="49" fontId="12" fillId="0" borderId="0" xfId="0" applyNumberFormat="1" applyFont="1" applyAlignment="1">
      <alignment vertical="center" wrapText="1"/>
    </xf>
    <xf numFmtId="49" fontId="12" fillId="0" borderId="0" xfId="0" applyNumberFormat="1" applyFont="1" applyAlignment="1">
      <alignment vertical="center"/>
    </xf>
    <xf numFmtId="49" fontId="20" fillId="16" borderId="0" xfId="0" applyNumberFormat="1" applyFont="1" applyFill="1" applyAlignment="1">
      <alignment horizontal="center" vertical="center"/>
    </xf>
    <xf numFmtId="0" fontId="18" fillId="0" borderId="0" xfId="0" applyNumberFormat="1" applyFont="1" applyAlignment="1"/>
    <xf numFmtId="0" fontId="12" fillId="17" borderId="0" xfId="0" applyNumberFormat="1" applyFont="1" applyFill="1" applyAlignment="1">
      <alignment horizontal="right" vertical="center"/>
    </xf>
    <xf numFmtId="0" fontId="12" fillId="17" borderId="0" xfId="0" applyNumberFormat="1" applyFont="1" applyFill="1" applyAlignment="1">
      <alignment horizontal="center" vertical="center"/>
    </xf>
    <xf numFmtId="0" fontId="18" fillId="17" borderId="0" xfId="0" applyNumberFormat="1" applyFont="1" applyFill="1" applyAlignment="1">
      <alignment horizontal="right" vertical="center"/>
    </xf>
    <xf numFmtId="49" fontId="12" fillId="17" borderId="0" xfId="0" applyNumberFormat="1" applyFont="1" applyFill="1" applyAlignment="1">
      <alignment vertical="center" wrapText="1"/>
    </xf>
    <xf numFmtId="49" fontId="18" fillId="0" borderId="0" xfId="0" applyNumberFormat="1" applyFont="1" applyAlignment="1">
      <alignment vertical="center" wrapText="1"/>
    </xf>
    <xf numFmtId="49" fontId="21" fillId="0" borderId="0" xfId="0" applyNumberFormat="1" applyFont="1" applyAlignment="1">
      <alignment vertical="center"/>
    </xf>
    <xf numFmtId="49" fontId="21" fillId="17" borderId="0" xfId="0" applyNumberFormat="1" applyFont="1" applyFill="1" applyAlignment="1">
      <alignment vertical="center" wrapText="1"/>
    </xf>
    <xf numFmtId="49" fontId="21" fillId="0" borderId="0" xfId="0" applyNumberFormat="1" applyFont="1" applyAlignment="1">
      <alignment vertical="center" wrapText="1"/>
    </xf>
    <xf numFmtId="49" fontId="12" fillId="0" borderId="0" xfId="0" applyNumberFormat="1" applyFont="1" applyAlignment="1">
      <alignment horizontal="center" vertical="center"/>
    </xf>
    <xf numFmtId="49" fontId="12" fillId="18" borderId="0" xfId="0" applyNumberFormat="1" applyFont="1" applyFill="1" applyAlignment="1">
      <alignment vertical="center"/>
    </xf>
    <xf numFmtId="49" fontId="12" fillId="0" borderId="0" xfId="0" applyNumberFormat="1" applyFont="1">
      <alignment vertical="top"/>
    </xf>
    <xf numFmtId="0" fontId="22" fillId="0" borderId="0" xfId="0" applyNumberFormat="1" applyFont="1" applyAlignment="1">
      <alignment vertical="center"/>
    </xf>
    <xf numFmtId="0" fontId="12" fillId="17" borderId="0" xfId="0" applyNumberFormat="1" applyFont="1" applyFill="1" applyAlignment="1">
      <alignment horizontal="left" vertical="center"/>
    </xf>
    <xf numFmtId="49" fontId="23" fillId="16" borderId="0" xfId="0" applyNumberFormat="1" applyFont="1" applyFill="1" applyAlignment="1">
      <alignment horizontal="center" vertical="center"/>
    </xf>
    <xf numFmtId="49" fontId="24" fillId="19" borderId="23" xfId="0" applyNumberFormat="1" applyFont="1" applyFill="1" applyBorder="1" applyAlignment="1">
      <alignment horizontal="left" vertical="center" wrapText="1"/>
    </xf>
    <xf numFmtId="49" fontId="25" fillId="20" borderId="29" xfId="0" applyNumberFormat="1" applyFont="1" applyFill="1" applyBorder="1" applyAlignment="1">
      <alignment horizontal="left" vertical="center" wrapText="1" indent="1"/>
    </xf>
    <xf numFmtId="49" fontId="25" fillId="20" borderId="30" xfId="0" applyNumberFormat="1" applyFont="1" applyFill="1" applyBorder="1" applyAlignment="1">
      <alignment horizontal="left" vertical="center" wrapText="1" indent="1"/>
    </xf>
    <xf numFmtId="49" fontId="25" fillId="20" borderId="31" xfId="0" applyNumberFormat="1" applyFont="1" applyFill="1" applyBorder="1" applyAlignment="1">
      <alignment horizontal="left" vertical="center" wrapText="1" indent="1"/>
    </xf>
    <xf numFmtId="49" fontId="25" fillId="20" borderId="30" xfId="0" applyNumberFormat="1" applyFont="1" applyFill="1" applyBorder="1" applyAlignment="1">
      <alignment vertical="center" wrapText="1"/>
    </xf>
    <xf numFmtId="49" fontId="1" fillId="14" borderId="22" xfId="0" applyNumberFormat="1" applyFont="1" applyFill="1" applyBorder="1" applyAlignment="1">
      <alignment horizontal="left" vertical="center" wrapText="1" indent="1"/>
    </xf>
    <xf numFmtId="0" fontId="24" fillId="19" borderId="23" xfId="0" applyNumberFormat="1" applyFont="1" applyFill="1" applyBorder="1" applyAlignment="1">
      <alignment horizontal="left" vertical="center"/>
    </xf>
    <xf numFmtId="0" fontId="18" fillId="0" borderId="3" xfId="0" applyNumberFormat="1" applyFont="1" applyBorder="1" applyAlignment="1">
      <alignment horizontal="center" vertical="center" wrapText="1"/>
    </xf>
    <xf numFmtId="0" fontId="1" fillId="17" borderId="0" xfId="0" applyNumberFormat="1" applyFont="1" applyFill="1" applyAlignment="1">
      <alignment horizontal="left" vertical="center"/>
    </xf>
    <xf numFmtId="0" fontId="24" fillId="19" borderId="32" xfId="0" applyNumberFormat="1" applyFont="1" applyFill="1" applyBorder="1" applyAlignment="1">
      <alignment horizontal="left" vertical="center"/>
    </xf>
    <xf numFmtId="0" fontId="1" fillId="13" borderId="3" xfId="0" applyNumberFormat="1" applyFont="1" applyFill="1" applyBorder="1" applyAlignment="1">
      <alignment horizontal="center" vertical="center" wrapText="1"/>
    </xf>
    <xf numFmtId="49" fontId="25" fillId="20" borderId="33" xfId="0" applyNumberFormat="1" applyFont="1" applyFill="1" applyBorder="1" applyAlignment="1">
      <alignment horizontal="left" vertical="center" wrapText="1" indent="1"/>
    </xf>
    <xf numFmtId="4" fontId="1" fillId="14" borderId="2" xfId="0" applyNumberFormat="1" applyFont="1" applyFill="1" applyBorder="1" applyAlignment="1">
      <alignment horizontal="right" vertical="center"/>
    </xf>
    <xf numFmtId="0" fontId="26" fillId="0" borderId="24" xfId="0" applyNumberFormat="1" applyFont="1" applyBorder="1" applyAlignment="1">
      <alignment vertical="center"/>
    </xf>
    <xf numFmtId="0" fontId="26" fillId="0" borderId="24" xfId="0" applyNumberFormat="1" applyFont="1" applyBorder="1" applyAlignment="1"/>
    <xf numFmtId="0" fontId="9" fillId="0" borderId="24" xfId="0" applyNumberFormat="1" applyFont="1" applyBorder="1" applyAlignment="1">
      <alignment vertical="center" wrapText="1"/>
    </xf>
    <xf numFmtId="49" fontId="9" fillId="0" borderId="34" xfId="0" applyNumberFormat="1" applyFont="1" applyBorder="1" applyAlignment="1">
      <alignment horizontal="left" vertical="center" wrapText="1" indent="4"/>
    </xf>
    <xf numFmtId="49" fontId="9" fillId="0" borderId="0" xfId="0" applyNumberFormat="1" applyFont="1" applyAlignment="1">
      <alignment horizontal="left" vertical="center" wrapText="1" indent="4"/>
    </xf>
    <xf numFmtId="49" fontId="9" fillId="0" borderId="24" xfId="0" applyNumberFormat="1" applyFont="1" applyBorder="1" applyAlignment="1">
      <alignment vertical="center" wrapText="1"/>
    </xf>
    <xf numFmtId="0" fontId="1" fillId="0" borderId="2" xfId="0" applyNumberFormat="1" applyFont="1" applyBorder="1" applyAlignment="1">
      <alignment horizontal="left" vertical="center" wrapText="1" indent="1"/>
    </xf>
    <xf numFmtId="0" fontId="2" fillId="0" borderId="24" xfId="0" applyNumberFormat="1" applyFont="1" applyBorder="1" applyAlignment="1"/>
    <xf numFmtId="49" fontId="9" fillId="0" borderId="24" xfId="0" applyNumberFormat="1" applyFont="1" applyBorder="1" applyAlignment="1">
      <alignment horizontal="center" vertical="center" wrapText="1"/>
    </xf>
    <xf numFmtId="49" fontId="24" fillId="19" borderId="9" xfId="0" applyNumberFormat="1" applyFont="1" applyFill="1" applyBorder="1" applyAlignment="1">
      <alignment horizontal="left" vertical="center" wrapText="1"/>
    </xf>
    <xf numFmtId="0" fontId="8" fillId="0" borderId="3" xfId="0" applyNumberFormat="1" applyFont="1" applyBorder="1" applyAlignment="1">
      <alignment horizontal="center" vertical="center"/>
    </xf>
    <xf numFmtId="0" fontId="8" fillId="0" borderId="3" xfId="0" applyNumberFormat="1" applyFont="1" applyBorder="1" applyAlignment="1">
      <alignment vertical="center" wrapText="1"/>
    </xf>
    <xf numFmtId="4" fontId="8" fillId="14" borderId="3" xfId="0" applyNumberFormat="1" applyFont="1" applyFill="1" applyBorder="1" applyAlignment="1">
      <alignment horizontal="right" vertical="center"/>
    </xf>
    <xf numFmtId="4" fontId="1" fillId="12" borderId="3" xfId="0" applyNumberFormat="1" applyFont="1" applyFill="1" applyBorder="1" applyAlignment="1" applyProtection="1">
      <alignment horizontal="right" vertical="center"/>
      <protection locked="0"/>
    </xf>
    <xf numFmtId="4" fontId="8" fillId="0" borderId="3" xfId="0" applyNumberFormat="1" applyFont="1" applyBorder="1" applyAlignment="1">
      <alignment horizontal="right" vertical="center"/>
    </xf>
    <xf numFmtId="0" fontId="2" fillId="0" borderId="24" xfId="0" applyNumberFormat="1" applyFont="1" applyBorder="1" applyAlignment="1">
      <alignment vertical="center" wrapText="1"/>
    </xf>
    <xf numFmtId="49" fontId="8" fillId="0" borderId="3" xfId="0" applyNumberFormat="1" applyFont="1" applyBorder="1" applyAlignment="1">
      <alignment horizontal="center" vertical="center"/>
    </xf>
    <xf numFmtId="0" fontId="8"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xf>
    <xf numFmtId="0" fontId="1" fillId="0" borderId="3" xfId="0" applyNumberFormat="1" applyFont="1" applyBorder="1" applyAlignment="1">
      <alignment horizontal="left" vertical="center" wrapText="1" indent="1"/>
    </xf>
    <xf numFmtId="0" fontId="24" fillId="19" borderId="16" xfId="0" applyNumberFormat="1" applyFont="1" applyFill="1" applyBorder="1" applyAlignment="1">
      <alignment horizontal="left" vertical="center"/>
    </xf>
    <xf numFmtId="0" fontId="2" fillId="0" borderId="24" xfId="0" applyNumberFormat="1" applyFont="1" applyBorder="1" applyAlignment="1">
      <alignment vertical="center"/>
    </xf>
    <xf numFmtId="0" fontId="24" fillId="19" borderId="9" xfId="0" applyNumberFormat="1" applyFont="1" applyFill="1" applyBorder="1" applyAlignment="1">
      <alignment horizontal="left" vertical="center"/>
    </xf>
    <xf numFmtId="0" fontId="1" fillId="0" borderId="3" xfId="0" applyNumberFormat="1" applyFont="1" applyBorder="1" applyAlignment="1"/>
    <xf numFmtId="0" fontId="1" fillId="0" borderId="3" xfId="0" applyNumberFormat="1" applyFont="1" applyBorder="1" applyAlignment="1">
      <alignment horizontal="left" vertical="center" wrapText="1" indent="2"/>
    </xf>
    <xf numFmtId="4" fontId="8" fillId="12" borderId="3" xfId="0" applyNumberFormat="1" applyFont="1" applyFill="1" applyBorder="1" applyAlignment="1" applyProtection="1">
      <alignment horizontal="right" vertical="center"/>
      <protection locked="0"/>
    </xf>
    <xf numFmtId="0" fontId="6" fillId="0" borderId="24" xfId="0" applyNumberFormat="1" applyFont="1" applyBorder="1" applyAlignment="1">
      <alignment vertical="center"/>
    </xf>
    <xf numFmtId="0" fontId="6" fillId="0" borderId="3" xfId="0" applyNumberFormat="1" applyFont="1" applyBorder="1" applyAlignment="1"/>
    <xf numFmtId="4" fontId="9" fillId="14" borderId="3" xfId="0" applyNumberFormat="1" applyFont="1" applyFill="1" applyBorder="1" applyAlignment="1">
      <alignment horizontal="right" vertical="center" wrapText="1"/>
    </xf>
    <xf numFmtId="4" fontId="1" fillId="12" borderId="3" xfId="0" applyNumberFormat="1" applyFont="1" applyFill="1" applyBorder="1" applyAlignment="1" applyProtection="1">
      <alignment horizontal="right" vertical="center" wrapText="1"/>
      <protection locked="0"/>
    </xf>
    <xf numFmtId="4" fontId="6" fillId="12" borderId="3" xfId="0" applyNumberFormat="1" applyFont="1" applyFill="1" applyBorder="1" applyAlignment="1" applyProtection="1">
      <alignment horizontal="right" vertical="center" wrapText="1"/>
      <protection locked="0"/>
    </xf>
    <xf numFmtId="4" fontId="6" fillId="12" borderId="3" xfId="0" applyNumberFormat="1" applyFont="1" applyFill="1" applyBorder="1" applyAlignment="1" applyProtection="1">
      <alignment horizontal="right"/>
      <protection locked="0"/>
    </xf>
    <xf numFmtId="49" fontId="25" fillId="20" borderId="16" xfId="0" applyNumberFormat="1" applyFont="1" applyFill="1" applyBorder="1" applyAlignment="1">
      <alignment horizontal="left" vertical="center" wrapText="1" indent="1"/>
    </xf>
    <xf numFmtId="49" fontId="25" fillId="20" borderId="23" xfId="0" applyNumberFormat="1" applyFont="1" applyFill="1" applyBorder="1" applyAlignment="1">
      <alignment horizontal="left" vertical="center" wrapText="1" indent="1"/>
    </xf>
    <xf numFmtId="49" fontId="25" fillId="20" borderId="9" xfId="0" applyNumberFormat="1" applyFont="1" applyFill="1" applyBorder="1" applyAlignment="1">
      <alignment horizontal="left" vertical="center" wrapText="1" indent="1"/>
    </xf>
    <xf numFmtId="0" fontId="8" fillId="0" borderId="3" xfId="0" applyNumberFormat="1" applyFont="1" applyBorder="1" applyAlignment="1">
      <alignment horizontal="center" vertical="center" wrapText="1"/>
    </xf>
    <xf numFmtId="0" fontId="6" fillId="0" borderId="24" xfId="0" applyNumberFormat="1" applyFont="1" applyBorder="1" applyAlignment="1">
      <alignment vertical="center" wrapText="1"/>
    </xf>
    <xf numFmtId="0" fontId="6" fillId="0" borderId="24" xfId="0" applyNumberFormat="1" applyFont="1" applyBorder="1" applyAlignment="1"/>
    <xf numFmtId="4" fontId="9" fillId="14" borderId="3" xfId="0" applyNumberFormat="1" applyFont="1" applyFill="1" applyBorder="1" applyAlignment="1">
      <alignment horizontal="right" vertical="center"/>
    </xf>
    <xf numFmtId="4" fontId="6" fillId="14" borderId="3" xfId="0" applyNumberFormat="1" applyFont="1" applyFill="1" applyBorder="1" applyAlignment="1">
      <alignment horizontal="right" vertical="center"/>
    </xf>
    <xf numFmtId="4" fontId="6" fillId="12" borderId="3" xfId="0" applyNumberFormat="1" applyFont="1" applyFill="1" applyBorder="1" applyAlignment="1" applyProtection="1">
      <alignment horizontal="right" vertical="center"/>
      <protection locked="0"/>
    </xf>
    <xf numFmtId="0" fontId="6" fillId="0" borderId="3" xfId="0" applyNumberFormat="1" applyFont="1" applyBorder="1" applyAlignment="1">
      <alignment horizontal="center" vertical="center"/>
    </xf>
    <xf numFmtId="0" fontId="9" fillId="0" borderId="3" xfId="0" applyNumberFormat="1" applyFont="1" applyBorder="1" applyAlignment="1">
      <alignment vertical="center" wrapText="1"/>
    </xf>
    <xf numFmtId="49" fontId="6" fillId="0" borderId="3" xfId="0" applyNumberFormat="1" applyFont="1" applyBorder="1" applyAlignment="1">
      <alignment horizontal="center" vertical="center"/>
    </xf>
    <xf numFmtId="0" fontId="6" fillId="0" borderId="3" xfId="0" applyNumberFormat="1" applyFont="1" applyBorder="1" applyAlignment="1">
      <alignment horizontal="left" vertical="center" wrapText="1" indent="1"/>
    </xf>
    <xf numFmtId="0" fontId="6" fillId="0" borderId="3" xfId="0" applyNumberFormat="1" applyFont="1" applyBorder="1" applyAlignment="1">
      <alignment horizontal="left" vertical="center" wrapText="1" indent="2"/>
    </xf>
    <xf numFmtId="49" fontId="9" fillId="0" borderId="3"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0" xfId="0" applyNumberFormat="1" applyFont="1" applyAlignment="1"/>
    <xf numFmtId="0" fontId="24" fillId="19" borderId="35" xfId="0" applyNumberFormat="1" applyFont="1" applyFill="1" applyBorder="1" applyAlignment="1">
      <alignment horizontal="left" vertical="center"/>
    </xf>
    <xf numFmtId="0" fontId="24" fillId="19" borderId="36" xfId="0" applyNumberFormat="1" applyFont="1" applyFill="1" applyBorder="1" applyAlignment="1">
      <alignment horizontal="left" vertical="center"/>
    </xf>
    <xf numFmtId="0" fontId="6" fillId="0" borderId="16" xfId="0" applyNumberFormat="1" applyFont="1" applyBorder="1" applyAlignment="1">
      <alignment horizontal="center" vertical="center" wrapText="1"/>
    </xf>
    <xf numFmtId="49" fontId="1"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 fontId="16" fillId="14" borderId="3" xfId="0" applyNumberFormat="1" applyFont="1" applyFill="1" applyBorder="1" applyAlignment="1">
      <alignment horizontal="right" vertical="center" wrapText="1"/>
    </xf>
    <xf numFmtId="4" fontId="0" fillId="12" borderId="3" xfId="0" applyNumberFormat="1" applyFont="1" applyFill="1" applyBorder="1" applyAlignment="1" applyProtection="1">
      <alignment horizontal="right" vertical="center" wrapText="1"/>
      <protection locked="0"/>
    </xf>
    <xf numFmtId="49" fontId="19" fillId="0" borderId="24" xfId="0" applyNumberFormat="1" applyFont="1" applyBorder="1" applyAlignment="1">
      <alignment vertical="center"/>
    </xf>
    <xf numFmtId="0" fontId="24" fillId="19" borderId="37" xfId="0" applyNumberFormat="1" applyFont="1" applyFill="1" applyBorder="1" applyAlignment="1">
      <alignment horizontal="left" vertical="center"/>
    </xf>
    <xf numFmtId="0" fontId="24" fillId="19" borderId="0" xfId="0" applyNumberFormat="1" applyFont="1" applyFill="1" applyAlignment="1">
      <alignment horizontal="left" vertical="center"/>
    </xf>
    <xf numFmtId="0" fontId="6" fillId="0" borderId="0" xfId="0" applyNumberFormat="1" applyFont="1" applyAlignment="1">
      <alignment horizontal="left" vertical="center" wrapText="1"/>
    </xf>
    <xf numFmtId="0" fontId="6" fillId="0" borderId="38" xfId="0" applyNumberFormat="1" applyFont="1" applyBorder="1" applyAlignment="1">
      <alignment horizontal="center" vertical="center" wrapText="1"/>
    </xf>
    <xf numFmtId="4" fontId="1" fillId="14" borderId="3" xfId="0" applyNumberFormat="1" applyFont="1" applyFill="1" applyBorder="1" applyAlignment="1">
      <alignment horizontal="right" vertical="center"/>
    </xf>
    <xf numFmtId="49" fontId="12" fillId="21" borderId="0" xfId="0" applyNumberFormat="1" applyFont="1" applyFill="1" applyAlignment="1" applyProtection="1">
      <alignment vertical="center" wrapText="1"/>
      <protection locked="0"/>
    </xf>
    <xf numFmtId="49" fontId="25" fillId="20" borderId="30" xfId="0" applyNumberFormat="1" applyFont="1" applyFill="1" applyBorder="1" applyAlignment="1">
      <alignment horizontal="left" vertical="center" indent="1"/>
    </xf>
    <xf numFmtId="0" fontId="1" fillId="17" borderId="0" xfId="0" applyNumberFormat="1" applyFont="1" applyFill="1" applyAlignment="1">
      <alignment horizontal="left" vertical="center" wrapText="1"/>
    </xf>
    <xf numFmtId="49" fontId="25" fillId="20" borderId="39" xfId="0" applyNumberFormat="1" applyFont="1" applyFill="1" applyBorder="1" applyAlignment="1">
      <alignment horizontal="left" vertical="center" wrapText="1" indent="1"/>
    </xf>
    <xf numFmtId="49" fontId="25" fillId="20" borderId="40" xfId="0" applyNumberFormat="1" applyFont="1" applyFill="1" applyBorder="1" applyAlignment="1">
      <alignment horizontal="left" vertical="center" wrapText="1" indent="1"/>
    </xf>
    <xf numFmtId="49" fontId="25" fillId="20" borderId="39" xfId="0" applyNumberFormat="1" applyFont="1" applyFill="1" applyBorder="1" applyAlignment="1">
      <alignment horizontal="left" vertical="center" wrapText="1"/>
    </xf>
    <xf numFmtId="49" fontId="25" fillId="20" borderId="41" xfId="0" applyNumberFormat="1" applyFont="1" applyFill="1" applyBorder="1" applyAlignment="1">
      <alignment horizontal="left" vertical="center" wrapText="1"/>
    </xf>
    <xf numFmtId="0" fontId="1" fillId="22" borderId="0" xfId="0" applyNumberFormat="1" applyFont="1" applyFill="1" applyAlignment="1">
      <alignment horizontal="left" vertical="center" wrapText="1"/>
    </xf>
    <xf numFmtId="0" fontId="6" fillId="22" borderId="0" xfId="0" applyNumberFormat="1" applyFont="1" applyFill="1" applyAlignment="1">
      <alignment horizontal="center" vertical="center" wrapText="1"/>
    </xf>
    <xf numFmtId="4" fontId="1" fillId="22" borderId="0" xfId="0" applyNumberFormat="1" applyFont="1" applyFill="1" applyAlignment="1">
      <alignment horizontal="right" vertical="center"/>
    </xf>
    <xf numFmtId="49" fontId="27" fillId="22" borderId="16" xfId="0" applyNumberFormat="1" applyFont="1" applyFill="1" applyBorder="1" applyAlignment="1">
      <alignment horizontal="center" vertical="center" wrapText="1"/>
    </xf>
    <xf numFmtId="49" fontId="28" fillId="22" borderId="14" xfId="0" applyNumberFormat="1" applyFont="1" applyFill="1" applyBorder="1" applyAlignment="1">
      <alignment horizontal="left" vertical="center" indent="1"/>
    </xf>
    <xf numFmtId="49" fontId="1" fillId="22" borderId="42" xfId="0" applyNumberFormat="1" applyFont="1" applyFill="1" applyBorder="1" applyAlignment="1">
      <alignment horizontal="left" vertical="center" indent="1"/>
    </xf>
    <xf numFmtId="49" fontId="28" fillId="22" borderId="42" xfId="0" applyNumberFormat="1" applyFont="1" applyFill="1" applyBorder="1" applyAlignment="1">
      <alignment horizontal="left" vertical="center" indent="1"/>
    </xf>
    <xf numFmtId="0" fontId="6" fillId="20" borderId="9" xfId="0" applyNumberFormat="1" applyFont="1" applyFill="1" applyBorder="1" applyAlignment="1">
      <alignment vertical="center" wrapText="1"/>
    </xf>
    <xf numFmtId="169" fontId="28" fillId="22" borderId="42" xfId="0" applyNumberFormat="1" applyFont="1" applyFill="1" applyBorder="1" applyAlignment="1">
      <alignment horizontal="left" vertical="center" indent="1"/>
    </xf>
    <xf numFmtId="169" fontId="1" fillId="12" borderId="2" xfId="0" applyNumberFormat="1" applyFont="1" applyFill="1" applyBorder="1" applyAlignment="1" applyProtection="1">
      <alignment horizontal="right" vertical="center"/>
      <protection locked="0"/>
    </xf>
    <xf numFmtId="49" fontId="9" fillId="0" borderId="24" xfId="0" applyNumberFormat="1" applyFont="1" applyBorder="1" applyAlignment="1">
      <alignment horizontal="left" vertical="center" wrapText="1" indent="1"/>
    </xf>
    <xf numFmtId="0" fontId="8" fillId="14" borderId="14" xfId="0" applyNumberFormat="1" applyFont="1" applyFill="1" applyBorder="1" applyAlignment="1">
      <alignment horizontal="left" vertical="center" indent="1"/>
    </xf>
    <xf numFmtId="0" fontId="8" fillId="14" borderId="42" xfId="0" applyNumberFormat="1" applyFont="1" applyFill="1" applyBorder="1" applyAlignment="1">
      <alignment vertical="center" wrapText="1"/>
    </xf>
    <xf numFmtId="0" fontId="8" fillId="14" borderId="20" xfId="0" applyNumberFormat="1" applyFont="1" applyFill="1" applyBorder="1" applyAlignment="1">
      <alignment vertical="center" wrapText="1"/>
    </xf>
    <xf numFmtId="49" fontId="8" fillId="14" borderId="42" xfId="0" applyNumberFormat="1" applyFont="1" applyFill="1" applyBorder="1" applyAlignment="1">
      <alignment vertical="center" wrapText="1"/>
    </xf>
    <xf numFmtId="49" fontId="8" fillId="14" borderId="20" xfId="0" applyNumberFormat="1" applyFont="1" applyFill="1" applyBorder="1" applyAlignment="1">
      <alignment vertical="center" wrapText="1"/>
    </xf>
    <xf numFmtId="0" fontId="1" fillId="22" borderId="14" xfId="0" applyNumberFormat="1" applyFont="1" applyFill="1" applyBorder="1" applyAlignment="1">
      <alignment horizontal="left" vertical="center" wrapText="1"/>
    </xf>
    <xf numFmtId="0" fontId="1" fillId="22" borderId="42" xfId="0" applyNumberFormat="1" applyFont="1" applyFill="1" applyBorder="1" applyAlignment="1">
      <alignment horizontal="center" vertical="center"/>
    </xf>
    <xf numFmtId="0" fontId="1" fillId="22" borderId="42" xfId="0" applyNumberFormat="1" applyFont="1" applyFill="1" applyBorder="1" applyAlignment="1">
      <alignment horizontal="left" vertical="center" indent="1"/>
    </xf>
    <xf numFmtId="0" fontId="1" fillId="22" borderId="20" xfId="0" applyNumberFormat="1" applyFont="1" applyFill="1" applyBorder="1" applyAlignment="1">
      <alignment horizontal="left" vertical="center" indent="1"/>
    </xf>
    <xf numFmtId="0" fontId="9" fillId="0" borderId="0" xfId="0" applyNumberFormat="1" applyFont="1" applyAlignment="1">
      <alignment vertical="center"/>
    </xf>
    <xf numFmtId="0" fontId="8" fillId="0" borderId="2" xfId="0" applyNumberFormat="1" applyFont="1" applyBorder="1" applyAlignment="1">
      <alignment horizontal="center" vertical="center" wrapText="1"/>
    </xf>
    <xf numFmtId="4" fontId="9" fillId="12" borderId="2" xfId="0" applyNumberFormat="1" applyFont="1" applyFill="1" applyBorder="1" applyAlignment="1" applyProtection="1">
      <alignment horizontal="right" vertical="center"/>
      <protection locked="0"/>
    </xf>
    <xf numFmtId="4" fontId="8" fillId="14" borderId="2" xfId="0" applyNumberFormat="1" applyFont="1" applyFill="1" applyBorder="1" applyAlignment="1">
      <alignment vertical="center"/>
    </xf>
    <xf numFmtId="4" fontId="1" fillId="14" borderId="3" xfId="0" applyNumberFormat="1" applyFont="1" applyFill="1" applyBorder="1" applyAlignment="1">
      <alignment horizontal="right" vertical="center" wrapText="1"/>
    </xf>
    <xf numFmtId="4" fontId="1" fillId="14" borderId="2" xfId="0" applyNumberFormat="1" applyFont="1" applyFill="1" applyBorder="1" applyAlignment="1">
      <alignment vertical="center"/>
    </xf>
    <xf numFmtId="4" fontId="6" fillId="12" borderId="2" xfId="0" applyNumberFormat="1" applyFont="1" applyFill="1" applyBorder="1" applyAlignment="1" applyProtection="1">
      <alignment horizontal="right" vertical="center"/>
      <protection locked="0"/>
    </xf>
    <xf numFmtId="0" fontId="1" fillId="0" borderId="42" xfId="0" applyNumberFormat="1" applyFont="1" applyBorder="1" applyAlignment="1">
      <alignment horizontal="center" vertical="center"/>
    </xf>
    <xf numFmtId="0" fontId="1" fillId="0" borderId="42" xfId="0" applyNumberFormat="1" applyFont="1" applyBorder="1" applyAlignment="1">
      <alignment horizontal="left" vertical="center" indent="1"/>
    </xf>
    <xf numFmtId="0" fontId="1" fillId="0" borderId="20" xfId="0" applyNumberFormat="1" applyFont="1" applyBorder="1" applyAlignment="1">
      <alignment horizontal="left" vertical="center" indent="1"/>
    </xf>
    <xf numFmtId="0" fontId="1" fillId="0" borderId="0" xfId="0" applyNumberFormat="1" applyFont="1" applyAlignment="1">
      <alignment horizontal="left" vertical="center" wrapText="1"/>
    </xf>
    <xf numFmtId="0" fontId="1" fillId="0" borderId="0" xfId="0" applyNumberFormat="1" applyFont="1" applyAlignment="1">
      <alignment horizontal="center" vertical="center" wrapText="1"/>
    </xf>
    <xf numFmtId="4" fontId="6" fillId="0" borderId="3" xfId="0" applyNumberFormat="1" applyFont="1" applyBorder="1" applyAlignment="1">
      <alignment horizontal="right" vertical="center"/>
    </xf>
    <xf numFmtId="0" fontId="27" fillId="22" borderId="42" xfId="0" applyNumberFormat="1" applyFont="1" applyFill="1" applyBorder="1" applyAlignment="1">
      <alignment horizontal="left" vertical="center" indent="1"/>
    </xf>
    <xf numFmtId="4" fontId="29" fillId="19" borderId="23" xfId="0" applyNumberFormat="1" applyFont="1" applyFill="1" applyBorder="1" applyAlignment="1">
      <alignment horizontal="right" vertical="center"/>
    </xf>
    <xf numFmtId="169" fontId="6" fillId="12" borderId="3" xfId="0" applyNumberFormat="1" applyFont="1" applyFill="1" applyBorder="1" applyAlignment="1" applyProtection="1">
      <alignment horizontal="right" vertical="center"/>
      <protection locked="0"/>
    </xf>
    <xf numFmtId="169" fontId="6" fillId="14" borderId="3" xfId="0" applyNumberFormat="1" applyFont="1" applyFill="1" applyBorder="1" applyAlignment="1">
      <alignment horizontal="right" vertical="center"/>
    </xf>
    <xf numFmtId="0" fontId="6" fillId="20" borderId="23" xfId="0" applyNumberFormat="1" applyFont="1" applyFill="1" applyBorder="1" applyAlignment="1">
      <alignment vertical="center" wrapText="1"/>
    </xf>
    <xf numFmtId="0" fontId="6" fillId="20" borderId="23" xfId="0" applyNumberFormat="1" applyFont="1" applyFill="1" applyBorder="1" applyAlignment="1">
      <alignment vertical="center"/>
    </xf>
    <xf numFmtId="0" fontId="6" fillId="20" borderId="9" xfId="0" applyNumberFormat="1" applyFont="1" applyFill="1" applyBorder="1" applyAlignment="1">
      <alignment vertical="center"/>
    </xf>
    <xf numFmtId="0" fontId="6" fillId="20" borderId="30" xfId="0" applyNumberFormat="1" applyFont="1" applyFill="1" applyBorder="1" applyAlignment="1">
      <alignment vertical="center" wrapText="1"/>
    </xf>
    <xf numFmtId="169" fontId="1" fillId="14" borderId="2" xfId="0" applyNumberFormat="1" applyFont="1" applyFill="1" applyBorder="1" applyAlignment="1">
      <alignment horizontal="right" vertical="center"/>
    </xf>
    <xf numFmtId="169" fontId="6" fillId="12" borderId="3" xfId="0" applyNumberFormat="1" applyFont="1" applyFill="1" applyBorder="1" applyAlignment="1" applyProtection="1">
      <alignment horizontal="right" vertical="center" wrapText="1"/>
      <protection locked="0"/>
    </xf>
    <xf numFmtId="169" fontId="0" fillId="12" borderId="3" xfId="0" applyNumberFormat="1" applyFont="1" applyFill="1" applyBorder="1" applyAlignment="1" applyProtection="1">
      <alignment horizontal="right" vertical="center" wrapText="1"/>
      <protection locked="0"/>
    </xf>
    <xf numFmtId="0" fontId="8" fillId="0" borderId="24" xfId="0" quotePrefix="1" applyNumberFormat="1" applyFont="1" applyBorder="1" applyAlignment="1">
      <alignment horizontal="left" vertical="center" indent="1"/>
    </xf>
    <xf numFmtId="0" fontId="9" fillId="0" borderId="24" xfId="0" quotePrefix="1" applyNumberFormat="1" applyFont="1" applyBorder="1" applyAlignment="1">
      <alignment horizontal="left" vertical="center" indent="1"/>
    </xf>
    <xf numFmtId="49" fontId="9" fillId="0" borderId="24" xfId="0" quotePrefix="1" applyNumberFormat="1" applyFont="1" applyBorder="1" applyAlignment="1">
      <alignment horizontal="left" vertical="center" indent="1"/>
    </xf>
    <xf numFmtId="0" fontId="30" fillId="0" borderId="0" xfId="0" applyNumberFormat="1" applyFont="1" applyAlignment="1"/>
    <xf numFmtId="0" fontId="13" fillId="0" borderId="24" xfId="0" applyNumberFormat="1" applyFont="1" applyBorder="1" applyAlignment="1">
      <alignment horizontal="left" vertical="center" indent="1"/>
    </xf>
    <xf numFmtId="0" fontId="30" fillId="0" borderId="24" xfId="0" applyNumberFormat="1" applyFont="1" applyBorder="1" applyAlignment="1"/>
    <xf numFmtId="0" fontId="31" fillId="3" borderId="3" xfId="0" applyNumberFormat="1" applyFont="1" applyFill="1" applyBorder="1" applyAlignment="1">
      <alignment horizontal="center" vertical="center"/>
    </xf>
    <xf numFmtId="0" fontId="30" fillId="3" borderId="3" xfId="0" applyNumberFormat="1" applyFont="1" applyFill="1" applyBorder="1" applyAlignment="1">
      <alignment vertical="center"/>
    </xf>
    <xf numFmtId="0" fontId="30" fillId="3" borderId="3" xfId="0" applyNumberFormat="1" applyFont="1" applyFill="1" applyBorder="1" applyAlignment="1">
      <alignment vertical="center" wrapText="1"/>
    </xf>
    <xf numFmtId="0" fontId="30" fillId="0" borderId="0" xfId="0" applyNumberFormat="1" applyFont="1" applyAlignment="1">
      <alignment horizontal="left" vertical="center" indent="1"/>
    </xf>
    <xf numFmtId="169" fontId="1" fillId="14" borderId="2" xfId="0" applyNumberFormat="1" applyFont="1" applyFill="1" applyBorder="1" applyAlignment="1">
      <alignment vertical="center"/>
    </xf>
    <xf numFmtId="0" fontId="18" fillId="11" borderId="2" xfId="0" applyNumberFormat="1" applyFont="1" applyFill="1" applyBorder="1" applyAlignment="1" applyProtection="1">
      <alignment horizontal="left" vertical="center" wrapText="1" indent="1"/>
      <protection locked="0"/>
    </xf>
    <xf numFmtId="0" fontId="1" fillId="0" borderId="0" xfId="0" applyNumberFormat="1" applyFont="1" applyAlignment="1">
      <alignment horizontal="left" vertical="center"/>
    </xf>
    <xf numFmtId="49" fontId="9" fillId="0" borderId="24" xfId="0" applyNumberFormat="1" applyFont="1" applyBorder="1" applyAlignment="1">
      <alignment horizontal="left" vertical="center" wrapText="1" indent="4"/>
    </xf>
    <xf numFmtId="49" fontId="9" fillId="0" borderId="0" xfId="0" quotePrefix="1" applyNumberFormat="1" applyFont="1" applyAlignment="1">
      <alignment horizontal="left" vertical="center" wrapText="1" indent="4"/>
    </xf>
    <xf numFmtId="49" fontId="1" fillId="15" borderId="3" xfId="0" applyNumberFormat="1" applyFont="1" applyFill="1" applyBorder="1" applyAlignment="1">
      <alignment horizontal="center" vertical="center" wrapText="1"/>
    </xf>
    <xf numFmtId="0" fontId="1" fillId="0" borderId="3" xfId="0" applyNumberFormat="1" applyFont="1" applyBorder="1" applyAlignment="1">
      <alignment vertical="center" wrapText="1"/>
    </xf>
    <xf numFmtId="49" fontId="6" fillId="0" borderId="3" xfId="0" applyNumberFormat="1" applyFont="1" applyBorder="1" applyAlignment="1">
      <alignment horizontal="left" vertical="center" wrapText="1"/>
    </xf>
    <xf numFmtId="0" fontId="30" fillId="3" borderId="3" xfId="0" quotePrefix="1" applyNumberFormat="1" applyFont="1" applyFill="1" applyBorder="1" applyAlignment="1">
      <alignment vertical="center" wrapText="1"/>
    </xf>
    <xf numFmtId="0" fontId="6" fillId="0" borderId="43" xfId="0" applyNumberFormat="1" applyFont="1" applyBorder="1" applyAlignment="1">
      <alignment horizontal="center" vertical="center" wrapText="1"/>
    </xf>
    <xf numFmtId="0" fontId="6" fillId="0" borderId="14" xfId="0" applyNumberFormat="1" applyFont="1" applyBorder="1" applyAlignment="1">
      <alignment horizontal="center" vertical="center" wrapText="1"/>
    </xf>
    <xf numFmtId="0" fontId="6" fillId="0" borderId="17" xfId="0" applyNumberFormat="1" applyFont="1" applyBorder="1" applyAlignment="1">
      <alignment horizontal="center" vertical="center" wrapText="1"/>
    </xf>
    <xf numFmtId="0" fontId="1" fillId="0" borderId="0" xfId="0" applyNumberFormat="1" applyFont="1" applyAlignment="1">
      <alignment horizontal="left" vertical="center"/>
    </xf>
    <xf numFmtId="169" fontId="6" fillId="12" borderId="2" xfId="0" applyNumberFormat="1" applyFont="1" applyFill="1" applyBorder="1" applyAlignment="1" applyProtection="1">
      <alignment horizontal="right" vertical="center"/>
      <protection locked="0"/>
    </xf>
    <xf numFmtId="49" fontId="25" fillId="20" borderId="40" xfId="0" applyNumberFormat="1" applyFont="1" applyFill="1" applyBorder="1" applyAlignment="1">
      <alignment horizontal="left" vertical="center" wrapText="1"/>
    </xf>
    <xf numFmtId="0" fontId="1" fillId="0" borderId="2" xfId="0" applyNumberFormat="1" applyFont="1" applyBorder="1" applyAlignment="1">
      <alignment horizontal="left" vertical="center" wrapText="1" indent="2"/>
    </xf>
    <xf numFmtId="49" fontId="9" fillId="23" borderId="42" xfId="0" applyNumberFormat="1" applyFont="1" applyFill="1" applyBorder="1" applyAlignment="1">
      <alignment horizontal="left" vertical="center" wrapText="1"/>
    </xf>
    <xf numFmtId="49" fontId="9" fillId="23" borderId="20" xfId="0" applyNumberFormat="1" applyFont="1" applyFill="1" applyBorder="1" applyAlignment="1">
      <alignment horizontal="left" vertical="center" wrapText="1"/>
    </xf>
    <xf numFmtId="0" fontId="1" fillId="15" borderId="44" xfId="0" applyNumberFormat="1" applyFont="1" applyFill="1" applyBorder="1" applyAlignment="1">
      <alignment horizontal="center" vertical="center" wrapText="1"/>
    </xf>
    <xf numFmtId="4" fontId="8" fillId="14" borderId="3" xfId="0" applyNumberFormat="1" applyFont="1" applyFill="1" applyBorder="1" applyAlignment="1">
      <alignment horizontal="right" vertical="center" wrapText="1"/>
    </xf>
    <xf numFmtId="49" fontId="1"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0" fontId="32" fillId="0" borderId="0" xfId="0" applyNumberFormat="1" applyFont="1" applyAlignment="1">
      <alignment vertical="center" wrapText="1"/>
    </xf>
    <xf numFmtId="0" fontId="33"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vertical="center" wrapText="1"/>
    </xf>
    <xf numFmtId="0" fontId="33" fillId="0" borderId="0" xfId="0" applyNumberFormat="1" applyFont="1" applyAlignment="1">
      <alignment vertical="center" wrapText="1"/>
    </xf>
    <xf numFmtId="0" fontId="35" fillId="0" borderId="0" xfId="0" applyNumberFormat="1" applyFont="1" applyAlignment="1">
      <alignment vertical="center"/>
    </xf>
    <xf numFmtId="0" fontId="32"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Alignment="1">
      <alignment horizontal="center" vertical="center"/>
    </xf>
    <xf numFmtId="0" fontId="32" fillId="0" borderId="0" xfId="0" applyNumberFormat="1" applyFont="1" applyAlignment="1">
      <alignment horizontal="left" vertical="center" wrapText="1"/>
    </xf>
    <xf numFmtId="0" fontId="37" fillId="0" borderId="0" xfId="0" applyNumberFormat="1" applyFont="1" applyAlignment="1">
      <alignment vertical="center" wrapText="1"/>
    </xf>
    <xf numFmtId="0" fontId="37" fillId="0" borderId="0" xfId="0" applyNumberFormat="1" applyFont="1" applyAlignment="1">
      <alignment vertical="center"/>
    </xf>
    <xf numFmtId="0" fontId="1" fillId="14" borderId="3"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left" vertical="center" wrapText="1" indent="1"/>
      <protection locked="0"/>
    </xf>
    <xf numFmtId="0" fontId="1" fillId="12" borderId="2" xfId="0" applyNumberFormat="1" applyFont="1" applyFill="1" applyBorder="1" applyAlignment="1" applyProtection="1">
      <alignment horizontal="left" vertical="center" wrapText="1" indent="1"/>
      <protection locked="0"/>
    </xf>
    <xf numFmtId="49" fontId="6" fillId="11" borderId="2" xfId="0" applyNumberFormat="1" applyFont="1" applyFill="1" applyBorder="1" applyAlignment="1" applyProtection="1">
      <alignment horizontal="left" vertical="center" wrapText="1" indent="1"/>
      <protection locked="0"/>
    </xf>
    <xf numFmtId="49" fontId="6" fillId="14" borderId="2" xfId="0" applyNumberFormat="1" applyFont="1" applyFill="1" applyBorder="1" applyAlignment="1">
      <alignment horizontal="left" vertical="center" wrapText="1" indent="1"/>
    </xf>
    <xf numFmtId="0" fontId="24" fillId="0" borderId="0" xfId="0" applyNumberFormat="1" applyFont="1" applyAlignment="1">
      <alignment vertical="center"/>
    </xf>
    <xf numFmtId="49" fontId="1" fillId="0" borderId="20" xfId="0" applyNumberFormat="1" applyFont="1" applyBorder="1" applyAlignment="1">
      <alignment horizontal="right" vertical="center" wrapText="1" indent="1"/>
    </xf>
    <xf numFmtId="0" fontId="8" fillId="0" borderId="20" xfId="0" applyNumberFormat="1" applyFont="1" applyBorder="1" applyAlignment="1">
      <alignment horizontal="right" vertical="center" wrapText="1" indent="1"/>
    </xf>
    <xf numFmtId="0" fontId="9" fillId="0" borderId="2" xfId="0" applyNumberFormat="1" applyFont="1" applyBorder="1" applyAlignment="1">
      <alignment horizontal="left" vertical="center" wrapText="1" indent="1"/>
    </xf>
    <xf numFmtId="49" fontId="1" fillId="0" borderId="2" xfId="0" applyNumberFormat="1" applyFont="1" applyBorder="1" applyAlignment="1">
      <alignment horizontal="right" vertical="center" wrapText="1" indent="1"/>
    </xf>
    <xf numFmtId="49" fontId="25" fillId="20" borderId="41" xfId="0" applyNumberFormat="1" applyFont="1" applyFill="1" applyBorder="1" applyAlignment="1">
      <alignment horizontal="right" vertical="center" wrapText="1" indent="1"/>
    </xf>
    <xf numFmtId="0" fontId="6" fillId="14" borderId="2" xfId="0" applyNumberFormat="1" applyFont="1" applyFill="1" applyBorder="1" applyAlignment="1">
      <alignment horizontal="left" vertical="center" wrapText="1" indent="1"/>
    </xf>
    <xf numFmtId="0" fontId="1" fillId="14" borderId="2" xfId="0" applyNumberFormat="1" applyFont="1" applyFill="1" applyBorder="1" applyAlignment="1">
      <alignment horizontal="left" vertical="center" indent="1"/>
    </xf>
    <xf numFmtId="0" fontId="8" fillId="0" borderId="2" xfId="0" applyNumberFormat="1" applyFont="1" applyBorder="1" applyAlignment="1">
      <alignment horizontal="right" vertical="center" wrapText="1" indent="1"/>
    </xf>
    <xf numFmtId="0" fontId="9" fillId="14" borderId="2" xfId="0" applyNumberFormat="1" applyFont="1" applyFill="1" applyBorder="1" applyAlignment="1">
      <alignment horizontal="left" vertical="center" wrapText="1" indent="1"/>
    </xf>
    <xf numFmtId="49" fontId="6" fillId="12" borderId="2" xfId="0" applyNumberFormat="1" applyFont="1" applyFill="1" applyBorder="1" applyAlignment="1" applyProtection="1">
      <alignment horizontal="left" vertical="center" wrapText="1" indent="1"/>
      <protection locked="0"/>
    </xf>
    <xf numFmtId="49" fontId="38" fillId="12" borderId="2" xfId="0" applyNumberFormat="1" applyFont="1" applyFill="1" applyBorder="1" applyAlignment="1" applyProtection="1">
      <alignment horizontal="left" vertical="center" wrapText="1" indent="1"/>
      <protection locked="0"/>
    </xf>
    <xf numFmtId="49" fontId="1"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0" fontId="39" fillId="0" borderId="0" xfId="0" applyNumberFormat="1" applyFont="1" applyAlignment="1">
      <alignment vertical="center"/>
    </xf>
    <xf numFmtId="0" fontId="1" fillId="14" borderId="3" xfId="0" applyNumberFormat="1" applyFont="1" applyFill="1" applyBorder="1" applyAlignment="1">
      <alignment horizontal="left" vertical="center" wrapText="1" indent="1"/>
    </xf>
    <xf numFmtId="49" fontId="9" fillId="23" borderId="14" xfId="0" applyNumberFormat="1" applyFont="1" applyFill="1" applyBorder="1" applyAlignment="1">
      <alignment horizontal="left" vertical="center"/>
    </xf>
    <xf numFmtId="0" fontId="24" fillId="19" borderId="32" xfId="0" applyNumberFormat="1" applyFont="1" applyFill="1" applyBorder="1" applyAlignment="1">
      <alignment horizontal="left" vertical="center" indent="1"/>
    </xf>
    <xf numFmtId="0" fontId="1" fillId="14" borderId="3" xfId="0" applyNumberFormat="1" applyFont="1" applyFill="1" applyBorder="1" applyAlignment="1">
      <alignment horizontal="left" vertical="center" wrapText="1"/>
    </xf>
    <xf numFmtId="49" fontId="38" fillId="12" borderId="2" xfId="0" applyNumberFormat="1" applyFont="1" applyFill="1" applyBorder="1" applyAlignment="1">
      <alignment horizontal="left" vertical="center" wrapText="1" indent="1"/>
    </xf>
    <xf numFmtId="49" fontId="1" fillId="12"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0" fontId="1" fillId="14" borderId="3" xfId="0" applyNumberFormat="1" applyFont="1" applyFill="1" applyBorder="1" applyAlignment="1">
      <alignment horizontal="left" vertical="center" wrapText="1" indent="1"/>
    </xf>
    <xf numFmtId="49" fontId="1" fillId="0" borderId="2" xfId="0" applyNumberFormat="1" applyFont="1" applyBorder="1" applyAlignment="1">
      <alignment horizontal="left" vertical="center" wrapText="1" indent="1"/>
    </xf>
    <xf numFmtId="14" fontId="6" fillId="0" borderId="2" xfId="0" applyNumberFormat="1" applyFont="1" applyBorder="1" applyAlignment="1">
      <alignment horizontal="left" vertical="center" wrapText="1" indent="1"/>
    </xf>
    <xf numFmtId="49" fontId="38" fillId="0" borderId="2" xfId="0" applyNumberFormat="1" applyFont="1" applyBorder="1" applyAlignment="1">
      <alignment horizontal="left" vertical="center" wrapText="1" indent="1"/>
    </xf>
    <xf numFmtId="49" fontId="6" fillId="0" borderId="2" xfId="0" applyNumberFormat="1" applyFont="1" applyBorder="1" applyAlignment="1">
      <alignment horizontal="left" vertical="center" wrapText="1" indent="1"/>
    </xf>
    <xf numFmtId="49" fontId="25" fillId="0" borderId="41" xfId="0" applyNumberFormat="1" applyFont="1" applyBorder="1" applyAlignment="1">
      <alignment horizontal="left" vertical="center" wrapText="1"/>
    </xf>
    <xf numFmtId="49" fontId="25" fillId="0" borderId="39" xfId="0" applyNumberFormat="1" applyFont="1" applyBorder="1" applyAlignment="1">
      <alignment horizontal="left" vertical="center" wrapText="1"/>
    </xf>
    <xf numFmtId="49" fontId="25" fillId="0" borderId="40" xfId="0" applyNumberFormat="1" applyFont="1" applyBorder="1" applyAlignment="1">
      <alignment horizontal="left" vertical="center" wrapText="1"/>
    </xf>
    <xf numFmtId="49" fontId="1" fillId="14" borderId="3" xfId="0" applyNumberFormat="1" applyFont="1" applyFill="1" applyBorder="1" applyAlignment="1">
      <alignment horizontal="left" vertical="center" wrapText="1" indent="1"/>
    </xf>
    <xf numFmtId="49" fontId="1" fillId="0" borderId="2" xfId="0" applyNumberFormat="1" applyFont="1" applyBorder="1" applyAlignment="1">
      <alignment horizontal="center" vertical="center"/>
    </xf>
    <xf numFmtId="49" fontId="8" fillId="13" borderId="15" xfId="0" applyNumberFormat="1" applyFont="1" applyFill="1" applyBorder="1" applyAlignment="1">
      <alignment horizontal="left" vertical="center" wrapText="1"/>
    </xf>
    <xf numFmtId="49" fontId="8" fillId="13" borderId="2" xfId="0" applyNumberFormat="1" applyFont="1" applyFill="1" applyBorder="1" applyAlignment="1">
      <alignment horizontal="center" vertical="center" wrapText="1"/>
    </xf>
    <xf numFmtId="4" fontId="1" fillId="12" borderId="2" xfId="0" applyNumberFormat="1" applyFont="1" applyFill="1" applyBorder="1" applyAlignment="1" applyProtection="1">
      <alignment horizontal="right" vertical="center" wrapText="1"/>
      <protection locked="0"/>
    </xf>
    <xf numFmtId="4" fontId="1" fillId="12" borderId="12" xfId="0" applyNumberFormat="1" applyFont="1" applyFill="1" applyBorder="1" applyAlignment="1" applyProtection="1">
      <alignment horizontal="right" vertical="center" wrapText="1"/>
      <protection locked="0"/>
    </xf>
    <xf numFmtId="4" fontId="1" fillId="14" borderId="2" xfId="0" applyNumberFormat="1" applyFont="1" applyFill="1" applyBorder="1" applyAlignment="1">
      <alignment horizontal="right" vertical="center" wrapText="1"/>
    </xf>
    <xf numFmtId="49" fontId="1" fillId="13"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1" fillId="11" borderId="3" xfId="0" applyNumberFormat="1" applyFont="1" applyFill="1" applyBorder="1" applyAlignment="1" applyProtection="1">
      <alignment horizontal="left" vertical="center" wrapText="1" indent="1"/>
      <protection locked="0"/>
    </xf>
    <xf numFmtId="49" fontId="1" fillId="0" borderId="11" xfId="0" applyNumberFormat="1" applyFont="1" applyBorder="1" applyAlignment="1">
      <alignment horizontal="center" vertical="center" wrapText="1"/>
    </xf>
    <xf numFmtId="0" fontId="6" fillId="0" borderId="0" xfId="0" applyNumberFormat="1" applyFont="1" applyAlignment="1">
      <alignment vertical="center"/>
    </xf>
    <xf numFmtId="49" fontId="9" fillId="0" borderId="24" xfId="0" quotePrefix="1" applyNumberFormat="1" applyFont="1" applyBorder="1" applyAlignment="1">
      <alignment horizontal="left" vertical="center"/>
    </xf>
    <xf numFmtId="49" fontId="25" fillId="20" borderId="16" xfId="0" applyNumberFormat="1" applyFont="1" applyFill="1" applyBorder="1" applyAlignment="1">
      <alignment horizontal="left" vertical="center" wrapText="1"/>
    </xf>
    <xf numFmtId="49" fontId="1" fillId="0" borderId="14" xfId="0" applyNumberFormat="1" applyFont="1" applyBorder="1" applyAlignment="1">
      <alignment horizontal="left" vertical="center" wrapText="1" indent="1"/>
    </xf>
    <xf numFmtId="49" fontId="8" fillId="0" borderId="2" xfId="0" applyNumberFormat="1" applyFont="1" applyBorder="1" applyAlignment="1">
      <alignment horizontal="center" vertical="center"/>
    </xf>
    <xf numFmtId="0" fontId="40" fillId="0" borderId="16" xfId="0" applyNumberFormat="1" applyFont="1" applyBorder="1" applyAlignment="1"/>
    <xf numFmtId="0" fontId="40" fillId="0" borderId="23" xfId="0" applyNumberFormat="1" applyFont="1" applyBorder="1" applyAlignment="1"/>
    <xf numFmtId="0" fontId="40" fillId="0" borderId="9" xfId="0" applyNumberFormat="1" applyFont="1" applyBorder="1" applyAlignment="1"/>
    <xf numFmtId="0" fontId="40" fillId="0" borderId="35" xfId="0" applyNumberFormat="1" applyFont="1" applyBorder="1" applyAlignment="1"/>
    <xf numFmtId="0" fontId="6" fillId="0" borderId="2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6" fillId="13" borderId="23" xfId="0" applyNumberFormat="1" applyFont="1" applyFill="1" applyBorder="1" applyAlignment="1">
      <alignment horizontal="center" vertical="center" wrapText="1"/>
    </xf>
    <xf numFmtId="49" fontId="1" fillId="0" borderId="11" xfId="0" applyNumberFormat="1" applyFont="1" applyBorder="1" applyAlignment="1">
      <alignment horizontal="center" vertical="center"/>
    </xf>
    <xf numFmtId="0" fontId="6" fillId="0" borderId="9" xfId="0" applyNumberFormat="1" applyFont="1" applyBorder="1" applyAlignment="1">
      <alignment horizontal="center" vertical="center" wrapText="1"/>
    </xf>
    <xf numFmtId="4" fontId="6" fillId="14" borderId="9" xfId="0" applyNumberFormat="1" applyFont="1" applyFill="1" applyBorder="1" applyAlignment="1">
      <alignment horizontal="right" vertical="center"/>
    </xf>
    <xf numFmtId="0" fontId="1" fillId="0" borderId="23" xfId="0" applyNumberFormat="1" applyFont="1" applyBorder="1" applyAlignment="1">
      <alignment horizontal="center" vertical="center"/>
    </xf>
    <xf numFmtId="0" fontId="6" fillId="0" borderId="8"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6" fillId="0" borderId="36" xfId="0" applyNumberFormat="1" applyFont="1" applyBorder="1" applyAlignment="1">
      <alignment horizontal="center" vertical="center" wrapText="1"/>
    </xf>
    <xf numFmtId="0" fontId="6" fillId="13" borderId="36" xfId="0" applyNumberFormat="1" applyFont="1" applyFill="1" applyBorder="1" applyAlignment="1">
      <alignment horizontal="center" vertical="center" wrapText="1"/>
    </xf>
    <xf numFmtId="0" fontId="1" fillId="15" borderId="0" xfId="0" applyNumberFormat="1" applyFont="1" applyFill="1" applyAlignment="1">
      <alignment horizontal="center" vertical="center" wrapText="1"/>
    </xf>
    <xf numFmtId="0" fontId="6" fillId="0" borderId="32" xfId="0" applyNumberFormat="1" applyFont="1" applyBorder="1" applyAlignment="1">
      <alignment horizontal="center" vertical="center" wrapText="1"/>
    </xf>
    <xf numFmtId="4" fontId="1" fillId="14" borderId="12" xfId="0" applyNumberFormat="1" applyFont="1" applyFill="1" applyBorder="1" applyAlignment="1">
      <alignment horizontal="right" vertical="center" wrapText="1"/>
    </xf>
    <xf numFmtId="49" fontId="8" fillId="0" borderId="15" xfId="0" applyNumberFormat="1" applyFont="1" applyBorder="1" applyAlignment="1">
      <alignment horizontal="left" vertical="center" wrapText="1"/>
    </xf>
    <xf numFmtId="49" fontId="1" fillId="0" borderId="2" xfId="0" applyNumberFormat="1" applyFont="1" applyBorder="1" applyAlignment="1">
      <alignment horizontal="left" vertical="center" wrapText="1" indent="2"/>
    </xf>
    <xf numFmtId="0" fontId="11" fillId="0" borderId="0" xfId="0" applyNumberFormat="1" applyFont="1" applyAlignment="1">
      <alignment vertical="center"/>
    </xf>
    <xf numFmtId="49" fontId="41" fillId="0" borderId="24" xfId="0" applyNumberFormat="1" applyFont="1" applyBorder="1" applyAlignment="1">
      <alignment vertical="center" wrapText="1"/>
    </xf>
    <xf numFmtId="0" fontId="11" fillId="0" borderId="0" xfId="0" applyNumberFormat="1" applyFont="1" applyAlignment="1">
      <alignment vertical="center" wrapText="1"/>
    </xf>
    <xf numFmtId="0" fontId="11" fillId="0" borderId="36" xfId="0" applyNumberFormat="1" applyFont="1" applyBorder="1" applyAlignment="1">
      <alignment horizontal="left" vertical="center"/>
    </xf>
    <xf numFmtId="0" fontId="11" fillId="0" borderId="30" xfId="0" applyNumberFormat="1" applyFont="1" applyBorder="1" applyAlignment="1">
      <alignment vertical="center" wrapText="1"/>
    </xf>
    <xf numFmtId="49" fontId="1" fillId="0" borderId="0" xfId="0" applyNumberFormat="1" applyFont="1" applyAlignment="1"/>
    <xf numFmtId="49" fontId="1" fillId="0" borderId="0" xfId="0" applyNumberFormat="1" applyFont="1" applyAlignment="1"/>
    <xf numFmtId="49" fontId="1" fillId="0" borderId="0" xfId="0" applyNumberFormat="1" applyFont="1" applyAlignment="1">
      <alignment vertical="center"/>
    </xf>
    <xf numFmtId="49" fontId="6" fillId="0" borderId="0" xfId="0" applyNumberFormat="1" applyFont="1" applyAlignment="1">
      <alignment vertical="center"/>
    </xf>
    <xf numFmtId="49"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xf numFmtId="4" fontId="6" fillId="14" borderId="21" xfId="0" applyNumberFormat="1" applyFont="1" applyFill="1" applyBorder="1" applyAlignment="1">
      <alignment horizontal="right" vertical="center"/>
    </xf>
    <xf numFmtId="4" fontId="6" fillId="14" borderId="7" xfId="0" applyNumberFormat="1" applyFont="1" applyFill="1" applyBorder="1" applyAlignment="1">
      <alignment horizontal="right" vertical="center"/>
    </xf>
    <xf numFmtId="0" fontId="18" fillId="13" borderId="0" xfId="0" applyNumberFormat="1" applyFont="1" applyFill="1" applyAlignment="1">
      <alignment vertical="center"/>
    </xf>
    <xf numFmtId="49" fontId="1" fillId="13" borderId="15" xfId="0" applyNumberFormat="1" applyFont="1" applyFill="1" applyBorder="1" applyAlignment="1">
      <alignment horizontal="left" vertical="center" wrapText="1" indent="1"/>
    </xf>
    <xf numFmtId="4" fontId="1" fillId="14" borderId="9" xfId="0" applyNumberFormat="1" applyFont="1" applyFill="1" applyBorder="1" applyAlignment="1">
      <alignment horizontal="right" vertical="center" wrapText="1"/>
    </xf>
    <xf numFmtId="49" fontId="1" fillId="0" borderId="12" xfId="0" applyNumberFormat="1" applyFont="1" applyBorder="1" applyAlignment="1">
      <alignment horizontal="center" vertical="center" wrapText="1"/>
    </xf>
    <xf numFmtId="49" fontId="1" fillId="0" borderId="15" xfId="0" applyNumberFormat="1" applyFont="1" applyBorder="1" applyAlignment="1">
      <alignment horizontal="left" vertical="center" wrapText="1" indent="1"/>
    </xf>
    <xf numFmtId="49" fontId="1" fillId="0" borderId="3" xfId="0" applyNumberFormat="1" applyFont="1" applyBorder="1" applyAlignment="1">
      <alignment horizontal="center" vertical="center" wrapText="1"/>
    </xf>
    <xf numFmtId="49" fontId="1" fillId="0" borderId="3" xfId="0" applyNumberFormat="1" applyFont="1" applyBorder="1" applyAlignment="1">
      <alignment horizontal="left" vertical="center" wrapText="1" indent="2"/>
    </xf>
    <xf numFmtId="4" fontId="1" fillId="12" borderId="15" xfId="0" applyNumberFormat="1" applyFont="1" applyFill="1" applyBorder="1" applyAlignment="1" applyProtection="1">
      <alignment horizontal="right" vertical="center" wrapText="1"/>
      <protection locked="0"/>
    </xf>
    <xf numFmtId="0" fontId="1" fillId="0" borderId="20" xfId="0" applyNumberFormat="1" applyFont="1" applyBorder="1" applyAlignment="1">
      <alignment horizontal="left" vertical="center" wrapText="1" indent="2"/>
    </xf>
    <xf numFmtId="4" fontId="1" fillId="12" borderId="13" xfId="0" applyNumberFormat="1" applyFont="1" applyFill="1" applyBorder="1" applyAlignment="1" applyProtection="1">
      <alignment horizontal="right" vertical="center" wrapText="1"/>
      <protection locked="0"/>
    </xf>
    <xf numFmtId="49" fontId="8" fillId="0" borderId="2" xfId="0" applyNumberFormat="1" applyFont="1" applyBorder="1" applyAlignment="1">
      <alignment horizontal="center" vertical="center" wrapText="1"/>
    </xf>
    <xf numFmtId="49" fontId="8" fillId="0" borderId="14" xfId="0" applyNumberFormat="1" applyFont="1" applyBorder="1" applyAlignment="1">
      <alignment horizontal="left" vertical="center" wrapText="1"/>
    </xf>
    <xf numFmtId="49" fontId="8" fillId="13" borderId="14" xfId="0" applyNumberFormat="1" applyFont="1" applyFill="1" applyBorder="1" applyAlignment="1">
      <alignment horizontal="left" vertical="center" wrapText="1"/>
    </xf>
    <xf numFmtId="10" fontId="1" fillId="14" borderId="2" xfId="0" applyNumberFormat="1" applyFont="1" applyFill="1" applyBorder="1" applyAlignment="1">
      <alignment horizontal="right" vertical="center" wrapText="1"/>
    </xf>
    <xf numFmtId="49" fontId="1" fillId="0" borderId="45" xfId="0" applyNumberFormat="1" applyFont="1" applyBorder="1" applyAlignment="1">
      <alignment horizontal="center" vertical="center"/>
    </xf>
    <xf numFmtId="49" fontId="1" fillId="0" borderId="43" xfId="0" applyNumberFormat="1" applyFont="1" applyBorder="1" applyAlignment="1">
      <alignment horizontal="left" vertical="center" indent="1"/>
    </xf>
    <xf numFmtId="49" fontId="1" fillId="0" borderId="15"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25" fillId="20" borderId="36" xfId="0" applyNumberFormat="1" applyFont="1" applyFill="1" applyBorder="1" applyAlignment="1">
      <alignment horizontal="left" vertical="center" wrapText="1" indent="1"/>
    </xf>
    <xf numFmtId="49" fontId="24" fillId="19" borderId="36" xfId="0" applyNumberFormat="1" applyFont="1" applyFill="1" applyBorder="1" applyAlignment="1">
      <alignment horizontal="left" vertical="center" wrapText="1"/>
    </xf>
    <xf numFmtId="49" fontId="1" fillId="0" borderId="16" xfId="0" applyNumberFormat="1" applyFont="1" applyBorder="1" applyAlignment="1">
      <alignment horizontal="center" vertical="center"/>
    </xf>
    <xf numFmtId="0" fontId="1" fillId="0" borderId="46" xfId="0" applyNumberFormat="1" applyFont="1" applyBorder="1" applyAlignment="1">
      <alignment horizontal="center" vertical="center"/>
    </xf>
    <xf numFmtId="49" fontId="1" fillId="0" borderId="16" xfId="0" applyNumberFormat="1" applyFont="1" applyBorder="1" applyAlignment="1">
      <alignment horizontal="center" vertical="center" wrapText="1"/>
    </xf>
    <xf numFmtId="49" fontId="1" fillId="0" borderId="3" xfId="0" applyNumberFormat="1" applyFont="1" applyBorder="1" applyAlignment="1">
      <alignment horizontal="left" vertical="center" wrapText="1" indent="3"/>
    </xf>
    <xf numFmtId="49" fontId="1" fillId="0" borderId="47" xfId="0" applyNumberFormat="1" applyFont="1" applyBorder="1" applyAlignment="1">
      <alignment horizontal="left" vertical="center" wrapText="1" indent="2"/>
    </xf>
    <xf numFmtId="4" fontId="1" fillId="12" borderId="6" xfId="0" applyNumberFormat="1" applyFont="1" applyFill="1" applyBorder="1" applyAlignment="1" applyProtection="1">
      <alignment horizontal="right" vertical="center"/>
      <protection locked="0"/>
    </xf>
    <xf numFmtId="4" fontId="1" fillId="12" borderId="8" xfId="0" applyNumberFormat="1" applyFont="1" applyFill="1" applyBorder="1" applyAlignment="1" applyProtection="1">
      <alignment horizontal="right" vertical="center"/>
      <protection locked="0"/>
    </xf>
    <xf numFmtId="4" fontId="1" fillId="12" borderId="9" xfId="0" applyNumberFormat="1" applyFont="1" applyFill="1" applyBorder="1" applyAlignment="1" applyProtection="1">
      <alignment horizontal="right" vertical="center"/>
      <protection locked="0"/>
    </xf>
    <xf numFmtId="4" fontId="8" fillId="0" borderId="9" xfId="0" applyNumberFormat="1" applyFont="1" applyBorder="1" applyAlignment="1">
      <alignment horizontal="right" vertical="center"/>
    </xf>
    <xf numFmtId="49" fontId="25" fillId="20" borderId="32" xfId="0" applyNumberFormat="1" applyFont="1" applyFill="1" applyBorder="1" applyAlignment="1">
      <alignment horizontal="left" vertical="center" wrapText="1" indent="1"/>
    </xf>
    <xf numFmtId="49" fontId="25" fillId="20" borderId="35" xfId="0" applyNumberFormat="1" applyFont="1" applyFill="1" applyBorder="1" applyAlignment="1">
      <alignment horizontal="left" vertical="center" wrapText="1" indent="1"/>
    </xf>
    <xf numFmtId="0" fontId="1" fillId="0" borderId="3" xfId="0" applyNumberFormat="1" applyFont="1" applyBorder="1" applyAlignment="1">
      <alignment horizontal="left" vertical="center" wrapText="1" indent="3"/>
    </xf>
    <xf numFmtId="4" fontId="1" fillId="14" borderId="9" xfId="0" applyNumberFormat="1" applyFont="1" applyFill="1" applyBorder="1" applyAlignment="1">
      <alignment horizontal="right" vertical="center"/>
    </xf>
    <xf numFmtId="4" fontId="1" fillId="12" borderId="7" xfId="0" applyNumberFormat="1" applyFont="1" applyFill="1" applyBorder="1" applyAlignment="1" applyProtection="1">
      <alignment horizontal="right" vertical="center" wrapText="1"/>
      <protection locked="0"/>
    </xf>
    <xf numFmtId="49" fontId="8" fillId="15" borderId="3" xfId="0" applyNumberFormat="1" applyFont="1" applyFill="1" applyBorder="1" applyAlignment="1">
      <alignment horizontal="left" vertical="center" wrapText="1"/>
    </xf>
    <xf numFmtId="49" fontId="8" fillId="15" borderId="16" xfId="0" applyNumberFormat="1" applyFont="1" applyFill="1" applyBorder="1" applyAlignment="1">
      <alignment horizontal="left" vertical="center" wrapText="1"/>
    </xf>
    <xf numFmtId="0" fontId="1" fillId="0" borderId="17" xfId="0" applyNumberFormat="1" applyFont="1" applyBorder="1" applyAlignment="1">
      <alignment horizontal="center" vertical="center" wrapText="1"/>
    </xf>
    <xf numFmtId="0" fontId="18" fillId="17" borderId="0" xfId="0" applyNumberFormat="1" applyFont="1" applyFill="1" applyAlignment="1"/>
    <xf numFmtId="49" fontId="8" fillId="0" borderId="14" xfId="0" applyNumberFormat="1" applyFont="1" applyBorder="1" applyAlignment="1">
      <alignment horizontal="left" vertical="center"/>
    </xf>
    <xf numFmtId="49" fontId="8" fillId="0" borderId="14" xfId="0" applyNumberFormat="1" applyFont="1" applyBorder="1" applyAlignment="1">
      <alignment vertical="center"/>
    </xf>
    <xf numFmtId="0" fontId="1" fillId="14" borderId="3" xfId="0" applyNumberFormat="1" applyFont="1" applyFill="1" applyBorder="1" applyAlignment="1">
      <alignment horizontal="left" vertical="center" wrapText="1" indent="2"/>
    </xf>
    <xf numFmtId="0" fontId="1" fillId="0" borderId="3" xfId="0" applyNumberFormat="1" applyFont="1" applyBorder="1" applyAlignment="1">
      <alignment horizontal="left" vertical="center" wrapText="1" indent="4"/>
    </xf>
    <xf numFmtId="0" fontId="1" fillId="0" borderId="3" xfId="0" applyNumberFormat="1" applyFont="1" applyBorder="1" applyAlignment="1">
      <alignment horizontal="left" vertical="center" indent="4"/>
    </xf>
    <xf numFmtId="49" fontId="24" fillId="19" borderId="32" xfId="0" applyNumberFormat="1" applyFont="1" applyFill="1" applyBorder="1" applyAlignment="1">
      <alignment horizontal="left" vertical="center" wrapText="1"/>
    </xf>
    <xf numFmtId="0" fontId="8" fillId="0" borderId="16" xfId="0" applyNumberFormat="1" applyFont="1" applyBorder="1" applyAlignment="1">
      <alignment horizontal="center" vertical="center"/>
    </xf>
    <xf numFmtId="0" fontId="1" fillId="0" borderId="16" xfId="0" applyNumberFormat="1" applyFont="1" applyBorder="1" applyAlignment="1">
      <alignment horizontal="center" vertical="center"/>
    </xf>
    <xf numFmtId="4" fontId="1" fillId="12" borderId="10" xfId="0" applyNumberFormat="1" applyFont="1" applyFill="1" applyBorder="1" applyAlignment="1" applyProtection="1">
      <alignment horizontal="right" vertical="center"/>
      <protection locked="0"/>
    </xf>
    <xf numFmtId="4" fontId="8" fillId="14" borderId="12" xfId="0" applyNumberFormat="1" applyFont="1" applyFill="1" applyBorder="1" applyAlignment="1">
      <alignment horizontal="right" vertical="center"/>
    </xf>
    <xf numFmtId="49" fontId="7" fillId="15" borderId="3" xfId="0" applyNumberFormat="1" applyFont="1" applyFill="1" applyBorder="1" applyAlignment="1">
      <alignment vertical="center" wrapText="1"/>
    </xf>
    <xf numFmtId="4" fontId="7" fillId="15" borderId="3" xfId="0" applyNumberFormat="1" applyFont="1" applyFill="1" applyBorder="1" applyAlignment="1">
      <alignment vertical="center" wrapText="1"/>
    </xf>
    <xf numFmtId="4" fontId="7" fillId="14" borderId="3" xfId="0" applyNumberFormat="1" applyFont="1" applyFill="1" applyBorder="1" applyAlignment="1">
      <alignment vertical="center" wrapText="1"/>
    </xf>
    <xf numFmtId="4" fontId="7" fillId="0" borderId="3" xfId="0" applyNumberFormat="1" applyFont="1" applyBorder="1" applyAlignment="1">
      <alignment vertical="center" wrapText="1"/>
    </xf>
    <xf numFmtId="4" fontId="7" fillId="12" borderId="3" xfId="0" applyNumberFormat="1" applyFont="1" applyFill="1" applyBorder="1" applyAlignment="1" applyProtection="1">
      <alignment vertical="center" wrapText="1"/>
      <protection locked="0"/>
    </xf>
    <xf numFmtId="4" fontId="10" fillId="14" borderId="3" xfId="0" applyNumberFormat="1" applyFont="1" applyFill="1" applyBorder="1" applyAlignment="1">
      <alignment vertical="center" wrapText="1"/>
    </xf>
    <xf numFmtId="49" fontId="1" fillId="0" borderId="10" xfId="0" applyNumberFormat="1" applyFont="1" applyBorder="1" applyAlignment="1">
      <alignment horizontal="left" vertical="center" wrapText="1" indent="1"/>
    </xf>
    <xf numFmtId="49" fontId="1" fillId="0" borderId="36" xfId="0" applyNumberFormat="1" applyFont="1" applyBorder="1" applyAlignment="1">
      <alignment horizontal="center" vertical="center" wrapText="1"/>
    </xf>
    <xf numFmtId="49" fontId="8" fillId="13" borderId="3" xfId="0" applyNumberFormat="1" applyFont="1" applyFill="1" applyBorder="1" applyAlignment="1">
      <alignment horizontal="left" vertical="center" wrapText="1"/>
    </xf>
    <xf numFmtId="49" fontId="8" fillId="13" borderId="36" xfId="0" applyNumberFormat="1" applyFont="1" applyFill="1" applyBorder="1" applyAlignment="1">
      <alignment horizontal="center" vertical="center" wrapText="1"/>
    </xf>
    <xf numFmtId="0" fontId="0" fillId="13" borderId="38" xfId="0" applyNumberFormat="1" applyFont="1" applyFill="1" applyBorder="1" applyAlignment="1">
      <alignment horizontal="center" vertical="center" wrapText="1"/>
    </xf>
    <xf numFmtId="49" fontId="7" fillId="14" borderId="3" xfId="0" applyNumberFormat="1" applyFont="1" applyFill="1" applyBorder="1" applyAlignment="1">
      <alignment horizontal="left" vertical="center" wrapText="1" indent="1"/>
    </xf>
    <xf numFmtId="0" fontId="6" fillId="0" borderId="20" xfId="0" applyNumberFormat="1" applyFont="1" applyBorder="1" applyAlignment="1">
      <alignment horizontal="center" vertical="center" wrapText="1"/>
    </xf>
    <xf numFmtId="49" fontId="1" fillId="0" borderId="3" xfId="0" applyNumberFormat="1" applyFont="1" applyBorder="1" applyAlignment="1">
      <alignment vertical="center" wrapText="1"/>
    </xf>
    <xf numFmtId="49" fontId="9"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43"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49" fontId="1" fillId="0" borderId="3" xfId="0" applyNumberFormat="1" applyFont="1" applyBorder="1" applyAlignment="1"/>
    <xf numFmtId="49" fontId="1" fillId="0" borderId="3" xfId="0" applyNumberFormat="1" applyFont="1" applyBorder="1" applyAlignment="1">
      <alignment horizontal="left" vertical="center" wrapText="1" indent="4"/>
    </xf>
    <xf numFmtId="49" fontId="6" fillId="0" borderId="3" xfId="0" applyNumberFormat="1" applyFont="1" applyBorder="1" applyAlignment="1">
      <alignment vertical="center" wrapText="1"/>
    </xf>
    <xf numFmtId="49" fontId="44" fillId="0" borderId="3" xfId="0" applyNumberFormat="1" applyFont="1" applyBorder="1" applyAlignment="1">
      <alignment horizontal="left" vertical="center" wrapText="1" indent="3"/>
    </xf>
    <xf numFmtId="49" fontId="10" fillId="15" borderId="7" xfId="0" applyNumberFormat="1" applyFont="1" applyFill="1" applyBorder="1" applyAlignment="1">
      <alignment horizontal="center" vertical="center" wrapText="1"/>
    </xf>
    <xf numFmtId="4" fontId="7" fillId="15" borderId="7" xfId="0" applyNumberFormat="1" applyFont="1" applyFill="1" applyBorder="1" applyAlignment="1">
      <alignment vertical="center" wrapText="1"/>
    </xf>
    <xf numFmtId="4" fontId="7" fillId="15" borderId="17" xfId="0" applyNumberFormat="1" applyFont="1" applyFill="1" applyBorder="1" applyAlignment="1">
      <alignment vertical="center" wrapText="1"/>
    </xf>
    <xf numFmtId="4" fontId="7" fillId="12" borderId="7" xfId="0" applyNumberFormat="1" applyFont="1" applyFill="1" applyBorder="1" applyAlignment="1" applyProtection="1">
      <alignment vertical="center" wrapText="1"/>
      <protection locked="0"/>
    </xf>
    <xf numFmtId="49" fontId="7" fillId="15" borderId="7" xfId="0" applyNumberFormat="1" applyFont="1" applyFill="1" applyBorder="1" applyAlignment="1">
      <alignment horizontal="center" vertical="center" wrapText="1"/>
    </xf>
    <xf numFmtId="49" fontId="7" fillId="15" borderId="10" xfId="0" applyNumberFormat="1" applyFont="1" applyFill="1" applyBorder="1" applyAlignment="1">
      <alignment horizontal="center" vertical="center" wrapText="1"/>
    </xf>
    <xf numFmtId="49" fontId="7" fillId="15" borderId="7" xfId="0" applyNumberFormat="1" applyFont="1" applyFill="1" applyBorder="1" applyAlignment="1">
      <alignment vertical="center" wrapText="1"/>
    </xf>
    <xf numFmtId="4" fontId="6" fillId="14" borderId="10" xfId="0" applyNumberFormat="1" applyFont="1" applyFill="1" applyBorder="1" applyAlignment="1">
      <alignment horizontal="right" vertical="center"/>
    </xf>
    <xf numFmtId="0" fontId="18" fillId="0" borderId="24" xfId="0" applyNumberFormat="1" applyFont="1" applyBorder="1" applyAlignment="1">
      <alignment vertical="center"/>
    </xf>
    <xf numFmtId="4" fontId="6" fillId="0" borderId="48" xfId="0" applyNumberFormat="1" applyFont="1" applyBorder="1" applyAlignment="1">
      <alignment horizontal="right" vertical="center"/>
    </xf>
    <xf numFmtId="49" fontId="10" fillId="15" borderId="10" xfId="0" applyNumberFormat="1" applyFont="1" applyFill="1" applyBorder="1" applyAlignment="1">
      <alignment horizontal="center" vertical="center" wrapText="1"/>
    </xf>
    <xf numFmtId="49" fontId="10" fillId="15" borderId="10" xfId="0" applyNumberFormat="1" applyFont="1" applyFill="1" applyBorder="1" applyAlignment="1">
      <alignment vertical="center" wrapText="1"/>
    </xf>
    <xf numFmtId="49" fontId="7" fillId="0" borderId="3" xfId="0" applyNumberFormat="1" applyFont="1" applyBorder="1" applyAlignment="1">
      <alignment horizontal="center" vertical="center" wrapText="1"/>
    </xf>
    <xf numFmtId="49" fontId="7" fillId="0" borderId="3" xfId="0" applyNumberFormat="1" applyFont="1" applyBorder="1" applyAlignment="1">
      <alignment vertical="center" wrapText="1"/>
    </xf>
    <xf numFmtId="49" fontId="1" fillId="0" borderId="43" xfId="0" applyNumberFormat="1" applyFont="1" applyBorder="1" applyAlignment="1">
      <alignment horizontal="center" vertical="center" wrapText="1"/>
    </xf>
    <xf numFmtId="4" fontId="7" fillId="14" borderId="16" xfId="0" applyNumberFormat="1" applyFont="1" applyFill="1" applyBorder="1" applyAlignment="1">
      <alignment vertical="center" wrapText="1"/>
    </xf>
    <xf numFmtId="4" fontId="7" fillId="14" borderId="9" xfId="0" applyNumberFormat="1" applyFont="1" applyFill="1" applyBorder="1" applyAlignment="1">
      <alignment vertical="center" wrapText="1"/>
    </xf>
    <xf numFmtId="49" fontId="8" fillId="0" borderId="7" xfId="0" applyNumberFormat="1" applyFont="1" applyBorder="1" applyAlignment="1">
      <alignment horizontal="center" vertical="center"/>
    </xf>
    <xf numFmtId="0" fontId="7" fillId="15" borderId="3" xfId="0" applyNumberFormat="1" applyFont="1" applyFill="1" applyBorder="1" applyAlignment="1">
      <alignment horizontal="center" vertical="center" wrapText="1"/>
    </xf>
    <xf numFmtId="49" fontId="8" fillId="0" borderId="15" xfId="0" applyNumberFormat="1" applyFont="1" applyBorder="1" applyAlignment="1">
      <alignment horizontal="center" vertical="center" wrapText="1"/>
    </xf>
    <xf numFmtId="10" fontId="7" fillId="14" borderId="3" xfId="0" applyNumberFormat="1" applyFont="1" applyFill="1" applyBorder="1" applyAlignment="1">
      <alignment vertical="center" wrapText="1"/>
    </xf>
    <xf numFmtId="4" fontId="6" fillId="0" borderId="10" xfId="0" applyNumberFormat="1" applyFont="1" applyBorder="1" applyAlignment="1">
      <alignment horizontal="right" vertical="center"/>
    </xf>
    <xf numFmtId="0" fontId="0" fillId="0" borderId="38" xfId="0" applyNumberFormat="1" applyFont="1" applyBorder="1" applyAlignment="1">
      <alignment horizontal="center" vertical="center" wrapText="1"/>
    </xf>
    <xf numFmtId="4" fontId="7" fillId="12" borderId="10" xfId="0" applyNumberFormat="1" applyFont="1" applyFill="1" applyBorder="1" applyAlignment="1" applyProtection="1">
      <alignment vertical="center" wrapText="1"/>
      <protection locked="0"/>
    </xf>
    <xf numFmtId="4" fontId="1" fillId="14" borderId="10" xfId="0" applyNumberFormat="1" applyFont="1" applyFill="1" applyBorder="1" applyAlignment="1">
      <alignment horizontal="right" vertical="center"/>
    </xf>
    <xf numFmtId="4" fontId="9" fillId="14" borderId="7" xfId="0" applyNumberFormat="1" applyFont="1" applyFill="1" applyBorder="1" applyAlignment="1">
      <alignment horizontal="right" vertical="center"/>
    </xf>
    <xf numFmtId="49" fontId="45" fillId="15" borderId="7" xfId="0" applyNumberFormat="1" applyFont="1" applyFill="1" applyBorder="1" applyAlignment="1">
      <alignment horizontal="left" vertical="center" wrapText="1" indent="1"/>
    </xf>
    <xf numFmtId="49" fontId="1" fillId="0" borderId="7" xfId="0" applyNumberFormat="1" applyFont="1" applyBorder="1" applyAlignment="1">
      <alignment horizontal="center" vertical="center" wrapText="1"/>
    </xf>
    <xf numFmtId="49" fontId="10" fillId="15" borderId="0" xfId="0" applyNumberFormat="1" applyFont="1" applyFill="1" applyAlignment="1">
      <alignment horizontal="center" vertical="center" wrapText="1"/>
    </xf>
    <xf numFmtId="49" fontId="10" fillId="15" borderId="17" xfId="0" applyNumberFormat="1" applyFont="1" applyFill="1" applyBorder="1" applyAlignment="1">
      <alignment horizontal="center" vertical="center" wrapText="1"/>
    </xf>
    <xf numFmtId="49" fontId="1" fillId="0" borderId="0" xfId="0" applyNumberFormat="1" applyFont="1" applyAlignment="1">
      <alignment horizontal="left" vertical="top" wrapText="1"/>
    </xf>
    <xf numFmtId="0" fontId="1" fillId="0" borderId="14" xfId="0" applyNumberFormat="1" applyFont="1" applyBorder="1" applyAlignment="1">
      <alignment horizontal="center"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9" xfId="0" applyNumberFormat="1" applyFont="1" applyBorder="1" applyAlignment="1">
      <alignment horizontal="center" vertical="center" wrapText="1"/>
    </xf>
    <xf numFmtId="49" fontId="1" fillId="0" borderId="14" xfId="0" applyNumberFormat="1" applyFont="1" applyBorder="1" applyAlignment="1">
      <alignment horizontal="left" vertical="center" wrapText="1" indent="2"/>
    </xf>
    <xf numFmtId="49" fontId="0" fillId="13" borderId="45" xfId="0" applyNumberFormat="1" applyFont="1" applyFill="1" applyBorder="1" applyAlignment="1">
      <alignment horizontal="left" vertical="center" wrapText="1" indent="2"/>
    </xf>
    <xf numFmtId="49" fontId="1" fillId="0" borderId="45" xfId="0" applyNumberFormat="1" applyFont="1" applyBorder="1" applyAlignment="1">
      <alignment horizontal="left" vertical="center" wrapText="1" indent="2"/>
    </xf>
    <xf numFmtId="0" fontId="1" fillId="0" borderId="20" xfId="0" applyNumberFormat="1" applyFont="1" applyBorder="1" applyAlignment="1">
      <alignment horizontal="left" vertical="center" wrapText="1" indent="3"/>
    </xf>
    <xf numFmtId="0" fontId="1" fillId="0" borderId="2" xfId="0" applyNumberFormat="1" applyFont="1" applyBorder="1" applyAlignment="1">
      <alignment horizontal="left" vertical="center" wrapText="1" indent="3"/>
    </xf>
    <xf numFmtId="4" fontId="1" fillId="14" borderId="10" xfId="0" applyNumberFormat="1" applyFont="1" applyFill="1" applyBorder="1" applyAlignment="1">
      <alignment horizontal="right" vertical="center" wrapText="1"/>
    </xf>
    <xf numFmtId="4" fontId="1" fillId="14" borderId="15" xfId="0" applyNumberFormat="1" applyFont="1" applyFill="1" applyBorder="1" applyAlignment="1">
      <alignment horizontal="right" vertical="center" wrapText="1"/>
    </xf>
    <xf numFmtId="169" fontId="1" fillId="14" borderId="20" xfId="0" applyNumberFormat="1" applyFont="1" applyFill="1" applyBorder="1" applyAlignment="1">
      <alignment vertical="center"/>
    </xf>
    <xf numFmtId="4" fontId="7" fillId="14" borderId="10" xfId="0" applyNumberFormat="1" applyFont="1" applyFill="1" applyBorder="1" applyAlignment="1">
      <alignment vertical="center" wrapText="1"/>
    </xf>
    <xf numFmtId="49" fontId="6" fillId="0" borderId="10" xfId="0" applyNumberFormat="1" applyFont="1" applyBorder="1" applyAlignment="1">
      <alignment horizontal="center" vertical="center"/>
    </xf>
    <xf numFmtId="49" fontId="6" fillId="0" borderId="10" xfId="0" applyNumberFormat="1" applyFont="1" applyBorder="1" applyAlignment="1">
      <alignment horizontal="left" vertical="center" wrapText="1"/>
    </xf>
    <xf numFmtId="4" fontId="6" fillId="14" borderId="10" xfId="0" applyNumberFormat="1" applyFont="1" applyFill="1" applyBorder="1" applyAlignment="1">
      <alignment horizontal="right" vertical="center"/>
    </xf>
    <xf numFmtId="49" fontId="6" fillId="0" borderId="3" xfId="0" applyNumberFormat="1" applyFont="1" applyBorder="1" applyAlignment="1">
      <alignment horizontal="center" vertical="center"/>
    </xf>
    <xf numFmtId="49" fontId="6" fillId="0" borderId="3" xfId="0" applyNumberFormat="1" applyFont="1" applyBorder="1" applyAlignment="1">
      <alignment horizontal="left" vertical="center" indent="2"/>
    </xf>
    <xf numFmtId="4" fontId="6" fillId="12" borderId="3" xfId="0" applyNumberFormat="1" applyFont="1" applyFill="1" applyBorder="1" applyAlignment="1" applyProtection="1">
      <alignment horizontal="right" vertical="center"/>
      <protection locked="0"/>
    </xf>
    <xf numFmtId="4" fontId="6" fillId="14" borderId="3" xfId="0" applyNumberFormat="1" applyFont="1" applyFill="1" applyBorder="1" applyAlignment="1">
      <alignment horizontal="right" vertical="center"/>
    </xf>
    <xf numFmtId="49" fontId="6" fillId="0" borderId="3" xfId="0" applyNumberFormat="1" applyFont="1" applyBorder="1" applyAlignment="1">
      <alignment horizontal="left" vertical="center" wrapText="1"/>
    </xf>
    <xf numFmtId="4" fontId="6" fillId="0" borderId="3" xfId="0" applyNumberFormat="1" applyFont="1" applyBorder="1" applyAlignment="1">
      <alignment horizontal="right" vertical="center"/>
    </xf>
    <xf numFmtId="4" fontId="1" fillId="14" borderId="3" xfId="0" applyNumberFormat="1" applyFont="1" applyFill="1" applyBorder="1" applyAlignment="1">
      <alignment horizontal="right" vertical="center"/>
    </xf>
    <xf numFmtId="49" fontId="6" fillId="0" borderId="7" xfId="0" applyNumberFormat="1" applyFont="1" applyBorder="1" applyAlignment="1">
      <alignment horizontal="center" vertical="center"/>
    </xf>
    <xf numFmtId="4" fontId="6" fillId="14" borderId="7" xfId="0" applyNumberFormat="1" applyFont="1" applyFill="1" applyBorder="1" applyAlignment="1">
      <alignment horizontal="right" vertical="center"/>
    </xf>
    <xf numFmtId="49" fontId="6" fillId="0" borderId="7" xfId="0" applyNumberFormat="1" applyFont="1" applyBorder="1" applyAlignment="1">
      <alignment horizontal="left" vertical="center" indent="2"/>
    </xf>
    <xf numFmtId="4" fontId="6" fillId="12" borderId="7" xfId="0" applyNumberFormat="1" applyFont="1" applyFill="1" applyBorder="1" applyAlignment="1" applyProtection="1">
      <alignment horizontal="right" vertical="center"/>
      <protection locked="0"/>
    </xf>
    <xf numFmtId="4" fontId="6" fillId="14" borderId="3" xfId="0" applyNumberFormat="1" applyFont="1" applyFill="1" applyBorder="1" applyAlignment="1">
      <alignment horizontal="right" vertical="center"/>
    </xf>
    <xf numFmtId="49" fontId="1" fillId="0" borderId="0" xfId="0" applyNumberFormat="1" applyFont="1" applyAlignment="1">
      <alignment horizontal="center"/>
    </xf>
    <xf numFmtId="0" fontId="12" fillId="15" borderId="37" xfId="0" applyNumberFormat="1" applyFont="1" applyFill="1" applyBorder="1" applyAlignment="1">
      <alignment horizontal="center" vertical="center" wrapText="1"/>
    </xf>
    <xf numFmtId="0" fontId="12" fillId="15" borderId="0" xfId="0" applyNumberFormat="1" applyFont="1" applyFill="1" applyAlignment="1">
      <alignment horizontal="center" vertical="center" wrapText="1"/>
    </xf>
    <xf numFmtId="49" fontId="8" fillId="0" borderId="36"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6" fillId="0" borderId="35" xfId="0" applyNumberFormat="1" applyFont="1" applyBorder="1" applyAlignment="1">
      <alignment horizontal="center" vertical="center" wrapText="1"/>
    </xf>
    <xf numFmtId="0" fontId="1" fillId="15" borderId="0" xfId="0" applyNumberFormat="1" applyFont="1" applyFill="1" applyAlignment="1">
      <alignment horizontal="center" vertical="center" wrapText="1"/>
    </xf>
    <xf numFmtId="0" fontId="1" fillId="13" borderId="23" xfId="0" applyNumberFormat="1" applyFont="1" applyFill="1" applyBorder="1" applyAlignment="1">
      <alignment horizontal="center" vertical="center" wrapText="1"/>
    </xf>
    <xf numFmtId="0" fontId="1" fillId="13" borderId="23"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6" xfId="0" applyNumberFormat="1" applyFont="1" applyBorder="1" applyAlignment="1">
      <alignment horizontal="left" vertical="center" wrapText="1" indent="3"/>
    </xf>
    <xf numFmtId="49" fontId="1" fillId="0" borderId="16" xfId="0" applyNumberFormat="1" applyFont="1" applyBorder="1" applyAlignment="1">
      <alignment horizontal="left" vertical="center" wrapText="1" indent="2"/>
    </xf>
    <xf numFmtId="49" fontId="1" fillId="0" borderId="35" xfId="0" applyNumberFormat="1" applyFont="1" applyBorder="1" applyAlignment="1">
      <alignment horizontal="left" vertical="center" wrapText="1" indent="1"/>
    </xf>
    <xf numFmtId="49" fontId="1" fillId="0" borderId="16" xfId="0" applyNumberFormat="1" applyFont="1" applyBorder="1" applyAlignment="1">
      <alignment horizontal="left" vertical="center" wrapText="1" indent="1"/>
    </xf>
    <xf numFmtId="4" fontId="1" fillId="12" borderId="20" xfId="0" applyNumberFormat="1" applyFont="1" applyFill="1" applyBorder="1" applyAlignment="1" applyProtection="1">
      <alignment horizontal="right" vertical="center"/>
      <protection locked="0"/>
    </xf>
    <xf numFmtId="0" fontId="6" fillId="0" borderId="10" xfId="0" applyNumberFormat="1" applyFont="1" applyBorder="1" applyAlignment="1">
      <alignment horizontal="left" vertical="center" wrapText="1" indent="1"/>
    </xf>
    <xf numFmtId="49" fontId="7" fillId="20" borderId="16" xfId="0" applyNumberFormat="1" applyFont="1" applyFill="1" applyBorder="1" applyAlignment="1">
      <alignment horizontal="center" vertical="center" wrapText="1"/>
    </xf>
    <xf numFmtId="49" fontId="1" fillId="20" borderId="23" xfId="0" applyNumberFormat="1" applyFont="1" applyFill="1" applyBorder="1" applyAlignment="1">
      <alignment horizontal="center" vertical="center" wrapText="1"/>
    </xf>
    <xf numFmtId="4" fontId="6" fillId="20" borderId="23" xfId="0" applyNumberFormat="1" applyFont="1" applyFill="1" applyBorder="1" applyAlignment="1">
      <alignment horizontal="right" vertical="center"/>
    </xf>
    <xf numFmtId="4" fontId="6" fillId="20" borderId="24" xfId="0" applyNumberFormat="1" applyFont="1" applyFill="1" applyBorder="1" applyAlignment="1">
      <alignment horizontal="right" vertical="center"/>
    </xf>
    <xf numFmtId="49" fontId="46" fillId="20" borderId="23" xfId="0" applyNumberFormat="1" applyFont="1" applyFill="1" applyBorder="1" applyAlignment="1">
      <alignment horizontal="left" vertical="center" wrapText="1" indent="1"/>
    </xf>
    <xf numFmtId="0" fontId="1" fillId="0" borderId="0" xfId="0" applyNumberFormat="1" applyFont="1" applyAlignment="1">
      <alignment vertical="center"/>
    </xf>
    <xf numFmtId="0" fontId="6" fillId="13" borderId="16" xfId="0" applyNumberFormat="1" applyFont="1" applyFill="1" applyBorder="1" applyAlignment="1">
      <alignment horizontal="center" vertical="center"/>
    </xf>
    <xf numFmtId="4" fontId="7" fillId="0" borderId="7" xfId="0" applyNumberFormat="1" applyFont="1" applyBorder="1" applyAlignment="1">
      <alignment vertical="center" wrapText="1"/>
    </xf>
    <xf numFmtId="0" fontId="42" fillId="0" borderId="0" xfId="0" applyNumberFormat="1" applyFont="1" applyAlignment="1">
      <alignment vertical="center"/>
    </xf>
    <xf numFmtId="4" fontId="6" fillId="14" borderId="2" xfId="0" applyNumberFormat="1" applyFont="1" applyFill="1" applyBorder="1" applyAlignment="1">
      <alignment horizontal="right" vertical="center"/>
    </xf>
    <xf numFmtId="49" fontId="7" fillId="13" borderId="3" xfId="0" applyNumberFormat="1" applyFont="1" applyFill="1" applyBorder="1" applyAlignment="1">
      <alignment vertical="center" wrapText="1"/>
    </xf>
    <xf numFmtId="49" fontId="7" fillId="13" borderId="3" xfId="0" applyNumberFormat="1" applyFont="1" applyFill="1" applyBorder="1" applyAlignment="1">
      <alignment horizontal="left" vertical="center" wrapText="1"/>
    </xf>
    <xf numFmtId="49" fontId="10" fillId="13" borderId="7" xfId="0" applyNumberFormat="1" applyFont="1" applyFill="1" applyBorder="1" applyAlignment="1">
      <alignment horizontal="left" vertical="center" wrapText="1"/>
    </xf>
    <xf numFmtId="4" fontId="10" fillId="12" borderId="3" xfId="0" applyNumberFormat="1" applyFont="1" applyFill="1" applyBorder="1" applyAlignment="1" applyProtection="1">
      <alignment vertical="center" wrapText="1"/>
      <protection locked="0"/>
    </xf>
    <xf numFmtId="49" fontId="1" fillId="13" borderId="11" xfId="0" applyNumberFormat="1" applyFont="1" applyFill="1" applyBorder="1" applyAlignment="1">
      <alignment horizontal="left" vertical="center" wrapText="1"/>
    </xf>
    <xf numFmtId="49" fontId="1" fillId="13" borderId="9" xfId="0" applyNumberFormat="1" applyFont="1" applyFill="1" applyBorder="1" applyAlignment="1">
      <alignment horizontal="left" vertical="center" wrapText="1"/>
    </xf>
    <xf numFmtId="49" fontId="1" fillId="13" borderId="2" xfId="0" applyNumberFormat="1" applyFont="1" applyFill="1" applyBorder="1" applyAlignment="1">
      <alignment horizontal="left" vertical="center" wrapText="1"/>
    </xf>
    <xf numFmtId="0" fontId="1" fillId="22" borderId="42" xfId="0" applyNumberFormat="1" applyFont="1" applyFill="1" applyBorder="1" applyAlignment="1">
      <alignment horizontal="left" vertical="center"/>
    </xf>
    <xf numFmtId="0" fontId="1" fillId="0" borderId="9" xfId="0" applyNumberFormat="1" applyFont="1" applyBorder="1" applyAlignment="1">
      <alignment horizontal="right" vertical="center" wrapText="1" indent="1"/>
    </xf>
    <xf numFmtId="49" fontId="47" fillId="0" borderId="0" xfId="0" applyNumberFormat="1" applyFont="1" applyAlignment="1">
      <alignment horizontal="center" vertical="center" wrapText="1"/>
    </xf>
    <xf numFmtId="0" fontId="48" fillId="0" borderId="0" xfId="0" applyNumberFormat="1" applyFont="1" applyAlignment="1"/>
    <xf numFmtId="0" fontId="49" fillId="0" borderId="0" xfId="0" applyNumberFormat="1" applyFont="1" applyAlignment="1">
      <alignment wrapText="1"/>
    </xf>
    <xf numFmtId="49" fontId="50" fillId="0" borderId="0" xfId="0" applyNumberFormat="1" applyFont="1" applyAlignment="1">
      <alignment wrapText="1"/>
    </xf>
    <xf numFmtId="49" fontId="50" fillId="0" borderId="0" xfId="0" applyNumberFormat="1" applyFont="1" applyAlignment="1">
      <alignment vertical="center" wrapText="1"/>
    </xf>
    <xf numFmtId="49" fontId="51" fillId="0" borderId="0" xfId="0" applyNumberFormat="1" applyFont="1" applyAlignment="1">
      <alignment wrapText="1"/>
    </xf>
    <xf numFmtId="0" fontId="13" fillId="0" borderId="0" xfId="0" applyNumberFormat="1" applyFont="1" applyAlignment="1">
      <alignment horizontal="left" vertical="center" wrapText="1"/>
    </xf>
    <xf numFmtId="49" fontId="52" fillId="0" borderId="0" xfId="0" applyNumberFormat="1" applyFont="1" applyAlignment="1">
      <alignment wrapText="1"/>
    </xf>
    <xf numFmtId="0" fontId="50" fillId="0" borderId="0" xfId="0" applyNumberFormat="1" applyFont="1" applyAlignment="1">
      <alignment wrapText="1"/>
    </xf>
    <xf numFmtId="0" fontId="53" fillId="0" borderId="0" xfId="0" applyNumberFormat="1" applyFont="1" applyAlignment="1">
      <alignment horizontal="left" vertical="center" wrapText="1"/>
    </xf>
    <xf numFmtId="0" fontId="54" fillId="0" borderId="0" xfId="0" applyNumberFormat="1" applyFont="1" applyAlignment="1">
      <alignment vertical="center" wrapText="1"/>
    </xf>
    <xf numFmtId="0" fontId="50" fillId="0" borderId="37" xfId="0" applyNumberFormat="1" applyFont="1" applyBorder="1" applyAlignment="1">
      <alignment wrapText="1"/>
    </xf>
    <xf numFmtId="0" fontId="50" fillId="0" borderId="0" xfId="0" applyNumberFormat="1" applyFont="1" applyAlignment="1"/>
    <xf numFmtId="0" fontId="53" fillId="0" borderId="0" xfId="0" applyNumberFormat="1" applyFont="1" applyAlignment="1"/>
    <xf numFmtId="0" fontId="55" fillId="0" borderId="0" xfId="0" applyNumberFormat="1" applyFont="1" applyAlignment="1">
      <alignment wrapText="1"/>
    </xf>
    <xf numFmtId="0" fontId="0" fillId="12" borderId="17" xfId="0" applyNumberFormat="1" applyFont="1" applyFill="1" applyBorder="1" applyAlignment="1">
      <alignment horizontal="center" vertical="center" wrapText="1"/>
    </xf>
    <xf numFmtId="0" fontId="0" fillId="18" borderId="17" xfId="0" applyNumberFormat="1" applyFont="1" applyFill="1" applyBorder="1" applyAlignment="1">
      <alignment horizontal="center" vertical="center" wrapText="1"/>
    </xf>
    <xf numFmtId="0" fontId="0" fillId="14" borderId="17" xfId="0" applyNumberFormat="1" applyFont="1" applyFill="1" applyBorder="1" applyAlignment="1">
      <alignment horizontal="center" vertical="center" wrapText="1"/>
    </xf>
    <xf numFmtId="0" fontId="0" fillId="11" borderId="17" xfId="0" applyNumberFormat="1" applyFont="1" applyFill="1" applyBorder="1" applyAlignment="1">
      <alignment horizontal="center" vertical="center" wrapText="1"/>
    </xf>
    <xf numFmtId="0" fontId="53" fillId="0" borderId="37" xfId="0" applyNumberFormat="1" applyFont="1" applyBorder="1" applyAlignment="1">
      <alignment horizontal="left" vertical="center" wrapText="1"/>
    </xf>
    <xf numFmtId="0" fontId="53" fillId="0" borderId="32" xfId="0" applyNumberFormat="1" applyFont="1" applyBorder="1" applyAlignment="1">
      <alignment horizontal="left" vertical="center" wrapText="1"/>
    </xf>
    <xf numFmtId="0" fontId="55" fillId="0" borderId="0" xfId="0" applyNumberFormat="1" applyFont="1" applyAlignment="1"/>
    <xf numFmtId="0" fontId="55" fillId="0" borderId="37" xfId="0" applyNumberFormat="1" applyFont="1" applyBorder="1" applyAlignment="1">
      <alignment wrapText="1"/>
    </xf>
    <xf numFmtId="0" fontId="50" fillId="0" borderId="35" xfId="0" applyNumberFormat="1" applyFont="1" applyBorder="1" applyAlignment="1">
      <alignment wrapText="1"/>
    </xf>
    <xf numFmtId="0" fontId="50" fillId="0" borderId="36" xfId="0" applyNumberFormat="1" applyFont="1" applyBorder="1" applyAlignment="1">
      <alignment wrapText="1"/>
    </xf>
    <xf numFmtId="0" fontId="50" fillId="0" borderId="36" xfId="0" applyNumberFormat="1" applyFont="1" applyBorder="1" applyAlignment="1">
      <alignment vertical="center" wrapText="1"/>
    </xf>
    <xf numFmtId="0" fontId="51" fillId="0" borderId="0" xfId="0" applyNumberFormat="1" applyFont="1" applyAlignment="1"/>
    <xf numFmtId="49" fontId="12" fillId="15" borderId="0" xfId="0" applyNumberFormat="1" applyFont="1" applyFill="1" applyAlignment="1">
      <alignment vertical="center" wrapText="1"/>
    </xf>
    <xf numFmtId="49" fontId="14" fillId="24" borderId="0" xfId="0" applyNumberFormat="1" applyFont="1" applyFill="1" applyAlignment="1">
      <alignment vertical="center" wrapText="1"/>
    </xf>
    <xf numFmtId="0" fontId="1" fillId="0" borderId="11" xfId="0" applyNumberFormat="1" applyFont="1" applyBorder="1" applyAlignment="1">
      <alignment horizontal="left" vertical="center" wrapText="1" indent="2"/>
    </xf>
    <xf numFmtId="4" fontId="1" fillId="12" borderId="11" xfId="0" applyNumberFormat="1" applyFont="1" applyFill="1" applyBorder="1" applyAlignment="1" applyProtection="1">
      <alignment horizontal="right" vertical="center"/>
      <protection locked="0"/>
    </xf>
    <xf numFmtId="49" fontId="25" fillId="20" borderId="49" xfId="0" applyNumberFormat="1" applyFont="1" applyFill="1" applyBorder="1" applyAlignment="1">
      <alignment horizontal="left" vertical="center" wrapText="1" indent="1"/>
    </xf>
    <xf numFmtId="0" fontId="1" fillId="0" borderId="11" xfId="0" applyNumberFormat="1" applyFont="1" applyBorder="1" applyAlignment="1">
      <alignment horizontal="left" vertical="center" wrapText="1" indent="1"/>
    </xf>
    <xf numFmtId="49" fontId="27" fillId="22" borderId="35" xfId="0" applyNumberFormat="1" applyFont="1" applyFill="1" applyBorder="1" applyAlignment="1">
      <alignment horizontal="center" vertical="center" wrapText="1"/>
    </xf>
    <xf numFmtId="0" fontId="8" fillId="0" borderId="50" xfId="0" applyNumberFormat="1" applyFont="1" applyBorder="1" applyAlignment="1">
      <alignment vertical="center" wrapText="1"/>
    </xf>
    <xf numFmtId="0" fontId="8" fillId="0" borderId="51"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3" fillId="0" borderId="0" xfId="0" applyNumberFormat="1" applyFont="1" applyAlignment="1">
      <alignment horizontal="center" vertical="center" wrapText="1"/>
    </xf>
    <xf numFmtId="49" fontId="50"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6" fillId="0" borderId="0" xfId="0" applyNumberFormat="1" applyFont="1" applyAlignment="1">
      <alignment horizontal="center" vertical="center"/>
    </xf>
    <xf numFmtId="49" fontId="57"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3" fillId="0" borderId="32" xfId="0" applyNumberFormat="1" applyFont="1" applyBorder="1" applyAlignment="1">
      <alignment horizontal="center" vertical="center" wrapText="1"/>
    </xf>
    <xf numFmtId="0" fontId="55" fillId="0" borderId="0" xfId="0" applyNumberFormat="1" applyFont="1" applyAlignment="1">
      <alignment horizontal="center" vertical="center"/>
    </xf>
    <xf numFmtId="0" fontId="50" fillId="0" borderId="36"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8" fillId="0" borderId="0" xfId="0" applyNumberFormat="1" applyFont="1" applyAlignment="1">
      <alignment horizontal="center" vertical="center"/>
    </xf>
    <xf numFmtId="0" fontId="16" fillId="0" borderId="0" xfId="0" applyNumberFormat="1" applyFont="1" applyAlignment="1">
      <alignment horizontal="center" vertical="center" wrapText="1"/>
    </xf>
    <xf numFmtId="49" fontId="59" fillId="0" borderId="0" xfId="0" applyNumberFormat="1" applyFont="1" applyAlignment="1">
      <alignment horizontal="center" vertical="center" wrapText="1"/>
    </xf>
    <xf numFmtId="0" fontId="6" fillId="22" borderId="0" xfId="0" applyNumberFormat="1" applyFont="1" applyFill="1" applyAlignment="1">
      <alignment horizontal="center" vertical="center"/>
    </xf>
    <xf numFmtId="0" fontId="6" fillId="26" borderId="0" xfId="0" applyNumberFormat="1" applyFont="1" applyFill="1" applyAlignment="1">
      <alignment horizontal="center" vertical="center"/>
    </xf>
    <xf numFmtId="0" fontId="6" fillId="25" borderId="0" xfId="0" applyNumberFormat="1" applyFont="1" applyFill="1" applyAlignment="1">
      <alignment horizontal="center" vertical="center"/>
    </xf>
    <xf numFmtId="0" fontId="1" fillId="0" borderId="52" xfId="0" applyNumberFormat="1" applyFont="1" applyBorder="1" applyAlignment="1">
      <alignment horizontal="center" vertical="center" wrapText="1"/>
    </xf>
    <xf numFmtId="0" fontId="1" fillId="13" borderId="9" xfId="0" applyNumberFormat="1" applyFont="1" applyFill="1" applyBorder="1" applyAlignment="1">
      <alignment horizontal="center" vertical="center" wrapText="1"/>
    </xf>
    <xf numFmtId="0" fontId="1" fillId="13" borderId="0" xfId="0" applyNumberFormat="1" applyFont="1" applyFill="1" applyAlignment="1">
      <alignment horizontal="center" vertical="center" wrapText="1"/>
    </xf>
    <xf numFmtId="0" fontId="1" fillId="0" borderId="0" xfId="0" applyNumberFormat="1" applyFont="1">
      <alignment vertical="top"/>
    </xf>
    <xf numFmtId="0" fontId="6" fillId="0" borderId="53" xfId="0" applyNumberFormat="1" applyFont="1" applyBorder="1" applyAlignment="1">
      <alignment horizontal="center" vertical="center" wrapText="1"/>
    </xf>
    <xf numFmtId="49" fontId="1" fillId="15" borderId="11" xfId="0" applyNumberFormat="1" applyFont="1" applyFill="1" applyBorder="1" applyAlignment="1">
      <alignment horizontal="center" vertical="center" wrapText="1"/>
    </xf>
    <xf numFmtId="49" fontId="25" fillId="20" borderId="54" xfId="0" applyNumberFormat="1" applyFont="1" applyFill="1" applyBorder="1" applyAlignment="1">
      <alignment horizontal="left" vertical="center" wrapText="1" indent="1"/>
    </xf>
    <xf numFmtId="49" fontId="8" fillId="0" borderId="50" xfId="0" applyNumberFormat="1" applyFont="1" applyBorder="1" applyAlignment="1">
      <alignment horizontal="center" vertical="center"/>
    </xf>
    <xf numFmtId="49" fontId="25" fillId="20" borderId="17" xfId="0" applyNumberFormat="1" applyFont="1" applyFill="1" applyBorder="1" applyAlignment="1">
      <alignment horizontal="left" vertical="center" wrapText="1" indent="1"/>
    </xf>
    <xf numFmtId="0" fontId="1" fillId="26" borderId="0" xfId="0" applyNumberFormat="1" applyFont="1" applyFill="1" applyAlignment="1">
      <alignment horizontal="center" vertical="center"/>
    </xf>
    <xf numFmtId="0" fontId="1" fillId="0" borderId="0" xfId="0" applyNumberFormat="1" applyFont="1">
      <alignment vertical="top"/>
    </xf>
    <xf numFmtId="2" fontId="60" fillId="0" borderId="3" xfId="0" applyNumberFormat="1" applyFont="1" applyBorder="1" applyAlignment="1">
      <alignment horizontal="center" vertical="center" wrapText="1"/>
    </xf>
    <xf numFmtId="0" fontId="30" fillId="0" borderId="0" xfId="0" applyNumberFormat="1" applyFont="1" applyAlignment="1">
      <alignment vertical="center"/>
    </xf>
    <xf numFmtId="0" fontId="12" fillId="17" borderId="0" xfId="0" applyNumberFormat="1" applyFont="1" applyFill="1" applyAlignment="1">
      <alignment vertical="center"/>
    </xf>
    <xf numFmtId="49" fontId="12" fillId="17" borderId="0" xfId="0" applyNumberFormat="1" applyFont="1" applyFill="1" applyAlignment="1">
      <alignment vertical="center" wrapText="1"/>
    </xf>
    <xf numFmtId="49" fontId="38" fillId="27" borderId="2" xfId="0" applyNumberFormat="1" applyFont="1" applyFill="1" applyBorder="1" applyAlignment="1">
      <alignment horizontal="left" vertical="center" wrapText="1" indent="1"/>
    </xf>
    <xf numFmtId="0" fontId="32" fillId="27" borderId="0" xfId="0" applyNumberFormat="1" applyFont="1" applyFill="1" applyAlignment="1">
      <alignment vertical="center"/>
    </xf>
    <xf numFmtId="49" fontId="25" fillId="28" borderId="41" xfId="0" applyNumberFormat="1" applyFont="1" applyFill="1" applyBorder="1" applyAlignment="1">
      <alignment horizontal="left" vertical="center" wrapText="1"/>
    </xf>
    <xf numFmtId="49" fontId="25" fillId="28" borderId="39" xfId="0" applyNumberFormat="1" applyFont="1" applyFill="1" applyBorder="1" applyAlignment="1">
      <alignment horizontal="left" vertical="center" wrapText="1"/>
    </xf>
    <xf numFmtId="49" fontId="25" fillId="28" borderId="40" xfId="0" applyNumberFormat="1" applyFont="1" applyFill="1" applyBorder="1" applyAlignment="1">
      <alignment horizontal="left" vertical="center" wrapText="1"/>
    </xf>
    <xf numFmtId="0" fontId="6" fillId="11" borderId="20" xfId="0" applyNumberFormat="1" applyFont="1" applyFill="1" applyBorder="1" applyAlignment="1" applyProtection="1">
      <alignment horizontal="left" vertical="center" wrapText="1" indent="1"/>
      <protection locked="0"/>
    </xf>
    <xf numFmtId="49" fontId="1" fillId="0" borderId="19" xfId="0" applyNumberFormat="1" applyFont="1" applyBorder="1" applyAlignment="1">
      <alignment horizontal="right" vertical="center" wrapText="1" indent="1"/>
    </xf>
    <xf numFmtId="0" fontId="12" fillId="17" borderId="0" xfId="0" applyNumberFormat="1" applyFont="1" applyFill="1" applyAlignment="1">
      <alignment vertical="center" wrapText="1"/>
    </xf>
    <xf numFmtId="0" fontId="6" fillId="0" borderId="20" xfId="0" applyNumberFormat="1" applyFont="1" applyBorder="1" applyAlignment="1">
      <alignment vertical="center" wrapText="1"/>
    </xf>
    <xf numFmtId="0" fontId="1" fillId="0" borderId="14" xfId="0" applyNumberFormat="1" applyFont="1" applyBorder="1" applyAlignment="1">
      <alignment horizontal="center" vertical="center"/>
    </xf>
    <xf numFmtId="0" fontId="6" fillId="0" borderId="42" xfId="0" applyNumberFormat="1" applyFont="1" applyBorder="1" applyAlignment="1">
      <alignment horizontal="center" vertical="center"/>
    </xf>
    <xf numFmtId="49" fontId="1" fillId="13" borderId="2" xfId="0" applyNumberFormat="1" applyFont="1" applyFill="1" applyBorder="1" applyAlignment="1">
      <alignment horizontal="center" vertical="center"/>
    </xf>
    <xf numFmtId="0" fontId="6" fillId="13" borderId="11" xfId="0" applyNumberFormat="1" applyFont="1" applyFill="1" applyBorder="1" applyAlignment="1">
      <alignment horizontal="left" vertical="center" wrapText="1"/>
    </xf>
    <xf numFmtId="0" fontId="6" fillId="13" borderId="2" xfId="0" applyNumberFormat="1" applyFont="1" applyFill="1" applyBorder="1" applyAlignment="1">
      <alignment horizontal="center" vertical="center"/>
    </xf>
    <xf numFmtId="49" fontId="1" fillId="13" borderId="14" xfId="0" applyNumberFormat="1" applyFont="1" applyFill="1" applyBorder="1" applyAlignment="1">
      <alignment horizontal="center" vertical="center"/>
    </xf>
    <xf numFmtId="0" fontId="6" fillId="0" borderId="3" xfId="0" applyNumberFormat="1" applyFont="1" applyBorder="1" applyAlignment="1">
      <alignment horizontal="left" vertical="center" wrapText="1"/>
    </xf>
    <xf numFmtId="0" fontId="6" fillId="0" borderId="20" xfId="0" applyNumberFormat="1" applyFont="1" applyBorder="1" applyAlignment="1">
      <alignment horizontal="center" vertical="center"/>
    </xf>
    <xf numFmtId="0" fontId="6" fillId="0" borderId="3" xfId="0" applyNumberFormat="1" applyFont="1" applyBorder="1" applyAlignment="1">
      <alignment vertical="center" wrapText="1"/>
    </xf>
    <xf numFmtId="2" fontId="6" fillId="12" borderId="2" xfId="0" applyNumberFormat="1" applyFont="1" applyFill="1" applyBorder="1" applyAlignment="1" applyProtection="1">
      <alignment horizontal="right" vertical="center"/>
      <protection locked="0"/>
    </xf>
    <xf numFmtId="0" fontId="1" fillId="0" borderId="12" xfId="0" applyNumberFormat="1" applyFont="1" applyBorder="1" applyAlignment="1">
      <alignment vertical="center" wrapText="1"/>
    </xf>
    <xf numFmtId="0" fontId="1" fillId="0" borderId="12" xfId="0" applyNumberFormat="1" applyFont="1" applyBorder="1" applyAlignment="1">
      <alignment horizontal="center" vertical="center" wrapText="1"/>
    </xf>
    <xf numFmtId="0" fontId="8" fillId="13" borderId="3" xfId="0" applyNumberFormat="1" applyFont="1" applyFill="1" applyBorder="1" applyAlignment="1">
      <alignment horizontal="left" vertical="center"/>
    </xf>
    <xf numFmtId="0" fontId="6" fillId="0" borderId="7" xfId="0" applyNumberFormat="1" applyFont="1" applyBorder="1" applyAlignment="1">
      <alignment horizontal="center" vertical="center" wrapText="1"/>
    </xf>
    <xf numFmtId="0" fontId="6" fillId="0" borderId="56" xfId="0" applyNumberFormat="1" applyFont="1" applyBorder="1" applyAlignment="1">
      <alignment horizontal="center" vertical="center" wrapText="1"/>
    </xf>
    <xf numFmtId="4" fontId="1" fillId="12" borderId="9" xfId="0" applyNumberFormat="1" applyFont="1" applyFill="1" applyBorder="1" applyAlignment="1" applyProtection="1">
      <alignment horizontal="right" vertical="center" wrapText="1"/>
      <protection locked="0"/>
    </xf>
    <xf numFmtId="4" fontId="1" fillId="14" borderId="8" xfId="0" applyNumberFormat="1" applyFont="1" applyFill="1" applyBorder="1" applyAlignment="1">
      <alignment horizontal="right" vertical="center" wrapText="1"/>
    </xf>
    <xf numFmtId="49" fontId="8" fillId="0" borderId="12" xfId="0" applyNumberFormat="1" applyFont="1" applyBorder="1" applyAlignment="1">
      <alignment horizontal="center" vertical="center" wrapText="1"/>
    </xf>
    <xf numFmtId="49" fontId="8" fillId="13" borderId="12" xfId="0" applyNumberFormat="1" applyFont="1" applyFill="1" applyBorder="1" applyAlignment="1">
      <alignment horizontal="center" vertical="center" wrapText="1"/>
    </xf>
    <xf numFmtId="49" fontId="1" fillId="13" borderId="11" xfId="0" applyNumberFormat="1" applyFont="1" applyFill="1" applyBorder="1" applyAlignment="1">
      <alignment horizontal="center" vertical="center" wrapText="1"/>
    </xf>
    <xf numFmtId="49" fontId="1" fillId="13" borderId="3" xfId="0" applyNumberFormat="1" applyFont="1" applyFill="1" applyBorder="1" applyAlignment="1">
      <alignment horizontal="center" vertical="center" wrapText="1"/>
    </xf>
    <xf numFmtId="4" fontId="1" fillId="14" borderId="9" xfId="0" applyNumberFormat="1" applyFont="1" applyFill="1" applyBorder="1" applyAlignment="1">
      <alignment vertical="center"/>
    </xf>
    <xf numFmtId="4" fontId="1" fillId="0" borderId="9" xfId="0" applyNumberFormat="1" applyFont="1" applyBorder="1" applyAlignment="1">
      <alignment vertical="center"/>
    </xf>
    <xf numFmtId="4" fontId="1" fillId="14" borderId="3" xfId="0" applyNumberFormat="1" applyFont="1" applyFill="1" applyBorder="1" applyAlignment="1">
      <alignment vertical="center"/>
    </xf>
    <xf numFmtId="4" fontId="1" fillId="0" borderId="3" xfId="0" applyNumberFormat="1" applyFont="1" applyBorder="1" applyAlignment="1">
      <alignment vertical="center"/>
    </xf>
    <xf numFmtId="4" fontId="8" fillId="14" borderId="9" xfId="0" applyNumberFormat="1" applyFont="1" applyFill="1" applyBorder="1" applyAlignment="1">
      <alignment vertical="center"/>
    </xf>
    <xf numFmtId="49" fontId="7" fillId="15" borderId="0" xfId="0" applyNumberFormat="1" applyFont="1" applyFill="1" applyAlignment="1">
      <alignment horizontal="center" vertical="center" wrapText="1"/>
    </xf>
    <xf numFmtId="9" fontId="1" fillId="14" borderId="9" xfId="0" applyNumberFormat="1" applyFont="1" applyFill="1" applyBorder="1" applyAlignment="1">
      <alignment vertical="center"/>
    </xf>
    <xf numFmtId="9" fontId="1" fillId="14" borderId="3" xfId="0" applyNumberFormat="1" applyFont="1" applyFill="1" applyBorder="1" applyAlignment="1">
      <alignment vertical="center"/>
    </xf>
    <xf numFmtId="49" fontId="48" fillId="17" borderId="0" xfId="0" applyNumberFormat="1" applyFont="1" applyFill="1">
      <alignment vertical="top"/>
    </xf>
    <xf numFmtId="49" fontId="1" fillId="17" borderId="0" xfId="0" applyNumberFormat="1" applyFont="1" applyFill="1">
      <alignment vertical="top"/>
    </xf>
    <xf numFmtId="49" fontId="7" fillId="0" borderId="9" xfId="0" applyNumberFormat="1" applyFont="1" applyBorder="1" applyAlignment="1">
      <alignment horizontal="center" vertical="center" wrapText="1"/>
    </xf>
    <xf numFmtId="49" fontId="7" fillId="0" borderId="3" xfId="0" applyNumberFormat="1" applyFont="1" applyBorder="1" applyAlignment="1">
      <alignment horizontal="left" vertical="center" wrapText="1" indent="1"/>
    </xf>
    <xf numFmtId="9" fontId="1" fillId="0" borderId="9" xfId="0" applyNumberFormat="1" applyFont="1" applyBorder="1" applyAlignment="1">
      <alignment vertical="center"/>
    </xf>
    <xf numFmtId="4" fontId="1" fillId="0" borderId="8" xfId="0" applyNumberFormat="1" applyFont="1" applyBorder="1" applyAlignment="1">
      <alignment vertical="center"/>
    </xf>
    <xf numFmtId="4" fontId="1" fillId="0" borderId="10" xfId="0" applyNumberFormat="1" applyFont="1" applyBorder="1" applyAlignment="1">
      <alignment vertical="center"/>
    </xf>
    <xf numFmtId="0" fontId="1" fillId="22" borderId="0" xfId="0" applyNumberFormat="1" applyFont="1" applyFill="1" applyAlignment="1">
      <alignment horizontal="left" vertical="center" wrapText="1"/>
    </xf>
    <xf numFmtId="4" fontId="8" fillId="12" borderId="12" xfId="0" applyNumberFormat="1" applyFont="1" applyFill="1" applyBorder="1" applyAlignment="1" applyProtection="1">
      <alignment horizontal="right" vertical="center"/>
      <protection locked="0"/>
    </xf>
    <xf numFmtId="4" fontId="10" fillId="14" borderId="16" xfId="0" applyNumberFormat="1" applyFont="1" applyFill="1" applyBorder="1" applyAlignment="1">
      <alignment vertical="center" wrapText="1"/>
    </xf>
    <xf numFmtId="49" fontId="1" fillId="13" borderId="3" xfId="0" applyNumberFormat="1" applyFont="1" applyFill="1" applyBorder="1" applyAlignment="1">
      <alignment horizontal="center" vertical="center"/>
    </xf>
    <xf numFmtId="49" fontId="8" fillId="0" borderId="35" xfId="0" applyNumberFormat="1" applyFont="1" applyBorder="1" applyAlignment="1">
      <alignment horizontal="left" vertical="center" wrapText="1"/>
    </xf>
    <xf numFmtId="2" fontId="7" fillId="14" borderId="3" xfId="0" applyNumberFormat="1" applyFont="1" applyFill="1" applyBorder="1" applyAlignment="1">
      <alignment vertical="center" wrapText="1"/>
    </xf>
    <xf numFmtId="49" fontId="1" fillId="0" borderId="43" xfId="0" applyNumberFormat="1" applyFont="1" applyBorder="1" applyAlignment="1">
      <alignment horizontal="center" vertical="center"/>
    </xf>
    <xf numFmtId="0" fontId="6" fillId="13" borderId="11" xfId="0" applyNumberFormat="1" applyFont="1" applyFill="1" applyBorder="1" applyAlignment="1">
      <alignment horizontal="center" vertical="center"/>
    </xf>
    <xf numFmtId="0" fontId="1" fillId="0" borderId="15" xfId="0" applyNumberFormat="1" applyFont="1" applyBorder="1" applyAlignment="1">
      <alignment horizontal="center" vertical="center"/>
    </xf>
    <xf numFmtId="0" fontId="6" fillId="0" borderId="13" xfId="0" applyNumberFormat="1" applyFont="1" applyBorder="1" applyAlignment="1">
      <alignment vertical="center" wrapText="1"/>
    </xf>
    <xf numFmtId="0" fontId="6" fillId="0" borderId="12" xfId="0" applyNumberFormat="1" applyFont="1" applyBorder="1" applyAlignment="1">
      <alignment horizontal="center" vertical="center"/>
    </xf>
    <xf numFmtId="49" fontId="25" fillId="20" borderId="41" xfId="0" applyNumberFormat="1" applyFont="1" applyFill="1" applyBorder="1" applyAlignment="1">
      <alignment horizontal="left" vertical="center" wrapText="1" indent="1"/>
    </xf>
    <xf numFmtId="49" fontId="25" fillId="20" borderId="3" xfId="0" applyNumberFormat="1" applyFont="1" applyFill="1" applyBorder="1" applyAlignment="1">
      <alignment horizontal="left" vertical="center" indent="1"/>
    </xf>
    <xf numFmtId="9" fontId="1" fillId="14" borderId="8" xfId="0" applyNumberFormat="1" applyFont="1" applyFill="1" applyBorder="1" applyAlignment="1">
      <alignment vertical="center"/>
    </xf>
    <xf numFmtId="49" fontId="25" fillId="20" borderId="42" xfId="0" applyNumberFormat="1" applyFont="1" applyFill="1" applyBorder="1" applyAlignment="1">
      <alignment horizontal="left" vertical="center" wrapText="1" indent="1"/>
    </xf>
    <xf numFmtId="170" fontId="6" fillId="11" borderId="2" xfId="0" applyNumberFormat="1" applyFont="1" applyFill="1" applyBorder="1" applyAlignment="1" applyProtection="1">
      <alignment horizontal="left" vertical="center" wrapText="1" indent="1"/>
      <protection locked="0"/>
    </xf>
    <xf numFmtId="170" fontId="6" fillId="11" borderId="2" xfId="0" applyNumberFormat="1" applyFont="1" applyFill="1" applyBorder="1" applyAlignment="1">
      <alignment horizontal="left" vertical="center" wrapText="1" indent="1"/>
    </xf>
    <xf numFmtId="170" fontId="6" fillId="11" borderId="2" xfId="0" applyNumberFormat="1" applyFont="1" applyFill="1" applyBorder="1" applyAlignment="1" applyProtection="1">
      <alignment horizontal="left" vertical="center" wrapText="1" indent="1"/>
      <protection locked="0"/>
    </xf>
    <xf numFmtId="170" fontId="6"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1" fillId="22" borderId="0" xfId="0" applyNumberFormat="1" applyFont="1" applyFill="1" applyAlignment="1">
      <alignment horizontal="center" vertical="center"/>
    </xf>
    <xf numFmtId="0" fontId="47" fillId="27" borderId="0" xfId="0" applyNumberFormat="1" applyFont="1" applyFill="1" applyAlignment="1">
      <alignment horizontal="center" vertical="center" wrapText="1"/>
    </xf>
    <xf numFmtId="0" fontId="1" fillId="27" borderId="0" xfId="0" applyNumberFormat="1" applyFont="1" applyFill="1">
      <alignment vertical="top"/>
    </xf>
    <xf numFmtId="0" fontId="8" fillId="0" borderId="0" xfId="0" applyNumberFormat="1" applyFont="1" applyAlignment="1">
      <alignment vertical="center" wrapText="1"/>
    </xf>
    <xf numFmtId="0" fontId="47" fillId="0" borderId="0" xfId="0" applyNumberFormat="1" applyFont="1" applyAlignment="1">
      <alignment horizontal="center" vertical="center" wrapText="1"/>
    </xf>
    <xf numFmtId="0" fontId="1" fillId="0" borderId="0" xfId="0" applyNumberFormat="1" applyFont="1" applyAlignment="1">
      <alignment vertical="center" wrapText="1"/>
    </xf>
    <xf numFmtId="0" fontId="0" fillId="0" borderId="0" xfId="0" applyNumberFormat="1" applyFont="1" applyAlignment="1">
      <alignment horizontal="center"/>
    </xf>
    <xf numFmtId="0" fontId="42" fillId="0" borderId="0" xfId="0" applyNumberFormat="1" applyFont="1" applyAlignment="1">
      <alignment vertical="center" wrapText="1"/>
    </xf>
    <xf numFmtId="0" fontId="61" fillId="0" borderId="0" xfId="0" applyNumberFormat="1" applyFont="1" applyAlignment="1">
      <alignment horizontal="center" vertical="center" wrapText="1"/>
    </xf>
    <xf numFmtId="0" fontId="42" fillId="0" borderId="0" xfId="0" applyNumberFormat="1" applyFont="1" applyAlignment="1">
      <alignment horizontal="center" vertical="center"/>
    </xf>
    <xf numFmtId="0" fontId="6" fillId="26" borderId="0" xfId="0" applyNumberFormat="1" applyFont="1" applyFill="1" applyAlignment="1">
      <alignment horizontal="center" vertical="center" wrapText="1"/>
    </xf>
    <xf numFmtId="0" fontId="62"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2"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5" fillId="0" borderId="0" xfId="0" applyNumberFormat="1" applyFont="1" applyAlignment="1">
      <alignment vertical="center" wrapText="1"/>
    </xf>
    <xf numFmtId="0" fontId="0" fillId="13" borderId="0" xfId="0" applyNumberFormat="1" applyFont="1" applyFill="1" applyAlignment="1">
      <alignment horizontal="center" vertical="center"/>
    </xf>
    <xf numFmtId="0" fontId="15" fillId="13" borderId="0" xfId="0" applyNumberFormat="1" applyFont="1" applyFill="1" applyAlignment="1">
      <alignment vertical="center"/>
    </xf>
    <xf numFmtId="0" fontId="1" fillId="0" borderId="0" xfId="0" applyNumberFormat="1" applyFont="1" applyAlignment="1"/>
    <xf numFmtId="0" fontId="63" fillId="0" borderId="0" xfId="0" applyNumberFormat="1" applyFont="1" applyAlignment="1">
      <alignment horizontal="center" vertical="center"/>
    </xf>
    <xf numFmtId="0" fontId="63" fillId="22" borderId="0" xfId="0" applyNumberFormat="1" applyFont="1" applyFill="1" applyAlignment="1">
      <alignment horizontal="center" vertical="center"/>
    </xf>
    <xf numFmtId="0" fontId="1" fillId="0" borderId="0" xfId="0" applyNumberFormat="1" applyFont="1" applyAlignment="1">
      <alignment horizontal="left" vertical="center" indent="2"/>
    </xf>
    <xf numFmtId="0" fontId="1" fillId="0" borderId="0" xfId="0" applyNumberFormat="1" applyFont="1" applyAlignment="1">
      <alignment horizontal="left" vertical="center"/>
    </xf>
    <xf numFmtId="0" fontId="0" fillId="0" borderId="0" xfId="0" applyNumberFormat="1" applyFont="1" applyAlignment="1">
      <alignment horizontal="left" vertical="center"/>
    </xf>
    <xf numFmtId="0" fontId="30" fillId="0" borderId="0" xfId="0" applyNumberFormat="1" applyFont="1" applyAlignment="1">
      <alignment horizontal="right" vertical="center" wrapText="1"/>
    </xf>
    <xf numFmtId="0" fontId="15" fillId="0" borderId="0" xfId="0" applyNumberFormat="1" applyFont="1" applyAlignment="1">
      <alignment horizontal="center" vertical="center"/>
    </xf>
    <xf numFmtId="0" fontId="1" fillId="26" borderId="0" xfId="0" applyNumberFormat="1" applyFont="1" applyFill="1" applyAlignment="1">
      <alignment horizontal="center" vertical="center"/>
    </xf>
    <xf numFmtId="49" fontId="1" fillId="0" borderId="0" xfId="0" applyNumberFormat="1" applyFont="1" applyAlignment="1">
      <alignment horizontal="center" vertical="center"/>
    </xf>
    <xf numFmtId="49" fontId="6" fillId="0" borderId="0" xfId="0" applyNumberFormat="1" applyFont="1" applyAlignment="1">
      <alignment horizontal="center" vertical="center"/>
    </xf>
    <xf numFmtId="49" fontId="1" fillId="0" borderId="0" xfId="0" applyNumberFormat="1" applyFont="1" applyAlignment="1">
      <alignment horizontal="center" vertical="center"/>
    </xf>
    <xf numFmtId="0" fontId="11" fillId="0" borderId="0" xfId="0" applyNumberFormat="1" applyFont="1" applyAlignment="1">
      <alignment horizontal="center" vertical="center"/>
    </xf>
    <xf numFmtId="0" fontId="42" fillId="0" borderId="0" xfId="0" applyNumberFormat="1" applyFont="1" applyAlignment="1">
      <alignment horizontal="center" vertical="center" wrapText="1"/>
    </xf>
    <xf numFmtId="0" fontId="18" fillId="9" borderId="0" xfId="0" applyNumberFormat="1" applyFont="1" applyFill="1" applyAlignment="1">
      <alignment horizontal="center" vertical="center"/>
    </xf>
    <xf numFmtId="0" fontId="1" fillId="27" borderId="0" xfId="0" applyNumberFormat="1" applyFont="1" applyFill="1" applyAlignment="1">
      <alignment horizontal="center" vertical="center"/>
    </xf>
    <xf numFmtId="0" fontId="1" fillId="9" borderId="0" xfId="0" applyNumberFormat="1" applyFont="1" applyFill="1" applyAlignment="1">
      <alignment horizontal="center" vertical="center"/>
    </xf>
    <xf numFmtId="0" fontId="1" fillId="27"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18" fillId="13" borderId="0" xfId="0" applyNumberFormat="1" applyFont="1" applyFill="1" applyAlignment="1">
      <alignment horizontal="center" vertical="center"/>
    </xf>
    <xf numFmtId="0" fontId="6" fillId="13" borderId="0" xfId="0" applyNumberFormat="1" applyFont="1" applyFill="1" applyAlignment="1">
      <alignment horizontal="center" vertical="center"/>
    </xf>
    <xf numFmtId="0" fontId="6" fillId="0" borderId="0" xfId="0" applyNumberFormat="1" applyFont="1" applyAlignment="1">
      <alignment horizontal="center" vertical="center"/>
    </xf>
    <xf numFmtId="0" fontId="6" fillId="9" borderId="0" xfId="0" applyNumberFormat="1" applyFont="1" applyFill="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1" fillId="0" borderId="0" xfId="0" applyNumberFormat="1" applyFont="1" applyAlignment="1">
      <alignment vertical="center"/>
    </xf>
    <xf numFmtId="0" fontId="1" fillId="0" borderId="0" xfId="0" applyNumberFormat="1" applyFont="1" applyAlignment="1">
      <alignment horizontal="center" vertical="top" wrapText="1"/>
    </xf>
    <xf numFmtId="49" fontId="7" fillId="14" borderId="9" xfId="0" applyNumberFormat="1" applyFont="1" applyFill="1" applyBorder="1" applyAlignment="1">
      <alignment horizontal="left" vertical="center" wrapText="1" indent="1"/>
    </xf>
    <xf numFmtId="49" fontId="7" fillId="0" borderId="9" xfId="0" applyNumberFormat="1" applyFont="1" applyBorder="1" applyAlignment="1">
      <alignment horizontal="left" vertical="center" wrapText="1" indent="1"/>
    </xf>
    <xf numFmtId="49" fontId="1" fillId="0" borderId="3" xfId="0" applyNumberFormat="1" applyFont="1" applyBorder="1" applyAlignment="1">
      <alignment horizontal="center" vertical="center" textRotation="90"/>
    </xf>
    <xf numFmtId="49" fontId="7" fillId="22" borderId="3" xfId="0" applyNumberFormat="1" applyFont="1" applyFill="1" applyBorder="1" applyAlignment="1">
      <alignment horizontal="center" vertical="center" wrapText="1"/>
    </xf>
    <xf numFmtId="49" fontId="1" fillId="0" borderId="57" xfId="0" applyNumberFormat="1" applyFont="1" applyBorder="1">
      <alignment vertical="top"/>
    </xf>
    <xf numFmtId="4" fontId="1" fillId="12" borderId="3" xfId="0" applyNumberFormat="1" applyFont="1" applyFill="1" applyBorder="1" applyAlignment="1" applyProtection="1">
      <alignment vertical="center"/>
      <protection locked="0"/>
    </xf>
    <xf numFmtId="4" fontId="1" fillId="12" borderId="9" xfId="0" applyNumberFormat="1" applyFont="1" applyFill="1" applyBorder="1" applyAlignment="1" applyProtection="1">
      <alignment vertical="center"/>
      <protection locked="0"/>
    </xf>
    <xf numFmtId="9" fontId="1" fillId="12" borderId="9" xfId="0" applyNumberFormat="1" applyFont="1" applyFill="1" applyBorder="1" applyAlignment="1" applyProtection="1">
      <alignment vertical="center"/>
      <protection locked="0"/>
    </xf>
    <xf numFmtId="9" fontId="1" fillId="12" borderId="3" xfId="0" applyNumberFormat="1" applyFont="1" applyFill="1" applyBorder="1" applyAlignment="1" applyProtection="1">
      <alignment vertical="center"/>
      <protection locked="0"/>
    </xf>
    <xf numFmtId="4" fontId="8" fillId="12" borderId="9" xfId="0" applyNumberFormat="1" applyFont="1" applyFill="1" applyBorder="1" applyAlignment="1" applyProtection="1">
      <alignment vertical="center"/>
      <protection locked="0"/>
    </xf>
    <xf numFmtId="49" fontId="25" fillId="20" borderId="16" xfId="0" applyNumberFormat="1" applyFont="1" applyFill="1" applyBorder="1" applyAlignment="1">
      <alignment horizontal="left" vertical="center" indent="1"/>
    </xf>
    <xf numFmtId="49" fontId="25" fillId="20" borderId="23" xfId="0" applyNumberFormat="1" applyFont="1" applyFill="1" applyBorder="1" applyAlignment="1">
      <alignment horizontal="left" vertical="center" indent="1"/>
    </xf>
    <xf numFmtId="0" fontId="1" fillId="0" borderId="0" xfId="0" applyNumberFormat="1" applyFont="1" applyAlignment="1">
      <alignment horizontal="left" vertical="center"/>
    </xf>
    <xf numFmtId="49" fontId="8" fillId="13" borderId="45" xfId="0" applyNumberFormat="1" applyFont="1" applyFill="1" applyBorder="1" applyAlignment="1">
      <alignment horizontal="center" vertical="center"/>
    </xf>
    <xf numFmtId="49" fontId="8" fillId="13" borderId="45" xfId="0" applyNumberFormat="1" applyFont="1" applyFill="1" applyBorder="1" applyAlignment="1">
      <alignment vertical="center" wrapText="1"/>
    </xf>
    <xf numFmtId="49" fontId="8" fillId="13" borderId="46" xfId="0" applyNumberFormat="1" applyFont="1" applyFill="1" applyBorder="1" applyAlignment="1">
      <alignment horizontal="center" vertical="center"/>
    </xf>
    <xf numFmtId="49" fontId="1" fillId="0" borderId="45" xfId="0" applyNumberFormat="1" applyFont="1" applyBorder="1" applyAlignment="1">
      <alignment horizontal="center" vertical="center" wrapText="1"/>
    </xf>
    <xf numFmtId="49" fontId="1" fillId="0" borderId="45" xfId="0" applyNumberFormat="1" applyFont="1" applyBorder="1" applyAlignment="1">
      <alignment horizontal="left" vertical="center" wrapText="1" indent="1"/>
    </xf>
    <xf numFmtId="49" fontId="1" fillId="0" borderId="46"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49" fontId="1" fillId="0" borderId="47" xfId="0" applyNumberFormat="1" applyFont="1" applyBorder="1" applyAlignment="1">
      <alignment horizontal="left" vertical="center" wrapText="1" indent="1"/>
    </xf>
    <xf numFmtId="49" fontId="1" fillId="0" borderId="58" xfId="0" applyNumberFormat="1" applyFont="1" applyBorder="1" applyAlignment="1">
      <alignment horizontal="center" vertical="center" wrapText="1"/>
    </xf>
    <xf numFmtId="49" fontId="1" fillId="13" borderId="3" xfId="0" applyNumberFormat="1" applyFont="1" applyFill="1" applyBorder="1" applyAlignment="1">
      <alignment horizontal="left" vertical="center" wrapText="1" indent="1"/>
    </xf>
    <xf numFmtId="49" fontId="1" fillId="13" borderId="3" xfId="0" applyNumberFormat="1" applyFont="1" applyFill="1" applyBorder="1" applyAlignment="1">
      <alignment vertical="center"/>
    </xf>
    <xf numFmtId="49" fontId="1" fillId="13" borderId="3" xfId="0" applyNumberFormat="1" applyFont="1" applyFill="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13" borderId="3" xfId="0" applyNumberFormat="1" applyFont="1" applyFill="1" applyBorder="1" applyAlignment="1">
      <alignment vertical="center" wrapText="1"/>
    </xf>
    <xf numFmtId="49" fontId="10" fillId="13" borderId="3" xfId="0" applyNumberFormat="1" applyFont="1" applyFill="1" applyBorder="1" applyAlignment="1">
      <alignment horizontal="center" vertical="center" wrapText="1"/>
    </xf>
    <xf numFmtId="49" fontId="10" fillId="13" borderId="3" xfId="0" applyNumberFormat="1" applyFont="1" applyFill="1" applyBorder="1" applyAlignment="1">
      <alignment vertical="center" wrapText="1"/>
    </xf>
    <xf numFmtId="49" fontId="8" fillId="13" borderId="3" xfId="0" applyNumberFormat="1" applyFont="1" applyFill="1" applyBorder="1" applyAlignment="1">
      <alignment horizontal="center" vertical="center" wrapText="1"/>
    </xf>
    <xf numFmtId="49" fontId="7" fillId="13" borderId="3" xfId="0"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30" fillId="9" borderId="0" xfId="0" applyNumberFormat="1" applyFont="1" applyFill="1" applyAlignment="1">
      <alignment horizontal="center" vertical="center"/>
    </xf>
    <xf numFmtId="0" fontId="47" fillId="0" borderId="0" xfId="0" applyNumberFormat="1" applyFont="1" applyAlignment="1">
      <alignment horizontal="right" vertical="center" wrapText="1" indent="1"/>
    </xf>
    <xf numFmtId="0" fontId="6" fillId="0" borderId="0" xfId="0" applyNumberFormat="1" applyFont="1" applyAlignment="1">
      <alignment horizontal="center" vertical="top" wrapText="1"/>
    </xf>
    <xf numFmtId="0" fontId="1" fillId="29" borderId="0" xfId="0" applyNumberFormat="1" applyFont="1" applyFill="1" applyAlignment="1">
      <alignment horizontal="left" vertical="center"/>
    </xf>
    <xf numFmtId="4" fontId="7" fillId="14" borderId="7" xfId="0" applyNumberFormat="1" applyFont="1" applyFill="1" applyBorder="1" applyAlignment="1">
      <alignment vertical="center" wrapText="1"/>
    </xf>
    <xf numFmtId="4" fontId="7" fillId="0" borderId="9" xfId="0" applyNumberFormat="1" applyFont="1" applyBorder="1" applyAlignment="1">
      <alignment vertical="center" wrapText="1"/>
    </xf>
    <xf numFmtId="49" fontId="1" fillId="15" borderId="3" xfId="0" applyNumberFormat="1" applyFont="1" applyFill="1" applyBorder="1" applyAlignment="1">
      <alignment horizontal="left" vertical="center" wrapText="1"/>
    </xf>
    <xf numFmtId="49" fontId="1" fillId="17" borderId="0" xfId="0" applyNumberFormat="1" applyFont="1" applyFill="1">
      <alignment vertical="top"/>
    </xf>
    <xf numFmtId="0" fontId="1" fillId="0" borderId="3" xfId="0" applyNumberFormat="1" applyFont="1" applyBorder="1" applyAlignment="1">
      <alignment horizontal="left" vertical="center"/>
    </xf>
    <xf numFmtId="0" fontId="24" fillId="0" borderId="3" xfId="0" applyNumberFormat="1" applyFont="1" applyBorder="1" applyAlignment="1">
      <alignment horizontal="left" vertical="center"/>
    </xf>
    <xf numFmtId="0" fontId="1" fillId="0" borderId="7" xfId="0" applyNumberFormat="1" applyFont="1" applyBorder="1" applyAlignment="1">
      <alignment horizontal="left" vertical="center" wrapText="1" indent="1"/>
    </xf>
    <xf numFmtId="0" fontId="1" fillId="0" borderId="7" xfId="0" applyNumberFormat="1" applyFont="1" applyBorder="1" applyAlignment="1">
      <alignment horizontal="center" vertical="center"/>
    </xf>
    <xf numFmtId="0" fontId="1" fillId="0" borderId="17" xfId="0" applyNumberFormat="1" applyFont="1" applyBorder="1" applyAlignment="1">
      <alignment horizontal="center" vertical="center"/>
    </xf>
    <xf numFmtId="49" fontId="1" fillId="0" borderId="7" xfId="0" applyNumberFormat="1" applyFont="1" applyBorder="1" applyAlignment="1">
      <alignment horizontal="left" vertical="center" wrapText="1" indent="1"/>
    </xf>
    <xf numFmtId="0" fontId="1" fillId="0" borderId="9" xfId="0" applyNumberFormat="1" applyFont="1" applyBorder="1" applyAlignment="1">
      <alignment horizontal="left" vertical="center" wrapText="1" indent="1"/>
    </xf>
    <xf numFmtId="0" fontId="1" fillId="0" borderId="21" xfId="0" applyNumberFormat="1" applyFont="1" applyBorder="1" applyAlignment="1">
      <alignment horizontal="left" vertical="center" wrapText="1" indent="1"/>
    </xf>
    <xf numFmtId="10" fontId="1" fillId="12" borderId="3" xfId="0" applyNumberFormat="1" applyFont="1" applyFill="1" applyBorder="1" applyAlignment="1" applyProtection="1">
      <alignment vertical="center"/>
      <protection locked="0"/>
    </xf>
    <xf numFmtId="10" fontId="1" fillId="0" borderId="3" xfId="0" applyNumberFormat="1" applyFont="1" applyBorder="1" applyAlignment="1">
      <alignment vertical="center"/>
    </xf>
    <xf numFmtId="2" fontId="1" fillId="12" borderId="3" xfId="0" applyNumberFormat="1" applyFont="1" applyFill="1" applyBorder="1" applyAlignment="1" applyProtection="1">
      <alignment horizontal="right" vertical="center" wrapText="1"/>
      <protection locked="0"/>
    </xf>
    <xf numFmtId="2" fontId="1" fillId="12" borderId="3" xfId="0" applyNumberFormat="1" applyFont="1" applyFill="1" applyBorder="1" applyAlignment="1" applyProtection="1">
      <alignment horizontal="center" vertical="center" wrapText="1"/>
      <protection locked="0"/>
    </xf>
    <xf numFmtId="10" fontId="1" fillId="14" borderId="3" xfId="0" applyNumberFormat="1" applyFont="1" applyFill="1" applyBorder="1" applyAlignment="1">
      <alignment horizontal="right" vertical="center" wrapText="1"/>
    </xf>
    <xf numFmtId="0" fontId="1" fillId="15" borderId="3" xfId="0" applyNumberFormat="1" applyFont="1" applyFill="1" applyBorder="1" applyAlignment="1">
      <alignment horizontal="center" vertical="center" wrapText="1"/>
    </xf>
    <xf numFmtId="0" fontId="24" fillId="0" borderId="3" xfId="0" applyNumberFormat="1" applyFont="1" applyBorder="1" applyAlignment="1">
      <alignment horizontal="right" vertical="center"/>
    </xf>
    <xf numFmtId="0" fontId="1" fillId="0" borderId="3" xfId="0" applyNumberFormat="1" applyFont="1" applyBorder="1" applyAlignment="1">
      <alignment horizontal="right" vertical="center"/>
    </xf>
    <xf numFmtId="49" fontId="28" fillId="22" borderId="14" xfId="0" applyNumberFormat="1" applyFont="1" applyFill="1" applyBorder="1" applyAlignment="1">
      <alignment horizontal="center" vertical="center"/>
    </xf>
    <xf numFmtId="0" fontId="8" fillId="0" borderId="7" xfId="0" applyNumberFormat="1" applyFont="1" applyBorder="1" applyAlignment="1">
      <alignment horizontal="left" vertical="center" wrapText="1"/>
    </xf>
    <xf numFmtId="0" fontId="8" fillId="15" borderId="11" xfId="0" applyNumberFormat="1" applyFont="1" applyFill="1" applyBorder="1" applyAlignment="1">
      <alignment horizontal="center" vertical="center" wrapText="1"/>
    </xf>
    <xf numFmtId="0" fontId="8" fillId="15" borderId="3" xfId="0" applyNumberFormat="1" applyFont="1" applyFill="1" applyBorder="1" applyAlignment="1">
      <alignment horizontal="center" vertical="center" wrapText="1"/>
    </xf>
    <xf numFmtId="0" fontId="64" fillId="0" borderId="0" xfId="0" applyNumberFormat="1" applyFont="1" applyAlignment="1"/>
    <xf numFmtId="0" fontId="1" fillId="13" borderId="3" xfId="0" applyNumberFormat="1" applyFont="1" applyFill="1" applyBorder="1" applyAlignment="1">
      <alignment horizontal="left" vertical="center" wrapText="1" indent="1"/>
    </xf>
    <xf numFmtId="0" fontId="6" fillId="8" borderId="0" xfId="0" applyNumberFormat="1" applyFont="1" applyFill="1" applyAlignment="1">
      <alignment horizontal="center" vertical="center" wrapText="1"/>
    </xf>
    <xf numFmtId="0" fontId="1" fillId="0" borderId="2" xfId="0" applyNumberFormat="1" applyFont="1" applyBorder="1" applyAlignment="1">
      <alignment horizontal="left" vertical="center" wrapText="1"/>
    </xf>
    <xf numFmtId="49" fontId="1" fillId="13" borderId="16" xfId="0" applyNumberFormat="1" applyFont="1" applyFill="1" applyBorder="1" applyAlignment="1">
      <alignment horizontal="left" vertical="center" wrapText="1"/>
    </xf>
    <xf numFmtId="4" fontId="6" fillId="12" borderId="9" xfId="0" applyNumberFormat="1" applyFont="1" applyFill="1" applyBorder="1" applyAlignment="1" applyProtection="1">
      <alignment horizontal="right" vertical="center"/>
      <protection locked="0"/>
    </xf>
    <xf numFmtId="10" fontId="7" fillId="14" borderId="7" xfId="0" applyNumberFormat="1" applyFont="1" applyFill="1" applyBorder="1" applyAlignment="1">
      <alignment vertical="center" wrapText="1"/>
    </xf>
    <xf numFmtId="4" fontId="6" fillId="0" borderId="7" xfId="0" applyNumberFormat="1" applyFont="1" applyBorder="1" applyAlignment="1">
      <alignment horizontal="right" vertical="center"/>
    </xf>
    <xf numFmtId="49" fontId="7" fillId="15" borderId="3" xfId="0" applyNumberFormat="1" applyFont="1" applyFill="1" applyBorder="1" applyAlignment="1">
      <alignment horizontal="left" vertical="center" wrapText="1" indent="3"/>
    </xf>
    <xf numFmtId="169" fontId="1" fillId="0" borderId="2" xfId="0" applyNumberFormat="1" applyFont="1" applyBorder="1" applyAlignment="1">
      <alignment vertical="center"/>
    </xf>
    <xf numFmtId="0" fontId="7" fillId="13" borderId="3" xfId="0" applyNumberFormat="1" applyFont="1" applyFill="1" applyBorder="1" applyAlignment="1">
      <alignment horizontal="center" vertical="center" wrapText="1"/>
    </xf>
    <xf numFmtId="49" fontId="8" fillId="15" borderId="10" xfId="0" applyNumberFormat="1" applyFont="1" applyFill="1" applyBorder="1" applyAlignment="1">
      <alignment vertical="center" wrapText="1"/>
    </xf>
    <xf numFmtId="4" fontId="7" fillId="15" borderId="16" xfId="0" applyNumberFormat="1" applyFont="1" applyFill="1" applyBorder="1" applyAlignment="1">
      <alignment vertical="center" wrapText="1"/>
    </xf>
    <xf numFmtId="4" fontId="6" fillId="13" borderId="16" xfId="0" applyNumberFormat="1" applyFont="1" applyFill="1" applyBorder="1" applyAlignment="1">
      <alignment horizontal="right" vertical="center"/>
    </xf>
    <xf numFmtId="2" fontId="7" fillId="14" borderId="9" xfId="0" applyNumberFormat="1" applyFont="1" applyFill="1" applyBorder="1" applyAlignment="1">
      <alignment vertical="center" wrapText="1"/>
    </xf>
    <xf numFmtId="2" fontId="7" fillId="14" borderId="7" xfId="0" applyNumberFormat="1" applyFont="1" applyFill="1" applyBorder="1" applyAlignment="1">
      <alignment vertical="center" wrapText="1"/>
    </xf>
    <xf numFmtId="49" fontId="8" fillId="0" borderId="16" xfId="0" applyNumberFormat="1" applyFont="1" applyBorder="1" applyAlignment="1">
      <alignment horizontal="center" vertical="center" wrapText="1"/>
    </xf>
    <xf numFmtId="4" fontId="9" fillId="14" borderId="21" xfId="0" applyNumberFormat="1" applyFont="1" applyFill="1" applyBorder="1" applyAlignment="1">
      <alignment horizontal="right" vertical="center"/>
    </xf>
    <xf numFmtId="0" fontId="1" fillId="13" borderId="21" xfId="0" applyNumberFormat="1" applyFont="1" applyFill="1" applyBorder="1" applyAlignment="1">
      <alignment horizontal="left" vertical="center" wrapText="1" indent="2"/>
    </xf>
    <xf numFmtId="49" fontId="1" fillId="15" borderId="10" xfId="0" applyNumberFormat="1" applyFont="1" applyFill="1" applyBorder="1" applyAlignment="1">
      <alignment vertical="center" wrapText="1"/>
    </xf>
    <xf numFmtId="0" fontId="25" fillId="20" borderId="20" xfId="0" applyNumberFormat="1" applyFont="1" applyFill="1" applyBorder="1" applyAlignment="1">
      <alignment horizontal="left" vertical="center" wrapText="1" indent="1"/>
    </xf>
    <xf numFmtId="0" fontId="1" fillId="22" borderId="9" xfId="0" applyNumberFormat="1" applyFont="1" applyFill="1" applyBorder="1" applyAlignment="1">
      <alignment horizontal="left" vertical="center"/>
    </xf>
    <xf numFmtId="0" fontId="25" fillId="20" borderId="59" xfId="0" applyNumberFormat="1" applyFont="1" applyFill="1" applyBorder="1" applyAlignment="1">
      <alignment horizontal="left" vertical="center" wrapText="1" indent="1"/>
    </xf>
    <xf numFmtId="0" fontId="1" fillId="22" borderId="8" xfId="0" applyNumberFormat="1" applyFont="1" applyFill="1" applyBorder="1" applyAlignment="1">
      <alignment horizontal="left" vertical="center"/>
    </xf>
    <xf numFmtId="0" fontId="25" fillId="20" borderId="21" xfId="0" applyNumberFormat="1" applyFont="1" applyFill="1" applyBorder="1" applyAlignment="1">
      <alignment horizontal="left" vertical="center" wrapText="1" indent="1"/>
    </xf>
    <xf numFmtId="0" fontId="25" fillId="20" borderId="9" xfId="0" applyNumberFormat="1" applyFont="1" applyFill="1" applyBorder="1" applyAlignment="1">
      <alignment horizontal="left" vertical="center" wrapText="1" indent="1"/>
    </xf>
    <xf numFmtId="0" fontId="6" fillId="20" borderId="23" xfId="0" applyNumberFormat="1" applyFont="1" applyFill="1" applyBorder="1" applyAlignment="1">
      <alignment horizontal="right" vertical="center"/>
    </xf>
    <xf numFmtId="0" fontId="6" fillId="20" borderId="9" xfId="0" applyNumberFormat="1" applyFont="1" applyFill="1" applyBorder="1" applyAlignment="1">
      <alignment horizontal="right" vertical="center"/>
    </xf>
    <xf numFmtId="0" fontId="25" fillId="20" borderId="23" xfId="0" applyNumberFormat="1" applyFont="1" applyFill="1" applyBorder="1" applyAlignment="1">
      <alignment horizontal="left" vertical="center" wrapText="1" indent="1"/>
    </xf>
    <xf numFmtId="10" fontId="1" fillId="14" borderId="12" xfId="0" applyNumberFormat="1" applyFont="1" applyFill="1" applyBorder="1" applyAlignment="1">
      <alignment horizontal="right" vertical="center" wrapText="1"/>
    </xf>
    <xf numFmtId="49" fontId="1" fillId="0" borderId="15" xfId="0" applyNumberFormat="1" applyFont="1" applyBorder="1" applyAlignment="1">
      <alignment horizontal="left" vertical="center" wrapText="1" indent="2"/>
    </xf>
    <xf numFmtId="0" fontId="1" fillId="30" borderId="3" xfId="0" applyNumberFormat="1" applyFont="1" applyFill="1" applyBorder="1" applyAlignment="1">
      <alignment horizontal="center" vertical="center" wrapText="1"/>
    </xf>
    <xf numFmtId="0" fontId="65" fillId="0" borderId="0" xfId="0" applyNumberFormat="1" applyFont="1" applyAlignment="1">
      <alignment vertical="top" wrapText="1"/>
    </xf>
    <xf numFmtId="0" fontId="1" fillId="31" borderId="3" xfId="0" applyNumberFormat="1" applyFont="1" applyFill="1" applyBorder="1" applyAlignment="1">
      <alignment horizontal="center" vertical="center" wrapText="1"/>
    </xf>
    <xf numFmtId="0" fontId="53" fillId="0" borderId="37" xfId="0" applyNumberFormat="1" applyFont="1" applyBorder="1" applyAlignment="1">
      <alignment horizontal="left" vertical="center" wrapText="1"/>
    </xf>
    <xf numFmtId="0" fontId="50" fillId="0" borderId="37" xfId="0" applyNumberFormat="1" applyFont="1" applyBorder="1" applyAlignment="1">
      <alignment wrapText="1"/>
    </xf>
    <xf numFmtId="0" fontId="1" fillId="31" borderId="2" xfId="0" applyNumberFormat="1" applyFont="1" applyFill="1" applyBorder="1" applyAlignment="1">
      <alignment horizontal="left" vertical="center" wrapText="1" indent="1"/>
    </xf>
    <xf numFmtId="49" fontId="1" fillId="31" borderId="2" xfId="0" applyNumberFormat="1" applyFont="1" applyFill="1" applyBorder="1" applyAlignment="1">
      <alignment horizontal="left" vertical="center" wrapText="1" indent="1"/>
    </xf>
    <xf numFmtId="49" fontId="6" fillId="31" borderId="2" xfId="0" applyNumberFormat="1" applyFont="1" applyFill="1" applyBorder="1" applyAlignment="1">
      <alignment horizontal="left" vertical="center" wrapText="1" indent="1"/>
    </xf>
    <xf numFmtId="49" fontId="1" fillId="0" borderId="35"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9" fontId="66" fillId="20" borderId="40" xfId="0" applyNumberFormat="1" applyFont="1" applyFill="1" applyBorder="1" applyAlignment="1">
      <alignment horizontal="right" vertical="center" wrapText="1" indent="1"/>
    </xf>
    <xf numFmtId="0" fontId="6" fillId="29" borderId="0" xfId="0" applyNumberFormat="1" applyFont="1" applyFill="1" applyAlignment="1">
      <alignment horizontal="left" vertical="center"/>
    </xf>
    <xf numFmtId="4" fontId="6" fillId="12" borderId="12" xfId="0" applyNumberFormat="1" applyFont="1" applyFill="1" applyBorder="1" applyAlignment="1" applyProtection="1">
      <alignment horizontal="right" vertical="center"/>
      <protection locked="0"/>
    </xf>
    <xf numFmtId="2" fontId="6" fillId="12" borderId="11" xfId="0" applyNumberFormat="1" applyFont="1" applyFill="1" applyBorder="1" applyAlignment="1" applyProtection="1">
      <alignment horizontal="right" vertical="center"/>
      <protection locked="0"/>
    </xf>
    <xf numFmtId="2" fontId="6" fillId="12" borderId="12" xfId="0" applyNumberFormat="1" applyFont="1" applyFill="1" applyBorder="1" applyAlignment="1" applyProtection="1">
      <alignment horizontal="right" vertical="center"/>
      <protection locked="0"/>
    </xf>
    <xf numFmtId="2" fontId="6"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1" fillId="12" borderId="14" xfId="0" applyNumberFormat="1" applyFont="1" applyFill="1" applyBorder="1" applyAlignment="1" applyProtection="1">
      <alignment horizontal="right" vertical="center" wrapText="1"/>
      <protection locked="0"/>
    </xf>
    <xf numFmtId="2" fontId="7" fillId="12" borderId="3" xfId="0" applyNumberFormat="1" applyFont="1" applyFill="1" applyBorder="1" applyAlignment="1" applyProtection="1">
      <alignment vertical="center" wrapText="1"/>
      <protection locked="0"/>
    </xf>
    <xf numFmtId="2" fontId="7" fillId="15" borderId="3" xfId="0" applyNumberFormat="1" applyFont="1" applyFill="1" applyBorder="1" applyAlignment="1">
      <alignment vertical="center" wrapText="1"/>
    </xf>
    <xf numFmtId="2" fontId="7" fillId="15" borderId="7" xfId="0" applyNumberFormat="1" applyFont="1" applyFill="1" applyBorder="1" applyAlignment="1">
      <alignment vertical="center" wrapText="1"/>
    </xf>
    <xf numFmtId="2" fontId="9" fillId="14" borderId="3" xfId="0" applyNumberFormat="1" applyFont="1" applyFill="1" applyBorder="1" applyAlignment="1">
      <alignment horizontal="right" vertical="center"/>
    </xf>
    <xf numFmtId="2" fontId="9" fillId="0" borderId="3" xfId="0" applyNumberFormat="1" applyFont="1" applyBorder="1" applyAlignment="1">
      <alignment horizontal="right" vertical="center"/>
    </xf>
    <xf numFmtId="2" fontId="6" fillId="12" borderId="3" xfId="0" applyNumberFormat="1" applyFont="1" applyFill="1" applyBorder="1" applyAlignment="1" applyProtection="1">
      <alignment horizontal="right" vertical="center"/>
      <protection locked="0"/>
    </xf>
    <xf numFmtId="2" fontId="6" fillId="13" borderId="3" xfId="0" applyNumberFormat="1" applyFont="1" applyFill="1" applyBorder="1" applyAlignment="1">
      <alignment horizontal="right" vertical="center"/>
    </xf>
    <xf numFmtId="2" fontId="6" fillId="14" borderId="3" xfId="0" applyNumberFormat="1" applyFont="1" applyFill="1" applyBorder="1" applyAlignment="1">
      <alignment horizontal="right" vertical="center" wrapText="1"/>
    </xf>
    <xf numFmtId="4" fontId="1" fillId="14" borderId="8" xfId="0" applyNumberFormat="1" applyFont="1" applyFill="1" applyBorder="1" applyAlignment="1">
      <alignment vertical="center"/>
    </xf>
    <xf numFmtId="49" fontId="8" fillId="0" borderId="0" xfId="0" applyNumberFormat="1" applyFont="1" applyAlignment="1">
      <alignment vertical="top" wrapText="1"/>
    </xf>
    <xf numFmtId="49" fontId="1" fillId="0" borderId="0" xfId="0" applyNumberFormat="1" applyFont="1" applyAlignment="1">
      <alignment vertical="top" wrapText="1"/>
    </xf>
    <xf numFmtId="0" fontId="6" fillId="32" borderId="0" xfId="0" applyNumberFormat="1" applyFont="1" applyFill="1" applyAlignment="1">
      <alignment horizontal="left" vertical="center"/>
    </xf>
    <xf numFmtId="0" fontId="6" fillId="32" borderId="0" xfId="0" applyNumberFormat="1" applyFont="1" applyFill="1" applyAlignment="1">
      <alignment horizontal="center" vertical="center"/>
    </xf>
    <xf numFmtId="0" fontId="1"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1" fillId="3" borderId="0" xfId="0" applyNumberFormat="1" applyFont="1" applyFill="1" applyAlignment="1">
      <alignment vertical="center" wrapText="1"/>
    </xf>
    <xf numFmtId="0" fontId="6" fillId="3" borderId="0" xfId="0" applyNumberFormat="1" applyFont="1" applyFill="1" applyAlignment="1">
      <alignment horizontal="center"/>
    </xf>
    <xf numFmtId="0" fontId="1" fillId="3" borderId="0" xfId="0" applyNumberFormat="1" applyFont="1" applyFill="1" applyAlignment="1">
      <alignment horizontal="left" vertical="center"/>
    </xf>
    <xf numFmtId="0" fontId="1" fillId="3" borderId="0" xfId="0" applyNumberFormat="1" applyFont="1" applyFill="1" applyAlignment="1">
      <alignment vertical="center"/>
    </xf>
    <xf numFmtId="0" fontId="0" fillId="3" borderId="0" xfId="0" applyNumberFormat="1" applyFont="1" applyFill="1" applyAlignment="1">
      <alignment horizontal="left" vertical="center"/>
    </xf>
    <xf numFmtId="0" fontId="6" fillId="3" borderId="0" xfId="0" applyNumberFormat="1" applyFont="1" applyFill="1" applyAlignment="1">
      <alignment horizontal="left" vertical="center"/>
    </xf>
    <xf numFmtId="0" fontId="6" fillId="3" borderId="0" xfId="0" applyNumberFormat="1" applyFont="1" applyFill="1" applyAlignment="1">
      <alignment horizontal="center" vertical="center"/>
    </xf>
    <xf numFmtId="0" fontId="42" fillId="3" borderId="0" xfId="0" applyNumberFormat="1" applyFont="1" applyFill="1" applyAlignment="1">
      <alignment horizontal="center" vertical="center"/>
    </xf>
    <xf numFmtId="0" fontId="6" fillId="3" borderId="0" xfId="0" applyNumberFormat="1" applyFont="1" applyFill="1" applyAlignment="1">
      <alignment horizontal="center" vertical="center" wrapText="1"/>
    </xf>
    <xf numFmtId="0" fontId="6"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6" fillId="3" borderId="0" xfId="0" applyNumberFormat="1" applyFont="1" applyFill="1" applyAlignment="1">
      <alignment horizontal="left" vertical="center" wrapText="1"/>
    </xf>
    <xf numFmtId="0" fontId="6" fillId="22" borderId="0" xfId="0" applyNumberFormat="1" applyFont="1" applyFill="1" applyAlignment="1">
      <alignment horizontal="left" vertical="center" wrapText="1"/>
    </xf>
    <xf numFmtId="0" fontId="42" fillId="32" borderId="0" xfId="0" applyNumberFormat="1" applyFont="1" applyFill="1" applyAlignment="1">
      <alignment horizontal="center" vertical="center"/>
    </xf>
    <xf numFmtId="0" fontId="6" fillId="3" borderId="0" xfId="0" applyNumberFormat="1" applyFont="1" applyFill="1" applyAlignment="1">
      <alignment vertical="center"/>
    </xf>
    <xf numFmtId="0" fontId="1" fillId="3" borderId="0" xfId="0" applyNumberFormat="1" applyFont="1" applyFill="1" applyAlignment="1">
      <alignment horizontal="left"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left" vertical="top"/>
    </xf>
    <xf numFmtId="0" fontId="1" fillId="3" borderId="0" xfId="0" applyNumberFormat="1" applyFont="1" applyFill="1" applyAlignment="1">
      <alignment vertical="center"/>
    </xf>
    <xf numFmtId="0" fontId="1"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1" fillId="22" borderId="0" xfId="0" applyNumberFormat="1" applyFont="1" applyFill="1" applyAlignment="1">
      <alignment vertical="center"/>
    </xf>
    <xf numFmtId="0" fontId="1" fillId="3" borderId="0" xfId="0" applyNumberFormat="1" applyFont="1" applyFill="1">
      <alignment vertical="top"/>
    </xf>
    <xf numFmtId="0" fontId="1" fillId="22" borderId="0" xfId="0" applyNumberFormat="1" applyFont="1" applyFill="1">
      <alignment vertical="top"/>
    </xf>
    <xf numFmtId="0" fontId="1" fillId="3" borderId="0" xfId="0" applyNumberFormat="1" applyFont="1" applyFill="1" applyAlignment="1">
      <alignment horizontal="left" vertical="top"/>
    </xf>
    <xf numFmtId="0" fontId="1" fillId="22" borderId="0" xfId="0" applyNumberFormat="1" applyFont="1" applyFill="1" applyAlignment="1">
      <alignment vertical="center"/>
    </xf>
    <xf numFmtId="49" fontId="1" fillId="3" borderId="0" xfId="0" applyNumberFormat="1" applyFont="1" applyFill="1">
      <alignment vertical="top"/>
    </xf>
    <xf numFmtId="0" fontId="6" fillId="3" borderId="0" xfId="0" applyNumberFormat="1" applyFont="1" applyFill="1" applyAlignment="1">
      <alignment horizontal="left" vertical="center"/>
    </xf>
    <xf numFmtId="0" fontId="6" fillId="3" borderId="0" xfId="0" applyNumberFormat="1" applyFont="1" applyFill="1" applyAlignment="1">
      <alignment horizontal="left" vertical="top"/>
    </xf>
    <xf numFmtId="0" fontId="42" fillId="3" borderId="0" xfId="0" applyNumberFormat="1" applyFont="1" applyFill="1" applyAlignment="1">
      <alignment vertical="center"/>
    </xf>
    <xf numFmtId="0" fontId="6" fillId="0" borderId="0" xfId="0" applyNumberFormat="1" applyFont="1" applyAlignment="1">
      <alignment horizontal="left" vertical="center"/>
    </xf>
    <xf numFmtId="0" fontId="6"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1" fillId="22" borderId="0" xfId="0" applyNumberFormat="1" applyFont="1" applyFill="1" applyAlignment="1">
      <alignment horizontal="left" vertical="top"/>
    </xf>
    <xf numFmtId="0" fontId="6" fillId="3" borderId="0" xfId="0" applyNumberFormat="1" applyFont="1" applyFill="1" applyAlignment="1">
      <alignment horizontal="left" vertical="top" wrapText="1"/>
    </xf>
    <xf numFmtId="0" fontId="6" fillId="22" borderId="0" xfId="0" applyNumberFormat="1" applyFont="1" applyFill="1" applyAlignment="1">
      <alignment horizontal="left" vertical="top" wrapText="1"/>
    </xf>
    <xf numFmtId="0" fontId="12" fillId="3" borderId="0" xfId="0" applyNumberFormat="1" applyFont="1" applyFill="1" applyAlignment="1">
      <alignment horizontal="left" vertical="top"/>
    </xf>
    <xf numFmtId="0" fontId="12"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1" fillId="32" borderId="0" xfId="0" applyNumberFormat="1" applyFont="1" applyFill="1" applyAlignment="1">
      <alignment horizontal="left" vertical="center"/>
    </xf>
    <xf numFmtId="0" fontId="1" fillId="32" borderId="0" xfId="0" applyNumberFormat="1" applyFont="1" applyFill="1" applyAlignment="1">
      <alignment horizontal="left"/>
    </xf>
    <xf numFmtId="0" fontId="6" fillId="32" borderId="0" xfId="0" applyNumberFormat="1" applyFont="1" applyFill="1" applyAlignment="1">
      <alignment horizontal="left"/>
    </xf>
    <xf numFmtId="0" fontId="0" fillId="3" borderId="0" xfId="0" applyNumberFormat="1" applyFont="1" applyFill="1" applyAlignment="1">
      <alignment vertical="center"/>
    </xf>
    <xf numFmtId="0" fontId="1"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1"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6" fillId="3" borderId="0" xfId="0" applyNumberFormat="1" applyFont="1" applyFill="1" applyAlignment="1">
      <alignment horizontal="left"/>
    </xf>
    <xf numFmtId="0" fontId="6" fillId="22" borderId="0" xfId="0" applyNumberFormat="1" applyFont="1" applyFill="1" applyAlignment="1">
      <alignment horizontal="left"/>
    </xf>
    <xf numFmtId="0" fontId="1" fillId="3" borderId="0" xfId="0" applyNumberFormat="1" applyFont="1" applyFill="1" applyAlignment="1">
      <alignment horizontal="left"/>
    </xf>
    <xf numFmtId="0" fontId="1" fillId="22" borderId="0" xfId="0" applyNumberFormat="1" applyFont="1" applyFill="1" applyAlignment="1">
      <alignment horizontal="left"/>
    </xf>
    <xf numFmtId="0" fontId="1" fillId="3" borderId="0" xfId="0" applyNumberFormat="1" applyFont="1" applyFill="1" applyAlignment="1"/>
    <xf numFmtId="0" fontId="12" fillId="3" borderId="0" xfId="0" applyNumberFormat="1" applyFont="1" applyFill="1" applyAlignment="1">
      <alignment horizontal="center" vertical="center"/>
    </xf>
    <xf numFmtId="0" fontId="15" fillId="3" borderId="0" xfId="0" applyNumberFormat="1" applyFont="1" applyFill="1" applyAlignment="1">
      <alignment horizontal="center" vertical="center"/>
    </xf>
    <xf numFmtId="0" fontId="12" fillId="3" borderId="0" xfId="0" applyNumberFormat="1" applyFont="1" applyFill="1" applyAlignment="1">
      <alignment vertical="center"/>
    </xf>
    <xf numFmtId="0" fontId="15" fillId="3" borderId="0" xfId="0" applyNumberFormat="1" applyFont="1" applyFill="1" applyAlignment="1">
      <alignment vertical="center"/>
    </xf>
    <xf numFmtId="0" fontId="6"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6" fillId="3" borderId="0" xfId="0" applyNumberFormat="1" applyFont="1" applyFill="1" applyAlignment="1">
      <alignment horizontal="center" vertical="center"/>
    </xf>
    <xf numFmtId="0" fontId="42" fillId="3" borderId="0" xfId="0" applyNumberFormat="1" applyFont="1" applyFill="1" applyAlignment="1">
      <alignment horizontal="center" vertical="center"/>
    </xf>
    <xf numFmtId="0" fontId="6" fillId="3" borderId="0" xfId="0" applyNumberFormat="1" applyFont="1" applyFill="1" applyAlignment="1">
      <alignment horizontal="left" vertical="top"/>
    </xf>
    <xf numFmtId="0" fontId="6" fillId="3" borderId="0" xfId="0" applyNumberFormat="1" applyFont="1" applyFill="1" applyAlignment="1">
      <alignment vertical="center"/>
    </xf>
    <xf numFmtId="0" fontId="42" fillId="3" borderId="0" xfId="0" applyNumberFormat="1" applyFont="1" applyFill="1" applyAlignment="1">
      <alignment vertical="center"/>
    </xf>
    <xf numFmtId="0" fontId="0" fillId="3" borderId="0" xfId="0" applyNumberFormat="1" applyFont="1" applyFill="1" applyAlignment="1">
      <alignment horizontal="left" vertical="top"/>
    </xf>
    <xf numFmtId="0" fontId="12" fillId="3" borderId="0" xfId="0" applyNumberFormat="1" applyFont="1" applyFill="1" applyAlignment="1">
      <alignment horizontal="left" vertical="center"/>
    </xf>
    <xf numFmtId="0" fontId="12" fillId="3" borderId="0" xfId="0" applyNumberFormat="1" applyFont="1" applyFill="1">
      <alignment vertical="top"/>
    </xf>
    <xf numFmtId="0" fontId="12"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6" fillId="3" borderId="0" xfId="0" applyNumberFormat="1" applyFont="1" applyFill="1">
      <alignment vertical="top"/>
    </xf>
    <xf numFmtId="0" fontId="6" fillId="22" borderId="0" xfId="0" applyNumberFormat="1" applyFont="1" applyFill="1">
      <alignment vertical="top"/>
    </xf>
    <xf numFmtId="0" fontId="6"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6" fillId="3" borderId="0" xfId="0" applyNumberFormat="1" applyFont="1" applyFill="1" applyAlignment="1">
      <alignment horizontal="left" vertical="top"/>
    </xf>
    <xf numFmtId="0" fontId="18" fillId="3" borderId="0" xfId="0" applyNumberFormat="1" applyFont="1" applyFill="1" applyAlignment="1">
      <alignment horizontal="left" vertical="center"/>
    </xf>
    <xf numFmtId="0" fontId="18" fillId="3" borderId="0" xfId="0" applyNumberFormat="1" applyFont="1" applyFill="1" applyAlignment="1">
      <alignment horizontal="center" vertical="center"/>
    </xf>
    <xf numFmtId="0" fontId="18" fillId="3" borderId="0" xfId="0" applyNumberFormat="1" applyFont="1" applyFill="1" applyAlignment="1">
      <alignment horizontal="left" vertical="top"/>
    </xf>
    <xf numFmtId="0" fontId="18" fillId="22" borderId="0" xfId="0" applyNumberFormat="1" applyFont="1" applyFill="1" applyAlignment="1">
      <alignment horizontal="left" vertical="top"/>
    </xf>
    <xf numFmtId="0" fontId="18" fillId="3" borderId="0" xfId="0" applyNumberFormat="1" applyFont="1" applyFill="1" applyAlignment="1">
      <alignment vertical="center"/>
    </xf>
    <xf numFmtId="0" fontId="18" fillId="3" borderId="0" xfId="0" applyNumberFormat="1" applyFont="1" applyFill="1" applyAlignment="1">
      <alignment horizontal="center" vertical="center" wrapText="1"/>
    </xf>
    <xf numFmtId="0" fontId="18" fillId="3" borderId="0" xfId="0" applyNumberFormat="1" applyFont="1" applyFill="1" applyAlignment="1">
      <alignment horizontal="left" vertical="top" wrapText="1"/>
    </xf>
    <xf numFmtId="0" fontId="18" fillId="22" borderId="0" xfId="0" applyNumberFormat="1" applyFont="1" applyFill="1" applyAlignment="1">
      <alignment horizontal="left" vertical="top" wrapText="1"/>
    </xf>
    <xf numFmtId="0" fontId="19" fillId="3" borderId="0" xfId="0" applyNumberFormat="1" applyFont="1" applyFill="1" applyAlignment="1">
      <alignment horizontal="left" vertical="top" wrapText="1"/>
    </xf>
    <xf numFmtId="0" fontId="19" fillId="22" borderId="0" xfId="0" applyNumberFormat="1" applyFont="1" applyFill="1" applyAlignment="1">
      <alignment horizontal="left" vertical="top" wrapText="1"/>
    </xf>
    <xf numFmtId="0" fontId="19" fillId="3" borderId="0" xfId="0" applyNumberFormat="1" applyFont="1" applyFill="1" applyAlignment="1">
      <alignment horizontal="left" vertical="top"/>
    </xf>
    <xf numFmtId="0" fontId="19" fillId="22" borderId="0" xfId="0" applyNumberFormat="1" applyFont="1" applyFill="1" applyAlignment="1">
      <alignment horizontal="left" vertical="top"/>
    </xf>
    <xf numFmtId="49" fontId="18" fillId="3" borderId="0" xfId="0" applyNumberFormat="1" applyFont="1" applyFill="1" applyAlignment="1">
      <alignment horizontal="left" vertical="top"/>
    </xf>
    <xf numFmtId="49" fontId="1" fillId="3" borderId="0" xfId="0" applyNumberFormat="1" applyFont="1" applyFill="1" applyAlignment="1">
      <alignment horizontal="center" vertical="center"/>
    </xf>
    <xf numFmtId="49" fontId="1" fillId="3" borderId="0" xfId="0" applyNumberFormat="1" applyFont="1" applyFill="1" applyAlignment="1">
      <alignment horizontal="left" vertical="top"/>
    </xf>
    <xf numFmtId="0" fontId="18" fillId="3" borderId="24" xfId="0" applyNumberFormat="1" applyFont="1" applyFill="1" applyBorder="1" applyAlignment="1">
      <alignment horizontal="left" vertical="top"/>
    </xf>
    <xf numFmtId="0" fontId="18" fillId="22" borderId="24" xfId="0" applyNumberFormat="1" applyFont="1" applyFill="1" applyBorder="1" applyAlignment="1">
      <alignment horizontal="left" vertical="top"/>
    </xf>
    <xf numFmtId="0" fontId="11" fillId="3" borderId="0" xfId="0" applyNumberFormat="1" applyFont="1" applyFill="1" applyAlignment="1">
      <alignment horizontal="center" vertical="center"/>
    </xf>
    <xf numFmtId="49" fontId="1" fillId="0" borderId="0" xfId="0" applyNumberFormat="1" applyFont="1" applyAlignment="1">
      <alignment horizontal="center" vertical="center"/>
    </xf>
    <xf numFmtId="0" fontId="1" fillId="2" borderId="0" xfId="0" applyNumberFormat="1" applyFont="1" applyFill="1" applyAlignment="1">
      <alignment horizontal="center" vertical="center"/>
    </xf>
    <xf numFmtId="0" fontId="1"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1" fillId="2" borderId="60" xfId="0" applyNumberFormat="1" applyFont="1" applyFill="1" applyBorder="1" applyAlignment="1">
      <alignment horizontal="center" vertical="center"/>
    </xf>
    <xf numFmtId="0" fontId="12" fillId="2" borderId="60" xfId="0" applyNumberFormat="1" applyFont="1" applyFill="1" applyBorder="1" applyAlignment="1">
      <alignment horizontal="center" vertical="center"/>
    </xf>
    <xf numFmtId="0" fontId="12" fillId="7" borderId="60" xfId="0" applyNumberFormat="1" applyFont="1" applyFill="1" applyBorder="1" applyAlignment="1">
      <alignment horizontal="center" vertical="center"/>
    </xf>
    <xf numFmtId="0" fontId="1" fillId="2" borderId="0" xfId="0" applyNumberFormat="1" applyFont="1" applyFill="1" applyAlignment="1">
      <alignment horizontal="center" vertical="center"/>
    </xf>
    <xf numFmtId="0" fontId="12" fillId="2" borderId="0" xfId="0" applyNumberFormat="1" applyFont="1" applyFill="1" applyAlignment="1">
      <alignment horizontal="center" vertical="center"/>
    </xf>
    <xf numFmtId="0" fontId="12" fillId="7" borderId="0" xfId="0" applyNumberFormat="1" applyFont="1" applyFill="1" applyAlignment="1">
      <alignment horizontal="center" vertical="center"/>
    </xf>
    <xf numFmtId="0" fontId="1" fillId="2" borderId="0" xfId="0" applyNumberFormat="1" applyFont="1" applyFill="1" applyAlignment="1">
      <alignment horizontal="center" vertical="center"/>
    </xf>
    <xf numFmtId="0" fontId="12" fillId="2" borderId="0" xfId="0" applyNumberFormat="1" applyFont="1" applyFill="1" applyAlignment="1">
      <alignment horizontal="center" vertical="center"/>
    </xf>
    <xf numFmtId="0" fontId="12" fillId="7" borderId="0" xfId="0" applyNumberFormat="1" applyFont="1" applyFill="1" applyAlignment="1">
      <alignment horizontal="center" vertical="center"/>
    </xf>
    <xf numFmtId="49" fontId="12" fillId="7" borderId="60" xfId="0" applyNumberFormat="1" applyFont="1" applyFill="1" applyBorder="1" applyAlignment="1">
      <alignment horizontal="center" vertical="center"/>
    </xf>
    <xf numFmtId="0" fontId="18" fillId="7" borderId="0" xfId="0" applyNumberFormat="1" applyFont="1" applyFill="1" applyAlignment="1">
      <alignment horizontal="center" vertical="center"/>
    </xf>
    <xf numFmtId="0" fontId="18" fillId="7" borderId="0" xfId="0" applyNumberFormat="1" applyFont="1" applyFill="1" applyAlignment="1">
      <alignment horizontal="center" vertical="center"/>
    </xf>
    <xf numFmtId="0" fontId="18" fillId="7" borderId="0" xfId="0" applyNumberFormat="1" applyFont="1" applyFill="1" applyAlignment="1">
      <alignment vertical="center"/>
    </xf>
    <xf numFmtId="0" fontId="15" fillId="7" borderId="0" xfId="0" applyNumberFormat="1" applyFont="1" applyFill="1" applyAlignment="1">
      <alignment vertical="center"/>
    </xf>
    <xf numFmtId="0" fontId="6" fillId="7" borderId="0" xfId="0" applyNumberFormat="1" applyFont="1" applyFill="1" applyAlignment="1">
      <alignment horizontal="center" vertical="center"/>
    </xf>
    <xf numFmtId="0" fontId="18" fillId="7" borderId="0" xfId="0" applyNumberFormat="1" applyFont="1" applyFill="1" applyAlignment="1">
      <alignment horizontal="center" vertical="center" wrapText="1"/>
    </xf>
    <xf numFmtId="0" fontId="18" fillId="7" borderId="0" xfId="0" applyNumberFormat="1" applyFont="1" applyFill="1" applyAlignment="1">
      <alignment horizontal="left" vertical="top"/>
    </xf>
    <xf numFmtId="0" fontId="6"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1" fillId="7" borderId="0" xfId="0" applyNumberFormat="1" applyFont="1" applyFill="1">
      <alignment vertical="top"/>
    </xf>
    <xf numFmtId="0" fontId="12" fillId="7" borderId="0" xfId="0" applyNumberFormat="1" applyFont="1" applyFill="1" applyAlignment="1">
      <alignment vertical="center"/>
    </xf>
    <xf numFmtId="0" fontId="18" fillId="7" borderId="0" xfId="0" applyNumberFormat="1" applyFont="1" applyFill="1" applyAlignment="1">
      <alignment horizontal="center" vertical="center" wrapText="1"/>
    </xf>
    <xf numFmtId="0" fontId="18" fillId="7" borderId="0" xfId="0" applyNumberFormat="1" applyFont="1" applyFill="1" applyAlignment="1">
      <alignment vertical="center" wrapText="1"/>
    </xf>
    <xf numFmtId="0" fontId="6" fillId="7" borderId="0" xfId="0" applyNumberFormat="1" applyFont="1" applyFill="1" applyAlignment="1">
      <alignment horizontal="center" vertical="center"/>
    </xf>
    <xf numFmtId="0" fontId="6" fillId="7" borderId="0" xfId="0" applyNumberFormat="1" applyFont="1" applyFill="1" applyAlignment="1"/>
    <xf numFmtId="0" fontId="18" fillId="7" borderId="60" xfId="0" applyNumberFormat="1" applyFont="1" applyFill="1" applyBorder="1" applyAlignment="1">
      <alignment horizontal="center" vertical="center"/>
    </xf>
    <xf numFmtId="49" fontId="1" fillId="7" borderId="60" xfId="0" applyNumberFormat="1" applyFont="1" applyFill="1" applyBorder="1">
      <alignment vertical="top"/>
    </xf>
    <xf numFmtId="0" fontId="19" fillId="7" borderId="60" xfId="0" applyNumberFormat="1" applyFont="1" applyFill="1" applyBorder="1" applyAlignment="1">
      <alignment vertical="center"/>
    </xf>
    <xf numFmtId="0" fontId="18" fillId="7" borderId="60" xfId="0" applyNumberFormat="1" applyFont="1" applyFill="1" applyBorder="1" applyAlignment="1">
      <alignment vertical="center"/>
    </xf>
    <xf numFmtId="49" fontId="18" fillId="7" borderId="60" xfId="0" applyNumberFormat="1" applyFont="1" applyFill="1" applyBorder="1" applyAlignment="1">
      <alignment horizontal="center" vertical="center"/>
    </xf>
    <xf numFmtId="0" fontId="12" fillId="7" borderId="60" xfId="0" applyNumberFormat="1" applyFont="1" applyFill="1" applyBorder="1" applyAlignment="1">
      <alignment vertical="center"/>
    </xf>
    <xf numFmtId="0" fontId="18" fillId="2" borderId="0" xfId="0" applyNumberFormat="1" applyFont="1" applyFill="1" applyAlignment="1">
      <alignment horizontal="center" vertical="center" wrapText="1"/>
    </xf>
    <xf numFmtId="0" fontId="18" fillId="2" borderId="0" xfId="0" applyNumberFormat="1" applyFont="1" applyFill="1" applyAlignment="1">
      <alignment horizontal="center" vertical="center"/>
    </xf>
    <xf numFmtId="0" fontId="18" fillId="2" borderId="0" xfId="0" applyNumberFormat="1" applyFont="1" applyFill="1" applyAlignment="1">
      <alignment horizontal="center" vertical="center" wrapText="1"/>
    </xf>
    <xf numFmtId="0" fontId="12" fillId="2" borderId="0" xfId="0" applyNumberFormat="1" applyFont="1" applyFill="1" applyAlignment="1">
      <alignment horizontal="center" vertical="center" wrapText="1"/>
    </xf>
    <xf numFmtId="0" fontId="6" fillId="2" borderId="0" xfId="0" applyNumberFormat="1" applyFont="1" applyFill="1" applyAlignment="1">
      <alignment horizontal="center" vertical="center"/>
    </xf>
    <xf numFmtId="0" fontId="1" fillId="7" borderId="0" xfId="0" applyNumberFormat="1" applyFont="1" applyFill="1" applyAlignment="1">
      <alignment vertical="center"/>
    </xf>
    <xf numFmtId="0" fontId="12" fillId="7" borderId="0" xfId="0" applyNumberFormat="1" applyFont="1" applyFill="1" applyAlignment="1">
      <alignment vertical="center" wrapText="1"/>
    </xf>
    <xf numFmtId="0" fontId="14" fillId="7" borderId="60" xfId="0" applyNumberFormat="1" applyFont="1" applyFill="1" applyBorder="1" applyAlignment="1">
      <alignment vertical="center"/>
    </xf>
    <xf numFmtId="0" fontId="0" fillId="7" borderId="0" xfId="0" applyNumberFormat="1" applyFont="1" applyFill="1" applyAlignment="1">
      <alignment vertical="center"/>
    </xf>
    <xf numFmtId="0" fontId="6" fillId="7" borderId="0" xfId="0" applyNumberFormat="1" applyFont="1" applyFill="1" applyAlignment="1">
      <alignment vertical="center"/>
    </xf>
    <xf numFmtId="0" fontId="18" fillId="2" borderId="0" xfId="0" applyNumberFormat="1" applyFont="1" applyFill="1" applyAlignment="1">
      <alignment horizontal="left" vertical="center" wrapText="1"/>
    </xf>
    <xf numFmtId="0" fontId="18" fillId="2" borderId="60" xfId="0" applyNumberFormat="1" applyFont="1" applyFill="1" applyBorder="1" applyAlignment="1">
      <alignment horizontal="left" vertical="center" wrapText="1"/>
    </xf>
    <xf numFmtId="0" fontId="18"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2" fillId="2" borderId="0" xfId="0" applyNumberFormat="1" applyFont="1" applyFill="1" applyAlignment="1">
      <alignment horizontal="left" vertical="center" wrapText="1"/>
    </xf>
    <xf numFmtId="0" fontId="6" fillId="2" borderId="0" xfId="0" applyNumberFormat="1" applyFont="1" applyFill="1" applyAlignment="1">
      <alignment horizontal="left" vertical="center" wrapText="1"/>
    </xf>
    <xf numFmtId="0" fontId="18" fillId="2" borderId="0" xfId="0" applyNumberFormat="1" applyFont="1" applyFill="1" applyAlignment="1">
      <alignment horizontal="left" vertical="center" wrapText="1"/>
    </xf>
    <xf numFmtId="0" fontId="18" fillId="2" borderId="61" xfId="0" applyNumberFormat="1" applyFont="1" applyFill="1" applyBorder="1" applyAlignment="1">
      <alignment horizontal="left" vertical="center" wrapText="1"/>
    </xf>
    <xf numFmtId="0" fontId="18" fillId="7" borderId="0" xfId="0" applyNumberFormat="1" applyFont="1" applyFill="1" applyAlignment="1">
      <alignment horizontal="left" vertical="center"/>
    </xf>
    <xf numFmtId="0" fontId="12" fillId="7" borderId="0" xfId="0" applyNumberFormat="1" applyFont="1" applyFill="1" applyAlignment="1">
      <alignment horizontal="left" vertical="center"/>
    </xf>
    <xf numFmtId="0" fontId="18" fillId="7" borderId="0" xfId="0" applyNumberFormat="1" applyFont="1" applyFill="1" applyAlignment="1">
      <alignment horizontal="left" vertical="center"/>
    </xf>
    <xf numFmtId="0" fontId="42" fillId="7" borderId="0" xfId="0" applyNumberFormat="1" applyFont="1" applyFill="1" applyAlignment="1">
      <alignment vertical="center"/>
    </xf>
    <xf numFmtId="0" fontId="6" fillId="7" borderId="0" xfId="0" applyNumberFormat="1" applyFont="1" applyFill="1" applyAlignment="1">
      <alignment horizontal="center" vertical="center" wrapText="1"/>
    </xf>
    <xf numFmtId="0" fontId="6" fillId="7" borderId="0" xfId="0" applyNumberFormat="1" applyFont="1" applyFill="1" applyAlignment="1">
      <alignment horizontal="left" vertical="top"/>
    </xf>
    <xf numFmtId="0" fontId="1" fillId="7" borderId="0" xfId="0" applyNumberFormat="1" applyFont="1" applyFill="1" applyAlignment="1">
      <alignment vertical="center"/>
    </xf>
    <xf numFmtId="0" fontId="6" fillId="7" borderId="60" xfId="0" applyNumberFormat="1" applyFont="1" applyFill="1" applyBorder="1" applyAlignment="1">
      <alignment vertical="center"/>
    </xf>
    <xf numFmtId="0" fontId="6" fillId="7" borderId="62" xfId="0" applyNumberFormat="1" applyFont="1" applyFill="1" applyBorder="1" applyAlignment="1">
      <alignment vertical="center"/>
    </xf>
    <xf numFmtId="0" fontId="6"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6" fillId="2" borderId="0" xfId="0" applyNumberFormat="1" applyFont="1" applyFill="1" applyAlignment="1">
      <alignment horizontal="center" vertical="center" wrapText="1"/>
    </xf>
    <xf numFmtId="0" fontId="12" fillId="2" borderId="60" xfId="0" applyNumberFormat="1" applyFont="1" applyFill="1" applyBorder="1" applyAlignment="1">
      <alignment horizontal="center" vertical="center" wrapText="1"/>
    </xf>
    <xf numFmtId="0" fontId="12" fillId="2" borderId="61"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2" fillId="2" borderId="0" xfId="0" applyNumberFormat="1" applyFont="1" applyFill="1" applyAlignment="1">
      <alignment horizontal="left" vertical="center"/>
    </xf>
    <xf numFmtId="0" fontId="6" fillId="2" borderId="0" xfId="0" applyNumberFormat="1" applyFont="1" applyFill="1" applyAlignment="1">
      <alignment horizontal="left" vertical="center"/>
    </xf>
    <xf numFmtId="0" fontId="6" fillId="2" borderId="0" xfId="0" applyNumberFormat="1" applyFont="1" applyFill="1" applyAlignment="1">
      <alignment vertical="center" wrapText="1"/>
    </xf>
    <xf numFmtId="0" fontId="0" fillId="2" borderId="0" xfId="0" applyNumberFormat="1" applyFont="1" applyFill="1" applyAlignment="1">
      <alignment vertical="center" wrapText="1"/>
    </xf>
    <xf numFmtId="0" fontId="6" fillId="7" borderId="0" xfId="0" applyNumberFormat="1" applyFont="1" applyFill="1" applyAlignment="1">
      <alignment vertical="center" wrapText="1"/>
    </xf>
    <xf numFmtId="0" fontId="1" fillId="2" borderId="0" xfId="0" applyNumberFormat="1" applyFont="1" applyFill="1" applyAlignment="1">
      <alignment vertical="center" wrapText="1"/>
    </xf>
    <xf numFmtId="0" fontId="12" fillId="2" borderId="0" xfId="0" applyNumberFormat="1" applyFont="1" applyFill="1" applyAlignment="1">
      <alignment horizontal="center" vertical="center" wrapText="1"/>
    </xf>
    <xf numFmtId="0" fontId="18" fillId="2" borderId="60" xfId="0" applyNumberFormat="1" applyFont="1" applyFill="1" applyBorder="1" applyAlignment="1">
      <alignment horizontal="left" vertical="center"/>
    </xf>
    <xf numFmtId="0" fontId="12" fillId="7" borderId="0" xfId="0" applyNumberFormat="1" applyFont="1" applyFill="1" applyAlignment="1">
      <alignment vertical="center"/>
    </xf>
    <xf numFmtId="0" fontId="0" fillId="7" borderId="0" xfId="0" applyNumberFormat="1" applyFont="1" applyFill="1" applyAlignment="1">
      <alignment vertical="center"/>
    </xf>
    <xf numFmtId="0" fontId="18" fillId="7" borderId="0" xfId="0" applyNumberFormat="1" applyFont="1" applyFill="1" applyAlignment="1">
      <alignment vertical="center"/>
    </xf>
    <xf numFmtId="0" fontId="18" fillId="7" borderId="0" xfId="0" applyNumberFormat="1" applyFont="1" applyFill="1" applyAlignment="1">
      <alignment vertical="center" wrapText="1"/>
    </xf>
    <xf numFmtId="4" fontId="9" fillId="14" borderId="9" xfId="0" applyNumberFormat="1" applyFont="1" applyFill="1" applyBorder="1" applyAlignment="1">
      <alignment horizontal="right" vertical="center"/>
    </xf>
    <xf numFmtId="4" fontId="10" fillId="12" borderId="23" xfId="0" applyNumberFormat="1" applyFont="1" applyFill="1" applyBorder="1" applyAlignment="1" applyProtection="1">
      <alignment vertical="center" wrapText="1"/>
      <protection locked="0"/>
    </xf>
    <xf numFmtId="4" fontId="9" fillId="14" borderId="16" xfId="0" applyNumberFormat="1" applyFont="1" applyFill="1" applyBorder="1" applyAlignment="1">
      <alignment horizontal="right" vertical="center"/>
    </xf>
    <xf numFmtId="1" fontId="1" fillId="11" borderId="3" xfId="0" applyNumberFormat="1" applyFont="1" applyFill="1" applyBorder="1" applyAlignment="1" applyProtection="1">
      <alignment horizontal="left" vertical="center" wrapText="1" indent="1"/>
      <protection locked="0"/>
    </xf>
    <xf numFmtId="0" fontId="19" fillId="7" borderId="0" xfId="0" applyNumberFormat="1" applyFont="1" applyFill="1" applyAlignment="1">
      <alignment vertical="center"/>
    </xf>
    <xf numFmtId="0" fontId="18" fillId="7" borderId="63" xfId="0" applyNumberFormat="1" applyFont="1" applyFill="1" applyBorder="1" applyAlignment="1">
      <alignment vertical="center"/>
    </xf>
    <xf numFmtId="0" fontId="18" fillId="7" borderId="61" xfId="0" applyNumberFormat="1" applyFont="1" applyFill="1" applyBorder="1" applyAlignment="1">
      <alignment vertical="center"/>
    </xf>
    <xf numFmtId="0" fontId="12" fillId="7" borderId="63" xfId="0" applyNumberFormat="1" applyFont="1" applyFill="1" applyBorder="1" applyAlignment="1">
      <alignment vertical="center"/>
    </xf>
    <xf numFmtId="0" fontId="12" fillId="7" borderId="61" xfId="0" applyNumberFormat="1" applyFont="1" applyFill="1" applyBorder="1" applyAlignment="1">
      <alignment vertical="center"/>
    </xf>
    <xf numFmtId="0" fontId="18" fillId="3" borderId="0" xfId="0" applyNumberFormat="1" applyFont="1" applyFill="1" applyAlignment="1">
      <alignment horizontal="center" vertical="top"/>
    </xf>
    <xf numFmtId="0" fontId="18" fillId="22" borderId="0" xfId="0" applyNumberFormat="1" applyFont="1" applyFill="1" applyAlignment="1">
      <alignment horizontal="center" vertical="top"/>
    </xf>
    <xf numFmtId="49" fontId="1" fillId="0" borderId="9" xfId="0" applyNumberFormat="1" applyFont="1" applyBorder="1" applyAlignment="1">
      <alignment horizontal="left" vertical="center" wrapText="1" indent="1"/>
    </xf>
    <xf numFmtId="0" fontId="8" fillId="0" borderId="2" xfId="0" applyNumberFormat="1" applyFont="1" applyBorder="1" applyAlignment="1">
      <alignment horizontal="left" vertical="center" wrapText="1"/>
    </xf>
    <xf numFmtId="0" fontId="6" fillId="7" borderId="2" xfId="0" applyNumberFormat="1" applyFont="1" applyFill="1" applyBorder="1" applyAlignment="1">
      <alignment horizontal="center" vertical="center" wrapText="1"/>
    </xf>
    <xf numFmtId="0" fontId="6" fillId="7" borderId="14" xfId="0" applyNumberFormat="1" applyFont="1" applyFill="1" applyBorder="1" applyAlignment="1">
      <alignment horizontal="center" vertical="center" wrapText="1"/>
    </xf>
    <xf numFmtId="0" fontId="6" fillId="7" borderId="3" xfId="0" applyNumberFormat="1" applyFont="1" applyFill="1" applyBorder="1" applyAlignment="1">
      <alignment horizontal="center" vertical="center" wrapText="1"/>
    </xf>
    <xf numFmtId="0" fontId="6" fillId="7" borderId="16" xfId="0" applyNumberFormat="1" applyFont="1" applyFill="1" applyBorder="1" applyAlignment="1">
      <alignment horizontal="center" vertical="center" wrapText="1"/>
    </xf>
    <xf numFmtId="0" fontId="1" fillId="7" borderId="2" xfId="0" applyNumberFormat="1" applyFont="1" applyFill="1" applyBorder="1" applyAlignment="1">
      <alignment horizontal="center" vertical="center" wrapText="1"/>
    </xf>
    <xf numFmtId="0" fontId="6" fillId="7" borderId="43" xfId="0" applyNumberFormat="1" applyFont="1" applyFill="1" applyBorder="1" applyAlignment="1">
      <alignment horizontal="center" vertical="center" wrapText="1"/>
    </xf>
    <xf numFmtId="0" fontId="18" fillId="7" borderId="3" xfId="0" applyNumberFormat="1" applyFont="1" applyFill="1" applyBorder="1" applyAlignment="1">
      <alignment horizontal="center" vertical="center" wrapText="1"/>
    </xf>
    <xf numFmtId="0" fontId="8" fillId="7" borderId="3" xfId="0" applyNumberFormat="1" applyFont="1" applyFill="1" applyBorder="1" applyAlignment="1">
      <alignment horizontal="center" vertical="center" wrapText="1"/>
    </xf>
    <xf numFmtId="0" fontId="1" fillId="7" borderId="3" xfId="0" applyNumberFormat="1" applyFont="1" applyFill="1" applyBorder="1" applyAlignment="1">
      <alignment horizontal="center" vertical="center" wrapText="1"/>
    </xf>
    <xf numFmtId="49" fontId="1" fillId="7" borderId="3" xfId="0" applyNumberFormat="1" applyFont="1" applyFill="1" applyBorder="1" applyAlignment="1">
      <alignment horizontal="center" vertical="center" wrapText="1"/>
    </xf>
    <xf numFmtId="0" fontId="1" fillId="7" borderId="3" xfId="0" applyNumberFormat="1" applyFont="1" applyFill="1" applyBorder="1" applyAlignment="1">
      <alignment horizontal="center" vertical="center" wrapText="1"/>
    </xf>
    <xf numFmtId="0" fontId="12" fillId="0" borderId="0" xfId="0" applyNumberFormat="1" applyFont="1" applyAlignment="1">
      <alignment horizontal="center" vertical="center"/>
    </xf>
    <xf numFmtId="0" fontId="6" fillId="0" borderId="0" xfId="0" applyNumberFormat="1" applyFont="1" applyAlignment="1">
      <alignment horizontal="center" vertical="center"/>
    </xf>
    <xf numFmtId="0" fontId="6"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2" fillId="0" borderId="0" xfId="0" applyNumberFormat="1" applyFont="1" applyAlignment="1">
      <alignment vertical="center"/>
    </xf>
    <xf numFmtId="0" fontId="1" fillId="30" borderId="2" xfId="0" applyNumberFormat="1" applyFont="1" applyFill="1" applyBorder="1" applyAlignment="1" applyProtection="1">
      <alignment horizontal="left" vertical="center" wrapText="1" indent="1"/>
      <protection locked="0"/>
    </xf>
    <xf numFmtId="49" fontId="6" fillId="11" borderId="2" xfId="0" applyNumberFormat="1" applyFont="1" applyFill="1" applyBorder="1" applyAlignment="1">
      <alignment horizontal="left" vertical="center" wrapText="1" indent="1"/>
    </xf>
    <xf numFmtId="49" fontId="1"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170" fontId="6" fillId="11" borderId="2" xfId="0" applyNumberFormat="1" applyFont="1" applyFill="1" applyBorder="1" applyAlignment="1" applyProtection="1">
      <alignment horizontal="left" vertical="center" wrapText="1" indent="1"/>
      <protection locked="0"/>
    </xf>
    <xf numFmtId="49" fontId="38" fillId="12" borderId="2" xfId="0" applyNumberFormat="1" applyFont="1" applyFill="1" applyBorder="1" applyAlignment="1" applyProtection="1">
      <alignment horizontal="left" vertical="center" wrapText="1" indent="1"/>
      <protection locked="0"/>
    </xf>
    <xf numFmtId="49" fontId="68" fillId="12" borderId="2"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170" fontId="6" fillId="11" borderId="2" xfId="0" applyNumberFormat="1" applyFont="1" applyFill="1" applyBorder="1" applyAlignment="1" applyProtection="1">
      <alignment horizontal="left" vertical="center" wrapText="1" indent="2"/>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0"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6" fillId="11" borderId="2" xfId="7" applyNumberFormat="1" applyFont="1" applyFill="1" applyBorder="1" applyProtection="1">
      <alignment horizontal="left" vertical="center" wrapText="1" indent="1"/>
      <protection locked="0"/>
    </xf>
    <xf numFmtId="49" fontId="1" fillId="0" borderId="0" xfId="0" applyNumberFormat="1" applyFont="1">
      <alignment vertical="top"/>
    </xf>
    <xf numFmtId="0" fontId="1" fillId="11" borderId="2" xfId="8" applyFont="1" applyFill="1" applyBorder="1" applyProtection="1">
      <alignment horizontal="left" vertical="center" wrapText="1" indent="1"/>
      <protection locked="0"/>
    </xf>
    <xf numFmtId="49" fontId="1" fillId="0" borderId="0" xfId="0" applyNumberFormat="1" applyFont="1">
      <alignment vertical="top"/>
    </xf>
    <xf numFmtId="0" fontId="6" fillId="11" borderId="2" xfId="9"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2" borderId="2" xfId="10" applyFont="1" applyFill="1" applyBorder="1" applyProtection="1">
      <alignment horizontal="left" vertical="center" wrapText="1" indent="1"/>
      <protection locked="0"/>
    </xf>
    <xf numFmtId="49" fontId="1" fillId="0" borderId="0" xfId="0" applyNumberFormat="1" applyFont="1">
      <alignment vertical="top"/>
    </xf>
    <xf numFmtId="170" fontId="6" fillId="12" borderId="2" xfId="11"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1" borderId="3" xfId="12" applyFont="1" applyFill="1" applyBorder="1" applyProtection="1">
      <alignment horizontal="left" vertical="center" wrapText="1" indent="1"/>
      <protection locked="0"/>
    </xf>
    <xf numFmtId="49" fontId="1" fillId="0" borderId="0" xfId="0" applyNumberFormat="1" applyFont="1">
      <alignment vertical="top"/>
    </xf>
    <xf numFmtId="1" fontId="1" fillId="11" borderId="3" xfId="13"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68"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lignment horizontal="right" vertical="center" wrapText="1" indent="1"/>
    </xf>
    <xf numFmtId="49" fontId="1" fillId="11" borderId="2" xfId="0" applyNumberFormat="1" applyFont="1" applyFill="1" applyBorder="1" applyAlignment="1">
      <alignment horizontal="left" vertical="center" wrapText="1" indent="1"/>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2" borderId="5" xfId="15"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1" fillId="12" borderId="3" xfId="16"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2" xfId="17" applyNumberFormat="1" applyFont="1" applyFill="1" applyBorder="1" applyProtection="1">
      <alignment horizontal="right" vertical="center"/>
      <protection locked="0"/>
    </xf>
    <xf numFmtId="0" fontId="1" fillId="12" borderId="3" xfId="18"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6" xfId="19" applyNumberFormat="1" applyFont="1" applyFill="1" applyBorder="1" applyProtection="1">
      <alignment horizontal="right" vertical="center"/>
      <protection locked="0"/>
    </xf>
    <xf numFmtId="0" fontId="0" fillId="0" borderId="0" xfId="0" applyNumberFormat="1" applyFont="1" applyAlignment="1"/>
    <xf numFmtId="4" fontId="1" fillId="12" borderId="3" xfId="2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1" fillId="12" borderId="7" xfId="21"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8" xfId="22" applyNumberFormat="1" applyFont="1" applyFill="1" applyBorder="1" applyProtection="1">
      <alignment horizontal="right" vertical="center"/>
      <protection locked="0"/>
    </xf>
    <xf numFmtId="0" fontId="0" fillId="0" borderId="0" xfId="0" applyNumberFormat="1" applyFont="1" applyAlignment="1"/>
    <xf numFmtId="4" fontId="1" fillId="12" borderId="9" xfId="2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10" xfId="2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6" fillId="12" borderId="12" xfId="0" applyNumberFormat="1" applyFont="1" applyFill="1" applyBorder="1" applyAlignment="1">
      <alignment horizontal="right" vertical="center"/>
    </xf>
    <xf numFmtId="4" fontId="6" fillId="12" borderId="2" xfId="25" applyNumberFormat="1" applyFont="1" applyFill="1" applyBorder="1" applyProtection="1">
      <alignment horizontal="right" vertical="center"/>
      <protection locked="0"/>
    </xf>
    <xf numFmtId="4" fontId="6" fillId="12" borderId="12" xfId="29" applyNumberFormat="1" applyFont="1" applyFill="1" applyBorder="1" applyProtection="1">
      <alignment horizontal="right" vertical="center"/>
      <protection locked="0"/>
    </xf>
    <xf numFmtId="2" fontId="6" fillId="12" borderId="2" xfId="30" applyNumberFormat="1" applyFont="1" applyFill="1" applyBorder="1" applyProtection="1">
      <alignment horizontal="right" vertical="center"/>
      <protection locked="0"/>
    </xf>
    <xf numFmtId="0" fontId="6" fillId="12" borderId="2" xfId="31" applyFont="1" applyFill="1" applyBorder="1" applyProtection="1">
      <alignment horizontal="left" vertical="center" wrapText="1"/>
      <protection locked="0"/>
    </xf>
    <xf numFmtId="4" fontId="1" fillId="12" borderId="3" xfId="32" applyNumberFormat="1" applyFont="1" applyFill="1" applyBorder="1" applyProtection="1">
      <alignment horizontal="right" vertical="center" wrapText="1"/>
      <protection locked="0"/>
    </xf>
    <xf numFmtId="4" fontId="1" fillId="12" borderId="7" xfId="33" applyNumberFormat="1" applyFont="1" applyFill="1" applyBorder="1" applyProtection="1">
      <alignment horizontal="right" vertical="center" wrapText="1"/>
      <protection locked="0"/>
    </xf>
    <xf numFmtId="4" fontId="1" fillId="12" borderId="9" xfId="34" applyNumberFormat="1" applyFont="1" applyFill="1" applyBorder="1" applyProtection="1">
      <alignment horizontal="right" vertical="center" wrapText="1"/>
      <protection locked="0"/>
    </xf>
    <xf numFmtId="4" fontId="1" fillId="12" borderId="12" xfId="35" applyNumberFormat="1" applyFont="1" applyFill="1" applyBorder="1" applyProtection="1">
      <alignment horizontal="right" vertical="center" wrapText="1"/>
      <protection locked="0"/>
    </xf>
    <xf numFmtId="4" fontId="1" fillId="12" borderId="13" xfId="36" applyNumberFormat="1" applyFont="1" applyFill="1" applyBorder="1" applyProtection="1">
      <alignment horizontal="right" vertical="center" wrapText="1"/>
      <protection locked="0"/>
    </xf>
    <xf numFmtId="0" fontId="6" fillId="12" borderId="11" xfId="27" applyFont="1" applyFill="1" applyBorder="1" applyProtection="1">
      <alignment horizontal="left" vertical="center" wrapText="1"/>
      <protection locked="0"/>
    </xf>
    <xf numFmtId="0" fontId="6" fillId="12" borderId="3" xfId="37" applyFont="1" applyFill="1" applyBorder="1" applyProtection="1">
      <alignment horizontal="left" vertical="center" wrapText="1"/>
      <protection locked="0"/>
    </xf>
    <xf numFmtId="0" fontId="6" fillId="12" borderId="12" xfId="38" applyFont="1" applyFill="1" applyBorder="1" applyProtection="1">
      <alignment horizontal="left" vertical="center" wrapText="1"/>
      <protection locked="0"/>
    </xf>
    <xf numFmtId="4" fontId="1" fillId="12" borderId="14" xfId="39" applyNumberFormat="1" applyFont="1" applyFill="1" applyBorder="1" applyProtection="1">
      <alignment horizontal="right" vertical="center" wrapText="1"/>
      <protection locked="0"/>
    </xf>
    <xf numFmtId="4" fontId="1" fillId="12" borderId="15" xfId="40" applyNumberFormat="1" applyFont="1" applyFill="1" applyBorder="1" applyProtection="1">
      <alignment horizontal="right" vertical="center" wrapText="1"/>
      <protection locked="0"/>
    </xf>
    <xf numFmtId="49" fontId="1" fillId="0" borderId="0" xfId="0" applyNumberFormat="1" applyFont="1">
      <alignment vertical="top"/>
    </xf>
    <xf numFmtId="4" fontId="1" fillId="12" borderId="3" xfId="45" applyNumberFormat="1" applyFont="1" applyFill="1" applyBorder="1" applyProtection="1">
      <alignment vertical="center"/>
      <protection locked="0"/>
    </xf>
    <xf numFmtId="4" fontId="1" fillId="12" borderId="9" xfId="44" applyNumberFormat="1" applyFont="1" applyFill="1" applyBorder="1" applyProtection="1">
      <alignment vertical="center"/>
      <protection locked="0"/>
    </xf>
    <xf numFmtId="49" fontId="7" fillId="12" borderId="9" xfId="46" applyNumberFormat="1" applyFont="1" applyFill="1" applyBorder="1" applyProtection="1">
      <alignment horizontal="left" vertical="center" wrapText="1" indent="1"/>
      <protection locked="0"/>
    </xf>
    <xf numFmtId="49" fontId="7" fillId="12" borderId="3" xfId="47" applyNumberFormat="1" applyFont="1" applyFill="1" applyBorder="1" applyProtection="1">
      <alignment horizontal="left" vertical="center" wrapText="1" indent="1"/>
      <protection locked="0"/>
    </xf>
    <xf numFmtId="9" fontId="1" fillId="12" borderId="9" xfId="48" applyNumberFormat="1" applyFont="1" applyFill="1" applyBorder="1" applyProtection="1">
      <alignment vertical="center"/>
      <protection locked="0"/>
    </xf>
    <xf numFmtId="10" fontId="1" fillId="12" borderId="9" xfId="50" applyNumberFormat="1" applyFont="1" applyFill="1" applyBorder="1" applyProtection="1">
      <alignment vertical="center"/>
      <protection locked="0"/>
    </xf>
    <xf numFmtId="10" fontId="1" fillId="12" borderId="3" xfId="51" applyNumberFormat="1" applyFont="1" applyFill="1" applyBorder="1" applyProtection="1">
      <alignment vertical="center"/>
      <protection locked="0"/>
    </xf>
    <xf numFmtId="9" fontId="1" fillId="12" borderId="3" xfId="52" applyNumberFormat="1" applyFont="1" applyFill="1" applyBorder="1" applyProtection="1">
      <alignment vertical="center"/>
      <protection locked="0"/>
    </xf>
    <xf numFmtId="4" fontId="8" fillId="12" borderId="9" xfId="54" applyNumberFormat="1" applyFont="1" applyFill="1" applyBorder="1" applyProtection="1">
      <alignment vertical="center"/>
      <protection locked="0"/>
    </xf>
    <xf numFmtId="4" fontId="1" fillId="12" borderId="11" xfId="0" applyNumberFormat="1" applyFont="1" applyFill="1" applyBorder="1" applyAlignment="1">
      <alignment horizontal="right" vertical="center"/>
    </xf>
    <xf numFmtId="4" fontId="1" fillId="14" borderId="11" xfId="0" applyNumberFormat="1" applyFont="1" applyFill="1" applyBorder="1" applyAlignment="1">
      <alignment horizontal="right" vertical="center"/>
    </xf>
    <xf numFmtId="4" fontId="8" fillId="12" borderId="12" xfId="55" applyNumberFormat="1" applyFont="1" applyFill="1" applyBorder="1" applyProtection="1">
      <alignment horizontal="right" vertical="center"/>
      <protection locked="0"/>
    </xf>
    <xf numFmtId="4" fontId="6" fillId="12" borderId="3" xfId="56" applyNumberFormat="1" applyFont="1" applyFill="1" applyBorder="1" applyProtection="1">
      <alignment horizontal="right" vertical="center"/>
      <protection locked="0"/>
    </xf>
    <xf numFmtId="169" fontId="1" fillId="12" borderId="2" xfId="57" applyNumberFormat="1" applyFont="1" applyFill="1" applyBorder="1" applyProtection="1">
      <alignment horizontal="right" vertical="center"/>
      <protection locked="0"/>
    </xf>
    <xf numFmtId="4" fontId="1" fillId="12" borderId="11" xfId="0" applyNumberFormat="1" applyFont="1" applyFill="1" applyBorder="1" applyAlignment="1">
      <alignment horizontal="right" vertical="center"/>
    </xf>
    <xf numFmtId="4" fontId="1" fillId="14" borderId="11" xfId="0" applyNumberFormat="1" applyFont="1" applyFill="1" applyBorder="1" applyAlignment="1">
      <alignment horizontal="right" vertical="center"/>
    </xf>
    <xf numFmtId="0" fontId="1" fillId="11" borderId="2" xfId="58" applyFont="1" applyFill="1" applyBorder="1" applyProtection="1">
      <alignment horizontal="left" vertical="center" wrapText="1"/>
      <protection locked="0"/>
    </xf>
    <xf numFmtId="4" fontId="1" fillId="12" borderId="11" xfId="0" applyNumberFormat="1" applyFont="1" applyFill="1" applyBorder="1" applyAlignment="1" applyProtection="1">
      <alignment horizontal="right" vertical="center"/>
      <protection locked="0"/>
    </xf>
    <xf numFmtId="4" fontId="8" fillId="12" borderId="3" xfId="61" applyNumberFormat="1" applyFont="1" applyFill="1" applyBorder="1" applyProtection="1">
      <alignment horizontal="right" vertical="center"/>
      <protection locked="0"/>
    </xf>
    <xf numFmtId="4" fontId="1" fillId="12" borderId="11" xfId="0" applyNumberFormat="1" applyFont="1" applyFill="1" applyBorder="1" applyAlignment="1">
      <alignment horizontal="right" vertical="center"/>
    </xf>
    <xf numFmtId="4" fontId="1" fillId="14" borderId="11" xfId="0" applyNumberFormat="1" applyFont="1" applyFill="1" applyBorder="1" applyAlignment="1">
      <alignment horizontal="right" vertical="center"/>
    </xf>
    <xf numFmtId="4" fontId="1" fillId="12" borderId="11" xfId="0" applyNumberFormat="1" applyFont="1" applyFill="1" applyBorder="1" applyAlignment="1" applyProtection="1">
      <alignment horizontal="right" vertical="center"/>
      <protection locked="0"/>
    </xf>
    <xf numFmtId="4" fontId="1" fillId="12" borderId="2" xfId="43" applyNumberFormat="1" applyFont="1" applyFill="1" applyBorder="1" applyProtection="1">
      <alignment horizontal="right" vertical="center" wrapText="1"/>
      <protection locked="0"/>
    </xf>
    <xf numFmtId="0" fontId="1" fillId="12" borderId="2" xfId="6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12" fillId="3" borderId="0" xfId="66" applyFont="1" applyFill="1">
      <alignment vertical="top"/>
    </xf>
    <xf numFmtId="0" fontId="1" fillId="11" borderId="3" xfId="0" applyNumberFormat="1" applyFont="1" applyFill="1" applyBorder="1" applyAlignment="1">
      <alignment horizontal="center" vertical="center"/>
    </xf>
    <xf numFmtId="49" fontId="1" fillId="0" borderId="0" xfId="66" applyNumberFormat="1" applyFont="1">
      <alignment vertical="top"/>
    </xf>
    <xf numFmtId="0" fontId="1" fillId="11" borderId="3" xfId="0" applyNumberFormat="1" applyFont="1" applyFill="1" applyBorder="1" applyAlignment="1">
      <alignment horizontal="center" vertical="center"/>
    </xf>
    <xf numFmtId="0" fontId="1" fillId="11" borderId="3" xfId="0" applyNumberFormat="1" applyFont="1" applyFill="1" applyBorder="1" applyAlignment="1" applyProtection="1">
      <alignment horizontal="center" vertical="center"/>
      <protection locked="0"/>
    </xf>
    <xf numFmtId="0" fontId="1" fillId="11" borderId="3" xfId="0" applyNumberFormat="1" applyFont="1" applyFill="1" applyBorder="1" applyAlignment="1">
      <alignment horizontal="center" vertical="center"/>
    </xf>
    <xf numFmtId="0" fontId="1" fillId="11" borderId="3" xfId="0" applyNumberFormat="1" applyFont="1" applyFill="1" applyBorder="1" applyAlignment="1" applyProtection="1">
      <alignment horizontal="center" vertical="center"/>
      <protection locked="0"/>
    </xf>
    <xf numFmtId="0" fontId="1" fillId="11" borderId="3" xfId="0" applyNumberFormat="1" applyFont="1" applyFill="1" applyBorder="1" applyAlignment="1">
      <alignment horizontal="center" vertical="center"/>
    </xf>
    <xf numFmtId="0" fontId="1" fillId="11" borderId="3" xfId="0" applyNumberFormat="1" applyFont="1" applyFill="1" applyBorder="1" applyAlignment="1" applyProtection="1">
      <alignment horizontal="center" vertical="center"/>
      <protection locked="0"/>
    </xf>
    <xf numFmtId="0" fontId="1" fillId="11" borderId="3" xfId="0" applyNumberFormat="1" applyFont="1" applyFill="1" applyBorder="1" applyAlignment="1">
      <alignment horizontal="center" vertical="center"/>
    </xf>
    <xf numFmtId="0" fontId="1" fillId="11" borderId="3" xfId="0" applyNumberFormat="1" applyFont="1" applyFill="1" applyBorder="1" applyAlignment="1" applyProtection="1">
      <alignment horizontal="center" vertical="center"/>
      <protection locked="0"/>
    </xf>
    <xf numFmtId="4" fontId="6" fillId="12" borderId="3" xfId="68"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6" fillId="12" borderId="3" xfId="69"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6" fillId="0" borderId="0" xfId="0" applyNumberFormat="1" applyFont="1" applyAlignment="1"/>
    <xf numFmtId="4" fontId="0" fillId="12" borderId="3" xfId="71" applyNumberFormat="1" applyFont="1" applyFill="1" applyBorder="1" applyProtection="1">
      <alignment horizontal="right" vertical="center" wrapText="1"/>
      <protection locked="0"/>
    </xf>
    <xf numFmtId="169" fontId="0" fillId="12" borderId="3" xfId="72" applyNumberFormat="1" applyFont="1" applyFill="1" applyBorder="1" applyProtection="1">
      <alignment horizontal="right" vertical="center" wrapText="1"/>
      <protection locked="0"/>
    </xf>
    <xf numFmtId="0" fontId="16" fillId="0" borderId="0" xfId="0" applyNumberFormat="1" applyFont="1" applyAlignment="1"/>
    <xf numFmtId="0" fontId="16" fillId="0" borderId="0" xfId="0" applyNumberFormat="1" applyFont="1" applyAlignment="1"/>
    <xf numFmtId="0" fontId="16" fillId="0" borderId="0" xfId="0" applyNumberFormat="1" applyFont="1" applyAlignment="1"/>
    <xf numFmtId="0" fontId="6" fillId="0" borderId="0" xfId="0" applyNumberFormat="1" applyFont="1" applyAlignment="1">
      <alignment horizontal="center" vertical="center"/>
    </xf>
    <xf numFmtId="0" fontId="0" fillId="0" borderId="0" xfId="0" applyNumberFormat="1" applyFont="1" applyAlignment="1"/>
    <xf numFmtId="0" fontId="69" fillId="0" borderId="0" xfId="0" applyNumberFormat="1" applyFont="1" applyAlignment="1">
      <alignment vertical="center" wrapText="1"/>
    </xf>
    <xf numFmtId="4" fontId="9" fillId="12" borderId="3" xfId="73" applyNumberFormat="1" applyFont="1" applyFill="1" applyBorder="1" applyProtection="1">
      <alignment horizontal="right" vertical="center"/>
      <protection locked="0"/>
    </xf>
    <xf numFmtId="169" fontId="6" fillId="12" borderId="3" xfId="74" applyNumberFormat="1" applyFont="1" applyFill="1" applyBorder="1" applyProtection="1">
      <alignment horizontal="right" vertical="center"/>
      <protection locked="0"/>
    </xf>
    <xf numFmtId="0" fontId="69" fillId="0" borderId="0" xfId="0" applyNumberFormat="1" applyFont="1" applyAlignment="1">
      <alignment horizontal="center" vertical="center" wrapText="1"/>
    </xf>
    <xf numFmtId="0" fontId="69" fillId="0" borderId="0" xfId="0" applyNumberFormat="1" applyFont="1" applyAlignment="1">
      <alignment vertical="center"/>
    </xf>
    <xf numFmtId="0" fontId="69" fillId="0" borderId="0" xfId="0" applyNumberFormat="1" applyFont="1" applyAlignment="1">
      <alignment vertical="center"/>
    </xf>
    <xf numFmtId="49" fontId="1" fillId="11" borderId="7" xfId="76" applyNumberFormat="1" applyFont="1" applyFill="1" applyBorder="1" applyProtection="1">
      <alignment horizontal="left" vertical="center" wrapText="1" indent="1"/>
      <protection locked="0"/>
    </xf>
    <xf numFmtId="4" fontId="6" fillId="12" borderId="7" xfId="77" applyNumberFormat="1" applyFont="1" applyFill="1" applyBorder="1" applyProtection="1">
      <alignment horizontal="right" vertical="center"/>
      <protection locked="0"/>
    </xf>
    <xf numFmtId="4" fontId="6" fillId="12" borderId="10" xfId="78" applyNumberFormat="1" applyFont="1" applyFill="1" applyBorder="1" applyProtection="1">
      <alignment horizontal="right" vertical="center"/>
      <protection locked="0"/>
    </xf>
    <xf numFmtId="0" fontId="0" fillId="0" borderId="0" xfId="0" applyNumberFormat="1" applyFont="1" applyAlignment="1"/>
    <xf numFmtId="0" fontId="69" fillId="0" borderId="0" xfId="0" applyNumberFormat="1" applyFont="1" applyAlignment="1">
      <alignment vertical="center" wrapText="1"/>
    </xf>
    <xf numFmtId="0" fontId="69" fillId="0" borderId="0" xfId="0" applyNumberFormat="1" applyFont="1" applyAlignment="1">
      <alignment horizontal="center" vertical="center" wrapText="1"/>
    </xf>
    <xf numFmtId="0" fontId="69" fillId="0" borderId="0" xfId="0" applyNumberFormat="1" applyFont="1" applyAlignment="1">
      <alignment vertical="center"/>
    </xf>
    <xf numFmtId="0" fontId="69" fillId="0" borderId="0" xfId="0" applyNumberFormat="1" applyFont="1" applyAlignment="1">
      <alignment vertical="center"/>
    </xf>
    <xf numFmtId="0" fontId="0" fillId="0" borderId="0" xfId="0" applyNumberFormat="1" applyFont="1" applyAlignment="1"/>
    <xf numFmtId="2" fontId="7" fillId="12" borderId="3" xfId="79" applyNumberFormat="1" applyFont="1" applyFill="1" applyBorder="1" applyProtection="1">
      <alignment vertical="center" wrapText="1"/>
      <protection locked="0"/>
    </xf>
    <xf numFmtId="0" fontId="69" fillId="0" borderId="0" xfId="0" applyNumberFormat="1" applyFont="1" applyAlignment="1">
      <alignment horizontal="center" vertical="center" wrapText="1"/>
    </xf>
    <xf numFmtId="2" fontId="7" fillId="12" borderId="7" xfId="80" applyNumberFormat="1" applyFont="1" applyFill="1" applyBorder="1" applyProtection="1">
      <alignment vertical="center" wrapText="1"/>
      <protection locked="0"/>
    </xf>
    <xf numFmtId="0" fontId="62" fillId="15" borderId="0" xfId="0" applyNumberFormat="1" applyFont="1" applyFill="1" applyAlignment="1">
      <alignment vertical="center"/>
    </xf>
    <xf numFmtId="2" fontId="6" fillId="12" borderId="3" xfId="82" applyNumberFormat="1" applyFont="1" applyFill="1" applyBorder="1" applyProtection="1">
      <alignment horizontal="right" vertical="center"/>
      <protection locked="0"/>
    </xf>
    <xf numFmtId="0" fontId="0" fillId="0" borderId="0" xfId="0" applyNumberFormat="1" applyFont="1" applyAlignment="1"/>
    <xf numFmtId="0" fontId="69" fillId="0" borderId="0" xfId="0" applyNumberFormat="1" applyFont="1" applyAlignment="1">
      <alignment horizontal="center" vertical="center" wrapText="1"/>
    </xf>
    <xf numFmtId="0" fontId="62" fillId="15" borderId="0" xfId="0" applyNumberFormat="1" applyFont="1" applyFill="1" applyAlignment="1">
      <alignment vertical="center"/>
    </xf>
    <xf numFmtId="0" fontId="0" fillId="0" borderId="0" xfId="0" applyNumberFormat="1" applyFont="1" applyAlignment="1"/>
    <xf numFmtId="0" fontId="0" fillId="0" borderId="0" xfId="0" applyNumberFormat="1" applyFont="1" applyAlignment="1"/>
    <xf numFmtId="4" fontId="7" fillId="12" borderId="3" xfId="83" applyNumberFormat="1" applyFont="1" applyFill="1" applyBorder="1" applyProtection="1">
      <alignment vertical="center" wrapText="1"/>
      <protection locked="0"/>
    </xf>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4" fontId="10" fillId="12" borderId="3" xfId="84"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1" fillId="12" borderId="3" xfId="85" applyNumberFormat="1" applyFont="1" applyFill="1" applyBorder="1" applyProtection="1">
      <alignment horizontal="right" vertical="center" wrapText="1"/>
      <protection locked="0"/>
    </xf>
    <xf numFmtId="2" fontId="1" fillId="12" borderId="3" xfId="88"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4" fontId="7" fillId="12" borderId="7" xfId="91" applyNumberFormat="1" applyFont="1" applyFill="1" applyBorder="1" applyProtection="1">
      <alignment vertical="center" wrapText="1"/>
      <protection locked="0"/>
    </xf>
    <xf numFmtId="0" fontId="62" fillId="0" borderId="24" xfId="0" applyNumberFormat="1" applyFont="1" applyBorder="1" applyAlignment="1">
      <alignment vertical="center"/>
    </xf>
    <xf numFmtId="49" fontId="7" fillId="11" borderId="3" xfId="93" applyNumberFormat="1" applyFont="1" applyFill="1" applyBorder="1" applyProtection="1">
      <alignment vertical="center" wrapText="1"/>
      <protection locked="0"/>
    </xf>
    <xf numFmtId="4" fontId="7" fillId="12" borderId="16" xfId="94" applyNumberFormat="1" applyFont="1" applyFill="1" applyBorder="1" applyProtection="1">
      <alignment vertical="center" wrapText="1"/>
      <protection locked="0"/>
    </xf>
    <xf numFmtId="4" fontId="7" fillId="12" borderId="9" xfId="95" applyNumberFormat="1" applyFont="1" applyFill="1" applyBorder="1" applyProtection="1">
      <alignment vertical="center" wrapText="1"/>
      <protection locked="0"/>
    </xf>
    <xf numFmtId="0" fontId="62" fillId="0" borderId="24" xfId="0" applyNumberFormat="1" applyFont="1" applyBorder="1" applyAlignment="1">
      <alignment vertical="center"/>
    </xf>
    <xf numFmtId="4" fontId="7" fillId="12" borderId="10" xfId="96" applyNumberFormat="1" applyFont="1" applyFill="1" applyBorder="1" applyProtection="1">
      <alignment vertical="center" wrapText="1"/>
      <protection locked="0"/>
    </xf>
    <xf numFmtId="4" fontId="6" fillId="12" borderId="16" xfId="97" applyNumberFormat="1" applyFont="1" applyFill="1" applyBorder="1" applyProtection="1">
      <alignment horizontal="right" vertical="center"/>
      <protection locked="0"/>
    </xf>
    <xf numFmtId="4" fontId="6" fillId="12" borderId="9" xfId="98" applyNumberFormat="1" applyFont="1" applyFill="1" applyBorder="1" applyProtection="1">
      <alignment horizontal="right" vertical="center"/>
      <protection locked="0"/>
    </xf>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 fillId="12" borderId="3" xfId="99"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1" fillId="12" borderId="3" xfId="100" applyNumberFormat="1" applyFont="1" applyFill="1" applyBorder="1" applyProtection="1">
      <alignment horizontal="right" vertical="center"/>
      <protection locked="0"/>
    </xf>
    <xf numFmtId="0" fontId="0" fillId="0" borderId="0" xfId="0" applyNumberFormat="1" applyFont="1" applyAlignment="1"/>
    <xf numFmtId="0" fontId="1" fillId="12" borderId="7" xfId="101" applyFont="1" applyFill="1" applyBorder="1" applyProtection="1">
      <alignment horizontal="left" vertical="center"/>
      <protection locked="0"/>
    </xf>
    <xf numFmtId="0" fontId="1" fillId="12" borderId="7" xfId="102"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21" xfId="10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0" fillId="0" borderId="0" xfId="0" applyNumberFormat="1" applyFont="1" applyAlignment="1"/>
    <xf numFmtId="0" fontId="69" fillId="0" borderId="0" xfId="0" applyNumberFormat="1" applyFont="1" applyAlignment="1">
      <alignment vertical="center"/>
    </xf>
    <xf numFmtId="0" fontId="69" fillId="0" borderId="0" xfId="0" applyNumberFormat="1" applyFont="1" applyAlignment="1">
      <alignment vertical="center"/>
    </xf>
    <xf numFmtId="0" fontId="16" fillId="0" borderId="0" xfId="0" applyNumberFormat="1" applyFont="1" applyAlignment="1"/>
    <xf numFmtId="0" fontId="16" fillId="0" borderId="0" xfId="0" applyNumberFormat="1" applyFont="1" applyAlignment="1"/>
    <xf numFmtId="0" fontId="0" fillId="38" borderId="0" xfId="0" applyNumberFormat="1" applyFont="1" applyFill="1" applyAlignment="1">
      <alignment horizontal="center" vertical="center"/>
    </xf>
    <xf numFmtId="49" fontId="1" fillId="11" borderId="2" xfId="0" applyNumberFormat="1" applyFont="1" applyFill="1" applyBorder="1" applyAlignment="1">
      <alignment horizontal="left" vertical="center" wrapText="1"/>
    </xf>
    <xf numFmtId="0" fontId="6" fillId="0" borderId="0" xfId="109" applyFont="1" applyAlignment="1">
      <alignment horizontal="left" vertical="center"/>
    </xf>
    <xf numFmtId="0" fontId="16" fillId="0" borderId="0" xfId="0" applyNumberFormat="1" applyFont="1" applyAlignment="1">
      <alignment vertical="center"/>
    </xf>
    <xf numFmtId="4" fontId="9" fillId="12" borderId="2" xfId="106" applyNumberFormat="1" applyFont="1" applyFill="1" applyBorder="1" applyProtection="1">
      <alignment horizontal="right" vertical="center"/>
      <protection locked="0"/>
    </xf>
    <xf numFmtId="0" fontId="16" fillId="0" borderId="0" xfId="0" applyNumberFormat="1" applyFont="1" applyAlignment="1">
      <alignment vertical="center"/>
    </xf>
    <xf numFmtId="169" fontId="6" fillId="12" borderId="2" xfId="107" applyNumberFormat="1" applyFont="1" applyFill="1" applyBorder="1" applyProtection="1">
      <alignment horizontal="right" vertical="center"/>
      <protection locked="0"/>
    </xf>
    <xf numFmtId="0" fontId="16" fillId="0" borderId="0" xfId="0" applyNumberFormat="1" applyFont="1" applyAlignment="1">
      <alignment vertical="center"/>
    </xf>
    <xf numFmtId="0" fontId="16" fillId="0" borderId="0" xfId="0" applyNumberFormat="1" applyFont="1" applyAlignment="1">
      <alignment vertical="center"/>
    </xf>
    <xf numFmtId="49" fontId="1" fillId="0" borderId="0" xfId="109" applyNumberFormat="1" applyFont="1">
      <alignment horizontal="left" vertical="top"/>
    </xf>
    <xf numFmtId="0" fontId="16" fillId="0" borderId="0" xfId="0" applyNumberFormat="1" applyFont="1" applyAlignment="1">
      <alignment vertical="center"/>
    </xf>
    <xf numFmtId="0" fontId="16" fillId="0" borderId="0" xfId="0" applyNumberFormat="1" applyFont="1" applyAlignment="1">
      <alignment vertical="center"/>
    </xf>
    <xf numFmtId="0" fontId="16" fillId="0" borderId="0" xfId="0" applyNumberFormat="1" applyFont="1" applyAlignment="1">
      <alignment vertical="center"/>
    </xf>
    <xf numFmtId="0" fontId="16" fillId="0" borderId="0" xfId="0" applyNumberFormat="1" applyFont="1" applyAlignment="1">
      <alignment vertical="center"/>
    </xf>
    <xf numFmtId="0" fontId="0" fillId="39" borderId="0" xfId="0" applyNumberFormat="1" applyFont="1" applyFill="1" applyAlignment="1">
      <alignment vertical="center"/>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0" borderId="0" xfId="0" applyNumberFormat="1" applyFont="1" applyAlignment="1"/>
    <xf numFmtId="0" fontId="62" fillId="0" borderId="0" xfId="0" applyNumberFormat="1" applyFont="1" applyAlignment="1">
      <alignment vertical="center"/>
    </xf>
    <xf numFmtId="4" fontId="6" fillId="12" borderId="22" xfId="110" applyNumberFormat="1" applyFont="1" applyFill="1" applyBorder="1" applyProtection="1">
      <alignment horizontal="right" vertical="center"/>
      <protection locked="0"/>
    </xf>
    <xf numFmtId="2" fontId="6" fillId="12" borderId="22" xfId="111" applyNumberFormat="1" applyFont="1" applyFill="1" applyBorder="1" applyProtection="1">
      <alignment horizontal="right" vertical="center"/>
      <protection locked="0"/>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0" fillId="0" borderId="0" xfId="0" applyNumberFormat="1" applyFont="1" applyAlignment="1"/>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49" fontId="1" fillId="12" borderId="55" xfId="0" applyNumberFormat="1" applyFont="1" applyFill="1" applyBorder="1" applyAlignment="1">
      <alignment horizontal="left" vertical="center" wrapText="1"/>
    </xf>
    <xf numFmtId="0" fontId="30" fillId="22" borderId="17" xfId="0" applyNumberFormat="1" applyFont="1" applyFill="1" applyBorder="1" applyAlignment="1">
      <alignment horizontal="right" vertical="center" wrapText="1" indent="1"/>
    </xf>
    <xf numFmtId="0" fontId="30" fillId="22" borderId="21" xfId="0" applyNumberFormat="1" applyFont="1" applyFill="1" applyBorder="1" applyAlignment="1">
      <alignment horizontal="right" vertical="center" wrapText="1" indent="1"/>
    </xf>
    <xf numFmtId="0" fontId="30" fillId="22" borderId="37" xfId="0" applyNumberFormat="1" applyFont="1" applyFill="1" applyBorder="1" applyAlignment="1">
      <alignment horizontal="right" vertical="center" wrapText="1" indent="1"/>
    </xf>
    <xf numFmtId="0" fontId="30" fillId="22" borderId="0" xfId="0" applyNumberFormat="1" applyFont="1" applyFill="1" applyAlignment="1">
      <alignment horizontal="right" vertical="center" wrapText="1" indent="1"/>
    </xf>
    <xf numFmtId="0" fontId="55" fillId="0" borderId="0" xfId="0" applyNumberFormat="1" applyFont="1" applyAlignment="1">
      <alignment vertical="center" wrapText="1"/>
    </xf>
    <xf numFmtId="0" fontId="30" fillId="22" borderId="18" xfId="0" applyNumberFormat="1" applyFont="1" applyFill="1" applyBorder="1" applyAlignment="1">
      <alignment horizontal="right" vertical="center" wrapText="1" indent="1"/>
    </xf>
    <xf numFmtId="0" fontId="30" fillId="22" borderId="35" xfId="0" applyNumberFormat="1" applyFont="1" applyFill="1" applyBorder="1" applyAlignment="1">
      <alignment horizontal="right" vertical="center" wrapText="1" indent="1"/>
    </xf>
    <xf numFmtId="0" fontId="30" fillId="22" borderId="36" xfId="0" applyNumberFormat="1" applyFont="1" applyFill="1" applyBorder="1" applyAlignment="1">
      <alignment horizontal="right" vertical="center" wrapText="1" indent="1"/>
    </xf>
    <xf numFmtId="0" fontId="55" fillId="0" borderId="0" xfId="0" applyNumberFormat="1" applyFont="1" applyAlignment="1">
      <alignment vertical="top" wrapText="1"/>
    </xf>
    <xf numFmtId="0" fontId="13" fillId="0" borderId="0" xfId="0" applyNumberFormat="1" applyFont="1" applyAlignment="1">
      <alignment vertical="center"/>
    </xf>
    <xf numFmtId="0" fontId="55" fillId="33" borderId="64" xfId="0" applyNumberFormat="1" applyFont="1" applyFill="1" applyBorder="1" applyAlignment="1">
      <alignment horizontal="center" vertical="center" wrapText="1"/>
    </xf>
    <xf numFmtId="0" fontId="55" fillId="33" borderId="65" xfId="0" applyNumberFormat="1" applyFont="1" applyFill="1" applyBorder="1" applyAlignment="1">
      <alignment horizontal="center" vertical="center" wrapText="1"/>
    </xf>
    <xf numFmtId="0" fontId="55" fillId="33" borderId="66" xfId="0" applyNumberFormat="1" applyFont="1" applyFill="1" applyBorder="1" applyAlignment="1">
      <alignment horizontal="center" vertical="center" wrapText="1"/>
    </xf>
    <xf numFmtId="0" fontId="55" fillId="0" borderId="37" xfId="0" applyNumberFormat="1" applyFont="1" applyBorder="1" applyAlignment="1">
      <alignment vertical="center" wrapText="1"/>
    </xf>
    <xf numFmtId="0" fontId="55" fillId="0" borderId="37" xfId="0" applyNumberFormat="1" applyFont="1" applyBorder="1" applyAlignment="1">
      <alignment horizontal="left" vertical="center" wrapText="1"/>
    </xf>
    <xf numFmtId="0" fontId="55" fillId="0" borderId="0" xfId="0" applyNumberFormat="1" applyFont="1" applyAlignment="1">
      <alignment horizontal="left" vertical="center" wrapText="1"/>
    </xf>
    <xf numFmtId="0" fontId="65" fillId="0" borderId="0" xfId="0" applyNumberFormat="1" applyFont="1" applyAlignment="1">
      <alignment vertical="top" wrapText="1"/>
    </xf>
    <xf numFmtId="0" fontId="4" fillId="0" borderId="1" xfId="1" applyFont="1" applyBorder="1">
      <alignment horizontal="center" vertical="top" wrapText="1"/>
    </xf>
    <xf numFmtId="0" fontId="1" fillId="27" borderId="2" xfId="0" applyNumberFormat="1" applyFont="1" applyFill="1" applyBorder="1" applyAlignment="1">
      <alignment horizontal="right" vertical="center" wrapText="1" indent="1"/>
    </xf>
    <xf numFmtId="0" fontId="1" fillId="0" borderId="2" xfId="0" applyNumberFormat="1" applyFont="1" applyBorder="1" applyAlignment="1">
      <alignment horizontal="center" vertical="center" textRotation="90" wrapText="1"/>
    </xf>
    <xf numFmtId="0" fontId="1" fillId="0" borderId="2" xfId="0" applyNumberFormat="1" applyFont="1" applyBorder="1" applyAlignment="1">
      <alignment horizontal="right" vertical="center" wrapText="1" indent="1"/>
    </xf>
    <xf numFmtId="0" fontId="1" fillId="0" borderId="4" xfId="0" applyNumberFormat="1" applyFont="1" applyBorder="1" applyAlignment="1">
      <alignment horizontal="right" vertical="center" wrapText="1" indent="1"/>
    </xf>
    <xf numFmtId="0" fontId="1" fillId="0" borderId="1" xfId="0" applyNumberFormat="1" applyFont="1" applyBorder="1" applyAlignment="1">
      <alignment horizontal="right" vertical="center" wrapText="1" indent="1"/>
    </xf>
    <xf numFmtId="0" fontId="1" fillId="0" borderId="15" xfId="0" applyNumberFormat="1" applyFont="1" applyBorder="1" applyAlignment="1">
      <alignment horizontal="right" vertical="center" wrapText="1" indent="1"/>
    </xf>
    <xf numFmtId="0" fontId="1" fillId="0" borderId="19" xfId="0" applyNumberFormat="1" applyFont="1" applyBorder="1" applyAlignment="1">
      <alignment horizontal="right" vertical="center" wrapText="1" indent="1"/>
    </xf>
    <xf numFmtId="0" fontId="12" fillId="0" borderId="3" xfId="0" applyNumberFormat="1" applyFont="1" applyBorder="1" applyAlignment="1">
      <alignment vertical="center" wrapText="1"/>
    </xf>
    <xf numFmtId="0" fontId="12" fillId="0" borderId="7" xfId="0" applyNumberFormat="1" applyFont="1" applyBorder="1" applyAlignment="1">
      <alignment vertical="center" wrapText="1"/>
    </xf>
    <xf numFmtId="0" fontId="9" fillId="34" borderId="11" xfId="0" applyNumberFormat="1" applyFont="1" applyFill="1" applyBorder="1" applyAlignment="1">
      <alignment horizontal="left" vertical="center" wrapText="1" indent="4"/>
    </xf>
    <xf numFmtId="0" fontId="9" fillId="34" borderId="2" xfId="0" applyNumberFormat="1" applyFont="1" applyFill="1" applyBorder="1" applyAlignment="1">
      <alignment horizontal="left" vertical="center" wrapText="1" indent="4"/>
    </xf>
    <xf numFmtId="0" fontId="12" fillId="0" borderId="11" xfId="0" applyNumberFormat="1" applyFont="1" applyBorder="1" applyAlignment="1">
      <alignment vertical="center" wrapText="1"/>
    </xf>
    <xf numFmtId="0" fontId="1" fillId="0" borderId="14" xfId="0" applyNumberFormat="1" applyFont="1" applyBorder="1" applyAlignment="1">
      <alignment horizontal="right" vertical="center" wrapText="1" indent="1"/>
    </xf>
    <xf numFmtId="0" fontId="1" fillId="0" borderId="42" xfId="0" applyNumberFormat="1" applyFont="1" applyBorder="1" applyAlignment="1">
      <alignment horizontal="right" vertical="center" wrapText="1" indent="1"/>
    </xf>
    <xf numFmtId="0" fontId="1" fillId="0" borderId="20" xfId="0" applyNumberFormat="1" applyFont="1" applyBorder="1" applyAlignment="1">
      <alignment horizontal="right" vertical="center" wrapText="1" indent="1"/>
    </xf>
    <xf numFmtId="0" fontId="8" fillId="0" borderId="0" xfId="0" applyNumberFormat="1" applyFont="1" applyAlignment="1">
      <alignment vertical="center" wrapText="1"/>
    </xf>
    <xf numFmtId="0" fontId="12" fillId="0" borderId="0" xfId="0" applyNumberFormat="1" applyFont="1" applyAlignment="1">
      <alignment horizontal="left" vertical="center" wrapText="1"/>
    </xf>
    <xf numFmtId="0" fontId="1" fillId="0" borderId="0" xfId="0" applyNumberFormat="1" applyFont="1" applyAlignment="1">
      <alignment horizontal="center" vertical="center"/>
    </xf>
    <xf numFmtId="49" fontId="4" fillId="0" borderId="4" xfId="6" applyNumberFormat="1" applyFont="1" applyBorder="1">
      <alignment horizontal="center" vertical="top" wrapText="1"/>
    </xf>
    <xf numFmtId="0" fontId="1" fillId="0" borderId="16"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 fillId="0" borderId="9" xfId="0" applyNumberFormat="1" applyFont="1" applyBorder="1" applyAlignment="1">
      <alignment horizontal="right" vertical="center" wrapText="1" indent="1"/>
    </xf>
    <xf numFmtId="49" fontId="9" fillId="34" borderId="2" xfId="0" applyNumberFormat="1" applyFont="1" applyFill="1" applyBorder="1" applyAlignment="1">
      <alignment horizontal="center" vertical="center" wrapText="1"/>
    </xf>
    <xf numFmtId="0" fontId="8" fillId="11" borderId="2" xfId="0" applyNumberFormat="1" applyFont="1" applyFill="1" applyBorder="1" applyAlignment="1" applyProtection="1">
      <alignment horizontal="center" vertical="center"/>
      <protection locked="0"/>
    </xf>
    <xf numFmtId="0" fontId="8" fillId="31" borderId="2" xfId="0" applyNumberFormat="1" applyFont="1" applyFill="1" applyBorder="1" applyAlignment="1">
      <alignment horizontal="center" vertical="center" wrapText="1"/>
    </xf>
    <xf numFmtId="0" fontId="8" fillId="31" borderId="2" xfId="0" applyNumberFormat="1" applyFont="1" applyFill="1" applyBorder="1" applyAlignment="1">
      <alignment horizontal="center" vertical="center"/>
    </xf>
    <xf numFmtId="0" fontId="9" fillId="34" borderId="2" xfId="0" applyNumberFormat="1" applyFont="1" applyFill="1" applyBorder="1" applyAlignment="1">
      <alignment horizontal="center" vertical="center" wrapText="1"/>
    </xf>
    <xf numFmtId="0" fontId="8" fillId="34" borderId="2" xfId="0" applyNumberFormat="1" applyFont="1" applyFill="1" applyBorder="1" applyAlignment="1">
      <alignment horizontal="center" vertical="center" wrapText="1"/>
    </xf>
    <xf numFmtId="0" fontId="1" fillId="0" borderId="14" xfId="0" applyNumberFormat="1" applyFont="1" applyBorder="1" applyAlignment="1">
      <alignment vertical="center"/>
    </xf>
    <xf numFmtId="0" fontId="1" fillId="0" borderId="42" xfId="0" applyNumberFormat="1" applyFont="1" applyBorder="1" applyAlignment="1">
      <alignment vertical="center"/>
    </xf>
    <xf numFmtId="0" fontId="1" fillId="0" borderId="20" xfId="0" applyNumberFormat="1" applyFont="1" applyBorder="1" applyAlignment="1">
      <alignment vertical="center"/>
    </xf>
    <xf numFmtId="0" fontId="12" fillId="0" borderId="0" xfId="0" applyNumberFormat="1" applyFont="1" applyAlignment="1">
      <alignment horizontal="center" vertical="center"/>
    </xf>
    <xf numFmtId="49" fontId="8" fillId="34" borderId="2" xfId="0" applyNumberFormat="1" applyFont="1" applyFill="1" applyBorder="1" applyAlignment="1">
      <alignment horizontal="left" vertical="center" wrapText="1" indent="4"/>
    </xf>
    <xf numFmtId="0" fontId="12" fillId="0" borderId="2" xfId="0" applyNumberFormat="1" applyFont="1" applyBorder="1" applyAlignment="1">
      <alignment vertical="center" wrapText="1"/>
    </xf>
    <xf numFmtId="0" fontId="1" fillId="11" borderId="3" xfId="0" applyNumberFormat="1" applyFont="1" applyFill="1" applyBorder="1" applyAlignment="1" applyProtection="1">
      <alignment horizontal="right" vertical="center" wrapText="1" indent="1"/>
      <protection locked="0"/>
    </xf>
    <xf numFmtId="0" fontId="6" fillId="11" borderId="3" xfId="0" applyNumberFormat="1" applyFont="1" applyFill="1" applyBorder="1" applyAlignment="1" applyProtection="1">
      <alignment horizontal="right" vertical="center" wrapText="1" indent="1"/>
      <protection locked="0"/>
    </xf>
    <xf numFmtId="0" fontId="1" fillId="11" borderId="3" xfId="4" applyFont="1" applyFill="1" applyBorder="1">
      <alignment horizontal="right" vertical="center" wrapText="1" indent="1"/>
    </xf>
    <xf numFmtId="0" fontId="6" fillId="11" borderId="3" xfId="5" applyFont="1" applyFill="1" applyBorder="1">
      <alignment horizontal="right" vertical="center" wrapText="1" indent="1"/>
    </xf>
    <xf numFmtId="0" fontId="1" fillId="11" borderId="3" xfId="4" applyFont="1" applyFill="1" applyBorder="1" applyProtection="1">
      <alignment horizontal="right" vertical="center" wrapText="1" indent="1"/>
      <protection locked="0"/>
    </xf>
    <xf numFmtId="0" fontId="6" fillId="11" borderId="3" xfId="5" applyFont="1" applyFill="1" applyBorder="1" applyProtection="1">
      <alignment horizontal="right" vertical="center" wrapText="1" indent="1"/>
      <protection locked="0"/>
    </xf>
    <xf numFmtId="0" fontId="12" fillId="0" borderId="16" xfId="0" applyNumberFormat="1" applyFont="1" applyBorder="1" applyAlignment="1">
      <alignment horizontal="left" vertical="center" wrapText="1"/>
    </xf>
    <xf numFmtId="0" fontId="12" fillId="0" borderId="23" xfId="0" applyNumberFormat="1" applyFont="1" applyBorder="1" applyAlignment="1">
      <alignment horizontal="left" vertical="center" wrapText="1"/>
    </xf>
    <xf numFmtId="0" fontId="12" fillId="0" borderId="9" xfId="0" applyNumberFormat="1" applyFont="1" applyBorder="1" applyAlignment="1">
      <alignment horizontal="left" vertical="center" wrapText="1"/>
    </xf>
    <xf numFmtId="0" fontId="12" fillId="12" borderId="3" xfId="0" applyNumberFormat="1" applyFont="1" applyFill="1" applyBorder="1" applyAlignment="1" applyProtection="1">
      <alignment horizontal="left" vertical="center" wrapText="1"/>
      <protection locked="0"/>
    </xf>
    <xf numFmtId="0" fontId="1" fillId="0" borderId="37"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35"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49" fontId="1" fillId="0" borderId="3" xfId="0" applyNumberFormat="1" applyFont="1" applyBorder="1" applyAlignment="1">
      <alignment horizontal="right" vertical="center" wrapText="1"/>
    </xf>
    <xf numFmtId="0" fontId="8" fillId="0" borderId="24" xfId="0" quotePrefix="1" applyNumberFormat="1" applyFont="1" applyBorder="1" applyAlignment="1">
      <alignment horizontal="left" vertical="center" wrapText="1" indent="1"/>
    </xf>
    <xf numFmtId="0" fontId="8" fillId="0" borderId="24" xfId="0" applyNumberFormat="1" applyFont="1" applyBorder="1" applyAlignment="1">
      <alignment horizontal="left" vertical="center" wrapText="1" indent="1"/>
    </xf>
    <xf numFmtId="0" fontId="6" fillId="0" borderId="0" xfId="0" applyNumberFormat="1" applyFont="1" applyAlignment="1">
      <alignment horizontal="center" vertical="center" wrapText="1"/>
    </xf>
    <xf numFmtId="49" fontId="1" fillId="0" borderId="0" xfId="0" applyNumberFormat="1" applyFont="1">
      <alignment vertical="top"/>
    </xf>
    <xf numFmtId="49" fontId="8" fillId="0" borderId="0" xfId="0" applyNumberFormat="1" applyFont="1" applyAlignment="1">
      <alignment horizontal="center" vertical="center" wrapText="1" shrinkToFit="1"/>
    </xf>
    <xf numFmtId="0" fontId="6" fillId="0" borderId="0" xfId="0" applyNumberFormat="1" applyFont="1" applyAlignment="1"/>
    <xf numFmtId="0" fontId="1" fillId="0" borderId="0" xfId="0" applyNumberFormat="1" applyFont="1" applyAlignment="1"/>
    <xf numFmtId="0" fontId="6" fillId="0" borderId="0" xfId="0" applyNumberFormat="1" applyFont="1" applyAlignment="1">
      <alignment horizontal="center" vertical="center"/>
    </xf>
    <xf numFmtId="0" fontId="6" fillId="0" borderId="11" xfId="0" applyNumberFormat="1" applyFont="1" applyBorder="1" applyAlignment="1">
      <alignment horizontal="center" vertical="center" wrapText="1"/>
    </xf>
    <xf numFmtId="0" fontId="6" fillId="0" borderId="1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6" fillId="0" borderId="0" xfId="0" applyNumberFormat="1" applyFont="1" applyAlignment="1">
      <alignment vertical="center" wrapText="1"/>
    </xf>
    <xf numFmtId="49" fontId="1" fillId="0" borderId="3" xfId="0" applyNumberFormat="1" applyFont="1" applyBorder="1" applyAlignment="1">
      <alignment horizontal="left" vertical="center" wrapText="1"/>
    </xf>
    <xf numFmtId="0" fontId="1" fillId="0" borderId="12" xfId="0" applyNumberFormat="1" applyFont="1" applyBorder="1" applyAlignment="1">
      <alignment horizontal="center" vertical="center" wrapText="1"/>
    </xf>
    <xf numFmtId="49" fontId="25" fillId="20" borderId="16" xfId="0" applyNumberFormat="1" applyFont="1" applyFill="1" applyBorder="1" applyAlignment="1">
      <alignment horizontal="left" vertical="center" indent="1"/>
    </xf>
    <xf numFmtId="49" fontId="25" fillId="20" borderId="23" xfId="0" applyNumberFormat="1" applyFont="1" applyFill="1" applyBorder="1" applyAlignment="1">
      <alignment horizontal="left" vertical="center" indent="1"/>
    </xf>
    <xf numFmtId="0" fontId="1" fillId="0" borderId="22" xfId="0" applyNumberFormat="1" applyFont="1" applyBorder="1" applyAlignment="1">
      <alignment horizontal="center" vertical="center" wrapText="1"/>
    </xf>
    <xf numFmtId="0" fontId="40" fillId="0" borderId="22" xfId="0" applyNumberFormat="1" applyFont="1" applyBorder="1" applyAlignment="1">
      <alignment vertical="center"/>
    </xf>
    <xf numFmtId="0" fontId="1" fillId="12" borderId="67"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lignment horizontal="left" vertical="center" wrapText="1"/>
    </xf>
    <xf numFmtId="0" fontId="1" fillId="12" borderId="68" xfId="0" applyNumberFormat="1" applyFont="1" applyFill="1" applyBorder="1" applyAlignment="1" applyProtection="1">
      <alignment horizontal="left" vertical="center" wrapText="1"/>
      <protection locked="0"/>
    </xf>
    <xf numFmtId="0" fontId="1" fillId="12" borderId="67" xfId="0" applyNumberFormat="1" applyFont="1" applyFill="1" applyBorder="1" applyAlignment="1">
      <alignment horizontal="left" vertical="center" wrapText="1"/>
    </xf>
    <xf numFmtId="0" fontId="1" fillId="12" borderId="68" xfId="0" applyNumberFormat="1" applyFont="1" applyFill="1" applyBorder="1" applyAlignment="1">
      <alignment horizontal="left" vertical="center" wrapText="1"/>
    </xf>
    <xf numFmtId="0" fontId="9" fillId="23" borderId="2" xfId="0" applyNumberFormat="1" applyFont="1" applyFill="1" applyBorder="1" applyAlignment="1">
      <alignment vertical="center" wrapText="1"/>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1" fillId="15" borderId="19" xfId="0" applyNumberFormat="1" applyFont="1" applyFill="1" applyBorder="1" applyAlignment="1">
      <alignment horizontal="center" vertical="center" wrapText="1"/>
    </xf>
    <xf numFmtId="0" fontId="1" fillId="15" borderId="20" xfId="0" applyNumberFormat="1" applyFont="1" applyFill="1" applyBorder="1" applyAlignment="1">
      <alignment horizontal="center" vertical="center" wrapText="1"/>
    </xf>
    <xf numFmtId="0" fontId="1" fillId="0" borderId="0" xfId="0" applyNumberFormat="1" applyFont="1" applyAlignment="1">
      <alignment horizontal="center" vertical="top"/>
    </xf>
    <xf numFmtId="49" fontId="1" fillId="36" borderId="69" xfId="0" applyNumberFormat="1" applyFont="1" applyFill="1" applyBorder="1" applyAlignment="1">
      <alignment horizontal="center" vertical="center" textRotation="90"/>
    </xf>
    <xf numFmtId="49" fontId="1" fillId="36" borderId="70" xfId="0" applyNumberFormat="1" applyFont="1" applyFill="1" applyBorder="1" applyAlignment="1">
      <alignment horizontal="center" vertical="center" textRotation="90"/>
    </xf>
    <xf numFmtId="49" fontId="1" fillId="0" borderId="9" xfId="0" applyNumberFormat="1" applyFont="1" applyBorder="1" applyAlignment="1">
      <alignment horizontal="left" vertical="center" wrapText="1"/>
    </xf>
    <xf numFmtId="49" fontId="1" fillId="0" borderId="9" xfId="0" applyNumberFormat="1" applyFont="1" applyBorder="1" applyAlignment="1">
      <alignment horizontal="left" vertical="center" wrapText="1" indent="1"/>
    </xf>
    <xf numFmtId="49" fontId="1" fillId="0" borderId="3" xfId="0" applyNumberFormat="1" applyFont="1" applyBorder="1" applyAlignment="1">
      <alignment horizontal="left" vertical="center" wrapText="1" indent="1"/>
    </xf>
    <xf numFmtId="49" fontId="8" fillId="0" borderId="9"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7" fillId="15" borderId="9" xfId="0" applyNumberFormat="1" applyFont="1" applyFill="1" applyBorder="1" applyAlignment="1">
      <alignment horizontal="left" vertical="center" wrapText="1"/>
    </xf>
    <xf numFmtId="49" fontId="7" fillId="15" borderId="3" xfId="0" applyNumberFormat="1" applyFont="1" applyFill="1" applyBorder="1" applyAlignment="1">
      <alignment horizontal="left" vertical="center" wrapText="1"/>
    </xf>
    <xf numFmtId="49" fontId="7" fillId="15" borderId="8" xfId="0" applyNumberFormat="1" applyFont="1" applyFill="1" applyBorder="1" applyAlignment="1">
      <alignment horizontal="left" vertical="center" wrapText="1"/>
    </xf>
    <xf numFmtId="49" fontId="7" fillId="15" borderId="10" xfId="0" applyNumberFormat="1" applyFont="1" applyFill="1" applyBorder="1" applyAlignment="1">
      <alignment horizontal="left" vertical="center" wrapText="1"/>
    </xf>
    <xf numFmtId="49" fontId="1" fillId="37" borderId="69" xfId="0" applyNumberFormat="1" applyFont="1" applyFill="1" applyBorder="1" applyAlignment="1">
      <alignment horizontal="center" vertical="center" textRotation="90"/>
    </xf>
    <xf numFmtId="49" fontId="1" fillId="37" borderId="70" xfId="0" applyNumberFormat="1" applyFont="1" applyFill="1" applyBorder="1" applyAlignment="1">
      <alignment horizontal="center" vertical="center" textRotation="90"/>
    </xf>
    <xf numFmtId="49" fontId="1" fillId="37" borderId="71" xfId="0" applyNumberFormat="1" applyFont="1" applyFill="1" applyBorder="1" applyAlignment="1">
      <alignment horizontal="center" vertical="center" textRotation="90"/>
    </xf>
    <xf numFmtId="49" fontId="7" fillId="0" borderId="9"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15" borderId="8" xfId="0" applyNumberFormat="1" applyFont="1" applyFill="1" applyBorder="1" applyAlignment="1">
      <alignment horizontal="left" vertical="center" wrapText="1" indent="1"/>
    </xf>
    <xf numFmtId="49" fontId="7" fillId="15" borderId="10" xfId="0" applyNumberFormat="1" applyFont="1" applyFill="1" applyBorder="1" applyAlignment="1">
      <alignment horizontal="left" vertical="center" wrapText="1" indent="1"/>
    </xf>
    <xf numFmtId="49" fontId="7" fillId="15" borderId="9" xfId="0" applyNumberFormat="1" applyFont="1" applyFill="1" applyBorder="1" applyAlignment="1">
      <alignment horizontal="left" vertical="center" wrapText="1" indent="1"/>
    </xf>
    <xf numFmtId="49" fontId="7" fillId="15" borderId="3" xfId="0" applyNumberFormat="1" applyFont="1" applyFill="1" applyBorder="1" applyAlignment="1">
      <alignment horizontal="left" vertical="center" wrapText="1" indent="1"/>
    </xf>
    <xf numFmtId="49" fontId="7" fillId="15" borderId="9" xfId="0" applyNumberFormat="1" applyFont="1" applyFill="1" applyBorder="1" applyAlignment="1">
      <alignment horizontal="left" vertical="center" wrapText="1" indent="2"/>
    </xf>
    <xf numFmtId="49" fontId="7" fillId="15" borderId="3" xfId="0" applyNumberFormat="1" applyFont="1" applyFill="1" applyBorder="1" applyAlignment="1">
      <alignment horizontal="left" vertical="center" wrapText="1" indent="2"/>
    </xf>
    <xf numFmtId="49" fontId="7" fillId="15" borderId="3" xfId="0" applyNumberFormat="1" applyFont="1" applyFill="1" applyBorder="1" applyAlignment="1">
      <alignment horizontal="center" vertical="center" wrapText="1"/>
    </xf>
    <xf numFmtId="49" fontId="10" fillId="15" borderId="9" xfId="0" applyNumberFormat="1" applyFont="1" applyFill="1" applyBorder="1" applyAlignment="1">
      <alignment horizontal="left" vertical="center" wrapText="1"/>
    </xf>
    <xf numFmtId="49" fontId="10" fillId="15" borderId="3" xfId="0" applyNumberFormat="1" applyFont="1" applyFill="1" applyBorder="1" applyAlignment="1">
      <alignment horizontal="left" vertical="center" wrapText="1"/>
    </xf>
    <xf numFmtId="49" fontId="7" fillId="15" borderId="21" xfId="0" applyNumberFormat="1" applyFont="1" applyFill="1" applyBorder="1" applyAlignment="1">
      <alignment horizontal="left" vertical="center" wrapText="1"/>
    </xf>
    <xf numFmtId="49" fontId="7" fillId="15" borderId="7" xfId="0" applyNumberFormat="1" applyFont="1" applyFill="1" applyBorder="1" applyAlignment="1">
      <alignment horizontal="left" vertical="center" wrapText="1"/>
    </xf>
    <xf numFmtId="49" fontId="8" fillId="0" borderId="9" xfId="0" applyNumberFormat="1" applyFont="1" applyBorder="1" applyAlignment="1">
      <alignment horizontal="left" vertical="center" wrapText="1" indent="1"/>
    </xf>
    <xf numFmtId="49" fontId="8" fillId="0" borderId="3" xfId="0" applyNumberFormat="1" applyFont="1" applyBorder="1" applyAlignment="1">
      <alignment horizontal="left" vertical="center" wrapText="1" indent="1"/>
    </xf>
    <xf numFmtId="49" fontId="8" fillId="22" borderId="23" xfId="0" applyNumberFormat="1" applyFont="1" applyFill="1" applyBorder="1" applyAlignment="1">
      <alignment horizontal="left" vertical="center" wrapText="1" indent="2"/>
    </xf>
    <xf numFmtId="49" fontId="8" fillId="22" borderId="9" xfId="0" applyNumberFormat="1" applyFont="1" applyFill="1" applyBorder="1" applyAlignment="1">
      <alignment horizontal="left" vertical="center" wrapText="1" indent="2"/>
    </xf>
    <xf numFmtId="49" fontId="1" fillId="4" borderId="69" xfId="0" applyNumberFormat="1" applyFont="1" applyFill="1" applyBorder="1" applyAlignment="1">
      <alignment horizontal="center" vertical="center" textRotation="90"/>
    </xf>
    <xf numFmtId="49" fontId="1" fillId="4" borderId="70" xfId="0" applyNumberFormat="1" applyFont="1" applyFill="1" applyBorder="1" applyAlignment="1">
      <alignment horizontal="center" vertical="center" textRotation="90"/>
    </xf>
    <xf numFmtId="49" fontId="1" fillId="4" borderId="71" xfId="0" applyNumberFormat="1" applyFont="1" applyFill="1" applyBorder="1" applyAlignment="1">
      <alignment horizontal="center" vertical="center" textRotation="90"/>
    </xf>
    <xf numFmtId="49" fontId="1" fillId="5" borderId="69" xfId="0" applyNumberFormat="1" applyFont="1" applyFill="1" applyBorder="1" applyAlignment="1">
      <alignment horizontal="center" vertical="center" textRotation="90"/>
    </xf>
    <xf numFmtId="49" fontId="1" fillId="5" borderId="70" xfId="0" applyNumberFormat="1" applyFont="1" applyFill="1" applyBorder="1" applyAlignment="1">
      <alignment horizontal="center" vertical="center" textRotation="90"/>
    </xf>
    <xf numFmtId="49" fontId="1" fillId="5" borderId="71" xfId="0" applyNumberFormat="1" applyFont="1" applyFill="1" applyBorder="1" applyAlignment="1">
      <alignment horizontal="center" vertical="center" textRotation="90"/>
    </xf>
    <xf numFmtId="49" fontId="1" fillId="6" borderId="69" xfId="0" applyNumberFormat="1" applyFont="1" applyFill="1" applyBorder="1" applyAlignment="1">
      <alignment horizontal="center" vertical="center" textRotation="90"/>
    </xf>
    <xf numFmtId="49" fontId="1" fillId="6" borderId="70" xfId="0" applyNumberFormat="1" applyFont="1" applyFill="1" applyBorder="1" applyAlignment="1">
      <alignment horizontal="center" vertical="center" textRotation="90"/>
    </xf>
    <xf numFmtId="49" fontId="1" fillId="6" borderId="71" xfId="0" applyNumberFormat="1" applyFont="1" applyFill="1" applyBorder="1" applyAlignment="1">
      <alignment horizontal="center" vertical="center" textRotation="90"/>
    </xf>
    <xf numFmtId="49" fontId="1" fillId="35" borderId="69" xfId="0" applyNumberFormat="1" applyFont="1" applyFill="1" applyBorder="1" applyAlignment="1">
      <alignment horizontal="center" vertical="center" textRotation="90"/>
    </xf>
    <xf numFmtId="49" fontId="1" fillId="35" borderId="70" xfId="0" applyNumberFormat="1" applyFont="1" applyFill="1" applyBorder="1" applyAlignment="1">
      <alignment horizontal="center" vertical="center" textRotation="90"/>
    </xf>
    <xf numFmtId="49" fontId="1" fillId="35" borderId="71" xfId="0" applyNumberFormat="1" applyFont="1" applyFill="1" applyBorder="1" applyAlignment="1">
      <alignment horizontal="center" vertical="center" textRotation="90"/>
    </xf>
    <xf numFmtId="49" fontId="1" fillId="12" borderId="10" xfId="0" applyNumberFormat="1" applyFont="1" applyFill="1" applyBorder="1" applyAlignment="1">
      <alignment horizontal="left" vertical="top" wrapText="1"/>
    </xf>
    <xf numFmtId="49" fontId="67" fillId="12" borderId="10" xfId="0" applyNumberFormat="1" applyFont="1" applyFill="1" applyBorder="1" applyAlignment="1" applyProtection="1">
      <alignment horizontal="left" vertical="top" wrapText="1"/>
      <protection locked="0"/>
    </xf>
    <xf numFmtId="49" fontId="67" fillId="12" borderId="10"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1" fillId="0" borderId="0" xfId="0" applyNumberFormat="1" applyFont="1" applyAlignment="1">
      <alignment vertical="center"/>
    </xf>
    <xf numFmtId="0" fontId="12" fillId="0" borderId="0" xfId="0" applyNumberFormat="1" applyFont="1" applyAlignment="1"/>
    <xf numFmtId="0" fontId="1" fillId="15" borderId="0" xfId="0" applyNumberFormat="1" applyFont="1" applyFill="1" applyAlignment="1">
      <alignment vertical="center" wrapText="1"/>
    </xf>
    <xf numFmtId="0" fontId="1" fillId="0" borderId="3" xfId="0" applyNumberFormat="1" applyFont="1" applyBorder="1" applyAlignment="1">
      <alignment horizontal="center" vertical="center" wrapText="1"/>
    </xf>
    <xf numFmtId="0" fontId="2" fillId="0" borderId="3" xfId="0" applyNumberFormat="1" applyFont="1" applyBorder="1" applyAlignment="1">
      <alignment vertical="center"/>
    </xf>
    <xf numFmtId="49" fontId="1" fillId="12" borderId="10" xfId="0" applyNumberFormat="1" applyFont="1" applyFill="1" applyBorder="1" applyAlignment="1" applyProtection="1">
      <alignment horizontal="left" vertical="top" wrapText="1"/>
      <protection locked="0"/>
    </xf>
    <xf numFmtId="0" fontId="1" fillId="15" borderId="2" xfId="0" applyNumberFormat="1" applyFont="1" applyFill="1" applyBorder="1" applyAlignment="1">
      <alignment horizontal="center" vertical="center" wrapText="1"/>
    </xf>
    <xf numFmtId="0" fontId="4" fillId="0" borderId="18" xfId="62" applyFont="1" applyBorder="1">
      <alignment horizontal="center" vertical="top" wrapText="1"/>
    </xf>
    <xf numFmtId="0" fontId="47" fillId="0" borderId="18" xfId="0" applyNumberFormat="1" applyFont="1" applyBorder="1" applyAlignment="1">
      <alignment horizontal="center" vertical="top" wrapText="1"/>
    </xf>
    <xf numFmtId="0" fontId="47" fillId="0" borderId="1" xfId="0" applyNumberFormat="1" applyFont="1" applyBorder="1" applyAlignment="1">
      <alignment horizontal="center" vertical="top" wrapText="1"/>
    </xf>
    <xf numFmtId="0" fontId="40" fillId="0" borderId="3" xfId="0" applyNumberFormat="1" applyFont="1" applyBorder="1" applyAlignment="1"/>
    <xf numFmtId="0" fontId="1" fillId="0" borderId="3" xfId="0" applyNumberFormat="1" applyFont="1" applyBorder="1" applyAlignment="1">
      <alignment horizontal="center" vertical="center"/>
    </xf>
    <xf numFmtId="0" fontId="8" fillId="0" borderId="0" xfId="0" applyNumberFormat="1" applyFont="1" applyAlignment="1"/>
    <xf numFmtId="0" fontId="8" fillId="0" borderId="0" xfId="0" applyNumberFormat="1" applyFont="1" applyAlignment="1">
      <alignment horizontal="center"/>
    </xf>
    <xf numFmtId="0" fontId="6" fillId="0" borderId="7"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13" borderId="3" xfId="0" applyNumberFormat="1" applyFont="1" applyFill="1" applyBorder="1" applyAlignment="1">
      <alignment horizontal="center" vertical="center" wrapText="1"/>
    </xf>
    <xf numFmtId="0" fontId="9" fillId="0" borderId="0" xfId="0" applyNumberFormat="1" applyFont="1" applyAlignment="1"/>
    <xf numFmtId="49" fontId="1" fillId="12" borderId="3" xfId="0" applyNumberFormat="1" applyFont="1" applyFill="1" applyBorder="1" applyAlignment="1" applyProtection="1">
      <alignment horizontal="left" vertical="top" wrapText="1"/>
      <protection locked="0"/>
    </xf>
    <xf numFmtId="49" fontId="1" fillId="10" borderId="3" xfId="0" applyNumberFormat="1" applyFont="1" applyFill="1" applyBorder="1" applyAlignment="1">
      <alignment horizontal="left" vertical="top" wrapText="1"/>
    </xf>
    <xf numFmtId="49" fontId="67" fillId="0" borderId="3" xfId="0" applyNumberFormat="1" applyFont="1" applyBorder="1" applyAlignment="1">
      <alignment horizontal="left" vertical="top" wrapText="1"/>
    </xf>
    <xf numFmtId="49" fontId="1" fillId="12" borderId="3" xfId="0" applyNumberFormat="1" applyFont="1" applyFill="1" applyBorder="1" applyAlignment="1">
      <alignment horizontal="left" vertical="top"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19" fillId="0" borderId="0" xfId="0" applyNumberFormat="1" applyFont="1" applyAlignment="1">
      <alignment vertical="center"/>
    </xf>
    <xf numFmtId="0" fontId="8" fillId="0" borderId="16" xfId="0" applyNumberFormat="1" applyFont="1" applyBorder="1" applyAlignment="1">
      <alignment horizontal="left" vertical="center" wrapText="1"/>
    </xf>
    <xf numFmtId="0" fontId="8" fillId="0" borderId="9"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0" fontId="12" fillId="15" borderId="3" xfId="0" applyNumberFormat="1" applyFont="1" applyFill="1" applyBorder="1" applyAlignment="1">
      <alignment horizontal="center" vertical="center" wrapText="1"/>
    </xf>
    <xf numFmtId="0" fontId="18" fillId="13" borderId="0" xfId="0" applyNumberFormat="1" applyFont="1" applyFill="1" applyAlignment="1">
      <alignment vertical="center"/>
    </xf>
    <xf numFmtId="0" fontId="1" fillId="15" borderId="3" xfId="0" applyNumberFormat="1" applyFont="1" applyFill="1" applyBorder="1" applyAlignment="1">
      <alignment horizontal="center" vertical="center" wrapText="1"/>
    </xf>
    <xf numFmtId="0" fontId="18" fillId="0" borderId="0" xfId="0" applyNumberFormat="1" applyFont="1" applyAlignment="1">
      <alignment horizontal="center" vertical="center"/>
    </xf>
    <xf numFmtId="49" fontId="8" fillId="0" borderId="3" xfId="0" applyNumberFormat="1" applyFont="1" applyBorder="1" applyAlignment="1">
      <alignment horizontal="center" vertical="center" wrapText="1"/>
    </xf>
    <xf numFmtId="2" fontId="8" fillId="10" borderId="3" xfId="86" applyNumberFormat="1" applyFont="1" applyFill="1" applyBorder="1">
      <alignment horizontal="center" vertical="center" wrapText="1"/>
    </xf>
    <xf numFmtId="49" fontId="1" fillId="0" borderId="7"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18" fillId="0" borderId="24" xfId="0" applyNumberFormat="1" applyFont="1" applyBorder="1" applyAlignment="1">
      <alignment vertical="center"/>
    </xf>
    <xf numFmtId="0" fontId="6" fillId="0" borderId="0" xfId="0" applyNumberFormat="1" applyFont="1" applyAlignment="1">
      <alignment horizontal="center" vertical="top"/>
    </xf>
    <xf numFmtId="0" fontId="1" fillId="0" borderId="16"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49" fontId="1" fillId="12" borderId="16" xfId="0" applyNumberFormat="1" applyFont="1" applyFill="1" applyBorder="1" applyAlignment="1" applyProtection="1">
      <alignment horizontal="left" vertical="top" wrapText="1"/>
      <protection locked="0"/>
    </xf>
    <xf numFmtId="49" fontId="1" fillId="12" borderId="23" xfId="0" applyNumberFormat="1" applyFont="1" applyFill="1" applyBorder="1" applyAlignment="1" applyProtection="1">
      <alignment horizontal="left" vertical="top" wrapText="1"/>
      <protection locked="0"/>
    </xf>
    <xf numFmtId="49" fontId="1" fillId="12" borderId="9" xfId="0" applyNumberFormat="1" applyFont="1" applyFill="1" applyBorder="1" applyAlignment="1" applyProtection="1">
      <alignment horizontal="left" vertical="top" wrapText="1"/>
      <protection locked="0"/>
    </xf>
    <xf numFmtId="49" fontId="1" fillId="12" borderId="16" xfId="0" applyNumberFormat="1" applyFont="1" applyFill="1" applyBorder="1" applyAlignment="1">
      <alignment horizontal="left" vertical="top" wrapText="1"/>
    </xf>
    <xf numFmtId="49" fontId="1" fillId="12" borderId="23" xfId="0" applyNumberFormat="1" applyFont="1" applyFill="1" applyBorder="1" applyAlignment="1">
      <alignment horizontal="left" vertical="top" wrapText="1"/>
    </xf>
    <xf numFmtId="49" fontId="1" fillId="12" borderId="9" xfId="0" applyNumberFormat="1" applyFont="1" applyFill="1" applyBorder="1" applyAlignment="1">
      <alignment horizontal="left" vertical="top" wrapText="1"/>
    </xf>
    <xf numFmtId="49" fontId="9" fillId="0" borderId="24" xfId="0" quotePrefix="1" applyNumberFormat="1" applyFont="1" applyBorder="1" applyAlignment="1">
      <alignment horizontal="left" vertical="center" wrapText="1"/>
    </xf>
    <xf numFmtId="0" fontId="12" fillId="15" borderId="17" xfId="0" applyNumberFormat="1" applyFont="1" applyFill="1" applyBorder="1" applyAlignment="1">
      <alignment horizontal="center" vertical="center" wrapText="1"/>
    </xf>
    <xf numFmtId="0" fontId="12" fillId="15" borderId="35" xfId="0" applyNumberFormat="1" applyFont="1" applyFill="1" applyBorder="1" applyAlignment="1">
      <alignment horizontal="center" vertical="center" wrapText="1"/>
    </xf>
    <xf numFmtId="0" fontId="6" fillId="0" borderId="3" xfId="0" applyNumberFormat="1" applyFont="1" applyBorder="1" applyAlignment="1">
      <alignment vertical="center" wrapText="1"/>
    </xf>
    <xf numFmtId="0" fontId="6" fillId="0" borderId="3" xfId="0" applyNumberFormat="1" applyFont="1" applyBorder="1" applyAlignment="1"/>
    <xf numFmtId="0" fontId="9" fillId="0" borderId="0" xfId="0" applyNumberFormat="1" applyFont="1" applyAlignment="1">
      <alignment vertical="center"/>
    </xf>
    <xf numFmtId="0" fontId="1" fillId="0" borderId="72" xfId="0" applyNumberFormat="1" applyFont="1" applyBorder="1" applyAlignment="1">
      <alignment horizontal="right" vertical="center" wrapText="1"/>
    </xf>
    <xf numFmtId="0" fontId="1" fillId="0" borderId="73" xfId="0" applyNumberFormat="1" applyFont="1" applyBorder="1" applyAlignment="1">
      <alignment horizontal="right" vertical="center" wrapText="1"/>
    </xf>
    <xf numFmtId="0" fontId="1" fillId="12" borderId="3" xfId="0" applyNumberFormat="1" applyFont="1" applyFill="1" applyBorder="1" applyAlignment="1" applyProtection="1">
      <alignment horizontal="left" vertical="center" wrapText="1"/>
      <protection locked="0"/>
    </xf>
    <xf numFmtId="0" fontId="1" fillId="12" borderId="3" xfId="0" applyNumberFormat="1" applyFont="1" applyFill="1" applyBorder="1" applyAlignment="1">
      <alignment horizontal="left"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8" fillId="0" borderId="0" xfId="0" applyNumberFormat="1" applyFont="1" applyAlignment="1">
      <alignment vertical="center"/>
    </xf>
    <xf numFmtId="49" fontId="1" fillId="12" borderId="22" xfId="0" applyNumberFormat="1" applyFont="1" applyFill="1" applyBorder="1" applyAlignment="1">
      <alignment horizontal="left" vertical="center" wrapText="1"/>
    </xf>
    <xf numFmtId="49" fontId="1" fillId="12" borderId="22" xfId="0" applyNumberFormat="1" applyFont="1" applyFill="1" applyBorder="1" applyAlignment="1" applyProtection="1">
      <alignment horizontal="left" vertical="center" wrapText="1"/>
      <protection locked="0"/>
    </xf>
    <xf numFmtId="49" fontId="1" fillId="0" borderId="16"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cellXfs>
  <cellStyles count="125">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07" xfId="107" xr:uid="{00000000-0005-0000-0000-000099000000}"/>
    <cellStyle name="s108" xfId="108" xr:uid="{00000000-0005-0000-0000-00009A000000}"/>
    <cellStyle name="s109" xfId="109" xr:uid="{00000000-0005-0000-0000-00009B000000}"/>
    <cellStyle name="s11" xfId="11" xr:uid="{00000000-0005-0000-0000-000039000000}"/>
    <cellStyle name="s110" xfId="110" xr:uid="{00000000-0005-0000-0000-00009C000000}"/>
    <cellStyle name="s111" xfId="111" xr:uid="{00000000-0005-0000-0000-00009D000000}"/>
    <cellStyle name="s112" xfId="112" xr:uid="{00000000-0005-0000-0000-00009E000000}"/>
    <cellStyle name="s113" xfId="59" xr:uid="{00000000-0005-0000-0000-00009F000000}"/>
    <cellStyle name="s114" xfId="60" xr:uid="{00000000-0005-0000-0000-0000A0000000}"/>
    <cellStyle name="s115" xfId="67" xr:uid="{00000000-0005-0000-0000-0000A1000000}"/>
    <cellStyle name="s116" xfId="67" xr:uid="{00000000-0005-0000-0000-0000A2000000}"/>
    <cellStyle name="s117" xfId="59" xr:uid="{00000000-0005-0000-0000-0000A3000000}"/>
    <cellStyle name="s118" xfId="60" xr:uid="{00000000-0005-0000-0000-0000A4000000}"/>
    <cellStyle name="s119" xfId="67" xr:uid="{00000000-0005-0000-0000-0000A5000000}"/>
    <cellStyle name="s12" xfId="12" xr:uid="{00000000-0005-0000-0000-00003A000000}"/>
    <cellStyle name="s120" xfId="108" xr:uid="{00000000-0005-0000-0000-0000A6000000}"/>
    <cellStyle name="s121" xfId="59" xr:uid="{00000000-0005-0000-0000-0000A7000000}"/>
    <cellStyle name="s122" xfId="60" xr:uid="{00000000-0005-0000-0000-0000A8000000}"/>
    <cellStyle name="s123" xfId="67" xr:uid="{00000000-0005-0000-0000-0000A9000000}"/>
    <cellStyle name="s124" xfId="67" xr:uid="{00000000-0005-0000-0000-0000A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12">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mailto:delo@recko.ru" TargetMode="External"/><Relationship Id="rId2" Type="http://schemas.openxmlformats.org/officeDocument/2006/relationships/hyperlink" Target="https://portal.eias.ru/Portal/DownloadPage.aspx?type=12&amp;guid=41c2ea20-e5f2-4587-b8b6-ddb0fe21db2a" TargetMode="External"/><Relationship Id="rId1" Type="http://schemas.openxmlformats.org/officeDocument/2006/relationships/hyperlink" Target="https://portal.eias.ru/Portal/DownloadPage.aspx?type=12&amp;guid=41c2ea20-e5f2-4587-b8b6-ddb0fe21db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8A488-69B6-C4E8-74E8-EBD071597BF2}">
  <sheetPr>
    <tabColor theme="0" tint="-4.9989318521683403E-2"/>
  </sheetPr>
  <dimension ref="A1:AA16"/>
  <sheetViews>
    <sheetView showGridLines="0" showRowColHeaders="0" workbookViewId="0"/>
  </sheetViews>
  <sheetFormatPr defaultColWidth="10.42578125" defaultRowHeight="12.6" customHeight="1"/>
  <cols>
    <col min="1" max="1" width="5.140625" style="632" customWidth="1"/>
    <col min="2" max="2" width="8.5703125" style="683" customWidth="1"/>
    <col min="3" max="3" width="15.5703125" style="632" customWidth="1"/>
    <col min="4" max="4" width="6" style="632" customWidth="1"/>
    <col min="5" max="5" width="6" style="674" customWidth="1"/>
    <col min="6" max="25" width="6" style="632" customWidth="1"/>
    <col min="26" max="27" width="10.42578125" style="632"/>
  </cols>
  <sheetData>
    <row r="1" spans="1:27" ht="15.75" customHeight="1">
      <c r="A1" s="633"/>
      <c r="B1" s="678"/>
      <c r="C1" s="634"/>
      <c r="D1" s="634"/>
      <c r="E1" s="670"/>
      <c r="F1" s="634"/>
      <c r="G1" s="634"/>
      <c r="H1" s="634"/>
      <c r="I1" s="634"/>
      <c r="J1" s="634"/>
      <c r="K1" s="634"/>
      <c r="L1" s="634"/>
      <c r="M1" s="634"/>
      <c r="N1" s="634"/>
      <c r="O1" s="634"/>
      <c r="P1" s="634"/>
      <c r="Q1" s="634"/>
      <c r="R1" s="634"/>
      <c r="S1" s="634"/>
      <c r="T1" s="634"/>
      <c r="U1" s="634"/>
      <c r="V1" s="634"/>
      <c r="W1" s="634"/>
      <c r="X1" s="634"/>
      <c r="Y1" s="635"/>
      <c r="Z1" s="634"/>
      <c r="AA1" s="636" t="s">
        <v>0</v>
      </c>
    </row>
    <row r="2" spans="1:27" s="683" customFormat="1" ht="17.25" customHeight="1">
      <c r="A2" s="678"/>
      <c r="B2" s="1661" t="s">
        <v>1</v>
      </c>
      <c r="C2" s="1661"/>
      <c r="D2" s="1661"/>
      <c r="E2" s="1661"/>
      <c r="F2" s="1661"/>
      <c r="G2" s="1661"/>
      <c r="H2" s="1661"/>
      <c r="I2" s="1661"/>
      <c r="J2" s="1661"/>
      <c r="K2" s="1661"/>
      <c r="L2" s="1661"/>
      <c r="M2" s="1661"/>
      <c r="N2" s="1661"/>
      <c r="O2" s="1661"/>
      <c r="P2" s="1661"/>
      <c r="Q2" s="684"/>
      <c r="R2" s="684"/>
      <c r="S2" s="684"/>
      <c r="T2" s="684"/>
      <c r="U2" s="684"/>
      <c r="V2" s="685"/>
      <c r="W2" s="684"/>
      <c r="X2" s="684"/>
      <c r="Y2" s="678"/>
      <c r="Z2" s="678"/>
      <c r="AA2" s="678"/>
    </row>
    <row r="3" spans="1:27" ht="15.75" customHeight="1">
      <c r="A3" s="634"/>
      <c r="B3" s="1661" t="s">
        <v>2</v>
      </c>
      <c r="C3" s="1661"/>
      <c r="D3" s="1661"/>
      <c r="E3" s="1661"/>
      <c r="F3" s="1661"/>
      <c r="G3" s="1661"/>
      <c r="H3" s="1661"/>
      <c r="I3" s="1661"/>
      <c r="J3" s="1661"/>
      <c r="K3" s="1661"/>
      <c r="L3" s="1661"/>
      <c r="M3" s="1661"/>
      <c r="N3" s="1661"/>
      <c r="O3" s="1661"/>
      <c r="P3" s="1661"/>
      <c r="Q3" s="638"/>
      <c r="R3" s="638"/>
      <c r="S3" s="637"/>
      <c r="T3" s="637"/>
      <c r="U3" s="637"/>
      <c r="V3" s="638"/>
      <c r="W3" s="638"/>
      <c r="X3" s="638"/>
      <c r="Y3" s="638"/>
      <c r="Z3" s="634"/>
      <c r="AA3" s="636"/>
    </row>
    <row r="4" spans="1:27" ht="16.5" customHeight="1">
      <c r="A4" s="634"/>
      <c r="B4" s="671"/>
      <c r="C4" s="634"/>
      <c r="D4" s="638"/>
      <c r="E4" s="675"/>
      <c r="F4" s="638"/>
      <c r="G4" s="638"/>
      <c r="H4" s="638"/>
      <c r="I4" s="638"/>
      <c r="J4" s="638"/>
      <c r="K4" s="638"/>
      <c r="L4" s="638"/>
      <c r="M4" s="638"/>
      <c r="N4" s="638"/>
      <c r="O4" s="638"/>
      <c r="P4" s="638"/>
      <c r="Q4" s="638"/>
      <c r="R4" s="638"/>
      <c r="S4" s="638"/>
      <c r="T4" s="638"/>
      <c r="U4" s="638"/>
      <c r="V4" s="638"/>
      <c r="W4" s="638"/>
      <c r="X4" s="638"/>
      <c r="Y4" s="638"/>
      <c r="Z4" s="634"/>
      <c r="AA4" s="636"/>
    </row>
    <row r="5" spans="1:27" s="674" customFormat="1" ht="22.5" customHeight="1">
      <c r="A5" s="678"/>
      <c r="B5" s="1662"/>
      <c r="C5" s="1663"/>
      <c r="D5" s="1663"/>
      <c r="E5" s="1663"/>
      <c r="F5" s="1663"/>
      <c r="G5" s="1663"/>
      <c r="H5" s="1663"/>
      <c r="I5" s="1663"/>
      <c r="J5" s="1663"/>
      <c r="K5" s="1663"/>
      <c r="L5" s="1663"/>
      <c r="M5" s="1663"/>
      <c r="N5" s="1663"/>
      <c r="O5" s="1663"/>
      <c r="P5" s="1663"/>
      <c r="Q5" s="1663"/>
      <c r="R5" s="1663"/>
      <c r="S5" s="1663"/>
      <c r="T5" s="1663"/>
      <c r="U5" s="1663"/>
      <c r="V5" s="1663"/>
      <c r="W5" s="1663"/>
      <c r="X5" s="1663"/>
      <c r="Y5" s="1664"/>
      <c r="Z5" s="678"/>
      <c r="AA5" s="670"/>
    </row>
    <row r="6" spans="1:27" ht="13.5" customHeight="1">
      <c r="A6" s="639"/>
      <c r="B6" s="1654" t="s">
        <v>3</v>
      </c>
      <c r="C6" s="1657"/>
      <c r="D6" s="640"/>
      <c r="E6" s="669"/>
      <c r="F6" s="640"/>
      <c r="G6" s="640"/>
      <c r="H6" s="640"/>
      <c r="I6" s="640"/>
      <c r="J6" s="640"/>
      <c r="K6" s="640"/>
      <c r="L6" s="640"/>
      <c r="M6" s="640"/>
      <c r="N6" s="640"/>
      <c r="O6" s="640"/>
      <c r="P6" s="640"/>
      <c r="Q6" s="640"/>
      <c r="R6" s="640"/>
      <c r="S6" s="640"/>
      <c r="T6" s="640"/>
      <c r="U6" s="640"/>
      <c r="V6" s="640"/>
      <c r="W6" s="640"/>
      <c r="X6" s="640"/>
      <c r="Y6" s="641"/>
      <c r="Z6" s="642"/>
      <c r="AA6" s="643"/>
    </row>
    <row r="7" spans="1:27" ht="13.5" customHeight="1">
      <c r="A7" s="639"/>
      <c r="B7" s="1654"/>
      <c r="C7" s="1657"/>
      <c r="D7" s="640"/>
      <c r="E7" s="669"/>
      <c r="F7" s="644"/>
      <c r="G7" s="644"/>
      <c r="H7" s="644"/>
      <c r="I7" s="644"/>
      <c r="J7" s="644"/>
      <c r="K7" s="644"/>
      <c r="L7" s="644"/>
      <c r="M7" s="644"/>
      <c r="N7" s="644"/>
      <c r="O7" s="640"/>
      <c r="P7" s="644"/>
      <c r="Q7" s="644"/>
      <c r="R7" s="644"/>
      <c r="S7" s="644"/>
      <c r="T7" s="644"/>
      <c r="U7" s="644"/>
      <c r="V7" s="644"/>
      <c r="W7" s="644"/>
      <c r="X7" s="644"/>
      <c r="Y7" s="641"/>
      <c r="Z7" s="642"/>
      <c r="AA7" s="643"/>
    </row>
    <row r="8" spans="1:27" ht="13.5" customHeight="1">
      <c r="A8" s="639"/>
      <c r="B8" s="1654"/>
      <c r="C8" s="1657"/>
      <c r="D8" s="645"/>
      <c r="E8" s="646" t="s">
        <v>4</v>
      </c>
      <c r="F8" s="1665" t="s">
        <v>5</v>
      </c>
      <c r="G8" s="1656"/>
      <c r="H8" s="1656"/>
      <c r="I8" s="1656"/>
      <c r="J8" s="1656"/>
      <c r="K8" s="1656"/>
      <c r="L8" s="1656"/>
      <c r="M8" s="1656"/>
      <c r="N8" s="645"/>
      <c r="O8" s="647" t="s">
        <v>4</v>
      </c>
      <c r="P8" s="1666" t="s">
        <v>6</v>
      </c>
      <c r="Q8" s="1667"/>
      <c r="R8" s="1667"/>
      <c r="S8" s="1667"/>
      <c r="T8" s="1667"/>
      <c r="U8" s="1667"/>
      <c r="V8" s="1667"/>
      <c r="W8" s="1667"/>
      <c r="X8" s="1667"/>
      <c r="Y8" s="641"/>
      <c r="Z8" s="642"/>
      <c r="AA8" s="643"/>
    </row>
    <row r="9" spans="1:27" ht="13.5" customHeight="1">
      <c r="A9" s="639"/>
      <c r="B9" s="1654"/>
      <c r="C9" s="1657"/>
      <c r="D9" s="645"/>
      <c r="E9" s="648" t="s">
        <v>4</v>
      </c>
      <c r="F9" s="1665" t="s">
        <v>7</v>
      </c>
      <c r="G9" s="1656"/>
      <c r="H9" s="1656"/>
      <c r="I9" s="1656"/>
      <c r="J9" s="1656"/>
      <c r="K9" s="1656"/>
      <c r="L9" s="1656"/>
      <c r="M9" s="1656"/>
      <c r="N9" s="645"/>
      <c r="O9" s="649" t="s">
        <v>4</v>
      </c>
      <c r="P9" s="1666" t="s">
        <v>8</v>
      </c>
      <c r="Q9" s="1667"/>
      <c r="R9" s="1667"/>
      <c r="S9" s="1667"/>
      <c r="T9" s="1667"/>
      <c r="U9" s="1667"/>
      <c r="V9" s="1667"/>
      <c r="W9" s="1667"/>
      <c r="X9" s="1667"/>
      <c r="Y9" s="641"/>
      <c r="Z9" s="642"/>
      <c r="AA9" s="643"/>
    </row>
    <row r="10" spans="1:27" ht="13.5" customHeight="1">
      <c r="B10" s="1654"/>
      <c r="C10" s="1657"/>
      <c r="D10" s="918"/>
      <c r="E10" s="915" t="s">
        <v>4</v>
      </c>
      <c r="F10" s="1667" t="s">
        <v>9</v>
      </c>
      <c r="G10" s="1668"/>
      <c r="H10" s="1668"/>
      <c r="I10" s="1668"/>
      <c r="J10" s="1668"/>
      <c r="K10" s="1668"/>
      <c r="L10" s="1668"/>
      <c r="M10" s="1668"/>
      <c r="N10" s="1668"/>
      <c r="O10" s="917" t="s">
        <v>4</v>
      </c>
      <c r="P10" s="1667" t="s">
        <v>10</v>
      </c>
      <c r="Q10" s="1668"/>
      <c r="R10" s="1668"/>
      <c r="S10" s="1668"/>
      <c r="T10" s="1668"/>
      <c r="U10" s="1668"/>
      <c r="V10" s="1668"/>
      <c r="W10" s="1668"/>
      <c r="X10" s="1668"/>
      <c r="Y10" s="916"/>
      <c r="Z10" s="919"/>
      <c r="AA10" s="916"/>
    </row>
    <row r="11" spans="1:27" ht="30" customHeight="1">
      <c r="A11" s="639"/>
      <c r="B11" s="1654"/>
      <c r="C11" s="1655"/>
      <c r="D11" s="650"/>
      <c r="E11" s="679"/>
      <c r="F11" s="644"/>
      <c r="G11" s="644"/>
      <c r="H11" s="644"/>
      <c r="I11" s="644"/>
      <c r="J11" s="644"/>
      <c r="K11" s="644"/>
      <c r="L11" s="644"/>
      <c r="M11" s="644"/>
      <c r="N11" s="644"/>
      <c r="O11" s="651"/>
      <c r="P11" s="644"/>
      <c r="Q11" s="644"/>
      <c r="R11" s="644"/>
      <c r="S11" s="644"/>
      <c r="T11" s="644"/>
      <c r="U11" s="644"/>
      <c r="V11" s="644"/>
      <c r="W11" s="644"/>
      <c r="X11" s="644"/>
      <c r="Y11" s="641"/>
      <c r="Z11" s="642"/>
      <c r="AA11" s="643"/>
    </row>
    <row r="12" spans="1:27" ht="19.5" customHeight="1">
      <c r="A12" s="639"/>
      <c r="B12" s="1652" t="s">
        <v>11</v>
      </c>
      <c r="C12" s="1653"/>
      <c r="D12" s="645"/>
      <c r="E12" s="680"/>
      <c r="F12" s="652"/>
      <c r="G12" s="652"/>
      <c r="H12" s="652"/>
      <c r="I12" s="652"/>
      <c r="J12" s="652"/>
      <c r="K12" s="652"/>
      <c r="L12" s="652"/>
      <c r="M12" s="652"/>
      <c r="N12" s="652"/>
      <c r="O12" s="652"/>
      <c r="P12" s="652"/>
      <c r="Q12" s="652"/>
      <c r="R12" s="652"/>
      <c r="S12" s="652"/>
      <c r="T12" s="652"/>
      <c r="U12" s="652"/>
      <c r="V12" s="652"/>
      <c r="W12" s="652"/>
      <c r="X12" s="652"/>
      <c r="Y12" s="641"/>
      <c r="Z12" s="642"/>
      <c r="AA12" s="643"/>
    </row>
    <row r="13" spans="1:27" ht="68.25" customHeight="1">
      <c r="A13" s="639"/>
      <c r="B13" s="1654"/>
      <c r="C13" s="1655"/>
      <c r="D13" s="653"/>
      <c r="E13" s="1656" t="s">
        <v>12</v>
      </c>
      <c r="F13" s="1656"/>
      <c r="G13" s="1656"/>
      <c r="H13" s="1656"/>
      <c r="I13" s="1656"/>
      <c r="J13" s="1656"/>
      <c r="K13" s="1656"/>
      <c r="L13" s="1656"/>
      <c r="M13" s="1656"/>
      <c r="N13" s="1656"/>
      <c r="O13" s="1656"/>
      <c r="P13" s="1656"/>
      <c r="Q13" s="1656"/>
      <c r="R13" s="1656"/>
      <c r="S13" s="1656"/>
      <c r="T13" s="1656"/>
      <c r="U13" s="1656"/>
      <c r="V13" s="1656"/>
      <c r="W13" s="1656"/>
      <c r="X13" s="1656"/>
      <c r="Y13" s="641"/>
      <c r="Z13" s="642"/>
      <c r="AA13" s="643"/>
    </row>
    <row r="14" spans="1:27" ht="13.5" customHeight="1">
      <c r="A14" s="639"/>
      <c r="B14" s="1652" t="s">
        <v>13</v>
      </c>
      <c r="C14" s="1653"/>
      <c r="D14" s="640"/>
      <c r="E14" s="680"/>
      <c r="F14" s="652"/>
      <c r="G14" s="652"/>
      <c r="H14" s="652"/>
      <c r="I14" s="652"/>
      <c r="J14" s="652"/>
      <c r="K14" s="652"/>
      <c r="L14" s="652"/>
      <c r="M14" s="652"/>
      <c r="N14" s="652"/>
      <c r="O14" s="652"/>
      <c r="P14" s="652"/>
      <c r="Q14" s="652"/>
      <c r="R14" s="652"/>
      <c r="S14" s="652"/>
      <c r="T14" s="652"/>
      <c r="U14" s="652"/>
      <c r="V14" s="652"/>
      <c r="W14" s="652"/>
      <c r="X14" s="652"/>
      <c r="Y14" s="641"/>
      <c r="Z14" s="642"/>
      <c r="AA14" s="643"/>
    </row>
    <row r="15" spans="1:27" ht="65.25" customHeight="1">
      <c r="A15" s="639"/>
      <c r="B15" s="1654"/>
      <c r="C15" s="1657"/>
      <c r="D15" s="645"/>
      <c r="E15" s="1660" t="s">
        <v>14</v>
      </c>
      <c r="F15" s="1660"/>
      <c r="G15" s="1660"/>
      <c r="H15" s="1660"/>
      <c r="I15" s="1660"/>
      <c r="J15" s="1660"/>
      <c r="K15" s="1660"/>
      <c r="L15" s="1660"/>
      <c r="M15" s="1660"/>
      <c r="N15" s="1660"/>
      <c r="O15" s="1660"/>
      <c r="P15" s="1660"/>
      <c r="Q15" s="1660"/>
      <c r="R15" s="1660"/>
      <c r="S15" s="1660"/>
      <c r="T15" s="1660"/>
      <c r="U15" s="1660"/>
      <c r="V15" s="1660"/>
      <c r="W15" s="1660"/>
      <c r="X15" s="1660"/>
      <c r="Y15" s="641"/>
      <c r="Z15" s="642"/>
      <c r="AA15" s="643"/>
    </row>
    <row r="16" spans="1:27" ht="16.5" customHeight="1">
      <c r="A16" s="639"/>
      <c r="B16" s="1658"/>
      <c r="C16" s="1659"/>
      <c r="D16" s="654"/>
      <c r="E16" s="681"/>
      <c r="F16" s="655"/>
      <c r="G16" s="655"/>
      <c r="H16" s="655"/>
      <c r="I16" s="655"/>
      <c r="J16" s="655"/>
      <c r="K16" s="655"/>
      <c r="L16" s="655"/>
      <c r="M16" s="655"/>
      <c r="N16" s="655"/>
      <c r="O16" s="655"/>
      <c r="P16" s="655"/>
      <c r="Q16" s="655"/>
      <c r="R16" s="655"/>
      <c r="S16" s="655"/>
      <c r="T16" s="655"/>
      <c r="U16" s="655"/>
      <c r="V16" s="655"/>
      <c r="W16" s="655"/>
      <c r="X16" s="655"/>
      <c r="Y16" s="656"/>
      <c r="Z16" s="642"/>
      <c r="AA16" s="657"/>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8553-B836-2698-EFC8-27F11A1AD248}">
  <sheetPr>
    <tabColor theme="6" tint="0.39997558519241921"/>
    <outlinePr summaryBelow="0" summaryRight="0"/>
  </sheetPr>
  <dimension ref="A1:BF238"/>
  <sheetViews>
    <sheetView showGridLines="0" workbookViewId="0">
      <pane xSplit="30" ySplit="27" topLeftCell="AH209" activePane="bottomRight" state="frozen"/>
      <selection pane="topRight" activeCell="AE1" sqref="AE1"/>
      <selection pane="bottomLeft" activeCell="A28" sqref="A28"/>
      <selection pane="bottomRight" activeCell="AH218" sqref="AH218"/>
    </sheetView>
  </sheetViews>
  <sheetFormatPr defaultColWidth="9.140625" defaultRowHeight="11.25" customHeight="1"/>
  <cols>
    <col min="1" max="1" width="6" style="983" hidden="1" customWidth="1"/>
    <col min="2" max="2" width="8.5703125" style="783" hidden="1" customWidth="1"/>
    <col min="3" max="4" width="3.5703125" style="1153" hidden="1" customWidth="1"/>
    <col min="5" max="5" width="8.42578125" style="782" hidden="1" customWidth="1"/>
    <col min="6" max="6" width="6.42578125" style="1153" hidden="1" customWidth="1"/>
    <col min="7" max="19" width="3.5703125" style="425" hidden="1" customWidth="1"/>
    <col min="20" max="20" width="8.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5" customWidth="1"/>
    <col min="28" max="28" width="9.140625" style="165" customWidth="1"/>
    <col min="29" max="29" width="61.28515625" style="165" customWidth="1"/>
    <col min="30" max="30" width="10.42578125" style="165" customWidth="1"/>
    <col min="31" max="39" width="13.140625" style="425" customWidth="1"/>
    <col min="40" max="44" width="13.140625" style="425" hidden="1" customWidth="1"/>
    <col min="45" max="49" width="13.140625" style="425" customWidth="1"/>
    <col min="50" max="54" width="13.140625" style="425" hidden="1" customWidth="1"/>
    <col min="55" max="55" width="20.140625" style="165" customWidth="1"/>
    <col min="56" max="56" width="3" style="425" customWidth="1"/>
    <col min="57" max="57" width="9.140625" style="425" hidden="1"/>
    <col min="58" max="58" width="9.140625" style="945" hidden="1"/>
  </cols>
  <sheetData>
    <row r="1" spans="1:58" s="1153" customFormat="1" ht="12" hidden="1" customHeight="1">
      <c r="A1" s="983" t="b">
        <f>OR(T27:T232)</f>
        <v>1</v>
      </c>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382</v>
      </c>
      <c r="Z1" s="687" t="s">
        <v>93</v>
      </c>
      <c r="AA1" s="698" t="s">
        <v>90</v>
      </c>
      <c r="AB1" s="698" t="s">
        <v>92</v>
      </c>
      <c r="AC1" s="122"/>
      <c r="AD1" s="122"/>
      <c r="BC1" s="122"/>
      <c r="BF1" s="945" t="s">
        <v>383</v>
      </c>
    </row>
    <row r="2" spans="1:58" s="783" customFormat="1" ht="12" hidden="1" customHeight="1">
      <c r="A2" s="991"/>
      <c r="B2" s="768" t="s">
        <v>15</v>
      </c>
      <c r="G2" s="786"/>
      <c r="H2" s="786"/>
      <c r="I2" s="786"/>
      <c r="J2" s="786"/>
      <c r="K2" s="786"/>
      <c r="L2" s="786"/>
      <c r="M2" s="786"/>
      <c r="N2" s="786"/>
      <c r="O2" s="786"/>
      <c r="P2" s="786"/>
      <c r="Q2" s="786"/>
      <c r="R2" s="786"/>
      <c r="S2" s="786"/>
      <c r="AB2" s="671"/>
      <c r="AC2" s="671"/>
      <c r="AD2" s="671"/>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C2" s="671"/>
      <c r="BF2" s="992"/>
    </row>
    <row r="3" spans="1:58" s="1153" customFormat="1" ht="12" hidden="1" customHeight="1">
      <c r="A3" s="983"/>
      <c r="B3" s="667"/>
      <c r="E3" s="667"/>
      <c r="G3" s="163"/>
      <c r="H3" s="163"/>
      <c r="I3" s="163"/>
      <c r="J3" s="163"/>
      <c r="K3" s="163"/>
      <c r="L3" s="163"/>
      <c r="M3" s="163"/>
      <c r="N3" s="163"/>
      <c r="O3" s="163"/>
      <c r="P3" s="163"/>
      <c r="Q3" s="163"/>
      <c r="R3" s="163"/>
      <c r="S3" s="163"/>
      <c r="AB3" s="122"/>
      <c r="AC3" s="122"/>
      <c r="AD3" s="122"/>
      <c r="BC3" s="122"/>
      <c r="BF3" s="945"/>
    </row>
    <row r="4" spans="1:58" s="1153" customFormat="1" ht="12" hidden="1" customHeight="1">
      <c r="A4" s="983"/>
      <c r="B4" s="667"/>
      <c r="E4" s="667"/>
      <c r="G4" s="163"/>
      <c r="H4" s="163"/>
      <c r="I4" s="163"/>
      <c r="J4" s="163"/>
      <c r="K4" s="163"/>
      <c r="L4" s="163"/>
      <c r="M4" s="163"/>
      <c r="N4" s="163"/>
      <c r="O4" s="163"/>
      <c r="P4" s="163"/>
      <c r="Q4" s="163"/>
      <c r="R4" s="163"/>
      <c r="S4" s="163"/>
      <c r="AB4" s="122"/>
      <c r="AC4" s="122"/>
      <c r="AD4" s="122"/>
      <c r="BC4" s="122"/>
      <c r="BF4" s="945"/>
    </row>
    <row r="5" spans="1:58" s="782" customFormat="1" ht="12" hidden="1" customHeight="1">
      <c r="A5" s="991"/>
      <c r="B5" s="667"/>
      <c r="C5" s="667"/>
      <c r="D5" s="667"/>
      <c r="E5" s="676" t="s">
        <v>16</v>
      </c>
      <c r="G5" s="787"/>
      <c r="H5" s="787"/>
      <c r="I5" s="787"/>
      <c r="J5" s="787"/>
      <c r="K5" s="787"/>
      <c r="L5" s="787"/>
      <c r="M5" s="787"/>
      <c r="N5" s="787"/>
      <c r="O5" s="787"/>
      <c r="P5" s="787"/>
      <c r="Q5" s="787"/>
      <c r="R5" s="787"/>
      <c r="S5" s="787"/>
      <c r="AA5" s="676">
        <v>3</v>
      </c>
      <c r="AB5" s="682">
        <v>9.1300000000000008</v>
      </c>
      <c r="AC5" s="682">
        <v>61.25</v>
      </c>
      <c r="AD5" s="682">
        <v>10.38</v>
      </c>
      <c r="AE5" s="676">
        <v>13.13</v>
      </c>
      <c r="AF5" s="676">
        <v>13.13</v>
      </c>
      <c r="AG5" s="676">
        <v>13.13</v>
      </c>
      <c r="AH5" s="676">
        <v>13.13</v>
      </c>
      <c r="AI5" s="676">
        <v>13.13</v>
      </c>
      <c r="AJ5" s="676">
        <v>13.13</v>
      </c>
      <c r="AK5" s="676">
        <v>13.13</v>
      </c>
      <c r="AL5" s="676">
        <v>13.13</v>
      </c>
      <c r="AM5" s="676">
        <v>13.13</v>
      </c>
      <c r="AN5" s="676">
        <v>13.13</v>
      </c>
      <c r="AO5" s="676">
        <v>13.13</v>
      </c>
      <c r="AP5" s="676">
        <v>13.13</v>
      </c>
      <c r="AQ5" s="676">
        <v>13.13</v>
      </c>
      <c r="AR5" s="676">
        <v>13.13</v>
      </c>
      <c r="AS5" s="676">
        <v>13.13</v>
      </c>
      <c r="AT5" s="676">
        <v>13.13</v>
      </c>
      <c r="AU5" s="676">
        <v>13.13</v>
      </c>
      <c r="AV5" s="676">
        <v>13.13</v>
      </c>
      <c r="AW5" s="676">
        <v>13.13</v>
      </c>
      <c r="AX5" s="676">
        <v>13.13</v>
      </c>
      <c r="AY5" s="676">
        <v>13.13</v>
      </c>
      <c r="AZ5" s="676">
        <v>13.13</v>
      </c>
      <c r="BA5" s="676">
        <v>13.13</v>
      </c>
      <c r="BB5" s="676">
        <v>13.13</v>
      </c>
      <c r="BC5" s="682">
        <v>20.13</v>
      </c>
      <c r="BD5" s="676">
        <v>3</v>
      </c>
      <c r="BF5" s="992"/>
    </row>
    <row r="6" spans="1:58" s="1153" customFormat="1" ht="12" hidden="1" customHeight="1">
      <c r="A6" s="983"/>
      <c r="B6" s="667"/>
      <c r="E6" s="676"/>
      <c r="G6" s="163"/>
      <c r="H6" s="163"/>
      <c r="I6" s="163"/>
      <c r="J6" s="163"/>
      <c r="K6" s="163"/>
      <c r="L6" s="163"/>
      <c r="M6" s="163"/>
      <c r="N6" s="163"/>
      <c r="O6" s="163"/>
      <c r="P6" s="163"/>
      <c r="Q6" s="163"/>
      <c r="R6" s="163"/>
      <c r="S6" s="163"/>
      <c r="AB6" s="122"/>
      <c r="AC6" s="122"/>
      <c r="AD6" s="122"/>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C6" s="122"/>
      <c r="BF6" s="945"/>
    </row>
    <row r="7" spans="1:58" ht="12" hidden="1" customHeight="1">
      <c r="F7" s="163"/>
      <c r="T7" s="163"/>
      <c r="U7" s="163"/>
      <c r="V7" s="163"/>
      <c r="W7" s="163"/>
      <c r="X7" s="163"/>
      <c r="Y7" s="163"/>
      <c r="Z7" s="163"/>
      <c r="AE7" s="163" t="str" cm="1">
        <f t="array" ref="AE7">AE26</f>
        <v>Принято органом регулирования</v>
      </c>
      <c r="AF7" s="163" t="str" cm="1">
        <f t="array" ref="AF7">AF26</f>
        <v>Факт по данным организации</v>
      </c>
      <c r="AG7" s="163" t="str" cm="1">
        <f t="array" ref="AG7">AG26</f>
        <v>Факт, принятый органом регулирования</v>
      </c>
      <c r="AH7" s="163" t="str" cm="1">
        <f t="array" ref="AH7">AH26</f>
        <v>Принято органом регулирования</v>
      </c>
      <c r="AI7" s="163" t="str" cm="1">
        <f t="array" ref="AI7">AI26</f>
        <v>Предложение организации</v>
      </c>
      <c r="AJ7" s="163" t="str" cm="1">
        <f t="array" ref="AJ7">AJ26</f>
        <v>Предложение организации</v>
      </c>
      <c r="AK7" s="163" t="str" cm="1">
        <f t="array" ref="AK7">AK26</f>
        <v>Предложение организации</v>
      </c>
      <c r="AL7" s="163" t="str" cm="1">
        <f t="array" ref="AL7">AL26</f>
        <v>Предложение организации</v>
      </c>
      <c r="AM7" s="163" t="str" cm="1">
        <f t="array" ref="AM7">AM26</f>
        <v>Предложение организации</v>
      </c>
      <c r="AN7" s="163" t="str" cm="1">
        <f t="array" ref="AN7">AN26</f>
        <v>Предложение организации</v>
      </c>
      <c r="AO7" s="163" t="str" cm="1">
        <f t="array" ref="AO7">AO26</f>
        <v>Предложение организации</v>
      </c>
      <c r="AP7" s="163" t="str" cm="1">
        <f t="array" ref="AP7">AP26</f>
        <v>Предложение организации</v>
      </c>
      <c r="AQ7" s="163" t="str" cm="1">
        <f t="array" ref="AQ7">AQ26</f>
        <v>Предложение организации</v>
      </c>
      <c r="AR7" s="163" t="str" cm="1">
        <f t="array" ref="AR7">AR26</f>
        <v>Предложение организации</v>
      </c>
      <c r="AS7" s="163" t="str" cm="1">
        <f t="array" ref="AS7">AS26</f>
        <v>Принято органом регулирования</v>
      </c>
      <c r="AT7" s="163" t="str" cm="1">
        <f t="array" ref="AT7">AT26</f>
        <v>Принято органом регулирования</v>
      </c>
      <c r="AU7" s="163" t="str" cm="1">
        <f t="array" ref="AU7">AU26</f>
        <v>Принято органом регулирования</v>
      </c>
      <c r="AV7" s="163" t="str" cm="1">
        <f t="array" ref="AV7">AV26</f>
        <v>Принято органом регулирования</v>
      </c>
      <c r="AW7" s="163" t="str" cm="1">
        <f t="array" ref="AW7">AW26</f>
        <v>Принято органом регулирования</v>
      </c>
      <c r="AX7" s="163" t="str" cm="1">
        <f t="array" ref="AX7">AX26</f>
        <v>Принято органом регулирования</v>
      </c>
      <c r="AY7" s="163" t="str" cm="1">
        <f t="array" ref="AY7">AY26</f>
        <v>Принято органом регулирования</v>
      </c>
      <c r="AZ7" s="163" t="str" cm="1">
        <f t="array" ref="AZ7">AZ26</f>
        <v>Принято органом регулирования</v>
      </c>
      <c r="BA7" s="163" t="str" cm="1">
        <f t="array" ref="BA7">BA26</f>
        <v>Принято органом регулирования</v>
      </c>
      <c r="BB7" s="163" t="str" cm="1">
        <f t="array" ref="BB7">BB26</f>
        <v>Принято органом регулирования</v>
      </c>
    </row>
    <row r="8" spans="1:58" ht="12" hidden="1" customHeight="1">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58" s="1013" customFormat="1" ht="12" hidden="1" customHeight="1">
      <c r="A9" s="958" t="s">
        <v>472</v>
      </c>
      <c r="B9" s="951"/>
      <c r="E9" s="951"/>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58"/>
    </row>
    <row r="10" spans="1:58" s="1013" customFormat="1" ht="12" hidden="1" customHeight="1">
      <c r="A10" s="958" t="s">
        <v>473</v>
      </c>
      <c r="B10" s="951"/>
      <c r="E10" s="951"/>
      <c r="AE10" s="959" t="str" cm="1">
        <f t="array" ref="AE10">AE26</f>
        <v>Принято органом регулирования</v>
      </c>
      <c r="AF10" s="959" t="str" cm="1">
        <f t="array" ref="AF10">AF26</f>
        <v>Факт по данным организации</v>
      </c>
      <c r="AG10" s="959" t="str" cm="1">
        <f t="array" ref="AG10">AG26</f>
        <v>Факт, принятый органом регулирования</v>
      </c>
      <c r="AH10" s="959" t="str" cm="1">
        <f t="array" ref="AH10">AH26</f>
        <v>Принято органом регулирования</v>
      </c>
      <c r="AI10" s="959" t="str" cm="1">
        <f t="array" ref="AI10">AI26</f>
        <v>Предложение организации</v>
      </c>
      <c r="AJ10" s="959" t="str" cm="1">
        <f t="array" ref="AJ10">AJ26</f>
        <v>Предложение организации</v>
      </c>
      <c r="AK10" s="959" t="str" cm="1">
        <f t="array" ref="AK10">AK26</f>
        <v>Предложение организации</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Принято органом регулирования</v>
      </c>
      <c r="AT10" s="959" t="str" cm="1">
        <f t="array" ref="AT10">AT26</f>
        <v>Принято органом регулирования</v>
      </c>
      <c r="AU10" s="959" t="str" cm="1">
        <f t="array" ref="AU10">AU26</f>
        <v>Принято органом регулирования</v>
      </c>
      <c r="AV10" s="959" t="str" cm="1">
        <f t="array" ref="AV10">AV26</f>
        <v>Принято органом регулирования</v>
      </c>
      <c r="AW10" s="959" t="str" cm="1">
        <f t="array" ref="AW10">AW26</f>
        <v>Принято органом регулирования</v>
      </c>
      <c r="AX10" s="959" t="str" cm="1">
        <f t="array" ref="AX10">AX26</f>
        <v>Принято органом регулирования</v>
      </c>
      <c r="AY10" s="959" t="str" cm="1">
        <f t="array" ref="AY10">AY26</f>
        <v>Принято органом регулирования</v>
      </c>
      <c r="AZ10" s="959" t="str" cm="1">
        <f t="array" ref="AZ10">AZ26</f>
        <v>Принято органом регулирования</v>
      </c>
      <c r="BA10" s="959" t="str" cm="1">
        <f t="array" ref="BA10">BA26</f>
        <v>Принято органом регулирования</v>
      </c>
      <c r="BB10" s="959" t="str" cm="1">
        <f t="array" ref="BB10">BB26</f>
        <v>Принято органом регулирования</v>
      </c>
      <c r="BF10" s="958"/>
    </row>
    <row r="11" spans="1:58" s="1013" customFormat="1" ht="12" hidden="1" customHeight="1">
      <c r="A11" s="958" t="s">
        <v>474</v>
      </c>
      <c r="B11" s="951"/>
      <c r="E11" s="951"/>
      <c r="G11" s="967"/>
      <c r="H11" s="967"/>
      <c r="I11" s="967"/>
      <c r="J11" s="967"/>
      <c r="K11" s="967"/>
      <c r="L11" s="967"/>
      <c r="M11" s="967"/>
      <c r="N11" s="967"/>
      <c r="O11" s="967"/>
      <c r="P11" s="967"/>
      <c r="Q11" s="967"/>
      <c r="R11" s="967"/>
      <c r="S11" s="967"/>
      <c r="AB11" s="961"/>
      <c r="AC11" s="961"/>
      <c r="AD11" s="961"/>
      <c r="BC11" s="961" t="str" cm="1">
        <f t="array" ref="BC11">BC25</f>
        <v>Ссылка на правовую норму (основание для принятия показателя в расчет тарифа)</v>
      </c>
      <c r="BF11" s="958"/>
    </row>
    <row r="12" spans="1:58" s="1153" customFormat="1" ht="12" hidden="1" customHeight="1">
      <c r="A12" s="983"/>
      <c r="B12" s="667"/>
      <c r="E12" s="676"/>
      <c r="G12" s="163"/>
      <c r="H12" s="163"/>
      <c r="I12" s="163"/>
      <c r="J12" s="163"/>
      <c r="K12" s="163"/>
      <c r="L12" s="163"/>
      <c r="M12" s="163"/>
      <c r="N12" s="163"/>
      <c r="O12" s="163"/>
      <c r="P12" s="163"/>
      <c r="Q12" s="163"/>
      <c r="R12" s="163"/>
      <c r="S12" s="163"/>
      <c r="AB12" s="122"/>
      <c r="AC12" s="122"/>
      <c r="AD12" s="122"/>
      <c r="BC12" s="122"/>
      <c r="BF12" s="945"/>
    </row>
    <row r="13" spans="1:58" s="1153" customFormat="1" ht="12" hidden="1" customHeight="1">
      <c r="A13" s="983"/>
      <c r="B13" s="667"/>
      <c r="E13" s="676"/>
      <c r="G13" s="163"/>
      <c r="H13" s="163"/>
      <c r="I13" s="163"/>
      <c r="J13" s="163"/>
      <c r="K13" s="163"/>
      <c r="L13" s="163"/>
      <c r="M13" s="163"/>
      <c r="N13" s="163"/>
      <c r="O13" s="163"/>
      <c r="P13" s="163"/>
      <c r="Q13" s="163"/>
      <c r="R13" s="163"/>
      <c r="S13" s="163"/>
      <c r="AB13" s="122"/>
      <c r="AC13" s="122"/>
      <c r="AD13" s="122"/>
      <c r="BC13" s="122"/>
      <c r="BF13" s="945"/>
    </row>
    <row r="14" spans="1:58" s="1153" customFormat="1" ht="12" hidden="1" customHeight="1">
      <c r="A14" s="983"/>
      <c r="B14" s="667"/>
      <c r="E14" s="676"/>
      <c r="G14" s="163"/>
      <c r="H14" s="163"/>
      <c r="I14" s="163"/>
      <c r="J14" s="163"/>
      <c r="K14" s="163"/>
      <c r="L14" s="163"/>
      <c r="M14" s="163"/>
      <c r="N14" s="163"/>
      <c r="O14" s="163"/>
      <c r="P14" s="163"/>
      <c r="Q14" s="163"/>
      <c r="R14" s="163"/>
      <c r="S14" s="163"/>
      <c r="AB14" s="122"/>
      <c r="AC14" s="122"/>
      <c r="BC14" s="122"/>
      <c r="BF14" s="945"/>
    </row>
    <row r="15" spans="1:58" s="1153" customFormat="1" ht="12" hidden="1" customHeight="1">
      <c r="A15" s="983"/>
      <c r="B15" s="667"/>
      <c r="E15" s="676"/>
      <c r="G15" s="163"/>
      <c r="H15" s="163"/>
      <c r="I15" s="163"/>
      <c r="J15" s="163"/>
      <c r="K15" s="163"/>
      <c r="L15" s="163"/>
      <c r="M15" s="163"/>
      <c r="N15" s="163"/>
      <c r="O15" s="163"/>
      <c r="P15" s="163"/>
      <c r="Q15" s="163"/>
      <c r="R15" s="163"/>
      <c r="S15" s="163"/>
      <c r="AB15" s="122"/>
      <c r="AC15" s="122"/>
      <c r="AD15" s="122"/>
      <c r="BC15" s="122"/>
      <c r="BF15" s="945"/>
    </row>
    <row r="16" spans="1:58" s="1153" customFormat="1" ht="12" hidden="1" customHeight="1">
      <c r="A16" s="983"/>
      <c r="B16" s="667"/>
      <c r="E16" s="676"/>
      <c r="G16" s="163"/>
      <c r="H16" s="163"/>
      <c r="I16" s="163"/>
      <c r="J16" s="163"/>
      <c r="K16" s="163"/>
      <c r="L16" s="163"/>
      <c r="M16" s="163"/>
      <c r="N16" s="163"/>
      <c r="O16" s="163"/>
      <c r="P16" s="163"/>
      <c r="Q16" s="163"/>
      <c r="R16" s="163"/>
      <c r="S16" s="163"/>
      <c r="AB16" s="122"/>
      <c r="AC16" s="122"/>
      <c r="AD16" s="122"/>
      <c r="BC16" s="122"/>
      <c r="BF16" s="945"/>
    </row>
    <row r="17" spans="1:58" s="1153" customFormat="1" ht="12" hidden="1" customHeight="1">
      <c r="A17" s="983"/>
      <c r="B17" s="667"/>
      <c r="E17" s="676"/>
      <c r="G17" s="163"/>
      <c r="H17" s="163"/>
      <c r="I17" s="163"/>
      <c r="J17" s="163"/>
      <c r="K17" s="163"/>
      <c r="L17" s="163"/>
      <c r="M17" s="163"/>
      <c r="N17" s="163"/>
      <c r="O17" s="163"/>
      <c r="P17" s="163"/>
      <c r="Q17" s="163"/>
      <c r="R17" s="163"/>
      <c r="S17" s="163"/>
      <c r="AB17" s="122"/>
      <c r="AC17" s="122"/>
      <c r="AD17" s="122"/>
      <c r="BC17" s="122"/>
      <c r="BF17" s="945"/>
    </row>
    <row r="18" spans="1:58" s="1153" customFormat="1" ht="12" hidden="1" customHeight="1">
      <c r="A18" s="983"/>
      <c r="B18" s="667"/>
      <c r="E18" s="676"/>
      <c r="G18" s="163"/>
      <c r="H18" s="163"/>
      <c r="I18" s="163"/>
      <c r="J18" s="163"/>
      <c r="K18" s="163"/>
      <c r="L18" s="163"/>
      <c r="M18" s="163"/>
      <c r="N18" s="163"/>
      <c r="O18" s="163"/>
      <c r="P18" s="163"/>
      <c r="Q18" s="163"/>
      <c r="R18" s="163"/>
      <c r="S18" s="163"/>
      <c r="AB18" s="122"/>
      <c r="AC18" s="122"/>
      <c r="AD18" s="122"/>
      <c r="BC18" s="122"/>
      <c r="BF18" s="945"/>
    </row>
    <row r="19" spans="1:58" s="1153" customFormat="1" ht="12" hidden="1" customHeight="1">
      <c r="A19" s="983"/>
      <c r="B19" s="667"/>
      <c r="E19" s="676"/>
      <c r="G19" s="163"/>
      <c r="H19" s="163"/>
      <c r="I19" s="163"/>
      <c r="J19" s="163"/>
      <c r="K19" s="163"/>
      <c r="L19" s="163"/>
      <c r="M19" s="163"/>
      <c r="N19" s="163"/>
      <c r="O19" s="163"/>
      <c r="P19" s="163"/>
      <c r="Q19" s="163"/>
      <c r="R19" s="163"/>
      <c r="S19" s="163"/>
      <c r="AB19" s="122"/>
      <c r="AC19" s="122"/>
      <c r="AD19" s="122"/>
      <c r="BC19" s="122"/>
      <c r="BF19" s="945"/>
    </row>
    <row r="20" spans="1:58" s="1153" customFormat="1" ht="12" hidden="1" customHeight="1">
      <c r="A20" s="983"/>
      <c r="B20" s="667"/>
      <c r="E20" s="676"/>
      <c r="G20" s="163"/>
      <c r="H20" s="163"/>
      <c r="I20" s="163"/>
      <c r="J20" s="163"/>
      <c r="K20" s="163"/>
      <c r="L20" s="163"/>
      <c r="M20" s="163"/>
      <c r="N20" s="163"/>
      <c r="O20" s="163"/>
      <c r="P20" s="163"/>
      <c r="Q20" s="163"/>
      <c r="R20" s="163"/>
      <c r="S20" s="163"/>
      <c r="AB20" s="122"/>
      <c r="AC20" s="122"/>
      <c r="AD20" s="122"/>
      <c r="BC20" s="122"/>
      <c r="BF20" s="945"/>
    </row>
    <row r="21" spans="1:58" ht="14.65" customHeight="1">
      <c r="E21" s="676">
        <v>15</v>
      </c>
      <c r="AA21" s="699"/>
      <c r="AC21" s="343" t="str" cm="1">
        <f t="array" ref="AC21">tpl_title</f>
        <v>Кемеровская область / 2026 / ОАО «СКЭК» (ИНН:4205153492, КПП:420501001) / ДПР: 2021-2030</v>
      </c>
    </row>
    <row r="22" spans="1:58" s="814" customFormat="1" ht="19.5" customHeight="1">
      <c r="A22" s="343"/>
      <c r="B22" s="667"/>
      <c r="C22" s="129"/>
      <c r="D22" s="129"/>
      <c r="E22" s="676">
        <v>20.100000000000001</v>
      </c>
      <c r="F22" s="129"/>
      <c r="T22" s="129"/>
      <c r="U22" s="129"/>
      <c r="V22" s="129"/>
      <c r="W22" s="129"/>
      <c r="X22" s="129"/>
      <c r="Y22" s="129"/>
      <c r="Z22" s="129"/>
      <c r="AB22" s="332" t="s">
        <v>33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93"/>
    </row>
    <row r="23" spans="1:58" ht="11.1" customHeight="1">
      <c r="E23" s="676">
        <v>11.3</v>
      </c>
    </row>
    <row r="24" spans="1:58" s="814" customFormat="1" ht="14.65" customHeight="1">
      <c r="A24" s="343"/>
      <c r="B24" s="667"/>
      <c r="C24" s="129"/>
      <c r="D24" s="129"/>
      <c r="E24" s="676">
        <v>15</v>
      </c>
      <c r="F24" s="129"/>
      <c r="T24" s="129"/>
      <c r="U24" s="129"/>
      <c r="V24" s="129"/>
      <c r="W24" s="129"/>
      <c r="X24" s="129"/>
      <c r="Y24" s="129"/>
      <c r="Z24" s="129"/>
      <c r="AB24" s="1746" t="s">
        <v>629</v>
      </c>
      <c r="AC24" s="1746"/>
      <c r="AD24" s="1746"/>
      <c r="AE24" s="1746"/>
      <c r="AF24" s="1746"/>
      <c r="AG24" s="1746"/>
      <c r="AH24" s="1746"/>
      <c r="AI24" s="1746"/>
      <c r="AJ24" s="1746"/>
      <c r="AK24" s="1746"/>
      <c r="AL24" s="1746"/>
      <c r="AM24" s="1746"/>
      <c r="AN24" s="1746"/>
      <c r="AO24" s="1746"/>
      <c r="AP24" s="1746"/>
      <c r="AQ24" s="1746"/>
      <c r="AR24" s="1746"/>
      <c r="AS24" s="1746"/>
      <c r="AT24" s="1746"/>
      <c r="AU24" s="1746"/>
      <c r="AV24" s="1746"/>
      <c r="AW24" s="1746"/>
      <c r="AX24" s="1746"/>
      <c r="AY24" s="1746"/>
      <c r="AZ24" s="1746"/>
      <c r="BA24" s="1746"/>
      <c r="BB24" s="1746"/>
      <c r="BC24" s="1746"/>
      <c r="BF24" s="993"/>
    </row>
    <row r="25" spans="1:58" s="165" customFormat="1" ht="14.65" customHeight="1">
      <c r="A25" s="277"/>
      <c r="B25" s="671"/>
      <c r="C25" s="122"/>
      <c r="D25" s="122"/>
      <c r="E25" s="682">
        <v>15</v>
      </c>
      <c r="F25" s="122"/>
      <c r="T25" s="122"/>
      <c r="U25" s="122"/>
      <c r="V25" s="129"/>
      <c r="W25" s="122"/>
      <c r="X25" s="122"/>
      <c r="Y25" s="122"/>
      <c r="Z25" s="122"/>
      <c r="AB25" s="1748" t="s">
        <v>396</v>
      </c>
      <c r="AC25" s="1749" t="s">
        <v>475</v>
      </c>
      <c r="AD25" s="1730" t="s">
        <v>476</v>
      </c>
      <c r="AE25" s="350" t="str">
        <f>god-2&amp;" год"</f>
        <v>2024 год</v>
      </c>
      <c r="AF25" s="1146" t="str">
        <f>god-2&amp;" год"</f>
        <v>2024 год</v>
      </c>
      <c r="AG25" s="350" t="str">
        <f>god-2&amp;" год"</f>
        <v>2024 год</v>
      </c>
      <c r="AH25" s="125" t="str">
        <f>god-1&amp;" год"</f>
        <v>2025 год</v>
      </c>
      <c r="AI25" s="1141" t="str">
        <f>god&amp;" год"</f>
        <v>2026 год</v>
      </c>
      <c r="AJ25" s="1141" t="str">
        <f>god+1&amp;" год"</f>
        <v>2027 год</v>
      </c>
      <c r="AK25" s="1141" t="str">
        <f>god+2&amp;" год"</f>
        <v>2028 год</v>
      </c>
      <c r="AL25" s="1141" t="str">
        <f>god+3&amp;" год"</f>
        <v>2029 год</v>
      </c>
      <c r="AM25" s="1141" t="str">
        <f>god+4&amp;" год"</f>
        <v>2030 год</v>
      </c>
      <c r="AN25" s="1141" t="str">
        <f>god+5&amp;" год"</f>
        <v>2031 год</v>
      </c>
      <c r="AO25" s="1141" t="str">
        <f>god+6&amp;" год"</f>
        <v>2032 год</v>
      </c>
      <c r="AP25" s="1141" t="str">
        <f>god+7&amp;" год"</f>
        <v>2033 год</v>
      </c>
      <c r="AQ25" s="1141" t="str">
        <f>god+8&amp;" год"</f>
        <v>2034 год</v>
      </c>
      <c r="AR25" s="1141" t="str">
        <f>god+9&amp;" год"</f>
        <v>2035 год</v>
      </c>
      <c r="AS25" s="121" t="str">
        <f>god&amp;" год"</f>
        <v>2026 год</v>
      </c>
      <c r="AT25" s="121" t="str">
        <f>god+1&amp;" год"</f>
        <v>2027 год</v>
      </c>
      <c r="AU25" s="121" t="str">
        <f>god+2&amp;" год"</f>
        <v>2028 год</v>
      </c>
      <c r="AV25" s="121" t="str">
        <f>god+3&amp;" год"</f>
        <v>2029 год</v>
      </c>
      <c r="AW25" s="121" t="str">
        <f>god+4&amp;" год"</f>
        <v>2030 год</v>
      </c>
      <c r="AX25" s="121" t="str">
        <f>god+5&amp;" год"</f>
        <v>2031 год</v>
      </c>
      <c r="AY25" s="121" t="str">
        <f>god+6&amp;" год"</f>
        <v>2032 год</v>
      </c>
      <c r="AZ25" s="121" t="str">
        <f>god+7&amp;" год"</f>
        <v>2033 год</v>
      </c>
      <c r="BA25" s="121" t="str">
        <f>god+8&amp;" год"</f>
        <v>2034 год</v>
      </c>
      <c r="BB25" s="121" t="str">
        <f>god+9&amp;" год"</f>
        <v>2035 год</v>
      </c>
      <c r="BC25" s="1747" t="s">
        <v>630</v>
      </c>
      <c r="BF25" s="945"/>
    </row>
    <row r="26" spans="1:58" s="165" customFormat="1" ht="68.099999999999994" customHeight="1">
      <c r="A26" s="277"/>
      <c r="B26" s="671"/>
      <c r="C26" s="122"/>
      <c r="D26" s="122"/>
      <c r="E26" s="682">
        <v>69.900000000000006</v>
      </c>
      <c r="F26" s="122"/>
      <c r="T26" s="122"/>
      <c r="U26" s="122"/>
      <c r="V26" s="129"/>
      <c r="W26" s="122"/>
      <c r="X26" s="122"/>
      <c r="Y26" s="122"/>
      <c r="Z26" s="122"/>
      <c r="AB26" s="1748"/>
      <c r="AC26" s="1750"/>
      <c r="AD26" s="1730"/>
      <c r="AE26" s="121" t="s">
        <v>412</v>
      </c>
      <c r="AF26" s="1141" t="s">
        <v>631</v>
      </c>
      <c r="AG26" s="121" t="s">
        <v>632</v>
      </c>
      <c r="AH26" s="121" t="s">
        <v>412</v>
      </c>
      <c r="AI26" s="1142" t="s">
        <v>413</v>
      </c>
      <c r="AJ26" s="1142" t="s">
        <v>413</v>
      </c>
      <c r="AK26" s="1142" t="s">
        <v>413</v>
      </c>
      <c r="AL26" s="1142" t="s">
        <v>413</v>
      </c>
      <c r="AM26" s="1142" t="s">
        <v>413</v>
      </c>
      <c r="AN26" s="1142" t="s">
        <v>413</v>
      </c>
      <c r="AO26" s="1142" t="s">
        <v>413</v>
      </c>
      <c r="AP26" s="1142" t="s">
        <v>413</v>
      </c>
      <c r="AQ26" s="1142" t="s">
        <v>413</v>
      </c>
      <c r="AR26" s="1142" t="s">
        <v>413</v>
      </c>
      <c r="AS26" s="351" t="s">
        <v>412</v>
      </c>
      <c r="AT26" s="351" t="s">
        <v>412</v>
      </c>
      <c r="AU26" s="351" t="s">
        <v>412</v>
      </c>
      <c r="AV26" s="351" t="s">
        <v>412</v>
      </c>
      <c r="AW26" s="351" t="s">
        <v>412</v>
      </c>
      <c r="AX26" s="351" t="s">
        <v>412</v>
      </c>
      <c r="AY26" s="351" t="s">
        <v>412</v>
      </c>
      <c r="AZ26" s="351" t="s">
        <v>412</v>
      </c>
      <c r="BA26" s="351" t="s">
        <v>412</v>
      </c>
      <c r="BB26" s="351" t="s">
        <v>412</v>
      </c>
      <c r="BC26" s="1747"/>
      <c r="BF26" s="945"/>
    </row>
    <row r="27" spans="1:58" s="165" customFormat="1" ht="69.75" hidden="1" customHeight="1">
      <c r="A27" s="277"/>
      <c r="B27" s="671"/>
      <c r="C27" s="122"/>
      <c r="D27" s="122"/>
      <c r="E27" s="682">
        <v>0</v>
      </c>
      <c r="F27" s="122"/>
      <c r="T27" s="122"/>
      <c r="U27" s="122"/>
      <c r="V27" s="129"/>
      <c r="W27" s="122"/>
      <c r="X27" s="122"/>
      <c r="Y27" s="122"/>
      <c r="Z27" s="122"/>
      <c r="AB27" s="447"/>
      <c r="AC27" s="446"/>
      <c r="AD27" s="318"/>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F27" s="945"/>
    </row>
    <row r="28" spans="1:58" ht="11.1" hidden="1" customHeight="1">
      <c r="E28" s="676">
        <v>11.4</v>
      </c>
      <c r="F28" s="779" cm="1">
        <f t="array" ref="F28">X28</f>
        <v>0</v>
      </c>
      <c r="G28" s="163" cm="1">
        <f t="array" ref="G28">INDEX('Общие сведения'!$AL$187:$AL$236,MATCH($F28,'Общие сведения'!$Z$187:$Z$236,0))</f>
        <v>0</v>
      </c>
      <c r="H28" s="163" cm="1">
        <f t="array" ref="H28">INDEX('Общие сведения'!$AK$187:$AK$236,MATCH($F28,'Общие сведения'!$Z$187:$Z$236,0))</f>
        <v>0</v>
      </c>
      <c r="T28" s="687" t="b">
        <f>AND(X28&gt;0,G28&lt;&gt;"передача тепловой энергии")</f>
        <v>0</v>
      </c>
      <c r="V28" s="126" t="s">
        <v>315</v>
      </c>
      <c r="X28" s="1726">
        <v>0</v>
      </c>
      <c r="Z28" s="1726"/>
      <c r="AB28" s="398" t="str" cm="1">
        <f t="array" ref="AB28">INDEX('Общие сведения'!$AG$187:$AG$236,MATCH($F28,'Общие сведения'!$Z$187:$Z$236,0))</f>
        <v xml:space="preserve">Тариф 0 (Теплоснабжение) - </v>
      </c>
      <c r="AC28" s="213"/>
      <c r="AD28" s="213"/>
      <c r="AE28" s="213"/>
      <c r="AF28" s="213"/>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row>
    <row r="29" spans="1:58" ht="16.7" hidden="1" customHeight="1">
      <c r="E29" s="676">
        <v>17.100000000000001</v>
      </c>
      <c r="F29" s="779" cm="1">
        <f t="array" aca="1" ref="F29" ca="1">OFFSET(G29,-1,-1)</f>
        <v>0</v>
      </c>
      <c r="T29" s="687" t="b" cm="1">
        <f t="array" ref="T29">T28</f>
        <v>0</v>
      </c>
      <c r="X29" s="1726"/>
      <c r="Z29" s="1726"/>
      <c r="AB29" s="271" t="s">
        <v>341</v>
      </c>
      <c r="AC29" s="114" t="s">
        <v>633</v>
      </c>
      <c r="AD29" s="120" t="s">
        <v>634</v>
      </c>
      <c r="AE29" s="311">
        <f t="shared" ref="AE29:BB29" si="2">AE30+AE33+AE36</f>
        <v>0</v>
      </c>
      <c r="AF29" s="311">
        <f t="shared" si="2"/>
        <v>0</v>
      </c>
      <c r="AG29" s="311">
        <f t="shared" si="2"/>
        <v>0</v>
      </c>
      <c r="AH29" s="311">
        <f t="shared" si="2"/>
        <v>0</v>
      </c>
      <c r="AI29" s="311">
        <f t="shared" si="2"/>
        <v>0</v>
      </c>
      <c r="AJ29" s="311">
        <f t="shared" si="2"/>
        <v>0</v>
      </c>
      <c r="AK29" s="311">
        <f t="shared" si="2"/>
        <v>0</v>
      </c>
      <c r="AL29" s="311">
        <f t="shared" si="2"/>
        <v>0</v>
      </c>
      <c r="AM29" s="311">
        <f t="shared" si="2"/>
        <v>0</v>
      </c>
      <c r="AN29" s="311">
        <f t="shared" si="2"/>
        <v>0</v>
      </c>
      <c r="AO29" s="311">
        <f t="shared" si="2"/>
        <v>0</v>
      </c>
      <c r="AP29" s="311">
        <f t="shared" si="2"/>
        <v>0</v>
      </c>
      <c r="AQ29" s="311">
        <f t="shared" si="2"/>
        <v>0</v>
      </c>
      <c r="AR29" s="311">
        <f t="shared" si="2"/>
        <v>0</v>
      </c>
      <c r="AS29" s="311">
        <f t="shared" si="2"/>
        <v>0</v>
      </c>
      <c r="AT29" s="311">
        <f t="shared" si="2"/>
        <v>0</v>
      </c>
      <c r="AU29" s="311">
        <f t="shared" si="2"/>
        <v>0</v>
      </c>
      <c r="AV29" s="311">
        <f t="shared" si="2"/>
        <v>0</v>
      </c>
      <c r="AW29" s="311">
        <f t="shared" si="2"/>
        <v>0</v>
      </c>
      <c r="AX29" s="311">
        <f t="shared" si="2"/>
        <v>0</v>
      </c>
      <c r="AY29" s="311">
        <f t="shared" si="2"/>
        <v>0</v>
      </c>
      <c r="AZ29" s="311">
        <f t="shared" si="2"/>
        <v>0</v>
      </c>
      <c r="BA29" s="311">
        <f t="shared" si="2"/>
        <v>0</v>
      </c>
      <c r="BB29" s="311">
        <f t="shared" si="2"/>
        <v>0</v>
      </c>
      <c r="BC29" s="28"/>
      <c r="BF29" s="994" t="s">
        <v>635</v>
      </c>
    </row>
    <row r="30" spans="1:58" ht="16.7" hidden="1" customHeight="1">
      <c r="E30" s="676">
        <v>17.100000000000001</v>
      </c>
      <c r="F30" s="779" cm="1">
        <f t="array" aca="1" ref="F30" ca="1">OFFSET(G30,-1,-1)</f>
        <v>0</v>
      </c>
      <c r="T30" s="687" t="b" cm="1">
        <f t="array" ref="T30">T29</f>
        <v>0</v>
      </c>
      <c r="X30" s="1726"/>
      <c r="Z30" s="1726"/>
      <c r="AB30" s="108" t="str">
        <f>AB29&amp;".1"</f>
        <v>1.1</v>
      </c>
      <c r="AC30" s="115" t="s">
        <v>636</v>
      </c>
      <c r="AD30" s="120" t="s">
        <v>634</v>
      </c>
      <c r="AE30" s="311">
        <f t="shared" ref="AE30:BB30" si="3">AE31+AE32</f>
        <v>0</v>
      </c>
      <c r="AF30" s="311">
        <f t="shared" si="3"/>
        <v>0</v>
      </c>
      <c r="AG30" s="311">
        <f t="shared" si="3"/>
        <v>0</v>
      </c>
      <c r="AH30" s="311">
        <f t="shared" si="3"/>
        <v>0</v>
      </c>
      <c r="AI30" s="311">
        <f t="shared" si="3"/>
        <v>0</v>
      </c>
      <c r="AJ30" s="311">
        <f t="shared" si="3"/>
        <v>0</v>
      </c>
      <c r="AK30" s="311">
        <f t="shared" si="3"/>
        <v>0</v>
      </c>
      <c r="AL30" s="311">
        <f t="shared" si="3"/>
        <v>0</v>
      </c>
      <c r="AM30" s="311">
        <f t="shared" si="3"/>
        <v>0</v>
      </c>
      <c r="AN30" s="311">
        <f t="shared" si="3"/>
        <v>0</v>
      </c>
      <c r="AO30" s="311">
        <f t="shared" si="3"/>
        <v>0</v>
      </c>
      <c r="AP30" s="311">
        <f t="shared" si="3"/>
        <v>0</v>
      </c>
      <c r="AQ30" s="311">
        <f t="shared" si="3"/>
        <v>0</v>
      </c>
      <c r="AR30" s="311">
        <f t="shared" si="3"/>
        <v>0</v>
      </c>
      <c r="AS30" s="311">
        <f t="shared" si="3"/>
        <v>0</v>
      </c>
      <c r="AT30" s="311">
        <f t="shared" si="3"/>
        <v>0</v>
      </c>
      <c r="AU30" s="311">
        <f t="shared" si="3"/>
        <v>0</v>
      </c>
      <c r="AV30" s="311">
        <f t="shared" si="3"/>
        <v>0</v>
      </c>
      <c r="AW30" s="311">
        <f t="shared" si="3"/>
        <v>0</v>
      </c>
      <c r="AX30" s="311">
        <f t="shared" si="3"/>
        <v>0</v>
      </c>
      <c r="AY30" s="311">
        <f t="shared" si="3"/>
        <v>0</v>
      </c>
      <c r="AZ30" s="311">
        <f t="shared" si="3"/>
        <v>0</v>
      </c>
      <c r="BA30" s="311">
        <f t="shared" si="3"/>
        <v>0</v>
      </c>
      <c r="BB30" s="311">
        <f t="shared" si="3"/>
        <v>0</v>
      </c>
      <c r="BC30" s="28"/>
      <c r="BF30" s="994" t="s">
        <v>637</v>
      </c>
    </row>
    <row r="31" spans="1:58" ht="16.7" hidden="1" customHeight="1">
      <c r="E31" s="676">
        <v>17.100000000000001</v>
      </c>
      <c r="F31" s="779" cm="1">
        <f t="array" aca="1" ref="F31" ca="1">OFFSET(G31,-1,-1)</f>
        <v>0</v>
      </c>
      <c r="T31" s="687" t="b" cm="1">
        <f t="array" ref="T31">T30</f>
        <v>0</v>
      </c>
      <c r="X31" s="1726"/>
      <c r="Z31" s="1726"/>
      <c r="AB31" s="108" t="str">
        <f>AB30&amp;".1"</f>
        <v>1.1.1</v>
      </c>
      <c r="AC31" s="471" t="s">
        <v>638</v>
      </c>
      <c r="AD31" s="120" t="s">
        <v>634</v>
      </c>
      <c r="AE31" s="29"/>
      <c r="AF31" s="29"/>
      <c r="AG31" s="29"/>
      <c r="AH31" s="29"/>
      <c r="AI31" s="246"/>
      <c r="AJ31" s="246"/>
      <c r="AK31" s="246"/>
      <c r="AL31" s="246"/>
      <c r="AM31" s="246"/>
      <c r="AN31" s="29"/>
      <c r="AO31" s="29"/>
      <c r="AP31" s="29"/>
      <c r="AQ31" s="29"/>
      <c r="AR31" s="29"/>
      <c r="AS31" s="246"/>
      <c r="AT31" s="246"/>
      <c r="AU31" s="246"/>
      <c r="AV31" s="246"/>
      <c r="AW31" s="246"/>
      <c r="AX31" s="29"/>
      <c r="AY31" s="29"/>
      <c r="AZ31" s="29"/>
      <c r="BA31" s="29"/>
      <c r="BB31" s="29"/>
      <c r="BC31" s="28"/>
      <c r="BF31" s="994" t="s">
        <v>639</v>
      </c>
    </row>
    <row r="32" spans="1:58" ht="16.7" hidden="1" customHeight="1">
      <c r="E32" s="676">
        <v>17.100000000000001</v>
      </c>
      <c r="F32" s="779" cm="1">
        <f t="array" aca="1" ref="F32" ca="1">OFFSET(G32,-1,-1)</f>
        <v>0</v>
      </c>
      <c r="T32" s="687" t="b" cm="1">
        <f t="array" ref="T32">T31</f>
        <v>0</v>
      </c>
      <c r="X32" s="1726"/>
      <c r="Z32" s="1726"/>
      <c r="AB32" s="108" t="str">
        <f>AB30&amp;".2"</f>
        <v>1.1.2</v>
      </c>
      <c r="AC32" s="471" t="s">
        <v>640</v>
      </c>
      <c r="AD32" s="120" t="s">
        <v>634</v>
      </c>
      <c r="AE32" s="29"/>
      <c r="AF32" s="29"/>
      <c r="AG32" s="29"/>
      <c r="AH32" s="29"/>
      <c r="AI32" s="246"/>
      <c r="AJ32" s="246"/>
      <c r="AK32" s="246"/>
      <c r="AL32" s="246"/>
      <c r="AM32" s="246"/>
      <c r="AN32" s="29"/>
      <c r="AO32" s="29"/>
      <c r="AP32" s="29"/>
      <c r="AQ32" s="29"/>
      <c r="AR32" s="29"/>
      <c r="AS32" s="246"/>
      <c r="AT32" s="246"/>
      <c r="AU32" s="246"/>
      <c r="AV32" s="246"/>
      <c r="AW32" s="246"/>
      <c r="AX32" s="29"/>
      <c r="AY32" s="29"/>
      <c r="AZ32" s="29"/>
      <c r="BA32" s="29"/>
      <c r="BB32" s="29"/>
      <c r="BC32" s="28"/>
      <c r="BF32" s="994" t="s">
        <v>641</v>
      </c>
    </row>
    <row r="33" spans="5:58" ht="16.7" hidden="1" customHeight="1">
      <c r="E33" s="676">
        <v>17.100000000000001</v>
      </c>
      <c r="F33" s="779" cm="1">
        <f t="array" aca="1" ref="F33" ca="1">OFFSET(G33,-1,-1)</f>
        <v>0</v>
      </c>
      <c r="T33" s="687" t="b" cm="1">
        <f t="array" ref="T33">T32</f>
        <v>0</v>
      </c>
      <c r="X33" s="1726"/>
      <c r="Z33" s="1726"/>
      <c r="AB33" s="108" t="str">
        <f>AB29&amp;".2"</f>
        <v>1.2</v>
      </c>
      <c r="AC33" s="115" t="s">
        <v>642</v>
      </c>
      <c r="AD33" s="120" t="s">
        <v>634</v>
      </c>
      <c r="AE33" s="311">
        <f t="shared" ref="AE33:BB33" si="4">AE34+AE35</f>
        <v>0</v>
      </c>
      <c r="AF33" s="311">
        <f t="shared" si="4"/>
        <v>0</v>
      </c>
      <c r="AG33" s="311">
        <f t="shared" si="4"/>
        <v>0</v>
      </c>
      <c r="AH33" s="311">
        <f t="shared" si="4"/>
        <v>0</v>
      </c>
      <c r="AI33" s="311">
        <f t="shared" si="4"/>
        <v>0</v>
      </c>
      <c r="AJ33" s="311">
        <f t="shared" si="4"/>
        <v>0</v>
      </c>
      <c r="AK33" s="311">
        <f t="shared" si="4"/>
        <v>0</v>
      </c>
      <c r="AL33" s="311">
        <f t="shared" si="4"/>
        <v>0</v>
      </c>
      <c r="AM33" s="311">
        <f t="shared" si="4"/>
        <v>0</v>
      </c>
      <c r="AN33" s="311">
        <f t="shared" si="4"/>
        <v>0</v>
      </c>
      <c r="AO33" s="311">
        <f t="shared" si="4"/>
        <v>0</v>
      </c>
      <c r="AP33" s="311">
        <f t="shared" si="4"/>
        <v>0</v>
      </c>
      <c r="AQ33" s="311">
        <f t="shared" si="4"/>
        <v>0</v>
      </c>
      <c r="AR33" s="311">
        <f t="shared" si="4"/>
        <v>0</v>
      </c>
      <c r="AS33" s="311">
        <f t="shared" si="4"/>
        <v>0</v>
      </c>
      <c r="AT33" s="311">
        <f t="shared" si="4"/>
        <v>0</v>
      </c>
      <c r="AU33" s="311">
        <f t="shared" si="4"/>
        <v>0</v>
      </c>
      <c r="AV33" s="311">
        <f t="shared" si="4"/>
        <v>0</v>
      </c>
      <c r="AW33" s="311">
        <f t="shared" si="4"/>
        <v>0</v>
      </c>
      <c r="AX33" s="311">
        <f t="shared" si="4"/>
        <v>0</v>
      </c>
      <c r="AY33" s="311">
        <f t="shared" si="4"/>
        <v>0</v>
      </c>
      <c r="AZ33" s="311">
        <f t="shared" si="4"/>
        <v>0</v>
      </c>
      <c r="BA33" s="311">
        <f t="shared" si="4"/>
        <v>0</v>
      </c>
      <c r="BB33" s="311">
        <f t="shared" si="4"/>
        <v>0</v>
      </c>
      <c r="BC33" s="28"/>
      <c r="BF33" s="994" t="s">
        <v>643</v>
      </c>
    </row>
    <row r="34" spans="5:58" ht="16.7" hidden="1" customHeight="1">
      <c r="E34" s="676">
        <v>17.100000000000001</v>
      </c>
      <c r="F34" s="779" cm="1">
        <f t="array" aca="1" ref="F34" ca="1">OFFSET(G34,-1,-1)</f>
        <v>0</v>
      </c>
      <c r="T34" s="687" t="b" cm="1">
        <f t="array" ref="T34">T33</f>
        <v>0</v>
      </c>
      <c r="X34" s="1726"/>
      <c r="Z34" s="1726"/>
      <c r="AB34" s="108" t="str">
        <f>AB33&amp;".1"</f>
        <v>1.2.1</v>
      </c>
      <c r="AC34" s="471" t="s">
        <v>638</v>
      </c>
      <c r="AD34" s="120" t="s">
        <v>634</v>
      </c>
      <c r="AE34" s="29"/>
      <c r="AF34" s="29"/>
      <c r="AG34" s="29"/>
      <c r="AH34" s="29"/>
      <c r="AI34" s="246"/>
      <c r="AJ34" s="246"/>
      <c r="AK34" s="246"/>
      <c r="AL34" s="246"/>
      <c r="AM34" s="246"/>
      <c r="AN34" s="29"/>
      <c r="AO34" s="29"/>
      <c r="AP34" s="29"/>
      <c r="AQ34" s="29"/>
      <c r="AR34" s="29"/>
      <c r="AS34" s="246"/>
      <c r="AT34" s="246"/>
      <c r="AU34" s="246"/>
      <c r="AV34" s="246"/>
      <c r="AW34" s="246"/>
      <c r="AX34" s="29"/>
      <c r="AY34" s="29"/>
      <c r="AZ34" s="29"/>
      <c r="BA34" s="29"/>
      <c r="BB34" s="29"/>
      <c r="BC34" s="28"/>
      <c r="BF34" s="994" t="s">
        <v>644</v>
      </c>
    </row>
    <row r="35" spans="5:58" ht="16.7" hidden="1" customHeight="1">
      <c r="E35" s="676">
        <v>17.100000000000001</v>
      </c>
      <c r="F35" s="779" cm="1">
        <f t="array" aca="1" ref="F35" ca="1">OFFSET(G35,-1,-1)</f>
        <v>0</v>
      </c>
      <c r="T35" s="687" t="b" cm="1">
        <f t="array" ref="T35">T34</f>
        <v>0</v>
      </c>
      <c r="X35" s="1726"/>
      <c r="Z35" s="1726"/>
      <c r="AB35" s="108" t="str">
        <f>AB33&amp;".2"</f>
        <v>1.2.2</v>
      </c>
      <c r="AC35" s="471" t="s">
        <v>640</v>
      </c>
      <c r="AD35" s="120" t="s">
        <v>634</v>
      </c>
      <c r="AE35" s="29"/>
      <c r="AF35" s="29"/>
      <c r="AG35" s="29"/>
      <c r="AH35" s="29"/>
      <c r="AI35" s="246"/>
      <c r="AJ35" s="246"/>
      <c r="AK35" s="246"/>
      <c r="AL35" s="246"/>
      <c r="AM35" s="246"/>
      <c r="AN35" s="29"/>
      <c r="AO35" s="29"/>
      <c r="AP35" s="29"/>
      <c r="AQ35" s="29"/>
      <c r="AR35" s="29"/>
      <c r="AS35" s="246"/>
      <c r="AT35" s="246"/>
      <c r="AU35" s="246"/>
      <c r="AV35" s="246"/>
      <c r="AW35" s="246"/>
      <c r="AX35" s="29"/>
      <c r="AY35" s="29"/>
      <c r="AZ35" s="29"/>
      <c r="BA35" s="29"/>
      <c r="BB35" s="29"/>
      <c r="BC35" s="28"/>
      <c r="BF35" s="994" t="s">
        <v>645</v>
      </c>
    </row>
    <row r="36" spans="5:58" ht="16.7" hidden="1" customHeight="1">
      <c r="E36" s="676">
        <v>17.100000000000001</v>
      </c>
      <c r="F36" s="779" cm="1">
        <f t="array" aca="1" ref="F36" ca="1">OFFSET(G36,-1,-1)</f>
        <v>0</v>
      </c>
      <c r="T36" s="687" t="b" cm="1">
        <f t="array" ref="T36">T35</f>
        <v>0</v>
      </c>
      <c r="X36" s="1726"/>
      <c r="Z36" s="1726"/>
      <c r="AB36" s="108" t="str">
        <f>AB29&amp;".3"</f>
        <v>1.3</v>
      </c>
      <c r="AC36" s="115" t="s">
        <v>646</v>
      </c>
      <c r="AD36" s="120" t="s">
        <v>634</v>
      </c>
      <c r="AE36" s="29"/>
      <c r="AF36" s="29"/>
      <c r="AG36" s="29"/>
      <c r="AH36" s="29"/>
      <c r="AI36" s="246"/>
      <c r="AJ36" s="246"/>
      <c r="AK36" s="246"/>
      <c r="AL36" s="246"/>
      <c r="AM36" s="246"/>
      <c r="AN36" s="29"/>
      <c r="AO36" s="29"/>
      <c r="AP36" s="29"/>
      <c r="AQ36" s="29"/>
      <c r="AR36" s="29"/>
      <c r="AS36" s="246"/>
      <c r="AT36" s="246"/>
      <c r="AU36" s="246"/>
      <c r="AV36" s="246"/>
      <c r="AW36" s="246"/>
      <c r="AX36" s="29"/>
      <c r="AY36" s="29"/>
      <c r="AZ36" s="29"/>
      <c r="BA36" s="29"/>
      <c r="BB36" s="29"/>
      <c r="BC36" s="28"/>
      <c r="BF36" s="994" t="s">
        <v>647</v>
      </c>
    </row>
    <row r="37" spans="5:58" ht="16.7" hidden="1" customHeight="1">
      <c r="E37" s="676">
        <v>17.100000000000001</v>
      </c>
      <c r="F37" s="779" cm="1">
        <f t="array" aca="1" ref="F37" ca="1">OFFSET(G37,-1,-1)</f>
        <v>0</v>
      </c>
      <c r="T37" s="687" t="b" cm="1">
        <f t="array" ref="T37">T36</f>
        <v>0</v>
      </c>
      <c r="X37" s="1726"/>
      <c r="Z37" s="1726"/>
      <c r="AB37" s="124" t="s">
        <v>348</v>
      </c>
      <c r="AC37" s="725" t="s">
        <v>648</v>
      </c>
      <c r="AD37" s="120" t="s">
        <v>634</v>
      </c>
      <c r="AE37" s="311">
        <f t="shared" ref="AE37:BB37" si="5">AE38+AE41+AE44</f>
        <v>0</v>
      </c>
      <c r="AF37" s="311">
        <f t="shared" si="5"/>
        <v>0</v>
      </c>
      <c r="AG37" s="311">
        <f t="shared" si="5"/>
        <v>0</v>
      </c>
      <c r="AH37" s="311">
        <f t="shared" si="5"/>
        <v>0</v>
      </c>
      <c r="AI37" s="311">
        <f t="shared" si="5"/>
        <v>0</v>
      </c>
      <c r="AJ37" s="311">
        <f t="shared" si="5"/>
        <v>0</v>
      </c>
      <c r="AK37" s="311">
        <f t="shared" si="5"/>
        <v>0</v>
      </c>
      <c r="AL37" s="311">
        <f t="shared" si="5"/>
        <v>0</v>
      </c>
      <c r="AM37" s="311">
        <f t="shared" si="5"/>
        <v>0</v>
      </c>
      <c r="AN37" s="311">
        <f t="shared" si="5"/>
        <v>0</v>
      </c>
      <c r="AO37" s="311">
        <f t="shared" si="5"/>
        <v>0</v>
      </c>
      <c r="AP37" s="311">
        <f t="shared" si="5"/>
        <v>0</v>
      </c>
      <c r="AQ37" s="311">
        <f t="shared" si="5"/>
        <v>0</v>
      </c>
      <c r="AR37" s="311">
        <f t="shared" si="5"/>
        <v>0</v>
      </c>
      <c r="AS37" s="311">
        <f t="shared" si="5"/>
        <v>0</v>
      </c>
      <c r="AT37" s="311">
        <f t="shared" si="5"/>
        <v>0</v>
      </c>
      <c r="AU37" s="311">
        <f t="shared" si="5"/>
        <v>0</v>
      </c>
      <c r="AV37" s="311">
        <f t="shared" si="5"/>
        <v>0</v>
      </c>
      <c r="AW37" s="311">
        <f t="shared" si="5"/>
        <v>0</v>
      </c>
      <c r="AX37" s="311">
        <f t="shared" si="5"/>
        <v>0</v>
      </c>
      <c r="AY37" s="311">
        <f t="shared" si="5"/>
        <v>0</v>
      </c>
      <c r="AZ37" s="311">
        <f t="shared" si="5"/>
        <v>0</v>
      </c>
      <c r="BA37" s="311">
        <f t="shared" si="5"/>
        <v>0</v>
      </c>
      <c r="BB37" s="311">
        <f t="shared" si="5"/>
        <v>0</v>
      </c>
      <c r="BC37" s="28"/>
      <c r="BF37" s="994" t="s">
        <v>649</v>
      </c>
    </row>
    <row r="38" spans="5:58" ht="16.7" hidden="1" customHeight="1">
      <c r="E38" s="676">
        <v>17.100000000000001</v>
      </c>
      <c r="F38" s="779" cm="1">
        <f t="array" aca="1" ref="F38" ca="1">OFFSET(G38,-1,-1)</f>
        <v>0</v>
      </c>
      <c r="T38" s="687" t="b" cm="1">
        <f t="array" ref="T38">T37</f>
        <v>0</v>
      </c>
      <c r="X38" s="1726"/>
      <c r="Z38" s="1726"/>
      <c r="AB38" s="108" t="str">
        <f>AB37&amp;".1"</f>
        <v>2.1</v>
      </c>
      <c r="AC38" s="115" t="s">
        <v>636</v>
      </c>
      <c r="AD38" s="120" t="s">
        <v>634</v>
      </c>
      <c r="AE38" s="311">
        <f t="shared" ref="AE38:BB38" si="6">AE39+AE40</f>
        <v>0</v>
      </c>
      <c r="AF38" s="311">
        <f t="shared" si="6"/>
        <v>0</v>
      </c>
      <c r="AG38" s="311">
        <f t="shared" si="6"/>
        <v>0</v>
      </c>
      <c r="AH38" s="311">
        <f t="shared" si="6"/>
        <v>0</v>
      </c>
      <c r="AI38" s="311">
        <f t="shared" si="6"/>
        <v>0</v>
      </c>
      <c r="AJ38" s="311">
        <f t="shared" si="6"/>
        <v>0</v>
      </c>
      <c r="AK38" s="311">
        <f t="shared" si="6"/>
        <v>0</v>
      </c>
      <c r="AL38" s="311">
        <f t="shared" si="6"/>
        <v>0</v>
      </c>
      <c r="AM38" s="311">
        <f t="shared" si="6"/>
        <v>0</v>
      </c>
      <c r="AN38" s="311">
        <f t="shared" si="6"/>
        <v>0</v>
      </c>
      <c r="AO38" s="311">
        <f t="shared" si="6"/>
        <v>0</v>
      </c>
      <c r="AP38" s="311">
        <f t="shared" si="6"/>
        <v>0</v>
      </c>
      <c r="AQ38" s="311">
        <f t="shared" si="6"/>
        <v>0</v>
      </c>
      <c r="AR38" s="311">
        <f t="shared" si="6"/>
        <v>0</v>
      </c>
      <c r="AS38" s="311">
        <f t="shared" si="6"/>
        <v>0</v>
      </c>
      <c r="AT38" s="311">
        <f t="shared" si="6"/>
        <v>0</v>
      </c>
      <c r="AU38" s="311">
        <f t="shared" si="6"/>
        <v>0</v>
      </c>
      <c r="AV38" s="311">
        <f t="shared" si="6"/>
        <v>0</v>
      </c>
      <c r="AW38" s="311">
        <f t="shared" si="6"/>
        <v>0</v>
      </c>
      <c r="AX38" s="311">
        <f t="shared" si="6"/>
        <v>0</v>
      </c>
      <c r="AY38" s="311">
        <f t="shared" si="6"/>
        <v>0</v>
      </c>
      <c r="AZ38" s="311">
        <f t="shared" si="6"/>
        <v>0</v>
      </c>
      <c r="BA38" s="311">
        <f t="shared" si="6"/>
        <v>0</v>
      </c>
      <c r="BB38" s="311">
        <f t="shared" si="6"/>
        <v>0</v>
      </c>
      <c r="BC38" s="28"/>
      <c r="BF38" s="994" t="s">
        <v>650</v>
      </c>
    </row>
    <row r="39" spans="5:58" ht="16.7" hidden="1" customHeight="1">
      <c r="E39" s="676">
        <v>17.100000000000001</v>
      </c>
      <c r="F39" s="779" cm="1">
        <f t="array" aca="1" ref="F39" ca="1">OFFSET(G39,-1,-1)</f>
        <v>0</v>
      </c>
      <c r="T39" s="687" t="b" cm="1">
        <f t="array" ref="T39">T38</f>
        <v>0</v>
      </c>
      <c r="X39" s="1726"/>
      <c r="Z39" s="1726"/>
      <c r="AB39" s="108" t="str">
        <f>AB38&amp;".1"</f>
        <v>2.1.1</v>
      </c>
      <c r="AC39" s="471" t="s">
        <v>638</v>
      </c>
      <c r="AD39" s="120" t="s">
        <v>634</v>
      </c>
      <c r="AE39" s="29"/>
      <c r="AF39" s="29"/>
      <c r="AG39" s="29"/>
      <c r="AH39" s="29"/>
      <c r="AI39" s="246"/>
      <c r="AJ39" s="246"/>
      <c r="AK39" s="246"/>
      <c r="AL39" s="246"/>
      <c r="AM39" s="246"/>
      <c r="AN39" s="29"/>
      <c r="AO39" s="29"/>
      <c r="AP39" s="29"/>
      <c r="AQ39" s="29"/>
      <c r="AR39" s="29"/>
      <c r="AS39" s="246"/>
      <c r="AT39" s="246"/>
      <c r="AU39" s="246"/>
      <c r="AV39" s="246"/>
      <c r="AW39" s="246"/>
      <c r="AX39" s="29"/>
      <c r="AY39" s="29"/>
      <c r="AZ39" s="29"/>
      <c r="BA39" s="29"/>
      <c r="BB39" s="29"/>
      <c r="BC39" s="28"/>
      <c r="BF39" s="994" t="s">
        <v>651</v>
      </c>
    </row>
    <row r="40" spans="5:58" ht="16.7" hidden="1" customHeight="1">
      <c r="E40" s="676">
        <v>17.100000000000001</v>
      </c>
      <c r="F40" s="779" cm="1">
        <f t="array" aca="1" ref="F40" ca="1">OFFSET(G40,-1,-1)</f>
        <v>0</v>
      </c>
      <c r="T40" s="687" t="b" cm="1">
        <f t="array" ref="T40">T39</f>
        <v>0</v>
      </c>
      <c r="X40" s="1726"/>
      <c r="Z40" s="1726"/>
      <c r="AB40" s="108" t="str">
        <f>AB38&amp;".2"</f>
        <v>2.1.2</v>
      </c>
      <c r="AC40" s="471" t="s">
        <v>640</v>
      </c>
      <c r="AD40" s="120" t="s">
        <v>634</v>
      </c>
      <c r="AE40" s="29"/>
      <c r="AF40" s="29"/>
      <c r="AG40" s="29"/>
      <c r="AH40" s="29"/>
      <c r="AI40" s="246"/>
      <c r="AJ40" s="246"/>
      <c r="AK40" s="246"/>
      <c r="AL40" s="246"/>
      <c r="AM40" s="246"/>
      <c r="AN40" s="29"/>
      <c r="AO40" s="29"/>
      <c r="AP40" s="29"/>
      <c r="AQ40" s="29"/>
      <c r="AR40" s="29"/>
      <c r="AS40" s="246"/>
      <c r="AT40" s="246"/>
      <c r="AU40" s="246"/>
      <c r="AV40" s="246"/>
      <c r="AW40" s="246"/>
      <c r="AX40" s="29"/>
      <c r="AY40" s="29"/>
      <c r="AZ40" s="29"/>
      <c r="BA40" s="29"/>
      <c r="BB40" s="29"/>
      <c r="BC40" s="28"/>
      <c r="BF40" s="994" t="s">
        <v>652</v>
      </c>
    </row>
    <row r="41" spans="5:58" ht="16.7" hidden="1" customHeight="1">
      <c r="E41" s="676">
        <v>17.100000000000001</v>
      </c>
      <c r="F41" s="779" cm="1">
        <f t="array" aca="1" ref="F41" ca="1">OFFSET(G41,-1,-1)</f>
        <v>0</v>
      </c>
      <c r="T41" s="687" t="b" cm="1">
        <f t="array" ref="T41">T40</f>
        <v>0</v>
      </c>
      <c r="X41" s="1726"/>
      <c r="Z41" s="1726"/>
      <c r="AB41" s="108" t="str">
        <f>AB38&amp;".2"</f>
        <v>2.1.2</v>
      </c>
      <c r="AC41" s="115" t="s">
        <v>642</v>
      </c>
      <c r="AD41" s="120" t="s">
        <v>634</v>
      </c>
      <c r="AE41" s="311">
        <f t="shared" ref="AE41:BB41" si="7">AE42+AE43</f>
        <v>0</v>
      </c>
      <c r="AF41" s="311">
        <f t="shared" si="7"/>
        <v>0</v>
      </c>
      <c r="AG41" s="311">
        <f t="shared" si="7"/>
        <v>0</v>
      </c>
      <c r="AH41" s="311">
        <f t="shared" si="7"/>
        <v>0</v>
      </c>
      <c r="AI41" s="311">
        <f t="shared" si="7"/>
        <v>0</v>
      </c>
      <c r="AJ41" s="311">
        <f t="shared" si="7"/>
        <v>0</v>
      </c>
      <c r="AK41" s="311">
        <f t="shared" si="7"/>
        <v>0</v>
      </c>
      <c r="AL41" s="311">
        <f t="shared" si="7"/>
        <v>0</v>
      </c>
      <c r="AM41" s="311">
        <f t="shared" si="7"/>
        <v>0</v>
      </c>
      <c r="AN41" s="311">
        <f t="shared" si="7"/>
        <v>0</v>
      </c>
      <c r="AO41" s="311">
        <f t="shared" si="7"/>
        <v>0</v>
      </c>
      <c r="AP41" s="311">
        <f t="shared" si="7"/>
        <v>0</v>
      </c>
      <c r="AQ41" s="311">
        <f t="shared" si="7"/>
        <v>0</v>
      </c>
      <c r="AR41" s="311">
        <f t="shared" si="7"/>
        <v>0</v>
      </c>
      <c r="AS41" s="311">
        <f t="shared" si="7"/>
        <v>0</v>
      </c>
      <c r="AT41" s="311">
        <f t="shared" si="7"/>
        <v>0</v>
      </c>
      <c r="AU41" s="311">
        <f t="shared" si="7"/>
        <v>0</v>
      </c>
      <c r="AV41" s="311">
        <f t="shared" si="7"/>
        <v>0</v>
      </c>
      <c r="AW41" s="311">
        <f t="shared" si="7"/>
        <v>0</v>
      </c>
      <c r="AX41" s="311">
        <f t="shared" si="7"/>
        <v>0</v>
      </c>
      <c r="AY41" s="311">
        <f t="shared" si="7"/>
        <v>0</v>
      </c>
      <c r="AZ41" s="311">
        <f t="shared" si="7"/>
        <v>0</v>
      </c>
      <c r="BA41" s="311">
        <f t="shared" si="7"/>
        <v>0</v>
      </c>
      <c r="BB41" s="311">
        <f t="shared" si="7"/>
        <v>0</v>
      </c>
      <c r="BC41" s="28"/>
      <c r="BF41" s="994" t="s">
        <v>653</v>
      </c>
    </row>
    <row r="42" spans="5:58" ht="16.7" hidden="1" customHeight="1">
      <c r="E42" s="676">
        <v>17.100000000000001</v>
      </c>
      <c r="F42" s="779" cm="1">
        <f t="array" aca="1" ref="F42" ca="1">OFFSET(G42,-1,-1)</f>
        <v>0</v>
      </c>
      <c r="T42" s="687" t="b" cm="1">
        <f t="array" ref="T42">T41</f>
        <v>0</v>
      </c>
      <c r="X42" s="1726"/>
      <c r="Z42" s="1726"/>
      <c r="AB42" s="108" t="str">
        <f>AB41&amp;".1"</f>
        <v>2.1.2.1</v>
      </c>
      <c r="AC42" s="471" t="s">
        <v>638</v>
      </c>
      <c r="AD42" s="120" t="s">
        <v>634</v>
      </c>
      <c r="AE42" s="29"/>
      <c r="AF42" s="29"/>
      <c r="AG42" s="29"/>
      <c r="AH42" s="29"/>
      <c r="AI42" s="246"/>
      <c r="AJ42" s="246"/>
      <c r="AK42" s="246"/>
      <c r="AL42" s="246"/>
      <c r="AM42" s="246"/>
      <c r="AN42" s="29"/>
      <c r="AO42" s="29"/>
      <c r="AP42" s="29"/>
      <c r="AQ42" s="29"/>
      <c r="AR42" s="29"/>
      <c r="AS42" s="246"/>
      <c r="AT42" s="246"/>
      <c r="AU42" s="246"/>
      <c r="AV42" s="246"/>
      <c r="AW42" s="246"/>
      <c r="AX42" s="29"/>
      <c r="AY42" s="29"/>
      <c r="AZ42" s="29"/>
      <c r="BA42" s="29"/>
      <c r="BB42" s="29"/>
      <c r="BC42" s="28"/>
      <c r="BF42" s="994" t="s">
        <v>654</v>
      </c>
    </row>
    <row r="43" spans="5:58" ht="16.7" hidden="1" customHeight="1">
      <c r="E43" s="676">
        <v>17.100000000000001</v>
      </c>
      <c r="F43" s="779" cm="1">
        <f t="array" aca="1" ref="F43" ca="1">OFFSET(G43,-1,-1)</f>
        <v>0</v>
      </c>
      <c r="T43" s="687" t="b" cm="1">
        <f t="array" ref="T43">T42</f>
        <v>0</v>
      </c>
      <c r="X43" s="1726"/>
      <c r="Z43" s="1726"/>
      <c r="AB43" s="108" t="str">
        <f>AB41&amp;".2"</f>
        <v>2.1.2.2</v>
      </c>
      <c r="AC43" s="471" t="s">
        <v>640</v>
      </c>
      <c r="AD43" s="726" t="s">
        <v>634</v>
      </c>
      <c r="AE43" s="30"/>
      <c r="AF43" s="29"/>
      <c r="AG43" s="30"/>
      <c r="AH43" s="29"/>
      <c r="AI43" s="498"/>
      <c r="AJ43" s="246"/>
      <c r="AK43" s="498"/>
      <c r="AL43" s="246"/>
      <c r="AM43" s="498"/>
      <c r="AN43" s="29"/>
      <c r="AO43" s="30"/>
      <c r="AP43" s="29"/>
      <c r="AQ43" s="30"/>
      <c r="AR43" s="29"/>
      <c r="AS43" s="498"/>
      <c r="AT43" s="246"/>
      <c r="AU43" s="498"/>
      <c r="AV43" s="246"/>
      <c r="AW43" s="498"/>
      <c r="AX43" s="29"/>
      <c r="AY43" s="30"/>
      <c r="AZ43" s="29"/>
      <c r="BA43" s="30"/>
      <c r="BB43" s="29"/>
      <c r="BC43" s="28"/>
      <c r="BF43" s="994" t="s">
        <v>655</v>
      </c>
    </row>
    <row r="44" spans="5:58" ht="16.7" hidden="1" customHeight="1">
      <c r="E44" s="676">
        <v>17.100000000000001</v>
      </c>
      <c r="F44" s="779" cm="1">
        <f t="array" aca="1" ref="F44" ca="1">OFFSET(G44,-1,-1)</f>
        <v>0</v>
      </c>
      <c r="T44" s="687" t="b" cm="1">
        <f t="array" ref="T44">T43</f>
        <v>0</v>
      </c>
      <c r="X44" s="1726"/>
      <c r="Z44" s="1726"/>
      <c r="AB44" s="108" t="str">
        <f>AB37&amp;".3"</f>
        <v>2.3</v>
      </c>
      <c r="AC44" s="609" t="s">
        <v>646</v>
      </c>
      <c r="AD44" s="120" t="s">
        <v>634</v>
      </c>
      <c r="AE44" s="29"/>
      <c r="AF44" s="31"/>
      <c r="AG44" s="29"/>
      <c r="AH44" s="31"/>
      <c r="AI44" s="246"/>
      <c r="AJ44" s="728"/>
      <c r="AK44" s="246"/>
      <c r="AL44" s="728"/>
      <c r="AM44" s="246"/>
      <c r="AN44" s="31"/>
      <c r="AO44" s="29"/>
      <c r="AP44" s="31"/>
      <c r="AQ44" s="29"/>
      <c r="AR44" s="31"/>
      <c r="AS44" s="246"/>
      <c r="AT44" s="728"/>
      <c r="AU44" s="246"/>
      <c r="AV44" s="728"/>
      <c r="AW44" s="246"/>
      <c r="AX44" s="31"/>
      <c r="AY44" s="29"/>
      <c r="AZ44" s="31"/>
      <c r="BA44" s="29"/>
      <c r="BB44" s="31"/>
      <c r="BC44" s="28"/>
      <c r="BF44" s="994" t="s">
        <v>656</v>
      </c>
    </row>
    <row r="45" spans="5:58" ht="29.25" hidden="1" customHeight="1">
      <c r="E45" s="676">
        <v>30</v>
      </c>
      <c r="F45" s="779" cm="1">
        <f t="array" aca="1" ref="F45" ca="1">OFFSET(G45,-1,-1)</f>
        <v>0</v>
      </c>
      <c r="T45" s="687" t="b" cm="1">
        <f t="array" ref="T45">T44</f>
        <v>0</v>
      </c>
      <c r="X45" s="1726"/>
      <c r="Z45" s="1726"/>
      <c r="AB45" s="271" t="s">
        <v>437</v>
      </c>
      <c r="AC45" s="114" t="s">
        <v>657</v>
      </c>
      <c r="AD45" s="120" t="s">
        <v>634</v>
      </c>
      <c r="AE45" s="311">
        <f t="shared" ref="AE45:BB45" si="8">AE46+AE49+AE52</f>
        <v>0</v>
      </c>
      <c r="AF45" s="729">
        <f t="shared" si="8"/>
        <v>0</v>
      </c>
      <c r="AG45" s="311">
        <f t="shared" si="8"/>
        <v>0</v>
      </c>
      <c r="AH45" s="311">
        <f t="shared" si="8"/>
        <v>0</v>
      </c>
      <c r="AI45" s="311">
        <f t="shared" si="8"/>
        <v>0</v>
      </c>
      <c r="AJ45" s="311">
        <f t="shared" si="8"/>
        <v>0</v>
      </c>
      <c r="AK45" s="311">
        <f t="shared" si="8"/>
        <v>0</v>
      </c>
      <c r="AL45" s="311">
        <f t="shared" si="8"/>
        <v>0</v>
      </c>
      <c r="AM45" s="311">
        <f t="shared" si="8"/>
        <v>0</v>
      </c>
      <c r="AN45" s="311">
        <f t="shared" si="8"/>
        <v>0</v>
      </c>
      <c r="AO45" s="311">
        <f t="shared" si="8"/>
        <v>0</v>
      </c>
      <c r="AP45" s="311">
        <f t="shared" si="8"/>
        <v>0</v>
      </c>
      <c r="AQ45" s="311">
        <f t="shared" si="8"/>
        <v>0</v>
      </c>
      <c r="AR45" s="311">
        <f t="shared" si="8"/>
        <v>0</v>
      </c>
      <c r="AS45" s="311">
        <f t="shared" si="8"/>
        <v>0</v>
      </c>
      <c r="AT45" s="311">
        <f t="shared" si="8"/>
        <v>0</v>
      </c>
      <c r="AU45" s="311">
        <f t="shared" si="8"/>
        <v>0</v>
      </c>
      <c r="AV45" s="311">
        <f t="shared" si="8"/>
        <v>0</v>
      </c>
      <c r="AW45" s="311">
        <f t="shared" si="8"/>
        <v>0</v>
      </c>
      <c r="AX45" s="311">
        <f t="shared" si="8"/>
        <v>0</v>
      </c>
      <c r="AY45" s="311">
        <f t="shared" si="8"/>
        <v>0</v>
      </c>
      <c r="AZ45" s="311">
        <f t="shared" si="8"/>
        <v>0</v>
      </c>
      <c r="BA45" s="311">
        <f t="shared" si="8"/>
        <v>0</v>
      </c>
      <c r="BB45" s="311">
        <f t="shared" si="8"/>
        <v>0</v>
      </c>
      <c r="BC45" s="28"/>
      <c r="BF45" s="994" t="s">
        <v>658</v>
      </c>
    </row>
    <row r="46" spans="5:58" ht="16.7" hidden="1" customHeight="1">
      <c r="E46" s="676">
        <v>17.100000000000001</v>
      </c>
      <c r="F46" s="779" cm="1">
        <f t="array" aca="1" ref="F46" ca="1">OFFSET(G46,-1,-1)</f>
        <v>0</v>
      </c>
      <c r="T46" s="687" t="b" cm="1">
        <f t="array" ref="T46">T45</f>
        <v>0</v>
      </c>
      <c r="X46" s="1726"/>
      <c r="Z46" s="1726"/>
      <c r="AB46" s="724" t="str">
        <f>AB45&amp;".1"</f>
        <v>3.1</v>
      </c>
      <c r="AC46" s="609" t="s">
        <v>636</v>
      </c>
      <c r="AD46" s="120" t="s">
        <v>634</v>
      </c>
      <c r="AE46" s="311">
        <f t="shared" ref="AE46:BB46" si="9">AE47+AE48</f>
        <v>0</v>
      </c>
      <c r="AF46" s="467">
        <f t="shared" si="9"/>
        <v>0</v>
      </c>
      <c r="AG46" s="467">
        <f t="shared" si="9"/>
        <v>0</v>
      </c>
      <c r="AH46" s="467">
        <f t="shared" si="9"/>
        <v>0</v>
      </c>
      <c r="AI46" s="467">
        <f t="shared" si="9"/>
        <v>0</v>
      </c>
      <c r="AJ46" s="467">
        <f t="shared" si="9"/>
        <v>0</v>
      </c>
      <c r="AK46" s="467">
        <f t="shared" si="9"/>
        <v>0</v>
      </c>
      <c r="AL46" s="467">
        <f t="shared" si="9"/>
        <v>0</v>
      </c>
      <c r="AM46" s="467">
        <f t="shared" si="9"/>
        <v>0</v>
      </c>
      <c r="AN46" s="467">
        <f t="shared" si="9"/>
        <v>0</v>
      </c>
      <c r="AO46" s="467">
        <f t="shared" si="9"/>
        <v>0</v>
      </c>
      <c r="AP46" s="467">
        <f t="shared" si="9"/>
        <v>0</v>
      </c>
      <c r="AQ46" s="467">
        <f t="shared" si="9"/>
        <v>0</v>
      </c>
      <c r="AR46" s="467">
        <f t="shared" si="9"/>
        <v>0</v>
      </c>
      <c r="AS46" s="467">
        <f t="shared" si="9"/>
        <v>0</v>
      </c>
      <c r="AT46" s="467">
        <f t="shared" si="9"/>
        <v>0</v>
      </c>
      <c r="AU46" s="467">
        <f t="shared" si="9"/>
        <v>0</v>
      </c>
      <c r="AV46" s="467">
        <f t="shared" si="9"/>
        <v>0</v>
      </c>
      <c r="AW46" s="467">
        <f t="shared" si="9"/>
        <v>0</v>
      </c>
      <c r="AX46" s="467">
        <f t="shared" si="9"/>
        <v>0</v>
      </c>
      <c r="AY46" s="467">
        <f t="shared" si="9"/>
        <v>0</v>
      </c>
      <c r="AZ46" s="467">
        <f t="shared" si="9"/>
        <v>0</v>
      </c>
      <c r="BA46" s="467">
        <f t="shared" si="9"/>
        <v>0</v>
      </c>
      <c r="BB46" s="467">
        <f t="shared" si="9"/>
        <v>0</v>
      </c>
      <c r="BC46" s="28"/>
      <c r="BF46" s="994" t="s">
        <v>659</v>
      </c>
    </row>
    <row r="47" spans="5:58" ht="16.7" hidden="1" customHeight="1">
      <c r="E47" s="676">
        <v>17.100000000000001</v>
      </c>
      <c r="F47" s="779" cm="1">
        <f t="array" aca="1" ref="F47" ca="1">OFFSET(G47,-1,-1)</f>
        <v>0</v>
      </c>
      <c r="T47" s="687" t="b" cm="1">
        <f t="array" ref="T47">T46</f>
        <v>0</v>
      </c>
      <c r="X47" s="1726"/>
      <c r="Z47" s="1726"/>
      <c r="AB47" s="724" t="str">
        <f>AB46&amp;".1"</f>
        <v>3.1.1</v>
      </c>
      <c r="AC47" s="607" t="s">
        <v>638</v>
      </c>
      <c r="AD47" s="120" t="s">
        <v>634</v>
      </c>
      <c r="AE47" s="29">
        <f t="shared" ref="AE47:BB47" si="10">AE31-AE39</f>
        <v>0</v>
      </c>
      <c r="AF47" s="29">
        <f t="shared" si="10"/>
        <v>0</v>
      </c>
      <c r="AG47" s="29">
        <f t="shared" si="10"/>
        <v>0</v>
      </c>
      <c r="AH47" s="29">
        <f t="shared" si="10"/>
        <v>0</v>
      </c>
      <c r="AI47" s="246">
        <f t="shared" si="10"/>
        <v>0</v>
      </c>
      <c r="AJ47" s="246">
        <f t="shared" si="10"/>
        <v>0</v>
      </c>
      <c r="AK47" s="246">
        <f t="shared" si="10"/>
        <v>0</v>
      </c>
      <c r="AL47" s="246">
        <f t="shared" si="10"/>
        <v>0</v>
      </c>
      <c r="AM47" s="246">
        <f t="shared" si="10"/>
        <v>0</v>
      </c>
      <c r="AN47" s="29">
        <f t="shared" si="10"/>
        <v>0</v>
      </c>
      <c r="AO47" s="29">
        <f t="shared" si="10"/>
        <v>0</v>
      </c>
      <c r="AP47" s="29">
        <f t="shared" si="10"/>
        <v>0</v>
      </c>
      <c r="AQ47" s="29">
        <f t="shared" si="10"/>
        <v>0</v>
      </c>
      <c r="AR47" s="29">
        <f t="shared" si="10"/>
        <v>0</v>
      </c>
      <c r="AS47" s="246">
        <f t="shared" si="10"/>
        <v>0</v>
      </c>
      <c r="AT47" s="246">
        <f t="shared" si="10"/>
        <v>0</v>
      </c>
      <c r="AU47" s="246">
        <f t="shared" si="10"/>
        <v>0</v>
      </c>
      <c r="AV47" s="246">
        <f t="shared" si="10"/>
        <v>0</v>
      </c>
      <c r="AW47" s="246">
        <f t="shared" si="10"/>
        <v>0</v>
      </c>
      <c r="AX47" s="29">
        <f t="shared" si="10"/>
        <v>0</v>
      </c>
      <c r="AY47" s="29">
        <f t="shared" si="10"/>
        <v>0</v>
      </c>
      <c r="AZ47" s="29">
        <f t="shared" si="10"/>
        <v>0</v>
      </c>
      <c r="BA47" s="29">
        <f t="shared" si="10"/>
        <v>0</v>
      </c>
      <c r="BB47" s="29">
        <f t="shared" si="10"/>
        <v>0</v>
      </c>
      <c r="BC47" s="28"/>
      <c r="BF47" s="994" t="s">
        <v>660</v>
      </c>
    </row>
    <row r="48" spans="5:58" ht="16.7" hidden="1" customHeight="1">
      <c r="E48" s="676">
        <v>17.100000000000001</v>
      </c>
      <c r="F48" s="779" cm="1">
        <f t="array" aca="1" ref="F48" ca="1">OFFSET(G48,-1,-1)</f>
        <v>0</v>
      </c>
      <c r="T48" s="687" t="b" cm="1">
        <f t="array" ref="T48">T47</f>
        <v>0</v>
      </c>
      <c r="X48" s="1726"/>
      <c r="Z48" s="1726"/>
      <c r="AB48" s="724" t="str">
        <f>AB46&amp;".2"</f>
        <v>3.1.2</v>
      </c>
      <c r="AC48" s="607" t="s">
        <v>640</v>
      </c>
      <c r="AD48" s="120" t="s">
        <v>634</v>
      </c>
      <c r="AE48" s="29">
        <f t="shared" ref="AE48:BB48" si="11">AE32-AE40</f>
        <v>0</v>
      </c>
      <c r="AF48" s="29">
        <f t="shared" si="11"/>
        <v>0</v>
      </c>
      <c r="AG48" s="29">
        <f t="shared" si="11"/>
        <v>0</v>
      </c>
      <c r="AH48" s="29">
        <f t="shared" si="11"/>
        <v>0</v>
      </c>
      <c r="AI48" s="246">
        <f t="shared" si="11"/>
        <v>0</v>
      </c>
      <c r="AJ48" s="246">
        <f t="shared" si="11"/>
        <v>0</v>
      </c>
      <c r="AK48" s="246">
        <f t="shared" si="11"/>
        <v>0</v>
      </c>
      <c r="AL48" s="246">
        <f t="shared" si="11"/>
        <v>0</v>
      </c>
      <c r="AM48" s="246">
        <f t="shared" si="11"/>
        <v>0</v>
      </c>
      <c r="AN48" s="29">
        <f t="shared" si="11"/>
        <v>0</v>
      </c>
      <c r="AO48" s="29">
        <f t="shared" si="11"/>
        <v>0</v>
      </c>
      <c r="AP48" s="29">
        <f t="shared" si="11"/>
        <v>0</v>
      </c>
      <c r="AQ48" s="29">
        <f t="shared" si="11"/>
        <v>0</v>
      </c>
      <c r="AR48" s="29">
        <f t="shared" si="11"/>
        <v>0</v>
      </c>
      <c r="AS48" s="246">
        <f t="shared" si="11"/>
        <v>0</v>
      </c>
      <c r="AT48" s="246">
        <f t="shared" si="11"/>
        <v>0</v>
      </c>
      <c r="AU48" s="246">
        <f t="shared" si="11"/>
        <v>0</v>
      </c>
      <c r="AV48" s="246">
        <f t="shared" si="11"/>
        <v>0</v>
      </c>
      <c r="AW48" s="246">
        <f t="shared" si="11"/>
        <v>0</v>
      </c>
      <c r="AX48" s="29">
        <f t="shared" si="11"/>
        <v>0</v>
      </c>
      <c r="AY48" s="29">
        <f t="shared" si="11"/>
        <v>0</v>
      </c>
      <c r="AZ48" s="29">
        <f t="shared" si="11"/>
        <v>0</v>
      </c>
      <c r="BA48" s="29">
        <f t="shared" si="11"/>
        <v>0</v>
      </c>
      <c r="BB48" s="29">
        <f t="shared" si="11"/>
        <v>0</v>
      </c>
      <c r="BC48" s="28"/>
      <c r="BF48" s="994" t="s">
        <v>661</v>
      </c>
    </row>
    <row r="49" spans="5:58" ht="16.7" hidden="1" customHeight="1">
      <c r="E49" s="676">
        <v>17.100000000000001</v>
      </c>
      <c r="F49" s="779" cm="1">
        <f t="array" aca="1" ref="F49" ca="1">OFFSET(G49,-1,-1)</f>
        <v>0</v>
      </c>
      <c r="T49" s="687" t="b" cm="1">
        <f t="array" ref="T49">T48</f>
        <v>0</v>
      </c>
      <c r="X49" s="1726"/>
      <c r="Z49" s="1726"/>
      <c r="AB49" s="724" t="str">
        <f>AB45&amp;".2"</f>
        <v>3.2</v>
      </c>
      <c r="AC49" s="609" t="s">
        <v>642</v>
      </c>
      <c r="AD49" s="120" t="s">
        <v>634</v>
      </c>
      <c r="AE49" s="311">
        <f t="shared" ref="AE49:BB49" si="12">AE50+AE51</f>
        <v>0</v>
      </c>
      <c r="AF49" s="311">
        <f t="shared" si="12"/>
        <v>0</v>
      </c>
      <c r="AG49" s="311">
        <f t="shared" si="12"/>
        <v>0</v>
      </c>
      <c r="AH49" s="311">
        <f t="shared" si="12"/>
        <v>0</v>
      </c>
      <c r="AI49" s="311">
        <f t="shared" si="12"/>
        <v>0</v>
      </c>
      <c r="AJ49" s="311">
        <f t="shared" si="12"/>
        <v>0</v>
      </c>
      <c r="AK49" s="311">
        <f t="shared" si="12"/>
        <v>0</v>
      </c>
      <c r="AL49" s="311">
        <f t="shared" si="12"/>
        <v>0</v>
      </c>
      <c r="AM49" s="311">
        <f t="shared" si="12"/>
        <v>0</v>
      </c>
      <c r="AN49" s="311">
        <f t="shared" si="12"/>
        <v>0</v>
      </c>
      <c r="AO49" s="311">
        <f t="shared" si="12"/>
        <v>0</v>
      </c>
      <c r="AP49" s="311">
        <f t="shared" si="12"/>
        <v>0</v>
      </c>
      <c r="AQ49" s="311">
        <f t="shared" si="12"/>
        <v>0</v>
      </c>
      <c r="AR49" s="311">
        <f t="shared" si="12"/>
        <v>0</v>
      </c>
      <c r="AS49" s="311">
        <f t="shared" si="12"/>
        <v>0</v>
      </c>
      <c r="AT49" s="311">
        <f t="shared" si="12"/>
        <v>0</v>
      </c>
      <c r="AU49" s="311">
        <f t="shared" si="12"/>
        <v>0</v>
      </c>
      <c r="AV49" s="311">
        <f t="shared" si="12"/>
        <v>0</v>
      </c>
      <c r="AW49" s="311">
        <f t="shared" si="12"/>
        <v>0</v>
      </c>
      <c r="AX49" s="311">
        <f t="shared" si="12"/>
        <v>0</v>
      </c>
      <c r="AY49" s="311">
        <f t="shared" si="12"/>
        <v>0</v>
      </c>
      <c r="AZ49" s="311">
        <f t="shared" si="12"/>
        <v>0</v>
      </c>
      <c r="BA49" s="311">
        <f t="shared" si="12"/>
        <v>0</v>
      </c>
      <c r="BB49" s="311">
        <f t="shared" si="12"/>
        <v>0</v>
      </c>
      <c r="BC49" s="28"/>
      <c r="BF49" s="994" t="s">
        <v>662</v>
      </c>
    </row>
    <row r="50" spans="5:58" ht="16.7" hidden="1" customHeight="1">
      <c r="E50" s="676">
        <v>17.100000000000001</v>
      </c>
      <c r="F50" s="779" cm="1">
        <f t="array" aca="1" ref="F50" ca="1">OFFSET(G50,-1,-1)</f>
        <v>0</v>
      </c>
      <c r="T50" s="687" t="b" cm="1">
        <f t="array" ref="T50">T49</f>
        <v>0</v>
      </c>
      <c r="X50" s="1726"/>
      <c r="Z50" s="1726"/>
      <c r="AB50" s="724" t="str">
        <f>AB49&amp;".1"</f>
        <v>3.2.1</v>
      </c>
      <c r="AC50" s="607" t="s">
        <v>638</v>
      </c>
      <c r="AD50" s="120" t="s">
        <v>634</v>
      </c>
      <c r="AE50" s="29">
        <f t="shared" ref="AE50:BB50" si="13">AE34-AE42</f>
        <v>0</v>
      </c>
      <c r="AF50" s="29">
        <f t="shared" si="13"/>
        <v>0</v>
      </c>
      <c r="AG50" s="29">
        <f t="shared" si="13"/>
        <v>0</v>
      </c>
      <c r="AH50" s="29">
        <f t="shared" si="13"/>
        <v>0</v>
      </c>
      <c r="AI50" s="246">
        <f t="shared" si="13"/>
        <v>0</v>
      </c>
      <c r="AJ50" s="246">
        <f t="shared" si="13"/>
        <v>0</v>
      </c>
      <c r="AK50" s="246">
        <f t="shared" si="13"/>
        <v>0</v>
      </c>
      <c r="AL50" s="246">
        <f t="shared" si="13"/>
        <v>0</v>
      </c>
      <c r="AM50" s="246">
        <f t="shared" si="13"/>
        <v>0</v>
      </c>
      <c r="AN50" s="29">
        <f t="shared" si="13"/>
        <v>0</v>
      </c>
      <c r="AO50" s="29">
        <f t="shared" si="13"/>
        <v>0</v>
      </c>
      <c r="AP50" s="29">
        <f t="shared" si="13"/>
        <v>0</v>
      </c>
      <c r="AQ50" s="29">
        <f t="shared" si="13"/>
        <v>0</v>
      </c>
      <c r="AR50" s="29">
        <f t="shared" si="13"/>
        <v>0</v>
      </c>
      <c r="AS50" s="246">
        <f t="shared" si="13"/>
        <v>0</v>
      </c>
      <c r="AT50" s="246">
        <f t="shared" si="13"/>
        <v>0</v>
      </c>
      <c r="AU50" s="246">
        <f t="shared" si="13"/>
        <v>0</v>
      </c>
      <c r="AV50" s="246">
        <f t="shared" si="13"/>
        <v>0</v>
      </c>
      <c r="AW50" s="246">
        <f t="shared" si="13"/>
        <v>0</v>
      </c>
      <c r="AX50" s="29">
        <f t="shared" si="13"/>
        <v>0</v>
      </c>
      <c r="AY50" s="29">
        <f t="shared" si="13"/>
        <v>0</v>
      </c>
      <c r="AZ50" s="29">
        <f t="shared" si="13"/>
        <v>0</v>
      </c>
      <c r="BA50" s="29">
        <f t="shared" si="13"/>
        <v>0</v>
      </c>
      <c r="BB50" s="29">
        <f t="shared" si="13"/>
        <v>0</v>
      </c>
      <c r="BC50" s="28"/>
      <c r="BF50" s="994" t="s">
        <v>663</v>
      </c>
    </row>
    <row r="51" spans="5:58" ht="16.7" hidden="1" customHeight="1">
      <c r="E51" s="676">
        <v>17.100000000000001</v>
      </c>
      <c r="F51" s="779" cm="1">
        <f t="array" aca="1" ref="F51" ca="1">OFFSET(G51,-1,-1)</f>
        <v>0</v>
      </c>
      <c r="T51" s="687" t="b" cm="1">
        <f t="array" ref="T51">T50</f>
        <v>0</v>
      </c>
      <c r="X51" s="1726"/>
      <c r="Z51" s="1726"/>
      <c r="AB51" s="724" t="str">
        <f>AB49&amp;".2"</f>
        <v>3.2.2</v>
      </c>
      <c r="AC51" s="471" t="s">
        <v>640</v>
      </c>
      <c r="AD51" s="727" t="s">
        <v>634</v>
      </c>
      <c r="AE51" s="29">
        <f t="shared" ref="AE51:BB51" si="14">AE35-AE43</f>
        <v>0</v>
      </c>
      <c r="AF51" s="29">
        <f t="shared" si="14"/>
        <v>0</v>
      </c>
      <c r="AG51" s="29">
        <f t="shared" si="14"/>
        <v>0</v>
      </c>
      <c r="AH51" s="29">
        <f t="shared" si="14"/>
        <v>0</v>
      </c>
      <c r="AI51" s="246">
        <f t="shared" si="14"/>
        <v>0</v>
      </c>
      <c r="AJ51" s="246">
        <f t="shared" si="14"/>
        <v>0</v>
      </c>
      <c r="AK51" s="246">
        <f t="shared" si="14"/>
        <v>0</v>
      </c>
      <c r="AL51" s="246">
        <f t="shared" si="14"/>
        <v>0</v>
      </c>
      <c r="AM51" s="246">
        <f t="shared" si="14"/>
        <v>0</v>
      </c>
      <c r="AN51" s="29">
        <f t="shared" si="14"/>
        <v>0</v>
      </c>
      <c r="AO51" s="29">
        <f t="shared" si="14"/>
        <v>0</v>
      </c>
      <c r="AP51" s="29">
        <f t="shared" si="14"/>
        <v>0</v>
      </c>
      <c r="AQ51" s="29">
        <f t="shared" si="14"/>
        <v>0</v>
      </c>
      <c r="AR51" s="29">
        <f t="shared" si="14"/>
        <v>0</v>
      </c>
      <c r="AS51" s="246">
        <f t="shared" si="14"/>
        <v>0</v>
      </c>
      <c r="AT51" s="246">
        <f t="shared" si="14"/>
        <v>0</v>
      </c>
      <c r="AU51" s="246">
        <f t="shared" si="14"/>
        <v>0</v>
      </c>
      <c r="AV51" s="246">
        <f t="shared" si="14"/>
        <v>0</v>
      </c>
      <c r="AW51" s="246">
        <f t="shared" si="14"/>
        <v>0</v>
      </c>
      <c r="AX51" s="29">
        <f t="shared" si="14"/>
        <v>0</v>
      </c>
      <c r="AY51" s="29">
        <f t="shared" si="14"/>
        <v>0</v>
      </c>
      <c r="AZ51" s="29">
        <f t="shared" si="14"/>
        <v>0</v>
      </c>
      <c r="BA51" s="29">
        <f t="shared" si="14"/>
        <v>0</v>
      </c>
      <c r="BB51" s="29">
        <f t="shared" si="14"/>
        <v>0</v>
      </c>
      <c r="BC51" s="28"/>
      <c r="BF51" s="994" t="s">
        <v>664</v>
      </c>
    </row>
    <row r="52" spans="5:58" ht="16.7" hidden="1" customHeight="1">
      <c r="E52" s="676">
        <v>17.100000000000001</v>
      </c>
      <c r="F52" s="779" cm="1">
        <f t="array" aca="1" ref="F52" ca="1">OFFSET(G52,-1,-1)</f>
        <v>0</v>
      </c>
      <c r="T52" s="687" t="b" cm="1">
        <f t="array" ref="T52">T51</f>
        <v>0</v>
      </c>
      <c r="X52" s="1726"/>
      <c r="Z52" s="1726"/>
      <c r="AB52" s="724" t="str">
        <f>AB45&amp;".3"</f>
        <v>3.3</v>
      </c>
      <c r="AC52" s="469" t="s">
        <v>646</v>
      </c>
      <c r="AD52" s="121" t="s">
        <v>634</v>
      </c>
      <c r="AE52" s="29"/>
      <c r="AF52" s="29"/>
      <c r="AG52" s="29"/>
      <c r="AH52" s="29"/>
      <c r="AI52" s="246"/>
      <c r="AJ52" s="246"/>
      <c r="AK52" s="246"/>
      <c r="AL52" s="246"/>
      <c r="AM52" s="246"/>
      <c r="AN52" s="29"/>
      <c r="AO52" s="29"/>
      <c r="AP52" s="29"/>
      <c r="AQ52" s="29"/>
      <c r="AR52" s="29"/>
      <c r="AS52" s="246"/>
      <c r="AT52" s="246"/>
      <c r="AU52" s="246"/>
      <c r="AV52" s="246"/>
      <c r="AW52" s="246"/>
      <c r="AX52" s="29"/>
      <c r="AY52" s="29"/>
      <c r="AZ52" s="29"/>
      <c r="BA52" s="29"/>
      <c r="BB52" s="29"/>
      <c r="BC52" s="28"/>
      <c r="BF52" s="994" t="s">
        <v>665</v>
      </c>
    </row>
    <row r="53" spans="5:58" ht="16.7" hidden="1" customHeight="1">
      <c r="E53" s="676">
        <v>17.100000000000001</v>
      </c>
      <c r="F53" s="779" cm="1">
        <f t="array" aca="1" ref="F53" ca="1">OFFSET(G53,-1,-1)</f>
        <v>0</v>
      </c>
      <c r="T53" s="687" t="b" cm="1">
        <f t="array" ref="T53">T52</f>
        <v>0</v>
      </c>
      <c r="X53" s="1726"/>
      <c r="Z53" s="1726"/>
      <c r="AB53" s="475" t="s">
        <v>440</v>
      </c>
      <c r="AC53" s="476" t="s">
        <v>666</v>
      </c>
      <c r="AD53" s="121" t="s">
        <v>634</v>
      </c>
      <c r="AE53" s="448">
        <f t="shared" ref="AE53:BB53" si="15">AE54+AE55</f>
        <v>0</v>
      </c>
      <c r="AF53" s="448">
        <f t="shared" si="15"/>
        <v>0</v>
      </c>
      <c r="AG53" s="448">
        <f t="shared" si="15"/>
        <v>0</v>
      </c>
      <c r="AH53" s="448">
        <f t="shared" si="15"/>
        <v>0</v>
      </c>
      <c r="AI53" s="448">
        <f t="shared" si="15"/>
        <v>0</v>
      </c>
      <c r="AJ53" s="448">
        <f t="shared" si="15"/>
        <v>0</v>
      </c>
      <c r="AK53" s="448">
        <f t="shared" si="15"/>
        <v>0</v>
      </c>
      <c r="AL53" s="448">
        <f t="shared" si="15"/>
        <v>0</v>
      </c>
      <c r="AM53" s="448">
        <f t="shared" si="15"/>
        <v>0</v>
      </c>
      <c r="AN53" s="448">
        <f t="shared" si="15"/>
        <v>0</v>
      </c>
      <c r="AO53" s="448">
        <f t="shared" si="15"/>
        <v>0</v>
      </c>
      <c r="AP53" s="448">
        <f t="shared" si="15"/>
        <v>0</v>
      </c>
      <c r="AQ53" s="448">
        <f t="shared" si="15"/>
        <v>0</v>
      </c>
      <c r="AR53" s="448">
        <f t="shared" si="15"/>
        <v>0</v>
      </c>
      <c r="AS53" s="448">
        <f t="shared" si="15"/>
        <v>0</v>
      </c>
      <c r="AT53" s="448">
        <f t="shared" si="15"/>
        <v>0</v>
      </c>
      <c r="AU53" s="448">
        <f t="shared" si="15"/>
        <v>0</v>
      </c>
      <c r="AV53" s="448">
        <f t="shared" si="15"/>
        <v>0</v>
      </c>
      <c r="AW53" s="448">
        <f t="shared" si="15"/>
        <v>0</v>
      </c>
      <c r="AX53" s="448">
        <f t="shared" si="15"/>
        <v>0</v>
      </c>
      <c r="AY53" s="448">
        <f t="shared" si="15"/>
        <v>0</v>
      </c>
      <c r="AZ53" s="448">
        <f t="shared" si="15"/>
        <v>0</v>
      </c>
      <c r="BA53" s="448">
        <f t="shared" si="15"/>
        <v>0</v>
      </c>
      <c r="BB53" s="448">
        <f t="shared" si="15"/>
        <v>0</v>
      </c>
      <c r="BC53" s="28"/>
      <c r="BF53" s="994" t="s">
        <v>667</v>
      </c>
    </row>
    <row r="54" spans="5:58" ht="16.7" hidden="1" customHeight="1">
      <c r="E54" s="676">
        <v>17.100000000000001</v>
      </c>
      <c r="F54" s="779" cm="1">
        <f t="array" aca="1" ref="F54" ca="1">OFFSET(G54,-1,-1)</f>
        <v>0</v>
      </c>
      <c r="T54" s="687" t="b" cm="1">
        <f t="array" ref="T54">T53</f>
        <v>0</v>
      </c>
      <c r="X54" s="1726"/>
      <c r="Z54" s="1726"/>
      <c r="AB54" s="724" t="str">
        <f>AB53&amp;".1"</f>
        <v>4.1</v>
      </c>
      <c r="AC54" s="469" t="s">
        <v>638</v>
      </c>
      <c r="AD54" s="121" t="s">
        <v>634</v>
      </c>
      <c r="AE54" s="32"/>
      <c r="AF54" s="32"/>
      <c r="AG54" s="32"/>
      <c r="AH54" s="32"/>
      <c r="AI54" s="416"/>
      <c r="AJ54" s="416"/>
      <c r="AK54" s="416"/>
      <c r="AL54" s="416"/>
      <c r="AM54" s="416"/>
      <c r="AN54" s="32"/>
      <c r="AO54" s="32"/>
      <c r="AP54" s="32"/>
      <c r="AQ54" s="32"/>
      <c r="AR54" s="32"/>
      <c r="AS54" s="416"/>
      <c r="AT54" s="416"/>
      <c r="AU54" s="416"/>
      <c r="AV54" s="416"/>
      <c r="AW54" s="416"/>
      <c r="AX54" s="32"/>
      <c r="AY54" s="32"/>
      <c r="AZ54" s="32"/>
      <c r="BA54" s="32"/>
      <c r="BB54" s="32"/>
      <c r="BC54" s="28"/>
      <c r="BF54" s="994" t="s">
        <v>668</v>
      </c>
    </row>
    <row r="55" spans="5:58" ht="16.7" hidden="1" customHeight="1">
      <c r="E55" s="676">
        <v>17.100000000000001</v>
      </c>
      <c r="F55" s="779" cm="1">
        <f t="array" aca="1" ref="F55" ca="1">OFFSET(G55,-1,-1)</f>
        <v>0</v>
      </c>
      <c r="T55" s="687" t="b" cm="1">
        <f t="array" ref="T55">T54</f>
        <v>0</v>
      </c>
      <c r="X55" s="1726"/>
      <c r="Z55" s="1726"/>
      <c r="AB55" s="724" t="str">
        <f>AB53&amp;".2"</f>
        <v>4.2</v>
      </c>
      <c r="AC55" s="469" t="s">
        <v>640</v>
      </c>
      <c r="AD55" s="121" t="s">
        <v>634</v>
      </c>
      <c r="AE55" s="33"/>
      <c r="AF55" s="33"/>
      <c r="AG55" s="33"/>
      <c r="AH55" s="33"/>
      <c r="AI55" s="474"/>
      <c r="AJ55" s="474"/>
      <c r="AK55" s="474"/>
      <c r="AL55" s="474"/>
      <c r="AM55" s="474"/>
      <c r="AN55" s="33"/>
      <c r="AO55" s="33"/>
      <c r="AP55" s="33"/>
      <c r="AQ55" s="33"/>
      <c r="AR55" s="33"/>
      <c r="AS55" s="474"/>
      <c r="AT55" s="474"/>
      <c r="AU55" s="474"/>
      <c r="AV55" s="474"/>
      <c r="AW55" s="474"/>
      <c r="AX55" s="33"/>
      <c r="AY55" s="33"/>
      <c r="AZ55" s="33"/>
      <c r="BA55" s="33"/>
      <c r="BB55" s="33"/>
      <c r="BC55" s="24"/>
      <c r="BF55" s="994" t="s">
        <v>669</v>
      </c>
    </row>
    <row r="56" spans="5:58" ht="16.7" hidden="1" customHeight="1">
      <c r="E56" s="676">
        <v>17.100000000000001</v>
      </c>
      <c r="F56" s="779" cm="1">
        <f t="array" aca="1" ref="F56" ca="1">OFFSET(G56,-1,-1)</f>
        <v>0</v>
      </c>
      <c r="T56" s="687" t="b" cm="1">
        <f t="array" ref="T56">T55</f>
        <v>0</v>
      </c>
      <c r="X56" s="1726"/>
      <c r="Z56" s="1726"/>
      <c r="AB56" s="730" t="s">
        <v>443</v>
      </c>
      <c r="AC56" s="449" t="s">
        <v>670</v>
      </c>
      <c r="AD56" s="351" t="s">
        <v>634</v>
      </c>
      <c r="AE56" s="29"/>
      <c r="AF56" s="29"/>
      <c r="AG56" s="29"/>
      <c r="AH56" s="29"/>
      <c r="AI56" s="246"/>
      <c r="AJ56" s="246"/>
      <c r="AK56" s="246"/>
      <c r="AL56" s="246"/>
      <c r="AM56" s="246"/>
      <c r="AN56" s="29"/>
      <c r="AO56" s="29"/>
      <c r="AP56" s="29"/>
      <c r="AQ56" s="29"/>
      <c r="AR56" s="29"/>
      <c r="AS56" s="246"/>
      <c r="AT56" s="246"/>
      <c r="AU56" s="246"/>
      <c r="AV56" s="246"/>
      <c r="AW56" s="246"/>
      <c r="AX56" s="29"/>
      <c r="AY56" s="29"/>
      <c r="AZ56" s="29"/>
      <c r="BA56" s="29"/>
      <c r="BB56" s="29"/>
      <c r="BC56" s="34"/>
      <c r="BF56" s="994" t="s">
        <v>671</v>
      </c>
    </row>
    <row r="57" spans="5:58" ht="16.7" hidden="1" customHeight="1">
      <c r="E57" s="676">
        <v>17.100000000000001</v>
      </c>
      <c r="F57" s="779" cm="1">
        <f t="array" aca="1" ref="F57" ca="1">OFFSET(G57,-1,-1)</f>
        <v>0</v>
      </c>
      <c r="T57" s="687" t="b" cm="1">
        <f t="array" ref="T57">T56</f>
        <v>0</v>
      </c>
      <c r="X57" s="1726"/>
      <c r="Z57" s="1726"/>
      <c r="AB57" s="731" t="s">
        <v>448</v>
      </c>
      <c r="AC57" s="413" t="s">
        <v>672</v>
      </c>
      <c r="AD57" s="351" t="s">
        <v>634</v>
      </c>
      <c r="AE57" s="311">
        <f t="shared" ref="AE57:BB57" si="16">AE45-AE56</f>
        <v>0</v>
      </c>
      <c r="AF57" s="311">
        <f t="shared" si="16"/>
        <v>0</v>
      </c>
      <c r="AG57" s="311">
        <f t="shared" si="16"/>
        <v>0</v>
      </c>
      <c r="AH57" s="311">
        <f t="shared" si="16"/>
        <v>0</v>
      </c>
      <c r="AI57" s="311">
        <f t="shared" si="16"/>
        <v>0</v>
      </c>
      <c r="AJ57" s="311">
        <f t="shared" si="16"/>
        <v>0</v>
      </c>
      <c r="AK57" s="311">
        <f t="shared" si="16"/>
        <v>0</v>
      </c>
      <c r="AL57" s="311">
        <f t="shared" si="16"/>
        <v>0</v>
      </c>
      <c r="AM57" s="311">
        <f t="shared" si="16"/>
        <v>0</v>
      </c>
      <c r="AN57" s="311">
        <f t="shared" si="16"/>
        <v>0</v>
      </c>
      <c r="AO57" s="311">
        <f t="shared" si="16"/>
        <v>0</v>
      </c>
      <c r="AP57" s="311">
        <f t="shared" si="16"/>
        <v>0</v>
      </c>
      <c r="AQ57" s="311">
        <f t="shared" si="16"/>
        <v>0</v>
      </c>
      <c r="AR57" s="311">
        <f t="shared" si="16"/>
        <v>0</v>
      </c>
      <c r="AS57" s="311">
        <f t="shared" si="16"/>
        <v>0</v>
      </c>
      <c r="AT57" s="311">
        <f t="shared" si="16"/>
        <v>0</v>
      </c>
      <c r="AU57" s="311">
        <f t="shared" si="16"/>
        <v>0</v>
      </c>
      <c r="AV57" s="311">
        <f t="shared" si="16"/>
        <v>0</v>
      </c>
      <c r="AW57" s="311">
        <f t="shared" si="16"/>
        <v>0</v>
      </c>
      <c r="AX57" s="311">
        <f t="shared" si="16"/>
        <v>0</v>
      </c>
      <c r="AY57" s="311">
        <f t="shared" si="16"/>
        <v>0</v>
      </c>
      <c r="AZ57" s="311">
        <f t="shared" si="16"/>
        <v>0</v>
      </c>
      <c r="BA57" s="311">
        <f t="shared" si="16"/>
        <v>0</v>
      </c>
      <c r="BB57" s="311">
        <f t="shared" si="16"/>
        <v>0</v>
      </c>
      <c r="BC57" s="34"/>
      <c r="BF57" s="994" t="s">
        <v>673</v>
      </c>
    </row>
    <row r="58" spans="5:58" ht="16.7" hidden="1" customHeight="1">
      <c r="E58" s="676">
        <v>17.100000000000001</v>
      </c>
      <c r="F58" s="779" cm="1">
        <f t="array" aca="1" ref="F58" ca="1">OFFSET(G58,-1,-1)</f>
        <v>0</v>
      </c>
      <c r="T58" s="687" t="b" cm="1">
        <f t="array" ref="T58">T57</f>
        <v>0</v>
      </c>
      <c r="X58" s="1726"/>
      <c r="Z58" s="1726"/>
      <c r="AB58" s="724" t="str">
        <f>AB57&amp;".1"</f>
        <v>6.1</v>
      </c>
      <c r="AC58" s="469" t="s">
        <v>638</v>
      </c>
      <c r="AD58" s="351" t="s">
        <v>634</v>
      </c>
      <c r="AE58" s="311">
        <f t="shared" ref="AE58:BB58" si="17">AE57-AE66</f>
        <v>0</v>
      </c>
      <c r="AF58" s="311">
        <f t="shared" si="17"/>
        <v>0</v>
      </c>
      <c r="AG58" s="311">
        <f t="shared" si="17"/>
        <v>0</v>
      </c>
      <c r="AH58" s="311">
        <f t="shared" si="17"/>
        <v>0</v>
      </c>
      <c r="AI58" s="311">
        <f t="shared" si="17"/>
        <v>0</v>
      </c>
      <c r="AJ58" s="311">
        <f t="shared" si="17"/>
        <v>0</v>
      </c>
      <c r="AK58" s="311">
        <f t="shared" si="17"/>
        <v>0</v>
      </c>
      <c r="AL58" s="311">
        <f t="shared" si="17"/>
        <v>0</v>
      </c>
      <c r="AM58" s="311">
        <f t="shared" si="17"/>
        <v>0</v>
      </c>
      <c r="AN58" s="311">
        <f t="shared" si="17"/>
        <v>0</v>
      </c>
      <c r="AO58" s="311">
        <f t="shared" si="17"/>
        <v>0</v>
      </c>
      <c r="AP58" s="311">
        <f t="shared" si="17"/>
        <v>0</v>
      </c>
      <c r="AQ58" s="311">
        <f t="shared" si="17"/>
        <v>0</v>
      </c>
      <c r="AR58" s="311">
        <f t="shared" si="17"/>
        <v>0</v>
      </c>
      <c r="AS58" s="311">
        <f t="shared" si="17"/>
        <v>0</v>
      </c>
      <c r="AT58" s="311">
        <f t="shared" si="17"/>
        <v>0</v>
      </c>
      <c r="AU58" s="311">
        <f t="shared" si="17"/>
        <v>0</v>
      </c>
      <c r="AV58" s="311">
        <f t="shared" si="17"/>
        <v>0</v>
      </c>
      <c r="AW58" s="311">
        <f t="shared" si="17"/>
        <v>0</v>
      </c>
      <c r="AX58" s="311">
        <f t="shared" si="17"/>
        <v>0</v>
      </c>
      <c r="AY58" s="311">
        <f t="shared" si="17"/>
        <v>0</v>
      </c>
      <c r="AZ58" s="311">
        <f t="shared" si="17"/>
        <v>0</v>
      </c>
      <c r="BA58" s="311">
        <f t="shared" si="17"/>
        <v>0</v>
      </c>
      <c r="BB58" s="311">
        <f t="shared" si="17"/>
        <v>0</v>
      </c>
      <c r="BC58" s="34"/>
      <c r="BF58" s="994" t="s">
        <v>674</v>
      </c>
    </row>
    <row r="59" spans="5:58" ht="16.7" hidden="1" customHeight="1">
      <c r="E59" s="676">
        <v>17.100000000000001</v>
      </c>
      <c r="F59" s="779" cm="1">
        <f t="array" aca="1" ref="F59" ca="1">OFFSET(G59,-1,-1)</f>
        <v>0</v>
      </c>
      <c r="T59" s="687" t="b" cm="1">
        <f t="array" ref="T59">T58</f>
        <v>0</v>
      </c>
      <c r="X59" s="1726"/>
      <c r="Z59" s="1726"/>
      <c r="AB59" s="724" t="str">
        <f>AB58&amp;".1"</f>
        <v>6.1.1</v>
      </c>
      <c r="AC59" s="572" t="s">
        <v>675</v>
      </c>
      <c r="AD59" s="121" t="s">
        <v>634</v>
      </c>
      <c r="AE59" s="29"/>
      <c r="AF59" s="29"/>
      <c r="AG59" s="29"/>
      <c r="AH59" s="29"/>
      <c r="AI59" s="246"/>
      <c r="AJ59" s="246"/>
      <c r="AK59" s="246"/>
      <c r="AL59" s="246"/>
      <c r="AM59" s="246"/>
      <c r="AN59" s="29"/>
      <c r="AO59" s="29"/>
      <c r="AP59" s="29"/>
      <c r="AQ59" s="29"/>
      <c r="AR59" s="29"/>
      <c r="AS59" s="246"/>
      <c r="AT59" s="246"/>
      <c r="AU59" s="246"/>
      <c r="AV59" s="246"/>
      <c r="AW59" s="246"/>
      <c r="AX59" s="29"/>
      <c r="AY59" s="29"/>
      <c r="AZ59" s="29"/>
      <c r="BA59" s="29"/>
      <c r="BB59" s="29"/>
      <c r="BC59" s="34"/>
      <c r="BF59" s="994" t="s">
        <v>676</v>
      </c>
    </row>
    <row r="60" spans="5:58" ht="16.7" hidden="1" customHeight="1">
      <c r="E60" s="676">
        <v>17.100000000000001</v>
      </c>
      <c r="F60" s="779" cm="1">
        <f t="array" aca="1" ref="F60" ca="1">OFFSET(G60,-1,-1)</f>
        <v>0</v>
      </c>
      <c r="T60" s="687" t="b" cm="1">
        <f t="array" ref="T60">T59</f>
        <v>0</v>
      </c>
      <c r="X60" s="1726"/>
      <c r="Z60" s="1726"/>
      <c r="AB60" s="724" t="str">
        <f>AB58&amp;".2"</f>
        <v>6.1.2</v>
      </c>
      <c r="AC60" s="573" t="s">
        <v>677</v>
      </c>
      <c r="AD60" s="121" t="s">
        <v>634</v>
      </c>
      <c r="AE60" s="29">
        <f t="shared" ref="AE60:BB60" si="18">SUM(AE61:AE64)</f>
        <v>0</v>
      </c>
      <c r="AF60" s="29">
        <f t="shared" si="18"/>
        <v>0</v>
      </c>
      <c r="AG60" s="29">
        <f t="shared" si="18"/>
        <v>0</v>
      </c>
      <c r="AH60" s="29">
        <f t="shared" si="18"/>
        <v>0</v>
      </c>
      <c r="AI60" s="246">
        <f t="shared" si="18"/>
        <v>0</v>
      </c>
      <c r="AJ60" s="246">
        <f t="shared" si="18"/>
        <v>0</v>
      </c>
      <c r="AK60" s="246">
        <f t="shared" si="18"/>
        <v>0</v>
      </c>
      <c r="AL60" s="246">
        <f t="shared" si="18"/>
        <v>0</v>
      </c>
      <c r="AM60" s="246">
        <f t="shared" si="18"/>
        <v>0</v>
      </c>
      <c r="AN60" s="29">
        <f t="shared" si="18"/>
        <v>0</v>
      </c>
      <c r="AO60" s="29">
        <f t="shared" si="18"/>
        <v>0</v>
      </c>
      <c r="AP60" s="29">
        <f t="shared" si="18"/>
        <v>0</v>
      </c>
      <c r="AQ60" s="29">
        <f t="shared" si="18"/>
        <v>0</v>
      </c>
      <c r="AR60" s="29">
        <f t="shared" si="18"/>
        <v>0</v>
      </c>
      <c r="AS60" s="246">
        <f t="shared" si="18"/>
        <v>0</v>
      </c>
      <c r="AT60" s="246">
        <f t="shared" si="18"/>
        <v>0</v>
      </c>
      <c r="AU60" s="246">
        <f t="shared" si="18"/>
        <v>0</v>
      </c>
      <c r="AV60" s="246">
        <f t="shared" si="18"/>
        <v>0</v>
      </c>
      <c r="AW60" s="246">
        <f t="shared" si="18"/>
        <v>0</v>
      </c>
      <c r="AX60" s="29">
        <f t="shared" si="18"/>
        <v>0</v>
      </c>
      <c r="AY60" s="29">
        <f t="shared" si="18"/>
        <v>0</v>
      </c>
      <c r="AZ60" s="29">
        <f t="shared" si="18"/>
        <v>0</v>
      </c>
      <c r="BA60" s="29">
        <f t="shared" si="18"/>
        <v>0</v>
      </c>
      <c r="BB60" s="29">
        <f t="shared" si="18"/>
        <v>0</v>
      </c>
      <c r="BC60" s="34"/>
      <c r="BF60" s="994" t="s">
        <v>678</v>
      </c>
    </row>
    <row r="61" spans="5:58" ht="16.7" hidden="1" customHeight="1">
      <c r="E61" s="676">
        <v>17.100000000000001</v>
      </c>
      <c r="F61" s="779" cm="1">
        <f t="array" aca="1" ref="F61" ca="1">OFFSET(G61,-1,-1)</f>
        <v>0</v>
      </c>
      <c r="T61" s="687" t="b" cm="1">
        <f t="array" ref="T61">T60</f>
        <v>0</v>
      </c>
      <c r="X61" s="1726"/>
      <c r="Z61" s="1726"/>
      <c r="AB61" s="724" t="str">
        <f>AB60&amp;".1"</f>
        <v>6.1.2.1</v>
      </c>
      <c r="AC61" s="574" t="s">
        <v>679</v>
      </c>
      <c r="AD61" s="351" t="s">
        <v>634</v>
      </c>
      <c r="AE61" s="29"/>
      <c r="AF61" s="29"/>
      <c r="AG61" s="29"/>
      <c r="AH61" s="29"/>
      <c r="AI61" s="246"/>
      <c r="AJ61" s="246"/>
      <c r="AK61" s="246"/>
      <c r="AL61" s="246"/>
      <c r="AM61" s="246"/>
      <c r="AN61" s="29"/>
      <c r="AO61" s="29"/>
      <c r="AP61" s="29"/>
      <c r="AQ61" s="29"/>
      <c r="AR61" s="29"/>
      <c r="AS61" s="246"/>
      <c r="AT61" s="246"/>
      <c r="AU61" s="246"/>
      <c r="AV61" s="246"/>
      <c r="AW61" s="246"/>
      <c r="AX61" s="29"/>
      <c r="AY61" s="29"/>
      <c r="AZ61" s="29"/>
      <c r="BA61" s="29"/>
      <c r="BB61" s="29"/>
      <c r="BC61" s="34"/>
      <c r="BF61" s="994" t="s">
        <v>680</v>
      </c>
    </row>
    <row r="62" spans="5:58" ht="16.7" hidden="1" customHeight="1">
      <c r="E62" s="676">
        <v>17.100000000000001</v>
      </c>
      <c r="F62" s="779" cm="1">
        <f t="array" aca="1" ref="F62" ca="1">OFFSET(G62,-1,-1)</f>
        <v>0</v>
      </c>
      <c r="T62" s="687" t="b" cm="1">
        <f t="array" ref="T62">T61</f>
        <v>0</v>
      </c>
      <c r="X62" s="1726"/>
      <c r="Z62" s="1726"/>
      <c r="AB62" s="724" t="str">
        <f>AB60&amp;".2"</f>
        <v>6.1.2.2</v>
      </c>
      <c r="AC62" s="575" t="s">
        <v>681</v>
      </c>
      <c r="AD62" s="121" t="s">
        <v>634</v>
      </c>
      <c r="AE62" s="29"/>
      <c r="AF62" s="29"/>
      <c r="AG62" s="29"/>
      <c r="AH62" s="29"/>
      <c r="AI62" s="246"/>
      <c r="AJ62" s="246"/>
      <c r="AK62" s="246"/>
      <c r="AL62" s="246"/>
      <c r="AM62" s="246"/>
      <c r="AN62" s="29"/>
      <c r="AO62" s="29"/>
      <c r="AP62" s="29"/>
      <c r="AQ62" s="29"/>
      <c r="AR62" s="29"/>
      <c r="AS62" s="246"/>
      <c r="AT62" s="246"/>
      <c r="AU62" s="246"/>
      <c r="AV62" s="246"/>
      <c r="AW62" s="246"/>
      <c r="AX62" s="29"/>
      <c r="AY62" s="29"/>
      <c r="AZ62" s="29"/>
      <c r="BA62" s="29"/>
      <c r="BB62" s="29"/>
      <c r="BC62" s="34"/>
      <c r="BF62" s="994" t="s">
        <v>682</v>
      </c>
    </row>
    <row r="63" spans="5:58" ht="16.7" hidden="1" customHeight="1">
      <c r="E63" s="676">
        <v>17.100000000000001</v>
      </c>
      <c r="F63" s="779" cm="1">
        <f t="array" aca="1" ref="F63" ca="1">OFFSET(G63,-1,-1)</f>
        <v>0</v>
      </c>
      <c r="T63" s="687" t="b" cm="1">
        <f t="array" ref="T63">T62</f>
        <v>0</v>
      </c>
      <c r="X63" s="1726"/>
      <c r="Z63" s="1726"/>
      <c r="AB63" s="724" t="str">
        <f>AB60&amp;".3"</f>
        <v>6.1.2.3</v>
      </c>
      <c r="AC63" s="575" t="s">
        <v>683</v>
      </c>
      <c r="AD63" s="121" t="s">
        <v>634</v>
      </c>
      <c r="AE63" s="29"/>
      <c r="AF63" s="29"/>
      <c r="AG63" s="29"/>
      <c r="AH63" s="29"/>
      <c r="AI63" s="246"/>
      <c r="AJ63" s="246"/>
      <c r="AK63" s="246"/>
      <c r="AL63" s="246"/>
      <c r="AM63" s="246"/>
      <c r="AN63" s="29"/>
      <c r="AO63" s="29"/>
      <c r="AP63" s="29"/>
      <c r="AQ63" s="29"/>
      <c r="AR63" s="29"/>
      <c r="AS63" s="246"/>
      <c r="AT63" s="246"/>
      <c r="AU63" s="246"/>
      <c r="AV63" s="246"/>
      <c r="AW63" s="246"/>
      <c r="AX63" s="29"/>
      <c r="AY63" s="29"/>
      <c r="AZ63" s="29"/>
      <c r="BA63" s="29"/>
      <c r="BB63" s="29"/>
      <c r="BC63" s="34"/>
      <c r="BF63" s="994" t="s">
        <v>684</v>
      </c>
    </row>
    <row r="64" spans="5:58" ht="16.7" hidden="1" customHeight="1">
      <c r="E64" s="676">
        <v>17.100000000000001</v>
      </c>
      <c r="F64" s="779" cm="1">
        <f t="array" aca="1" ref="F64" ca="1">OFFSET(G64,-1,-1)</f>
        <v>0</v>
      </c>
      <c r="T64" s="687" t="b" cm="1">
        <f t="array" ref="T64">T63</f>
        <v>0</v>
      </c>
      <c r="X64" s="1726"/>
      <c r="Z64" s="1726"/>
      <c r="AB64" s="724" t="str">
        <f>AB60&amp;".4"</f>
        <v>6.1.2.4</v>
      </c>
      <c r="AC64" s="575" t="s">
        <v>685</v>
      </c>
      <c r="AD64" s="351" t="s">
        <v>634</v>
      </c>
      <c r="AE64" s="29"/>
      <c r="AF64" s="29"/>
      <c r="AG64" s="29"/>
      <c r="AH64" s="29"/>
      <c r="AI64" s="246"/>
      <c r="AJ64" s="246"/>
      <c r="AK64" s="246"/>
      <c r="AL64" s="246"/>
      <c r="AM64" s="246"/>
      <c r="AN64" s="29"/>
      <c r="AO64" s="29"/>
      <c r="AP64" s="29"/>
      <c r="AQ64" s="29"/>
      <c r="AR64" s="29"/>
      <c r="AS64" s="246"/>
      <c r="AT64" s="246"/>
      <c r="AU64" s="246"/>
      <c r="AV64" s="246"/>
      <c r="AW64" s="246"/>
      <c r="AX64" s="29"/>
      <c r="AY64" s="29"/>
      <c r="AZ64" s="29"/>
      <c r="BA64" s="29"/>
      <c r="BB64" s="29"/>
      <c r="BC64" s="34"/>
      <c r="BF64" s="994" t="s">
        <v>686</v>
      </c>
    </row>
    <row r="65" spans="5:58" ht="16.7" hidden="1" customHeight="1">
      <c r="E65" s="676">
        <v>17.100000000000001</v>
      </c>
      <c r="F65" s="779" cm="1">
        <f t="array" aca="1" ref="F65" ca="1">OFFSET(G65,-1,-1)</f>
        <v>0</v>
      </c>
      <c r="T65" s="687" t="b" cm="1">
        <f t="array" ref="T65">T64</f>
        <v>0</v>
      </c>
      <c r="X65" s="1726"/>
      <c r="Z65" s="1726"/>
      <c r="AB65" s="724" t="str">
        <f>AB58&amp;".3"</f>
        <v>6.1.3</v>
      </c>
      <c r="AC65" s="914" t="s">
        <v>687</v>
      </c>
      <c r="AD65" s="351" t="s">
        <v>634</v>
      </c>
      <c r="AE65" s="29">
        <f t="shared" ref="AE65:BB65" si="19">AE58-AE59-AE60</f>
        <v>0</v>
      </c>
      <c r="AF65" s="29">
        <f t="shared" si="19"/>
        <v>0</v>
      </c>
      <c r="AG65" s="29">
        <f t="shared" si="19"/>
        <v>0</v>
      </c>
      <c r="AH65" s="29">
        <f t="shared" si="19"/>
        <v>0</v>
      </c>
      <c r="AI65" s="246">
        <f t="shared" si="19"/>
        <v>0</v>
      </c>
      <c r="AJ65" s="246">
        <f t="shared" si="19"/>
        <v>0</v>
      </c>
      <c r="AK65" s="246">
        <f t="shared" si="19"/>
        <v>0</v>
      </c>
      <c r="AL65" s="246">
        <f t="shared" si="19"/>
        <v>0</v>
      </c>
      <c r="AM65" s="246">
        <f t="shared" si="19"/>
        <v>0</v>
      </c>
      <c r="AN65" s="29">
        <f t="shared" si="19"/>
        <v>0</v>
      </c>
      <c r="AO65" s="29">
        <f t="shared" si="19"/>
        <v>0</v>
      </c>
      <c r="AP65" s="29">
        <f t="shared" si="19"/>
        <v>0</v>
      </c>
      <c r="AQ65" s="29">
        <f t="shared" si="19"/>
        <v>0</v>
      </c>
      <c r="AR65" s="29">
        <f t="shared" si="19"/>
        <v>0</v>
      </c>
      <c r="AS65" s="246">
        <f t="shared" si="19"/>
        <v>0</v>
      </c>
      <c r="AT65" s="246">
        <f t="shared" si="19"/>
        <v>0</v>
      </c>
      <c r="AU65" s="246">
        <f t="shared" si="19"/>
        <v>0</v>
      </c>
      <c r="AV65" s="246">
        <f t="shared" si="19"/>
        <v>0</v>
      </c>
      <c r="AW65" s="246">
        <f t="shared" si="19"/>
        <v>0</v>
      </c>
      <c r="AX65" s="29">
        <f t="shared" si="19"/>
        <v>0</v>
      </c>
      <c r="AY65" s="29">
        <f t="shared" si="19"/>
        <v>0</v>
      </c>
      <c r="AZ65" s="29">
        <f t="shared" si="19"/>
        <v>0</v>
      </c>
      <c r="BA65" s="29">
        <f t="shared" si="19"/>
        <v>0</v>
      </c>
      <c r="BB65" s="29">
        <f t="shared" si="19"/>
        <v>0</v>
      </c>
      <c r="BC65" s="34"/>
      <c r="BF65" s="994" t="s">
        <v>688</v>
      </c>
    </row>
    <row r="66" spans="5:58" ht="16.7" hidden="1" customHeight="1">
      <c r="E66" s="676">
        <v>17.100000000000001</v>
      </c>
      <c r="F66" s="779" cm="1">
        <f t="array" aca="1" ref="F66" ca="1">OFFSET(G66,-1,-1)</f>
        <v>0</v>
      </c>
      <c r="T66" s="687" t="b" cm="1">
        <f t="array" ref="T66">T65</f>
        <v>0</v>
      </c>
      <c r="X66" s="1726"/>
      <c r="Z66" s="1726"/>
      <c r="AB66" s="724" t="str">
        <f>AB57&amp;".2"</f>
        <v>6.2</v>
      </c>
      <c r="AC66" s="469" t="s">
        <v>640</v>
      </c>
      <c r="AD66" s="351" t="s">
        <v>634</v>
      </c>
      <c r="AE66" s="29"/>
      <c r="AF66" s="29"/>
      <c r="AG66" s="29"/>
      <c r="AH66" s="29"/>
      <c r="AI66" s="246"/>
      <c r="AJ66" s="246"/>
      <c r="AK66" s="246"/>
      <c r="AL66" s="246"/>
      <c r="AM66" s="246"/>
      <c r="AN66" s="29"/>
      <c r="AO66" s="29"/>
      <c r="AP66" s="29"/>
      <c r="AQ66" s="29"/>
      <c r="AR66" s="29"/>
      <c r="AS66" s="246"/>
      <c r="AT66" s="246"/>
      <c r="AU66" s="246"/>
      <c r="AV66" s="246"/>
      <c r="AW66" s="246"/>
      <c r="AX66" s="29"/>
      <c r="AY66" s="29"/>
      <c r="AZ66" s="29"/>
      <c r="BA66" s="29"/>
      <c r="BB66" s="29"/>
      <c r="BC66" s="34"/>
      <c r="BF66" s="994" t="s">
        <v>689</v>
      </c>
    </row>
    <row r="67" spans="5:58" ht="16.7" hidden="1" customHeight="1">
      <c r="E67" s="676">
        <v>17.100000000000001</v>
      </c>
      <c r="F67" s="779" cm="1">
        <f t="array" aca="1" ref="F67" ca="1">OFFSET(G67,-1,-1)</f>
        <v>0</v>
      </c>
      <c r="T67" s="687" t="b" cm="1">
        <f t="array" ref="T67">T66</f>
        <v>0</v>
      </c>
      <c r="X67" s="1726"/>
      <c r="Z67" s="1726"/>
      <c r="AB67" s="475" t="s">
        <v>451</v>
      </c>
      <c r="AC67" s="476" t="s">
        <v>690</v>
      </c>
      <c r="AD67" s="351" t="s">
        <v>634</v>
      </c>
      <c r="AE67" s="311">
        <f t="shared" ref="AE67:BB67" si="20">SUM(AE68:AE69)</f>
        <v>0</v>
      </c>
      <c r="AF67" s="311">
        <f t="shared" si="20"/>
        <v>0</v>
      </c>
      <c r="AG67" s="311">
        <f t="shared" si="20"/>
        <v>0</v>
      </c>
      <c r="AH67" s="311">
        <f t="shared" si="20"/>
        <v>0</v>
      </c>
      <c r="AI67" s="311">
        <f t="shared" si="20"/>
        <v>0</v>
      </c>
      <c r="AJ67" s="311">
        <f t="shared" si="20"/>
        <v>0</v>
      </c>
      <c r="AK67" s="311">
        <f t="shared" si="20"/>
        <v>0</v>
      </c>
      <c r="AL67" s="311">
        <f t="shared" si="20"/>
        <v>0</v>
      </c>
      <c r="AM67" s="311">
        <f t="shared" si="20"/>
        <v>0</v>
      </c>
      <c r="AN67" s="311">
        <f t="shared" si="20"/>
        <v>0</v>
      </c>
      <c r="AO67" s="311">
        <f t="shared" si="20"/>
        <v>0</v>
      </c>
      <c r="AP67" s="311">
        <f t="shared" si="20"/>
        <v>0</v>
      </c>
      <c r="AQ67" s="311">
        <f t="shared" si="20"/>
        <v>0</v>
      </c>
      <c r="AR67" s="311">
        <f t="shared" si="20"/>
        <v>0</v>
      </c>
      <c r="AS67" s="311">
        <f t="shared" si="20"/>
        <v>0</v>
      </c>
      <c r="AT67" s="311">
        <f t="shared" si="20"/>
        <v>0</v>
      </c>
      <c r="AU67" s="311">
        <f t="shared" si="20"/>
        <v>0</v>
      </c>
      <c r="AV67" s="311">
        <f t="shared" si="20"/>
        <v>0</v>
      </c>
      <c r="AW67" s="311">
        <f t="shared" si="20"/>
        <v>0</v>
      </c>
      <c r="AX67" s="311">
        <f t="shared" si="20"/>
        <v>0</v>
      </c>
      <c r="AY67" s="311">
        <f t="shared" si="20"/>
        <v>0</v>
      </c>
      <c r="AZ67" s="311">
        <f t="shared" si="20"/>
        <v>0</v>
      </c>
      <c r="BA67" s="311">
        <f t="shared" si="20"/>
        <v>0</v>
      </c>
      <c r="BB67" s="311">
        <f t="shared" si="20"/>
        <v>0</v>
      </c>
      <c r="BC67" s="34"/>
      <c r="BF67" s="994" t="s">
        <v>691</v>
      </c>
    </row>
    <row r="68" spans="5:58" ht="16.7" hidden="1" customHeight="1">
      <c r="E68" s="676">
        <v>17.100000000000001</v>
      </c>
      <c r="F68" s="779" cm="1">
        <f t="array" aca="1" ref="F68" ca="1">OFFSET(G68,-1,-1)</f>
        <v>0</v>
      </c>
      <c r="T68" s="687" t="b" cm="1">
        <f t="array" ref="T68">T67</f>
        <v>0</v>
      </c>
      <c r="X68" s="1726"/>
      <c r="Z68" s="1726"/>
      <c r="AB68" s="724" t="str">
        <f>AB67&amp;".1"</f>
        <v>7.1</v>
      </c>
      <c r="AC68" s="469" t="s">
        <v>638</v>
      </c>
      <c r="AD68" s="351" t="s">
        <v>634</v>
      </c>
      <c r="AE68" s="29">
        <f t="shared" ref="AE68:BB68" si="21">AE65+AE54</f>
        <v>0</v>
      </c>
      <c r="AF68" s="29">
        <f t="shared" si="21"/>
        <v>0</v>
      </c>
      <c r="AG68" s="29">
        <f t="shared" si="21"/>
        <v>0</v>
      </c>
      <c r="AH68" s="29">
        <f t="shared" si="21"/>
        <v>0</v>
      </c>
      <c r="AI68" s="246">
        <f t="shared" si="21"/>
        <v>0</v>
      </c>
      <c r="AJ68" s="246">
        <f t="shared" si="21"/>
        <v>0</v>
      </c>
      <c r="AK68" s="246">
        <f t="shared" si="21"/>
        <v>0</v>
      </c>
      <c r="AL68" s="246">
        <f t="shared" si="21"/>
        <v>0</v>
      </c>
      <c r="AM68" s="246">
        <f t="shared" si="21"/>
        <v>0</v>
      </c>
      <c r="AN68" s="29">
        <f t="shared" si="21"/>
        <v>0</v>
      </c>
      <c r="AO68" s="29">
        <f t="shared" si="21"/>
        <v>0</v>
      </c>
      <c r="AP68" s="29">
        <f t="shared" si="21"/>
        <v>0</v>
      </c>
      <c r="AQ68" s="29">
        <f t="shared" si="21"/>
        <v>0</v>
      </c>
      <c r="AR68" s="29">
        <f t="shared" si="21"/>
        <v>0</v>
      </c>
      <c r="AS68" s="246">
        <f t="shared" si="21"/>
        <v>0</v>
      </c>
      <c r="AT68" s="246">
        <f t="shared" si="21"/>
        <v>0</v>
      </c>
      <c r="AU68" s="246">
        <f t="shared" si="21"/>
        <v>0</v>
      </c>
      <c r="AV68" s="246">
        <f t="shared" si="21"/>
        <v>0</v>
      </c>
      <c r="AW68" s="246">
        <f t="shared" si="21"/>
        <v>0</v>
      </c>
      <c r="AX68" s="29">
        <f t="shared" si="21"/>
        <v>0</v>
      </c>
      <c r="AY68" s="29">
        <f t="shared" si="21"/>
        <v>0</v>
      </c>
      <c r="AZ68" s="29">
        <f t="shared" si="21"/>
        <v>0</v>
      </c>
      <c r="BA68" s="29">
        <f t="shared" si="21"/>
        <v>0</v>
      </c>
      <c r="BB68" s="29">
        <f t="shared" si="21"/>
        <v>0</v>
      </c>
      <c r="BC68" s="34"/>
      <c r="BF68" s="994" t="s">
        <v>692</v>
      </c>
    </row>
    <row r="69" spans="5:58" ht="16.7" hidden="1" customHeight="1">
      <c r="E69" s="676">
        <v>17.100000000000001</v>
      </c>
      <c r="F69" s="779" cm="1">
        <f t="array" aca="1" ref="F69" ca="1">OFFSET(G69,-1,-1)</f>
        <v>0</v>
      </c>
      <c r="T69" s="687" t="b" cm="1">
        <f t="array" ref="T69">T68</f>
        <v>0</v>
      </c>
      <c r="X69" s="1726"/>
      <c r="Z69" s="1726"/>
      <c r="AB69" s="724" t="str">
        <f>AB67&amp;".2"</f>
        <v>7.2</v>
      </c>
      <c r="AC69" s="469" t="s">
        <v>640</v>
      </c>
      <c r="AD69" s="351" t="s">
        <v>634</v>
      </c>
      <c r="AE69" s="29">
        <f t="shared" ref="AE69:BB69" si="22">AE66+AE55</f>
        <v>0</v>
      </c>
      <c r="AF69" s="29">
        <f t="shared" si="22"/>
        <v>0</v>
      </c>
      <c r="AG69" s="29">
        <f t="shared" si="22"/>
        <v>0</v>
      </c>
      <c r="AH69" s="29">
        <f t="shared" si="22"/>
        <v>0</v>
      </c>
      <c r="AI69" s="246">
        <f t="shared" si="22"/>
        <v>0</v>
      </c>
      <c r="AJ69" s="246">
        <f t="shared" si="22"/>
        <v>0</v>
      </c>
      <c r="AK69" s="246">
        <f t="shared" si="22"/>
        <v>0</v>
      </c>
      <c r="AL69" s="246">
        <f t="shared" si="22"/>
        <v>0</v>
      </c>
      <c r="AM69" s="246">
        <f t="shared" si="22"/>
        <v>0</v>
      </c>
      <c r="AN69" s="29">
        <f t="shared" si="22"/>
        <v>0</v>
      </c>
      <c r="AO69" s="29">
        <f t="shared" si="22"/>
        <v>0</v>
      </c>
      <c r="AP69" s="29">
        <f t="shared" si="22"/>
        <v>0</v>
      </c>
      <c r="AQ69" s="29">
        <f t="shared" si="22"/>
        <v>0</v>
      </c>
      <c r="AR69" s="29">
        <f t="shared" si="22"/>
        <v>0</v>
      </c>
      <c r="AS69" s="246">
        <f t="shared" si="22"/>
        <v>0</v>
      </c>
      <c r="AT69" s="246">
        <f t="shared" si="22"/>
        <v>0</v>
      </c>
      <c r="AU69" s="246">
        <f t="shared" si="22"/>
        <v>0</v>
      </c>
      <c r="AV69" s="246">
        <f t="shared" si="22"/>
        <v>0</v>
      </c>
      <c r="AW69" s="246">
        <f t="shared" si="22"/>
        <v>0</v>
      </c>
      <c r="AX69" s="29">
        <f t="shared" si="22"/>
        <v>0</v>
      </c>
      <c r="AY69" s="29">
        <f t="shared" si="22"/>
        <v>0</v>
      </c>
      <c r="AZ69" s="29">
        <f t="shared" si="22"/>
        <v>0</v>
      </c>
      <c r="BA69" s="29">
        <f t="shared" si="22"/>
        <v>0</v>
      </c>
      <c r="BB69" s="29">
        <f t="shared" si="22"/>
        <v>0</v>
      </c>
      <c r="BC69" s="34"/>
      <c r="BF69" s="994" t="s">
        <v>693</v>
      </c>
    </row>
    <row r="70" spans="5:58" ht="33.6" hidden="1" customHeight="1">
      <c r="E70" s="676">
        <v>34.5</v>
      </c>
      <c r="F70" s="779" cm="1">
        <f t="array" aca="1" ref="F70" ca="1">OFFSET(G70,-1,-1)</f>
        <v>0</v>
      </c>
      <c r="T70" s="687" t="b" cm="1">
        <f t="array" ref="T70">T69</f>
        <v>0</v>
      </c>
      <c r="X70" s="1726"/>
      <c r="Z70" s="1726"/>
      <c r="AB70" s="475" t="s">
        <v>454</v>
      </c>
      <c r="AC70" s="476" t="s">
        <v>694</v>
      </c>
      <c r="AD70" s="351" t="s">
        <v>634</v>
      </c>
      <c r="AE70" s="311">
        <f t="shared" ref="AE70:BB70" si="23">SUM(AE71,AE73)</f>
        <v>0</v>
      </c>
      <c r="AF70" s="311">
        <f t="shared" si="23"/>
        <v>0</v>
      </c>
      <c r="AG70" s="311">
        <f t="shared" si="23"/>
        <v>0</v>
      </c>
      <c r="AH70" s="311">
        <f t="shared" si="23"/>
        <v>0</v>
      </c>
      <c r="AI70" s="311">
        <f t="shared" si="23"/>
        <v>0</v>
      </c>
      <c r="AJ70" s="311">
        <f t="shared" si="23"/>
        <v>0</v>
      </c>
      <c r="AK70" s="311">
        <f t="shared" si="23"/>
        <v>0</v>
      </c>
      <c r="AL70" s="311">
        <f t="shared" si="23"/>
        <v>0</v>
      </c>
      <c r="AM70" s="311">
        <f t="shared" si="23"/>
        <v>0</v>
      </c>
      <c r="AN70" s="311">
        <f t="shared" si="23"/>
        <v>0</v>
      </c>
      <c r="AO70" s="311">
        <f t="shared" si="23"/>
        <v>0</v>
      </c>
      <c r="AP70" s="311">
        <f t="shared" si="23"/>
        <v>0</v>
      </c>
      <c r="AQ70" s="311">
        <f t="shared" si="23"/>
        <v>0</v>
      </c>
      <c r="AR70" s="311">
        <f t="shared" si="23"/>
        <v>0</v>
      </c>
      <c r="AS70" s="311">
        <f t="shared" si="23"/>
        <v>0</v>
      </c>
      <c r="AT70" s="311">
        <f t="shared" si="23"/>
        <v>0</v>
      </c>
      <c r="AU70" s="311">
        <f t="shared" si="23"/>
        <v>0</v>
      </c>
      <c r="AV70" s="311">
        <f t="shared" si="23"/>
        <v>0</v>
      </c>
      <c r="AW70" s="311">
        <f t="shared" si="23"/>
        <v>0</v>
      </c>
      <c r="AX70" s="311">
        <f t="shared" si="23"/>
        <v>0</v>
      </c>
      <c r="AY70" s="311">
        <f t="shared" si="23"/>
        <v>0</v>
      </c>
      <c r="AZ70" s="311">
        <f t="shared" si="23"/>
        <v>0</v>
      </c>
      <c r="BA70" s="311">
        <f t="shared" si="23"/>
        <v>0</v>
      </c>
      <c r="BB70" s="311">
        <f t="shared" si="23"/>
        <v>0</v>
      </c>
      <c r="BC70" s="34"/>
      <c r="BF70" s="994" t="s">
        <v>695</v>
      </c>
    </row>
    <row r="71" spans="5:58" ht="16.7" hidden="1" customHeight="1">
      <c r="E71" s="676">
        <v>17.100000000000001</v>
      </c>
      <c r="F71" s="779" cm="1">
        <f t="array" aca="1" ref="F71" ca="1">OFFSET(G71,-1,-1)</f>
        <v>0</v>
      </c>
      <c r="T71" s="687" t="b" cm="1">
        <f t="array" ref="T71">T70</f>
        <v>0</v>
      </c>
      <c r="X71" s="1726"/>
      <c r="Z71" s="1726"/>
      <c r="AB71" s="724" t="str">
        <f>AB70&amp;".1"</f>
        <v>8.1</v>
      </c>
      <c r="AC71" s="469" t="s">
        <v>638</v>
      </c>
      <c r="AD71" s="351" t="s">
        <v>634</v>
      </c>
      <c r="AE71" s="29"/>
      <c r="AF71" s="29"/>
      <c r="AG71" s="29"/>
      <c r="AH71" s="29"/>
      <c r="AI71" s="246"/>
      <c r="AJ71" s="246"/>
      <c r="AK71" s="246"/>
      <c r="AL71" s="246"/>
      <c r="AM71" s="246"/>
      <c r="AN71" s="29"/>
      <c r="AO71" s="29"/>
      <c r="AP71" s="29"/>
      <c r="AQ71" s="29"/>
      <c r="AR71" s="29"/>
      <c r="AS71" s="246"/>
      <c r="AT71" s="246"/>
      <c r="AU71" s="246"/>
      <c r="AV71" s="246"/>
      <c r="AW71" s="246"/>
      <c r="AX71" s="29"/>
      <c r="AY71" s="29"/>
      <c r="AZ71" s="29"/>
      <c r="BA71" s="29"/>
      <c r="BB71" s="29"/>
      <c r="BC71" s="34"/>
      <c r="BF71" s="994" t="s">
        <v>696</v>
      </c>
    </row>
    <row r="72" spans="5:58" ht="16.7" hidden="1" customHeight="1">
      <c r="E72" s="676">
        <v>17.100000000000001</v>
      </c>
      <c r="F72" s="779" cm="1">
        <f t="array" aca="1" ref="F72" ca="1">OFFSET(G72,-1,-1)</f>
        <v>0</v>
      </c>
      <c r="T72" s="687" t="b" cm="1">
        <f t="array" ref="T72">T71</f>
        <v>0</v>
      </c>
      <c r="X72" s="1726"/>
      <c r="Z72" s="1726"/>
      <c r="AB72" s="724" t="str">
        <f>AB71&amp;".1"</f>
        <v>8.1.1</v>
      </c>
      <c r="AC72" s="571" t="s">
        <v>697</v>
      </c>
      <c r="AD72" s="351" t="s">
        <v>533</v>
      </c>
      <c r="AE72" s="876">
        <f t="shared" ref="AE72:BB72" si="24">IFERROR(AE71/AE68,0)</f>
        <v>0</v>
      </c>
      <c r="AF72" s="876">
        <f t="shared" si="24"/>
        <v>0</v>
      </c>
      <c r="AG72" s="876">
        <f t="shared" si="24"/>
        <v>0</v>
      </c>
      <c r="AH72" s="876">
        <f t="shared" si="24"/>
        <v>0</v>
      </c>
      <c r="AI72" s="876">
        <f t="shared" si="24"/>
        <v>0</v>
      </c>
      <c r="AJ72" s="876">
        <f t="shared" si="24"/>
        <v>0</v>
      </c>
      <c r="AK72" s="876">
        <f t="shared" si="24"/>
        <v>0</v>
      </c>
      <c r="AL72" s="876">
        <f t="shared" si="24"/>
        <v>0</v>
      </c>
      <c r="AM72" s="876">
        <f t="shared" si="24"/>
        <v>0</v>
      </c>
      <c r="AN72" s="876">
        <f t="shared" si="24"/>
        <v>0</v>
      </c>
      <c r="AO72" s="876">
        <f t="shared" si="24"/>
        <v>0</v>
      </c>
      <c r="AP72" s="876">
        <f t="shared" si="24"/>
        <v>0</v>
      </c>
      <c r="AQ72" s="876">
        <f t="shared" si="24"/>
        <v>0</v>
      </c>
      <c r="AR72" s="876">
        <f t="shared" si="24"/>
        <v>0</v>
      </c>
      <c r="AS72" s="876">
        <f t="shared" si="24"/>
        <v>0</v>
      </c>
      <c r="AT72" s="876">
        <f t="shared" si="24"/>
        <v>0</v>
      </c>
      <c r="AU72" s="876">
        <f t="shared" si="24"/>
        <v>0</v>
      </c>
      <c r="AV72" s="876">
        <f t="shared" si="24"/>
        <v>0</v>
      </c>
      <c r="AW72" s="876">
        <f t="shared" si="24"/>
        <v>0</v>
      </c>
      <c r="AX72" s="876">
        <f t="shared" si="24"/>
        <v>0</v>
      </c>
      <c r="AY72" s="876">
        <f t="shared" si="24"/>
        <v>0</v>
      </c>
      <c r="AZ72" s="876">
        <f t="shared" si="24"/>
        <v>0</v>
      </c>
      <c r="BA72" s="876">
        <f t="shared" si="24"/>
        <v>0</v>
      </c>
      <c r="BB72" s="876">
        <f t="shared" si="24"/>
        <v>0</v>
      </c>
      <c r="BC72" s="34"/>
      <c r="BF72" s="994" t="s">
        <v>698</v>
      </c>
    </row>
    <row r="73" spans="5:58" ht="16.7" hidden="1" customHeight="1">
      <c r="E73" s="676">
        <v>17.100000000000001</v>
      </c>
      <c r="F73" s="779" cm="1">
        <f t="array" aca="1" ref="F73" ca="1">OFFSET(G73,-1,-1)</f>
        <v>0</v>
      </c>
      <c r="T73" s="687" t="b" cm="1">
        <f t="array" ref="T73">T72</f>
        <v>0</v>
      </c>
      <c r="X73" s="1726"/>
      <c r="Z73" s="1726"/>
      <c r="AB73" s="724" t="str">
        <f>AB70&amp;".2"</f>
        <v>8.2</v>
      </c>
      <c r="AC73" s="469" t="s">
        <v>640</v>
      </c>
      <c r="AD73" s="351" t="s">
        <v>634</v>
      </c>
      <c r="AE73" s="29"/>
      <c r="AF73" s="29"/>
      <c r="AG73" s="29"/>
      <c r="AH73" s="29"/>
      <c r="AI73" s="246"/>
      <c r="AJ73" s="246"/>
      <c r="AK73" s="246"/>
      <c r="AL73" s="246"/>
      <c r="AM73" s="246"/>
      <c r="AN73" s="29"/>
      <c r="AO73" s="29"/>
      <c r="AP73" s="29"/>
      <c r="AQ73" s="29"/>
      <c r="AR73" s="29"/>
      <c r="AS73" s="246"/>
      <c r="AT73" s="246"/>
      <c r="AU73" s="246"/>
      <c r="AV73" s="246"/>
      <c r="AW73" s="246"/>
      <c r="AX73" s="29"/>
      <c r="AY73" s="29"/>
      <c r="AZ73" s="29"/>
      <c r="BA73" s="29"/>
      <c r="BB73" s="29"/>
      <c r="BC73" s="34"/>
      <c r="BF73" s="994" t="s">
        <v>699</v>
      </c>
    </row>
    <row r="74" spans="5:58" ht="16.7" hidden="1" customHeight="1">
      <c r="E74" s="676">
        <v>17.100000000000001</v>
      </c>
      <c r="F74" s="779" cm="1">
        <f t="array" aca="1" ref="F74" ca="1">OFFSET(G74,-1,-1)</f>
        <v>0</v>
      </c>
      <c r="T74" s="687" t="b" cm="1">
        <f t="array" ref="T74">T73</f>
        <v>0</v>
      </c>
      <c r="X74" s="1726"/>
      <c r="Z74" s="1726"/>
      <c r="AB74" s="724" t="str">
        <f>AB73&amp;".1"</f>
        <v>8.2.1</v>
      </c>
      <c r="AC74" s="571" t="s">
        <v>697</v>
      </c>
      <c r="AD74" s="121" t="s">
        <v>533</v>
      </c>
      <c r="AE74" s="913">
        <f t="shared" ref="AE74:BB74" si="25">IFERROR(AE73/AE69,0)</f>
        <v>0</v>
      </c>
      <c r="AF74" s="913">
        <f t="shared" si="25"/>
        <v>0</v>
      </c>
      <c r="AG74" s="913">
        <f t="shared" si="25"/>
        <v>0</v>
      </c>
      <c r="AH74" s="913">
        <f t="shared" si="25"/>
        <v>0</v>
      </c>
      <c r="AI74" s="913">
        <f t="shared" si="25"/>
        <v>0</v>
      </c>
      <c r="AJ74" s="913">
        <f t="shared" si="25"/>
        <v>0</v>
      </c>
      <c r="AK74" s="913">
        <f t="shared" si="25"/>
        <v>0</v>
      </c>
      <c r="AL74" s="913">
        <f t="shared" si="25"/>
        <v>0</v>
      </c>
      <c r="AM74" s="913">
        <f t="shared" si="25"/>
        <v>0</v>
      </c>
      <c r="AN74" s="913">
        <f t="shared" si="25"/>
        <v>0</v>
      </c>
      <c r="AO74" s="913">
        <f t="shared" si="25"/>
        <v>0</v>
      </c>
      <c r="AP74" s="913">
        <f t="shared" si="25"/>
        <v>0</v>
      </c>
      <c r="AQ74" s="913">
        <f t="shared" si="25"/>
        <v>0</v>
      </c>
      <c r="AR74" s="913">
        <f t="shared" si="25"/>
        <v>0</v>
      </c>
      <c r="AS74" s="913">
        <f t="shared" si="25"/>
        <v>0</v>
      </c>
      <c r="AT74" s="913">
        <f t="shared" si="25"/>
        <v>0</v>
      </c>
      <c r="AU74" s="913">
        <f t="shared" si="25"/>
        <v>0</v>
      </c>
      <c r="AV74" s="913">
        <f t="shared" si="25"/>
        <v>0</v>
      </c>
      <c r="AW74" s="913">
        <f t="shared" si="25"/>
        <v>0</v>
      </c>
      <c r="AX74" s="913">
        <f t="shared" si="25"/>
        <v>0</v>
      </c>
      <c r="AY74" s="913">
        <f t="shared" si="25"/>
        <v>0</v>
      </c>
      <c r="AZ74" s="913">
        <f t="shared" si="25"/>
        <v>0</v>
      </c>
      <c r="BA74" s="913">
        <f t="shared" si="25"/>
        <v>0</v>
      </c>
      <c r="BB74" s="913">
        <f t="shared" si="25"/>
        <v>0</v>
      </c>
      <c r="BC74" s="35"/>
      <c r="BF74" s="994" t="s">
        <v>700</v>
      </c>
    </row>
    <row r="75" spans="5:58" ht="16.7" hidden="1" customHeight="1">
      <c r="E75" s="676">
        <v>17.100000000000001</v>
      </c>
      <c r="F75" s="779" cm="1">
        <f t="array" aca="1" ref="F75" ca="1">OFFSET(G75,-1,-1)</f>
        <v>0</v>
      </c>
      <c r="T75" s="687" t="b" cm="1">
        <f t="array" ref="T75">T74</f>
        <v>0</v>
      </c>
      <c r="X75" s="1726"/>
      <c r="Z75" s="1726"/>
      <c r="AB75" s="414" t="s">
        <v>457</v>
      </c>
      <c r="AC75" s="413" t="s">
        <v>701</v>
      </c>
      <c r="AD75" s="121" t="s">
        <v>634</v>
      </c>
      <c r="AE75" s="448">
        <f t="shared" ref="AE75:BB75" si="26">AE67-AE70</f>
        <v>0</v>
      </c>
      <c r="AF75" s="448">
        <f t="shared" si="26"/>
        <v>0</v>
      </c>
      <c r="AG75" s="448">
        <f t="shared" si="26"/>
        <v>0</v>
      </c>
      <c r="AH75" s="448">
        <f t="shared" si="26"/>
        <v>0</v>
      </c>
      <c r="AI75" s="448">
        <f t="shared" si="26"/>
        <v>0</v>
      </c>
      <c r="AJ75" s="448">
        <f t="shared" si="26"/>
        <v>0</v>
      </c>
      <c r="AK75" s="448">
        <f t="shared" si="26"/>
        <v>0</v>
      </c>
      <c r="AL75" s="448">
        <f t="shared" si="26"/>
        <v>0</v>
      </c>
      <c r="AM75" s="448">
        <f t="shared" si="26"/>
        <v>0</v>
      </c>
      <c r="AN75" s="448">
        <f t="shared" si="26"/>
        <v>0</v>
      </c>
      <c r="AO75" s="448">
        <f t="shared" si="26"/>
        <v>0</v>
      </c>
      <c r="AP75" s="448">
        <f t="shared" si="26"/>
        <v>0</v>
      </c>
      <c r="AQ75" s="448">
        <f t="shared" si="26"/>
        <v>0</v>
      </c>
      <c r="AR75" s="448">
        <f t="shared" si="26"/>
        <v>0</v>
      </c>
      <c r="AS75" s="448">
        <f t="shared" si="26"/>
        <v>0</v>
      </c>
      <c r="AT75" s="448">
        <f t="shared" si="26"/>
        <v>0</v>
      </c>
      <c r="AU75" s="448">
        <f t="shared" si="26"/>
        <v>0</v>
      </c>
      <c r="AV75" s="448">
        <f t="shared" si="26"/>
        <v>0</v>
      </c>
      <c r="AW75" s="448">
        <f t="shared" si="26"/>
        <v>0</v>
      </c>
      <c r="AX75" s="448">
        <f t="shared" si="26"/>
        <v>0</v>
      </c>
      <c r="AY75" s="448">
        <f t="shared" si="26"/>
        <v>0</v>
      </c>
      <c r="AZ75" s="448">
        <f t="shared" si="26"/>
        <v>0</v>
      </c>
      <c r="BA75" s="448">
        <f t="shared" si="26"/>
        <v>0</v>
      </c>
      <c r="BB75" s="448">
        <f t="shared" si="26"/>
        <v>0</v>
      </c>
      <c r="BC75" s="28"/>
      <c r="BF75" s="994" t="s">
        <v>702</v>
      </c>
    </row>
    <row r="76" spans="5:58" ht="16.7" hidden="1" customHeight="1">
      <c r="E76" s="676">
        <v>17.100000000000001</v>
      </c>
      <c r="F76" s="779" cm="1">
        <f t="array" aca="1" ref="F76" ca="1">OFFSET(G76,-1,-1)</f>
        <v>0</v>
      </c>
      <c r="T76" s="687" t="b" cm="1">
        <f t="array" ref="T76">T75</f>
        <v>0</v>
      </c>
      <c r="X76" s="1726"/>
      <c r="Z76" s="1726"/>
      <c r="AB76" s="724" t="str">
        <f>AB75&amp;".1"</f>
        <v>9.1</v>
      </c>
      <c r="AC76" s="469" t="s">
        <v>638</v>
      </c>
      <c r="AD76" s="121" t="s">
        <v>634</v>
      </c>
      <c r="AE76" s="32">
        <f t="shared" ref="AE76:BB76" si="27">AE68-AE71</f>
        <v>0</v>
      </c>
      <c r="AF76" s="32">
        <f t="shared" si="27"/>
        <v>0</v>
      </c>
      <c r="AG76" s="32">
        <f t="shared" si="27"/>
        <v>0</v>
      </c>
      <c r="AH76" s="32">
        <f t="shared" si="27"/>
        <v>0</v>
      </c>
      <c r="AI76" s="416">
        <f t="shared" si="27"/>
        <v>0</v>
      </c>
      <c r="AJ76" s="416">
        <f t="shared" si="27"/>
        <v>0</v>
      </c>
      <c r="AK76" s="416">
        <f t="shared" si="27"/>
        <v>0</v>
      </c>
      <c r="AL76" s="416">
        <f t="shared" si="27"/>
        <v>0</v>
      </c>
      <c r="AM76" s="416">
        <f t="shared" si="27"/>
        <v>0</v>
      </c>
      <c r="AN76" s="32">
        <f t="shared" si="27"/>
        <v>0</v>
      </c>
      <c r="AO76" s="32">
        <f t="shared" si="27"/>
        <v>0</v>
      </c>
      <c r="AP76" s="32">
        <f t="shared" si="27"/>
        <v>0</v>
      </c>
      <c r="AQ76" s="32">
        <f t="shared" si="27"/>
        <v>0</v>
      </c>
      <c r="AR76" s="32">
        <f t="shared" si="27"/>
        <v>0</v>
      </c>
      <c r="AS76" s="416">
        <f t="shared" si="27"/>
        <v>0</v>
      </c>
      <c r="AT76" s="416">
        <f t="shared" si="27"/>
        <v>0</v>
      </c>
      <c r="AU76" s="416">
        <f t="shared" si="27"/>
        <v>0</v>
      </c>
      <c r="AV76" s="416">
        <f t="shared" si="27"/>
        <v>0</v>
      </c>
      <c r="AW76" s="416">
        <f t="shared" si="27"/>
        <v>0</v>
      </c>
      <c r="AX76" s="32">
        <f t="shared" si="27"/>
        <v>0</v>
      </c>
      <c r="AY76" s="32">
        <f t="shared" si="27"/>
        <v>0</v>
      </c>
      <c r="AZ76" s="32">
        <f t="shared" si="27"/>
        <v>0</v>
      </c>
      <c r="BA76" s="32">
        <f t="shared" si="27"/>
        <v>0</v>
      </c>
      <c r="BB76" s="32">
        <f t="shared" si="27"/>
        <v>0</v>
      </c>
      <c r="BC76" s="28"/>
      <c r="BF76" s="994" t="s">
        <v>703</v>
      </c>
    </row>
    <row r="77" spans="5:58" ht="16.7" hidden="1" customHeight="1">
      <c r="E77" s="676">
        <v>17.100000000000001</v>
      </c>
      <c r="F77" s="779" cm="1">
        <f t="array" aca="1" ref="F77" ca="1">OFFSET(G77,-1,-1)</f>
        <v>0</v>
      </c>
      <c r="T77" s="687" t="b" cm="1">
        <f t="array" ref="T77">T76</f>
        <v>0</v>
      </c>
      <c r="X77" s="1726"/>
      <c r="Z77" s="1726"/>
      <c r="AB77" s="724" t="str">
        <f>AB76&amp;".1"</f>
        <v>9.1.1</v>
      </c>
      <c r="AC77" s="572" t="s">
        <v>675</v>
      </c>
      <c r="AD77" s="121" t="s">
        <v>634</v>
      </c>
      <c r="AE77" s="32"/>
      <c r="AF77" s="32"/>
      <c r="AG77" s="32"/>
      <c r="AH77" s="32"/>
      <c r="AI77" s="416"/>
      <c r="AJ77" s="416"/>
      <c r="AK77" s="416"/>
      <c r="AL77" s="416"/>
      <c r="AM77" s="416"/>
      <c r="AN77" s="32"/>
      <c r="AO77" s="32"/>
      <c r="AP77" s="32"/>
      <c r="AQ77" s="32"/>
      <c r="AR77" s="32"/>
      <c r="AS77" s="416"/>
      <c r="AT77" s="416"/>
      <c r="AU77" s="416"/>
      <c r="AV77" s="416"/>
      <c r="AW77" s="416"/>
      <c r="AX77" s="32"/>
      <c r="AY77" s="32"/>
      <c r="AZ77" s="32"/>
      <c r="BA77" s="32"/>
      <c r="BB77" s="32"/>
      <c r="BC77" s="28"/>
      <c r="BF77" s="994" t="s">
        <v>704</v>
      </c>
    </row>
    <row r="78" spans="5:58" ht="16.7" hidden="1" customHeight="1">
      <c r="E78" s="676">
        <v>17.100000000000001</v>
      </c>
      <c r="F78" s="779" cm="1">
        <f t="array" aca="1" ref="F78" ca="1">OFFSET(G78,-1,-1)</f>
        <v>0</v>
      </c>
      <c r="T78" s="687" t="b" cm="1">
        <f t="array" ref="T78">T77</f>
        <v>0</v>
      </c>
      <c r="X78" s="1726"/>
      <c r="Z78" s="1726"/>
      <c r="AB78" s="724" t="str">
        <f>AB76&amp;".2"</f>
        <v>9.1.2</v>
      </c>
      <c r="AC78" s="573" t="s">
        <v>677</v>
      </c>
      <c r="AD78" s="121" t="s">
        <v>634</v>
      </c>
      <c r="AE78" s="36">
        <f t="shared" ref="AE78:BB78" si="28">AE79+AE80+AE81+AE82</f>
        <v>0</v>
      </c>
      <c r="AF78" s="36">
        <f t="shared" si="28"/>
        <v>0</v>
      </c>
      <c r="AG78" s="36">
        <f t="shared" si="28"/>
        <v>0</v>
      </c>
      <c r="AH78" s="36">
        <f t="shared" si="28"/>
        <v>0</v>
      </c>
      <c r="AI78" s="933">
        <f t="shared" si="28"/>
        <v>0</v>
      </c>
      <c r="AJ78" s="933">
        <f t="shared" si="28"/>
        <v>0</v>
      </c>
      <c r="AK78" s="933">
        <f t="shared" si="28"/>
        <v>0</v>
      </c>
      <c r="AL78" s="933">
        <f t="shared" si="28"/>
        <v>0</v>
      </c>
      <c r="AM78" s="933">
        <f t="shared" si="28"/>
        <v>0</v>
      </c>
      <c r="AN78" s="36">
        <f t="shared" si="28"/>
        <v>0</v>
      </c>
      <c r="AO78" s="36">
        <f t="shared" si="28"/>
        <v>0</v>
      </c>
      <c r="AP78" s="36">
        <f t="shared" si="28"/>
        <v>0</v>
      </c>
      <c r="AQ78" s="36">
        <f t="shared" si="28"/>
        <v>0</v>
      </c>
      <c r="AR78" s="36">
        <f t="shared" si="28"/>
        <v>0</v>
      </c>
      <c r="AS78" s="933">
        <f t="shared" si="28"/>
        <v>0</v>
      </c>
      <c r="AT78" s="933">
        <f t="shared" si="28"/>
        <v>0</v>
      </c>
      <c r="AU78" s="933">
        <f t="shared" si="28"/>
        <v>0</v>
      </c>
      <c r="AV78" s="933">
        <f t="shared" si="28"/>
        <v>0</v>
      </c>
      <c r="AW78" s="933">
        <f t="shared" si="28"/>
        <v>0</v>
      </c>
      <c r="AX78" s="36">
        <f t="shared" si="28"/>
        <v>0</v>
      </c>
      <c r="AY78" s="36">
        <f t="shared" si="28"/>
        <v>0</v>
      </c>
      <c r="AZ78" s="36">
        <f t="shared" si="28"/>
        <v>0</v>
      </c>
      <c r="BA78" s="36">
        <f t="shared" si="28"/>
        <v>0</v>
      </c>
      <c r="BB78" s="36">
        <f t="shared" si="28"/>
        <v>0</v>
      </c>
      <c r="BC78" s="28"/>
      <c r="BF78" s="994" t="s">
        <v>705</v>
      </c>
    </row>
    <row r="79" spans="5:58" ht="16.7" hidden="1" customHeight="1">
      <c r="E79" s="676">
        <v>17.100000000000001</v>
      </c>
      <c r="F79" s="779" cm="1">
        <f t="array" aca="1" ref="F79" ca="1">OFFSET(G79,-1,-1)</f>
        <v>0</v>
      </c>
      <c r="T79" s="687" t="b" cm="1">
        <f t="array" ref="T79">T78</f>
        <v>0</v>
      </c>
      <c r="X79" s="1726"/>
      <c r="Z79" s="1726"/>
      <c r="AB79" s="724" t="str">
        <f>AB78&amp;".1"</f>
        <v>9.1.2.1</v>
      </c>
      <c r="AC79" s="574" t="s">
        <v>679</v>
      </c>
      <c r="AD79" s="351" t="s">
        <v>634</v>
      </c>
      <c r="AE79" s="37"/>
      <c r="AF79" s="37"/>
      <c r="AG79" s="37"/>
      <c r="AH79" s="37"/>
      <c r="AI79" s="472"/>
      <c r="AJ79" s="472"/>
      <c r="AK79" s="472"/>
      <c r="AL79" s="472"/>
      <c r="AM79" s="472"/>
      <c r="AN79" s="37"/>
      <c r="AO79" s="37"/>
      <c r="AP79" s="37"/>
      <c r="AQ79" s="37"/>
      <c r="AR79" s="37"/>
      <c r="AS79" s="472"/>
      <c r="AT79" s="472"/>
      <c r="AU79" s="472"/>
      <c r="AV79" s="472"/>
      <c r="AW79" s="472"/>
      <c r="AX79" s="37"/>
      <c r="AY79" s="37"/>
      <c r="AZ79" s="37"/>
      <c r="BA79" s="37"/>
      <c r="BB79" s="37"/>
      <c r="BC79" s="28"/>
      <c r="BF79" s="994" t="s">
        <v>706</v>
      </c>
    </row>
    <row r="80" spans="5:58" ht="16.7" hidden="1" customHeight="1">
      <c r="E80" s="676">
        <v>17.100000000000001</v>
      </c>
      <c r="F80" s="779" cm="1">
        <f t="array" aca="1" ref="F80" ca="1">OFFSET(G80,-1,-1)</f>
        <v>0</v>
      </c>
      <c r="T80" s="687" t="b" cm="1">
        <f t="array" ref="T80">T79</f>
        <v>0</v>
      </c>
      <c r="X80" s="1726"/>
      <c r="Z80" s="1726"/>
      <c r="AB80" s="724" t="str">
        <f>AB78&amp;".2"</f>
        <v>9.1.2.2</v>
      </c>
      <c r="AC80" s="575" t="s">
        <v>681</v>
      </c>
      <c r="AD80" s="121" t="s">
        <v>634</v>
      </c>
      <c r="AE80" s="32"/>
      <c r="AF80" s="32"/>
      <c r="AG80" s="32"/>
      <c r="AH80" s="32"/>
      <c r="AI80" s="416"/>
      <c r="AJ80" s="416"/>
      <c r="AK80" s="416"/>
      <c r="AL80" s="416"/>
      <c r="AM80" s="416"/>
      <c r="AN80" s="32"/>
      <c r="AO80" s="32"/>
      <c r="AP80" s="32"/>
      <c r="AQ80" s="32"/>
      <c r="AR80" s="32"/>
      <c r="AS80" s="416"/>
      <c r="AT80" s="416"/>
      <c r="AU80" s="416"/>
      <c r="AV80" s="416"/>
      <c r="AW80" s="416"/>
      <c r="AX80" s="32"/>
      <c r="AY80" s="32"/>
      <c r="AZ80" s="32"/>
      <c r="BA80" s="32"/>
      <c r="BB80" s="32"/>
      <c r="BC80" s="28"/>
      <c r="BF80" s="994" t="s">
        <v>707</v>
      </c>
    </row>
    <row r="81" spans="1:58" ht="16.7" hidden="1" customHeight="1">
      <c r="E81" s="676">
        <v>17.100000000000001</v>
      </c>
      <c r="F81" s="779" cm="1">
        <f t="array" aca="1" ref="F81" ca="1">OFFSET(G81,-1,-1)</f>
        <v>0</v>
      </c>
      <c r="T81" s="687" t="b" cm="1">
        <f t="array" ref="T81">T80</f>
        <v>0</v>
      </c>
      <c r="X81" s="1726"/>
      <c r="Z81" s="1726"/>
      <c r="AB81" s="724" t="str">
        <f>AB78&amp;".3"</f>
        <v>9.1.2.3</v>
      </c>
      <c r="AC81" s="575" t="s">
        <v>683</v>
      </c>
      <c r="AD81" s="121" t="s">
        <v>634</v>
      </c>
      <c r="AE81" s="33"/>
      <c r="AF81" s="33"/>
      <c r="AG81" s="33"/>
      <c r="AH81" s="33"/>
      <c r="AI81" s="474"/>
      <c r="AJ81" s="474"/>
      <c r="AK81" s="474"/>
      <c r="AL81" s="474"/>
      <c r="AM81" s="474"/>
      <c r="AN81" s="33"/>
      <c r="AO81" s="33"/>
      <c r="AP81" s="33"/>
      <c r="AQ81" s="33"/>
      <c r="AR81" s="33"/>
      <c r="AS81" s="474"/>
      <c r="AT81" s="474"/>
      <c r="AU81" s="474"/>
      <c r="AV81" s="474"/>
      <c r="AW81" s="474"/>
      <c r="AX81" s="33"/>
      <c r="AY81" s="33"/>
      <c r="AZ81" s="33"/>
      <c r="BA81" s="33"/>
      <c r="BB81" s="33"/>
      <c r="BC81" s="28"/>
      <c r="BF81" s="994" t="s">
        <v>708</v>
      </c>
    </row>
    <row r="82" spans="1:58" ht="16.7" hidden="1" customHeight="1">
      <c r="E82" s="676">
        <v>17.100000000000001</v>
      </c>
      <c r="F82" s="779" cm="1">
        <f t="array" aca="1" ref="F82" ca="1">OFFSET(G82,-1,-1)</f>
        <v>0</v>
      </c>
      <c r="T82" s="687" t="b" cm="1">
        <f t="array" ref="T82">T81</f>
        <v>0</v>
      </c>
      <c r="X82" s="1726"/>
      <c r="Z82" s="1726"/>
      <c r="AB82" s="724" t="str">
        <f>AB78&amp;".4"</f>
        <v>9.1.2.4</v>
      </c>
      <c r="AC82" s="575" t="s">
        <v>685</v>
      </c>
      <c r="AD82" s="351" t="s">
        <v>634</v>
      </c>
      <c r="AE82" s="29"/>
      <c r="AF82" s="31"/>
      <c r="AG82" s="29"/>
      <c r="AH82" s="29"/>
      <c r="AI82" s="246"/>
      <c r="AJ82" s="246"/>
      <c r="AK82" s="246"/>
      <c r="AL82" s="246"/>
      <c r="AM82" s="246"/>
      <c r="AN82" s="29"/>
      <c r="AO82" s="29"/>
      <c r="AP82" s="29"/>
      <c r="AQ82" s="29"/>
      <c r="AR82" s="29"/>
      <c r="AS82" s="246"/>
      <c r="AT82" s="246"/>
      <c r="AU82" s="246"/>
      <c r="AV82" s="246"/>
      <c r="AW82" s="246"/>
      <c r="AX82" s="29"/>
      <c r="AY82" s="29"/>
      <c r="AZ82" s="29"/>
      <c r="BA82" s="29"/>
      <c r="BB82" s="29"/>
      <c r="BC82" s="28"/>
      <c r="BF82" s="994" t="s">
        <v>709</v>
      </c>
    </row>
    <row r="83" spans="1:58" ht="16.7" hidden="1" customHeight="1">
      <c r="E83" s="676">
        <v>17.100000000000001</v>
      </c>
      <c r="F83" s="779" cm="1">
        <f t="array" aca="1" ref="F83" ca="1">OFFSET(G83,-1,-1)</f>
        <v>0</v>
      </c>
      <c r="T83" s="687" t="b" cm="1">
        <f t="array" ref="T83">T82</f>
        <v>0</v>
      </c>
      <c r="X83" s="1726"/>
      <c r="Z83" s="1726"/>
      <c r="AB83" s="724" t="str">
        <f>AB75&amp;".2"</f>
        <v>9.2</v>
      </c>
      <c r="AC83" s="469" t="s">
        <v>640</v>
      </c>
      <c r="AD83" s="351" t="s">
        <v>634</v>
      </c>
      <c r="AE83" s="29">
        <f t="shared" ref="AE83:BB83" si="29">AE69-AE73</f>
        <v>0</v>
      </c>
      <c r="AF83" s="29">
        <f t="shared" si="29"/>
        <v>0</v>
      </c>
      <c r="AG83" s="29">
        <f t="shared" si="29"/>
        <v>0</v>
      </c>
      <c r="AH83" s="29">
        <f t="shared" si="29"/>
        <v>0</v>
      </c>
      <c r="AI83" s="246">
        <f t="shared" si="29"/>
        <v>0</v>
      </c>
      <c r="AJ83" s="246">
        <f t="shared" si="29"/>
        <v>0</v>
      </c>
      <c r="AK83" s="246">
        <f t="shared" si="29"/>
        <v>0</v>
      </c>
      <c r="AL83" s="246">
        <f t="shared" si="29"/>
        <v>0</v>
      </c>
      <c r="AM83" s="246">
        <f t="shared" si="29"/>
        <v>0</v>
      </c>
      <c r="AN83" s="29">
        <f t="shared" si="29"/>
        <v>0</v>
      </c>
      <c r="AO83" s="29">
        <f t="shared" si="29"/>
        <v>0</v>
      </c>
      <c r="AP83" s="29">
        <f t="shared" si="29"/>
        <v>0</v>
      </c>
      <c r="AQ83" s="29">
        <f t="shared" si="29"/>
        <v>0</v>
      </c>
      <c r="AR83" s="29">
        <f t="shared" si="29"/>
        <v>0</v>
      </c>
      <c r="AS83" s="246">
        <f t="shared" si="29"/>
        <v>0</v>
      </c>
      <c r="AT83" s="246">
        <f t="shared" si="29"/>
        <v>0</v>
      </c>
      <c r="AU83" s="246">
        <f t="shared" si="29"/>
        <v>0</v>
      </c>
      <c r="AV83" s="246">
        <f t="shared" si="29"/>
        <v>0</v>
      </c>
      <c r="AW83" s="246">
        <f t="shared" si="29"/>
        <v>0</v>
      </c>
      <c r="AX83" s="29">
        <f t="shared" si="29"/>
        <v>0</v>
      </c>
      <c r="AY83" s="29">
        <f t="shared" si="29"/>
        <v>0</v>
      </c>
      <c r="AZ83" s="29">
        <f t="shared" si="29"/>
        <v>0</v>
      </c>
      <c r="BA83" s="29">
        <f t="shared" si="29"/>
        <v>0</v>
      </c>
      <c r="BB83" s="29">
        <f t="shared" si="29"/>
        <v>0</v>
      </c>
      <c r="BC83" s="28"/>
      <c r="BF83" s="994" t="s">
        <v>710</v>
      </c>
    </row>
    <row r="84" spans="1:58" ht="16.7" hidden="1" customHeight="1">
      <c r="E84" s="676">
        <v>17.100000000000001</v>
      </c>
      <c r="F84" s="779" cm="1">
        <f t="array" aca="1" ref="F84" ca="1">OFFSET(G84,-1,-1)</f>
        <v>0</v>
      </c>
      <c r="T84" s="687" t="b" cm="1">
        <f t="array" ref="T84">T83</f>
        <v>0</v>
      </c>
      <c r="X84" s="1726"/>
      <c r="Z84" s="1726"/>
      <c r="AB84" s="418" t="s">
        <v>711</v>
      </c>
      <c r="AC84" s="572" t="s">
        <v>675</v>
      </c>
      <c r="AD84" s="351" t="s">
        <v>634</v>
      </c>
      <c r="AE84" s="29"/>
      <c r="AF84" s="29"/>
      <c r="AG84" s="29"/>
      <c r="AH84" s="29"/>
      <c r="AI84" s="246"/>
      <c r="AJ84" s="246"/>
      <c r="AK84" s="246"/>
      <c r="AL84" s="246"/>
      <c r="AM84" s="246"/>
      <c r="AN84" s="29"/>
      <c r="AO84" s="29"/>
      <c r="AP84" s="29"/>
      <c r="AQ84" s="29"/>
      <c r="AR84" s="29"/>
      <c r="AS84" s="246"/>
      <c r="AT84" s="246"/>
      <c r="AU84" s="246"/>
      <c r="AV84" s="246"/>
      <c r="AW84" s="246"/>
      <c r="AX84" s="29"/>
      <c r="AY84" s="29"/>
      <c r="AZ84" s="29"/>
      <c r="BA84" s="29"/>
      <c r="BB84" s="29"/>
      <c r="BC84" s="28"/>
      <c r="BF84" s="994" t="s">
        <v>712</v>
      </c>
    </row>
    <row r="85" spans="1:58" ht="16.7" hidden="1" customHeight="1">
      <c r="E85" s="676">
        <v>17.100000000000001</v>
      </c>
      <c r="F85" s="779" cm="1">
        <f t="array" aca="1" ref="F85" ca="1">OFFSET(G85,-1,-1)</f>
        <v>0</v>
      </c>
      <c r="T85" s="687" t="b" cm="1">
        <f t="array" ref="T85">T84</f>
        <v>0</v>
      </c>
      <c r="X85" s="1726"/>
      <c r="Z85" s="1726"/>
      <c r="AB85" s="419" t="s">
        <v>713</v>
      </c>
      <c r="AC85" s="573" t="s">
        <v>677</v>
      </c>
      <c r="AD85" s="121" t="s">
        <v>634</v>
      </c>
      <c r="AE85" s="577">
        <f t="shared" ref="AE85:BB85" si="30">SUM(AE86:AE89)</f>
        <v>0</v>
      </c>
      <c r="AF85" s="577">
        <f t="shared" si="30"/>
        <v>0</v>
      </c>
      <c r="AG85" s="577">
        <f t="shared" si="30"/>
        <v>0</v>
      </c>
      <c r="AH85" s="577">
        <f t="shared" si="30"/>
        <v>0</v>
      </c>
      <c r="AI85" s="577">
        <f t="shared" si="30"/>
        <v>0</v>
      </c>
      <c r="AJ85" s="577">
        <f t="shared" si="30"/>
        <v>0</v>
      </c>
      <c r="AK85" s="577">
        <f t="shared" si="30"/>
        <v>0</v>
      </c>
      <c r="AL85" s="577">
        <f t="shared" si="30"/>
        <v>0</v>
      </c>
      <c r="AM85" s="577">
        <f t="shared" si="30"/>
        <v>0</v>
      </c>
      <c r="AN85" s="577">
        <f t="shared" si="30"/>
        <v>0</v>
      </c>
      <c r="AO85" s="577">
        <f t="shared" si="30"/>
        <v>0</v>
      </c>
      <c r="AP85" s="577">
        <f t="shared" si="30"/>
        <v>0</v>
      </c>
      <c r="AQ85" s="577">
        <f t="shared" si="30"/>
        <v>0</v>
      </c>
      <c r="AR85" s="577">
        <f t="shared" si="30"/>
        <v>0</v>
      </c>
      <c r="AS85" s="577">
        <f t="shared" si="30"/>
        <v>0</v>
      </c>
      <c r="AT85" s="577">
        <f t="shared" si="30"/>
        <v>0</v>
      </c>
      <c r="AU85" s="577">
        <f t="shared" si="30"/>
        <v>0</v>
      </c>
      <c r="AV85" s="577">
        <f t="shared" si="30"/>
        <v>0</v>
      </c>
      <c r="AW85" s="577">
        <f t="shared" si="30"/>
        <v>0</v>
      </c>
      <c r="AX85" s="577">
        <f t="shared" si="30"/>
        <v>0</v>
      </c>
      <c r="AY85" s="577">
        <f t="shared" si="30"/>
        <v>0</v>
      </c>
      <c r="AZ85" s="577">
        <f t="shared" si="30"/>
        <v>0</v>
      </c>
      <c r="BA85" s="577">
        <f t="shared" si="30"/>
        <v>0</v>
      </c>
      <c r="BB85" s="577">
        <f t="shared" si="30"/>
        <v>0</v>
      </c>
      <c r="BC85" s="28"/>
      <c r="BF85" s="994" t="s">
        <v>714</v>
      </c>
    </row>
    <row r="86" spans="1:58" ht="16.7" hidden="1" customHeight="1">
      <c r="E86" s="676">
        <v>17.100000000000001</v>
      </c>
      <c r="F86" s="779" cm="1">
        <f t="array" aca="1" ref="F86" ca="1">OFFSET(G86,-1,-1)</f>
        <v>0</v>
      </c>
      <c r="T86" s="687" t="b" cm="1">
        <f t="array" ref="T86">T85</f>
        <v>0</v>
      </c>
      <c r="X86" s="1726"/>
      <c r="Z86" s="1726"/>
      <c r="AB86" s="418" t="s">
        <v>715</v>
      </c>
      <c r="AC86" s="574" t="s">
        <v>679</v>
      </c>
      <c r="AD86" s="351" t="s">
        <v>634</v>
      </c>
      <c r="AE86" s="37"/>
      <c r="AF86" s="37"/>
      <c r="AG86" s="37"/>
      <c r="AH86" s="37"/>
      <c r="AI86" s="472"/>
      <c r="AJ86" s="472"/>
      <c r="AK86" s="472"/>
      <c r="AL86" s="472"/>
      <c r="AM86" s="472"/>
      <c r="AN86" s="37"/>
      <c r="AO86" s="37"/>
      <c r="AP86" s="37"/>
      <c r="AQ86" s="37"/>
      <c r="AR86" s="37"/>
      <c r="AS86" s="472"/>
      <c r="AT86" s="472"/>
      <c r="AU86" s="472"/>
      <c r="AV86" s="472"/>
      <c r="AW86" s="472"/>
      <c r="AX86" s="37"/>
      <c r="AY86" s="37"/>
      <c r="AZ86" s="37"/>
      <c r="BA86" s="37"/>
      <c r="BB86" s="37"/>
      <c r="BC86" s="28"/>
      <c r="BF86" s="994" t="s">
        <v>716</v>
      </c>
    </row>
    <row r="87" spans="1:58" ht="16.7" hidden="1" customHeight="1">
      <c r="E87" s="676">
        <v>17.100000000000001</v>
      </c>
      <c r="F87" s="779" cm="1">
        <f t="array" aca="1" ref="F87" ca="1">OFFSET(G87,-1,-1)</f>
        <v>0</v>
      </c>
      <c r="T87" s="687" t="b" cm="1">
        <f t="array" ref="T87">T86</f>
        <v>0</v>
      </c>
      <c r="X87" s="1726"/>
      <c r="Z87" s="1726"/>
      <c r="AB87" s="418" t="s">
        <v>717</v>
      </c>
      <c r="AC87" s="575" t="s">
        <v>681</v>
      </c>
      <c r="AD87" s="121" t="s">
        <v>634</v>
      </c>
      <c r="AE87" s="33"/>
      <c r="AF87" s="33"/>
      <c r="AG87" s="33"/>
      <c r="AH87" s="33"/>
      <c r="AI87" s="474"/>
      <c r="AJ87" s="474"/>
      <c r="AK87" s="474"/>
      <c r="AL87" s="474"/>
      <c r="AM87" s="474"/>
      <c r="AN87" s="33"/>
      <c r="AO87" s="33"/>
      <c r="AP87" s="33"/>
      <c r="AQ87" s="33"/>
      <c r="AR87" s="33"/>
      <c r="AS87" s="474"/>
      <c r="AT87" s="474"/>
      <c r="AU87" s="474"/>
      <c r="AV87" s="474"/>
      <c r="AW87" s="474"/>
      <c r="AX87" s="33"/>
      <c r="AY87" s="33"/>
      <c r="AZ87" s="33"/>
      <c r="BA87" s="33"/>
      <c r="BB87" s="33"/>
      <c r="BC87" s="28"/>
      <c r="BF87" s="994" t="s">
        <v>718</v>
      </c>
    </row>
    <row r="88" spans="1:58" ht="16.7" hidden="1" customHeight="1">
      <c r="E88" s="676">
        <v>17.100000000000001</v>
      </c>
      <c r="F88" s="779" cm="1">
        <f t="array" aca="1" ref="F88" ca="1">OFFSET(G88,-1,-1)</f>
        <v>0</v>
      </c>
      <c r="T88" s="687" t="b" cm="1">
        <f t="array" ref="T88">T87</f>
        <v>0</v>
      </c>
      <c r="X88" s="1726"/>
      <c r="Z88" s="1726"/>
      <c r="AB88" s="732" t="s">
        <v>719</v>
      </c>
      <c r="AC88" s="575" t="s">
        <v>683</v>
      </c>
      <c r="AD88" s="351" t="s">
        <v>634</v>
      </c>
      <c r="AE88" s="29"/>
      <c r="AF88" s="29"/>
      <c r="AG88" s="29"/>
      <c r="AH88" s="29"/>
      <c r="AI88" s="246"/>
      <c r="AJ88" s="246"/>
      <c r="AK88" s="246"/>
      <c r="AL88" s="246"/>
      <c r="AM88" s="246"/>
      <c r="AN88" s="29"/>
      <c r="AO88" s="29"/>
      <c r="AP88" s="29"/>
      <c r="AQ88" s="29"/>
      <c r="AR88" s="29"/>
      <c r="AS88" s="246"/>
      <c r="AT88" s="246"/>
      <c r="AU88" s="246"/>
      <c r="AV88" s="246"/>
      <c r="AW88" s="246"/>
      <c r="AX88" s="29"/>
      <c r="AY88" s="29"/>
      <c r="AZ88" s="29"/>
      <c r="BA88" s="29"/>
      <c r="BB88" s="29"/>
      <c r="BC88" s="28"/>
      <c r="BF88" s="994" t="s">
        <v>720</v>
      </c>
    </row>
    <row r="89" spans="1:58" ht="16.7" hidden="1" customHeight="1">
      <c r="E89" s="676">
        <v>17.100000000000001</v>
      </c>
      <c r="F89" s="779" cm="1">
        <f t="array" aca="1" ref="F89" ca="1">OFFSET(G89,-1,-1)</f>
        <v>0</v>
      </c>
      <c r="T89" s="687" t="b" cm="1">
        <f t="array" ref="T89">T88</f>
        <v>0</v>
      </c>
      <c r="X89" s="1726"/>
      <c r="Z89" s="1726"/>
      <c r="AB89" s="733" t="s">
        <v>721</v>
      </c>
      <c r="AC89" s="575" t="s">
        <v>685</v>
      </c>
      <c r="AD89" s="351" t="s">
        <v>634</v>
      </c>
      <c r="AE89" s="29"/>
      <c r="AF89" s="29"/>
      <c r="AG89" s="29"/>
      <c r="AH89" s="29"/>
      <c r="AI89" s="246"/>
      <c r="AJ89" s="246"/>
      <c r="AK89" s="246"/>
      <c r="AL89" s="246"/>
      <c r="AM89" s="246"/>
      <c r="AN89" s="29"/>
      <c r="AO89" s="29"/>
      <c r="AP89" s="29"/>
      <c r="AQ89" s="29"/>
      <c r="AR89" s="29"/>
      <c r="AS89" s="246"/>
      <c r="AT89" s="246"/>
      <c r="AU89" s="246"/>
      <c r="AV89" s="246"/>
      <c r="AW89" s="246"/>
      <c r="AX89" s="29"/>
      <c r="AY89" s="29"/>
      <c r="AZ89" s="29"/>
      <c r="BA89" s="29"/>
      <c r="BB89" s="29"/>
      <c r="BC89" s="28"/>
      <c r="BF89" s="994" t="s">
        <v>722</v>
      </c>
    </row>
    <row r="90" spans="1:58" ht="24.95" hidden="1" customHeight="1">
      <c r="E90" s="676">
        <v>25.5</v>
      </c>
      <c r="F90" s="779" cm="1">
        <f t="array" aca="1" ref="F90" ca="1">OFFSET(G90,-1,-1)</f>
        <v>0</v>
      </c>
      <c r="O90" s="620" t="s">
        <v>723</v>
      </c>
      <c r="T90" s="687" t="b">
        <f>AND(T89,H28="двухставочный")</f>
        <v>0</v>
      </c>
      <c r="X90" s="1726"/>
      <c r="Z90" s="1726"/>
      <c r="AB90" s="271" t="s">
        <v>460</v>
      </c>
      <c r="AC90" s="499" t="s">
        <v>724</v>
      </c>
      <c r="AD90" s="435" t="s">
        <v>725</v>
      </c>
      <c r="AE90" s="576">
        <f t="shared" ref="AE90:BB90" si="31">SUM(AE91:AE94)</f>
        <v>0</v>
      </c>
      <c r="AF90" s="311">
        <f t="shared" si="31"/>
        <v>0</v>
      </c>
      <c r="AG90" s="311">
        <f t="shared" si="31"/>
        <v>0</v>
      </c>
      <c r="AH90" s="311">
        <f t="shared" si="31"/>
        <v>0</v>
      </c>
      <c r="AI90" s="311">
        <f t="shared" si="31"/>
        <v>0</v>
      </c>
      <c r="AJ90" s="311">
        <f t="shared" si="31"/>
        <v>0</v>
      </c>
      <c r="AK90" s="311">
        <f t="shared" si="31"/>
        <v>0</v>
      </c>
      <c r="AL90" s="311">
        <f t="shared" si="31"/>
        <v>0</v>
      </c>
      <c r="AM90" s="311">
        <f t="shared" si="31"/>
        <v>0</v>
      </c>
      <c r="AN90" s="311">
        <f t="shared" si="31"/>
        <v>0</v>
      </c>
      <c r="AO90" s="311">
        <f t="shared" si="31"/>
        <v>0</v>
      </c>
      <c r="AP90" s="311">
        <f t="shared" si="31"/>
        <v>0</v>
      </c>
      <c r="AQ90" s="311">
        <f t="shared" si="31"/>
        <v>0</v>
      </c>
      <c r="AR90" s="311">
        <f t="shared" si="31"/>
        <v>0</v>
      </c>
      <c r="AS90" s="311">
        <f t="shared" si="31"/>
        <v>0</v>
      </c>
      <c r="AT90" s="311">
        <f t="shared" si="31"/>
        <v>0</v>
      </c>
      <c r="AU90" s="311">
        <f t="shared" si="31"/>
        <v>0</v>
      </c>
      <c r="AV90" s="311">
        <f t="shared" si="31"/>
        <v>0</v>
      </c>
      <c r="AW90" s="311">
        <f t="shared" si="31"/>
        <v>0</v>
      </c>
      <c r="AX90" s="311">
        <f t="shared" si="31"/>
        <v>0</v>
      </c>
      <c r="AY90" s="311">
        <f t="shared" si="31"/>
        <v>0</v>
      </c>
      <c r="AZ90" s="311">
        <f t="shared" si="31"/>
        <v>0</v>
      </c>
      <c r="BA90" s="311">
        <f t="shared" si="31"/>
        <v>0</v>
      </c>
      <c r="BB90" s="311">
        <f t="shared" si="31"/>
        <v>0</v>
      </c>
      <c r="BC90" s="28"/>
      <c r="BF90" s="994" t="s">
        <v>726</v>
      </c>
    </row>
    <row r="91" spans="1:58" ht="16.7" hidden="1" customHeight="1">
      <c r="E91" s="676">
        <v>17.100000000000001</v>
      </c>
      <c r="F91" s="779" cm="1">
        <f t="array" aca="1" ref="F91" ca="1">OFFSET(G91,-1,-1)</f>
        <v>0</v>
      </c>
      <c r="O91" s="620" t="s">
        <v>723</v>
      </c>
      <c r="T91" s="687" t="b" cm="1">
        <f t="array" ref="T91">T90</f>
        <v>0</v>
      </c>
      <c r="X91" s="1726"/>
      <c r="Z91" s="1726"/>
      <c r="AB91" s="724" t="str">
        <f>AB90&amp;".1"</f>
        <v>10.1</v>
      </c>
      <c r="AC91" s="473" t="s">
        <v>679</v>
      </c>
      <c r="AD91" s="435" t="s">
        <v>725</v>
      </c>
      <c r="AE91" s="29"/>
      <c r="AF91" s="29"/>
      <c r="AG91" s="29"/>
      <c r="AH91" s="29"/>
      <c r="AI91" s="246"/>
      <c r="AJ91" s="246"/>
      <c r="AK91" s="246"/>
      <c r="AL91" s="246"/>
      <c r="AM91" s="246"/>
      <c r="AN91" s="29"/>
      <c r="AO91" s="29"/>
      <c r="AP91" s="29"/>
      <c r="AQ91" s="29"/>
      <c r="AR91" s="29"/>
      <c r="AS91" s="246"/>
      <c r="AT91" s="246"/>
      <c r="AU91" s="246"/>
      <c r="AV91" s="246"/>
      <c r="AW91" s="246"/>
      <c r="AX91" s="29"/>
      <c r="AY91" s="29"/>
      <c r="AZ91" s="29"/>
      <c r="BA91" s="29"/>
      <c r="BB91" s="38"/>
      <c r="BC91" s="28"/>
      <c r="BF91" s="994" t="s">
        <v>727</v>
      </c>
    </row>
    <row r="92" spans="1:58" ht="16.7" hidden="1" customHeight="1">
      <c r="E92" s="676">
        <v>17.100000000000001</v>
      </c>
      <c r="F92" s="779" cm="1">
        <f t="array" aca="1" ref="F92" ca="1">OFFSET(G92,-1,-1)</f>
        <v>0</v>
      </c>
      <c r="O92" s="620" t="s">
        <v>723</v>
      </c>
      <c r="T92" s="687" t="b" cm="1">
        <f t="array" ref="T92">T91</f>
        <v>0</v>
      </c>
      <c r="X92" s="1726"/>
      <c r="Z92" s="1726"/>
      <c r="AB92" s="724" t="str">
        <f>AB90&amp;".2"</f>
        <v>10.2</v>
      </c>
      <c r="AC92" s="356" t="s">
        <v>681</v>
      </c>
      <c r="AD92" s="435" t="s">
        <v>725</v>
      </c>
      <c r="AE92" s="29"/>
      <c r="AF92" s="29"/>
      <c r="AG92" s="29"/>
      <c r="AH92" s="29"/>
      <c r="AI92" s="246"/>
      <c r="AJ92" s="246"/>
      <c r="AK92" s="246"/>
      <c r="AL92" s="246"/>
      <c r="AM92" s="246"/>
      <c r="AN92" s="29"/>
      <c r="AO92" s="29"/>
      <c r="AP92" s="29"/>
      <c r="AQ92" s="29"/>
      <c r="AR92" s="29"/>
      <c r="AS92" s="246"/>
      <c r="AT92" s="246"/>
      <c r="AU92" s="246"/>
      <c r="AV92" s="246"/>
      <c r="AW92" s="246"/>
      <c r="AX92" s="29"/>
      <c r="AY92" s="29"/>
      <c r="AZ92" s="29"/>
      <c r="BA92" s="29"/>
      <c r="BB92" s="38"/>
      <c r="BC92" s="28"/>
      <c r="BF92" s="994" t="s">
        <v>728</v>
      </c>
    </row>
    <row r="93" spans="1:58" ht="16.7" hidden="1" customHeight="1">
      <c r="E93" s="676">
        <v>17.100000000000001</v>
      </c>
      <c r="F93" s="779" cm="1">
        <f t="array" aca="1" ref="F93" ca="1">OFFSET(G93,-1,-1)</f>
        <v>0</v>
      </c>
      <c r="O93" s="620" t="s">
        <v>723</v>
      </c>
      <c r="T93" s="687" t="b" cm="1">
        <f t="array" ref="T93">T92</f>
        <v>0</v>
      </c>
      <c r="X93" s="1726"/>
      <c r="Z93" s="1726"/>
      <c r="AB93" s="724" t="str">
        <f>AB90&amp;".3"</f>
        <v>10.3</v>
      </c>
      <c r="AC93" s="356" t="s">
        <v>683</v>
      </c>
      <c r="AD93" s="435" t="s">
        <v>725</v>
      </c>
      <c r="AE93" s="29"/>
      <c r="AF93" s="29"/>
      <c r="AG93" s="29"/>
      <c r="AH93" s="29"/>
      <c r="AI93" s="246"/>
      <c r="AJ93" s="246"/>
      <c r="AK93" s="246"/>
      <c r="AL93" s="246"/>
      <c r="AM93" s="246"/>
      <c r="AN93" s="29"/>
      <c r="AO93" s="29"/>
      <c r="AP93" s="29"/>
      <c r="AQ93" s="29"/>
      <c r="AR93" s="29"/>
      <c r="AS93" s="246"/>
      <c r="AT93" s="246"/>
      <c r="AU93" s="246"/>
      <c r="AV93" s="246"/>
      <c r="AW93" s="246"/>
      <c r="AX93" s="29"/>
      <c r="AY93" s="29"/>
      <c r="AZ93" s="29"/>
      <c r="BA93" s="29"/>
      <c r="BB93" s="38"/>
      <c r="BC93" s="28"/>
      <c r="BF93" s="994" t="s">
        <v>729</v>
      </c>
    </row>
    <row r="94" spans="1:58" ht="16.7" hidden="1" customHeight="1">
      <c r="E94" s="676">
        <v>17.100000000000001</v>
      </c>
      <c r="F94" s="779" cm="1">
        <f t="array" aca="1" ref="F94" ca="1">OFFSET(G94,-1,-1)</f>
        <v>0</v>
      </c>
      <c r="O94" s="620" t="s">
        <v>723</v>
      </c>
      <c r="T94" s="687" t="b" cm="1">
        <f t="array" ref="T94">T93</f>
        <v>0</v>
      </c>
      <c r="X94" s="1726"/>
      <c r="Z94" s="1726"/>
      <c r="AB94" s="724" t="str">
        <f>AB90&amp;".4"</f>
        <v>10.4</v>
      </c>
      <c r="AC94" s="356" t="s">
        <v>685</v>
      </c>
      <c r="AD94" s="501" t="s">
        <v>725</v>
      </c>
      <c r="AE94" s="30"/>
      <c r="AF94" s="30"/>
      <c r="AG94" s="30"/>
      <c r="AH94" s="30"/>
      <c r="AI94" s="498"/>
      <c r="AJ94" s="498"/>
      <c r="AK94" s="498"/>
      <c r="AL94" s="498"/>
      <c r="AM94" s="498"/>
      <c r="AN94" s="30"/>
      <c r="AO94" s="30"/>
      <c r="AP94" s="30"/>
      <c r="AQ94" s="30"/>
      <c r="AR94" s="30"/>
      <c r="AS94" s="498"/>
      <c r="AT94" s="498"/>
      <c r="AU94" s="498"/>
      <c r="AV94" s="498"/>
      <c r="AW94" s="498"/>
      <c r="AX94" s="30"/>
      <c r="AY94" s="30"/>
      <c r="AZ94" s="30"/>
      <c r="BA94" s="30"/>
      <c r="BB94" s="39"/>
      <c r="BC94" s="24"/>
      <c r="BF94" s="994" t="s">
        <v>730</v>
      </c>
    </row>
    <row r="95" spans="1:58" ht="52.7" hidden="1" customHeight="1">
      <c r="E95" s="676">
        <v>54</v>
      </c>
      <c r="F95" s="779" cm="1">
        <f t="array" aca="1" ref="F95" ca="1">OFFSET(G95,-1,-1)</f>
        <v>0</v>
      </c>
      <c r="O95" s="620" t="s">
        <v>723</v>
      </c>
      <c r="T95" s="687" t="b" cm="1">
        <f t="array" ref="T95">T94</f>
        <v>0</v>
      </c>
      <c r="X95" s="1726"/>
      <c r="Z95" s="1726"/>
      <c r="AB95" s="271" t="s">
        <v>463</v>
      </c>
      <c r="AC95" s="500" t="s">
        <v>731</v>
      </c>
      <c r="AD95" s="108"/>
      <c r="AE95" s="29"/>
      <c r="AF95" s="29"/>
      <c r="AG95" s="29"/>
      <c r="AH95" s="29"/>
      <c r="AI95" s="246"/>
      <c r="AJ95" s="246"/>
      <c r="AK95" s="246"/>
      <c r="AL95" s="246"/>
      <c r="AM95" s="246"/>
      <c r="AN95" s="29"/>
      <c r="AO95" s="29"/>
      <c r="AP95" s="29"/>
      <c r="AQ95" s="29"/>
      <c r="AR95" s="29"/>
      <c r="AS95" s="246"/>
      <c r="AT95" s="246"/>
      <c r="AU95" s="246"/>
      <c r="AV95" s="246"/>
      <c r="AW95" s="246"/>
      <c r="AX95" s="29"/>
      <c r="AY95" s="29"/>
      <c r="AZ95" s="29"/>
      <c r="BA95" s="29"/>
      <c r="BB95" s="29"/>
      <c r="BC95" s="34"/>
      <c r="BF95" s="994" t="s">
        <v>732</v>
      </c>
    </row>
    <row r="96" spans="1:58" s="1229" customFormat="1" ht="10.5" customHeight="1">
      <c r="A96" s="983"/>
      <c r="B96" s="783"/>
      <c r="C96" s="1153"/>
      <c r="D96" s="1153"/>
      <c r="E96" s="676">
        <v>11.4</v>
      </c>
      <c r="F96" s="779" t="str" cm="1">
        <f t="array" ref="F96">X96</f>
        <v>1</v>
      </c>
      <c r="G96" s="163" t="str" cm="1">
        <f t="array" ref="G96">INDEX('Общие сведения'!$AL$187:$AL$236,MATCH($F96,'Общие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163" t="str" cm="1">
        <f t="array" ref="H96">INDEX('Общие сведения'!$AK$187:$AK$236,MATCH($F96,'Общие сведения'!$Z$187:$Z$236,0))</f>
        <v>одноставочный</v>
      </c>
      <c r="I96" s="425"/>
      <c r="J96" s="425"/>
      <c r="K96" s="425"/>
      <c r="L96" s="425"/>
      <c r="M96" s="425"/>
      <c r="N96" s="425"/>
      <c r="O96" s="425"/>
      <c r="P96" s="425"/>
      <c r="Q96" s="425"/>
      <c r="R96" s="425"/>
      <c r="S96" s="425"/>
      <c r="T96" s="687" t="b">
        <f>AND(X96&gt;0,G96&lt;&gt;"передача тепловой энергии")</f>
        <v>1</v>
      </c>
      <c r="U96" s="1153"/>
      <c r="V96" s="126" t="str" cm="1">
        <f t="array" ref="V96">'Сценарии (МСА)'!$AB$35</f>
        <v>Тариф 1 (Теплоснабжение) - Тариф на тепловую энергию (мощность), поставляемую потребителям (Не определено)</v>
      </c>
      <c r="W96" s="1153"/>
      <c r="X96" s="1726" t="s">
        <v>341</v>
      </c>
      <c r="Y96" s="1153"/>
      <c r="Z96" s="1726"/>
      <c r="AA96" s="425"/>
      <c r="AB96" s="398"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3"/>
      <c r="AD96" s="213"/>
      <c r="AE96" s="213"/>
      <c r="AF96" s="213"/>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425"/>
      <c r="BE96" s="425"/>
      <c r="BF96" s="945"/>
    </row>
    <row r="97" spans="1:58" s="1229" customFormat="1" ht="16.5" customHeight="1">
      <c r="A97" s="983"/>
      <c r="B97" s="783"/>
      <c r="C97" s="1153"/>
      <c r="D97" s="1153"/>
      <c r="E97" s="676">
        <v>17.100000000000001</v>
      </c>
      <c r="F97" s="779" t="str" cm="1">
        <f t="array" aca="1" ref="F97" ca="1">OFFSET(G97,-1,-1)</f>
        <v>1</v>
      </c>
      <c r="G97" s="425"/>
      <c r="H97" s="425"/>
      <c r="I97" s="425"/>
      <c r="J97" s="425"/>
      <c r="K97" s="425"/>
      <c r="L97" s="425"/>
      <c r="M97" s="425"/>
      <c r="N97" s="425"/>
      <c r="O97" s="425"/>
      <c r="P97" s="425"/>
      <c r="Q97" s="425"/>
      <c r="R97" s="425"/>
      <c r="S97" s="425"/>
      <c r="T97" s="687" t="b" cm="1">
        <f t="array" ref="T97">T96</f>
        <v>1</v>
      </c>
      <c r="U97" s="1153"/>
      <c r="V97" s="1153"/>
      <c r="W97" s="1153"/>
      <c r="X97" s="1726"/>
      <c r="Y97" s="1153"/>
      <c r="Z97" s="1726"/>
      <c r="AA97" s="425"/>
      <c r="AB97" s="271" t="s">
        <v>341</v>
      </c>
      <c r="AC97" s="114" t="s">
        <v>633</v>
      </c>
      <c r="AD97" s="120" t="s">
        <v>634</v>
      </c>
      <c r="AE97" s="311">
        <f t="shared" ref="AE97:BB97" si="32">AE98+AE101+AE104</f>
        <v>0</v>
      </c>
      <c r="AF97" s="311">
        <f t="shared" si="32"/>
        <v>0</v>
      </c>
      <c r="AG97" s="311">
        <f t="shared" si="32"/>
        <v>0</v>
      </c>
      <c r="AH97" s="311">
        <f t="shared" si="32"/>
        <v>158874</v>
      </c>
      <c r="AI97" s="311">
        <f t="shared" si="32"/>
        <v>0</v>
      </c>
      <c r="AJ97" s="311">
        <f t="shared" si="32"/>
        <v>0</v>
      </c>
      <c r="AK97" s="311">
        <f t="shared" si="32"/>
        <v>0</v>
      </c>
      <c r="AL97" s="311">
        <f t="shared" si="32"/>
        <v>0</v>
      </c>
      <c r="AM97" s="311">
        <f t="shared" si="32"/>
        <v>0</v>
      </c>
      <c r="AN97" s="311">
        <f t="shared" si="32"/>
        <v>0</v>
      </c>
      <c r="AO97" s="311">
        <f t="shared" si="32"/>
        <v>0</v>
      </c>
      <c r="AP97" s="311">
        <f t="shared" si="32"/>
        <v>0</v>
      </c>
      <c r="AQ97" s="311">
        <f t="shared" si="32"/>
        <v>0</v>
      </c>
      <c r="AR97" s="311">
        <f t="shared" si="32"/>
        <v>0</v>
      </c>
      <c r="AS97" s="311">
        <f t="shared" si="32"/>
        <v>159088.40000000002</v>
      </c>
      <c r="AT97" s="311">
        <f t="shared" si="32"/>
        <v>0</v>
      </c>
      <c r="AU97" s="311">
        <f t="shared" si="32"/>
        <v>0</v>
      </c>
      <c r="AV97" s="311">
        <f t="shared" si="32"/>
        <v>0</v>
      </c>
      <c r="AW97" s="311">
        <f t="shared" si="32"/>
        <v>0</v>
      </c>
      <c r="AX97" s="311">
        <f t="shared" si="32"/>
        <v>0</v>
      </c>
      <c r="AY97" s="311">
        <f t="shared" si="32"/>
        <v>0</v>
      </c>
      <c r="AZ97" s="311">
        <f t="shared" si="32"/>
        <v>0</v>
      </c>
      <c r="BA97" s="311">
        <f t="shared" si="32"/>
        <v>0</v>
      </c>
      <c r="BB97" s="311">
        <f t="shared" si="32"/>
        <v>0</v>
      </c>
      <c r="BC97" s="1290"/>
      <c r="BD97" s="425"/>
      <c r="BE97" s="425"/>
      <c r="BF97" s="994" t="s">
        <v>635</v>
      </c>
    </row>
    <row r="98" spans="1:58" s="1229" customFormat="1" ht="16.5" customHeight="1">
      <c r="A98" s="983"/>
      <c r="B98" s="783"/>
      <c r="C98" s="1153"/>
      <c r="D98" s="1153"/>
      <c r="E98" s="676">
        <v>17.100000000000001</v>
      </c>
      <c r="F98" s="779" t="str" cm="1">
        <f t="array" aca="1" ref="F98" ca="1">OFFSET(G98,-1,-1)</f>
        <v>1</v>
      </c>
      <c r="G98" s="425"/>
      <c r="H98" s="425"/>
      <c r="I98" s="425"/>
      <c r="J98" s="425"/>
      <c r="K98" s="425"/>
      <c r="L98" s="425"/>
      <c r="M98" s="425"/>
      <c r="N98" s="425"/>
      <c r="O98" s="425"/>
      <c r="P98" s="425"/>
      <c r="Q98" s="425"/>
      <c r="R98" s="425"/>
      <c r="S98" s="425"/>
      <c r="T98" s="687" t="b" cm="1">
        <f t="array" ref="T98">T97</f>
        <v>1</v>
      </c>
      <c r="U98" s="1153"/>
      <c r="V98" s="1153"/>
      <c r="W98" s="1153"/>
      <c r="X98" s="1726"/>
      <c r="Y98" s="1153"/>
      <c r="Z98" s="1726"/>
      <c r="AA98" s="425"/>
      <c r="AB98" s="108" t="str">
        <f>AB97&amp;".1"</f>
        <v>1.1</v>
      </c>
      <c r="AC98" s="115" t="s">
        <v>636</v>
      </c>
      <c r="AD98" s="120" t="s">
        <v>634</v>
      </c>
      <c r="AE98" s="311">
        <f t="shared" ref="AE98:BB98" si="33">AE99+AE100</f>
        <v>0</v>
      </c>
      <c r="AF98" s="311">
        <f t="shared" si="33"/>
        <v>0</v>
      </c>
      <c r="AG98" s="311">
        <f t="shared" si="33"/>
        <v>0</v>
      </c>
      <c r="AH98" s="311">
        <f t="shared" si="33"/>
        <v>0</v>
      </c>
      <c r="AI98" s="311">
        <f t="shared" si="33"/>
        <v>0</v>
      </c>
      <c r="AJ98" s="311">
        <f t="shared" si="33"/>
        <v>0</v>
      </c>
      <c r="AK98" s="311">
        <f t="shared" si="33"/>
        <v>0</v>
      </c>
      <c r="AL98" s="311">
        <f t="shared" si="33"/>
        <v>0</v>
      </c>
      <c r="AM98" s="311">
        <f t="shared" si="33"/>
        <v>0</v>
      </c>
      <c r="AN98" s="311">
        <f t="shared" si="33"/>
        <v>0</v>
      </c>
      <c r="AO98" s="311">
        <f t="shared" si="33"/>
        <v>0</v>
      </c>
      <c r="AP98" s="311">
        <f t="shared" si="33"/>
        <v>0</v>
      </c>
      <c r="AQ98" s="311">
        <f t="shared" si="33"/>
        <v>0</v>
      </c>
      <c r="AR98" s="311">
        <f t="shared" si="33"/>
        <v>0</v>
      </c>
      <c r="AS98" s="311">
        <f t="shared" si="33"/>
        <v>0</v>
      </c>
      <c r="AT98" s="311">
        <f t="shared" si="33"/>
        <v>0</v>
      </c>
      <c r="AU98" s="311">
        <f t="shared" si="33"/>
        <v>0</v>
      </c>
      <c r="AV98" s="311">
        <f t="shared" si="33"/>
        <v>0</v>
      </c>
      <c r="AW98" s="311">
        <f t="shared" si="33"/>
        <v>0</v>
      </c>
      <c r="AX98" s="311">
        <f t="shared" si="33"/>
        <v>0</v>
      </c>
      <c r="AY98" s="311">
        <f t="shared" si="33"/>
        <v>0</v>
      </c>
      <c r="AZ98" s="311">
        <f t="shared" si="33"/>
        <v>0</v>
      </c>
      <c r="BA98" s="311">
        <f t="shared" si="33"/>
        <v>0</v>
      </c>
      <c r="BB98" s="311">
        <f t="shared" si="33"/>
        <v>0</v>
      </c>
      <c r="BC98" s="1290"/>
      <c r="BD98" s="425"/>
      <c r="BE98" s="425"/>
      <c r="BF98" s="994" t="s">
        <v>637</v>
      </c>
    </row>
    <row r="99" spans="1:58" s="1229" customFormat="1" ht="16.5" customHeight="1">
      <c r="A99" s="983"/>
      <c r="B99" s="783"/>
      <c r="C99" s="1153"/>
      <c r="D99" s="1153"/>
      <c r="E99" s="676">
        <v>17.100000000000001</v>
      </c>
      <c r="F99" s="779" t="str" cm="1">
        <f t="array" aca="1" ref="F99" ca="1">OFFSET(G99,-1,-1)</f>
        <v>1</v>
      </c>
      <c r="G99" s="425"/>
      <c r="H99" s="425"/>
      <c r="I99" s="425"/>
      <c r="J99" s="425"/>
      <c r="K99" s="425"/>
      <c r="L99" s="425"/>
      <c r="M99" s="425"/>
      <c r="N99" s="425"/>
      <c r="O99" s="425"/>
      <c r="P99" s="425"/>
      <c r="Q99" s="425"/>
      <c r="R99" s="425"/>
      <c r="S99" s="425"/>
      <c r="T99" s="687" t="b" cm="1">
        <f t="array" ref="T99">T98</f>
        <v>1</v>
      </c>
      <c r="U99" s="1153"/>
      <c r="V99" s="1153"/>
      <c r="W99" s="1153"/>
      <c r="X99" s="1726"/>
      <c r="Y99" s="1153"/>
      <c r="Z99" s="1726"/>
      <c r="AA99" s="425"/>
      <c r="AB99" s="108" t="str">
        <f>AB98&amp;".1"</f>
        <v>1.1.1</v>
      </c>
      <c r="AC99" s="471" t="s">
        <v>638</v>
      </c>
      <c r="AD99" s="120" t="s">
        <v>634</v>
      </c>
      <c r="AE99" s="1291"/>
      <c r="AF99" s="1291"/>
      <c r="AG99" s="1291"/>
      <c r="AH99" s="1291"/>
      <c r="AI99" s="246"/>
      <c r="AJ99" s="246"/>
      <c r="AK99" s="246"/>
      <c r="AL99" s="246"/>
      <c r="AM99" s="246"/>
      <c r="AN99" s="1291"/>
      <c r="AO99" s="1291"/>
      <c r="AP99" s="1291"/>
      <c r="AQ99" s="1291"/>
      <c r="AR99" s="1291"/>
      <c r="AS99" s="246"/>
      <c r="AT99" s="246"/>
      <c r="AU99" s="246"/>
      <c r="AV99" s="246"/>
      <c r="AW99" s="246"/>
      <c r="AX99" s="1291"/>
      <c r="AY99" s="1291"/>
      <c r="AZ99" s="1291"/>
      <c r="BA99" s="1291"/>
      <c r="BB99" s="1291"/>
      <c r="BC99" s="1290"/>
      <c r="BD99" s="425"/>
      <c r="BE99" s="425"/>
      <c r="BF99" s="994" t="s">
        <v>639</v>
      </c>
    </row>
    <row r="100" spans="1:58" s="1229" customFormat="1" ht="16.5" customHeight="1">
      <c r="A100" s="983"/>
      <c r="B100" s="783"/>
      <c r="C100" s="1153"/>
      <c r="D100" s="1153"/>
      <c r="E100" s="676">
        <v>17.100000000000001</v>
      </c>
      <c r="F100" s="779" t="str" cm="1">
        <f t="array" aca="1" ref="F100" ca="1">OFFSET(G100,-1,-1)</f>
        <v>1</v>
      </c>
      <c r="G100" s="425"/>
      <c r="H100" s="425"/>
      <c r="I100" s="425"/>
      <c r="J100" s="425"/>
      <c r="K100" s="425"/>
      <c r="L100" s="425"/>
      <c r="M100" s="425"/>
      <c r="N100" s="425"/>
      <c r="O100" s="425"/>
      <c r="P100" s="425"/>
      <c r="Q100" s="425"/>
      <c r="R100" s="425"/>
      <c r="S100" s="425"/>
      <c r="T100" s="687" t="b" cm="1">
        <f t="array" ref="T100">T99</f>
        <v>1</v>
      </c>
      <c r="U100" s="1153"/>
      <c r="V100" s="1153"/>
      <c r="W100" s="1153"/>
      <c r="X100" s="1726"/>
      <c r="Y100" s="1153"/>
      <c r="Z100" s="1726"/>
      <c r="AA100" s="425"/>
      <c r="AB100" s="108" t="str">
        <f>AB98&amp;".2"</f>
        <v>1.1.2</v>
      </c>
      <c r="AC100" s="471" t="s">
        <v>640</v>
      </c>
      <c r="AD100" s="120" t="s">
        <v>634</v>
      </c>
      <c r="AE100" s="1291"/>
      <c r="AF100" s="1291"/>
      <c r="AG100" s="1291"/>
      <c r="AH100" s="1291"/>
      <c r="AI100" s="246"/>
      <c r="AJ100" s="246"/>
      <c r="AK100" s="246"/>
      <c r="AL100" s="246"/>
      <c r="AM100" s="246"/>
      <c r="AN100" s="1291"/>
      <c r="AO100" s="1291"/>
      <c r="AP100" s="1291"/>
      <c r="AQ100" s="1291"/>
      <c r="AR100" s="1291"/>
      <c r="AS100" s="246"/>
      <c r="AT100" s="246"/>
      <c r="AU100" s="246"/>
      <c r="AV100" s="246"/>
      <c r="AW100" s="246"/>
      <c r="AX100" s="1291"/>
      <c r="AY100" s="1291"/>
      <c r="AZ100" s="1291"/>
      <c r="BA100" s="1291"/>
      <c r="BB100" s="1291"/>
      <c r="BC100" s="1290"/>
      <c r="BD100" s="425"/>
      <c r="BE100" s="425"/>
      <c r="BF100" s="994" t="s">
        <v>641</v>
      </c>
    </row>
    <row r="101" spans="1:58" s="1229" customFormat="1" ht="16.5" customHeight="1">
      <c r="A101" s="983"/>
      <c r="B101" s="783"/>
      <c r="C101" s="1153"/>
      <c r="D101" s="1153"/>
      <c r="E101" s="676">
        <v>17.100000000000001</v>
      </c>
      <c r="F101" s="779" t="str" cm="1">
        <f t="array" aca="1" ref="F101" ca="1">OFFSET(G101,-1,-1)</f>
        <v>1</v>
      </c>
      <c r="G101" s="425"/>
      <c r="H101" s="425"/>
      <c r="I101" s="425"/>
      <c r="J101" s="425"/>
      <c r="K101" s="425"/>
      <c r="L101" s="425"/>
      <c r="M101" s="425"/>
      <c r="N101" s="425"/>
      <c r="O101" s="425"/>
      <c r="P101" s="425"/>
      <c r="Q101" s="425"/>
      <c r="R101" s="425"/>
      <c r="S101" s="425"/>
      <c r="T101" s="687" t="b" cm="1">
        <f t="array" ref="T101">T100</f>
        <v>1</v>
      </c>
      <c r="U101" s="1153"/>
      <c r="V101" s="1153"/>
      <c r="W101" s="1153"/>
      <c r="X101" s="1726"/>
      <c r="Y101" s="1153"/>
      <c r="Z101" s="1726"/>
      <c r="AA101" s="425"/>
      <c r="AB101" s="108" t="str">
        <f>AB97&amp;".2"</f>
        <v>1.2</v>
      </c>
      <c r="AC101" s="115" t="s">
        <v>642</v>
      </c>
      <c r="AD101" s="120" t="s">
        <v>634</v>
      </c>
      <c r="AE101" s="311">
        <f t="shared" ref="AE101:BB101" si="34">AE102+AE103</f>
        <v>0</v>
      </c>
      <c r="AF101" s="311">
        <f t="shared" si="34"/>
        <v>0</v>
      </c>
      <c r="AG101" s="311">
        <f t="shared" si="34"/>
        <v>0</v>
      </c>
      <c r="AH101" s="311">
        <f t="shared" si="34"/>
        <v>158874</v>
      </c>
      <c r="AI101" s="311">
        <f t="shared" si="34"/>
        <v>0</v>
      </c>
      <c r="AJ101" s="311">
        <f t="shared" si="34"/>
        <v>0</v>
      </c>
      <c r="AK101" s="311">
        <f t="shared" si="34"/>
        <v>0</v>
      </c>
      <c r="AL101" s="311">
        <f t="shared" si="34"/>
        <v>0</v>
      </c>
      <c r="AM101" s="311">
        <f t="shared" si="34"/>
        <v>0</v>
      </c>
      <c r="AN101" s="311">
        <f t="shared" si="34"/>
        <v>0</v>
      </c>
      <c r="AO101" s="311">
        <f t="shared" si="34"/>
        <v>0</v>
      </c>
      <c r="AP101" s="311">
        <f t="shared" si="34"/>
        <v>0</v>
      </c>
      <c r="AQ101" s="311">
        <f t="shared" si="34"/>
        <v>0</v>
      </c>
      <c r="AR101" s="311">
        <f t="shared" si="34"/>
        <v>0</v>
      </c>
      <c r="AS101" s="311">
        <f t="shared" si="34"/>
        <v>159088.40000000002</v>
      </c>
      <c r="AT101" s="311">
        <f t="shared" si="34"/>
        <v>0</v>
      </c>
      <c r="AU101" s="311">
        <f t="shared" si="34"/>
        <v>0</v>
      </c>
      <c r="AV101" s="311">
        <f t="shared" si="34"/>
        <v>0</v>
      </c>
      <c r="AW101" s="311">
        <f t="shared" si="34"/>
        <v>0</v>
      </c>
      <c r="AX101" s="311">
        <f t="shared" si="34"/>
        <v>0</v>
      </c>
      <c r="AY101" s="311">
        <f t="shared" si="34"/>
        <v>0</v>
      </c>
      <c r="AZ101" s="311">
        <f t="shared" si="34"/>
        <v>0</v>
      </c>
      <c r="BA101" s="311">
        <f t="shared" si="34"/>
        <v>0</v>
      </c>
      <c r="BB101" s="311">
        <f t="shared" si="34"/>
        <v>0</v>
      </c>
      <c r="BC101" s="1290"/>
      <c r="BD101" s="425"/>
      <c r="BE101" s="425"/>
      <c r="BF101" s="994" t="s">
        <v>643</v>
      </c>
    </row>
    <row r="102" spans="1:58" s="1229" customFormat="1" ht="16.5" customHeight="1">
      <c r="A102" s="983"/>
      <c r="B102" s="783"/>
      <c r="C102" s="1153"/>
      <c r="D102" s="1153"/>
      <c r="E102" s="676">
        <v>17.100000000000001</v>
      </c>
      <c r="F102" s="779" t="str" cm="1">
        <f t="array" aca="1" ref="F102" ca="1">OFFSET(G102,-1,-1)</f>
        <v>1</v>
      </c>
      <c r="G102" s="425"/>
      <c r="H102" s="425"/>
      <c r="I102" s="425"/>
      <c r="J102" s="425"/>
      <c r="K102" s="425"/>
      <c r="L102" s="425"/>
      <c r="M102" s="425"/>
      <c r="N102" s="425"/>
      <c r="O102" s="425"/>
      <c r="P102" s="425"/>
      <c r="Q102" s="425"/>
      <c r="R102" s="425"/>
      <c r="S102" s="425"/>
      <c r="T102" s="687" t="b" cm="1">
        <f t="array" ref="T102">T101</f>
        <v>1</v>
      </c>
      <c r="U102" s="1153"/>
      <c r="V102" s="1153"/>
      <c r="W102" s="1153"/>
      <c r="X102" s="1726"/>
      <c r="Y102" s="1153"/>
      <c r="Z102" s="1726"/>
      <c r="AA102" s="425"/>
      <c r="AB102" s="108" t="str">
        <f>AB101&amp;".1"</f>
        <v>1.2.1</v>
      </c>
      <c r="AC102" s="471" t="s">
        <v>638</v>
      </c>
      <c r="AD102" s="120" t="s">
        <v>634</v>
      </c>
      <c r="AE102" s="1291"/>
      <c r="AF102" s="1291"/>
      <c r="AG102" s="1291"/>
      <c r="AH102" s="1291">
        <f>151652-215</f>
        <v>151437</v>
      </c>
      <c r="AI102" s="246"/>
      <c r="AJ102" s="246"/>
      <c r="AK102" s="246"/>
      <c r="AL102" s="246"/>
      <c r="AM102" s="246"/>
      <c r="AN102" s="1291"/>
      <c r="AO102" s="1291"/>
      <c r="AP102" s="1291"/>
      <c r="AQ102" s="1291"/>
      <c r="AR102" s="1291"/>
      <c r="AS102" s="246">
        <v>152128.51</v>
      </c>
      <c r="AT102" s="246"/>
      <c r="AU102" s="246"/>
      <c r="AV102" s="246"/>
      <c r="AW102" s="246"/>
      <c r="AX102" s="1291"/>
      <c r="AY102" s="1291"/>
      <c r="AZ102" s="1291"/>
      <c r="BA102" s="1291"/>
      <c r="BB102" s="1291"/>
      <c r="BC102" s="1290"/>
      <c r="BD102" s="425"/>
      <c r="BE102" s="425"/>
      <c r="BF102" s="994" t="s">
        <v>644</v>
      </c>
    </row>
    <row r="103" spans="1:58" s="1229" customFormat="1" ht="16.5" customHeight="1">
      <c r="A103" s="983"/>
      <c r="B103" s="783"/>
      <c r="C103" s="1153"/>
      <c r="D103" s="1153"/>
      <c r="E103" s="676">
        <v>17.100000000000001</v>
      </c>
      <c r="F103" s="779" t="str" cm="1">
        <f t="array" aca="1" ref="F103" ca="1">OFFSET(G103,-1,-1)</f>
        <v>1</v>
      </c>
      <c r="G103" s="425"/>
      <c r="H103" s="425"/>
      <c r="I103" s="425"/>
      <c r="J103" s="425"/>
      <c r="K103" s="425"/>
      <c r="L103" s="425"/>
      <c r="M103" s="425"/>
      <c r="N103" s="425"/>
      <c r="O103" s="425"/>
      <c r="P103" s="425"/>
      <c r="Q103" s="425"/>
      <c r="R103" s="425"/>
      <c r="S103" s="425"/>
      <c r="T103" s="687" t="b" cm="1">
        <f t="array" ref="T103">T102</f>
        <v>1</v>
      </c>
      <c r="U103" s="1153"/>
      <c r="V103" s="1153"/>
      <c r="W103" s="1153"/>
      <c r="X103" s="1726"/>
      <c r="Y103" s="1153"/>
      <c r="Z103" s="1726"/>
      <c r="AA103" s="425"/>
      <c r="AB103" s="108" t="str">
        <f>AB101&amp;".2"</f>
        <v>1.2.2</v>
      </c>
      <c r="AC103" s="471" t="s">
        <v>640</v>
      </c>
      <c r="AD103" s="120" t="s">
        <v>634</v>
      </c>
      <c r="AE103" s="1291"/>
      <c r="AF103" s="1291"/>
      <c r="AG103" s="1291"/>
      <c r="AH103" s="1291">
        <v>7437</v>
      </c>
      <c r="AI103" s="246"/>
      <c r="AJ103" s="246"/>
      <c r="AK103" s="246"/>
      <c r="AL103" s="246"/>
      <c r="AM103" s="246"/>
      <c r="AN103" s="1291"/>
      <c r="AO103" s="1291"/>
      <c r="AP103" s="1291"/>
      <c r="AQ103" s="1291"/>
      <c r="AR103" s="1291"/>
      <c r="AS103" s="246">
        <v>6959.89</v>
      </c>
      <c r="AT103" s="246"/>
      <c r="AU103" s="246"/>
      <c r="AV103" s="246"/>
      <c r="AW103" s="246"/>
      <c r="AX103" s="1291"/>
      <c r="AY103" s="1291"/>
      <c r="AZ103" s="1291"/>
      <c r="BA103" s="1291"/>
      <c r="BB103" s="1291"/>
      <c r="BC103" s="1290"/>
      <c r="BD103" s="425"/>
      <c r="BE103" s="425"/>
      <c r="BF103" s="994" t="s">
        <v>645</v>
      </c>
    </row>
    <row r="104" spans="1:58" s="1229" customFormat="1" ht="16.5" customHeight="1">
      <c r="A104" s="983"/>
      <c r="B104" s="783"/>
      <c r="C104" s="1153"/>
      <c r="D104" s="1153"/>
      <c r="E104" s="676">
        <v>17.100000000000001</v>
      </c>
      <c r="F104" s="779" t="str" cm="1">
        <f t="array" aca="1" ref="F104" ca="1">OFFSET(G104,-1,-1)</f>
        <v>1</v>
      </c>
      <c r="G104" s="425"/>
      <c r="H104" s="425"/>
      <c r="I104" s="425"/>
      <c r="J104" s="425"/>
      <c r="K104" s="425"/>
      <c r="L104" s="425"/>
      <c r="M104" s="425"/>
      <c r="N104" s="425"/>
      <c r="O104" s="425"/>
      <c r="P104" s="425"/>
      <c r="Q104" s="425"/>
      <c r="R104" s="425"/>
      <c r="S104" s="425"/>
      <c r="T104" s="687" t="b" cm="1">
        <f t="array" ref="T104">T103</f>
        <v>1</v>
      </c>
      <c r="U104" s="1153"/>
      <c r="V104" s="1153"/>
      <c r="W104" s="1153"/>
      <c r="X104" s="1726"/>
      <c r="Y104" s="1153"/>
      <c r="Z104" s="1726"/>
      <c r="AA104" s="425"/>
      <c r="AB104" s="108" t="str">
        <f>AB97&amp;".3"</f>
        <v>1.3</v>
      </c>
      <c r="AC104" s="115" t="s">
        <v>646</v>
      </c>
      <c r="AD104" s="120" t="s">
        <v>634</v>
      </c>
      <c r="AE104" s="1291"/>
      <c r="AF104" s="1291"/>
      <c r="AG104" s="1291"/>
      <c r="AH104" s="1291"/>
      <c r="AI104" s="246"/>
      <c r="AJ104" s="246"/>
      <c r="AK104" s="246"/>
      <c r="AL104" s="246"/>
      <c r="AM104" s="246"/>
      <c r="AN104" s="1291"/>
      <c r="AO104" s="1291"/>
      <c r="AP104" s="1291"/>
      <c r="AQ104" s="1291"/>
      <c r="AR104" s="1291"/>
      <c r="AS104" s="246"/>
      <c r="AT104" s="246"/>
      <c r="AU104" s="246"/>
      <c r="AV104" s="246"/>
      <c r="AW104" s="246"/>
      <c r="AX104" s="1291"/>
      <c r="AY104" s="1291"/>
      <c r="AZ104" s="1291"/>
      <c r="BA104" s="1291"/>
      <c r="BB104" s="1291"/>
      <c r="BC104" s="1290"/>
      <c r="BD104" s="425"/>
      <c r="BE104" s="425"/>
      <c r="BF104" s="994" t="s">
        <v>647</v>
      </c>
    </row>
    <row r="105" spans="1:58" s="1229" customFormat="1" ht="16.5" customHeight="1">
      <c r="A105" s="983"/>
      <c r="B105" s="783"/>
      <c r="C105" s="1153"/>
      <c r="D105" s="1153"/>
      <c r="E105" s="676">
        <v>17.100000000000001</v>
      </c>
      <c r="F105" s="779" t="str" cm="1">
        <f t="array" aca="1" ref="F105" ca="1">OFFSET(G105,-1,-1)</f>
        <v>1</v>
      </c>
      <c r="G105" s="425"/>
      <c r="H105" s="425"/>
      <c r="I105" s="425"/>
      <c r="J105" s="425"/>
      <c r="K105" s="425"/>
      <c r="L105" s="425"/>
      <c r="M105" s="425"/>
      <c r="N105" s="425"/>
      <c r="O105" s="425"/>
      <c r="P105" s="425"/>
      <c r="Q105" s="425"/>
      <c r="R105" s="425"/>
      <c r="S105" s="425"/>
      <c r="T105" s="687" t="b" cm="1">
        <f t="array" ref="T105">T104</f>
        <v>1</v>
      </c>
      <c r="U105" s="1153"/>
      <c r="V105" s="1153"/>
      <c r="W105" s="1153"/>
      <c r="X105" s="1726"/>
      <c r="Y105" s="1153"/>
      <c r="Z105" s="1726"/>
      <c r="AA105" s="425"/>
      <c r="AB105" s="124" t="s">
        <v>348</v>
      </c>
      <c r="AC105" s="725" t="s">
        <v>648</v>
      </c>
      <c r="AD105" s="120" t="s">
        <v>634</v>
      </c>
      <c r="AE105" s="311">
        <f t="shared" ref="AE105:BB105" si="35">AE106+AE109+AE112</f>
        <v>0</v>
      </c>
      <c r="AF105" s="311">
        <f t="shared" si="35"/>
        <v>0</v>
      </c>
      <c r="AG105" s="311">
        <f t="shared" si="35"/>
        <v>0</v>
      </c>
      <c r="AH105" s="311">
        <f t="shared" si="35"/>
        <v>5787</v>
      </c>
      <c r="AI105" s="311">
        <f t="shared" si="35"/>
        <v>0</v>
      </c>
      <c r="AJ105" s="311">
        <f t="shared" si="35"/>
        <v>0</v>
      </c>
      <c r="AK105" s="311">
        <f t="shared" si="35"/>
        <v>0</v>
      </c>
      <c r="AL105" s="311">
        <f t="shared" si="35"/>
        <v>0</v>
      </c>
      <c r="AM105" s="311">
        <f t="shared" si="35"/>
        <v>0</v>
      </c>
      <c r="AN105" s="311">
        <f t="shared" si="35"/>
        <v>0</v>
      </c>
      <c r="AO105" s="311">
        <f t="shared" si="35"/>
        <v>0</v>
      </c>
      <c r="AP105" s="311">
        <f t="shared" si="35"/>
        <v>0</v>
      </c>
      <c r="AQ105" s="311">
        <f t="shared" si="35"/>
        <v>0</v>
      </c>
      <c r="AR105" s="311">
        <f t="shared" si="35"/>
        <v>0</v>
      </c>
      <c r="AS105" s="311">
        <f t="shared" si="35"/>
        <v>5786.7</v>
      </c>
      <c r="AT105" s="311">
        <f t="shared" si="35"/>
        <v>0</v>
      </c>
      <c r="AU105" s="311">
        <f t="shared" si="35"/>
        <v>0</v>
      </c>
      <c r="AV105" s="311">
        <f t="shared" si="35"/>
        <v>0</v>
      </c>
      <c r="AW105" s="311">
        <f t="shared" si="35"/>
        <v>0</v>
      </c>
      <c r="AX105" s="311">
        <f t="shared" si="35"/>
        <v>0</v>
      </c>
      <c r="AY105" s="311">
        <f t="shared" si="35"/>
        <v>0</v>
      </c>
      <c r="AZ105" s="311">
        <f t="shared" si="35"/>
        <v>0</v>
      </c>
      <c r="BA105" s="311">
        <f t="shared" si="35"/>
        <v>0</v>
      </c>
      <c r="BB105" s="311">
        <f t="shared" si="35"/>
        <v>0</v>
      </c>
      <c r="BC105" s="1290"/>
      <c r="BD105" s="425"/>
      <c r="BE105" s="425"/>
      <c r="BF105" s="994" t="s">
        <v>649</v>
      </c>
    </row>
    <row r="106" spans="1:58" s="1229" customFormat="1" ht="16.5" customHeight="1">
      <c r="A106" s="983"/>
      <c r="B106" s="783"/>
      <c r="C106" s="1153"/>
      <c r="D106" s="1153"/>
      <c r="E106" s="676">
        <v>17.100000000000001</v>
      </c>
      <c r="F106" s="779" t="str" cm="1">
        <f t="array" aca="1" ref="F106" ca="1">OFFSET(G106,-1,-1)</f>
        <v>1</v>
      </c>
      <c r="G106" s="425"/>
      <c r="H106" s="425"/>
      <c r="I106" s="425"/>
      <c r="J106" s="425"/>
      <c r="K106" s="425"/>
      <c r="L106" s="425"/>
      <c r="M106" s="425"/>
      <c r="N106" s="425"/>
      <c r="O106" s="425"/>
      <c r="P106" s="425"/>
      <c r="Q106" s="425"/>
      <c r="R106" s="425"/>
      <c r="S106" s="425"/>
      <c r="T106" s="687" t="b" cm="1">
        <f t="array" ref="T106">T105</f>
        <v>1</v>
      </c>
      <c r="U106" s="1153"/>
      <c r="V106" s="1153"/>
      <c r="W106" s="1153"/>
      <c r="X106" s="1726"/>
      <c r="Y106" s="1153"/>
      <c r="Z106" s="1726"/>
      <c r="AA106" s="425"/>
      <c r="AB106" s="108" t="str">
        <f>AB105&amp;".1"</f>
        <v>2.1</v>
      </c>
      <c r="AC106" s="115" t="s">
        <v>636</v>
      </c>
      <c r="AD106" s="120" t="s">
        <v>634</v>
      </c>
      <c r="AE106" s="311">
        <f t="shared" ref="AE106:BB106" si="36">AE107+AE108</f>
        <v>0</v>
      </c>
      <c r="AF106" s="311">
        <f t="shared" si="36"/>
        <v>0</v>
      </c>
      <c r="AG106" s="311">
        <f t="shared" si="36"/>
        <v>0</v>
      </c>
      <c r="AH106" s="311">
        <f t="shared" si="36"/>
        <v>0</v>
      </c>
      <c r="AI106" s="311">
        <f t="shared" si="36"/>
        <v>0</v>
      </c>
      <c r="AJ106" s="311">
        <f t="shared" si="36"/>
        <v>0</v>
      </c>
      <c r="AK106" s="311">
        <f t="shared" si="36"/>
        <v>0</v>
      </c>
      <c r="AL106" s="311">
        <f t="shared" si="36"/>
        <v>0</v>
      </c>
      <c r="AM106" s="311">
        <f t="shared" si="36"/>
        <v>0</v>
      </c>
      <c r="AN106" s="311">
        <f t="shared" si="36"/>
        <v>0</v>
      </c>
      <c r="AO106" s="311">
        <f t="shared" si="36"/>
        <v>0</v>
      </c>
      <c r="AP106" s="311">
        <f t="shared" si="36"/>
        <v>0</v>
      </c>
      <c r="AQ106" s="311">
        <f t="shared" si="36"/>
        <v>0</v>
      </c>
      <c r="AR106" s="311">
        <f t="shared" si="36"/>
        <v>0</v>
      </c>
      <c r="AS106" s="311">
        <f t="shared" si="36"/>
        <v>0</v>
      </c>
      <c r="AT106" s="311">
        <f t="shared" si="36"/>
        <v>0</v>
      </c>
      <c r="AU106" s="311">
        <f t="shared" si="36"/>
        <v>0</v>
      </c>
      <c r="AV106" s="311">
        <f t="shared" si="36"/>
        <v>0</v>
      </c>
      <c r="AW106" s="311">
        <f t="shared" si="36"/>
        <v>0</v>
      </c>
      <c r="AX106" s="311">
        <f t="shared" si="36"/>
        <v>0</v>
      </c>
      <c r="AY106" s="311">
        <f t="shared" si="36"/>
        <v>0</v>
      </c>
      <c r="AZ106" s="311">
        <f t="shared" si="36"/>
        <v>0</v>
      </c>
      <c r="BA106" s="311">
        <f t="shared" si="36"/>
        <v>0</v>
      </c>
      <c r="BB106" s="311">
        <f t="shared" si="36"/>
        <v>0</v>
      </c>
      <c r="BC106" s="1290"/>
      <c r="BD106" s="425"/>
      <c r="BE106" s="425"/>
      <c r="BF106" s="994" t="s">
        <v>650</v>
      </c>
    </row>
    <row r="107" spans="1:58" s="1229" customFormat="1" ht="16.5" customHeight="1">
      <c r="A107" s="983"/>
      <c r="B107" s="783"/>
      <c r="C107" s="1153"/>
      <c r="D107" s="1153"/>
      <c r="E107" s="676">
        <v>17.100000000000001</v>
      </c>
      <c r="F107" s="779" t="str" cm="1">
        <f t="array" aca="1" ref="F107" ca="1">OFFSET(G107,-1,-1)</f>
        <v>1</v>
      </c>
      <c r="G107" s="425"/>
      <c r="H107" s="425"/>
      <c r="I107" s="425"/>
      <c r="J107" s="425"/>
      <c r="K107" s="425"/>
      <c r="L107" s="425"/>
      <c r="M107" s="425"/>
      <c r="N107" s="425"/>
      <c r="O107" s="425"/>
      <c r="P107" s="425"/>
      <c r="Q107" s="425"/>
      <c r="R107" s="425"/>
      <c r="S107" s="425"/>
      <c r="T107" s="687" t="b" cm="1">
        <f t="array" ref="T107">T106</f>
        <v>1</v>
      </c>
      <c r="U107" s="1153"/>
      <c r="V107" s="1153"/>
      <c r="W107" s="1153"/>
      <c r="X107" s="1726"/>
      <c r="Y107" s="1153"/>
      <c r="Z107" s="1726"/>
      <c r="AA107" s="425"/>
      <c r="AB107" s="108" t="str">
        <f>AB106&amp;".1"</f>
        <v>2.1.1</v>
      </c>
      <c r="AC107" s="471" t="s">
        <v>638</v>
      </c>
      <c r="AD107" s="120" t="s">
        <v>634</v>
      </c>
      <c r="AE107" s="1291"/>
      <c r="AF107" s="1291"/>
      <c r="AG107" s="1291"/>
      <c r="AH107" s="1291"/>
      <c r="AI107" s="246"/>
      <c r="AJ107" s="246"/>
      <c r="AK107" s="246"/>
      <c r="AL107" s="246"/>
      <c r="AM107" s="246"/>
      <c r="AN107" s="1291"/>
      <c r="AO107" s="1291"/>
      <c r="AP107" s="1291"/>
      <c r="AQ107" s="1291"/>
      <c r="AR107" s="1291"/>
      <c r="AS107" s="246"/>
      <c r="AT107" s="246"/>
      <c r="AU107" s="246"/>
      <c r="AV107" s="246"/>
      <c r="AW107" s="246"/>
      <c r="AX107" s="1291"/>
      <c r="AY107" s="1291"/>
      <c r="AZ107" s="1291"/>
      <c r="BA107" s="1291"/>
      <c r="BB107" s="1291"/>
      <c r="BC107" s="1290"/>
      <c r="BD107" s="425"/>
      <c r="BE107" s="425"/>
      <c r="BF107" s="994" t="s">
        <v>651</v>
      </c>
    </row>
    <row r="108" spans="1:58" s="1229" customFormat="1" ht="16.5" customHeight="1">
      <c r="A108" s="983"/>
      <c r="B108" s="783"/>
      <c r="C108" s="1153"/>
      <c r="D108" s="1153"/>
      <c r="E108" s="676">
        <v>17.100000000000001</v>
      </c>
      <c r="F108" s="779" t="str" cm="1">
        <f t="array" aca="1" ref="F108" ca="1">OFFSET(G108,-1,-1)</f>
        <v>1</v>
      </c>
      <c r="G108" s="425"/>
      <c r="H108" s="425"/>
      <c r="I108" s="425"/>
      <c r="J108" s="425"/>
      <c r="K108" s="425"/>
      <c r="L108" s="425"/>
      <c r="M108" s="425"/>
      <c r="N108" s="425"/>
      <c r="O108" s="425"/>
      <c r="P108" s="425"/>
      <c r="Q108" s="425"/>
      <c r="R108" s="425"/>
      <c r="S108" s="425"/>
      <c r="T108" s="687" t="b" cm="1">
        <f t="array" ref="T108">T107</f>
        <v>1</v>
      </c>
      <c r="U108" s="1153"/>
      <c r="V108" s="1153"/>
      <c r="W108" s="1153"/>
      <c r="X108" s="1726"/>
      <c r="Y108" s="1153"/>
      <c r="Z108" s="1726"/>
      <c r="AA108" s="425"/>
      <c r="AB108" s="108" t="str">
        <f>AB106&amp;".2"</f>
        <v>2.1.2</v>
      </c>
      <c r="AC108" s="471" t="s">
        <v>640</v>
      </c>
      <c r="AD108" s="120" t="s">
        <v>634</v>
      </c>
      <c r="AE108" s="1291"/>
      <c r="AF108" s="1291"/>
      <c r="AG108" s="1291"/>
      <c r="AH108" s="1291"/>
      <c r="AI108" s="246"/>
      <c r="AJ108" s="246"/>
      <c r="AK108" s="246"/>
      <c r="AL108" s="246"/>
      <c r="AM108" s="246"/>
      <c r="AN108" s="1291"/>
      <c r="AO108" s="1291"/>
      <c r="AP108" s="1291"/>
      <c r="AQ108" s="1291"/>
      <c r="AR108" s="1291"/>
      <c r="AS108" s="246"/>
      <c r="AT108" s="246"/>
      <c r="AU108" s="246"/>
      <c r="AV108" s="246"/>
      <c r="AW108" s="246"/>
      <c r="AX108" s="1291"/>
      <c r="AY108" s="1291"/>
      <c r="AZ108" s="1291"/>
      <c r="BA108" s="1291"/>
      <c r="BB108" s="1291"/>
      <c r="BC108" s="1290"/>
      <c r="BD108" s="425"/>
      <c r="BE108" s="425"/>
      <c r="BF108" s="994" t="s">
        <v>652</v>
      </c>
    </row>
    <row r="109" spans="1:58" s="1229" customFormat="1" ht="16.5" customHeight="1">
      <c r="A109" s="983"/>
      <c r="B109" s="783"/>
      <c r="C109" s="1153"/>
      <c r="D109" s="1153"/>
      <c r="E109" s="676">
        <v>17.100000000000001</v>
      </c>
      <c r="F109" s="779" t="str" cm="1">
        <f t="array" aca="1" ref="F109" ca="1">OFFSET(G109,-1,-1)</f>
        <v>1</v>
      </c>
      <c r="G109" s="425"/>
      <c r="H109" s="425"/>
      <c r="I109" s="425"/>
      <c r="J109" s="425"/>
      <c r="K109" s="425"/>
      <c r="L109" s="425"/>
      <c r="M109" s="425"/>
      <c r="N109" s="425"/>
      <c r="O109" s="425"/>
      <c r="P109" s="425"/>
      <c r="Q109" s="425"/>
      <c r="R109" s="425"/>
      <c r="S109" s="425"/>
      <c r="T109" s="687" t="b" cm="1">
        <f t="array" ref="T109">T108</f>
        <v>1</v>
      </c>
      <c r="U109" s="1153"/>
      <c r="V109" s="1153"/>
      <c r="W109" s="1153"/>
      <c r="X109" s="1726"/>
      <c r="Y109" s="1153"/>
      <c r="Z109" s="1726"/>
      <c r="AA109" s="425"/>
      <c r="AB109" s="108" t="str">
        <f>AB106&amp;".2"</f>
        <v>2.1.2</v>
      </c>
      <c r="AC109" s="115" t="s">
        <v>642</v>
      </c>
      <c r="AD109" s="120" t="s">
        <v>634</v>
      </c>
      <c r="AE109" s="311">
        <f t="shared" ref="AE109:BB109" si="37">AE110+AE111</f>
        <v>0</v>
      </c>
      <c r="AF109" s="311">
        <f t="shared" si="37"/>
        <v>0</v>
      </c>
      <c r="AG109" s="311">
        <f t="shared" si="37"/>
        <v>0</v>
      </c>
      <c r="AH109" s="311">
        <f t="shared" si="37"/>
        <v>5787</v>
      </c>
      <c r="AI109" s="311">
        <f t="shared" si="37"/>
        <v>0</v>
      </c>
      <c r="AJ109" s="311">
        <f t="shared" si="37"/>
        <v>0</v>
      </c>
      <c r="AK109" s="311">
        <f t="shared" si="37"/>
        <v>0</v>
      </c>
      <c r="AL109" s="311">
        <f t="shared" si="37"/>
        <v>0</v>
      </c>
      <c r="AM109" s="311">
        <f t="shared" si="37"/>
        <v>0</v>
      </c>
      <c r="AN109" s="311">
        <f t="shared" si="37"/>
        <v>0</v>
      </c>
      <c r="AO109" s="311">
        <f t="shared" si="37"/>
        <v>0</v>
      </c>
      <c r="AP109" s="311">
        <f t="shared" si="37"/>
        <v>0</v>
      </c>
      <c r="AQ109" s="311">
        <f t="shared" si="37"/>
        <v>0</v>
      </c>
      <c r="AR109" s="311">
        <f t="shared" si="37"/>
        <v>0</v>
      </c>
      <c r="AS109" s="311">
        <f t="shared" si="37"/>
        <v>5786.7</v>
      </c>
      <c r="AT109" s="311">
        <f t="shared" si="37"/>
        <v>0</v>
      </c>
      <c r="AU109" s="311">
        <f t="shared" si="37"/>
        <v>0</v>
      </c>
      <c r="AV109" s="311">
        <f t="shared" si="37"/>
        <v>0</v>
      </c>
      <c r="AW109" s="311">
        <f t="shared" si="37"/>
        <v>0</v>
      </c>
      <c r="AX109" s="311">
        <f t="shared" si="37"/>
        <v>0</v>
      </c>
      <c r="AY109" s="311">
        <f t="shared" si="37"/>
        <v>0</v>
      </c>
      <c r="AZ109" s="311">
        <f t="shared" si="37"/>
        <v>0</v>
      </c>
      <c r="BA109" s="311">
        <f t="shared" si="37"/>
        <v>0</v>
      </c>
      <c r="BB109" s="311">
        <f t="shared" si="37"/>
        <v>0</v>
      </c>
      <c r="BC109" s="1290"/>
      <c r="BD109" s="425"/>
      <c r="BE109" s="425"/>
      <c r="BF109" s="994" t="s">
        <v>653</v>
      </c>
    </row>
    <row r="110" spans="1:58" s="1229" customFormat="1" ht="16.5" customHeight="1">
      <c r="A110" s="983"/>
      <c r="B110" s="783"/>
      <c r="C110" s="1153"/>
      <c r="D110" s="1153"/>
      <c r="E110" s="676">
        <v>17.100000000000001</v>
      </c>
      <c r="F110" s="779" t="str" cm="1">
        <f t="array" aca="1" ref="F110" ca="1">OFFSET(G110,-1,-1)</f>
        <v>1</v>
      </c>
      <c r="G110" s="425"/>
      <c r="H110" s="425"/>
      <c r="I110" s="425"/>
      <c r="J110" s="425"/>
      <c r="K110" s="425"/>
      <c r="L110" s="425"/>
      <c r="M110" s="425"/>
      <c r="N110" s="425"/>
      <c r="O110" s="425"/>
      <c r="P110" s="425"/>
      <c r="Q110" s="425"/>
      <c r="R110" s="425"/>
      <c r="S110" s="425"/>
      <c r="T110" s="687" t="b" cm="1">
        <f t="array" ref="T110">T109</f>
        <v>1</v>
      </c>
      <c r="U110" s="1153"/>
      <c r="V110" s="1153"/>
      <c r="W110" s="1153"/>
      <c r="X110" s="1726"/>
      <c r="Y110" s="1153"/>
      <c r="Z110" s="1726"/>
      <c r="AA110" s="425"/>
      <c r="AB110" s="108" t="str">
        <f>AB109&amp;".1"</f>
        <v>2.1.2.1</v>
      </c>
      <c r="AC110" s="471" t="s">
        <v>638</v>
      </c>
      <c r="AD110" s="120" t="s">
        <v>634</v>
      </c>
      <c r="AE110" s="1291"/>
      <c r="AF110" s="1291"/>
      <c r="AG110" s="1291"/>
      <c r="AH110" s="1291">
        <v>5787</v>
      </c>
      <c r="AI110" s="246"/>
      <c r="AJ110" s="246"/>
      <c r="AK110" s="246"/>
      <c r="AL110" s="246"/>
      <c r="AM110" s="246"/>
      <c r="AN110" s="1291"/>
      <c r="AO110" s="1291"/>
      <c r="AP110" s="1291"/>
      <c r="AQ110" s="1291"/>
      <c r="AR110" s="1291"/>
      <c r="AS110" s="246">
        <v>5786.7</v>
      </c>
      <c r="AT110" s="246"/>
      <c r="AU110" s="246"/>
      <c r="AV110" s="246"/>
      <c r="AW110" s="246"/>
      <c r="AX110" s="1291"/>
      <c r="AY110" s="1291"/>
      <c r="AZ110" s="1291"/>
      <c r="BA110" s="1291"/>
      <c r="BB110" s="1291"/>
      <c r="BC110" s="1290"/>
      <c r="BD110" s="425"/>
      <c r="BE110" s="425"/>
      <c r="BF110" s="994" t="s">
        <v>654</v>
      </c>
    </row>
    <row r="111" spans="1:58" s="1229" customFormat="1" ht="16.5" customHeight="1">
      <c r="A111" s="983"/>
      <c r="B111" s="783"/>
      <c r="C111" s="1153"/>
      <c r="D111" s="1153"/>
      <c r="E111" s="676">
        <v>17.100000000000001</v>
      </c>
      <c r="F111" s="779" t="str" cm="1">
        <f t="array" aca="1" ref="F111" ca="1">OFFSET(G111,-1,-1)</f>
        <v>1</v>
      </c>
      <c r="G111" s="425"/>
      <c r="H111" s="425"/>
      <c r="I111" s="425"/>
      <c r="J111" s="425"/>
      <c r="K111" s="425"/>
      <c r="L111" s="425"/>
      <c r="M111" s="425"/>
      <c r="N111" s="425"/>
      <c r="O111" s="425"/>
      <c r="P111" s="425"/>
      <c r="Q111" s="425"/>
      <c r="R111" s="425"/>
      <c r="S111" s="425"/>
      <c r="T111" s="687" t="b" cm="1">
        <f t="array" ref="T111">T110</f>
        <v>1</v>
      </c>
      <c r="U111" s="1153"/>
      <c r="V111" s="1153"/>
      <c r="W111" s="1153"/>
      <c r="X111" s="1726"/>
      <c r="Y111" s="1153"/>
      <c r="Z111" s="1726"/>
      <c r="AA111" s="425"/>
      <c r="AB111" s="108" t="str">
        <f>AB109&amp;".2"</f>
        <v>2.1.2.2</v>
      </c>
      <c r="AC111" s="471" t="s">
        <v>640</v>
      </c>
      <c r="AD111" s="726" t="s">
        <v>634</v>
      </c>
      <c r="AE111" s="1292"/>
      <c r="AF111" s="1291"/>
      <c r="AG111" s="1292"/>
      <c r="AH111" s="1291"/>
      <c r="AI111" s="498"/>
      <c r="AJ111" s="246"/>
      <c r="AK111" s="498"/>
      <c r="AL111" s="246"/>
      <c r="AM111" s="498"/>
      <c r="AN111" s="1291"/>
      <c r="AO111" s="1292"/>
      <c r="AP111" s="1291"/>
      <c r="AQ111" s="1292"/>
      <c r="AR111" s="1291"/>
      <c r="AS111" s="498">
        <v>0</v>
      </c>
      <c r="AT111" s="246"/>
      <c r="AU111" s="498"/>
      <c r="AV111" s="246"/>
      <c r="AW111" s="498"/>
      <c r="AX111" s="1291"/>
      <c r="AY111" s="1292"/>
      <c r="AZ111" s="1291"/>
      <c r="BA111" s="1292"/>
      <c r="BB111" s="1291"/>
      <c r="BC111" s="1290"/>
      <c r="BD111" s="425"/>
      <c r="BE111" s="425"/>
      <c r="BF111" s="994" t="s">
        <v>655</v>
      </c>
    </row>
    <row r="112" spans="1:58" s="1229" customFormat="1" ht="16.5" customHeight="1">
      <c r="A112" s="983"/>
      <c r="B112" s="783"/>
      <c r="C112" s="1153"/>
      <c r="D112" s="1153"/>
      <c r="E112" s="676">
        <v>17.100000000000001</v>
      </c>
      <c r="F112" s="779" t="str" cm="1">
        <f t="array" aca="1" ref="F112" ca="1">OFFSET(G112,-1,-1)</f>
        <v>1</v>
      </c>
      <c r="G112" s="425"/>
      <c r="H112" s="425"/>
      <c r="I112" s="425"/>
      <c r="J112" s="425"/>
      <c r="K112" s="425"/>
      <c r="L112" s="425"/>
      <c r="M112" s="425"/>
      <c r="N112" s="425"/>
      <c r="O112" s="425"/>
      <c r="P112" s="425"/>
      <c r="Q112" s="425"/>
      <c r="R112" s="425"/>
      <c r="S112" s="425"/>
      <c r="T112" s="687" t="b" cm="1">
        <f t="array" ref="T112">T111</f>
        <v>1</v>
      </c>
      <c r="U112" s="1153"/>
      <c r="V112" s="1153"/>
      <c r="W112" s="1153"/>
      <c r="X112" s="1726"/>
      <c r="Y112" s="1153"/>
      <c r="Z112" s="1726"/>
      <c r="AA112" s="425"/>
      <c r="AB112" s="108" t="str">
        <f>AB105&amp;".3"</f>
        <v>2.3</v>
      </c>
      <c r="AC112" s="609" t="s">
        <v>646</v>
      </c>
      <c r="AD112" s="120" t="s">
        <v>634</v>
      </c>
      <c r="AE112" s="1291"/>
      <c r="AF112" s="1293"/>
      <c r="AG112" s="1291"/>
      <c r="AH112" s="1293"/>
      <c r="AI112" s="246"/>
      <c r="AJ112" s="728"/>
      <c r="AK112" s="246"/>
      <c r="AL112" s="728"/>
      <c r="AM112" s="246"/>
      <c r="AN112" s="1293"/>
      <c r="AO112" s="1291"/>
      <c r="AP112" s="1293"/>
      <c r="AQ112" s="1291"/>
      <c r="AR112" s="1293"/>
      <c r="AS112" s="246"/>
      <c r="AT112" s="728"/>
      <c r="AU112" s="246"/>
      <c r="AV112" s="728"/>
      <c r="AW112" s="246"/>
      <c r="AX112" s="1293"/>
      <c r="AY112" s="1291"/>
      <c r="AZ112" s="1293"/>
      <c r="BA112" s="1291"/>
      <c r="BB112" s="1293"/>
      <c r="BC112" s="1290"/>
      <c r="BD112" s="425"/>
      <c r="BE112" s="425"/>
      <c r="BF112" s="994" t="s">
        <v>656</v>
      </c>
    </row>
    <row r="113" spans="1:58" s="1229" customFormat="1" ht="29.25" customHeight="1">
      <c r="A113" s="983"/>
      <c r="B113" s="783"/>
      <c r="C113" s="1153"/>
      <c r="D113" s="1153"/>
      <c r="E113" s="676">
        <v>30</v>
      </c>
      <c r="F113" s="779" t="str" cm="1">
        <f t="array" aca="1" ref="F113" ca="1">OFFSET(G113,-1,-1)</f>
        <v>1</v>
      </c>
      <c r="G113" s="425"/>
      <c r="H113" s="425"/>
      <c r="I113" s="425"/>
      <c r="J113" s="425"/>
      <c r="K113" s="425"/>
      <c r="L113" s="425"/>
      <c r="M113" s="425"/>
      <c r="N113" s="425"/>
      <c r="O113" s="425"/>
      <c r="P113" s="425"/>
      <c r="Q113" s="425"/>
      <c r="R113" s="425"/>
      <c r="S113" s="425"/>
      <c r="T113" s="687" t="b" cm="1">
        <f t="array" ref="T113">T112</f>
        <v>1</v>
      </c>
      <c r="U113" s="1153"/>
      <c r="V113" s="1153"/>
      <c r="W113" s="1153"/>
      <c r="X113" s="1726"/>
      <c r="Y113" s="1153"/>
      <c r="Z113" s="1726"/>
      <c r="AA113" s="425"/>
      <c r="AB113" s="271" t="s">
        <v>437</v>
      </c>
      <c r="AC113" s="114" t="s">
        <v>657</v>
      </c>
      <c r="AD113" s="120" t="s">
        <v>634</v>
      </c>
      <c r="AE113" s="311">
        <f t="shared" ref="AE113:BB113" si="38">AE114+AE117+AE120</f>
        <v>0</v>
      </c>
      <c r="AF113" s="729">
        <f t="shared" si="38"/>
        <v>0</v>
      </c>
      <c r="AG113" s="311">
        <f t="shared" si="38"/>
        <v>0</v>
      </c>
      <c r="AH113" s="311">
        <f t="shared" si="38"/>
        <v>153087</v>
      </c>
      <c r="AI113" s="311">
        <f t="shared" si="38"/>
        <v>0</v>
      </c>
      <c r="AJ113" s="311">
        <f t="shared" si="38"/>
        <v>0</v>
      </c>
      <c r="AK113" s="311">
        <f t="shared" si="38"/>
        <v>0</v>
      </c>
      <c r="AL113" s="311">
        <f t="shared" si="38"/>
        <v>0</v>
      </c>
      <c r="AM113" s="311">
        <f t="shared" si="38"/>
        <v>0</v>
      </c>
      <c r="AN113" s="311">
        <f t="shared" si="38"/>
        <v>0</v>
      </c>
      <c r="AO113" s="311">
        <f t="shared" si="38"/>
        <v>0</v>
      </c>
      <c r="AP113" s="311">
        <f t="shared" si="38"/>
        <v>0</v>
      </c>
      <c r="AQ113" s="311">
        <f t="shared" si="38"/>
        <v>0</v>
      </c>
      <c r="AR113" s="311">
        <f t="shared" si="38"/>
        <v>0</v>
      </c>
      <c r="AS113" s="311">
        <f t="shared" si="38"/>
        <v>153301.70000000001</v>
      </c>
      <c r="AT113" s="311">
        <f t="shared" si="38"/>
        <v>0</v>
      </c>
      <c r="AU113" s="311">
        <f t="shared" si="38"/>
        <v>0</v>
      </c>
      <c r="AV113" s="311">
        <f t="shared" si="38"/>
        <v>0</v>
      </c>
      <c r="AW113" s="311">
        <f t="shared" si="38"/>
        <v>0</v>
      </c>
      <c r="AX113" s="311">
        <f t="shared" si="38"/>
        <v>0</v>
      </c>
      <c r="AY113" s="311">
        <f t="shared" si="38"/>
        <v>0</v>
      </c>
      <c r="AZ113" s="311">
        <f t="shared" si="38"/>
        <v>0</v>
      </c>
      <c r="BA113" s="311">
        <f t="shared" si="38"/>
        <v>0</v>
      </c>
      <c r="BB113" s="311">
        <f t="shared" si="38"/>
        <v>0</v>
      </c>
      <c r="BC113" s="1290"/>
      <c r="BD113" s="425"/>
      <c r="BE113" s="425"/>
      <c r="BF113" s="994" t="s">
        <v>658</v>
      </c>
    </row>
    <row r="114" spans="1:58" s="1229" customFormat="1" ht="16.5" customHeight="1">
      <c r="A114" s="983"/>
      <c r="B114" s="783"/>
      <c r="C114" s="1153"/>
      <c r="D114" s="1153"/>
      <c r="E114" s="676">
        <v>17.100000000000001</v>
      </c>
      <c r="F114" s="779" t="str" cm="1">
        <f t="array" aca="1" ref="F114" ca="1">OFFSET(G114,-1,-1)</f>
        <v>1</v>
      </c>
      <c r="G114" s="425"/>
      <c r="H114" s="425"/>
      <c r="I114" s="425"/>
      <c r="J114" s="425"/>
      <c r="K114" s="425"/>
      <c r="L114" s="425"/>
      <c r="M114" s="425"/>
      <c r="N114" s="425"/>
      <c r="O114" s="425"/>
      <c r="P114" s="425"/>
      <c r="Q114" s="425"/>
      <c r="R114" s="425"/>
      <c r="S114" s="425"/>
      <c r="T114" s="687" t="b" cm="1">
        <f t="array" ref="T114">T113</f>
        <v>1</v>
      </c>
      <c r="U114" s="1153"/>
      <c r="V114" s="1153"/>
      <c r="W114" s="1153"/>
      <c r="X114" s="1726"/>
      <c r="Y114" s="1153"/>
      <c r="Z114" s="1726"/>
      <c r="AA114" s="425"/>
      <c r="AB114" s="724" t="str">
        <f>AB113&amp;".1"</f>
        <v>3.1</v>
      </c>
      <c r="AC114" s="609" t="s">
        <v>636</v>
      </c>
      <c r="AD114" s="120" t="s">
        <v>634</v>
      </c>
      <c r="AE114" s="311">
        <f t="shared" ref="AE114:BB114" si="39">AE115+AE116</f>
        <v>0</v>
      </c>
      <c r="AF114" s="467">
        <f t="shared" si="39"/>
        <v>0</v>
      </c>
      <c r="AG114" s="467">
        <f t="shared" si="39"/>
        <v>0</v>
      </c>
      <c r="AH114" s="467">
        <f t="shared" si="39"/>
        <v>0</v>
      </c>
      <c r="AI114" s="467">
        <f t="shared" si="39"/>
        <v>0</v>
      </c>
      <c r="AJ114" s="467">
        <f t="shared" si="39"/>
        <v>0</v>
      </c>
      <c r="AK114" s="467">
        <f t="shared" si="39"/>
        <v>0</v>
      </c>
      <c r="AL114" s="467">
        <f t="shared" si="39"/>
        <v>0</v>
      </c>
      <c r="AM114" s="467">
        <f t="shared" si="39"/>
        <v>0</v>
      </c>
      <c r="AN114" s="467">
        <f t="shared" si="39"/>
        <v>0</v>
      </c>
      <c r="AO114" s="467">
        <f t="shared" si="39"/>
        <v>0</v>
      </c>
      <c r="AP114" s="467">
        <f t="shared" si="39"/>
        <v>0</v>
      </c>
      <c r="AQ114" s="467">
        <f t="shared" si="39"/>
        <v>0</v>
      </c>
      <c r="AR114" s="467">
        <f t="shared" si="39"/>
        <v>0</v>
      </c>
      <c r="AS114" s="467">
        <f t="shared" si="39"/>
        <v>0</v>
      </c>
      <c r="AT114" s="467">
        <f t="shared" si="39"/>
        <v>0</v>
      </c>
      <c r="AU114" s="467">
        <f t="shared" si="39"/>
        <v>0</v>
      </c>
      <c r="AV114" s="467">
        <f t="shared" si="39"/>
        <v>0</v>
      </c>
      <c r="AW114" s="467">
        <f t="shared" si="39"/>
        <v>0</v>
      </c>
      <c r="AX114" s="467">
        <f t="shared" si="39"/>
        <v>0</v>
      </c>
      <c r="AY114" s="467">
        <f t="shared" si="39"/>
        <v>0</v>
      </c>
      <c r="AZ114" s="467">
        <f t="shared" si="39"/>
        <v>0</v>
      </c>
      <c r="BA114" s="467">
        <f t="shared" si="39"/>
        <v>0</v>
      </c>
      <c r="BB114" s="467">
        <f t="shared" si="39"/>
        <v>0</v>
      </c>
      <c r="BC114" s="1290"/>
      <c r="BD114" s="425"/>
      <c r="BE114" s="425"/>
      <c r="BF114" s="994" t="s">
        <v>659</v>
      </c>
    </row>
    <row r="115" spans="1:58" s="1229" customFormat="1" ht="16.5" customHeight="1">
      <c r="A115" s="983"/>
      <c r="B115" s="783"/>
      <c r="C115" s="1153"/>
      <c r="D115" s="1153"/>
      <c r="E115" s="676">
        <v>17.100000000000001</v>
      </c>
      <c r="F115" s="779" t="str" cm="1">
        <f t="array" aca="1" ref="F115" ca="1">OFFSET(G115,-1,-1)</f>
        <v>1</v>
      </c>
      <c r="G115" s="425"/>
      <c r="H115" s="425"/>
      <c r="I115" s="425"/>
      <c r="J115" s="425"/>
      <c r="K115" s="425"/>
      <c r="L115" s="425"/>
      <c r="M115" s="425"/>
      <c r="N115" s="425"/>
      <c r="O115" s="425"/>
      <c r="P115" s="425"/>
      <c r="Q115" s="425"/>
      <c r="R115" s="425"/>
      <c r="S115" s="425"/>
      <c r="T115" s="687" t="b" cm="1">
        <f t="array" ref="T115">T114</f>
        <v>1</v>
      </c>
      <c r="U115" s="1153"/>
      <c r="V115" s="1153"/>
      <c r="W115" s="1153"/>
      <c r="X115" s="1726"/>
      <c r="Y115" s="1153"/>
      <c r="Z115" s="1726"/>
      <c r="AA115" s="425"/>
      <c r="AB115" s="724" t="str">
        <f>AB114&amp;".1"</f>
        <v>3.1.1</v>
      </c>
      <c r="AC115" s="607" t="s">
        <v>638</v>
      </c>
      <c r="AD115" s="120" t="s">
        <v>634</v>
      </c>
      <c r="AE115" s="1291">
        <f t="shared" ref="AE115:BB115" si="40">AE99-AE107</f>
        <v>0</v>
      </c>
      <c r="AF115" s="1291">
        <f t="shared" si="40"/>
        <v>0</v>
      </c>
      <c r="AG115" s="1291">
        <f t="shared" si="40"/>
        <v>0</v>
      </c>
      <c r="AH115" s="1291">
        <f t="shared" si="40"/>
        <v>0</v>
      </c>
      <c r="AI115" s="246">
        <f t="shared" si="40"/>
        <v>0</v>
      </c>
      <c r="AJ115" s="246">
        <f t="shared" si="40"/>
        <v>0</v>
      </c>
      <c r="AK115" s="246">
        <f t="shared" si="40"/>
        <v>0</v>
      </c>
      <c r="AL115" s="246">
        <f t="shared" si="40"/>
        <v>0</v>
      </c>
      <c r="AM115" s="246">
        <f t="shared" si="40"/>
        <v>0</v>
      </c>
      <c r="AN115" s="1291">
        <f t="shared" si="40"/>
        <v>0</v>
      </c>
      <c r="AO115" s="1291">
        <f t="shared" si="40"/>
        <v>0</v>
      </c>
      <c r="AP115" s="1291">
        <f t="shared" si="40"/>
        <v>0</v>
      </c>
      <c r="AQ115" s="1291">
        <f t="shared" si="40"/>
        <v>0</v>
      </c>
      <c r="AR115" s="1291">
        <f t="shared" si="40"/>
        <v>0</v>
      </c>
      <c r="AS115" s="246">
        <f t="shared" si="40"/>
        <v>0</v>
      </c>
      <c r="AT115" s="246">
        <f t="shared" si="40"/>
        <v>0</v>
      </c>
      <c r="AU115" s="246">
        <f t="shared" si="40"/>
        <v>0</v>
      </c>
      <c r="AV115" s="246">
        <f t="shared" si="40"/>
        <v>0</v>
      </c>
      <c r="AW115" s="246">
        <f t="shared" si="40"/>
        <v>0</v>
      </c>
      <c r="AX115" s="1291">
        <f t="shared" si="40"/>
        <v>0</v>
      </c>
      <c r="AY115" s="1291">
        <f t="shared" si="40"/>
        <v>0</v>
      </c>
      <c r="AZ115" s="1291">
        <f t="shared" si="40"/>
        <v>0</v>
      </c>
      <c r="BA115" s="1291">
        <f t="shared" si="40"/>
        <v>0</v>
      </c>
      <c r="BB115" s="1291">
        <f t="shared" si="40"/>
        <v>0</v>
      </c>
      <c r="BC115" s="1290"/>
      <c r="BD115" s="425"/>
      <c r="BE115" s="425"/>
      <c r="BF115" s="994" t="s">
        <v>660</v>
      </c>
    </row>
    <row r="116" spans="1:58" s="1229" customFormat="1" ht="16.5" customHeight="1">
      <c r="A116" s="983"/>
      <c r="B116" s="783"/>
      <c r="C116" s="1153"/>
      <c r="D116" s="1153"/>
      <c r="E116" s="676">
        <v>17.100000000000001</v>
      </c>
      <c r="F116" s="779" t="str" cm="1">
        <f t="array" aca="1" ref="F116" ca="1">OFFSET(G116,-1,-1)</f>
        <v>1</v>
      </c>
      <c r="G116" s="425"/>
      <c r="H116" s="425"/>
      <c r="I116" s="425"/>
      <c r="J116" s="425"/>
      <c r="K116" s="425"/>
      <c r="L116" s="425"/>
      <c r="M116" s="425"/>
      <c r="N116" s="425"/>
      <c r="O116" s="425"/>
      <c r="P116" s="425"/>
      <c r="Q116" s="425"/>
      <c r="R116" s="425"/>
      <c r="S116" s="425"/>
      <c r="T116" s="687" t="b" cm="1">
        <f t="array" ref="T116">T115</f>
        <v>1</v>
      </c>
      <c r="U116" s="1153"/>
      <c r="V116" s="1153"/>
      <c r="W116" s="1153"/>
      <c r="X116" s="1726"/>
      <c r="Y116" s="1153"/>
      <c r="Z116" s="1726"/>
      <c r="AA116" s="425"/>
      <c r="AB116" s="724" t="str">
        <f>AB114&amp;".2"</f>
        <v>3.1.2</v>
      </c>
      <c r="AC116" s="607" t="s">
        <v>640</v>
      </c>
      <c r="AD116" s="120" t="s">
        <v>634</v>
      </c>
      <c r="AE116" s="1291">
        <f t="shared" ref="AE116:BB116" si="41">AE100-AE108</f>
        <v>0</v>
      </c>
      <c r="AF116" s="1291">
        <f t="shared" si="41"/>
        <v>0</v>
      </c>
      <c r="AG116" s="1291">
        <f t="shared" si="41"/>
        <v>0</v>
      </c>
      <c r="AH116" s="1291">
        <f t="shared" si="41"/>
        <v>0</v>
      </c>
      <c r="AI116" s="246">
        <f t="shared" si="41"/>
        <v>0</v>
      </c>
      <c r="AJ116" s="246">
        <f t="shared" si="41"/>
        <v>0</v>
      </c>
      <c r="AK116" s="246">
        <f t="shared" si="41"/>
        <v>0</v>
      </c>
      <c r="AL116" s="246">
        <f t="shared" si="41"/>
        <v>0</v>
      </c>
      <c r="AM116" s="246">
        <f t="shared" si="41"/>
        <v>0</v>
      </c>
      <c r="AN116" s="1291">
        <f t="shared" si="41"/>
        <v>0</v>
      </c>
      <c r="AO116" s="1291">
        <f t="shared" si="41"/>
        <v>0</v>
      </c>
      <c r="AP116" s="1291">
        <f t="shared" si="41"/>
        <v>0</v>
      </c>
      <c r="AQ116" s="1291">
        <f t="shared" si="41"/>
        <v>0</v>
      </c>
      <c r="AR116" s="1291">
        <f t="shared" si="41"/>
        <v>0</v>
      </c>
      <c r="AS116" s="246">
        <f t="shared" si="41"/>
        <v>0</v>
      </c>
      <c r="AT116" s="246">
        <f t="shared" si="41"/>
        <v>0</v>
      </c>
      <c r="AU116" s="246">
        <f t="shared" si="41"/>
        <v>0</v>
      </c>
      <c r="AV116" s="246">
        <f t="shared" si="41"/>
        <v>0</v>
      </c>
      <c r="AW116" s="246">
        <f t="shared" si="41"/>
        <v>0</v>
      </c>
      <c r="AX116" s="1291">
        <f t="shared" si="41"/>
        <v>0</v>
      </c>
      <c r="AY116" s="1291">
        <f t="shared" si="41"/>
        <v>0</v>
      </c>
      <c r="AZ116" s="1291">
        <f t="shared" si="41"/>
        <v>0</v>
      </c>
      <c r="BA116" s="1291">
        <f t="shared" si="41"/>
        <v>0</v>
      </c>
      <c r="BB116" s="1291">
        <f t="shared" si="41"/>
        <v>0</v>
      </c>
      <c r="BC116" s="1290"/>
      <c r="BD116" s="425"/>
      <c r="BE116" s="425"/>
      <c r="BF116" s="994" t="s">
        <v>661</v>
      </c>
    </row>
    <row r="117" spans="1:58" s="1229" customFormat="1" ht="16.5" customHeight="1">
      <c r="A117" s="983"/>
      <c r="B117" s="783"/>
      <c r="C117" s="1153"/>
      <c r="D117" s="1153"/>
      <c r="E117" s="676">
        <v>17.100000000000001</v>
      </c>
      <c r="F117" s="779" t="str" cm="1">
        <f t="array" aca="1" ref="F117" ca="1">OFFSET(G117,-1,-1)</f>
        <v>1</v>
      </c>
      <c r="G117" s="425"/>
      <c r="H117" s="425"/>
      <c r="I117" s="425"/>
      <c r="J117" s="425"/>
      <c r="K117" s="425"/>
      <c r="L117" s="425"/>
      <c r="M117" s="425"/>
      <c r="N117" s="425"/>
      <c r="O117" s="425"/>
      <c r="P117" s="425"/>
      <c r="Q117" s="425"/>
      <c r="R117" s="425"/>
      <c r="S117" s="425"/>
      <c r="T117" s="687" t="b" cm="1">
        <f t="array" ref="T117">T116</f>
        <v>1</v>
      </c>
      <c r="U117" s="1153"/>
      <c r="V117" s="1153"/>
      <c r="W117" s="1153"/>
      <c r="X117" s="1726"/>
      <c r="Y117" s="1153"/>
      <c r="Z117" s="1726"/>
      <c r="AA117" s="425"/>
      <c r="AB117" s="724" t="str">
        <f>AB113&amp;".2"</f>
        <v>3.2</v>
      </c>
      <c r="AC117" s="609" t="s">
        <v>642</v>
      </c>
      <c r="AD117" s="120" t="s">
        <v>634</v>
      </c>
      <c r="AE117" s="311">
        <f t="shared" ref="AE117:BB117" si="42">AE118+AE119</f>
        <v>0</v>
      </c>
      <c r="AF117" s="311">
        <f t="shared" si="42"/>
        <v>0</v>
      </c>
      <c r="AG117" s="311">
        <f t="shared" si="42"/>
        <v>0</v>
      </c>
      <c r="AH117" s="311">
        <f t="shared" si="42"/>
        <v>153087</v>
      </c>
      <c r="AI117" s="311">
        <f t="shared" si="42"/>
        <v>0</v>
      </c>
      <c r="AJ117" s="311">
        <f t="shared" si="42"/>
        <v>0</v>
      </c>
      <c r="AK117" s="311">
        <f t="shared" si="42"/>
        <v>0</v>
      </c>
      <c r="AL117" s="311">
        <f t="shared" si="42"/>
        <v>0</v>
      </c>
      <c r="AM117" s="311">
        <f t="shared" si="42"/>
        <v>0</v>
      </c>
      <c r="AN117" s="311">
        <f t="shared" si="42"/>
        <v>0</v>
      </c>
      <c r="AO117" s="311">
        <f t="shared" si="42"/>
        <v>0</v>
      </c>
      <c r="AP117" s="311">
        <f t="shared" si="42"/>
        <v>0</v>
      </c>
      <c r="AQ117" s="311">
        <f t="shared" si="42"/>
        <v>0</v>
      </c>
      <c r="AR117" s="311">
        <f t="shared" si="42"/>
        <v>0</v>
      </c>
      <c r="AS117" s="311">
        <f t="shared" si="42"/>
        <v>153301.70000000001</v>
      </c>
      <c r="AT117" s="311">
        <f t="shared" si="42"/>
        <v>0</v>
      </c>
      <c r="AU117" s="311">
        <f t="shared" si="42"/>
        <v>0</v>
      </c>
      <c r="AV117" s="311">
        <f t="shared" si="42"/>
        <v>0</v>
      </c>
      <c r="AW117" s="311">
        <f t="shared" si="42"/>
        <v>0</v>
      </c>
      <c r="AX117" s="311">
        <f t="shared" si="42"/>
        <v>0</v>
      </c>
      <c r="AY117" s="311">
        <f t="shared" si="42"/>
        <v>0</v>
      </c>
      <c r="AZ117" s="311">
        <f t="shared" si="42"/>
        <v>0</v>
      </c>
      <c r="BA117" s="311">
        <f t="shared" si="42"/>
        <v>0</v>
      </c>
      <c r="BB117" s="311">
        <f t="shared" si="42"/>
        <v>0</v>
      </c>
      <c r="BC117" s="1290"/>
      <c r="BD117" s="425"/>
      <c r="BE117" s="425"/>
      <c r="BF117" s="994" t="s">
        <v>662</v>
      </c>
    </row>
    <row r="118" spans="1:58" s="1229" customFormat="1" ht="16.5" customHeight="1">
      <c r="A118" s="983"/>
      <c r="B118" s="783"/>
      <c r="C118" s="1153"/>
      <c r="D118" s="1153"/>
      <c r="E118" s="676">
        <v>17.100000000000001</v>
      </c>
      <c r="F118" s="779" t="str" cm="1">
        <f t="array" aca="1" ref="F118" ca="1">OFFSET(G118,-1,-1)</f>
        <v>1</v>
      </c>
      <c r="G118" s="425"/>
      <c r="H118" s="425"/>
      <c r="I118" s="425"/>
      <c r="J118" s="425"/>
      <c r="K118" s="425"/>
      <c r="L118" s="425"/>
      <c r="M118" s="425"/>
      <c r="N118" s="425"/>
      <c r="O118" s="425"/>
      <c r="P118" s="425"/>
      <c r="Q118" s="425"/>
      <c r="R118" s="425"/>
      <c r="S118" s="425"/>
      <c r="T118" s="687" t="b" cm="1">
        <f t="array" ref="T118">T117</f>
        <v>1</v>
      </c>
      <c r="U118" s="1153"/>
      <c r="V118" s="1153"/>
      <c r="W118" s="1153"/>
      <c r="X118" s="1726"/>
      <c r="Y118" s="1153"/>
      <c r="Z118" s="1726"/>
      <c r="AA118" s="425"/>
      <c r="AB118" s="724" t="str">
        <f>AB117&amp;".1"</f>
        <v>3.2.1</v>
      </c>
      <c r="AC118" s="607" t="s">
        <v>638</v>
      </c>
      <c r="AD118" s="120" t="s">
        <v>634</v>
      </c>
      <c r="AE118" s="1291">
        <f t="shared" ref="AE118:BB118" si="43">AE102-AE110</f>
        <v>0</v>
      </c>
      <c r="AF118" s="1291">
        <f t="shared" si="43"/>
        <v>0</v>
      </c>
      <c r="AG118" s="1291">
        <f t="shared" si="43"/>
        <v>0</v>
      </c>
      <c r="AH118" s="1291">
        <f t="shared" si="43"/>
        <v>145650</v>
      </c>
      <c r="AI118" s="246">
        <f t="shared" si="43"/>
        <v>0</v>
      </c>
      <c r="AJ118" s="246">
        <f t="shared" si="43"/>
        <v>0</v>
      </c>
      <c r="AK118" s="246">
        <f t="shared" si="43"/>
        <v>0</v>
      </c>
      <c r="AL118" s="246">
        <f t="shared" si="43"/>
        <v>0</v>
      </c>
      <c r="AM118" s="246">
        <f t="shared" si="43"/>
        <v>0</v>
      </c>
      <c r="AN118" s="1291">
        <f t="shared" si="43"/>
        <v>0</v>
      </c>
      <c r="AO118" s="1291">
        <f t="shared" si="43"/>
        <v>0</v>
      </c>
      <c r="AP118" s="1291">
        <f t="shared" si="43"/>
        <v>0</v>
      </c>
      <c r="AQ118" s="1291">
        <f t="shared" si="43"/>
        <v>0</v>
      </c>
      <c r="AR118" s="1291">
        <f t="shared" si="43"/>
        <v>0</v>
      </c>
      <c r="AS118" s="246">
        <f t="shared" si="43"/>
        <v>146341.81</v>
      </c>
      <c r="AT118" s="246">
        <f t="shared" si="43"/>
        <v>0</v>
      </c>
      <c r="AU118" s="246">
        <f t="shared" si="43"/>
        <v>0</v>
      </c>
      <c r="AV118" s="246">
        <f t="shared" si="43"/>
        <v>0</v>
      </c>
      <c r="AW118" s="246">
        <f t="shared" si="43"/>
        <v>0</v>
      </c>
      <c r="AX118" s="1291">
        <f t="shared" si="43"/>
        <v>0</v>
      </c>
      <c r="AY118" s="1291">
        <f t="shared" si="43"/>
        <v>0</v>
      </c>
      <c r="AZ118" s="1291">
        <f t="shared" si="43"/>
        <v>0</v>
      </c>
      <c r="BA118" s="1291">
        <f t="shared" si="43"/>
        <v>0</v>
      </c>
      <c r="BB118" s="1291">
        <f t="shared" si="43"/>
        <v>0</v>
      </c>
      <c r="BC118" s="1290"/>
      <c r="BD118" s="425"/>
      <c r="BE118" s="425"/>
      <c r="BF118" s="994" t="s">
        <v>663</v>
      </c>
    </row>
    <row r="119" spans="1:58" s="1229" customFormat="1" ht="16.5" customHeight="1">
      <c r="A119" s="983"/>
      <c r="B119" s="783"/>
      <c r="C119" s="1153"/>
      <c r="D119" s="1153"/>
      <c r="E119" s="676">
        <v>17.100000000000001</v>
      </c>
      <c r="F119" s="779" t="str" cm="1">
        <f t="array" aca="1" ref="F119" ca="1">OFFSET(G119,-1,-1)</f>
        <v>1</v>
      </c>
      <c r="G119" s="425"/>
      <c r="H119" s="425"/>
      <c r="I119" s="425"/>
      <c r="J119" s="425"/>
      <c r="K119" s="425"/>
      <c r="L119" s="425"/>
      <c r="M119" s="425"/>
      <c r="N119" s="425"/>
      <c r="O119" s="425"/>
      <c r="P119" s="425"/>
      <c r="Q119" s="425"/>
      <c r="R119" s="425"/>
      <c r="S119" s="425"/>
      <c r="T119" s="687" t="b" cm="1">
        <f t="array" ref="T119">T118</f>
        <v>1</v>
      </c>
      <c r="U119" s="1153"/>
      <c r="V119" s="1153"/>
      <c r="W119" s="1153"/>
      <c r="X119" s="1726"/>
      <c r="Y119" s="1153"/>
      <c r="Z119" s="1726"/>
      <c r="AA119" s="425"/>
      <c r="AB119" s="724" t="str">
        <f>AB117&amp;".2"</f>
        <v>3.2.2</v>
      </c>
      <c r="AC119" s="471" t="s">
        <v>640</v>
      </c>
      <c r="AD119" s="727" t="s">
        <v>634</v>
      </c>
      <c r="AE119" s="1291">
        <f t="shared" ref="AE119:BB119" si="44">AE103-AE111</f>
        <v>0</v>
      </c>
      <c r="AF119" s="1291">
        <f t="shared" si="44"/>
        <v>0</v>
      </c>
      <c r="AG119" s="1291">
        <f t="shared" si="44"/>
        <v>0</v>
      </c>
      <c r="AH119" s="1291">
        <f t="shared" si="44"/>
        <v>7437</v>
      </c>
      <c r="AI119" s="246">
        <f t="shared" si="44"/>
        <v>0</v>
      </c>
      <c r="AJ119" s="246">
        <f t="shared" si="44"/>
        <v>0</v>
      </c>
      <c r="AK119" s="246">
        <f t="shared" si="44"/>
        <v>0</v>
      </c>
      <c r="AL119" s="246">
        <f t="shared" si="44"/>
        <v>0</v>
      </c>
      <c r="AM119" s="246">
        <f t="shared" si="44"/>
        <v>0</v>
      </c>
      <c r="AN119" s="1291">
        <f t="shared" si="44"/>
        <v>0</v>
      </c>
      <c r="AO119" s="1291">
        <f t="shared" si="44"/>
        <v>0</v>
      </c>
      <c r="AP119" s="1291">
        <f t="shared" si="44"/>
        <v>0</v>
      </c>
      <c r="AQ119" s="1291">
        <f t="shared" si="44"/>
        <v>0</v>
      </c>
      <c r="AR119" s="1291">
        <f t="shared" si="44"/>
        <v>0</v>
      </c>
      <c r="AS119" s="246">
        <f t="shared" si="44"/>
        <v>6959.89</v>
      </c>
      <c r="AT119" s="246">
        <f t="shared" si="44"/>
        <v>0</v>
      </c>
      <c r="AU119" s="246">
        <f t="shared" si="44"/>
        <v>0</v>
      </c>
      <c r="AV119" s="246">
        <f t="shared" si="44"/>
        <v>0</v>
      </c>
      <c r="AW119" s="246">
        <f t="shared" si="44"/>
        <v>0</v>
      </c>
      <c r="AX119" s="1291">
        <f t="shared" si="44"/>
        <v>0</v>
      </c>
      <c r="AY119" s="1291">
        <f t="shared" si="44"/>
        <v>0</v>
      </c>
      <c r="AZ119" s="1291">
        <f t="shared" si="44"/>
        <v>0</v>
      </c>
      <c r="BA119" s="1291">
        <f t="shared" si="44"/>
        <v>0</v>
      </c>
      <c r="BB119" s="1291">
        <f t="shared" si="44"/>
        <v>0</v>
      </c>
      <c r="BC119" s="1290"/>
      <c r="BD119" s="425"/>
      <c r="BE119" s="425"/>
      <c r="BF119" s="994" t="s">
        <v>664</v>
      </c>
    </row>
    <row r="120" spans="1:58" s="1229" customFormat="1" ht="16.5" customHeight="1">
      <c r="A120" s="983"/>
      <c r="B120" s="783"/>
      <c r="C120" s="1153"/>
      <c r="D120" s="1153"/>
      <c r="E120" s="676">
        <v>17.100000000000001</v>
      </c>
      <c r="F120" s="779" t="str" cm="1">
        <f t="array" aca="1" ref="F120" ca="1">OFFSET(G120,-1,-1)</f>
        <v>1</v>
      </c>
      <c r="G120" s="425"/>
      <c r="H120" s="425"/>
      <c r="I120" s="425"/>
      <c r="J120" s="425"/>
      <c r="K120" s="425"/>
      <c r="L120" s="425"/>
      <c r="M120" s="425"/>
      <c r="N120" s="425"/>
      <c r="O120" s="425"/>
      <c r="P120" s="425"/>
      <c r="Q120" s="425"/>
      <c r="R120" s="425"/>
      <c r="S120" s="425"/>
      <c r="T120" s="687" t="b" cm="1">
        <f t="array" ref="T120">T119</f>
        <v>1</v>
      </c>
      <c r="U120" s="1153"/>
      <c r="V120" s="1153"/>
      <c r="W120" s="1153"/>
      <c r="X120" s="1726"/>
      <c r="Y120" s="1153"/>
      <c r="Z120" s="1726"/>
      <c r="AA120" s="425"/>
      <c r="AB120" s="724" t="str">
        <f>AB113&amp;".3"</f>
        <v>3.3</v>
      </c>
      <c r="AC120" s="469" t="s">
        <v>646</v>
      </c>
      <c r="AD120" s="121" t="s">
        <v>634</v>
      </c>
      <c r="AE120" s="1291"/>
      <c r="AF120" s="1291"/>
      <c r="AG120" s="1291"/>
      <c r="AH120" s="1291"/>
      <c r="AI120" s="246"/>
      <c r="AJ120" s="246"/>
      <c r="AK120" s="246"/>
      <c r="AL120" s="246"/>
      <c r="AM120" s="246"/>
      <c r="AN120" s="1291"/>
      <c r="AO120" s="1291"/>
      <c r="AP120" s="1291"/>
      <c r="AQ120" s="1291"/>
      <c r="AR120" s="1291"/>
      <c r="AS120" s="246"/>
      <c r="AT120" s="246"/>
      <c r="AU120" s="246"/>
      <c r="AV120" s="246"/>
      <c r="AW120" s="246"/>
      <c r="AX120" s="1291"/>
      <c r="AY120" s="1291"/>
      <c r="AZ120" s="1291"/>
      <c r="BA120" s="1291"/>
      <c r="BB120" s="1291"/>
      <c r="BC120" s="1290"/>
      <c r="BD120" s="425"/>
      <c r="BE120" s="425"/>
      <c r="BF120" s="994" t="s">
        <v>665</v>
      </c>
    </row>
    <row r="121" spans="1:58" s="1229" customFormat="1" ht="16.5" customHeight="1">
      <c r="A121" s="983"/>
      <c r="B121" s="783"/>
      <c r="C121" s="1153"/>
      <c r="D121" s="1153"/>
      <c r="E121" s="676">
        <v>17.100000000000001</v>
      </c>
      <c r="F121" s="779" t="str" cm="1">
        <f t="array" aca="1" ref="F121" ca="1">OFFSET(G121,-1,-1)</f>
        <v>1</v>
      </c>
      <c r="G121" s="425"/>
      <c r="H121" s="425"/>
      <c r="I121" s="425"/>
      <c r="J121" s="425"/>
      <c r="K121" s="425"/>
      <c r="L121" s="425"/>
      <c r="M121" s="425"/>
      <c r="N121" s="425"/>
      <c r="O121" s="425"/>
      <c r="P121" s="425"/>
      <c r="Q121" s="425"/>
      <c r="R121" s="425"/>
      <c r="S121" s="425"/>
      <c r="T121" s="687" t="b" cm="1">
        <f t="array" ref="T121">T120</f>
        <v>1</v>
      </c>
      <c r="U121" s="1153"/>
      <c r="V121" s="1153"/>
      <c r="W121" s="1153"/>
      <c r="X121" s="1726"/>
      <c r="Y121" s="1153"/>
      <c r="Z121" s="1726"/>
      <c r="AA121" s="425"/>
      <c r="AB121" s="475" t="s">
        <v>440</v>
      </c>
      <c r="AC121" s="476" t="s">
        <v>666</v>
      </c>
      <c r="AD121" s="121" t="s">
        <v>634</v>
      </c>
      <c r="AE121" s="448">
        <f t="shared" ref="AE121:BB121" si="45">AE122+AE123</f>
        <v>0</v>
      </c>
      <c r="AF121" s="448">
        <f t="shared" si="45"/>
        <v>0</v>
      </c>
      <c r="AG121" s="448">
        <f t="shared" si="45"/>
        <v>0</v>
      </c>
      <c r="AH121" s="448">
        <f t="shared" si="45"/>
        <v>0</v>
      </c>
      <c r="AI121" s="448">
        <f t="shared" si="45"/>
        <v>0</v>
      </c>
      <c r="AJ121" s="448">
        <f t="shared" si="45"/>
        <v>0</v>
      </c>
      <c r="AK121" s="448">
        <f t="shared" si="45"/>
        <v>0</v>
      </c>
      <c r="AL121" s="448">
        <f t="shared" si="45"/>
        <v>0</v>
      </c>
      <c r="AM121" s="448">
        <f t="shared" si="45"/>
        <v>0</v>
      </c>
      <c r="AN121" s="448">
        <f t="shared" si="45"/>
        <v>0</v>
      </c>
      <c r="AO121" s="448">
        <f t="shared" si="45"/>
        <v>0</v>
      </c>
      <c r="AP121" s="448">
        <f t="shared" si="45"/>
        <v>0</v>
      </c>
      <c r="AQ121" s="448">
        <f t="shared" si="45"/>
        <v>0</v>
      </c>
      <c r="AR121" s="448">
        <f t="shared" si="45"/>
        <v>0</v>
      </c>
      <c r="AS121" s="448">
        <f t="shared" si="45"/>
        <v>0</v>
      </c>
      <c r="AT121" s="448">
        <f t="shared" si="45"/>
        <v>0</v>
      </c>
      <c r="AU121" s="448">
        <f t="shared" si="45"/>
        <v>0</v>
      </c>
      <c r="AV121" s="448">
        <f t="shared" si="45"/>
        <v>0</v>
      </c>
      <c r="AW121" s="448">
        <f t="shared" si="45"/>
        <v>0</v>
      </c>
      <c r="AX121" s="448">
        <f t="shared" si="45"/>
        <v>0</v>
      </c>
      <c r="AY121" s="448">
        <f t="shared" si="45"/>
        <v>0</v>
      </c>
      <c r="AZ121" s="448">
        <f t="shared" si="45"/>
        <v>0</v>
      </c>
      <c r="BA121" s="448">
        <f t="shared" si="45"/>
        <v>0</v>
      </c>
      <c r="BB121" s="448">
        <f t="shared" si="45"/>
        <v>0</v>
      </c>
      <c r="BC121" s="1290"/>
      <c r="BD121" s="425"/>
      <c r="BE121" s="425"/>
      <c r="BF121" s="994" t="s">
        <v>667</v>
      </c>
    </row>
    <row r="122" spans="1:58" s="1229" customFormat="1" ht="16.5" customHeight="1">
      <c r="A122" s="983"/>
      <c r="B122" s="783"/>
      <c r="C122" s="1153"/>
      <c r="D122" s="1153"/>
      <c r="E122" s="676">
        <v>17.100000000000001</v>
      </c>
      <c r="F122" s="779" t="str" cm="1">
        <f t="array" aca="1" ref="F122" ca="1">OFFSET(G122,-1,-1)</f>
        <v>1</v>
      </c>
      <c r="G122" s="425"/>
      <c r="H122" s="425"/>
      <c r="I122" s="425"/>
      <c r="J122" s="425"/>
      <c r="K122" s="425"/>
      <c r="L122" s="425"/>
      <c r="M122" s="425"/>
      <c r="N122" s="425"/>
      <c r="O122" s="425"/>
      <c r="P122" s="425"/>
      <c r="Q122" s="425"/>
      <c r="R122" s="425"/>
      <c r="S122" s="425"/>
      <c r="T122" s="687" t="b" cm="1">
        <f t="array" ref="T122">T121</f>
        <v>1</v>
      </c>
      <c r="U122" s="1153"/>
      <c r="V122" s="1153"/>
      <c r="W122" s="1153"/>
      <c r="X122" s="1726"/>
      <c r="Y122" s="1153"/>
      <c r="Z122" s="1726"/>
      <c r="AA122" s="425"/>
      <c r="AB122" s="724" t="str">
        <f>AB121&amp;".1"</f>
        <v>4.1</v>
      </c>
      <c r="AC122" s="469" t="s">
        <v>638</v>
      </c>
      <c r="AD122" s="121" t="s">
        <v>634</v>
      </c>
      <c r="AE122" s="1294"/>
      <c r="AF122" s="1294"/>
      <c r="AG122" s="1294"/>
      <c r="AH122" s="1294"/>
      <c r="AI122" s="416"/>
      <c r="AJ122" s="416"/>
      <c r="AK122" s="416"/>
      <c r="AL122" s="416"/>
      <c r="AM122" s="416"/>
      <c r="AN122" s="1294"/>
      <c r="AO122" s="1294"/>
      <c r="AP122" s="1294"/>
      <c r="AQ122" s="1294"/>
      <c r="AR122" s="1294"/>
      <c r="AS122" s="416"/>
      <c r="AT122" s="416"/>
      <c r="AU122" s="416"/>
      <c r="AV122" s="416"/>
      <c r="AW122" s="416"/>
      <c r="AX122" s="1294"/>
      <c r="AY122" s="1294"/>
      <c r="AZ122" s="1294"/>
      <c r="BA122" s="1294"/>
      <c r="BB122" s="1294"/>
      <c r="BC122" s="1290"/>
      <c r="BD122" s="425"/>
      <c r="BE122" s="425"/>
      <c r="BF122" s="994" t="s">
        <v>668</v>
      </c>
    </row>
    <row r="123" spans="1:58" s="1229" customFormat="1" ht="16.5" customHeight="1">
      <c r="A123" s="983"/>
      <c r="B123" s="783"/>
      <c r="C123" s="1153"/>
      <c r="D123" s="1153"/>
      <c r="E123" s="676">
        <v>17.100000000000001</v>
      </c>
      <c r="F123" s="779" t="str" cm="1">
        <f t="array" aca="1" ref="F123" ca="1">OFFSET(G123,-1,-1)</f>
        <v>1</v>
      </c>
      <c r="G123" s="425"/>
      <c r="H123" s="425"/>
      <c r="I123" s="425"/>
      <c r="J123" s="425"/>
      <c r="K123" s="425"/>
      <c r="L123" s="425"/>
      <c r="M123" s="425"/>
      <c r="N123" s="425"/>
      <c r="O123" s="425"/>
      <c r="P123" s="425"/>
      <c r="Q123" s="425"/>
      <c r="R123" s="425"/>
      <c r="S123" s="425"/>
      <c r="T123" s="687" t="b" cm="1">
        <f t="array" ref="T123">T122</f>
        <v>1</v>
      </c>
      <c r="U123" s="1153"/>
      <c r="V123" s="1153"/>
      <c r="W123" s="1153"/>
      <c r="X123" s="1726"/>
      <c r="Y123" s="1153"/>
      <c r="Z123" s="1726"/>
      <c r="AA123" s="425"/>
      <c r="AB123" s="724" t="str">
        <f>AB121&amp;".2"</f>
        <v>4.2</v>
      </c>
      <c r="AC123" s="469" t="s">
        <v>640</v>
      </c>
      <c r="AD123" s="121" t="s">
        <v>634</v>
      </c>
      <c r="AE123" s="1295"/>
      <c r="AF123" s="1295"/>
      <c r="AG123" s="1295"/>
      <c r="AH123" s="1295"/>
      <c r="AI123" s="474"/>
      <c r="AJ123" s="474"/>
      <c r="AK123" s="474"/>
      <c r="AL123" s="474"/>
      <c r="AM123" s="474"/>
      <c r="AN123" s="1295"/>
      <c r="AO123" s="1295"/>
      <c r="AP123" s="1295"/>
      <c r="AQ123" s="1295"/>
      <c r="AR123" s="1295"/>
      <c r="AS123" s="474"/>
      <c r="AT123" s="474"/>
      <c r="AU123" s="474"/>
      <c r="AV123" s="474"/>
      <c r="AW123" s="474"/>
      <c r="AX123" s="1295"/>
      <c r="AY123" s="1295"/>
      <c r="AZ123" s="1295"/>
      <c r="BA123" s="1295"/>
      <c r="BB123" s="1295"/>
      <c r="BC123" s="1296"/>
      <c r="BD123" s="425"/>
      <c r="BE123" s="425"/>
      <c r="BF123" s="994" t="s">
        <v>669</v>
      </c>
    </row>
    <row r="124" spans="1:58" s="1229" customFormat="1" ht="16.5" customHeight="1">
      <c r="A124" s="983"/>
      <c r="B124" s="783"/>
      <c r="C124" s="1153"/>
      <c r="D124" s="1153"/>
      <c r="E124" s="676">
        <v>17.100000000000001</v>
      </c>
      <c r="F124" s="779" t="str" cm="1">
        <f t="array" aca="1" ref="F124" ca="1">OFFSET(G124,-1,-1)</f>
        <v>1</v>
      </c>
      <c r="G124" s="425"/>
      <c r="H124" s="425"/>
      <c r="I124" s="425"/>
      <c r="J124" s="425"/>
      <c r="K124" s="425"/>
      <c r="L124" s="425"/>
      <c r="M124" s="425"/>
      <c r="N124" s="425"/>
      <c r="O124" s="425"/>
      <c r="P124" s="425"/>
      <c r="Q124" s="425"/>
      <c r="R124" s="425"/>
      <c r="S124" s="425"/>
      <c r="T124" s="687" t="b" cm="1">
        <f t="array" ref="T124">T123</f>
        <v>1</v>
      </c>
      <c r="U124" s="1153"/>
      <c r="V124" s="1153"/>
      <c r="W124" s="1153"/>
      <c r="X124" s="1726"/>
      <c r="Y124" s="1153"/>
      <c r="Z124" s="1726"/>
      <c r="AA124" s="425"/>
      <c r="AB124" s="730" t="s">
        <v>443</v>
      </c>
      <c r="AC124" s="449" t="s">
        <v>670</v>
      </c>
      <c r="AD124" s="351" t="s">
        <v>634</v>
      </c>
      <c r="AE124" s="1291"/>
      <c r="AF124" s="1291"/>
      <c r="AG124" s="1291"/>
      <c r="AH124" s="1291"/>
      <c r="AI124" s="246"/>
      <c r="AJ124" s="246"/>
      <c r="AK124" s="246"/>
      <c r="AL124" s="246"/>
      <c r="AM124" s="246"/>
      <c r="AN124" s="1291"/>
      <c r="AO124" s="1291"/>
      <c r="AP124" s="1291"/>
      <c r="AQ124" s="1291"/>
      <c r="AR124" s="1291"/>
      <c r="AS124" s="246"/>
      <c r="AT124" s="246"/>
      <c r="AU124" s="246"/>
      <c r="AV124" s="246"/>
      <c r="AW124" s="246"/>
      <c r="AX124" s="1291"/>
      <c r="AY124" s="1291"/>
      <c r="AZ124" s="1291"/>
      <c r="BA124" s="1291"/>
      <c r="BB124" s="1291"/>
      <c r="BC124" s="1297"/>
      <c r="BD124" s="425"/>
      <c r="BE124" s="425"/>
      <c r="BF124" s="994" t="s">
        <v>671</v>
      </c>
    </row>
    <row r="125" spans="1:58" s="1229" customFormat="1" ht="16.5" customHeight="1">
      <c r="A125" s="983"/>
      <c r="B125" s="783"/>
      <c r="C125" s="1153"/>
      <c r="D125" s="1153"/>
      <c r="E125" s="676">
        <v>17.100000000000001</v>
      </c>
      <c r="F125" s="779" t="str" cm="1">
        <f t="array" aca="1" ref="F125" ca="1">OFFSET(G125,-1,-1)</f>
        <v>1</v>
      </c>
      <c r="G125" s="425"/>
      <c r="H125" s="425"/>
      <c r="I125" s="425"/>
      <c r="J125" s="425"/>
      <c r="K125" s="425"/>
      <c r="L125" s="425"/>
      <c r="M125" s="425"/>
      <c r="N125" s="425"/>
      <c r="O125" s="425"/>
      <c r="P125" s="425"/>
      <c r="Q125" s="425"/>
      <c r="R125" s="425"/>
      <c r="S125" s="425"/>
      <c r="T125" s="687" t="b" cm="1">
        <f t="array" ref="T125">T124</f>
        <v>1</v>
      </c>
      <c r="U125" s="1153"/>
      <c r="V125" s="1153"/>
      <c r="W125" s="1153"/>
      <c r="X125" s="1726"/>
      <c r="Y125" s="1153"/>
      <c r="Z125" s="1726"/>
      <c r="AA125" s="425"/>
      <c r="AB125" s="731" t="s">
        <v>448</v>
      </c>
      <c r="AC125" s="413" t="s">
        <v>672</v>
      </c>
      <c r="AD125" s="351" t="s">
        <v>634</v>
      </c>
      <c r="AE125" s="311">
        <f t="shared" ref="AE125:BB125" si="46">AE113-AE124</f>
        <v>0</v>
      </c>
      <c r="AF125" s="311">
        <f t="shared" si="46"/>
        <v>0</v>
      </c>
      <c r="AG125" s="311">
        <f t="shared" si="46"/>
        <v>0</v>
      </c>
      <c r="AH125" s="311">
        <f t="shared" si="46"/>
        <v>153087</v>
      </c>
      <c r="AI125" s="311">
        <f t="shared" si="46"/>
        <v>0</v>
      </c>
      <c r="AJ125" s="311">
        <f t="shared" si="46"/>
        <v>0</v>
      </c>
      <c r="AK125" s="311">
        <f t="shared" si="46"/>
        <v>0</v>
      </c>
      <c r="AL125" s="311">
        <f t="shared" si="46"/>
        <v>0</v>
      </c>
      <c r="AM125" s="311">
        <f t="shared" si="46"/>
        <v>0</v>
      </c>
      <c r="AN125" s="311">
        <f t="shared" si="46"/>
        <v>0</v>
      </c>
      <c r="AO125" s="311">
        <f t="shared" si="46"/>
        <v>0</v>
      </c>
      <c r="AP125" s="311">
        <f t="shared" si="46"/>
        <v>0</v>
      </c>
      <c r="AQ125" s="311">
        <f t="shared" si="46"/>
        <v>0</v>
      </c>
      <c r="AR125" s="311">
        <f t="shared" si="46"/>
        <v>0</v>
      </c>
      <c r="AS125" s="311">
        <f t="shared" si="46"/>
        <v>153301.70000000001</v>
      </c>
      <c r="AT125" s="311">
        <f t="shared" si="46"/>
        <v>0</v>
      </c>
      <c r="AU125" s="311">
        <f t="shared" si="46"/>
        <v>0</v>
      </c>
      <c r="AV125" s="311">
        <f t="shared" si="46"/>
        <v>0</v>
      </c>
      <c r="AW125" s="311">
        <f t="shared" si="46"/>
        <v>0</v>
      </c>
      <c r="AX125" s="311">
        <f t="shared" si="46"/>
        <v>0</v>
      </c>
      <c r="AY125" s="311">
        <f t="shared" si="46"/>
        <v>0</v>
      </c>
      <c r="AZ125" s="311">
        <f t="shared" si="46"/>
        <v>0</v>
      </c>
      <c r="BA125" s="311">
        <f t="shared" si="46"/>
        <v>0</v>
      </c>
      <c r="BB125" s="311">
        <f t="shared" si="46"/>
        <v>0</v>
      </c>
      <c r="BC125" s="1297"/>
      <c r="BD125" s="425"/>
      <c r="BE125" s="425"/>
      <c r="BF125" s="994" t="s">
        <v>673</v>
      </c>
    </row>
    <row r="126" spans="1:58" s="1229" customFormat="1" ht="16.5" customHeight="1">
      <c r="A126" s="983"/>
      <c r="B126" s="783"/>
      <c r="C126" s="1153"/>
      <c r="D126" s="1153"/>
      <c r="E126" s="676">
        <v>17.100000000000001</v>
      </c>
      <c r="F126" s="779" t="str" cm="1">
        <f t="array" aca="1" ref="F126" ca="1">OFFSET(G126,-1,-1)</f>
        <v>1</v>
      </c>
      <c r="G126" s="425"/>
      <c r="H126" s="425"/>
      <c r="I126" s="425"/>
      <c r="J126" s="425"/>
      <c r="K126" s="425"/>
      <c r="L126" s="425"/>
      <c r="M126" s="425"/>
      <c r="N126" s="425"/>
      <c r="O126" s="425"/>
      <c r="P126" s="425"/>
      <c r="Q126" s="425"/>
      <c r="R126" s="425"/>
      <c r="S126" s="425"/>
      <c r="T126" s="687" t="b" cm="1">
        <f t="array" ref="T126">T125</f>
        <v>1</v>
      </c>
      <c r="U126" s="1153"/>
      <c r="V126" s="1153"/>
      <c r="W126" s="1153"/>
      <c r="X126" s="1726"/>
      <c r="Y126" s="1153"/>
      <c r="Z126" s="1726"/>
      <c r="AA126" s="425"/>
      <c r="AB126" s="724" t="str">
        <f>AB125&amp;".1"</f>
        <v>6.1</v>
      </c>
      <c r="AC126" s="469" t="s">
        <v>638</v>
      </c>
      <c r="AD126" s="351" t="s">
        <v>634</v>
      </c>
      <c r="AE126" s="311">
        <f t="shared" ref="AE126:BB126" si="47">AE125-AE134</f>
        <v>0</v>
      </c>
      <c r="AF126" s="311">
        <f t="shared" si="47"/>
        <v>0</v>
      </c>
      <c r="AG126" s="311">
        <f t="shared" si="47"/>
        <v>0</v>
      </c>
      <c r="AH126" s="311">
        <f t="shared" si="47"/>
        <v>153087</v>
      </c>
      <c r="AI126" s="311">
        <f t="shared" si="47"/>
        <v>0</v>
      </c>
      <c r="AJ126" s="311">
        <f t="shared" si="47"/>
        <v>0</v>
      </c>
      <c r="AK126" s="311">
        <f t="shared" si="47"/>
        <v>0</v>
      </c>
      <c r="AL126" s="311">
        <f t="shared" si="47"/>
        <v>0</v>
      </c>
      <c r="AM126" s="311">
        <f t="shared" si="47"/>
        <v>0</v>
      </c>
      <c r="AN126" s="311">
        <f t="shared" si="47"/>
        <v>0</v>
      </c>
      <c r="AO126" s="311">
        <f t="shared" si="47"/>
        <v>0</v>
      </c>
      <c r="AP126" s="311">
        <f t="shared" si="47"/>
        <v>0</v>
      </c>
      <c r="AQ126" s="311">
        <f t="shared" si="47"/>
        <v>0</v>
      </c>
      <c r="AR126" s="311">
        <f t="shared" si="47"/>
        <v>0</v>
      </c>
      <c r="AS126" s="311">
        <f t="shared" si="47"/>
        <v>153301.70000000001</v>
      </c>
      <c r="AT126" s="311">
        <f t="shared" si="47"/>
        <v>0</v>
      </c>
      <c r="AU126" s="311">
        <f t="shared" si="47"/>
        <v>0</v>
      </c>
      <c r="AV126" s="311">
        <f t="shared" si="47"/>
        <v>0</v>
      </c>
      <c r="AW126" s="311">
        <f t="shared" si="47"/>
        <v>0</v>
      </c>
      <c r="AX126" s="311">
        <f t="shared" si="47"/>
        <v>0</v>
      </c>
      <c r="AY126" s="311">
        <f t="shared" si="47"/>
        <v>0</v>
      </c>
      <c r="AZ126" s="311">
        <f t="shared" si="47"/>
        <v>0</v>
      </c>
      <c r="BA126" s="311">
        <f t="shared" si="47"/>
        <v>0</v>
      </c>
      <c r="BB126" s="311">
        <f t="shared" si="47"/>
        <v>0</v>
      </c>
      <c r="BC126" s="1297"/>
      <c r="BD126" s="425"/>
      <c r="BE126" s="425"/>
      <c r="BF126" s="994" t="s">
        <v>674</v>
      </c>
    </row>
    <row r="127" spans="1:58" s="1229" customFormat="1" ht="16.5" customHeight="1">
      <c r="A127" s="983"/>
      <c r="B127" s="783"/>
      <c r="C127" s="1153"/>
      <c r="D127" s="1153"/>
      <c r="E127" s="676">
        <v>17.100000000000001</v>
      </c>
      <c r="F127" s="779" t="str" cm="1">
        <f t="array" aca="1" ref="F127" ca="1">OFFSET(G127,-1,-1)</f>
        <v>1</v>
      </c>
      <c r="G127" s="425"/>
      <c r="H127" s="425"/>
      <c r="I127" s="425"/>
      <c r="J127" s="425"/>
      <c r="K127" s="425"/>
      <c r="L127" s="425"/>
      <c r="M127" s="425"/>
      <c r="N127" s="425"/>
      <c r="O127" s="425"/>
      <c r="P127" s="425"/>
      <c r="Q127" s="425"/>
      <c r="R127" s="425"/>
      <c r="S127" s="425"/>
      <c r="T127" s="687" t="b" cm="1">
        <f t="array" ref="T127">T126</f>
        <v>1</v>
      </c>
      <c r="U127" s="1153"/>
      <c r="V127" s="1153"/>
      <c r="W127" s="1153"/>
      <c r="X127" s="1726"/>
      <c r="Y127" s="1153"/>
      <c r="Z127" s="1726"/>
      <c r="AA127" s="425"/>
      <c r="AB127" s="724" t="str">
        <f>AB126&amp;".1"</f>
        <v>6.1.1</v>
      </c>
      <c r="AC127" s="572" t="s">
        <v>675</v>
      </c>
      <c r="AD127" s="121" t="s">
        <v>634</v>
      </c>
      <c r="AE127" s="1291"/>
      <c r="AF127" s="1291"/>
      <c r="AG127" s="1291"/>
      <c r="AH127" s="1291"/>
      <c r="AI127" s="246"/>
      <c r="AJ127" s="246"/>
      <c r="AK127" s="246"/>
      <c r="AL127" s="246"/>
      <c r="AM127" s="246"/>
      <c r="AN127" s="1291"/>
      <c r="AO127" s="1291"/>
      <c r="AP127" s="1291"/>
      <c r="AQ127" s="1291"/>
      <c r="AR127" s="1291"/>
      <c r="AS127" s="246"/>
      <c r="AT127" s="246"/>
      <c r="AU127" s="246"/>
      <c r="AV127" s="246"/>
      <c r="AW127" s="246"/>
      <c r="AX127" s="1291"/>
      <c r="AY127" s="1291"/>
      <c r="AZ127" s="1291"/>
      <c r="BA127" s="1291"/>
      <c r="BB127" s="1291"/>
      <c r="BC127" s="1297"/>
      <c r="BD127" s="425"/>
      <c r="BE127" s="425"/>
      <c r="BF127" s="994" t="s">
        <v>676</v>
      </c>
    </row>
    <row r="128" spans="1:58" s="1229" customFormat="1" ht="16.5" customHeight="1">
      <c r="A128" s="983"/>
      <c r="B128" s="783"/>
      <c r="C128" s="1153"/>
      <c r="D128" s="1153"/>
      <c r="E128" s="676">
        <v>17.100000000000001</v>
      </c>
      <c r="F128" s="779" t="str" cm="1">
        <f t="array" aca="1" ref="F128" ca="1">OFFSET(G128,-1,-1)</f>
        <v>1</v>
      </c>
      <c r="G128" s="425"/>
      <c r="H128" s="425"/>
      <c r="I128" s="425"/>
      <c r="J128" s="425"/>
      <c r="K128" s="425"/>
      <c r="L128" s="425"/>
      <c r="M128" s="425"/>
      <c r="N128" s="425"/>
      <c r="O128" s="425"/>
      <c r="P128" s="425"/>
      <c r="Q128" s="425"/>
      <c r="R128" s="425"/>
      <c r="S128" s="425"/>
      <c r="T128" s="687" t="b" cm="1">
        <f t="array" ref="T128">T127</f>
        <v>1</v>
      </c>
      <c r="U128" s="1153"/>
      <c r="V128" s="1153"/>
      <c r="W128" s="1153"/>
      <c r="X128" s="1726"/>
      <c r="Y128" s="1153"/>
      <c r="Z128" s="1726"/>
      <c r="AA128" s="425"/>
      <c r="AB128" s="724" t="str">
        <f>AB126&amp;".2"</f>
        <v>6.1.2</v>
      </c>
      <c r="AC128" s="573" t="s">
        <v>677</v>
      </c>
      <c r="AD128" s="121" t="s">
        <v>634</v>
      </c>
      <c r="AE128" s="1291">
        <f t="shared" ref="AE128:BB128" si="48">SUM(AE129:AE132)</f>
        <v>0</v>
      </c>
      <c r="AF128" s="1291">
        <f t="shared" si="48"/>
        <v>0</v>
      </c>
      <c r="AG128" s="1291">
        <f t="shared" si="48"/>
        <v>0</v>
      </c>
      <c r="AH128" s="1291">
        <f t="shared" si="48"/>
        <v>129060</v>
      </c>
      <c r="AI128" s="246">
        <f t="shared" si="48"/>
        <v>0</v>
      </c>
      <c r="AJ128" s="246">
        <f t="shared" si="48"/>
        <v>0</v>
      </c>
      <c r="AK128" s="246">
        <f t="shared" si="48"/>
        <v>0</v>
      </c>
      <c r="AL128" s="246">
        <f t="shared" si="48"/>
        <v>0</v>
      </c>
      <c r="AM128" s="246">
        <f t="shared" si="48"/>
        <v>0</v>
      </c>
      <c r="AN128" s="1291">
        <f t="shared" si="48"/>
        <v>0</v>
      </c>
      <c r="AO128" s="1291">
        <f t="shared" si="48"/>
        <v>0</v>
      </c>
      <c r="AP128" s="1291">
        <f t="shared" si="48"/>
        <v>0</v>
      </c>
      <c r="AQ128" s="1291">
        <f t="shared" si="48"/>
        <v>0</v>
      </c>
      <c r="AR128" s="1291">
        <f t="shared" si="48"/>
        <v>0</v>
      </c>
      <c r="AS128" s="246">
        <f t="shared" si="48"/>
        <v>129752.11</v>
      </c>
      <c r="AT128" s="246">
        <f t="shared" si="48"/>
        <v>0</v>
      </c>
      <c r="AU128" s="246">
        <f t="shared" si="48"/>
        <v>0</v>
      </c>
      <c r="AV128" s="246">
        <f t="shared" si="48"/>
        <v>0</v>
      </c>
      <c r="AW128" s="246">
        <f t="shared" si="48"/>
        <v>0</v>
      </c>
      <c r="AX128" s="1291">
        <f t="shared" si="48"/>
        <v>0</v>
      </c>
      <c r="AY128" s="1291">
        <f t="shared" si="48"/>
        <v>0</v>
      </c>
      <c r="AZ128" s="1291">
        <f t="shared" si="48"/>
        <v>0</v>
      </c>
      <c r="BA128" s="1291">
        <f t="shared" si="48"/>
        <v>0</v>
      </c>
      <c r="BB128" s="1291">
        <f t="shared" si="48"/>
        <v>0</v>
      </c>
      <c r="BC128" s="1297"/>
      <c r="BD128" s="425"/>
      <c r="BE128" s="425"/>
      <c r="BF128" s="994" t="s">
        <v>678</v>
      </c>
    </row>
    <row r="129" spans="1:58" s="1229" customFormat="1" ht="16.5" customHeight="1">
      <c r="A129" s="983"/>
      <c r="B129" s="783"/>
      <c r="C129" s="1153"/>
      <c r="D129" s="1153"/>
      <c r="E129" s="676">
        <v>17.100000000000001</v>
      </c>
      <c r="F129" s="779" t="str" cm="1">
        <f t="array" aca="1" ref="F129" ca="1">OFFSET(G129,-1,-1)</f>
        <v>1</v>
      </c>
      <c r="G129" s="425"/>
      <c r="H129" s="425"/>
      <c r="I129" s="425"/>
      <c r="J129" s="425"/>
      <c r="K129" s="425"/>
      <c r="L129" s="425"/>
      <c r="M129" s="425"/>
      <c r="N129" s="425"/>
      <c r="O129" s="425"/>
      <c r="P129" s="425"/>
      <c r="Q129" s="425"/>
      <c r="R129" s="425"/>
      <c r="S129" s="425"/>
      <c r="T129" s="687" t="b" cm="1">
        <f t="array" ref="T129">T128</f>
        <v>1</v>
      </c>
      <c r="U129" s="1153"/>
      <c r="V129" s="1153"/>
      <c r="W129" s="1153"/>
      <c r="X129" s="1726"/>
      <c r="Y129" s="1153"/>
      <c r="Z129" s="1726"/>
      <c r="AA129" s="425"/>
      <c r="AB129" s="724" t="str">
        <f>AB128&amp;".1"</f>
        <v>6.1.2.1</v>
      </c>
      <c r="AC129" s="574" t="s">
        <v>679</v>
      </c>
      <c r="AD129" s="351" t="s">
        <v>634</v>
      </c>
      <c r="AE129" s="1291"/>
      <c r="AF129" s="1291"/>
      <c r="AG129" s="1291"/>
      <c r="AH129" s="1291"/>
      <c r="AI129" s="246"/>
      <c r="AJ129" s="246"/>
      <c r="AK129" s="246"/>
      <c r="AL129" s="246"/>
      <c r="AM129" s="246"/>
      <c r="AN129" s="1291"/>
      <c r="AO129" s="1291"/>
      <c r="AP129" s="1291"/>
      <c r="AQ129" s="1291"/>
      <c r="AR129" s="1291"/>
      <c r="AS129" s="246"/>
      <c r="AT129" s="246"/>
      <c r="AU129" s="246"/>
      <c r="AV129" s="246"/>
      <c r="AW129" s="246"/>
      <c r="AX129" s="1291"/>
      <c r="AY129" s="1291"/>
      <c r="AZ129" s="1291"/>
      <c r="BA129" s="1291"/>
      <c r="BB129" s="1291"/>
      <c r="BC129" s="1297"/>
      <c r="BD129" s="425"/>
      <c r="BE129" s="425"/>
      <c r="BF129" s="994" t="s">
        <v>680</v>
      </c>
    </row>
    <row r="130" spans="1:58" s="1229" customFormat="1" ht="16.5" customHeight="1">
      <c r="A130" s="983"/>
      <c r="B130" s="783"/>
      <c r="C130" s="1153"/>
      <c r="D130" s="1153"/>
      <c r="E130" s="676">
        <v>17.100000000000001</v>
      </c>
      <c r="F130" s="779" t="str" cm="1">
        <f t="array" aca="1" ref="F130" ca="1">OFFSET(G130,-1,-1)</f>
        <v>1</v>
      </c>
      <c r="G130" s="425"/>
      <c r="H130" s="425"/>
      <c r="I130" s="425"/>
      <c r="J130" s="425"/>
      <c r="K130" s="425"/>
      <c r="L130" s="425"/>
      <c r="M130" s="425"/>
      <c r="N130" s="425"/>
      <c r="O130" s="425"/>
      <c r="P130" s="425"/>
      <c r="Q130" s="425"/>
      <c r="R130" s="425"/>
      <c r="S130" s="425"/>
      <c r="T130" s="687" t="b" cm="1">
        <f t="array" ref="T130">T129</f>
        <v>1</v>
      </c>
      <c r="U130" s="1153"/>
      <c r="V130" s="1153"/>
      <c r="W130" s="1153"/>
      <c r="X130" s="1726"/>
      <c r="Y130" s="1153"/>
      <c r="Z130" s="1726"/>
      <c r="AA130" s="425"/>
      <c r="AB130" s="724" t="str">
        <f>AB128&amp;".2"</f>
        <v>6.1.2.2</v>
      </c>
      <c r="AC130" s="575" t="s">
        <v>681</v>
      </c>
      <c r="AD130" s="121" t="s">
        <v>634</v>
      </c>
      <c r="AE130" s="1291"/>
      <c r="AF130" s="1291"/>
      <c r="AG130" s="1291"/>
      <c r="AH130" s="1291">
        <v>19461</v>
      </c>
      <c r="AI130" s="246"/>
      <c r="AJ130" s="246"/>
      <c r="AK130" s="246"/>
      <c r="AL130" s="246"/>
      <c r="AM130" s="246"/>
      <c r="AN130" s="1291"/>
      <c r="AO130" s="1291"/>
      <c r="AP130" s="1291"/>
      <c r="AQ130" s="1291"/>
      <c r="AR130" s="1291"/>
      <c r="AS130" s="246">
        <v>15928</v>
      </c>
      <c r="AT130" s="246"/>
      <c r="AU130" s="246"/>
      <c r="AV130" s="246"/>
      <c r="AW130" s="246"/>
      <c r="AX130" s="1291"/>
      <c r="AY130" s="1291"/>
      <c r="AZ130" s="1291"/>
      <c r="BA130" s="1291"/>
      <c r="BB130" s="1291"/>
      <c r="BC130" s="1297"/>
      <c r="BD130" s="425"/>
      <c r="BE130" s="425"/>
      <c r="BF130" s="994" t="s">
        <v>682</v>
      </c>
    </row>
    <row r="131" spans="1:58" s="1229" customFormat="1" ht="16.5" customHeight="1">
      <c r="A131" s="983"/>
      <c r="B131" s="783"/>
      <c r="C131" s="1153"/>
      <c r="D131" s="1153"/>
      <c r="E131" s="676">
        <v>17.100000000000001</v>
      </c>
      <c r="F131" s="779" t="str" cm="1">
        <f t="array" aca="1" ref="F131" ca="1">OFFSET(G131,-1,-1)</f>
        <v>1</v>
      </c>
      <c r="G131" s="425"/>
      <c r="H131" s="425"/>
      <c r="I131" s="425"/>
      <c r="J131" s="425"/>
      <c r="K131" s="425"/>
      <c r="L131" s="425"/>
      <c r="M131" s="425"/>
      <c r="N131" s="425"/>
      <c r="O131" s="425"/>
      <c r="P131" s="425"/>
      <c r="Q131" s="425"/>
      <c r="R131" s="425"/>
      <c r="S131" s="425"/>
      <c r="T131" s="687" t="b" cm="1">
        <f t="array" ref="T131">T130</f>
        <v>1</v>
      </c>
      <c r="U131" s="1153"/>
      <c r="V131" s="1153"/>
      <c r="W131" s="1153"/>
      <c r="X131" s="1726"/>
      <c r="Y131" s="1153"/>
      <c r="Z131" s="1726"/>
      <c r="AA131" s="425"/>
      <c r="AB131" s="724" t="str">
        <f>AB128&amp;".3"</f>
        <v>6.1.2.3</v>
      </c>
      <c r="AC131" s="575" t="s">
        <v>683</v>
      </c>
      <c r="AD131" s="121" t="s">
        <v>634</v>
      </c>
      <c r="AE131" s="1291"/>
      <c r="AF131" s="1291"/>
      <c r="AG131" s="1291"/>
      <c r="AH131" s="1291">
        <v>80663</v>
      </c>
      <c r="AI131" s="246"/>
      <c r="AJ131" s="246"/>
      <c r="AK131" s="246"/>
      <c r="AL131" s="246"/>
      <c r="AM131" s="246"/>
      <c r="AN131" s="1291"/>
      <c r="AO131" s="1291"/>
      <c r="AP131" s="1291"/>
      <c r="AQ131" s="1291"/>
      <c r="AR131" s="1291"/>
      <c r="AS131" s="246">
        <v>83383</v>
      </c>
      <c r="AT131" s="246"/>
      <c r="AU131" s="246"/>
      <c r="AV131" s="246"/>
      <c r="AW131" s="246"/>
      <c r="AX131" s="1291"/>
      <c r="AY131" s="1291"/>
      <c r="AZ131" s="1291"/>
      <c r="BA131" s="1291"/>
      <c r="BB131" s="1291"/>
      <c r="BC131" s="1297"/>
      <c r="BD131" s="425"/>
      <c r="BE131" s="425"/>
      <c r="BF131" s="994" t="s">
        <v>684</v>
      </c>
    </row>
    <row r="132" spans="1:58" s="1229" customFormat="1" ht="16.5" customHeight="1">
      <c r="A132" s="983"/>
      <c r="B132" s="783"/>
      <c r="C132" s="1153"/>
      <c r="D132" s="1153"/>
      <c r="E132" s="676">
        <v>17.100000000000001</v>
      </c>
      <c r="F132" s="779" t="str" cm="1">
        <f t="array" aca="1" ref="F132" ca="1">OFFSET(G132,-1,-1)</f>
        <v>1</v>
      </c>
      <c r="G132" s="425"/>
      <c r="H132" s="425"/>
      <c r="I132" s="425"/>
      <c r="J132" s="425"/>
      <c r="K132" s="425"/>
      <c r="L132" s="425"/>
      <c r="M132" s="425"/>
      <c r="N132" s="425"/>
      <c r="O132" s="425"/>
      <c r="P132" s="425"/>
      <c r="Q132" s="425"/>
      <c r="R132" s="425"/>
      <c r="S132" s="425"/>
      <c r="T132" s="687" t="b" cm="1">
        <f t="array" ref="T132">T131</f>
        <v>1</v>
      </c>
      <c r="U132" s="1153"/>
      <c r="V132" s="1153"/>
      <c r="W132" s="1153"/>
      <c r="X132" s="1726"/>
      <c r="Y132" s="1153"/>
      <c r="Z132" s="1726"/>
      <c r="AA132" s="425"/>
      <c r="AB132" s="724" t="str">
        <f>AB128&amp;".4"</f>
        <v>6.1.2.4</v>
      </c>
      <c r="AC132" s="575" t="s">
        <v>685</v>
      </c>
      <c r="AD132" s="351" t="s">
        <v>634</v>
      </c>
      <c r="AE132" s="1291"/>
      <c r="AF132" s="1291"/>
      <c r="AG132" s="1291"/>
      <c r="AH132" s="1291">
        <f>29151-215</f>
        <v>28936</v>
      </c>
      <c r="AI132" s="246"/>
      <c r="AJ132" s="246"/>
      <c r="AK132" s="246"/>
      <c r="AL132" s="246"/>
      <c r="AM132" s="246"/>
      <c r="AN132" s="1291"/>
      <c r="AO132" s="1291"/>
      <c r="AP132" s="1291"/>
      <c r="AQ132" s="1291"/>
      <c r="AR132" s="1291"/>
      <c r="AS132" s="246">
        <v>30441.11</v>
      </c>
      <c r="AT132" s="246"/>
      <c r="AU132" s="246"/>
      <c r="AV132" s="246"/>
      <c r="AW132" s="246"/>
      <c r="AX132" s="1291"/>
      <c r="AY132" s="1291"/>
      <c r="AZ132" s="1291"/>
      <c r="BA132" s="1291"/>
      <c r="BB132" s="1291"/>
      <c r="BC132" s="1297"/>
      <c r="BD132" s="425"/>
      <c r="BE132" s="425"/>
      <c r="BF132" s="994" t="s">
        <v>686</v>
      </c>
    </row>
    <row r="133" spans="1:58" s="1229" customFormat="1" ht="16.5" customHeight="1">
      <c r="A133" s="983"/>
      <c r="B133" s="783"/>
      <c r="C133" s="1153"/>
      <c r="D133" s="1153"/>
      <c r="E133" s="676">
        <v>17.100000000000001</v>
      </c>
      <c r="F133" s="779" t="str" cm="1">
        <f t="array" aca="1" ref="F133" ca="1">OFFSET(G133,-1,-1)</f>
        <v>1</v>
      </c>
      <c r="G133" s="425"/>
      <c r="H133" s="425"/>
      <c r="I133" s="425"/>
      <c r="J133" s="425"/>
      <c r="K133" s="425"/>
      <c r="L133" s="425"/>
      <c r="M133" s="425"/>
      <c r="N133" s="425"/>
      <c r="O133" s="425"/>
      <c r="P133" s="425"/>
      <c r="Q133" s="425"/>
      <c r="R133" s="425"/>
      <c r="S133" s="425"/>
      <c r="T133" s="687" t="b" cm="1">
        <f t="array" ref="T133">T132</f>
        <v>1</v>
      </c>
      <c r="U133" s="1153"/>
      <c r="V133" s="1153"/>
      <c r="W133" s="1153"/>
      <c r="X133" s="1726"/>
      <c r="Y133" s="1153"/>
      <c r="Z133" s="1726"/>
      <c r="AA133" s="425"/>
      <c r="AB133" s="724" t="str">
        <f>AB126&amp;".3"</f>
        <v>6.1.3</v>
      </c>
      <c r="AC133" s="914" t="s">
        <v>687</v>
      </c>
      <c r="AD133" s="351" t="s">
        <v>634</v>
      </c>
      <c r="AE133" s="1291">
        <f>AE126-AE127-AE128</f>
        <v>0</v>
      </c>
      <c r="AF133" s="1291">
        <f>AF126-AF127-AF128</f>
        <v>0</v>
      </c>
      <c r="AG133" s="1291">
        <f>AG126-AG127-AG128</f>
        <v>0</v>
      </c>
      <c r="AH133" s="1291"/>
      <c r="AI133" s="246">
        <f t="shared" ref="AI133:AR133" si="49">AI126-AI127-AI128</f>
        <v>0</v>
      </c>
      <c r="AJ133" s="246">
        <f t="shared" si="49"/>
        <v>0</v>
      </c>
      <c r="AK133" s="246">
        <f t="shared" si="49"/>
        <v>0</v>
      </c>
      <c r="AL133" s="246">
        <f t="shared" si="49"/>
        <v>0</v>
      </c>
      <c r="AM133" s="246">
        <f t="shared" si="49"/>
        <v>0</v>
      </c>
      <c r="AN133" s="1291">
        <f t="shared" si="49"/>
        <v>0</v>
      </c>
      <c r="AO133" s="1291">
        <f t="shared" si="49"/>
        <v>0</v>
      </c>
      <c r="AP133" s="1291">
        <f t="shared" si="49"/>
        <v>0</v>
      </c>
      <c r="AQ133" s="1291">
        <f t="shared" si="49"/>
        <v>0</v>
      </c>
      <c r="AR133" s="1291">
        <f t="shared" si="49"/>
        <v>0</v>
      </c>
      <c r="AS133" s="246">
        <v>0</v>
      </c>
      <c r="AT133" s="246">
        <f t="shared" ref="AT133:BB133" si="50">AT126-AT127-AT128</f>
        <v>0</v>
      </c>
      <c r="AU133" s="246">
        <f t="shared" si="50"/>
        <v>0</v>
      </c>
      <c r="AV133" s="246">
        <f t="shared" si="50"/>
        <v>0</v>
      </c>
      <c r="AW133" s="246">
        <f t="shared" si="50"/>
        <v>0</v>
      </c>
      <c r="AX133" s="1291">
        <f t="shared" si="50"/>
        <v>0</v>
      </c>
      <c r="AY133" s="1291">
        <f t="shared" si="50"/>
        <v>0</v>
      </c>
      <c r="AZ133" s="1291">
        <f t="shared" si="50"/>
        <v>0</v>
      </c>
      <c r="BA133" s="1291">
        <f t="shared" si="50"/>
        <v>0</v>
      </c>
      <c r="BB133" s="1291">
        <f t="shared" si="50"/>
        <v>0</v>
      </c>
      <c r="BC133" s="1297"/>
      <c r="BD133" s="425"/>
      <c r="BE133" s="425"/>
      <c r="BF133" s="994" t="s">
        <v>688</v>
      </c>
    </row>
    <row r="134" spans="1:58" s="1229" customFormat="1" ht="16.5" customHeight="1">
      <c r="A134" s="983"/>
      <c r="B134" s="783"/>
      <c r="C134" s="1153"/>
      <c r="D134" s="1153"/>
      <c r="E134" s="676">
        <v>17.100000000000001</v>
      </c>
      <c r="F134" s="779" t="str" cm="1">
        <f t="array" aca="1" ref="F134" ca="1">OFFSET(G134,-1,-1)</f>
        <v>1</v>
      </c>
      <c r="G134" s="425"/>
      <c r="H134" s="425"/>
      <c r="I134" s="425"/>
      <c r="J134" s="425"/>
      <c r="K134" s="425"/>
      <c r="L134" s="425"/>
      <c r="M134" s="425"/>
      <c r="N134" s="425"/>
      <c r="O134" s="425"/>
      <c r="P134" s="425"/>
      <c r="Q134" s="425"/>
      <c r="R134" s="425"/>
      <c r="S134" s="425"/>
      <c r="T134" s="687" t="b" cm="1">
        <f t="array" ref="T134">T133</f>
        <v>1</v>
      </c>
      <c r="U134" s="1153"/>
      <c r="V134" s="1153"/>
      <c r="W134" s="1153"/>
      <c r="X134" s="1726"/>
      <c r="Y134" s="1153"/>
      <c r="Z134" s="1726"/>
      <c r="AA134" s="425"/>
      <c r="AB134" s="724" t="str">
        <f>AB125&amp;".2"</f>
        <v>6.2</v>
      </c>
      <c r="AC134" s="469" t="s">
        <v>640</v>
      </c>
      <c r="AD134" s="351" t="s">
        <v>634</v>
      </c>
      <c r="AE134" s="1291"/>
      <c r="AF134" s="1291"/>
      <c r="AG134" s="1291"/>
      <c r="AH134" s="1291"/>
      <c r="AI134" s="246"/>
      <c r="AJ134" s="246"/>
      <c r="AK134" s="246"/>
      <c r="AL134" s="246"/>
      <c r="AM134" s="246"/>
      <c r="AN134" s="1291"/>
      <c r="AO134" s="1291"/>
      <c r="AP134" s="1291"/>
      <c r="AQ134" s="1291"/>
      <c r="AR134" s="1291"/>
      <c r="AS134" s="246"/>
      <c r="AT134" s="246"/>
      <c r="AU134" s="246"/>
      <c r="AV134" s="246"/>
      <c r="AW134" s="246"/>
      <c r="AX134" s="1291"/>
      <c r="AY134" s="1291"/>
      <c r="AZ134" s="1291"/>
      <c r="BA134" s="1291"/>
      <c r="BB134" s="1291"/>
      <c r="BC134" s="1297"/>
      <c r="BD134" s="425"/>
      <c r="BE134" s="425"/>
      <c r="BF134" s="994" t="s">
        <v>689</v>
      </c>
    </row>
    <row r="135" spans="1:58" s="1229" customFormat="1" ht="16.5" customHeight="1">
      <c r="A135" s="983"/>
      <c r="B135" s="783"/>
      <c r="C135" s="1153"/>
      <c r="D135" s="1153"/>
      <c r="E135" s="676">
        <v>17.100000000000001</v>
      </c>
      <c r="F135" s="779" t="str" cm="1">
        <f t="array" aca="1" ref="F135" ca="1">OFFSET(G135,-1,-1)</f>
        <v>1</v>
      </c>
      <c r="G135" s="425"/>
      <c r="H135" s="425"/>
      <c r="I135" s="425"/>
      <c r="J135" s="425"/>
      <c r="K135" s="425"/>
      <c r="L135" s="425"/>
      <c r="M135" s="425"/>
      <c r="N135" s="425"/>
      <c r="O135" s="425"/>
      <c r="P135" s="425"/>
      <c r="Q135" s="425"/>
      <c r="R135" s="425"/>
      <c r="S135" s="425"/>
      <c r="T135" s="687" t="b" cm="1">
        <f t="array" ref="T135">T134</f>
        <v>1</v>
      </c>
      <c r="U135" s="1153"/>
      <c r="V135" s="1153"/>
      <c r="W135" s="1153"/>
      <c r="X135" s="1726"/>
      <c r="Y135" s="1153"/>
      <c r="Z135" s="1726"/>
      <c r="AA135" s="425"/>
      <c r="AB135" s="475" t="s">
        <v>451</v>
      </c>
      <c r="AC135" s="476" t="s">
        <v>690</v>
      </c>
      <c r="AD135" s="351" t="s">
        <v>634</v>
      </c>
      <c r="AE135" s="311">
        <f t="shared" ref="AE135:BB135" si="51">SUM(AE136:AE137)</f>
        <v>0</v>
      </c>
      <c r="AF135" s="311">
        <f t="shared" si="51"/>
        <v>0</v>
      </c>
      <c r="AG135" s="311">
        <f t="shared" si="51"/>
        <v>0</v>
      </c>
      <c r="AH135" s="311">
        <f t="shared" si="51"/>
        <v>153302</v>
      </c>
      <c r="AI135" s="311">
        <f t="shared" si="51"/>
        <v>0</v>
      </c>
      <c r="AJ135" s="311">
        <f t="shared" si="51"/>
        <v>0</v>
      </c>
      <c r="AK135" s="311">
        <f t="shared" si="51"/>
        <v>0</v>
      </c>
      <c r="AL135" s="311">
        <f t="shared" si="51"/>
        <v>0</v>
      </c>
      <c r="AM135" s="311">
        <f t="shared" si="51"/>
        <v>0</v>
      </c>
      <c r="AN135" s="311">
        <f t="shared" si="51"/>
        <v>0</v>
      </c>
      <c r="AO135" s="311">
        <f t="shared" si="51"/>
        <v>0</v>
      </c>
      <c r="AP135" s="311">
        <f t="shared" si="51"/>
        <v>0</v>
      </c>
      <c r="AQ135" s="311">
        <f t="shared" si="51"/>
        <v>0</v>
      </c>
      <c r="AR135" s="311">
        <f t="shared" si="51"/>
        <v>0</v>
      </c>
      <c r="AS135" s="311">
        <f t="shared" si="51"/>
        <v>153302</v>
      </c>
      <c r="AT135" s="311">
        <f t="shared" si="51"/>
        <v>0</v>
      </c>
      <c r="AU135" s="311">
        <f t="shared" si="51"/>
        <v>0</v>
      </c>
      <c r="AV135" s="311">
        <f t="shared" si="51"/>
        <v>0</v>
      </c>
      <c r="AW135" s="311">
        <f t="shared" si="51"/>
        <v>0</v>
      </c>
      <c r="AX135" s="311">
        <f t="shared" si="51"/>
        <v>0</v>
      </c>
      <c r="AY135" s="311">
        <f t="shared" si="51"/>
        <v>0</v>
      </c>
      <c r="AZ135" s="311">
        <f t="shared" si="51"/>
        <v>0</v>
      </c>
      <c r="BA135" s="311">
        <f t="shared" si="51"/>
        <v>0</v>
      </c>
      <c r="BB135" s="311">
        <f t="shared" si="51"/>
        <v>0</v>
      </c>
      <c r="BC135" s="1297"/>
      <c r="BD135" s="425"/>
      <c r="BE135" s="425"/>
      <c r="BF135" s="994" t="s">
        <v>691</v>
      </c>
    </row>
    <row r="136" spans="1:58" s="1229" customFormat="1" ht="16.5" customHeight="1">
      <c r="A136" s="983"/>
      <c r="B136" s="783"/>
      <c r="C136" s="1153"/>
      <c r="D136" s="1153"/>
      <c r="E136" s="676">
        <v>17.100000000000001</v>
      </c>
      <c r="F136" s="779" t="str" cm="1">
        <f t="array" aca="1" ref="F136" ca="1">OFFSET(G136,-1,-1)</f>
        <v>1</v>
      </c>
      <c r="G136" s="425"/>
      <c r="H136" s="425"/>
      <c r="I136" s="425"/>
      <c r="J136" s="425"/>
      <c r="K136" s="425"/>
      <c r="L136" s="425"/>
      <c r="M136" s="425"/>
      <c r="N136" s="425"/>
      <c r="O136" s="425"/>
      <c r="P136" s="425"/>
      <c r="Q136" s="425"/>
      <c r="R136" s="425"/>
      <c r="S136" s="425"/>
      <c r="T136" s="687" t="b" cm="1">
        <f t="array" ref="T136">T135</f>
        <v>1</v>
      </c>
      <c r="U136" s="1153"/>
      <c r="V136" s="1153"/>
      <c r="W136" s="1153"/>
      <c r="X136" s="1726"/>
      <c r="Y136" s="1153"/>
      <c r="Z136" s="1726"/>
      <c r="AA136" s="425"/>
      <c r="AB136" s="724" t="str">
        <f>AB135&amp;".1"</f>
        <v>7.1</v>
      </c>
      <c r="AC136" s="469" t="s">
        <v>638</v>
      </c>
      <c r="AD136" s="351" t="s">
        <v>634</v>
      </c>
      <c r="AE136" s="1291">
        <f t="shared" ref="AE136:AG137" si="52">AE133+AE122</f>
        <v>0</v>
      </c>
      <c r="AF136" s="1291">
        <f t="shared" si="52"/>
        <v>0</v>
      </c>
      <c r="AG136" s="1291">
        <f t="shared" si="52"/>
        <v>0</v>
      </c>
      <c r="AH136" s="1291">
        <v>145865</v>
      </c>
      <c r="AI136" s="246">
        <f t="shared" ref="AI136:AR136" si="53">AI133+AI122</f>
        <v>0</v>
      </c>
      <c r="AJ136" s="246">
        <f t="shared" si="53"/>
        <v>0</v>
      </c>
      <c r="AK136" s="246">
        <f t="shared" si="53"/>
        <v>0</v>
      </c>
      <c r="AL136" s="246">
        <f t="shared" si="53"/>
        <v>0</v>
      </c>
      <c r="AM136" s="246">
        <f t="shared" si="53"/>
        <v>0</v>
      </c>
      <c r="AN136" s="1291">
        <f t="shared" si="53"/>
        <v>0</v>
      </c>
      <c r="AO136" s="1291">
        <f t="shared" si="53"/>
        <v>0</v>
      </c>
      <c r="AP136" s="1291">
        <f t="shared" si="53"/>
        <v>0</v>
      </c>
      <c r="AQ136" s="1291">
        <f t="shared" si="53"/>
        <v>0</v>
      </c>
      <c r="AR136" s="1291">
        <f t="shared" si="53"/>
        <v>0</v>
      </c>
      <c r="AS136" s="246">
        <f>146341.81+0.3</f>
        <v>146342.10999999999</v>
      </c>
      <c r="AT136" s="246">
        <f t="shared" ref="AT136:BB136" si="54">AT133+AT122</f>
        <v>0</v>
      </c>
      <c r="AU136" s="246">
        <f t="shared" si="54"/>
        <v>0</v>
      </c>
      <c r="AV136" s="246">
        <f t="shared" si="54"/>
        <v>0</v>
      </c>
      <c r="AW136" s="246">
        <f t="shared" si="54"/>
        <v>0</v>
      </c>
      <c r="AX136" s="1291">
        <f t="shared" si="54"/>
        <v>0</v>
      </c>
      <c r="AY136" s="1291">
        <f t="shared" si="54"/>
        <v>0</v>
      </c>
      <c r="AZ136" s="1291">
        <f t="shared" si="54"/>
        <v>0</v>
      </c>
      <c r="BA136" s="1291">
        <f t="shared" si="54"/>
        <v>0</v>
      </c>
      <c r="BB136" s="1291">
        <f t="shared" si="54"/>
        <v>0</v>
      </c>
      <c r="BC136" s="1297"/>
      <c r="BD136" s="425"/>
      <c r="BE136" s="425"/>
      <c r="BF136" s="994" t="s">
        <v>692</v>
      </c>
    </row>
    <row r="137" spans="1:58" s="1229" customFormat="1" ht="16.5" customHeight="1">
      <c r="A137" s="983"/>
      <c r="B137" s="783"/>
      <c r="C137" s="1153"/>
      <c r="D137" s="1153"/>
      <c r="E137" s="676">
        <v>17.100000000000001</v>
      </c>
      <c r="F137" s="779" t="str" cm="1">
        <f t="array" aca="1" ref="F137" ca="1">OFFSET(G137,-1,-1)</f>
        <v>1</v>
      </c>
      <c r="G137" s="425"/>
      <c r="H137" s="425"/>
      <c r="I137" s="425"/>
      <c r="J137" s="425"/>
      <c r="K137" s="425"/>
      <c r="L137" s="425"/>
      <c r="M137" s="425"/>
      <c r="N137" s="425"/>
      <c r="O137" s="425"/>
      <c r="P137" s="425"/>
      <c r="Q137" s="425"/>
      <c r="R137" s="425"/>
      <c r="S137" s="425"/>
      <c r="T137" s="687" t="b" cm="1">
        <f t="array" ref="T137">T136</f>
        <v>1</v>
      </c>
      <c r="U137" s="1153"/>
      <c r="V137" s="1153"/>
      <c r="W137" s="1153"/>
      <c r="X137" s="1726"/>
      <c r="Y137" s="1153"/>
      <c r="Z137" s="1726"/>
      <c r="AA137" s="425"/>
      <c r="AB137" s="724" t="str">
        <f>AB135&amp;".2"</f>
        <v>7.2</v>
      </c>
      <c r="AC137" s="469" t="s">
        <v>640</v>
      </c>
      <c r="AD137" s="351" t="s">
        <v>634</v>
      </c>
      <c r="AE137" s="1291">
        <f t="shared" si="52"/>
        <v>0</v>
      </c>
      <c r="AF137" s="1291">
        <f t="shared" si="52"/>
        <v>0</v>
      </c>
      <c r="AG137" s="1291">
        <f t="shared" si="52"/>
        <v>0</v>
      </c>
      <c r="AH137" s="1291">
        <v>7437</v>
      </c>
      <c r="AI137" s="246">
        <f t="shared" ref="AI137:AR137" si="55">AI134+AI123</f>
        <v>0</v>
      </c>
      <c r="AJ137" s="246">
        <f t="shared" si="55"/>
        <v>0</v>
      </c>
      <c r="AK137" s="246">
        <f t="shared" si="55"/>
        <v>0</v>
      </c>
      <c r="AL137" s="246">
        <f t="shared" si="55"/>
        <v>0</v>
      </c>
      <c r="AM137" s="246">
        <f t="shared" si="55"/>
        <v>0</v>
      </c>
      <c r="AN137" s="1291">
        <f t="shared" si="55"/>
        <v>0</v>
      </c>
      <c r="AO137" s="1291">
        <f t="shared" si="55"/>
        <v>0</v>
      </c>
      <c r="AP137" s="1291">
        <f t="shared" si="55"/>
        <v>0</v>
      </c>
      <c r="AQ137" s="1291">
        <f t="shared" si="55"/>
        <v>0</v>
      </c>
      <c r="AR137" s="1291">
        <f t="shared" si="55"/>
        <v>0</v>
      </c>
      <c r="AS137" s="246">
        <v>6959.89</v>
      </c>
      <c r="AT137" s="246">
        <f t="shared" ref="AT137:BB137" si="56">AT134+AT123</f>
        <v>0</v>
      </c>
      <c r="AU137" s="246">
        <f t="shared" si="56"/>
        <v>0</v>
      </c>
      <c r="AV137" s="246">
        <f t="shared" si="56"/>
        <v>0</v>
      </c>
      <c r="AW137" s="246">
        <f t="shared" si="56"/>
        <v>0</v>
      </c>
      <c r="AX137" s="1291">
        <f t="shared" si="56"/>
        <v>0</v>
      </c>
      <c r="AY137" s="1291">
        <f t="shared" si="56"/>
        <v>0</v>
      </c>
      <c r="AZ137" s="1291">
        <f t="shared" si="56"/>
        <v>0</v>
      </c>
      <c r="BA137" s="1291">
        <f t="shared" si="56"/>
        <v>0</v>
      </c>
      <c r="BB137" s="1291">
        <f t="shared" si="56"/>
        <v>0</v>
      </c>
      <c r="BC137" s="1297"/>
      <c r="BD137" s="425"/>
      <c r="BE137" s="425"/>
      <c r="BF137" s="994" t="s">
        <v>693</v>
      </c>
    </row>
    <row r="138" spans="1:58" s="1229" customFormat="1" ht="33" customHeight="1">
      <c r="A138" s="983"/>
      <c r="B138" s="783"/>
      <c r="C138" s="1153"/>
      <c r="D138" s="1153"/>
      <c r="E138" s="676">
        <v>34.5</v>
      </c>
      <c r="F138" s="779" t="str" cm="1">
        <f t="array" aca="1" ref="F138" ca="1">OFFSET(G138,-1,-1)</f>
        <v>1</v>
      </c>
      <c r="G138" s="425"/>
      <c r="H138" s="425"/>
      <c r="I138" s="425"/>
      <c r="J138" s="425"/>
      <c r="K138" s="425"/>
      <c r="L138" s="425"/>
      <c r="M138" s="425"/>
      <c r="N138" s="425"/>
      <c r="O138" s="425"/>
      <c r="P138" s="425"/>
      <c r="Q138" s="425"/>
      <c r="R138" s="425"/>
      <c r="S138" s="425"/>
      <c r="T138" s="687" t="b" cm="1">
        <f t="array" ref="T138">T137</f>
        <v>1</v>
      </c>
      <c r="U138" s="1153"/>
      <c r="V138" s="1153"/>
      <c r="W138" s="1153"/>
      <c r="X138" s="1726"/>
      <c r="Y138" s="1153"/>
      <c r="Z138" s="1726"/>
      <c r="AA138" s="425"/>
      <c r="AB138" s="475" t="s">
        <v>454</v>
      </c>
      <c r="AC138" s="476" t="s">
        <v>694</v>
      </c>
      <c r="AD138" s="351" t="s">
        <v>634</v>
      </c>
      <c r="AE138" s="311">
        <f t="shared" ref="AE138:BB138" si="57">SUM(AE139,AE141)</f>
        <v>0</v>
      </c>
      <c r="AF138" s="311">
        <f t="shared" si="57"/>
        <v>0</v>
      </c>
      <c r="AG138" s="311">
        <f t="shared" si="57"/>
        <v>0</v>
      </c>
      <c r="AH138" s="311">
        <f t="shared" si="57"/>
        <v>16590</v>
      </c>
      <c r="AI138" s="311">
        <f t="shared" si="57"/>
        <v>0</v>
      </c>
      <c r="AJ138" s="311">
        <f t="shared" si="57"/>
        <v>0</v>
      </c>
      <c r="AK138" s="311">
        <f t="shared" si="57"/>
        <v>0</v>
      </c>
      <c r="AL138" s="311">
        <f t="shared" si="57"/>
        <v>0</v>
      </c>
      <c r="AM138" s="311">
        <f t="shared" si="57"/>
        <v>0</v>
      </c>
      <c r="AN138" s="311">
        <f t="shared" si="57"/>
        <v>0</v>
      </c>
      <c r="AO138" s="311">
        <f t="shared" si="57"/>
        <v>0</v>
      </c>
      <c r="AP138" s="311">
        <f t="shared" si="57"/>
        <v>0</v>
      </c>
      <c r="AQ138" s="311">
        <f t="shared" si="57"/>
        <v>0</v>
      </c>
      <c r="AR138" s="311">
        <f t="shared" si="57"/>
        <v>0</v>
      </c>
      <c r="AS138" s="311">
        <f t="shared" si="57"/>
        <v>16590</v>
      </c>
      <c r="AT138" s="311">
        <f t="shared" si="57"/>
        <v>0</v>
      </c>
      <c r="AU138" s="311">
        <f t="shared" si="57"/>
        <v>0</v>
      </c>
      <c r="AV138" s="311">
        <f t="shared" si="57"/>
        <v>0</v>
      </c>
      <c r="AW138" s="311">
        <f t="shared" si="57"/>
        <v>0</v>
      </c>
      <c r="AX138" s="311">
        <f t="shared" si="57"/>
        <v>0</v>
      </c>
      <c r="AY138" s="311">
        <f t="shared" si="57"/>
        <v>0</v>
      </c>
      <c r="AZ138" s="311">
        <f t="shared" si="57"/>
        <v>0</v>
      </c>
      <c r="BA138" s="311">
        <f t="shared" si="57"/>
        <v>0</v>
      </c>
      <c r="BB138" s="311">
        <f t="shared" si="57"/>
        <v>0</v>
      </c>
      <c r="BC138" s="1297"/>
      <c r="BD138" s="425"/>
      <c r="BE138" s="425"/>
      <c r="BF138" s="994" t="s">
        <v>695</v>
      </c>
    </row>
    <row r="139" spans="1:58" s="1229" customFormat="1" ht="16.5" customHeight="1">
      <c r="A139" s="983"/>
      <c r="B139" s="783"/>
      <c r="C139" s="1153"/>
      <c r="D139" s="1153"/>
      <c r="E139" s="676">
        <v>17.100000000000001</v>
      </c>
      <c r="F139" s="779" t="str" cm="1">
        <f t="array" aca="1" ref="F139" ca="1">OFFSET(G139,-1,-1)</f>
        <v>1</v>
      </c>
      <c r="G139" s="425"/>
      <c r="H139" s="425"/>
      <c r="I139" s="425"/>
      <c r="J139" s="425"/>
      <c r="K139" s="425"/>
      <c r="L139" s="425"/>
      <c r="M139" s="425"/>
      <c r="N139" s="425"/>
      <c r="O139" s="425"/>
      <c r="P139" s="425"/>
      <c r="Q139" s="425"/>
      <c r="R139" s="425"/>
      <c r="S139" s="425"/>
      <c r="T139" s="687" t="b" cm="1">
        <f t="array" ref="T139">T138</f>
        <v>1</v>
      </c>
      <c r="U139" s="1153"/>
      <c r="V139" s="1153"/>
      <c r="W139" s="1153"/>
      <c r="X139" s="1726"/>
      <c r="Y139" s="1153"/>
      <c r="Z139" s="1726"/>
      <c r="AA139" s="425"/>
      <c r="AB139" s="724" t="str">
        <f>AB138&amp;".1"</f>
        <v>8.1</v>
      </c>
      <c r="AC139" s="469" t="s">
        <v>638</v>
      </c>
      <c r="AD139" s="351" t="s">
        <v>634</v>
      </c>
      <c r="AE139" s="1291"/>
      <c r="AF139" s="1291"/>
      <c r="AG139" s="1291"/>
      <c r="AH139" s="1291">
        <v>16590</v>
      </c>
      <c r="AI139" s="246"/>
      <c r="AJ139" s="246"/>
      <c r="AK139" s="246"/>
      <c r="AL139" s="246"/>
      <c r="AM139" s="246"/>
      <c r="AN139" s="1291"/>
      <c r="AO139" s="1291"/>
      <c r="AP139" s="1291"/>
      <c r="AQ139" s="1291"/>
      <c r="AR139" s="1291"/>
      <c r="AS139" s="246">
        <v>16590</v>
      </c>
      <c r="AT139" s="246"/>
      <c r="AU139" s="246"/>
      <c r="AV139" s="246"/>
      <c r="AW139" s="246"/>
      <c r="AX139" s="1291"/>
      <c r="AY139" s="1291"/>
      <c r="AZ139" s="1291"/>
      <c r="BA139" s="1291"/>
      <c r="BB139" s="1291"/>
      <c r="BC139" s="1297"/>
      <c r="BD139" s="425"/>
      <c r="BE139" s="425"/>
      <c r="BF139" s="994" t="s">
        <v>696</v>
      </c>
    </row>
    <row r="140" spans="1:58" s="1229" customFormat="1" ht="16.5" customHeight="1">
      <c r="A140" s="983"/>
      <c r="B140" s="783"/>
      <c r="C140" s="1153"/>
      <c r="D140" s="1153"/>
      <c r="E140" s="676">
        <v>17.100000000000001</v>
      </c>
      <c r="F140" s="779" t="str" cm="1">
        <f t="array" aca="1" ref="F140" ca="1">OFFSET(G140,-1,-1)</f>
        <v>1</v>
      </c>
      <c r="G140" s="425"/>
      <c r="H140" s="425"/>
      <c r="I140" s="425"/>
      <c r="J140" s="425"/>
      <c r="K140" s="425"/>
      <c r="L140" s="425"/>
      <c r="M140" s="425"/>
      <c r="N140" s="425"/>
      <c r="O140" s="425"/>
      <c r="P140" s="425"/>
      <c r="Q140" s="425"/>
      <c r="R140" s="425"/>
      <c r="S140" s="425"/>
      <c r="T140" s="687" t="b" cm="1">
        <f t="array" ref="T140">T139</f>
        <v>1</v>
      </c>
      <c r="U140" s="1153"/>
      <c r="V140" s="1153"/>
      <c r="W140" s="1153"/>
      <c r="X140" s="1726"/>
      <c r="Y140" s="1153"/>
      <c r="Z140" s="1726"/>
      <c r="AA140" s="425"/>
      <c r="AB140" s="724" t="str">
        <f>AB139&amp;".1"</f>
        <v>8.1.1</v>
      </c>
      <c r="AC140" s="571" t="s">
        <v>697</v>
      </c>
      <c r="AD140" s="351" t="s">
        <v>533</v>
      </c>
      <c r="AE140" s="876">
        <f t="shared" ref="AE140:BB140" si="58">IFERROR(AE139/AE136,0)</f>
        <v>0</v>
      </c>
      <c r="AF140" s="876">
        <f t="shared" si="58"/>
        <v>0</v>
      </c>
      <c r="AG140" s="876">
        <f t="shared" si="58"/>
        <v>0</v>
      </c>
      <c r="AH140" s="876">
        <f t="shared" si="58"/>
        <v>0.11373530319130704</v>
      </c>
      <c r="AI140" s="876">
        <f t="shared" si="58"/>
        <v>0</v>
      </c>
      <c r="AJ140" s="876">
        <f t="shared" si="58"/>
        <v>0</v>
      </c>
      <c r="AK140" s="876">
        <f t="shared" si="58"/>
        <v>0</v>
      </c>
      <c r="AL140" s="876">
        <f t="shared" si="58"/>
        <v>0</v>
      </c>
      <c r="AM140" s="876">
        <f t="shared" si="58"/>
        <v>0</v>
      </c>
      <c r="AN140" s="876">
        <f t="shared" si="58"/>
        <v>0</v>
      </c>
      <c r="AO140" s="876">
        <f t="shared" si="58"/>
        <v>0</v>
      </c>
      <c r="AP140" s="876">
        <f t="shared" si="58"/>
        <v>0</v>
      </c>
      <c r="AQ140" s="876">
        <f t="shared" si="58"/>
        <v>0</v>
      </c>
      <c r="AR140" s="876">
        <f t="shared" si="58"/>
        <v>0</v>
      </c>
      <c r="AS140" s="876">
        <f t="shared" si="58"/>
        <v>0.11336449911785475</v>
      </c>
      <c r="AT140" s="876">
        <f t="shared" si="58"/>
        <v>0</v>
      </c>
      <c r="AU140" s="876">
        <f t="shared" si="58"/>
        <v>0</v>
      </c>
      <c r="AV140" s="876">
        <f t="shared" si="58"/>
        <v>0</v>
      </c>
      <c r="AW140" s="876">
        <f t="shared" si="58"/>
        <v>0</v>
      </c>
      <c r="AX140" s="876">
        <f t="shared" si="58"/>
        <v>0</v>
      </c>
      <c r="AY140" s="876">
        <f t="shared" si="58"/>
        <v>0</v>
      </c>
      <c r="AZ140" s="876">
        <f t="shared" si="58"/>
        <v>0</v>
      </c>
      <c r="BA140" s="876">
        <f t="shared" si="58"/>
        <v>0</v>
      </c>
      <c r="BB140" s="876">
        <f t="shared" si="58"/>
        <v>0</v>
      </c>
      <c r="BC140" s="1297"/>
      <c r="BD140" s="425"/>
      <c r="BE140" s="425"/>
      <c r="BF140" s="994" t="s">
        <v>698</v>
      </c>
    </row>
    <row r="141" spans="1:58" s="1229" customFormat="1" ht="16.5" customHeight="1">
      <c r="A141" s="983"/>
      <c r="B141" s="783"/>
      <c r="C141" s="1153"/>
      <c r="D141" s="1153"/>
      <c r="E141" s="676">
        <v>17.100000000000001</v>
      </c>
      <c r="F141" s="779" t="str" cm="1">
        <f t="array" aca="1" ref="F141" ca="1">OFFSET(G141,-1,-1)</f>
        <v>1</v>
      </c>
      <c r="G141" s="425"/>
      <c r="H141" s="425"/>
      <c r="I141" s="425"/>
      <c r="J141" s="425"/>
      <c r="K141" s="425"/>
      <c r="L141" s="425"/>
      <c r="M141" s="425"/>
      <c r="N141" s="425"/>
      <c r="O141" s="425"/>
      <c r="P141" s="425"/>
      <c r="Q141" s="425"/>
      <c r="R141" s="425"/>
      <c r="S141" s="425"/>
      <c r="T141" s="687" t="b" cm="1">
        <f t="array" ref="T141">T140</f>
        <v>1</v>
      </c>
      <c r="U141" s="1153"/>
      <c r="V141" s="1153"/>
      <c r="W141" s="1153"/>
      <c r="X141" s="1726"/>
      <c r="Y141" s="1153"/>
      <c r="Z141" s="1726"/>
      <c r="AA141" s="425"/>
      <c r="AB141" s="724" t="str">
        <f>AB138&amp;".2"</f>
        <v>8.2</v>
      </c>
      <c r="AC141" s="469" t="s">
        <v>640</v>
      </c>
      <c r="AD141" s="351" t="s">
        <v>634</v>
      </c>
      <c r="AE141" s="1291"/>
      <c r="AF141" s="1291"/>
      <c r="AG141" s="1291"/>
      <c r="AH141" s="1291"/>
      <c r="AI141" s="246"/>
      <c r="AJ141" s="246"/>
      <c r="AK141" s="246"/>
      <c r="AL141" s="246"/>
      <c r="AM141" s="246"/>
      <c r="AN141" s="1291"/>
      <c r="AO141" s="1291"/>
      <c r="AP141" s="1291"/>
      <c r="AQ141" s="1291"/>
      <c r="AR141" s="1291"/>
      <c r="AS141" s="246"/>
      <c r="AT141" s="246"/>
      <c r="AU141" s="246"/>
      <c r="AV141" s="246"/>
      <c r="AW141" s="246"/>
      <c r="AX141" s="1291"/>
      <c r="AY141" s="1291"/>
      <c r="AZ141" s="1291"/>
      <c r="BA141" s="1291"/>
      <c r="BB141" s="1291"/>
      <c r="BC141" s="1297"/>
      <c r="BD141" s="425"/>
      <c r="BE141" s="425"/>
      <c r="BF141" s="994" t="s">
        <v>699</v>
      </c>
    </row>
    <row r="142" spans="1:58" s="1229" customFormat="1" ht="16.5" customHeight="1">
      <c r="A142" s="983"/>
      <c r="B142" s="783"/>
      <c r="C142" s="1153"/>
      <c r="D142" s="1153"/>
      <c r="E142" s="676">
        <v>17.100000000000001</v>
      </c>
      <c r="F142" s="779" t="str" cm="1">
        <f t="array" aca="1" ref="F142" ca="1">OFFSET(G142,-1,-1)</f>
        <v>1</v>
      </c>
      <c r="G142" s="425"/>
      <c r="H142" s="425"/>
      <c r="I142" s="425"/>
      <c r="J142" s="425"/>
      <c r="K142" s="425"/>
      <c r="L142" s="425"/>
      <c r="M142" s="425"/>
      <c r="N142" s="425"/>
      <c r="O142" s="425"/>
      <c r="P142" s="425"/>
      <c r="Q142" s="425"/>
      <c r="R142" s="425"/>
      <c r="S142" s="425"/>
      <c r="T142" s="687" t="b" cm="1">
        <f t="array" ref="T142">T141</f>
        <v>1</v>
      </c>
      <c r="U142" s="1153"/>
      <c r="V142" s="1153"/>
      <c r="W142" s="1153"/>
      <c r="X142" s="1726"/>
      <c r="Y142" s="1153"/>
      <c r="Z142" s="1726"/>
      <c r="AA142" s="425"/>
      <c r="AB142" s="724" t="str">
        <f>AB141&amp;".1"</f>
        <v>8.2.1</v>
      </c>
      <c r="AC142" s="571" t="s">
        <v>697</v>
      </c>
      <c r="AD142" s="121" t="s">
        <v>533</v>
      </c>
      <c r="AE142" s="913">
        <f t="shared" ref="AE142:BB142" si="59">IFERROR(AE141/AE137,0)</f>
        <v>0</v>
      </c>
      <c r="AF142" s="913">
        <f t="shared" si="59"/>
        <v>0</v>
      </c>
      <c r="AG142" s="913">
        <f t="shared" si="59"/>
        <v>0</v>
      </c>
      <c r="AH142" s="913">
        <f t="shared" si="59"/>
        <v>0</v>
      </c>
      <c r="AI142" s="913">
        <f t="shared" si="59"/>
        <v>0</v>
      </c>
      <c r="AJ142" s="913">
        <f t="shared" si="59"/>
        <v>0</v>
      </c>
      <c r="AK142" s="913">
        <f t="shared" si="59"/>
        <v>0</v>
      </c>
      <c r="AL142" s="913">
        <f t="shared" si="59"/>
        <v>0</v>
      </c>
      <c r="AM142" s="913">
        <f t="shared" si="59"/>
        <v>0</v>
      </c>
      <c r="AN142" s="913">
        <f t="shared" si="59"/>
        <v>0</v>
      </c>
      <c r="AO142" s="913">
        <f t="shared" si="59"/>
        <v>0</v>
      </c>
      <c r="AP142" s="913">
        <f t="shared" si="59"/>
        <v>0</v>
      </c>
      <c r="AQ142" s="913">
        <f t="shared" si="59"/>
        <v>0</v>
      </c>
      <c r="AR142" s="913">
        <f t="shared" si="59"/>
        <v>0</v>
      </c>
      <c r="AS142" s="913">
        <f t="shared" si="59"/>
        <v>0</v>
      </c>
      <c r="AT142" s="913">
        <f t="shared" si="59"/>
        <v>0</v>
      </c>
      <c r="AU142" s="913">
        <f t="shared" si="59"/>
        <v>0</v>
      </c>
      <c r="AV142" s="913">
        <f t="shared" si="59"/>
        <v>0</v>
      </c>
      <c r="AW142" s="913">
        <f t="shared" si="59"/>
        <v>0</v>
      </c>
      <c r="AX142" s="913">
        <f t="shared" si="59"/>
        <v>0</v>
      </c>
      <c r="AY142" s="913">
        <f t="shared" si="59"/>
        <v>0</v>
      </c>
      <c r="AZ142" s="913">
        <f t="shared" si="59"/>
        <v>0</v>
      </c>
      <c r="BA142" s="913">
        <f t="shared" si="59"/>
        <v>0</v>
      </c>
      <c r="BB142" s="913">
        <f t="shared" si="59"/>
        <v>0</v>
      </c>
      <c r="BC142" s="1298"/>
      <c r="BD142" s="425"/>
      <c r="BE142" s="425"/>
      <c r="BF142" s="994" t="s">
        <v>700</v>
      </c>
    </row>
    <row r="143" spans="1:58" s="1229" customFormat="1" ht="16.5" customHeight="1">
      <c r="A143" s="983"/>
      <c r="B143" s="783"/>
      <c r="C143" s="1153"/>
      <c r="D143" s="1153"/>
      <c r="E143" s="676">
        <v>17.100000000000001</v>
      </c>
      <c r="F143" s="779" t="str" cm="1">
        <f t="array" aca="1" ref="F143" ca="1">OFFSET(G143,-1,-1)</f>
        <v>1</v>
      </c>
      <c r="G143" s="425"/>
      <c r="H143" s="425"/>
      <c r="I143" s="425"/>
      <c r="J143" s="425"/>
      <c r="K143" s="425"/>
      <c r="L143" s="425"/>
      <c r="M143" s="425"/>
      <c r="N143" s="425"/>
      <c r="O143" s="425"/>
      <c r="P143" s="425"/>
      <c r="Q143" s="425"/>
      <c r="R143" s="425"/>
      <c r="S143" s="425"/>
      <c r="T143" s="687" t="b" cm="1">
        <f t="array" ref="T143">T142</f>
        <v>1</v>
      </c>
      <c r="U143" s="1153"/>
      <c r="V143" s="1153"/>
      <c r="W143" s="1153"/>
      <c r="X143" s="1726"/>
      <c r="Y143" s="1153"/>
      <c r="Z143" s="1726"/>
      <c r="AA143" s="425"/>
      <c r="AB143" s="414" t="s">
        <v>457</v>
      </c>
      <c r="AC143" s="413" t="s">
        <v>701</v>
      </c>
      <c r="AD143" s="121" t="s">
        <v>634</v>
      </c>
      <c r="AE143" s="448">
        <f t="shared" ref="AE143:BB143" si="60">AE135-AE138</f>
        <v>0</v>
      </c>
      <c r="AF143" s="448">
        <f t="shared" si="60"/>
        <v>0</v>
      </c>
      <c r="AG143" s="448">
        <f t="shared" si="60"/>
        <v>0</v>
      </c>
      <c r="AH143" s="448">
        <f t="shared" si="60"/>
        <v>136712</v>
      </c>
      <c r="AI143" s="448">
        <f t="shared" si="60"/>
        <v>0</v>
      </c>
      <c r="AJ143" s="448">
        <f t="shared" si="60"/>
        <v>0</v>
      </c>
      <c r="AK143" s="448">
        <f t="shared" si="60"/>
        <v>0</v>
      </c>
      <c r="AL143" s="448">
        <f t="shared" si="60"/>
        <v>0</v>
      </c>
      <c r="AM143" s="448">
        <f t="shared" si="60"/>
        <v>0</v>
      </c>
      <c r="AN143" s="448">
        <f t="shared" si="60"/>
        <v>0</v>
      </c>
      <c r="AO143" s="448">
        <f t="shared" si="60"/>
        <v>0</v>
      </c>
      <c r="AP143" s="448">
        <f t="shared" si="60"/>
        <v>0</v>
      </c>
      <c r="AQ143" s="448">
        <f t="shared" si="60"/>
        <v>0</v>
      </c>
      <c r="AR143" s="448">
        <f t="shared" si="60"/>
        <v>0</v>
      </c>
      <c r="AS143" s="448">
        <f t="shared" si="60"/>
        <v>136712</v>
      </c>
      <c r="AT143" s="448">
        <f t="shared" si="60"/>
        <v>0</v>
      </c>
      <c r="AU143" s="448">
        <f t="shared" si="60"/>
        <v>0</v>
      </c>
      <c r="AV143" s="448">
        <f t="shared" si="60"/>
        <v>0</v>
      </c>
      <c r="AW143" s="448">
        <f t="shared" si="60"/>
        <v>0</v>
      </c>
      <c r="AX143" s="448">
        <f t="shared" si="60"/>
        <v>0</v>
      </c>
      <c r="AY143" s="448">
        <f t="shared" si="60"/>
        <v>0</v>
      </c>
      <c r="AZ143" s="448">
        <f t="shared" si="60"/>
        <v>0</v>
      </c>
      <c r="BA143" s="448">
        <f t="shared" si="60"/>
        <v>0</v>
      </c>
      <c r="BB143" s="448">
        <f t="shared" si="60"/>
        <v>0</v>
      </c>
      <c r="BC143" s="1290"/>
      <c r="BD143" s="425"/>
      <c r="BE143" s="425"/>
      <c r="BF143" s="994" t="s">
        <v>702</v>
      </c>
    </row>
    <row r="144" spans="1:58" s="1229" customFormat="1" ht="16.5" customHeight="1">
      <c r="A144" s="983"/>
      <c r="B144" s="783"/>
      <c r="C144" s="1153"/>
      <c r="D144" s="1153"/>
      <c r="E144" s="676">
        <v>17.100000000000001</v>
      </c>
      <c r="F144" s="779" t="str" cm="1">
        <f t="array" aca="1" ref="F144" ca="1">OFFSET(G144,-1,-1)</f>
        <v>1</v>
      </c>
      <c r="G144" s="425"/>
      <c r="H144" s="425"/>
      <c r="I144" s="425"/>
      <c r="J144" s="425"/>
      <c r="K144" s="425"/>
      <c r="L144" s="425"/>
      <c r="M144" s="425"/>
      <c r="N144" s="425"/>
      <c r="O144" s="425"/>
      <c r="P144" s="425"/>
      <c r="Q144" s="425"/>
      <c r="R144" s="425"/>
      <c r="S144" s="425"/>
      <c r="T144" s="687" t="b" cm="1">
        <f t="array" ref="T144">T143</f>
        <v>1</v>
      </c>
      <c r="U144" s="1153"/>
      <c r="V144" s="1153"/>
      <c r="W144" s="1153"/>
      <c r="X144" s="1726"/>
      <c r="Y144" s="1153"/>
      <c r="Z144" s="1726"/>
      <c r="AA144" s="425"/>
      <c r="AB144" s="724" t="str">
        <f>AB143&amp;".1"</f>
        <v>9.1</v>
      </c>
      <c r="AC144" s="469" t="s">
        <v>638</v>
      </c>
      <c r="AD144" s="121" t="s">
        <v>634</v>
      </c>
      <c r="AE144" s="1294">
        <f t="shared" ref="AE144:BB144" si="61">AE136-AE139</f>
        <v>0</v>
      </c>
      <c r="AF144" s="1294">
        <f t="shared" si="61"/>
        <v>0</v>
      </c>
      <c r="AG144" s="1294">
        <f t="shared" si="61"/>
        <v>0</v>
      </c>
      <c r="AH144" s="1294">
        <f t="shared" si="61"/>
        <v>129275</v>
      </c>
      <c r="AI144" s="416">
        <f t="shared" si="61"/>
        <v>0</v>
      </c>
      <c r="AJ144" s="416">
        <f t="shared" si="61"/>
        <v>0</v>
      </c>
      <c r="AK144" s="416">
        <f t="shared" si="61"/>
        <v>0</v>
      </c>
      <c r="AL144" s="416">
        <f t="shared" si="61"/>
        <v>0</v>
      </c>
      <c r="AM144" s="416">
        <f t="shared" si="61"/>
        <v>0</v>
      </c>
      <c r="AN144" s="1294">
        <f t="shared" si="61"/>
        <v>0</v>
      </c>
      <c r="AO144" s="1294">
        <f t="shared" si="61"/>
        <v>0</v>
      </c>
      <c r="AP144" s="1294">
        <f t="shared" si="61"/>
        <v>0</v>
      </c>
      <c r="AQ144" s="1294">
        <f t="shared" si="61"/>
        <v>0</v>
      </c>
      <c r="AR144" s="1294">
        <f t="shared" si="61"/>
        <v>0</v>
      </c>
      <c r="AS144" s="416">
        <f t="shared" si="61"/>
        <v>129752.10999999999</v>
      </c>
      <c r="AT144" s="416">
        <f t="shared" si="61"/>
        <v>0</v>
      </c>
      <c r="AU144" s="416">
        <f t="shared" si="61"/>
        <v>0</v>
      </c>
      <c r="AV144" s="416">
        <f t="shared" si="61"/>
        <v>0</v>
      </c>
      <c r="AW144" s="416">
        <f t="shared" si="61"/>
        <v>0</v>
      </c>
      <c r="AX144" s="1294">
        <f t="shared" si="61"/>
        <v>0</v>
      </c>
      <c r="AY144" s="1294">
        <f t="shared" si="61"/>
        <v>0</v>
      </c>
      <c r="AZ144" s="1294">
        <f t="shared" si="61"/>
        <v>0</v>
      </c>
      <c r="BA144" s="1294">
        <f t="shared" si="61"/>
        <v>0</v>
      </c>
      <c r="BB144" s="1294">
        <f t="shared" si="61"/>
        <v>0</v>
      </c>
      <c r="BC144" s="1290"/>
      <c r="BD144" s="425"/>
      <c r="BE144" s="425"/>
      <c r="BF144" s="994" t="s">
        <v>703</v>
      </c>
    </row>
    <row r="145" spans="1:58" s="1229" customFormat="1" ht="16.5" customHeight="1">
      <c r="A145" s="983"/>
      <c r="B145" s="783"/>
      <c r="C145" s="1153"/>
      <c r="D145" s="1153"/>
      <c r="E145" s="676">
        <v>17.100000000000001</v>
      </c>
      <c r="F145" s="779" t="str" cm="1">
        <f t="array" aca="1" ref="F145" ca="1">OFFSET(G145,-1,-1)</f>
        <v>1</v>
      </c>
      <c r="G145" s="425"/>
      <c r="H145" s="425"/>
      <c r="I145" s="425"/>
      <c r="J145" s="425"/>
      <c r="K145" s="425"/>
      <c r="L145" s="425"/>
      <c r="M145" s="425"/>
      <c r="N145" s="425"/>
      <c r="O145" s="425"/>
      <c r="P145" s="425"/>
      <c r="Q145" s="425"/>
      <c r="R145" s="425"/>
      <c r="S145" s="425"/>
      <c r="T145" s="687" t="b" cm="1">
        <f t="array" ref="T145">T144</f>
        <v>1</v>
      </c>
      <c r="U145" s="1153"/>
      <c r="V145" s="1153"/>
      <c r="W145" s="1153"/>
      <c r="X145" s="1726"/>
      <c r="Y145" s="1153"/>
      <c r="Z145" s="1726"/>
      <c r="AA145" s="425"/>
      <c r="AB145" s="724" t="str">
        <f>AB144&amp;".1"</f>
        <v>9.1.1</v>
      </c>
      <c r="AC145" s="572" t="s">
        <v>675</v>
      </c>
      <c r="AD145" s="121" t="s">
        <v>634</v>
      </c>
      <c r="AE145" s="1294"/>
      <c r="AF145" s="1294"/>
      <c r="AG145" s="1294"/>
      <c r="AH145" s="1294"/>
      <c r="AI145" s="416"/>
      <c r="AJ145" s="416"/>
      <c r="AK145" s="416"/>
      <c r="AL145" s="416"/>
      <c r="AM145" s="416"/>
      <c r="AN145" s="1294"/>
      <c r="AO145" s="1294"/>
      <c r="AP145" s="1294"/>
      <c r="AQ145" s="1294"/>
      <c r="AR145" s="1294"/>
      <c r="AS145" s="416"/>
      <c r="AT145" s="416"/>
      <c r="AU145" s="416"/>
      <c r="AV145" s="416"/>
      <c r="AW145" s="416"/>
      <c r="AX145" s="1294"/>
      <c r="AY145" s="1294"/>
      <c r="AZ145" s="1294"/>
      <c r="BA145" s="1294"/>
      <c r="BB145" s="1294"/>
      <c r="BC145" s="1290"/>
      <c r="BD145" s="425"/>
      <c r="BE145" s="425"/>
      <c r="BF145" s="994" t="s">
        <v>704</v>
      </c>
    </row>
    <row r="146" spans="1:58" s="1229" customFormat="1" ht="16.5" customHeight="1">
      <c r="A146" s="983"/>
      <c r="B146" s="783"/>
      <c r="C146" s="1153"/>
      <c r="D146" s="1153"/>
      <c r="E146" s="676">
        <v>17.100000000000001</v>
      </c>
      <c r="F146" s="779" t="str" cm="1">
        <f t="array" aca="1" ref="F146" ca="1">OFFSET(G146,-1,-1)</f>
        <v>1</v>
      </c>
      <c r="G146" s="425"/>
      <c r="H146" s="425"/>
      <c r="I146" s="425"/>
      <c r="J146" s="425"/>
      <c r="K146" s="425"/>
      <c r="L146" s="425"/>
      <c r="M146" s="425"/>
      <c r="N146" s="425"/>
      <c r="O146" s="425"/>
      <c r="P146" s="425"/>
      <c r="Q146" s="425"/>
      <c r="R146" s="425"/>
      <c r="S146" s="425"/>
      <c r="T146" s="687" t="b" cm="1">
        <f t="array" ref="T146">T145</f>
        <v>1</v>
      </c>
      <c r="U146" s="1153"/>
      <c r="V146" s="1153"/>
      <c r="W146" s="1153"/>
      <c r="X146" s="1726"/>
      <c r="Y146" s="1153"/>
      <c r="Z146" s="1726"/>
      <c r="AA146" s="425"/>
      <c r="AB146" s="724" t="str">
        <f>AB144&amp;".2"</f>
        <v>9.1.2</v>
      </c>
      <c r="AC146" s="573" t="s">
        <v>677</v>
      </c>
      <c r="AD146" s="121" t="s">
        <v>634</v>
      </c>
      <c r="AE146" s="1299">
        <f t="shared" ref="AE146:BB146" si="62">AE147+AE148+AE149+AE150</f>
        <v>0</v>
      </c>
      <c r="AF146" s="1299">
        <f t="shared" si="62"/>
        <v>0</v>
      </c>
      <c r="AG146" s="1299">
        <f t="shared" si="62"/>
        <v>0</v>
      </c>
      <c r="AH146" s="1299">
        <f t="shared" si="62"/>
        <v>129060</v>
      </c>
      <c r="AI146" s="933">
        <f t="shared" si="62"/>
        <v>0</v>
      </c>
      <c r="AJ146" s="933">
        <f t="shared" si="62"/>
        <v>0</v>
      </c>
      <c r="AK146" s="933">
        <f t="shared" si="62"/>
        <v>0</v>
      </c>
      <c r="AL146" s="933">
        <f t="shared" si="62"/>
        <v>0</v>
      </c>
      <c r="AM146" s="933">
        <f t="shared" si="62"/>
        <v>0</v>
      </c>
      <c r="AN146" s="1299">
        <f t="shared" si="62"/>
        <v>0</v>
      </c>
      <c r="AO146" s="1299">
        <f t="shared" si="62"/>
        <v>0</v>
      </c>
      <c r="AP146" s="1299">
        <f t="shared" si="62"/>
        <v>0</v>
      </c>
      <c r="AQ146" s="1299">
        <f t="shared" si="62"/>
        <v>0</v>
      </c>
      <c r="AR146" s="1299">
        <f t="shared" si="62"/>
        <v>0</v>
      </c>
      <c r="AS146" s="933">
        <f t="shared" si="62"/>
        <v>129537.11</v>
      </c>
      <c r="AT146" s="933">
        <f t="shared" si="62"/>
        <v>0</v>
      </c>
      <c r="AU146" s="933">
        <f t="shared" si="62"/>
        <v>0</v>
      </c>
      <c r="AV146" s="933">
        <f t="shared" si="62"/>
        <v>0</v>
      </c>
      <c r="AW146" s="933">
        <f t="shared" si="62"/>
        <v>0</v>
      </c>
      <c r="AX146" s="1299">
        <f t="shared" si="62"/>
        <v>0</v>
      </c>
      <c r="AY146" s="1299">
        <f t="shared" si="62"/>
        <v>0</v>
      </c>
      <c r="AZ146" s="1299">
        <f t="shared" si="62"/>
        <v>0</v>
      </c>
      <c r="BA146" s="1299">
        <f t="shared" si="62"/>
        <v>0</v>
      </c>
      <c r="BB146" s="1299">
        <f t="shared" si="62"/>
        <v>0</v>
      </c>
      <c r="BC146" s="1290"/>
      <c r="BD146" s="425"/>
      <c r="BE146" s="425"/>
      <c r="BF146" s="994" t="s">
        <v>705</v>
      </c>
    </row>
    <row r="147" spans="1:58" s="1229" customFormat="1" ht="16.5" customHeight="1">
      <c r="A147" s="983"/>
      <c r="B147" s="783"/>
      <c r="C147" s="1153"/>
      <c r="D147" s="1153"/>
      <c r="E147" s="676">
        <v>17.100000000000001</v>
      </c>
      <c r="F147" s="779" t="str" cm="1">
        <f t="array" aca="1" ref="F147" ca="1">OFFSET(G147,-1,-1)</f>
        <v>1</v>
      </c>
      <c r="G147" s="425"/>
      <c r="H147" s="425"/>
      <c r="I147" s="425"/>
      <c r="J147" s="425"/>
      <c r="K147" s="425"/>
      <c r="L147" s="425"/>
      <c r="M147" s="425"/>
      <c r="N147" s="425"/>
      <c r="O147" s="425"/>
      <c r="P147" s="425"/>
      <c r="Q147" s="425"/>
      <c r="R147" s="425"/>
      <c r="S147" s="425"/>
      <c r="T147" s="687" t="b" cm="1">
        <f t="array" ref="T147">T146</f>
        <v>1</v>
      </c>
      <c r="U147" s="1153"/>
      <c r="V147" s="1153"/>
      <c r="W147" s="1153"/>
      <c r="X147" s="1726"/>
      <c r="Y147" s="1153"/>
      <c r="Z147" s="1726"/>
      <c r="AA147" s="425"/>
      <c r="AB147" s="724" t="str">
        <f>AB146&amp;".1"</f>
        <v>9.1.2.1</v>
      </c>
      <c r="AC147" s="574" t="s">
        <v>679</v>
      </c>
      <c r="AD147" s="351" t="s">
        <v>634</v>
      </c>
      <c r="AE147" s="1300"/>
      <c r="AF147" s="1300"/>
      <c r="AG147" s="1300"/>
      <c r="AH147" s="1300"/>
      <c r="AI147" s="472"/>
      <c r="AJ147" s="472"/>
      <c r="AK147" s="472"/>
      <c r="AL147" s="472"/>
      <c r="AM147" s="472"/>
      <c r="AN147" s="1300"/>
      <c r="AO147" s="1300"/>
      <c r="AP147" s="1300"/>
      <c r="AQ147" s="1300"/>
      <c r="AR147" s="1300"/>
      <c r="AS147" s="472"/>
      <c r="AT147" s="472"/>
      <c r="AU147" s="472"/>
      <c r="AV147" s="472"/>
      <c r="AW147" s="472"/>
      <c r="AX147" s="1300"/>
      <c r="AY147" s="1300"/>
      <c r="AZ147" s="1300"/>
      <c r="BA147" s="1300"/>
      <c r="BB147" s="1300"/>
      <c r="BC147" s="1290"/>
      <c r="BD147" s="425"/>
      <c r="BE147" s="425"/>
      <c r="BF147" s="994" t="s">
        <v>706</v>
      </c>
    </row>
    <row r="148" spans="1:58" s="1229" customFormat="1" ht="16.5" customHeight="1">
      <c r="A148" s="983"/>
      <c r="B148" s="783"/>
      <c r="C148" s="1153"/>
      <c r="D148" s="1153"/>
      <c r="E148" s="676">
        <v>17.100000000000001</v>
      </c>
      <c r="F148" s="779" t="str" cm="1">
        <f t="array" aca="1" ref="F148" ca="1">OFFSET(G148,-1,-1)</f>
        <v>1</v>
      </c>
      <c r="G148" s="425"/>
      <c r="H148" s="425"/>
      <c r="I148" s="425"/>
      <c r="J148" s="425"/>
      <c r="K148" s="425"/>
      <c r="L148" s="425"/>
      <c r="M148" s="425"/>
      <c r="N148" s="425"/>
      <c r="O148" s="425"/>
      <c r="P148" s="425"/>
      <c r="Q148" s="425"/>
      <c r="R148" s="425"/>
      <c r="S148" s="425"/>
      <c r="T148" s="687" t="b" cm="1">
        <f t="array" ref="T148">T147</f>
        <v>1</v>
      </c>
      <c r="U148" s="1153"/>
      <c r="V148" s="1153"/>
      <c r="W148" s="1153"/>
      <c r="X148" s="1726"/>
      <c r="Y148" s="1153"/>
      <c r="Z148" s="1726"/>
      <c r="AA148" s="425"/>
      <c r="AB148" s="724" t="str">
        <f>AB146&amp;".2"</f>
        <v>9.1.2.2</v>
      </c>
      <c r="AC148" s="575" t="s">
        <v>681</v>
      </c>
      <c r="AD148" s="121" t="s">
        <v>634</v>
      </c>
      <c r="AE148" s="1294"/>
      <c r="AF148" s="1294"/>
      <c r="AG148" s="1294"/>
      <c r="AH148" s="1294">
        <v>19461</v>
      </c>
      <c r="AI148" s="416"/>
      <c r="AJ148" s="416"/>
      <c r="AK148" s="416"/>
      <c r="AL148" s="416"/>
      <c r="AM148" s="416"/>
      <c r="AN148" s="1294"/>
      <c r="AO148" s="1294"/>
      <c r="AP148" s="1294"/>
      <c r="AQ148" s="1294"/>
      <c r="AR148" s="1294"/>
      <c r="AS148" s="416">
        <f>15928</f>
        <v>15928</v>
      </c>
      <c r="AT148" s="416"/>
      <c r="AU148" s="416"/>
      <c r="AV148" s="416"/>
      <c r="AW148" s="416"/>
      <c r="AX148" s="1294"/>
      <c r="AY148" s="1294"/>
      <c r="AZ148" s="1294"/>
      <c r="BA148" s="1294"/>
      <c r="BB148" s="1294"/>
      <c r="BC148" s="1290"/>
      <c r="BD148" s="425"/>
      <c r="BE148" s="425"/>
      <c r="BF148" s="994" t="s">
        <v>707</v>
      </c>
    </row>
    <row r="149" spans="1:58" s="1229" customFormat="1" ht="16.5" customHeight="1">
      <c r="A149" s="983"/>
      <c r="B149" s="783"/>
      <c r="C149" s="1153"/>
      <c r="D149" s="1153"/>
      <c r="E149" s="676">
        <v>17.100000000000001</v>
      </c>
      <c r="F149" s="779" t="str" cm="1">
        <f t="array" aca="1" ref="F149" ca="1">OFFSET(G149,-1,-1)</f>
        <v>1</v>
      </c>
      <c r="G149" s="425"/>
      <c r="H149" s="425"/>
      <c r="I149" s="425"/>
      <c r="J149" s="425"/>
      <c r="K149" s="425"/>
      <c r="L149" s="425"/>
      <c r="M149" s="425"/>
      <c r="N149" s="425"/>
      <c r="O149" s="425"/>
      <c r="P149" s="425"/>
      <c r="Q149" s="425"/>
      <c r="R149" s="425"/>
      <c r="S149" s="425"/>
      <c r="T149" s="687" t="b" cm="1">
        <f t="array" ref="T149">T148</f>
        <v>1</v>
      </c>
      <c r="U149" s="1153"/>
      <c r="V149" s="1153"/>
      <c r="W149" s="1153"/>
      <c r="X149" s="1726"/>
      <c r="Y149" s="1153"/>
      <c r="Z149" s="1726"/>
      <c r="AA149" s="425"/>
      <c r="AB149" s="724" t="str">
        <f>AB146&amp;".3"</f>
        <v>9.1.2.3</v>
      </c>
      <c r="AC149" s="575" t="s">
        <v>683</v>
      </c>
      <c r="AD149" s="121" t="s">
        <v>634</v>
      </c>
      <c r="AE149" s="1295"/>
      <c r="AF149" s="1295"/>
      <c r="AG149" s="1295"/>
      <c r="AH149" s="1295">
        <v>80663</v>
      </c>
      <c r="AI149" s="474"/>
      <c r="AJ149" s="474"/>
      <c r="AK149" s="474"/>
      <c r="AL149" s="474"/>
      <c r="AM149" s="474"/>
      <c r="AN149" s="1295"/>
      <c r="AO149" s="1295"/>
      <c r="AP149" s="1295"/>
      <c r="AQ149" s="1295"/>
      <c r="AR149" s="1295"/>
      <c r="AS149" s="474">
        <v>83383</v>
      </c>
      <c r="AT149" s="474"/>
      <c r="AU149" s="474"/>
      <c r="AV149" s="474"/>
      <c r="AW149" s="474"/>
      <c r="AX149" s="1295"/>
      <c r="AY149" s="1295"/>
      <c r="AZ149" s="1295"/>
      <c r="BA149" s="1295"/>
      <c r="BB149" s="1295"/>
      <c r="BC149" s="1290"/>
      <c r="BD149" s="425"/>
      <c r="BE149" s="425"/>
      <c r="BF149" s="994" t="s">
        <v>708</v>
      </c>
    </row>
    <row r="150" spans="1:58" s="1229" customFormat="1" ht="16.5" customHeight="1">
      <c r="A150" s="983"/>
      <c r="B150" s="783"/>
      <c r="C150" s="1153"/>
      <c r="D150" s="1153"/>
      <c r="E150" s="676">
        <v>17.100000000000001</v>
      </c>
      <c r="F150" s="779" t="str" cm="1">
        <f t="array" aca="1" ref="F150" ca="1">OFFSET(G150,-1,-1)</f>
        <v>1</v>
      </c>
      <c r="G150" s="425"/>
      <c r="H150" s="425"/>
      <c r="I150" s="425"/>
      <c r="J150" s="425"/>
      <c r="K150" s="425"/>
      <c r="L150" s="425"/>
      <c r="M150" s="425"/>
      <c r="N150" s="425"/>
      <c r="O150" s="425"/>
      <c r="P150" s="425"/>
      <c r="Q150" s="425"/>
      <c r="R150" s="425"/>
      <c r="S150" s="425"/>
      <c r="T150" s="687" t="b" cm="1">
        <f t="array" ref="T150">T149</f>
        <v>1</v>
      </c>
      <c r="U150" s="1153"/>
      <c r="V150" s="1153"/>
      <c r="W150" s="1153"/>
      <c r="X150" s="1726"/>
      <c r="Y150" s="1153"/>
      <c r="Z150" s="1726"/>
      <c r="AA150" s="425"/>
      <c r="AB150" s="724" t="str">
        <f>AB146&amp;".4"</f>
        <v>9.1.2.4</v>
      </c>
      <c r="AC150" s="575" t="s">
        <v>685</v>
      </c>
      <c r="AD150" s="351" t="s">
        <v>634</v>
      </c>
      <c r="AE150" s="1291"/>
      <c r="AF150" s="1293"/>
      <c r="AG150" s="1291"/>
      <c r="AH150" s="1291">
        <f>29151-215</f>
        <v>28936</v>
      </c>
      <c r="AI150" s="246"/>
      <c r="AJ150" s="246"/>
      <c r="AK150" s="246"/>
      <c r="AL150" s="246"/>
      <c r="AM150" s="246"/>
      <c r="AN150" s="1291"/>
      <c r="AO150" s="1291"/>
      <c r="AP150" s="1291"/>
      <c r="AQ150" s="1291"/>
      <c r="AR150" s="1291"/>
      <c r="AS150" s="246">
        <f>30441.11-215</f>
        <v>30226.11</v>
      </c>
      <c r="AT150" s="246"/>
      <c r="AU150" s="246"/>
      <c r="AV150" s="246"/>
      <c r="AW150" s="246"/>
      <c r="AX150" s="1291"/>
      <c r="AY150" s="1291"/>
      <c r="AZ150" s="1291"/>
      <c r="BA150" s="1291"/>
      <c r="BB150" s="1291"/>
      <c r="BC150" s="1290"/>
      <c r="BD150" s="425"/>
      <c r="BE150" s="425"/>
      <c r="BF150" s="994" t="s">
        <v>709</v>
      </c>
    </row>
    <row r="151" spans="1:58" s="1229" customFormat="1" ht="16.5" customHeight="1">
      <c r="A151" s="983"/>
      <c r="B151" s="783"/>
      <c r="C151" s="1153"/>
      <c r="D151" s="1153"/>
      <c r="E151" s="676">
        <v>17.100000000000001</v>
      </c>
      <c r="F151" s="779" t="str" cm="1">
        <f t="array" aca="1" ref="F151" ca="1">OFFSET(G151,-1,-1)</f>
        <v>1</v>
      </c>
      <c r="G151" s="425"/>
      <c r="H151" s="425"/>
      <c r="I151" s="425"/>
      <c r="J151" s="425"/>
      <c r="K151" s="425"/>
      <c r="L151" s="425"/>
      <c r="M151" s="425"/>
      <c r="N151" s="425"/>
      <c r="O151" s="425"/>
      <c r="P151" s="425"/>
      <c r="Q151" s="425"/>
      <c r="R151" s="425"/>
      <c r="S151" s="425"/>
      <c r="T151" s="687" t="b" cm="1">
        <f t="array" ref="T151">T150</f>
        <v>1</v>
      </c>
      <c r="U151" s="1153"/>
      <c r="V151" s="1153"/>
      <c r="W151" s="1153"/>
      <c r="X151" s="1726"/>
      <c r="Y151" s="1153"/>
      <c r="Z151" s="1726"/>
      <c r="AA151" s="425"/>
      <c r="AB151" s="724" t="str">
        <f>AB143&amp;".2"</f>
        <v>9.2</v>
      </c>
      <c r="AC151" s="469" t="s">
        <v>640</v>
      </c>
      <c r="AD151" s="351" t="s">
        <v>634</v>
      </c>
      <c r="AE151" s="1291">
        <f t="shared" ref="AE151:BB151" si="63">AE137-AE141</f>
        <v>0</v>
      </c>
      <c r="AF151" s="1291">
        <f t="shared" si="63"/>
        <v>0</v>
      </c>
      <c r="AG151" s="1291">
        <f t="shared" si="63"/>
        <v>0</v>
      </c>
      <c r="AH151" s="1291">
        <f t="shared" si="63"/>
        <v>7437</v>
      </c>
      <c r="AI151" s="246">
        <f t="shared" si="63"/>
        <v>0</v>
      </c>
      <c r="AJ151" s="246">
        <f t="shared" si="63"/>
        <v>0</v>
      </c>
      <c r="AK151" s="246">
        <f t="shared" si="63"/>
        <v>0</v>
      </c>
      <c r="AL151" s="246">
        <f t="shared" si="63"/>
        <v>0</v>
      </c>
      <c r="AM151" s="246">
        <f t="shared" si="63"/>
        <v>0</v>
      </c>
      <c r="AN151" s="1291">
        <f t="shared" si="63"/>
        <v>0</v>
      </c>
      <c r="AO151" s="1291">
        <f t="shared" si="63"/>
        <v>0</v>
      </c>
      <c r="AP151" s="1291">
        <f t="shared" si="63"/>
        <v>0</v>
      </c>
      <c r="AQ151" s="1291">
        <f t="shared" si="63"/>
        <v>0</v>
      </c>
      <c r="AR151" s="1291">
        <f t="shared" si="63"/>
        <v>0</v>
      </c>
      <c r="AS151" s="246">
        <f t="shared" si="63"/>
        <v>6959.89</v>
      </c>
      <c r="AT151" s="246">
        <f t="shared" si="63"/>
        <v>0</v>
      </c>
      <c r="AU151" s="246">
        <f t="shared" si="63"/>
        <v>0</v>
      </c>
      <c r="AV151" s="246">
        <f t="shared" si="63"/>
        <v>0</v>
      </c>
      <c r="AW151" s="246">
        <f t="shared" si="63"/>
        <v>0</v>
      </c>
      <c r="AX151" s="1291">
        <f t="shared" si="63"/>
        <v>0</v>
      </c>
      <c r="AY151" s="1291">
        <f t="shared" si="63"/>
        <v>0</v>
      </c>
      <c r="AZ151" s="1291">
        <f t="shared" si="63"/>
        <v>0</v>
      </c>
      <c r="BA151" s="1291">
        <f t="shared" si="63"/>
        <v>0</v>
      </c>
      <c r="BB151" s="1291">
        <f t="shared" si="63"/>
        <v>0</v>
      </c>
      <c r="BC151" s="1290"/>
      <c r="BD151" s="425"/>
      <c r="BE151" s="425"/>
      <c r="BF151" s="994" t="s">
        <v>710</v>
      </c>
    </row>
    <row r="152" spans="1:58" s="1229" customFormat="1" ht="16.5" customHeight="1">
      <c r="A152" s="983"/>
      <c r="B152" s="783"/>
      <c r="C152" s="1153"/>
      <c r="D152" s="1153"/>
      <c r="E152" s="676">
        <v>17.100000000000001</v>
      </c>
      <c r="F152" s="779" t="str" cm="1">
        <f t="array" aca="1" ref="F152" ca="1">OFFSET(G152,-1,-1)</f>
        <v>1</v>
      </c>
      <c r="G152" s="425"/>
      <c r="H152" s="425"/>
      <c r="I152" s="425"/>
      <c r="J152" s="425"/>
      <c r="K152" s="425"/>
      <c r="L152" s="425"/>
      <c r="M152" s="425"/>
      <c r="N152" s="425"/>
      <c r="O152" s="425"/>
      <c r="P152" s="425"/>
      <c r="Q152" s="425"/>
      <c r="R152" s="425"/>
      <c r="S152" s="425"/>
      <c r="T152" s="687" t="b" cm="1">
        <f t="array" ref="T152">T151</f>
        <v>1</v>
      </c>
      <c r="U152" s="1153"/>
      <c r="V152" s="1153"/>
      <c r="W152" s="1153"/>
      <c r="X152" s="1726"/>
      <c r="Y152" s="1153"/>
      <c r="Z152" s="1726"/>
      <c r="AA152" s="425"/>
      <c r="AB152" s="418" t="s">
        <v>711</v>
      </c>
      <c r="AC152" s="572" t="s">
        <v>675</v>
      </c>
      <c r="AD152" s="351" t="s">
        <v>634</v>
      </c>
      <c r="AE152" s="1291"/>
      <c r="AF152" s="1291"/>
      <c r="AG152" s="1291"/>
      <c r="AH152" s="1291"/>
      <c r="AI152" s="246"/>
      <c r="AJ152" s="246"/>
      <c r="AK152" s="246"/>
      <c r="AL152" s="246"/>
      <c r="AM152" s="246"/>
      <c r="AN152" s="1291"/>
      <c r="AO152" s="1291"/>
      <c r="AP152" s="1291"/>
      <c r="AQ152" s="1291"/>
      <c r="AR152" s="1291"/>
      <c r="AS152" s="246"/>
      <c r="AT152" s="246"/>
      <c r="AU152" s="246"/>
      <c r="AV152" s="246"/>
      <c r="AW152" s="246"/>
      <c r="AX152" s="1291"/>
      <c r="AY152" s="1291"/>
      <c r="AZ152" s="1291"/>
      <c r="BA152" s="1291"/>
      <c r="BB152" s="1291"/>
      <c r="BC152" s="1290"/>
      <c r="BD152" s="425"/>
      <c r="BE152" s="425"/>
      <c r="BF152" s="994" t="s">
        <v>712</v>
      </c>
    </row>
    <row r="153" spans="1:58" s="1229" customFormat="1" ht="16.5" customHeight="1">
      <c r="A153" s="983"/>
      <c r="B153" s="783"/>
      <c r="C153" s="1153"/>
      <c r="D153" s="1153"/>
      <c r="E153" s="676">
        <v>17.100000000000001</v>
      </c>
      <c r="F153" s="779" t="str" cm="1">
        <f t="array" aca="1" ref="F153" ca="1">OFFSET(G153,-1,-1)</f>
        <v>1</v>
      </c>
      <c r="G153" s="425"/>
      <c r="H153" s="425"/>
      <c r="I153" s="425"/>
      <c r="J153" s="425"/>
      <c r="K153" s="425"/>
      <c r="L153" s="425"/>
      <c r="M153" s="425"/>
      <c r="N153" s="425"/>
      <c r="O153" s="425"/>
      <c r="P153" s="425"/>
      <c r="Q153" s="425"/>
      <c r="R153" s="425"/>
      <c r="S153" s="425"/>
      <c r="T153" s="687" t="b" cm="1">
        <f t="array" ref="T153">T152</f>
        <v>1</v>
      </c>
      <c r="U153" s="1153"/>
      <c r="V153" s="1153"/>
      <c r="W153" s="1153"/>
      <c r="X153" s="1726"/>
      <c r="Y153" s="1153"/>
      <c r="Z153" s="1726"/>
      <c r="AA153" s="425"/>
      <c r="AB153" s="419" t="s">
        <v>713</v>
      </c>
      <c r="AC153" s="573" t="s">
        <v>677</v>
      </c>
      <c r="AD153" s="121" t="s">
        <v>634</v>
      </c>
      <c r="AE153" s="577">
        <f t="shared" ref="AE153:BB153" si="64">SUM(AE154:AE157)</f>
        <v>0</v>
      </c>
      <c r="AF153" s="577">
        <f t="shared" si="64"/>
        <v>0</v>
      </c>
      <c r="AG153" s="577">
        <f t="shared" si="64"/>
        <v>0</v>
      </c>
      <c r="AH153" s="577">
        <f t="shared" si="64"/>
        <v>7437</v>
      </c>
      <c r="AI153" s="577">
        <f t="shared" si="64"/>
        <v>0</v>
      </c>
      <c r="AJ153" s="577">
        <f t="shared" si="64"/>
        <v>0</v>
      </c>
      <c r="AK153" s="577">
        <f t="shared" si="64"/>
        <v>0</v>
      </c>
      <c r="AL153" s="577">
        <f t="shared" si="64"/>
        <v>0</v>
      </c>
      <c r="AM153" s="577">
        <f t="shared" si="64"/>
        <v>0</v>
      </c>
      <c r="AN153" s="577">
        <f t="shared" si="64"/>
        <v>0</v>
      </c>
      <c r="AO153" s="577">
        <f t="shared" si="64"/>
        <v>0</v>
      </c>
      <c r="AP153" s="577">
        <f t="shared" si="64"/>
        <v>0</v>
      </c>
      <c r="AQ153" s="577">
        <f t="shared" si="64"/>
        <v>0</v>
      </c>
      <c r="AR153" s="577">
        <f t="shared" si="64"/>
        <v>0</v>
      </c>
      <c r="AS153" s="577">
        <f t="shared" si="64"/>
        <v>6959.89</v>
      </c>
      <c r="AT153" s="577">
        <f t="shared" si="64"/>
        <v>0</v>
      </c>
      <c r="AU153" s="577">
        <f t="shared" si="64"/>
        <v>0</v>
      </c>
      <c r="AV153" s="577">
        <f t="shared" si="64"/>
        <v>0</v>
      </c>
      <c r="AW153" s="577">
        <f t="shared" si="64"/>
        <v>0</v>
      </c>
      <c r="AX153" s="577">
        <f t="shared" si="64"/>
        <v>0</v>
      </c>
      <c r="AY153" s="577">
        <f t="shared" si="64"/>
        <v>0</v>
      </c>
      <c r="AZ153" s="577">
        <f t="shared" si="64"/>
        <v>0</v>
      </c>
      <c r="BA153" s="577">
        <f t="shared" si="64"/>
        <v>0</v>
      </c>
      <c r="BB153" s="577">
        <f t="shared" si="64"/>
        <v>0</v>
      </c>
      <c r="BC153" s="1290"/>
      <c r="BD153" s="425"/>
      <c r="BE153" s="425"/>
      <c r="BF153" s="994" t="s">
        <v>714</v>
      </c>
    </row>
    <row r="154" spans="1:58" s="1229" customFormat="1" ht="16.5" customHeight="1">
      <c r="A154" s="983"/>
      <c r="B154" s="783"/>
      <c r="C154" s="1153"/>
      <c r="D154" s="1153"/>
      <c r="E154" s="676">
        <v>17.100000000000001</v>
      </c>
      <c r="F154" s="779" t="str" cm="1">
        <f t="array" aca="1" ref="F154" ca="1">OFFSET(G154,-1,-1)</f>
        <v>1</v>
      </c>
      <c r="G154" s="425"/>
      <c r="H154" s="425"/>
      <c r="I154" s="425"/>
      <c r="J154" s="425"/>
      <c r="K154" s="425"/>
      <c r="L154" s="425"/>
      <c r="M154" s="425"/>
      <c r="N154" s="425"/>
      <c r="O154" s="425"/>
      <c r="P154" s="425"/>
      <c r="Q154" s="425"/>
      <c r="R154" s="425"/>
      <c r="S154" s="425"/>
      <c r="T154" s="687" t="b" cm="1">
        <f t="array" ref="T154">T153</f>
        <v>1</v>
      </c>
      <c r="U154" s="1153"/>
      <c r="V154" s="1153"/>
      <c r="W154" s="1153"/>
      <c r="X154" s="1726"/>
      <c r="Y154" s="1153"/>
      <c r="Z154" s="1726"/>
      <c r="AA154" s="425"/>
      <c r="AB154" s="418" t="s">
        <v>715</v>
      </c>
      <c r="AC154" s="574" t="s">
        <v>679</v>
      </c>
      <c r="AD154" s="351" t="s">
        <v>634</v>
      </c>
      <c r="AE154" s="1300"/>
      <c r="AF154" s="1300"/>
      <c r="AG154" s="1300"/>
      <c r="AH154" s="1300"/>
      <c r="AI154" s="472"/>
      <c r="AJ154" s="472"/>
      <c r="AK154" s="472"/>
      <c r="AL154" s="472"/>
      <c r="AM154" s="472"/>
      <c r="AN154" s="1300"/>
      <c r="AO154" s="1300"/>
      <c r="AP154" s="1300"/>
      <c r="AQ154" s="1300"/>
      <c r="AR154" s="1300"/>
      <c r="AS154" s="472"/>
      <c r="AT154" s="472"/>
      <c r="AU154" s="472"/>
      <c r="AV154" s="472"/>
      <c r="AW154" s="472"/>
      <c r="AX154" s="1300"/>
      <c r="AY154" s="1300"/>
      <c r="AZ154" s="1300"/>
      <c r="BA154" s="1300"/>
      <c r="BB154" s="1300"/>
      <c r="BC154" s="1290"/>
      <c r="BD154" s="425"/>
      <c r="BE154" s="425"/>
      <c r="BF154" s="994" t="s">
        <v>716</v>
      </c>
    </row>
    <row r="155" spans="1:58" s="1229" customFormat="1" ht="16.5" customHeight="1">
      <c r="A155" s="983"/>
      <c r="B155" s="783"/>
      <c r="C155" s="1153"/>
      <c r="D155" s="1153"/>
      <c r="E155" s="676">
        <v>17.100000000000001</v>
      </c>
      <c r="F155" s="779" t="str" cm="1">
        <f t="array" aca="1" ref="F155" ca="1">OFFSET(G155,-1,-1)</f>
        <v>1</v>
      </c>
      <c r="G155" s="425"/>
      <c r="H155" s="425"/>
      <c r="I155" s="425"/>
      <c r="J155" s="425"/>
      <c r="K155" s="425"/>
      <c r="L155" s="425"/>
      <c r="M155" s="425"/>
      <c r="N155" s="425"/>
      <c r="O155" s="425"/>
      <c r="P155" s="425"/>
      <c r="Q155" s="425"/>
      <c r="R155" s="425"/>
      <c r="S155" s="425"/>
      <c r="T155" s="687" t="b" cm="1">
        <f t="array" ref="T155">T154</f>
        <v>1</v>
      </c>
      <c r="U155" s="1153"/>
      <c r="V155" s="1153"/>
      <c r="W155" s="1153"/>
      <c r="X155" s="1726"/>
      <c r="Y155" s="1153"/>
      <c r="Z155" s="1726"/>
      <c r="AA155" s="425"/>
      <c r="AB155" s="418" t="s">
        <v>717</v>
      </c>
      <c r="AC155" s="575" t="s">
        <v>681</v>
      </c>
      <c r="AD155" s="121" t="s">
        <v>634</v>
      </c>
      <c r="AE155" s="1295"/>
      <c r="AF155" s="1295"/>
      <c r="AG155" s="1295"/>
      <c r="AH155" s="1295"/>
      <c r="AI155" s="474"/>
      <c r="AJ155" s="474"/>
      <c r="AK155" s="474"/>
      <c r="AL155" s="474"/>
      <c r="AM155" s="474"/>
      <c r="AN155" s="1295"/>
      <c r="AO155" s="1295"/>
      <c r="AP155" s="1295"/>
      <c r="AQ155" s="1295"/>
      <c r="AR155" s="1295"/>
      <c r="AS155" s="474"/>
      <c r="AT155" s="474"/>
      <c r="AU155" s="474"/>
      <c r="AV155" s="474"/>
      <c r="AW155" s="474"/>
      <c r="AX155" s="1295"/>
      <c r="AY155" s="1295"/>
      <c r="AZ155" s="1295"/>
      <c r="BA155" s="1295"/>
      <c r="BB155" s="1295"/>
      <c r="BC155" s="1290"/>
      <c r="BD155" s="425"/>
      <c r="BE155" s="425"/>
      <c r="BF155" s="994" t="s">
        <v>718</v>
      </c>
    </row>
    <row r="156" spans="1:58" s="1229" customFormat="1" ht="16.5" customHeight="1">
      <c r="A156" s="983"/>
      <c r="B156" s="783"/>
      <c r="C156" s="1153"/>
      <c r="D156" s="1153"/>
      <c r="E156" s="676">
        <v>17.100000000000001</v>
      </c>
      <c r="F156" s="779" t="str" cm="1">
        <f t="array" aca="1" ref="F156" ca="1">OFFSET(G156,-1,-1)</f>
        <v>1</v>
      </c>
      <c r="G156" s="425"/>
      <c r="H156" s="425"/>
      <c r="I156" s="425"/>
      <c r="J156" s="425"/>
      <c r="K156" s="425"/>
      <c r="L156" s="425"/>
      <c r="M156" s="425"/>
      <c r="N156" s="425"/>
      <c r="O156" s="425"/>
      <c r="P156" s="425"/>
      <c r="Q156" s="425"/>
      <c r="R156" s="425"/>
      <c r="S156" s="425"/>
      <c r="T156" s="687" t="b" cm="1">
        <f t="array" ref="T156">T155</f>
        <v>1</v>
      </c>
      <c r="U156" s="1153"/>
      <c r="V156" s="1153"/>
      <c r="W156" s="1153"/>
      <c r="X156" s="1726"/>
      <c r="Y156" s="1153"/>
      <c r="Z156" s="1726"/>
      <c r="AA156" s="425"/>
      <c r="AB156" s="732" t="s">
        <v>719</v>
      </c>
      <c r="AC156" s="575" t="s">
        <v>683</v>
      </c>
      <c r="AD156" s="351" t="s">
        <v>634</v>
      </c>
      <c r="AE156" s="1291"/>
      <c r="AF156" s="1291"/>
      <c r="AG156" s="1291"/>
      <c r="AH156" s="1291"/>
      <c r="AI156" s="246"/>
      <c r="AJ156" s="246"/>
      <c r="AK156" s="246"/>
      <c r="AL156" s="246"/>
      <c r="AM156" s="246"/>
      <c r="AN156" s="1291"/>
      <c r="AO156" s="1291"/>
      <c r="AP156" s="1291"/>
      <c r="AQ156" s="1291"/>
      <c r="AR156" s="1291"/>
      <c r="AS156" s="246"/>
      <c r="AT156" s="246"/>
      <c r="AU156" s="246"/>
      <c r="AV156" s="246"/>
      <c r="AW156" s="246"/>
      <c r="AX156" s="1291"/>
      <c r="AY156" s="1291"/>
      <c r="AZ156" s="1291"/>
      <c r="BA156" s="1291"/>
      <c r="BB156" s="1291"/>
      <c r="BC156" s="1290"/>
      <c r="BD156" s="425"/>
      <c r="BE156" s="425"/>
      <c r="BF156" s="994" t="s">
        <v>720</v>
      </c>
    </row>
    <row r="157" spans="1:58" s="1229" customFormat="1" ht="16.5" customHeight="1">
      <c r="A157" s="983"/>
      <c r="B157" s="783"/>
      <c r="C157" s="1153"/>
      <c r="D157" s="1153"/>
      <c r="E157" s="676">
        <v>17.100000000000001</v>
      </c>
      <c r="F157" s="779" t="str" cm="1">
        <f t="array" aca="1" ref="F157" ca="1">OFFSET(G157,-1,-1)</f>
        <v>1</v>
      </c>
      <c r="G157" s="425"/>
      <c r="H157" s="425"/>
      <c r="I157" s="425"/>
      <c r="J157" s="425"/>
      <c r="K157" s="425"/>
      <c r="L157" s="425"/>
      <c r="M157" s="425"/>
      <c r="N157" s="425"/>
      <c r="O157" s="425"/>
      <c r="P157" s="425"/>
      <c r="Q157" s="425"/>
      <c r="R157" s="425"/>
      <c r="S157" s="425"/>
      <c r="T157" s="687" t="b" cm="1">
        <f t="array" ref="T157">T156</f>
        <v>1</v>
      </c>
      <c r="U157" s="1153"/>
      <c r="V157" s="1153"/>
      <c r="W157" s="1153"/>
      <c r="X157" s="1726"/>
      <c r="Y157" s="1153"/>
      <c r="Z157" s="1726"/>
      <c r="AA157" s="425"/>
      <c r="AB157" s="733" t="s">
        <v>721</v>
      </c>
      <c r="AC157" s="575" t="s">
        <v>685</v>
      </c>
      <c r="AD157" s="351" t="s">
        <v>634</v>
      </c>
      <c r="AE157" s="1291"/>
      <c r="AF157" s="1291"/>
      <c r="AG157" s="1291"/>
      <c r="AH157" s="1291">
        <v>7437</v>
      </c>
      <c r="AI157" s="246"/>
      <c r="AJ157" s="246"/>
      <c r="AK157" s="246"/>
      <c r="AL157" s="246"/>
      <c r="AM157" s="246"/>
      <c r="AN157" s="1291"/>
      <c r="AO157" s="1291"/>
      <c r="AP157" s="1291"/>
      <c r="AQ157" s="1291"/>
      <c r="AR157" s="1291"/>
      <c r="AS157" s="246">
        <v>6959.89</v>
      </c>
      <c r="AT157" s="246"/>
      <c r="AU157" s="246"/>
      <c r="AV157" s="246"/>
      <c r="AW157" s="246"/>
      <c r="AX157" s="1291"/>
      <c r="AY157" s="1291"/>
      <c r="AZ157" s="1291"/>
      <c r="BA157" s="1291"/>
      <c r="BB157" s="1291"/>
      <c r="BC157" s="1290"/>
      <c r="BD157" s="425"/>
      <c r="BE157" s="425"/>
      <c r="BF157" s="994" t="s">
        <v>722</v>
      </c>
    </row>
    <row r="158" spans="1:58" s="1229" customFormat="1" ht="24.75" hidden="1" customHeight="1">
      <c r="A158" s="983"/>
      <c r="B158" s="783"/>
      <c r="C158" s="1153"/>
      <c r="D158" s="1153"/>
      <c r="E158" s="676">
        <v>25.5</v>
      </c>
      <c r="F158" s="779" t="str" cm="1">
        <f t="array" aca="1" ref="F158" ca="1">OFFSET(G158,-1,-1)</f>
        <v>1</v>
      </c>
      <c r="G158" s="425"/>
      <c r="H158" s="425"/>
      <c r="I158" s="425"/>
      <c r="J158" s="425"/>
      <c r="K158" s="425"/>
      <c r="L158" s="425"/>
      <c r="M158" s="425"/>
      <c r="N158" s="425"/>
      <c r="O158" s="620" t="s">
        <v>723</v>
      </c>
      <c r="P158" s="425"/>
      <c r="Q158" s="425"/>
      <c r="R158" s="425"/>
      <c r="S158" s="425"/>
      <c r="T158" s="687" t="b">
        <f>AND(T157,H96="двухставочный")</f>
        <v>0</v>
      </c>
      <c r="U158" s="1153"/>
      <c r="V158" s="1153"/>
      <c r="W158" s="1153"/>
      <c r="X158" s="1726"/>
      <c r="Y158" s="1153"/>
      <c r="Z158" s="1726"/>
      <c r="AA158" s="425"/>
      <c r="AB158" s="271" t="s">
        <v>460</v>
      </c>
      <c r="AC158" s="499" t="s">
        <v>724</v>
      </c>
      <c r="AD158" s="435" t="s">
        <v>725</v>
      </c>
      <c r="AE158" s="576">
        <f t="shared" ref="AE158:BB158" si="65">SUM(AE159:AE162)</f>
        <v>0</v>
      </c>
      <c r="AF158" s="311">
        <f t="shared" si="65"/>
        <v>0</v>
      </c>
      <c r="AG158" s="311">
        <f t="shared" si="65"/>
        <v>0</v>
      </c>
      <c r="AH158" s="311">
        <f t="shared" si="65"/>
        <v>0</v>
      </c>
      <c r="AI158" s="311">
        <f t="shared" si="65"/>
        <v>0</v>
      </c>
      <c r="AJ158" s="311">
        <f t="shared" si="65"/>
        <v>0</v>
      </c>
      <c r="AK158" s="311">
        <f t="shared" si="65"/>
        <v>0</v>
      </c>
      <c r="AL158" s="311">
        <f t="shared" si="65"/>
        <v>0</v>
      </c>
      <c r="AM158" s="311">
        <f t="shared" si="65"/>
        <v>0</v>
      </c>
      <c r="AN158" s="311">
        <f t="shared" si="65"/>
        <v>0</v>
      </c>
      <c r="AO158" s="311">
        <f t="shared" si="65"/>
        <v>0</v>
      </c>
      <c r="AP158" s="311">
        <f t="shared" si="65"/>
        <v>0</v>
      </c>
      <c r="AQ158" s="311">
        <f t="shared" si="65"/>
        <v>0</v>
      </c>
      <c r="AR158" s="311">
        <f t="shared" si="65"/>
        <v>0</v>
      </c>
      <c r="AS158" s="311">
        <f t="shared" si="65"/>
        <v>0</v>
      </c>
      <c r="AT158" s="311">
        <f t="shared" si="65"/>
        <v>0</v>
      </c>
      <c r="AU158" s="311">
        <f t="shared" si="65"/>
        <v>0</v>
      </c>
      <c r="AV158" s="311">
        <f t="shared" si="65"/>
        <v>0</v>
      </c>
      <c r="AW158" s="311">
        <f t="shared" si="65"/>
        <v>0</v>
      </c>
      <c r="AX158" s="311">
        <f t="shared" si="65"/>
        <v>0</v>
      </c>
      <c r="AY158" s="311">
        <f t="shared" si="65"/>
        <v>0</v>
      </c>
      <c r="AZ158" s="311">
        <f t="shared" si="65"/>
        <v>0</v>
      </c>
      <c r="BA158" s="311">
        <f t="shared" si="65"/>
        <v>0</v>
      </c>
      <c r="BB158" s="311">
        <f t="shared" si="65"/>
        <v>0</v>
      </c>
      <c r="BC158" s="28"/>
      <c r="BD158" s="425"/>
      <c r="BE158" s="425"/>
      <c r="BF158" s="994" t="s">
        <v>726</v>
      </c>
    </row>
    <row r="159" spans="1:58" s="1229" customFormat="1" ht="16.5" hidden="1" customHeight="1">
      <c r="A159" s="983"/>
      <c r="B159" s="783"/>
      <c r="C159" s="1153"/>
      <c r="D159" s="1153"/>
      <c r="E159" s="676">
        <v>17.100000000000001</v>
      </c>
      <c r="F159" s="779" t="str" cm="1">
        <f t="array" aca="1" ref="F159" ca="1">OFFSET(G159,-1,-1)</f>
        <v>1</v>
      </c>
      <c r="G159" s="425"/>
      <c r="H159" s="425"/>
      <c r="I159" s="425"/>
      <c r="J159" s="425"/>
      <c r="K159" s="425"/>
      <c r="L159" s="425"/>
      <c r="M159" s="425"/>
      <c r="N159" s="425"/>
      <c r="O159" s="620" t="s">
        <v>723</v>
      </c>
      <c r="P159" s="425"/>
      <c r="Q159" s="425"/>
      <c r="R159" s="425"/>
      <c r="S159" s="425"/>
      <c r="T159" s="687" t="b" cm="1">
        <f t="array" ref="T159">T158</f>
        <v>0</v>
      </c>
      <c r="U159" s="1153"/>
      <c r="V159" s="1153"/>
      <c r="W159" s="1153"/>
      <c r="X159" s="1726"/>
      <c r="Y159" s="1153"/>
      <c r="Z159" s="1726"/>
      <c r="AA159" s="425"/>
      <c r="AB159" s="724" t="str">
        <f>AB158&amp;".1"</f>
        <v>10.1</v>
      </c>
      <c r="AC159" s="473" t="s">
        <v>679</v>
      </c>
      <c r="AD159" s="435" t="s">
        <v>725</v>
      </c>
      <c r="AE159" s="29"/>
      <c r="AF159" s="29"/>
      <c r="AG159" s="29"/>
      <c r="AH159" s="29"/>
      <c r="AI159" s="246"/>
      <c r="AJ159" s="246"/>
      <c r="AK159" s="246"/>
      <c r="AL159" s="246"/>
      <c r="AM159" s="246"/>
      <c r="AN159" s="29"/>
      <c r="AO159" s="29"/>
      <c r="AP159" s="29"/>
      <c r="AQ159" s="29"/>
      <c r="AR159" s="29"/>
      <c r="AS159" s="246"/>
      <c r="AT159" s="246"/>
      <c r="AU159" s="246"/>
      <c r="AV159" s="246"/>
      <c r="AW159" s="246"/>
      <c r="AX159" s="29"/>
      <c r="AY159" s="29"/>
      <c r="AZ159" s="29"/>
      <c r="BA159" s="29"/>
      <c r="BB159" s="38"/>
      <c r="BC159" s="28"/>
      <c r="BD159" s="425"/>
      <c r="BE159" s="425"/>
      <c r="BF159" s="994" t="s">
        <v>727</v>
      </c>
    </row>
    <row r="160" spans="1:58" s="1229" customFormat="1" ht="16.5" hidden="1" customHeight="1">
      <c r="A160" s="983"/>
      <c r="B160" s="783"/>
      <c r="C160" s="1153"/>
      <c r="D160" s="1153"/>
      <c r="E160" s="676">
        <v>17.100000000000001</v>
      </c>
      <c r="F160" s="779" t="str" cm="1">
        <f t="array" aca="1" ref="F160" ca="1">OFFSET(G160,-1,-1)</f>
        <v>1</v>
      </c>
      <c r="G160" s="425"/>
      <c r="H160" s="425"/>
      <c r="I160" s="425"/>
      <c r="J160" s="425"/>
      <c r="K160" s="425"/>
      <c r="L160" s="425"/>
      <c r="M160" s="425"/>
      <c r="N160" s="425"/>
      <c r="O160" s="620" t="s">
        <v>723</v>
      </c>
      <c r="P160" s="425"/>
      <c r="Q160" s="425"/>
      <c r="R160" s="425"/>
      <c r="S160" s="425"/>
      <c r="T160" s="687" t="b" cm="1">
        <f t="array" ref="T160">T159</f>
        <v>0</v>
      </c>
      <c r="U160" s="1153"/>
      <c r="V160" s="1153"/>
      <c r="W160" s="1153"/>
      <c r="X160" s="1726"/>
      <c r="Y160" s="1153"/>
      <c r="Z160" s="1726"/>
      <c r="AA160" s="425"/>
      <c r="AB160" s="724" t="str">
        <f>AB158&amp;".2"</f>
        <v>10.2</v>
      </c>
      <c r="AC160" s="356" t="s">
        <v>681</v>
      </c>
      <c r="AD160" s="435" t="s">
        <v>725</v>
      </c>
      <c r="AE160" s="29"/>
      <c r="AF160" s="29"/>
      <c r="AG160" s="29"/>
      <c r="AH160" s="29"/>
      <c r="AI160" s="246"/>
      <c r="AJ160" s="246"/>
      <c r="AK160" s="246"/>
      <c r="AL160" s="246"/>
      <c r="AM160" s="246"/>
      <c r="AN160" s="29"/>
      <c r="AO160" s="29"/>
      <c r="AP160" s="29"/>
      <c r="AQ160" s="29"/>
      <c r="AR160" s="29"/>
      <c r="AS160" s="246"/>
      <c r="AT160" s="246"/>
      <c r="AU160" s="246"/>
      <c r="AV160" s="246"/>
      <c r="AW160" s="246"/>
      <c r="AX160" s="29"/>
      <c r="AY160" s="29"/>
      <c r="AZ160" s="29"/>
      <c r="BA160" s="29"/>
      <c r="BB160" s="38"/>
      <c r="BC160" s="28"/>
      <c r="BD160" s="425"/>
      <c r="BE160" s="425"/>
      <c r="BF160" s="994" t="s">
        <v>728</v>
      </c>
    </row>
    <row r="161" spans="1:58" s="1229" customFormat="1" ht="16.5" hidden="1" customHeight="1">
      <c r="A161" s="983"/>
      <c r="B161" s="783"/>
      <c r="C161" s="1153"/>
      <c r="D161" s="1153"/>
      <c r="E161" s="676">
        <v>17.100000000000001</v>
      </c>
      <c r="F161" s="779" t="str" cm="1">
        <f t="array" aca="1" ref="F161" ca="1">OFFSET(G161,-1,-1)</f>
        <v>1</v>
      </c>
      <c r="G161" s="425"/>
      <c r="H161" s="425"/>
      <c r="I161" s="425"/>
      <c r="J161" s="425"/>
      <c r="K161" s="425"/>
      <c r="L161" s="425"/>
      <c r="M161" s="425"/>
      <c r="N161" s="425"/>
      <c r="O161" s="620" t="s">
        <v>723</v>
      </c>
      <c r="P161" s="425"/>
      <c r="Q161" s="425"/>
      <c r="R161" s="425"/>
      <c r="S161" s="425"/>
      <c r="T161" s="687" t="b" cm="1">
        <f t="array" ref="T161">T160</f>
        <v>0</v>
      </c>
      <c r="U161" s="1153"/>
      <c r="V161" s="1153"/>
      <c r="W161" s="1153"/>
      <c r="X161" s="1726"/>
      <c r="Y161" s="1153"/>
      <c r="Z161" s="1726"/>
      <c r="AA161" s="425"/>
      <c r="AB161" s="724" t="str">
        <f>AB158&amp;".3"</f>
        <v>10.3</v>
      </c>
      <c r="AC161" s="356" t="s">
        <v>683</v>
      </c>
      <c r="AD161" s="435" t="s">
        <v>725</v>
      </c>
      <c r="AE161" s="29"/>
      <c r="AF161" s="29"/>
      <c r="AG161" s="29"/>
      <c r="AH161" s="29"/>
      <c r="AI161" s="246"/>
      <c r="AJ161" s="246"/>
      <c r="AK161" s="246"/>
      <c r="AL161" s="246"/>
      <c r="AM161" s="246"/>
      <c r="AN161" s="29"/>
      <c r="AO161" s="29"/>
      <c r="AP161" s="29"/>
      <c r="AQ161" s="29"/>
      <c r="AR161" s="29"/>
      <c r="AS161" s="246"/>
      <c r="AT161" s="246"/>
      <c r="AU161" s="246"/>
      <c r="AV161" s="246"/>
      <c r="AW161" s="246"/>
      <c r="AX161" s="29"/>
      <c r="AY161" s="29"/>
      <c r="AZ161" s="29"/>
      <c r="BA161" s="29"/>
      <c r="BB161" s="38"/>
      <c r="BC161" s="28"/>
      <c r="BD161" s="425"/>
      <c r="BE161" s="425"/>
      <c r="BF161" s="994" t="s">
        <v>729</v>
      </c>
    </row>
    <row r="162" spans="1:58" s="1229" customFormat="1" ht="16.5" hidden="1" customHeight="1">
      <c r="A162" s="983"/>
      <c r="B162" s="783"/>
      <c r="C162" s="1153"/>
      <c r="D162" s="1153"/>
      <c r="E162" s="676">
        <v>17.100000000000001</v>
      </c>
      <c r="F162" s="779" t="str" cm="1">
        <f t="array" aca="1" ref="F162" ca="1">OFFSET(G162,-1,-1)</f>
        <v>1</v>
      </c>
      <c r="G162" s="425"/>
      <c r="H162" s="425"/>
      <c r="I162" s="425"/>
      <c r="J162" s="425"/>
      <c r="K162" s="425"/>
      <c r="L162" s="425"/>
      <c r="M162" s="425"/>
      <c r="N162" s="425"/>
      <c r="O162" s="620" t="s">
        <v>723</v>
      </c>
      <c r="P162" s="425"/>
      <c r="Q162" s="425"/>
      <c r="R162" s="425"/>
      <c r="S162" s="425"/>
      <c r="T162" s="687" t="b" cm="1">
        <f t="array" ref="T162">T161</f>
        <v>0</v>
      </c>
      <c r="U162" s="1153"/>
      <c r="V162" s="1153"/>
      <c r="W162" s="1153"/>
      <c r="X162" s="1726"/>
      <c r="Y162" s="1153"/>
      <c r="Z162" s="1726"/>
      <c r="AA162" s="425"/>
      <c r="AB162" s="724" t="str">
        <f>AB158&amp;".4"</f>
        <v>10.4</v>
      </c>
      <c r="AC162" s="356" t="s">
        <v>685</v>
      </c>
      <c r="AD162" s="501" t="s">
        <v>725</v>
      </c>
      <c r="AE162" s="30"/>
      <c r="AF162" s="30"/>
      <c r="AG162" s="30"/>
      <c r="AH162" s="30"/>
      <c r="AI162" s="498"/>
      <c r="AJ162" s="498"/>
      <c r="AK162" s="498"/>
      <c r="AL162" s="498"/>
      <c r="AM162" s="498"/>
      <c r="AN162" s="30"/>
      <c r="AO162" s="30"/>
      <c r="AP162" s="30"/>
      <c r="AQ162" s="30"/>
      <c r="AR162" s="30"/>
      <c r="AS162" s="498"/>
      <c r="AT162" s="498"/>
      <c r="AU162" s="498"/>
      <c r="AV162" s="498"/>
      <c r="AW162" s="498"/>
      <c r="AX162" s="30"/>
      <c r="AY162" s="30"/>
      <c r="AZ162" s="30"/>
      <c r="BA162" s="30"/>
      <c r="BB162" s="39"/>
      <c r="BC162" s="24"/>
      <c r="BD162" s="425"/>
      <c r="BE162" s="425"/>
      <c r="BF162" s="994" t="s">
        <v>730</v>
      </c>
    </row>
    <row r="163" spans="1:58" s="1229" customFormat="1" ht="52.5" hidden="1" customHeight="1">
      <c r="A163" s="983"/>
      <c r="B163" s="783"/>
      <c r="C163" s="1153"/>
      <c r="D163" s="1153"/>
      <c r="E163" s="676">
        <v>54</v>
      </c>
      <c r="F163" s="779" t="str" cm="1">
        <f t="array" aca="1" ref="F163" ca="1">OFFSET(G163,-1,-1)</f>
        <v>1</v>
      </c>
      <c r="G163" s="425"/>
      <c r="H163" s="425"/>
      <c r="I163" s="425"/>
      <c r="J163" s="425"/>
      <c r="K163" s="425"/>
      <c r="L163" s="425"/>
      <c r="M163" s="425"/>
      <c r="N163" s="425"/>
      <c r="O163" s="620" t="s">
        <v>723</v>
      </c>
      <c r="P163" s="425"/>
      <c r="Q163" s="425"/>
      <c r="R163" s="425"/>
      <c r="S163" s="425"/>
      <c r="T163" s="687" t="b" cm="1">
        <f t="array" ref="T163">T162</f>
        <v>0</v>
      </c>
      <c r="U163" s="1153"/>
      <c r="V163" s="1153"/>
      <c r="W163" s="1153"/>
      <c r="X163" s="1726"/>
      <c r="Y163" s="1153"/>
      <c r="Z163" s="1726"/>
      <c r="AA163" s="425"/>
      <c r="AB163" s="271" t="s">
        <v>463</v>
      </c>
      <c r="AC163" s="500" t="s">
        <v>731</v>
      </c>
      <c r="AD163" s="108"/>
      <c r="AE163" s="29"/>
      <c r="AF163" s="29"/>
      <c r="AG163" s="29"/>
      <c r="AH163" s="29"/>
      <c r="AI163" s="246"/>
      <c r="AJ163" s="246"/>
      <c r="AK163" s="246"/>
      <c r="AL163" s="246"/>
      <c r="AM163" s="246"/>
      <c r="AN163" s="29"/>
      <c r="AO163" s="29"/>
      <c r="AP163" s="29"/>
      <c r="AQ163" s="29"/>
      <c r="AR163" s="29"/>
      <c r="AS163" s="246"/>
      <c r="AT163" s="246"/>
      <c r="AU163" s="246"/>
      <c r="AV163" s="246"/>
      <c r="AW163" s="246"/>
      <c r="AX163" s="29"/>
      <c r="AY163" s="29"/>
      <c r="AZ163" s="29"/>
      <c r="BA163" s="29"/>
      <c r="BB163" s="29"/>
      <c r="BC163" s="34"/>
      <c r="BD163" s="425"/>
      <c r="BE163" s="425"/>
      <c r="BF163" s="994" t="s">
        <v>732</v>
      </c>
    </row>
    <row r="164" spans="1:58" s="1229" customFormat="1" ht="10.5" customHeight="1">
      <c r="A164" s="983"/>
      <c r="B164" s="783"/>
      <c r="C164" s="1153"/>
      <c r="D164" s="1153"/>
      <c r="E164" s="676">
        <v>11.4</v>
      </c>
      <c r="F164" s="779" t="str" cm="1">
        <f t="array" ref="F164">X164</f>
        <v>2</v>
      </c>
      <c r="G164" s="163" t="str" cm="1">
        <f t="array" ref="G164">INDEX('Общие сведения'!$AL$187:$AL$236,MATCH($F164,'Общие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H164" s="163" t="str" cm="1">
        <f t="array" ref="H164">INDEX('Общие сведения'!$AK$187:$AK$236,MATCH($F164,'Общие сведения'!$Z$187:$Z$236,0))</f>
        <v>одноставочный</v>
      </c>
      <c r="I164" s="425"/>
      <c r="J164" s="425"/>
      <c r="K164" s="425"/>
      <c r="L164" s="425"/>
      <c r="M164" s="425"/>
      <c r="N164" s="425"/>
      <c r="O164" s="425"/>
      <c r="P164" s="425"/>
      <c r="Q164" s="425"/>
      <c r="R164" s="425"/>
      <c r="S164" s="425"/>
      <c r="T164" s="687" t="b">
        <f>AND(X164&gt;0,G164&lt;&gt;"передача тепловой энергии")</f>
        <v>1</v>
      </c>
      <c r="U164" s="1153"/>
      <c r="V164" s="126" t="str" cm="1">
        <f t="array" ref="V164">'Сценарии (МСА)'!$AB$42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64" s="1153"/>
      <c r="X164" s="1726" t="s">
        <v>348</v>
      </c>
      <c r="Y164" s="1153"/>
      <c r="Z164" s="1726"/>
      <c r="AA164" s="425"/>
      <c r="AB164" s="398" t="str" cm="1">
        <f t="array" ref="AB164">IF(ISBLANK('Сценарии (МСА)'!$AB$42),"",'Сценарии (МСА)'!$AB$42)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64" s="213"/>
      <c r="AD164" s="213"/>
      <c r="AE164" s="213"/>
      <c r="AF164" s="213"/>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425"/>
      <c r="BE164" s="425"/>
      <c r="BF164" s="945"/>
    </row>
    <row r="165" spans="1:58" s="1229" customFormat="1" ht="16.5" customHeight="1">
      <c r="A165" s="983"/>
      <c r="B165" s="783"/>
      <c r="C165" s="1153"/>
      <c r="D165" s="1153"/>
      <c r="E165" s="676">
        <v>17.100000000000001</v>
      </c>
      <c r="F165" s="779" t="str" cm="1">
        <f t="array" aca="1" ref="F165" ca="1">OFFSET(G165,-1,-1)</f>
        <v>2</v>
      </c>
      <c r="G165" s="425"/>
      <c r="H165" s="425"/>
      <c r="I165" s="425"/>
      <c r="J165" s="425"/>
      <c r="K165" s="425"/>
      <c r="L165" s="425"/>
      <c r="M165" s="425"/>
      <c r="N165" s="425"/>
      <c r="O165" s="425"/>
      <c r="P165" s="425"/>
      <c r="Q165" s="425"/>
      <c r="R165" s="425"/>
      <c r="S165" s="425"/>
      <c r="T165" s="687" t="b" cm="1">
        <f t="array" ref="T165">T164</f>
        <v>1</v>
      </c>
      <c r="U165" s="1153"/>
      <c r="V165" s="1153"/>
      <c r="W165" s="1153"/>
      <c r="X165" s="1726"/>
      <c r="Y165" s="1153"/>
      <c r="Z165" s="1726"/>
      <c r="AA165" s="425"/>
      <c r="AB165" s="271" t="s">
        <v>341</v>
      </c>
      <c r="AC165" s="114" t="s">
        <v>633</v>
      </c>
      <c r="AD165" s="120" t="s">
        <v>634</v>
      </c>
      <c r="AE165" s="311">
        <f t="shared" ref="AE165:BB165" si="66">AE166+AE169+AE172</f>
        <v>0</v>
      </c>
      <c r="AF165" s="311">
        <f t="shared" si="66"/>
        <v>0</v>
      </c>
      <c r="AG165" s="311">
        <f t="shared" si="66"/>
        <v>0</v>
      </c>
      <c r="AH165" s="311">
        <f t="shared" si="66"/>
        <v>139265</v>
      </c>
      <c r="AI165" s="311">
        <f t="shared" si="66"/>
        <v>0</v>
      </c>
      <c r="AJ165" s="311">
        <f t="shared" si="66"/>
        <v>0</v>
      </c>
      <c r="AK165" s="311">
        <f t="shared" si="66"/>
        <v>0</v>
      </c>
      <c r="AL165" s="311">
        <f t="shared" si="66"/>
        <v>0</v>
      </c>
      <c r="AM165" s="311">
        <f t="shared" si="66"/>
        <v>0</v>
      </c>
      <c r="AN165" s="311">
        <f t="shared" si="66"/>
        <v>0</v>
      </c>
      <c r="AO165" s="311">
        <f t="shared" si="66"/>
        <v>0</v>
      </c>
      <c r="AP165" s="311">
        <f t="shared" si="66"/>
        <v>0</v>
      </c>
      <c r="AQ165" s="311">
        <f t="shared" si="66"/>
        <v>0</v>
      </c>
      <c r="AR165" s="311">
        <f t="shared" si="66"/>
        <v>0</v>
      </c>
      <c r="AS165" s="311">
        <f t="shared" si="66"/>
        <v>139217.82</v>
      </c>
      <c r="AT165" s="311">
        <f t="shared" si="66"/>
        <v>0</v>
      </c>
      <c r="AU165" s="311">
        <f t="shared" si="66"/>
        <v>0</v>
      </c>
      <c r="AV165" s="311">
        <f t="shared" si="66"/>
        <v>0</v>
      </c>
      <c r="AW165" s="311">
        <f t="shared" si="66"/>
        <v>0</v>
      </c>
      <c r="AX165" s="311">
        <f t="shared" si="66"/>
        <v>0</v>
      </c>
      <c r="AY165" s="311">
        <f t="shared" si="66"/>
        <v>0</v>
      </c>
      <c r="AZ165" s="311">
        <f t="shared" si="66"/>
        <v>0</v>
      </c>
      <c r="BA165" s="311">
        <f t="shared" si="66"/>
        <v>0</v>
      </c>
      <c r="BB165" s="311">
        <f t="shared" si="66"/>
        <v>0</v>
      </c>
      <c r="BC165" s="1290"/>
      <c r="BD165" s="425"/>
      <c r="BE165" s="425"/>
      <c r="BF165" s="994" t="s">
        <v>635</v>
      </c>
    </row>
    <row r="166" spans="1:58" s="1229" customFormat="1" ht="16.5" customHeight="1">
      <c r="A166" s="983"/>
      <c r="B166" s="783"/>
      <c r="C166" s="1153"/>
      <c r="D166" s="1153"/>
      <c r="E166" s="676">
        <v>17.100000000000001</v>
      </c>
      <c r="F166" s="779" t="str" cm="1">
        <f t="array" aca="1" ref="F166" ca="1">OFFSET(G166,-1,-1)</f>
        <v>2</v>
      </c>
      <c r="G166" s="425"/>
      <c r="H166" s="425"/>
      <c r="I166" s="425"/>
      <c r="J166" s="425"/>
      <c r="K166" s="425"/>
      <c r="L166" s="425"/>
      <c r="M166" s="425"/>
      <c r="N166" s="425"/>
      <c r="O166" s="425"/>
      <c r="P166" s="425"/>
      <c r="Q166" s="425"/>
      <c r="R166" s="425"/>
      <c r="S166" s="425"/>
      <c r="T166" s="687" t="b" cm="1">
        <f t="array" ref="T166">T165</f>
        <v>1</v>
      </c>
      <c r="U166" s="1153"/>
      <c r="V166" s="1153"/>
      <c r="W166" s="1153"/>
      <c r="X166" s="1726"/>
      <c r="Y166" s="1153"/>
      <c r="Z166" s="1726"/>
      <c r="AA166" s="425"/>
      <c r="AB166" s="108" t="str">
        <f>AB165&amp;".1"</f>
        <v>1.1</v>
      </c>
      <c r="AC166" s="115" t="s">
        <v>636</v>
      </c>
      <c r="AD166" s="120" t="s">
        <v>634</v>
      </c>
      <c r="AE166" s="311">
        <f t="shared" ref="AE166:BB166" si="67">AE167+AE168</f>
        <v>0</v>
      </c>
      <c r="AF166" s="311">
        <f t="shared" si="67"/>
        <v>0</v>
      </c>
      <c r="AG166" s="311">
        <f t="shared" si="67"/>
        <v>0</v>
      </c>
      <c r="AH166" s="311">
        <f t="shared" si="67"/>
        <v>0</v>
      </c>
      <c r="AI166" s="311">
        <f t="shared" si="67"/>
        <v>0</v>
      </c>
      <c r="AJ166" s="311">
        <f t="shared" si="67"/>
        <v>0</v>
      </c>
      <c r="AK166" s="311">
        <f t="shared" si="67"/>
        <v>0</v>
      </c>
      <c r="AL166" s="311">
        <f t="shared" si="67"/>
        <v>0</v>
      </c>
      <c r="AM166" s="311">
        <f t="shared" si="67"/>
        <v>0</v>
      </c>
      <c r="AN166" s="311">
        <f t="shared" si="67"/>
        <v>0</v>
      </c>
      <c r="AO166" s="311">
        <f t="shared" si="67"/>
        <v>0</v>
      </c>
      <c r="AP166" s="311">
        <f t="shared" si="67"/>
        <v>0</v>
      </c>
      <c r="AQ166" s="311">
        <f t="shared" si="67"/>
        <v>0</v>
      </c>
      <c r="AR166" s="311">
        <f t="shared" si="67"/>
        <v>0</v>
      </c>
      <c r="AS166" s="311">
        <f t="shared" si="67"/>
        <v>0</v>
      </c>
      <c r="AT166" s="311">
        <f t="shared" si="67"/>
        <v>0</v>
      </c>
      <c r="AU166" s="311">
        <f t="shared" si="67"/>
        <v>0</v>
      </c>
      <c r="AV166" s="311">
        <f t="shared" si="67"/>
        <v>0</v>
      </c>
      <c r="AW166" s="311">
        <f t="shared" si="67"/>
        <v>0</v>
      </c>
      <c r="AX166" s="311">
        <f t="shared" si="67"/>
        <v>0</v>
      </c>
      <c r="AY166" s="311">
        <f t="shared" si="67"/>
        <v>0</v>
      </c>
      <c r="AZ166" s="311">
        <f t="shared" si="67"/>
        <v>0</v>
      </c>
      <c r="BA166" s="311">
        <f t="shared" si="67"/>
        <v>0</v>
      </c>
      <c r="BB166" s="311">
        <f t="shared" si="67"/>
        <v>0</v>
      </c>
      <c r="BC166" s="1290"/>
      <c r="BD166" s="425"/>
      <c r="BE166" s="425"/>
      <c r="BF166" s="994" t="s">
        <v>637</v>
      </c>
    </row>
    <row r="167" spans="1:58" s="1229" customFormat="1" ht="16.5" customHeight="1">
      <c r="A167" s="983"/>
      <c r="B167" s="783"/>
      <c r="C167" s="1153"/>
      <c r="D167" s="1153"/>
      <c r="E167" s="676">
        <v>17.100000000000001</v>
      </c>
      <c r="F167" s="779" t="str" cm="1">
        <f t="array" aca="1" ref="F167" ca="1">OFFSET(G167,-1,-1)</f>
        <v>2</v>
      </c>
      <c r="G167" s="425"/>
      <c r="H167" s="425"/>
      <c r="I167" s="425"/>
      <c r="J167" s="425"/>
      <c r="K167" s="425"/>
      <c r="L167" s="425"/>
      <c r="M167" s="425"/>
      <c r="N167" s="425"/>
      <c r="O167" s="425"/>
      <c r="P167" s="425"/>
      <c r="Q167" s="425"/>
      <c r="R167" s="425"/>
      <c r="S167" s="425"/>
      <c r="T167" s="687" t="b" cm="1">
        <f t="array" ref="T167">T166</f>
        <v>1</v>
      </c>
      <c r="U167" s="1153"/>
      <c r="V167" s="1153"/>
      <c r="W167" s="1153"/>
      <c r="X167" s="1726"/>
      <c r="Y167" s="1153"/>
      <c r="Z167" s="1726"/>
      <c r="AA167" s="425"/>
      <c r="AB167" s="108" t="str">
        <f>AB166&amp;".1"</f>
        <v>1.1.1</v>
      </c>
      <c r="AC167" s="471" t="s">
        <v>638</v>
      </c>
      <c r="AD167" s="120" t="s">
        <v>634</v>
      </c>
      <c r="AE167" s="1291"/>
      <c r="AF167" s="1291"/>
      <c r="AG167" s="1291"/>
      <c r="AH167" s="1291"/>
      <c r="AI167" s="246"/>
      <c r="AJ167" s="246"/>
      <c r="AK167" s="246"/>
      <c r="AL167" s="246"/>
      <c r="AM167" s="246"/>
      <c r="AN167" s="1291"/>
      <c r="AO167" s="1291"/>
      <c r="AP167" s="1291"/>
      <c r="AQ167" s="1291"/>
      <c r="AR167" s="1291"/>
      <c r="AS167" s="246"/>
      <c r="AT167" s="246"/>
      <c r="AU167" s="246"/>
      <c r="AV167" s="246"/>
      <c r="AW167" s="246"/>
      <c r="AX167" s="1291"/>
      <c r="AY167" s="1291"/>
      <c r="AZ167" s="1291"/>
      <c r="BA167" s="1291"/>
      <c r="BB167" s="1291"/>
      <c r="BC167" s="1290"/>
      <c r="BD167" s="425"/>
      <c r="BE167" s="425"/>
      <c r="BF167" s="994" t="s">
        <v>639</v>
      </c>
    </row>
    <row r="168" spans="1:58" s="1229" customFormat="1" ht="16.5" customHeight="1">
      <c r="A168" s="983"/>
      <c r="B168" s="783"/>
      <c r="C168" s="1153"/>
      <c r="D168" s="1153"/>
      <c r="E168" s="676">
        <v>17.100000000000001</v>
      </c>
      <c r="F168" s="779" t="str" cm="1">
        <f t="array" aca="1" ref="F168" ca="1">OFFSET(G168,-1,-1)</f>
        <v>2</v>
      </c>
      <c r="G168" s="425"/>
      <c r="H168" s="425"/>
      <c r="I168" s="425"/>
      <c r="J168" s="425"/>
      <c r="K168" s="425"/>
      <c r="L168" s="425"/>
      <c r="M168" s="425"/>
      <c r="N168" s="425"/>
      <c r="O168" s="425"/>
      <c r="P168" s="425"/>
      <c r="Q168" s="425"/>
      <c r="R168" s="425"/>
      <c r="S168" s="425"/>
      <c r="T168" s="687" t="b" cm="1">
        <f t="array" ref="T168">T167</f>
        <v>1</v>
      </c>
      <c r="U168" s="1153"/>
      <c r="V168" s="1153"/>
      <c r="W168" s="1153"/>
      <c r="X168" s="1726"/>
      <c r="Y168" s="1153"/>
      <c r="Z168" s="1726"/>
      <c r="AA168" s="425"/>
      <c r="AB168" s="108" t="str">
        <f>AB166&amp;".2"</f>
        <v>1.1.2</v>
      </c>
      <c r="AC168" s="471" t="s">
        <v>640</v>
      </c>
      <c r="AD168" s="120" t="s">
        <v>634</v>
      </c>
      <c r="AE168" s="1291"/>
      <c r="AF168" s="1291"/>
      <c r="AG168" s="1291"/>
      <c r="AH168" s="1291"/>
      <c r="AI168" s="246"/>
      <c r="AJ168" s="246"/>
      <c r="AK168" s="246"/>
      <c r="AL168" s="246"/>
      <c r="AM168" s="246"/>
      <c r="AN168" s="1291"/>
      <c r="AO168" s="1291"/>
      <c r="AP168" s="1291"/>
      <c r="AQ168" s="1291"/>
      <c r="AR168" s="1291"/>
      <c r="AS168" s="246"/>
      <c r="AT168" s="246"/>
      <c r="AU168" s="246"/>
      <c r="AV168" s="246"/>
      <c r="AW168" s="246"/>
      <c r="AX168" s="1291"/>
      <c r="AY168" s="1291"/>
      <c r="AZ168" s="1291"/>
      <c r="BA168" s="1291"/>
      <c r="BB168" s="1291"/>
      <c r="BC168" s="1290"/>
      <c r="BD168" s="425"/>
      <c r="BE168" s="425"/>
      <c r="BF168" s="994" t="s">
        <v>641</v>
      </c>
    </row>
    <row r="169" spans="1:58" s="1229" customFormat="1" ht="16.5" customHeight="1">
      <c r="A169" s="983"/>
      <c r="B169" s="783"/>
      <c r="C169" s="1153"/>
      <c r="D169" s="1153"/>
      <c r="E169" s="676">
        <v>17.100000000000001</v>
      </c>
      <c r="F169" s="779" t="str" cm="1">
        <f t="array" aca="1" ref="F169" ca="1">OFFSET(G169,-1,-1)</f>
        <v>2</v>
      </c>
      <c r="G169" s="425"/>
      <c r="H169" s="425"/>
      <c r="I169" s="425"/>
      <c r="J169" s="425"/>
      <c r="K169" s="425"/>
      <c r="L169" s="425"/>
      <c r="M169" s="425"/>
      <c r="N169" s="425"/>
      <c r="O169" s="425"/>
      <c r="P169" s="425"/>
      <c r="Q169" s="425"/>
      <c r="R169" s="425"/>
      <c r="S169" s="425"/>
      <c r="T169" s="687" t="b" cm="1">
        <f t="array" ref="T169">T168</f>
        <v>1</v>
      </c>
      <c r="U169" s="1153"/>
      <c r="V169" s="1153"/>
      <c r="W169" s="1153"/>
      <c r="X169" s="1726"/>
      <c r="Y169" s="1153"/>
      <c r="Z169" s="1726"/>
      <c r="AA169" s="425"/>
      <c r="AB169" s="108" t="str">
        <f>AB165&amp;".2"</f>
        <v>1.2</v>
      </c>
      <c r="AC169" s="115" t="s">
        <v>642</v>
      </c>
      <c r="AD169" s="120" t="s">
        <v>634</v>
      </c>
      <c r="AE169" s="311">
        <f t="shared" ref="AE169:BB169" si="68">AE170+AE171</f>
        <v>0</v>
      </c>
      <c r="AF169" s="311">
        <f t="shared" si="68"/>
        <v>0</v>
      </c>
      <c r="AG169" s="311">
        <f t="shared" si="68"/>
        <v>0</v>
      </c>
      <c r="AH169" s="311">
        <f t="shared" si="68"/>
        <v>139265</v>
      </c>
      <c r="AI169" s="311">
        <f t="shared" si="68"/>
        <v>0</v>
      </c>
      <c r="AJ169" s="311">
        <f t="shared" si="68"/>
        <v>0</v>
      </c>
      <c r="AK169" s="311">
        <f t="shared" si="68"/>
        <v>0</v>
      </c>
      <c r="AL169" s="311">
        <f t="shared" si="68"/>
        <v>0</v>
      </c>
      <c r="AM169" s="311">
        <f t="shared" si="68"/>
        <v>0</v>
      </c>
      <c r="AN169" s="311">
        <f t="shared" si="68"/>
        <v>0</v>
      </c>
      <c r="AO169" s="311">
        <f t="shared" si="68"/>
        <v>0</v>
      </c>
      <c r="AP169" s="311">
        <f t="shared" si="68"/>
        <v>0</v>
      </c>
      <c r="AQ169" s="311">
        <f t="shared" si="68"/>
        <v>0</v>
      </c>
      <c r="AR169" s="311">
        <f t="shared" si="68"/>
        <v>0</v>
      </c>
      <c r="AS169" s="311">
        <f t="shared" si="68"/>
        <v>139217.82</v>
      </c>
      <c r="AT169" s="311">
        <f t="shared" si="68"/>
        <v>0</v>
      </c>
      <c r="AU169" s="311">
        <f t="shared" si="68"/>
        <v>0</v>
      </c>
      <c r="AV169" s="311">
        <f t="shared" si="68"/>
        <v>0</v>
      </c>
      <c r="AW169" s="311">
        <f t="shared" si="68"/>
        <v>0</v>
      </c>
      <c r="AX169" s="311">
        <f t="shared" si="68"/>
        <v>0</v>
      </c>
      <c r="AY169" s="311">
        <f t="shared" si="68"/>
        <v>0</v>
      </c>
      <c r="AZ169" s="311">
        <f t="shared" si="68"/>
        <v>0</v>
      </c>
      <c r="BA169" s="311">
        <f t="shared" si="68"/>
        <v>0</v>
      </c>
      <c r="BB169" s="311">
        <f t="shared" si="68"/>
        <v>0</v>
      </c>
      <c r="BC169" s="1290"/>
      <c r="BD169" s="425"/>
      <c r="BE169" s="425"/>
      <c r="BF169" s="994" t="s">
        <v>643</v>
      </c>
    </row>
    <row r="170" spans="1:58" s="1229" customFormat="1" ht="16.5" customHeight="1">
      <c r="A170" s="983"/>
      <c r="B170" s="783"/>
      <c r="C170" s="1153"/>
      <c r="D170" s="1153"/>
      <c r="E170" s="676">
        <v>17.100000000000001</v>
      </c>
      <c r="F170" s="779" t="str" cm="1">
        <f t="array" aca="1" ref="F170" ca="1">OFFSET(G170,-1,-1)</f>
        <v>2</v>
      </c>
      <c r="G170" s="425"/>
      <c r="H170" s="425"/>
      <c r="I170" s="425"/>
      <c r="J170" s="425"/>
      <c r="K170" s="425"/>
      <c r="L170" s="425"/>
      <c r="M170" s="425"/>
      <c r="N170" s="425"/>
      <c r="O170" s="425"/>
      <c r="P170" s="425"/>
      <c r="Q170" s="425"/>
      <c r="R170" s="425"/>
      <c r="S170" s="425"/>
      <c r="T170" s="687" t="b" cm="1">
        <f t="array" ref="T170">T169</f>
        <v>1</v>
      </c>
      <c r="U170" s="1153"/>
      <c r="V170" s="1153"/>
      <c r="W170" s="1153"/>
      <c r="X170" s="1726"/>
      <c r="Y170" s="1153"/>
      <c r="Z170" s="1726"/>
      <c r="AA170" s="425"/>
      <c r="AB170" s="108" t="str">
        <f>AB169&amp;".1"</f>
        <v>1.2.1</v>
      </c>
      <c r="AC170" s="471" t="s">
        <v>638</v>
      </c>
      <c r="AD170" s="120" t="s">
        <v>634</v>
      </c>
      <c r="AE170" s="1291"/>
      <c r="AF170" s="1291"/>
      <c r="AG170" s="1291"/>
      <c r="AH170" s="1291">
        <v>131828</v>
      </c>
      <c r="AI170" s="246"/>
      <c r="AJ170" s="246"/>
      <c r="AK170" s="246"/>
      <c r="AL170" s="246"/>
      <c r="AM170" s="246"/>
      <c r="AN170" s="1291"/>
      <c r="AO170" s="1291"/>
      <c r="AP170" s="1291"/>
      <c r="AQ170" s="1291"/>
      <c r="AR170" s="1291"/>
      <c r="AS170" s="246">
        <v>132257.93</v>
      </c>
      <c r="AT170" s="246"/>
      <c r="AU170" s="246"/>
      <c r="AV170" s="246"/>
      <c r="AW170" s="246"/>
      <c r="AX170" s="1291"/>
      <c r="AY170" s="1291"/>
      <c r="AZ170" s="1291"/>
      <c r="BA170" s="1291"/>
      <c r="BB170" s="1291"/>
      <c r="BC170" s="1290"/>
      <c r="BD170" s="425"/>
      <c r="BE170" s="425"/>
      <c r="BF170" s="994" t="s">
        <v>644</v>
      </c>
    </row>
    <row r="171" spans="1:58" s="1229" customFormat="1" ht="16.5" customHeight="1">
      <c r="A171" s="983"/>
      <c r="B171" s="783"/>
      <c r="C171" s="1153"/>
      <c r="D171" s="1153"/>
      <c r="E171" s="676">
        <v>17.100000000000001</v>
      </c>
      <c r="F171" s="779" t="str" cm="1">
        <f t="array" aca="1" ref="F171" ca="1">OFFSET(G171,-1,-1)</f>
        <v>2</v>
      </c>
      <c r="G171" s="425"/>
      <c r="H171" s="425"/>
      <c r="I171" s="425"/>
      <c r="J171" s="425"/>
      <c r="K171" s="425"/>
      <c r="L171" s="425"/>
      <c r="M171" s="425"/>
      <c r="N171" s="425"/>
      <c r="O171" s="425"/>
      <c r="P171" s="425"/>
      <c r="Q171" s="425"/>
      <c r="R171" s="425"/>
      <c r="S171" s="425"/>
      <c r="T171" s="687" t="b" cm="1">
        <f t="array" ref="T171">T170</f>
        <v>1</v>
      </c>
      <c r="U171" s="1153"/>
      <c r="V171" s="1153"/>
      <c r="W171" s="1153"/>
      <c r="X171" s="1726"/>
      <c r="Y171" s="1153"/>
      <c r="Z171" s="1726"/>
      <c r="AA171" s="425"/>
      <c r="AB171" s="108" t="str">
        <f>AB169&amp;".2"</f>
        <v>1.2.2</v>
      </c>
      <c r="AC171" s="471" t="s">
        <v>640</v>
      </c>
      <c r="AD171" s="120" t="s">
        <v>634</v>
      </c>
      <c r="AE171" s="1291"/>
      <c r="AF171" s="1291"/>
      <c r="AG171" s="1291"/>
      <c r="AH171" s="1291">
        <v>7437</v>
      </c>
      <c r="AI171" s="246"/>
      <c r="AJ171" s="246"/>
      <c r="AK171" s="246"/>
      <c r="AL171" s="246"/>
      <c r="AM171" s="246"/>
      <c r="AN171" s="1291"/>
      <c r="AO171" s="1291"/>
      <c r="AP171" s="1291"/>
      <c r="AQ171" s="1291"/>
      <c r="AR171" s="1291"/>
      <c r="AS171" s="246">
        <v>6959.89</v>
      </c>
      <c r="AT171" s="246"/>
      <c r="AU171" s="246"/>
      <c r="AV171" s="246"/>
      <c r="AW171" s="246"/>
      <c r="AX171" s="1291"/>
      <c r="AY171" s="1291"/>
      <c r="AZ171" s="1291"/>
      <c r="BA171" s="1291"/>
      <c r="BB171" s="1291"/>
      <c r="BC171" s="1290"/>
      <c r="BD171" s="425"/>
      <c r="BE171" s="425"/>
      <c r="BF171" s="994" t="s">
        <v>645</v>
      </c>
    </row>
    <row r="172" spans="1:58" s="1229" customFormat="1" ht="16.5" customHeight="1">
      <c r="A172" s="983"/>
      <c r="B172" s="783"/>
      <c r="C172" s="1153"/>
      <c r="D172" s="1153"/>
      <c r="E172" s="676">
        <v>17.100000000000001</v>
      </c>
      <c r="F172" s="779" t="str" cm="1">
        <f t="array" aca="1" ref="F172" ca="1">OFFSET(G172,-1,-1)</f>
        <v>2</v>
      </c>
      <c r="G172" s="425"/>
      <c r="H172" s="425"/>
      <c r="I172" s="425"/>
      <c r="J172" s="425"/>
      <c r="K172" s="425"/>
      <c r="L172" s="425"/>
      <c r="M172" s="425"/>
      <c r="N172" s="425"/>
      <c r="O172" s="425"/>
      <c r="P172" s="425"/>
      <c r="Q172" s="425"/>
      <c r="R172" s="425"/>
      <c r="S172" s="425"/>
      <c r="T172" s="687" t="b" cm="1">
        <f t="array" ref="T172">T171</f>
        <v>1</v>
      </c>
      <c r="U172" s="1153"/>
      <c r="V172" s="1153"/>
      <c r="W172" s="1153"/>
      <c r="X172" s="1726"/>
      <c r="Y172" s="1153"/>
      <c r="Z172" s="1726"/>
      <c r="AA172" s="425"/>
      <c r="AB172" s="108" t="str">
        <f>AB165&amp;".3"</f>
        <v>1.3</v>
      </c>
      <c r="AC172" s="115" t="s">
        <v>646</v>
      </c>
      <c r="AD172" s="120" t="s">
        <v>634</v>
      </c>
      <c r="AE172" s="1291"/>
      <c r="AF172" s="1291"/>
      <c r="AG172" s="1291"/>
      <c r="AH172" s="1291"/>
      <c r="AI172" s="246"/>
      <c r="AJ172" s="246"/>
      <c r="AK172" s="246"/>
      <c r="AL172" s="246"/>
      <c r="AM172" s="246"/>
      <c r="AN172" s="1291"/>
      <c r="AO172" s="1291"/>
      <c r="AP172" s="1291"/>
      <c r="AQ172" s="1291"/>
      <c r="AR172" s="1291"/>
      <c r="AS172" s="246"/>
      <c r="AT172" s="246"/>
      <c r="AU172" s="246"/>
      <c r="AV172" s="246"/>
      <c r="AW172" s="246"/>
      <c r="AX172" s="1291"/>
      <c r="AY172" s="1291"/>
      <c r="AZ172" s="1291"/>
      <c r="BA172" s="1291"/>
      <c r="BB172" s="1291"/>
      <c r="BC172" s="1290"/>
      <c r="BD172" s="425"/>
      <c r="BE172" s="425"/>
      <c r="BF172" s="994" t="s">
        <v>647</v>
      </c>
    </row>
    <row r="173" spans="1:58" s="1229" customFormat="1" ht="16.5" customHeight="1">
      <c r="A173" s="983"/>
      <c r="B173" s="783"/>
      <c r="C173" s="1153"/>
      <c r="D173" s="1153"/>
      <c r="E173" s="676">
        <v>17.100000000000001</v>
      </c>
      <c r="F173" s="779" t="str" cm="1">
        <f t="array" aca="1" ref="F173" ca="1">OFFSET(G173,-1,-1)</f>
        <v>2</v>
      </c>
      <c r="G173" s="425"/>
      <c r="H173" s="425"/>
      <c r="I173" s="425"/>
      <c r="J173" s="425"/>
      <c r="K173" s="425"/>
      <c r="L173" s="425"/>
      <c r="M173" s="425"/>
      <c r="N173" s="425"/>
      <c r="O173" s="425"/>
      <c r="P173" s="425"/>
      <c r="Q173" s="425"/>
      <c r="R173" s="425"/>
      <c r="S173" s="425"/>
      <c r="T173" s="687" t="b" cm="1">
        <f t="array" ref="T173">T172</f>
        <v>1</v>
      </c>
      <c r="U173" s="1153"/>
      <c r="V173" s="1153"/>
      <c r="W173" s="1153"/>
      <c r="X173" s="1726"/>
      <c r="Y173" s="1153"/>
      <c r="Z173" s="1726"/>
      <c r="AA173" s="425"/>
      <c r="AB173" s="124" t="s">
        <v>348</v>
      </c>
      <c r="AC173" s="725" t="s">
        <v>648</v>
      </c>
      <c r="AD173" s="120" t="s">
        <v>634</v>
      </c>
      <c r="AE173" s="311">
        <f t="shared" ref="AE173:BB173" si="69">AE174+AE177+AE180</f>
        <v>0</v>
      </c>
      <c r="AF173" s="311">
        <f t="shared" si="69"/>
        <v>0</v>
      </c>
      <c r="AG173" s="311">
        <f t="shared" si="69"/>
        <v>0</v>
      </c>
      <c r="AH173" s="311">
        <f t="shared" si="69"/>
        <v>5240</v>
      </c>
      <c r="AI173" s="311">
        <f t="shared" si="69"/>
        <v>0</v>
      </c>
      <c r="AJ173" s="311">
        <f t="shared" si="69"/>
        <v>0</v>
      </c>
      <c r="AK173" s="311">
        <f t="shared" si="69"/>
        <v>0</v>
      </c>
      <c r="AL173" s="311">
        <f t="shared" si="69"/>
        <v>0</v>
      </c>
      <c r="AM173" s="311">
        <f t="shared" si="69"/>
        <v>0</v>
      </c>
      <c r="AN173" s="311">
        <f t="shared" si="69"/>
        <v>0</v>
      </c>
      <c r="AO173" s="311">
        <f t="shared" si="69"/>
        <v>0</v>
      </c>
      <c r="AP173" s="311">
        <f t="shared" si="69"/>
        <v>0</v>
      </c>
      <c r="AQ173" s="311">
        <f t="shared" si="69"/>
        <v>0</v>
      </c>
      <c r="AR173" s="311">
        <f t="shared" si="69"/>
        <v>0</v>
      </c>
      <c r="AS173" s="311">
        <f t="shared" si="69"/>
        <v>5192.82</v>
      </c>
      <c r="AT173" s="311">
        <f t="shared" si="69"/>
        <v>0</v>
      </c>
      <c r="AU173" s="311">
        <f t="shared" si="69"/>
        <v>0</v>
      </c>
      <c r="AV173" s="311">
        <f t="shared" si="69"/>
        <v>0</v>
      </c>
      <c r="AW173" s="311">
        <f t="shared" si="69"/>
        <v>0</v>
      </c>
      <c r="AX173" s="311">
        <f t="shared" si="69"/>
        <v>0</v>
      </c>
      <c r="AY173" s="311">
        <f t="shared" si="69"/>
        <v>0</v>
      </c>
      <c r="AZ173" s="311">
        <f t="shared" si="69"/>
        <v>0</v>
      </c>
      <c r="BA173" s="311">
        <f t="shared" si="69"/>
        <v>0</v>
      </c>
      <c r="BB173" s="311">
        <f t="shared" si="69"/>
        <v>0</v>
      </c>
      <c r="BC173" s="1290"/>
      <c r="BD173" s="425"/>
      <c r="BE173" s="425"/>
      <c r="BF173" s="994" t="s">
        <v>649</v>
      </c>
    </row>
    <row r="174" spans="1:58" s="1229" customFormat="1" ht="16.5" customHeight="1">
      <c r="A174" s="983"/>
      <c r="B174" s="783"/>
      <c r="C174" s="1153"/>
      <c r="D174" s="1153"/>
      <c r="E174" s="676">
        <v>17.100000000000001</v>
      </c>
      <c r="F174" s="779" t="str" cm="1">
        <f t="array" aca="1" ref="F174" ca="1">OFFSET(G174,-1,-1)</f>
        <v>2</v>
      </c>
      <c r="G174" s="425"/>
      <c r="H174" s="425"/>
      <c r="I174" s="425"/>
      <c r="J174" s="425"/>
      <c r="K174" s="425"/>
      <c r="L174" s="425"/>
      <c r="M174" s="425"/>
      <c r="N174" s="425"/>
      <c r="O174" s="425"/>
      <c r="P174" s="425"/>
      <c r="Q174" s="425"/>
      <c r="R174" s="425"/>
      <c r="S174" s="425"/>
      <c r="T174" s="687" t="b" cm="1">
        <f t="array" ref="T174">T173</f>
        <v>1</v>
      </c>
      <c r="U174" s="1153"/>
      <c r="V174" s="1153"/>
      <c r="W174" s="1153"/>
      <c r="X174" s="1726"/>
      <c r="Y174" s="1153"/>
      <c r="Z174" s="1726"/>
      <c r="AA174" s="425"/>
      <c r="AB174" s="108" t="str">
        <f>AB173&amp;".1"</f>
        <v>2.1</v>
      </c>
      <c r="AC174" s="115" t="s">
        <v>636</v>
      </c>
      <c r="AD174" s="120" t="s">
        <v>634</v>
      </c>
      <c r="AE174" s="311">
        <f t="shared" ref="AE174:BB174" si="70">AE175+AE176</f>
        <v>0</v>
      </c>
      <c r="AF174" s="311">
        <f t="shared" si="70"/>
        <v>0</v>
      </c>
      <c r="AG174" s="311">
        <f t="shared" si="70"/>
        <v>0</v>
      </c>
      <c r="AH174" s="311">
        <f t="shared" si="70"/>
        <v>0</v>
      </c>
      <c r="AI174" s="311">
        <f t="shared" si="70"/>
        <v>0</v>
      </c>
      <c r="AJ174" s="311">
        <f t="shared" si="70"/>
        <v>0</v>
      </c>
      <c r="AK174" s="311">
        <f t="shared" si="70"/>
        <v>0</v>
      </c>
      <c r="AL174" s="311">
        <f t="shared" si="70"/>
        <v>0</v>
      </c>
      <c r="AM174" s="311">
        <f t="shared" si="70"/>
        <v>0</v>
      </c>
      <c r="AN174" s="311">
        <f t="shared" si="70"/>
        <v>0</v>
      </c>
      <c r="AO174" s="311">
        <f t="shared" si="70"/>
        <v>0</v>
      </c>
      <c r="AP174" s="311">
        <f t="shared" si="70"/>
        <v>0</v>
      </c>
      <c r="AQ174" s="311">
        <f t="shared" si="70"/>
        <v>0</v>
      </c>
      <c r="AR174" s="311">
        <f t="shared" si="70"/>
        <v>0</v>
      </c>
      <c r="AS174" s="311">
        <f t="shared" si="70"/>
        <v>0</v>
      </c>
      <c r="AT174" s="311">
        <f t="shared" si="70"/>
        <v>0</v>
      </c>
      <c r="AU174" s="311">
        <f t="shared" si="70"/>
        <v>0</v>
      </c>
      <c r="AV174" s="311">
        <f t="shared" si="70"/>
        <v>0</v>
      </c>
      <c r="AW174" s="311">
        <f t="shared" si="70"/>
        <v>0</v>
      </c>
      <c r="AX174" s="311">
        <f t="shared" si="70"/>
        <v>0</v>
      </c>
      <c r="AY174" s="311">
        <f t="shared" si="70"/>
        <v>0</v>
      </c>
      <c r="AZ174" s="311">
        <f t="shared" si="70"/>
        <v>0</v>
      </c>
      <c r="BA174" s="311">
        <f t="shared" si="70"/>
        <v>0</v>
      </c>
      <c r="BB174" s="311">
        <f t="shared" si="70"/>
        <v>0</v>
      </c>
      <c r="BC174" s="1290"/>
      <c r="BD174" s="425"/>
      <c r="BE174" s="425"/>
      <c r="BF174" s="994" t="s">
        <v>650</v>
      </c>
    </row>
    <row r="175" spans="1:58" s="1229" customFormat="1" ht="16.5" customHeight="1">
      <c r="A175" s="983"/>
      <c r="B175" s="783"/>
      <c r="C175" s="1153"/>
      <c r="D175" s="1153"/>
      <c r="E175" s="676">
        <v>17.100000000000001</v>
      </c>
      <c r="F175" s="779" t="str" cm="1">
        <f t="array" aca="1" ref="F175" ca="1">OFFSET(G175,-1,-1)</f>
        <v>2</v>
      </c>
      <c r="G175" s="425"/>
      <c r="H175" s="425"/>
      <c r="I175" s="425"/>
      <c r="J175" s="425"/>
      <c r="K175" s="425"/>
      <c r="L175" s="425"/>
      <c r="M175" s="425"/>
      <c r="N175" s="425"/>
      <c r="O175" s="425"/>
      <c r="P175" s="425"/>
      <c r="Q175" s="425"/>
      <c r="R175" s="425"/>
      <c r="S175" s="425"/>
      <c r="T175" s="687" t="b" cm="1">
        <f t="array" ref="T175">T174</f>
        <v>1</v>
      </c>
      <c r="U175" s="1153"/>
      <c r="V175" s="1153"/>
      <c r="W175" s="1153"/>
      <c r="X175" s="1726"/>
      <c r="Y175" s="1153"/>
      <c r="Z175" s="1726"/>
      <c r="AA175" s="425"/>
      <c r="AB175" s="108" t="str">
        <f>AB174&amp;".1"</f>
        <v>2.1.1</v>
      </c>
      <c r="AC175" s="471" t="s">
        <v>638</v>
      </c>
      <c r="AD175" s="120" t="s">
        <v>634</v>
      </c>
      <c r="AE175" s="1291"/>
      <c r="AF175" s="1291"/>
      <c r="AG175" s="1291"/>
      <c r="AH175" s="1291"/>
      <c r="AI175" s="246"/>
      <c r="AJ175" s="246"/>
      <c r="AK175" s="246"/>
      <c r="AL175" s="246"/>
      <c r="AM175" s="246"/>
      <c r="AN175" s="1291"/>
      <c r="AO175" s="1291"/>
      <c r="AP175" s="1291"/>
      <c r="AQ175" s="1291"/>
      <c r="AR175" s="1291"/>
      <c r="AS175" s="246"/>
      <c r="AT175" s="246"/>
      <c r="AU175" s="246"/>
      <c r="AV175" s="246"/>
      <c r="AW175" s="246"/>
      <c r="AX175" s="1291"/>
      <c r="AY175" s="1291"/>
      <c r="AZ175" s="1291"/>
      <c r="BA175" s="1291"/>
      <c r="BB175" s="1291"/>
      <c r="BC175" s="1290"/>
      <c r="BD175" s="425"/>
      <c r="BE175" s="425"/>
      <c r="BF175" s="994" t="s">
        <v>651</v>
      </c>
    </row>
    <row r="176" spans="1:58" s="1229" customFormat="1" ht="16.5" customHeight="1">
      <c r="A176" s="983"/>
      <c r="B176" s="783"/>
      <c r="C176" s="1153"/>
      <c r="D176" s="1153"/>
      <c r="E176" s="676">
        <v>17.100000000000001</v>
      </c>
      <c r="F176" s="779" t="str" cm="1">
        <f t="array" aca="1" ref="F176" ca="1">OFFSET(G176,-1,-1)</f>
        <v>2</v>
      </c>
      <c r="G176" s="425"/>
      <c r="H176" s="425"/>
      <c r="I176" s="425"/>
      <c r="J176" s="425"/>
      <c r="K176" s="425"/>
      <c r="L176" s="425"/>
      <c r="M176" s="425"/>
      <c r="N176" s="425"/>
      <c r="O176" s="425"/>
      <c r="P176" s="425"/>
      <c r="Q176" s="425"/>
      <c r="R176" s="425"/>
      <c r="S176" s="425"/>
      <c r="T176" s="687" t="b" cm="1">
        <f t="array" ref="T176">T175</f>
        <v>1</v>
      </c>
      <c r="U176" s="1153"/>
      <c r="V176" s="1153"/>
      <c r="W176" s="1153"/>
      <c r="X176" s="1726"/>
      <c r="Y176" s="1153"/>
      <c r="Z176" s="1726"/>
      <c r="AA176" s="425"/>
      <c r="AB176" s="108" t="str">
        <f>AB174&amp;".2"</f>
        <v>2.1.2</v>
      </c>
      <c r="AC176" s="471" t="s">
        <v>640</v>
      </c>
      <c r="AD176" s="120" t="s">
        <v>634</v>
      </c>
      <c r="AE176" s="1291"/>
      <c r="AF176" s="1291"/>
      <c r="AG176" s="1291"/>
      <c r="AH176" s="1291"/>
      <c r="AI176" s="246"/>
      <c r="AJ176" s="246"/>
      <c r="AK176" s="246"/>
      <c r="AL176" s="246"/>
      <c r="AM176" s="246"/>
      <c r="AN176" s="1291"/>
      <c r="AO176" s="1291"/>
      <c r="AP176" s="1291"/>
      <c r="AQ176" s="1291"/>
      <c r="AR176" s="1291"/>
      <c r="AS176" s="246"/>
      <c r="AT176" s="246"/>
      <c r="AU176" s="246"/>
      <c r="AV176" s="246"/>
      <c r="AW176" s="246"/>
      <c r="AX176" s="1291"/>
      <c r="AY176" s="1291"/>
      <c r="AZ176" s="1291"/>
      <c r="BA176" s="1291"/>
      <c r="BB176" s="1291"/>
      <c r="BC176" s="1290"/>
      <c r="BD176" s="425"/>
      <c r="BE176" s="425"/>
      <c r="BF176" s="994" t="s">
        <v>652</v>
      </c>
    </row>
    <row r="177" spans="1:58" s="1229" customFormat="1" ht="16.5" customHeight="1">
      <c r="A177" s="983"/>
      <c r="B177" s="783"/>
      <c r="C177" s="1153"/>
      <c r="D177" s="1153"/>
      <c r="E177" s="676">
        <v>17.100000000000001</v>
      </c>
      <c r="F177" s="779" t="str" cm="1">
        <f t="array" aca="1" ref="F177" ca="1">OFFSET(G177,-1,-1)</f>
        <v>2</v>
      </c>
      <c r="G177" s="425"/>
      <c r="H177" s="425"/>
      <c r="I177" s="425"/>
      <c r="J177" s="425"/>
      <c r="K177" s="425"/>
      <c r="L177" s="425"/>
      <c r="M177" s="425"/>
      <c r="N177" s="425"/>
      <c r="O177" s="425"/>
      <c r="P177" s="425"/>
      <c r="Q177" s="425"/>
      <c r="R177" s="425"/>
      <c r="S177" s="425"/>
      <c r="T177" s="687" t="b" cm="1">
        <f t="array" ref="T177">T176</f>
        <v>1</v>
      </c>
      <c r="U177" s="1153"/>
      <c r="V177" s="1153"/>
      <c r="W177" s="1153"/>
      <c r="X177" s="1726"/>
      <c r="Y177" s="1153"/>
      <c r="Z177" s="1726"/>
      <c r="AA177" s="425"/>
      <c r="AB177" s="108" t="str">
        <f>AB174&amp;".2"</f>
        <v>2.1.2</v>
      </c>
      <c r="AC177" s="115" t="s">
        <v>642</v>
      </c>
      <c r="AD177" s="120" t="s">
        <v>634</v>
      </c>
      <c r="AE177" s="311">
        <f t="shared" ref="AE177:BB177" si="71">AE178+AE179</f>
        <v>0</v>
      </c>
      <c r="AF177" s="311">
        <f t="shared" si="71"/>
        <v>0</v>
      </c>
      <c r="AG177" s="311">
        <f t="shared" si="71"/>
        <v>0</v>
      </c>
      <c r="AH177" s="311">
        <f t="shared" si="71"/>
        <v>5240</v>
      </c>
      <c r="AI177" s="311">
        <f t="shared" si="71"/>
        <v>0</v>
      </c>
      <c r="AJ177" s="311">
        <f t="shared" si="71"/>
        <v>0</v>
      </c>
      <c r="AK177" s="311">
        <f t="shared" si="71"/>
        <v>0</v>
      </c>
      <c r="AL177" s="311">
        <f t="shared" si="71"/>
        <v>0</v>
      </c>
      <c r="AM177" s="311">
        <f t="shared" si="71"/>
        <v>0</v>
      </c>
      <c r="AN177" s="311">
        <f t="shared" si="71"/>
        <v>0</v>
      </c>
      <c r="AO177" s="311">
        <f t="shared" si="71"/>
        <v>0</v>
      </c>
      <c r="AP177" s="311">
        <f t="shared" si="71"/>
        <v>0</v>
      </c>
      <c r="AQ177" s="311">
        <f t="shared" si="71"/>
        <v>0</v>
      </c>
      <c r="AR177" s="311">
        <f t="shared" si="71"/>
        <v>0</v>
      </c>
      <c r="AS177" s="311">
        <f t="shared" si="71"/>
        <v>5192.82</v>
      </c>
      <c r="AT177" s="311">
        <f t="shared" si="71"/>
        <v>0</v>
      </c>
      <c r="AU177" s="311">
        <f t="shared" si="71"/>
        <v>0</v>
      </c>
      <c r="AV177" s="311">
        <f t="shared" si="71"/>
        <v>0</v>
      </c>
      <c r="AW177" s="311">
        <f t="shared" si="71"/>
        <v>0</v>
      </c>
      <c r="AX177" s="311">
        <f t="shared" si="71"/>
        <v>0</v>
      </c>
      <c r="AY177" s="311">
        <f t="shared" si="71"/>
        <v>0</v>
      </c>
      <c r="AZ177" s="311">
        <f t="shared" si="71"/>
        <v>0</v>
      </c>
      <c r="BA177" s="311">
        <f t="shared" si="71"/>
        <v>0</v>
      </c>
      <c r="BB177" s="311">
        <f t="shared" si="71"/>
        <v>0</v>
      </c>
      <c r="BC177" s="1290"/>
      <c r="BD177" s="425"/>
      <c r="BE177" s="425"/>
      <c r="BF177" s="994" t="s">
        <v>653</v>
      </c>
    </row>
    <row r="178" spans="1:58" s="1229" customFormat="1" ht="16.5" customHeight="1">
      <c r="A178" s="983"/>
      <c r="B178" s="783"/>
      <c r="C178" s="1153"/>
      <c r="D178" s="1153"/>
      <c r="E178" s="676">
        <v>17.100000000000001</v>
      </c>
      <c r="F178" s="779" t="str" cm="1">
        <f t="array" aca="1" ref="F178" ca="1">OFFSET(G178,-1,-1)</f>
        <v>2</v>
      </c>
      <c r="G178" s="425"/>
      <c r="H178" s="425"/>
      <c r="I178" s="425"/>
      <c r="J178" s="425"/>
      <c r="K178" s="425"/>
      <c r="L178" s="425"/>
      <c r="M178" s="425"/>
      <c r="N178" s="425"/>
      <c r="O178" s="425"/>
      <c r="P178" s="425"/>
      <c r="Q178" s="425"/>
      <c r="R178" s="425"/>
      <c r="S178" s="425"/>
      <c r="T178" s="687" t="b" cm="1">
        <f t="array" ref="T178">T177</f>
        <v>1</v>
      </c>
      <c r="U178" s="1153"/>
      <c r="V178" s="1153"/>
      <c r="W178" s="1153"/>
      <c r="X178" s="1726"/>
      <c r="Y178" s="1153"/>
      <c r="Z178" s="1726"/>
      <c r="AA178" s="425"/>
      <c r="AB178" s="108" t="str">
        <f>AB177&amp;".1"</f>
        <v>2.1.2.1</v>
      </c>
      <c r="AC178" s="471" t="s">
        <v>638</v>
      </c>
      <c r="AD178" s="120" t="s">
        <v>634</v>
      </c>
      <c r="AE178" s="1291"/>
      <c r="AF178" s="1291"/>
      <c r="AG178" s="1291"/>
      <c r="AH178" s="1291">
        <v>5240</v>
      </c>
      <c r="AI178" s="246"/>
      <c r="AJ178" s="246"/>
      <c r="AK178" s="246"/>
      <c r="AL178" s="246"/>
      <c r="AM178" s="246"/>
      <c r="AN178" s="1291"/>
      <c r="AO178" s="1291"/>
      <c r="AP178" s="1291"/>
      <c r="AQ178" s="1291"/>
      <c r="AR178" s="1291"/>
      <c r="AS178" s="246">
        <v>5192.82</v>
      </c>
      <c r="AT178" s="246"/>
      <c r="AU178" s="246"/>
      <c r="AV178" s="246"/>
      <c r="AW178" s="246"/>
      <c r="AX178" s="1291"/>
      <c r="AY178" s="1291"/>
      <c r="AZ178" s="1291"/>
      <c r="BA178" s="1291"/>
      <c r="BB178" s="1291"/>
      <c r="BC178" s="1290"/>
      <c r="BD178" s="425"/>
      <c r="BE178" s="425"/>
      <c r="BF178" s="994" t="s">
        <v>654</v>
      </c>
    </row>
    <row r="179" spans="1:58" s="1229" customFormat="1" ht="16.5" customHeight="1">
      <c r="A179" s="983"/>
      <c r="B179" s="783"/>
      <c r="C179" s="1153"/>
      <c r="D179" s="1153"/>
      <c r="E179" s="676">
        <v>17.100000000000001</v>
      </c>
      <c r="F179" s="779" t="str" cm="1">
        <f t="array" aca="1" ref="F179" ca="1">OFFSET(G179,-1,-1)</f>
        <v>2</v>
      </c>
      <c r="G179" s="425"/>
      <c r="H179" s="425"/>
      <c r="I179" s="425"/>
      <c r="J179" s="425"/>
      <c r="K179" s="425"/>
      <c r="L179" s="425"/>
      <c r="M179" s="425"/>
      <c r="N179" s="425"/>
      <c r="O179" s="425"/>
      <c r="P179" s="425"/>
      <c r="Q179" s="425"/>
      <c r="R179" s="425"/>
      <c r="S179" s="425"/>
      <c r="T179" s="687" t="b" cm="1">
        <f t="array" ref="T179">T178</f>
        <v>1</v>
      </c>
      <c r="U179" s="1153"/>
      <c r="V179" s="1153"/>
      <c r="W179" s="1153"/>
      <c r="X179" s="1726"/>
      <c r="Y179" s="1153"/>
      <c r="Z179" s="1726"/>
      <c r="AA179" s="425"/>
      <c r="AB179" s="108" t="str">
        <f>AB177&amp;".2"</f>
        <v>2.1.2.2</v>
      </c>
      <c r="AC179" s="471" t="s">
        <v>640</v>
      </c>
      <c r="AD179" s="726" t="s">
        <v>634</v>
      </c>
      <c r="AE179" s="1292"/>
      <c r="AF179" s="1291"/>
      <c r="AG179" s="1292"/>
      <c r="AH179" s="1291"/>
      <c r="AI179" s="498"/>
      <c r="AJ179" s="246"/>
      <c r="AK179" s="498"/>
      <c r="AL179" s="246"/>
      <c r="AM179" s="498"/>
      <c r="AN179" s="1291"/>
      <c r="AO179" s="1292"/>
      <c r="AP179" s="1291"/>
      <c r="AQ179" s="1292"/>
      <c r="AR179" s="1291"/>
      <c r="AS179" s="498"/>
      <c r="AT179" s="246"/>
      <c r="AU179" s="498"/>
      <c r="AV179" s="246"/>
      <c r="AW179" s="498"/>
      <c r="AX179" s="1291"/>
      <c r="AY179" s="1292"/>
      <c r="AZ179" s="1291"/>
      <c r="BA179" s="1292"/>
      <c r="BB179" s="1291"/>
      <c r="BC179" s="1290"/>
      <c r="BD179" s="425"/>
      <c r="BE179" s="425"/>
      <c r="BF179" s="994" t="s">
        <v>655</v>
      </c>
    </row>
    <row r="180" spans="1:58" s="1229" customFormat="1" ht="16.5" customHeight="1">
      <c r="A180" s="983"/>
      <c r="B180" s="783"/>
      <c r="C180" s="1153"/>
      <c r="D180" s="1153"/>
      <c r="E180" s="676">
        <v>17.100000000000001</v>
      </c>
      <c r="F180" s="779" t="str" cm="1">
        <f t="array" aca="1" ref="F180" ca="1">OFFSET(G180,-1,-1)</f>
        <v>2</v>
      </c>
      <c r="G180" s="425"/>
      <c r="H180" s="425"/>
      <c r="I180" s="425"/>
      <c r="J180" s="425"/>
      <c r="K180" s="425"/>
      <c r="L180" s="425"/>
      <c r="M180" s="425"/>
      <c r="N180" s="425"/>
      <c r="O180" s="425"/>
      <c r="P180" s="425"/>
      <c r="Q180" s="425"/>
      <c r="R180" s="425"/>
      <c r="S180" s="425"/>
      <c r="T180" s="687" t="b" cm="1">
        <f t="array" ref="T180">T179</f>
        <v>1</v>
      </c>
      <c r="U180" s="1153"/>
      <c r="V180" s="1153"/>
      <c r="W180" s="1153"/>
      <c r="X180" s="1726"/>
      <c r="Y180" s="1153"/>
      <c r="Z180" s="1726"/>
      <c r="AA180" s="425"/>
      <c r="AB180" s="108" t="str">
        <f>AB173&amp;".3"</f>
        <v>2.3</v>
      </c>
      <c r="AC180" s="609" t="s">
        <v>646</v>
      </c>
      <c r="AD180" s="120" t="s">
        <v>634</v>
      </c>
      <c r="AE180" s="1291"/>
      <c r="AF180" s="1293"/>
      <c r="AG180" s="1291"/>
      <c r="AH180" s="1293"/>
      <c r="AI180" s="246"/>
      <c r="AJ180" s="728"/>
      <c r="AK180" s="246"/>
      <c r="AL180" s="728"/>
      <c r="AM180" s="246"/>
      <c r="AN180" s="1293"/>
      <c r="AO180" s="1291"/>
      <c r="AP180" s="1293"/>
      <c r="AQ180" s="1291"/>
      <c r="AR180" s="1293"/>
      <c r="AS180" s="246"/>
      <c r="AT180" s="728"/>
      <c r="AU180" s="246"/>
      <c r="AV180" s="728"/>
      <c r="AW180" s="246"/>
      <c r="AX180" s="1293"/>
      <c r="AY180" s="1291"/>
      <c r="AZ180" s="1293"/>
      <c r="BA180" s="1291"/>
      <c r="BB180" s="1293"/>
      <c r="BC180" s="1290"/>
      <c r="BD180" s="425"/>
      <c r="BE180" s="425"/>
      <c r="BF180" s="994" t="s">
        <v>656</v>
      </c>
    </row>
    <row r="181" spans="1:58" s="1229" customFormat="1" ht="29.25" customHeight="1">
      <c r="A181" s="983"/>
      <c r="B181" s="783"/>
      <c r="C181" s="1153"/>
      <c r="D181" s="1153"/>
      <c r="E181" s="676">
        <v>30</v>
      </c>
      <c r="F181" s="779" t="str" cm="1">
        <f t="array" aca="1" ref="F181" ca="1">OFFSET(G181,-1,-1)</f>
        <v>2</v>
      </c>
      <c r="G181" s="425"/>
      <c r="H181" s="425"/>
      <c r="I181" s="425"/>
      <c r="J181" s="425"/>
      <c r="K181" s="425"/>
      <c r="L181" s="425"/>
      <c r="M181" s="425"/>
      <c r="N181" s="425"/>
      <c r="O181" s="425"/>
      <c r="P181" s="425"/>
      <c r="Q181" s="425"/>
      <c r="R181" s="425"/>
      <c r="S181" s="425"/>
      <c r="T181" s="687" t="b" cm="1">
        <f t="array" ref="T181">T180</f>
        <v>1</v>
      </c>
      <c r="U181" s="1153"/>
      <c r="V181" s="1153"/>
      <c r="W181" s="1153"/>
      <c r="X181" s="1726"/>
      <c r="Y181" s="1153"/>
      <c r="Z181" s="1726"/>
      <c r="AA181" s="425"/>
      <c r="AB181" s="271" t="s">
        <v>437</v>
      </c>
      <c r="AC181" s="114" t="s">
        <v>657</v>
      </c>
      <c r="AD181" s="120" t="s">
        <v>634</v>
      </c>
      <c r="AE181" s="311">
        <f t="shared" ref="AE181:BB181" si="72">AE182+AE185+AE188</f>
        <v>0</v>
      </c>
      <c r="AF181" s="729">
        <f t="shared" si="72"/>
        <v>0</v>
      </c>
      <c r="AG181" s="311">
        <f t="shared" si="72"/>
        <v>0</v>
      </c>
      <c r="AH181" s="311">
        <f t="shared" si="72"/>
        <v>134025</v>
      </c>
      <c r="AI181" s="311">
        <f t="shared" si="72"/>
        <v>0</v>
      </c>
      <c r="AJ181" s="311">
        <f t="shared" si="72"/>
        <v>0</v>
      </c>
      <c r="AK181" s="311">
        <f t="shared" si="72"/>
        <v>0</v>
      </c>
      <c r="AL181" s="311">
        <f t="shared" si="72"/>
        <v>0</v>
      </c>
      <c r="AM181" s="311">
        <f t="shared" si="72"/>
        <v>0</v>
      </c>
      <c r="AN181" s="311">
        <f t="shared" si="72"/>
        <v>0</v>
      </c>
      <c r="AO181" s="311">
        <f t="shared" si="72"/>
        <v>0</v>
      </c>
      <c r="AP181" s="311">
        <f t="shared" si="72"/>
        <v>0</v>
      </c>
      <c r="AQ181" s="311">
        <f t="shared" si="72"/>
        <v>0</v>
      </c>
      <c r="AR181" s="311">
        <f t="shared" si="72"/>
        <v>0</v>
      </c>
      <c r="AS181" s="311">
        <f t="shared" si="72"/>
        <v>134025</v>
      </c>
      <c r="AT181" s="311">
        <f t="shared" si="72"/>
        <v>0</v>
      </c>
      <c r="AU181" s="311">
        <f t="shared" si="72"/>
        <v>0</v>
      </c>
      <c r="AV181" s="311">
        <f t="shared" si="72"/>
        <v>0</v>
      </c>
      <c r="AW181" s="311">
        <f t="shared" si="72"/>
        <v>0</v>
      </c>
      <c r="AX181" s="311">
        <f t="shared" si="72"/>
        <v>0</v>
      </c>
      <c r="AY181" s="311">
        <f t="shared" si="72"/>
        <v>0</v>
      </c>
      <c r="AZ181" s="311">
        <f t="shared" si="72"/>
        <v>0</v>
      </c>
      <c r="BA181" s="311">
        <f t="shared" si="72"/>
        <v>0</v>
      </c>
      <c r="BB181" s="311">
        <f t="shared" si="72"/>
        <v>0</v>
      </c>
      <c r="BC181" s="1290"/>
      <c r="BD181" s="425"/>
      <c r="BE181" s="425"/>
      <c r="BF181" s="994" t="s">
        <v>658</v>
      </c>
    </row>
    <row r="182" spans="1:58" s="1229" customFormat="1" ht="16.5" customHeight="1">
      <c r="A182" s="983"/>
      <c r="B182" s="783"/>
      <c r="C182" s="1153"/>
      <c r="D182" s="1153"/>
      <c r="E182" s="676">
        <v>17.100000000000001</v>
      </c>
      <c r="F182" s="779" t="str" cm="1">
        <f t="array" aca="1" ref="F182" ca="1">OFFSET(G182,-1,-1)</f>
        <v>2</v>
      </c>
      <c r="G182" s="425"/>
      <c r="H182" s="425"/>
      <c r="I182" s="425"/>
      <c r="J182" s="425"/>
      <c r="K182" s="425"/>
      <c r="L182" s="425"/>
      <c r="M182" s="425"/>
      <c r="N182" s="425"/>
      <c r="O182" s="425"/>
      <c r="P182" s="425"/>
      <c r="Q182" s="425"/>
      <c r="R182" s="425"/>
      <c r="S182" s="425"/>
      <c r="T182" s="687" t="b" cm="1">
        <f t="array" ref="T182">T181</f>
        <v>1</v>
      </c>
      <c r="U182" s="1153"/>
      <c r="V182" s="1153"/>
      <c r="W182" s="1153"/>
      <c r="X182" s="1726"/>
      <c r="Y182" s="1153"/>
      <c r="Z182" s="1726"/>
      <c r="AA182" s="425"/>
      <c r="AB182" s="724" t="str">
        <f>AB181&amp;".1"</f>
        <v>3.1</v>
      </c>
      <c r="AC182" s="609" t="s">
        <v>636</v>
      </c>
      <c r="AD182" s="120" t="s">
        <v>634</v>
      </c>
      <c r="AE182" s="311">
        <f t="shared" ref="AE182:BB182" si="73">AE183+AE184</f>
        <v>0</v>
      </c>
      <c r="AF182" s="467">
        <f t="shared" si="73"/>
        <v>0</v>
      </c>
      <c r="AG182" s="467">
        <f t="shared" si="73"/>
        <v>0</v>
      </c>
      <c r="AH182" s="467">
        <f t="shared" si="73"/>
        <v>0</v>
      </c>
      <c r="AI182" s="467">
        <f t="shared" si="73"/>
        <v>0</v>
      </c>
      <c r="AJ182" s="467">
        <f t="shared" si="73"/>
        <v>0</v>
      </c>
      <c r="AK182" s="467">
        <f t="shared" si="73"/>
        <v>0</v>
      </c>
      <c r="AL182" s="467">
        <f t="shared" si="73"/>
        <v>0</v>
      </c>
      <c r="AM182" s="467">
        <f t="shared" si="73"/>
        <v>0</v>
      </c>
      <c r="AN182" s="467">
        <f t="shared" si="73"/>
        <v>0</v>
      </c>
      <c r="AO182" s="467">
        <f t="shared" si="73"/>
        <v>0</v>
      </c>
      <c r="AP182" s="467">
        <f t="shared" si="73"/>
        <v>0</v>
      </c>
      <c r="AQ182" s="467">
        <f t="shared" si="73"/>
        <v>0</v>
      </c>
      <c r="AR182" s="467">
        <f t="shared" si="73"/>
        <v>0</v>
      </c>
      <c r="AS182" s="467">
        <f t="shared" si="73"/>
        <v>0</v>
      </c>
      <c r="AT182" s="467">
        <f t="shared" si="73"/>
        <v>0</v>
      </c>
      <c r="AU182" s="467">
        <f t="shared" si="73"/>
        <v>0</v>
      </c>
      <c r="AV182" s="467">
        <f t="shared" si="73"/>
        <v>0</v>
      </c>
      <c r="AW182" s="467">
        <f t="shared" si="73"/>
        <v>0</v>
      </c>
      <c r="AX182" s="467">
        <f t="shared" si="73"/>
        <v>0</v>
      </c>
      <c r="AY182" s="467">
        <f t="shared" si="73"/>
        <v>0</v>
      </c>
      <c r="AZ182" s="467">
        <f t="shared" si="73"/>
        <v>0</v>
      </c>
      <c r="BA182" s="467">
        <f t="shared" si="73"/>
        <v>0</v>
      </c>
      <c r="BB182" s="467">
        <f t="shared" si="73"/>
        <v>0</v>
      </c>
      <c r="BC182" s="1290"/>
      <c r="BD182" s="425"/>
      <c r="BE182" s="425"/>
      <c r="BF182" s="994" t="s">
        <v>659</v>
      </c>
    </row>
    <row r="183" spans="1:58" s="1229" customFormat="1" ht="16.5" customHeight="1">
      <c r="A183" s="983"/>
      <c r="B183" s="783"/>
      <c r="C183" s="1153"/>
      <c r="D183" s="1153"/>
      <c r="E183" s="676">
        <v>17.100000000000001</v>
      </c>
      <c r="F183" s="779" t="str" cm="1">
        <f t="array" aca="1" ref="F183" ca="1">OFFSET(G183,-1,-1)</f>
        <v>2</v>
      </c>
      <c r="G183" s="425"/>
      <c r="H183" s="425"/>
      <c r="I183" s="425"/>
      <c r="J183" s="425"/>
      <c r="K183" s="425"/>
      <c r="L183" s="425"/>
      <c r="M183" s="425"/>
      <c r="N183" s="425"/>
      <c r="O183" s="425"/>
      <c r="P183" s="425"/>
      <c r="Q183" s="425"/>
      <c r="R183" s="425"/>
      <c r="S183" s="425"/>
      <c r="T183" s="687" t="b" cm="1">
        <f t="array" ref="T183">T182</f>
        <v>1</v>
      </c>
      <c r="U183" s="1153"/>
      <c r="V183" s="1153"/>
      <c r="W183" s="1153"/>
      <c r="X183" s="1726"/>
      <c r="Y183" s="1153"/>
      <c r="Z183" s="1726"/>
      <c r="AA183" s="425"/>
      <c r="AB183" s="724" t="str">
        <f>AB182&amp;".1"</f>
        <v>3.1.1</v>
      </c>
      <c r="AC183" s="607" t="s">
        <v>638</v>
      </c>
      <c r="AD183" s="120" t="s">
        <v>634</v>
      </c>
      <c r="AE183" s="1291">
        <f t="shared" ref="AE183:BB183" si="74">AE167-AE175</f>
        <v>0</v>
      </c>
      <c r="AF183" s="1291">
        <f t="shared" si="74"/>
        <v>0</v>
      </c>
      <c r="AG183" s="1291">
        <f t="shared" si="74"/>
        <v>0</v>
      </c>
      <c r="AH183" s="1291">
        <f t="shared" si="74"/>
        <v>0</v>
      </c>
      <c r="AI183" s="246">
        <f t="shared" si="74"/>
        <v>0</v>
      </c>
      <c r="AJ183" s="246">
        <f t="shared" si="74"/>
        <v>0</v>
      </c>
      <c r="AK183" s="246">
        <f t="shared" si="74"/>
        <v>0</v>
      </c>
      <c r="AL183" s="246">
        <f t="shared" si="74"/>
        <v>0</v>
      </c>
      <c r="AM183" s="246">
        <f t="shared" si="74"/>
        <v>0</v>
      </c>
      <c r="AN183" s="1291">
        <f t="shared" si="74"/>
        <v>0</v>
      </c>
      <c r="AO183" s="1291">
        <f t="shared" si="74"/>
        <v>0</v>
      </c>
      <c r="AP183" s="1291">
        <f t="shared" si="74"/>
        <v>0</v>
      </c>
      <c r="AQ183" s="1291">
        <f t="shared" si="74"/>
        <v>0</v>
      </c>
      <c r="AR183" s="1291">
        <f t="shared" si="74"/>
        <v>0</v>
      </c>
      <c r="AS183" s="246">
        <f t="shared" si="74"/>
        <v>0</v>
      </c>
      <c r="AT183" s="246">
        <f t="shared" si="74"/>
        <v>0</v>
      </c>
      <c r="AU183" s="246">
        <f t="shared" si="74"/>
        <v>0</v>
      </c>
      <c r="AV183" s="246">
        <f t="shared" si="74"/>
        <v>0</v>
      </c>
      <c r="AW183" s="246">
        <f t="shared" si="74"/>
        <v>0</v>
      </c>
      <c r="AX183" s="1291">
        <f t="shared" si="74"/>
        <v>0</v>
      </c>
      <c r="AY183" s="1291">
        <f t="shared" si="74"/>
        <v>0</v>
      </c>
      <c r="AZ183" s="1291">
        <f t="shared" si="74"/>
        <v>0</v>
      </c>
      <c r="BA183" s="1291">
        <f t="shared" si="74"/>
        <v>0</v>
      </c>
      <c r="BB183" s="1291">
        <f t="shared" si="74"/>
        <v>0</v>
      </c>
      <c r="BC183" s="1290"/>
      <c r="BD183" s="425"/>
      <c r="BE183" s="425"/>
      <c r="BF183" s="994" t="s">
        <v>660</v>
      </c>
    </row>
    <row r="184" spans="1:58" s="1229" customFormat="1" ht="16.5" customHeight="1">
      <c r="A184" s="983"/>
      <c r="B184" s="783"/>
      <c r="C184" s="1153"/>
      <c r="D184" s="1153"/>
      <c r="E184" s="676">
        <v>17.100000000000001</v>
      </c>
      <c r="F184" s="779" t="str" cm="1">
        <f t="array" aca="1" ref="F184" ca="1">OFFSET(G184,-1,-1)</f>
        <v>2</v>
      </c>
      <c r="G184" s="425"/>
      <c r="H184" s="425"/>
      <c r="I184" s="425"/>
      <c r="J184" s="425"/>
      <c r="K184" s="425"/>
      <c r="L184" s="425"/>
      <c r="M184" s="425"/>
      <c r="N184" s="425"/>
      <c r="O184" s="425"/>
      <c r="P184" s="425"/>
      <c r="Q184" s="425"/>
      <c r="R184" s="425"/>
      <c r="S184" s="425"/>
      <c r="T184" s="687" t="b" cm="1">
        <f t="array" ref="T184">T183</f>
        <v>1</v>
      </c>
      <c r="U184" s="1153"/>
      <c r="V184" s="1153"/>
      <c r="W184" s="1153"/>
      <c r="X184" s="1726"/>
      <c r="Y184" s="1153"/>
      <c r="Z184" s="1726"/>
      <c r="AA184" s="425"/>
      <c r="AB184" s="724" t="str">
        <f>AB182&amp;".2"</f>
        <v>3.1.2</v>
      </c>
      <c r="AC184" s="607" t="s">
        <v>640</v>
      </c>
      <c r="AD184" s="120" t="s">
        <v>634</v>
      </c>
      <c r="AE184" s="1291">
        <f t="shared" ref="AE184:BB184" si="75">AE168-AE176</f>
        <v>0</v>
      </c>
      <c r="AF184" s="1291">
        <f t="shared" si="75"/>
        <v>0</v>
      </c>
      <c r="AG184" s="1291">
        <f t="shared" si="75"/>
        <v>0</v>
      </c>
      <c r="AH184" s="1291">
        <f t="shared" si="75"/>
        <v>0</v>
      </c>
      <c r="AI184" s="246">
        <f t="shared" si="75"/>
        <v>0</v>
      </c>
      <c r="AJ184" s="246">
        <f t="shared" si="75"/>
        <v>0</v>
      </c>
      <c r="AK184" s="246">
        <f t="shared" si="75"/>
        <v>0</v>
      </c>
      <c r="AL184" s="246">
        <f t="shared" si="75"/>
        <v>0</v>
      </c>
      <c r="AM184" s="246">
        <f t="shared" si="75"/>
        <v>0</v>
      </c>
      <c r="AN184" s="1291">
        <f t="shared" si="75"/>
        <v>0</v>
      </c>
      <c r="AO184" s="1291">
        <f t="shared" si="75"/>
        <v>0</v>
      </c>
      <c r="AP184" s="1291">
        <f t="shared" si="75"/>
        <v>0</v>
      </c>
      <c r="AQ184" s="1291">
        <f t="shared" si="75"/>
        <v>0</v>
      </c>
      <c r="AR184" s="1291">
        <f t="shared" si="75"/>
        <v>0</v>
      </c>
      <c r="AS184" s="246">
        <f t="shared" si="75"/>
        <v>0</v>
      </c>
      <c r="AT184" s="246">
        <f t="shared" si="75"/>
        <v>0</v>
      </c>
      <c r="AU184" s="246">
        <f t="shared" si="75"/>
        <v>0</v>
      </c>
      <c r="AV184" s="246">
        <f t="shared" si="75"/>
        <v>0</v>
      </c>
      <c r="AW184" s="246">
        <f t="shared" si="75"/>
        <v>0</v>
      </c>
      <c r="AX184" s="1291">
        <f t="shared" si="75"/>
        <v>0</v>
      </c>
      <c r="AY184" s="1291">
        <f t="shared" si="75"/>
        <v>0</v>
      </c>
      <c r="AZ184" s="1291">
        <f t="shared" si="75"/>
        <v>0</v>
      </c>
      <c r="BA184" s="1291">
        <f t="shared" si="75"/>
        <v>0</v>
      </c>
      <c r="BB184" s="1291">
        <f t="shared" si="75"/>
        <v>0</v>
      </c>
      <c r="BC184" s="1290"/>
      <c r="BD184" s="425"/>
      <c r="BE184" s="425"/>
      <c r="BF184" s="994" t="s">
        <v>661</v>
      </c>
    </row>
    <row r="185" spans="1:58" s="1229" customFormat="1" ht="16.5" customHeight="1">
      <c r="A185" s="983"/>
      <c r="B185" s="783"/>
      <c r="C185" s="1153"/>
      <c r="D185" s="1153"/>
      <c r="E185" s="676">
        <v>17.100000000000001</v>
      </c>
      <c r="F185" s="779" t="str" cm="1">
        <f t="array" aca="1" ref="F185" ca="1">OFFSET(G185,-1,-1)</f>
        <v>2</v>
      </c>
      <c r="G185" s="425"/>
      <c r="H185" s="425"/>
      <c r="I185" s="425"/>
      <c r="J185" s="425"/>
      <c r="K185" s="425"/>
      <c r="L185" s="425"/>
      <c r="M185" s="425"/>
      <c r="N185" s="425"/>
      <c r="O185" s="425"/>
      <c r="P185" s="425"/>
      <c r="Q185" s="425"/>
      <c r="R185" s="425"/>
      <c r="S185" s="425"/>
      <c r="T185" s="687" t="b" cm="1">
        <f t="array" ref="T185">T184</f>
        <v>1</v>
      </c>
      <c r="U185" s="1153"/>
      <c r="V185" s="1153"/>
      <c r="W185" s="1153"/>
      <c r="X185" s="1726"/>
      <c r="Y185" s="1153"/>
      <c r="Z185" s="1726"/>
      <c r="AA185" s="425"/>
      <c r="AB185" s="724" t="str">
        <f>AB181&amp;".2"</f>
        <v>3.2</v>
      </c>
      <c r="AC185" s="609" t="s">
        <v>642</v>
      </c>
      <c r="AD185" s="120" t="s">
        <v>634</v>
      </c>
      <c r="AE185" s="311">
        <f t="shared" ref="AE185:BB185" si="76">AE186+AE187</f>
        <v>0</v>
      </c>
      <c r="AF185" s="311">
        <f t="shared" si="76"/>
        <v>0</v>
      </c>
      <c r="AG185" s="311">
        <f t="shared" si="76"/>
        <v>0</v>
      </c>
      <c r="AH185" s="311">
        <f t="shared" si="76"/>
        <v>134025</v>
      </c>
      <c r="AI185" s="311">
        <f t="shared" si="76"/>
        <v>0</v>
      </c>
      <c r="AJ185" s="311">
        <f t="shared" si="76"/>
        <v>0</v>
      </c>
      <c r="AK185" s="311">
        <f t="shared" si="76"/>
        <v>0</v>
      </c>
      <c r="AL185" s="311">
        <f t="shared" si="76"/>
        <v>0</v>
      </c>
      <c r="AM185" s="311">
        <f t="shared" si="76"/>
        <v>0</v>
      </c>
      <c r="AN185" s="311">
        <f t="shared" si="76"/>
        <v>0</v>
      </c>
      <c r="AO185" s="311">
        <f t="shared" si="76"/>
        <v>0</v>
      </c>
      <c r="AP185" s="311">
        <f t="shared" si="76"/>
        <v>0</v>
      </c>
      <c r="AQ185" s="311">
        <f t="shared" si="76"/>
        <v>0</v>
      </c>
      <c r="AR185" s="311">
        <f t="shared" si="76"/>
        <v>0</v>
      </c>
      <c r="AS185" s="311">
        <f t="shared" si="76"/>
        <v>134025</v>
      </c>
      <c r="AT185" s="311">
        <f t="shared" si="76"/>
        <v>0</v>
      </c>
      <c r="AU185" s="311">
        <f t="shared" si="76"/>
        <v>0</v>
      </c>
      <c r="AV185" s="311">
        <f t="shared" si="76"/>
        <v>0</v>
      </c>
      <c r="AW185" s="311">
        <f t="shared" si="76"/>
        <v>0</v>
      </c>
      <c r="AX185" s="311">
        <f t="shared" si="76"/>
        <v>0</v>
      </c>
      <c r="AY185" s="311">
        <f t="shared" si="76"/>
        <v>0</v>
      </c>
      <c r="AZ185" s="311">
        <f t="shared" si="76"/>
        <v>0</v>
      </c>
      <c r="BA185" s="311">
        <f t="shared" si="76"/>
        <v>0</v>
      </c>
      <c r="BB185" s="311">
        <f t="shared" si="76"/>
        <v>0</v>
      </c>
      <c r="BC185" s="1290"/>
      <c r="BD185" s="425"/>
      <c r="BE185" s="425"/>
      <c r="BF185" s="994" t="s">
        <v>662</v>
      </c>
    </row>
    <row r="186" spans="1:58" s="1229" customFormat="1" ht="16.5" customHeight="1">
      <c r="A186" s="983"/>
      <c r="B186" s="783"/>
      <c r="C186" s="1153"/>
      <c r="D186" s="1153"/>
      <c r="E186" s="676">
        <v>17.100000000000001</v>
      </c>
      <c r="F186" s="779" t="str" cm="1">
        <f t="array" aca="1" ref="F186" ca="1">OFFSET(G186,-1,-1)</f>
        <v>2</v>
      </c>
      <c r="G186" s="425"/>
      <c r="H186" s="425"/>
      <c r="I186" s="425"/>
      <c r="J186" s="425"/>
      <c r="K186" s="425"/>
      <c r="L186" s="425"/>
      <c r="M186" s="425"/>
      <c r="N186" s="425"/>
      <c r="O186" s="425"/>
      <c r="P186" s="425"/>
      <c r="Q186" s="425"/>
      <c r="R186" s="425"/>
      <c r="S186" s="425"/>
      <c r="T186" s="687" t="b" cm="1">
        <f t="array" ref="T186">T185</f>
        <v>1</v>
      </c>
      <c r="U186" s="1153"/>
      <c r="V186" s="1153"/>
      <c r="W186" s="1153"/>
      <c r="X186" s="1726"/>
      <c r="Y186" s="1153"/>
      <c r="Z186" s="1726"/>
      <c r="AA186" s="425"/>
      <c r="AB186" s="724" t="str">
        <f>AB185&amp;".1"</f>
        <v>3.2.1</v>
      </c>
      <c r="AC186" s="607" t="s">
        <v>638</v>
      </c>
      <c r="AD186" s="120" t="s">
        <v>634</v>
      </c>
      <c r="AE186" s="1291">
        <f t="shared" ref="AE186:BB186" si="77">AE170-AE178</f>
        <v>0</v>
      </c>
      <c r="AF186" s="1291">
        <f t="shared" si="77"/>
        <v>0</v>
      </c>
      <c r="AG186" s="1291">
        <f t="shared" si="77"/>
        <v>0</v>
      </c>
      <c r="AH186" s="1291">
        <f t="shared" si="77"/>
        <v>126588</v>
      </c>
      <c r="AI186" s="246">
        <f t="shared" si="77"/>
        <v>0</v>
      </c>
      <c r="AJ186" s="246">
        <f t="shared" si="77"/>
        <v>0</v>
      </c>
      <c r="AK186" s="246">
        <f t="shared" si="77"/>
        <v>0</v>
      </c>
      <c r="AL186" s="246">
        <f t="shared" si="77"/>
        <v>0</v>
      </c>
      <c r="AM186" s="246">
        <f t="shared" si="77"/>
        <v>0</v>
      </c>
      <c r="AN186" s="1291">
        <f t="shared" si="77"/>
        <v>0</v>
      </c>
      <c r="AO186" s="1291">
        <f t="shared" si="77"/>
        <v>0</v>
      </c>
      <c r="AP186" s="1291">
        <f t="shared" si="77"/>
        <v>0</v>
      </c>
      <c r="AQ186" s="1291">
        <f t="shared" si="77"/>
        <v>0</v>
      </c>
      <c r="AR186" s="1291">
        <f t="shared" si="77"/>
        <v>0</v>
      </c>
      <c r="AS186" s="246">
        <f t="shared" si="77"/>
        <v>127065.10999999999</v>
      </c>
      <c r="AT186" s="246">
        <f t="shared" si="77"/>
        <v>0</v>
      </c>
      <c r="AU186" s="246">
        <f t="shared" si="77"/>
        <v>0</v>
      </c>
      <c r="AV186" s="246">
        <f t="shared" si="77"/>
        <v>0</v>
      </c>
      <c r="AW186" s="246">
        <f t="shared" si="77"/>
        <v>0</v>
      </c>
      <c r="AX186" s="1291">
        <f t="shared" si="77"/>
        <v>0</v>
      </c>
      <c r="AY186" s="1291">
        <f t="shared" si="77"/>
        <v>0</v>
      </c>
      <c r="AZ186" s="1291">
        <f t="shared" si="77"/>
        <v>0</v>
      </c>
      <c r="BA186" s="1291">
        <f t="shared" si="77"/>
        <v>0</v>
      </c>
      <c r="BB186" s="1291">
        <f t="shared" si="77"/>
        <v>0</v>
      </c>
      <c r="BC186" s="1290"/>
      <c r="BD186" s="425"/>
      <c r="BE186" s="425"/>
      <c r="BF186" s="994" t="s">
        <v>663</v>
      </c>
    </row>
    <row r="187" spans="1:58" s="1229" customFormat="1" ht="16.5" customHeight="1">
      <c r="A187" s="983"/>
      <c r="B187" s="783"/>
      <c r="C187" s="1153"/>
      <c r="D187" s="1153"/>
      <c r="E187" s="676">
        <v>17.100000000000001</v>
      </c>
      <c r="F187" s="779" t="str" cm="1">
        <f t="array" aca="1" ref="F187" ca="1">OFFSET(G187,-1,-1)</f>
        <v>2</v>
      </c>
      <c r="G187" s="425"/>
      <c r="H187" s="425"/>
      <c r="I187" s="425"/>
      <c r="J187" s="425"/>
      <c r="K187" s="425"/>
      <c r="L187" s="425"/>
      <c r="M187" s="425"/>
      <c r="N187" s="425"/>
      <c r="O187" s="425"/>
      <c r="P187" s="425"/>
      <c r="Q187" s="425"/>
      <c r="R187" s="425"/>
      <c r="S187" s="425"/>
      <c r="T187" s="687" t="b" cm="1">
        <f t="array" ref="T187">T186</f>
        <v>1</v>
      </c>
      <c r="U187" s="1153"/>
      <c r="V187" s="1153"/>
      <c r="W187" s="1153"/>
      <c r="X187" s="1726"/>
      <c r="Y187" s="1153"/>
      <c r="Z187" s="1726"/>
      <c r="AA187" s="425"/>
      <c r="AB187" s="724" t="str">
        <f>AB185&amp;".2"</f>
        <v>3.2.2</v>
      </c>
      <c r="AC187" s="471" t="s">
        <v>640</v>
      </c>
      <c r="AD187" s="727" t="s">
        <v>634</v>
      </c>
      <c r="AE187" s="1291">
        <f t="shared" ref="AE187:BB187" si="78">AE171-AE179</f>
        <v>0</v>
      </c>
      <c r="AF187" s="1291">
        <f t="shared" si="78"/>
        <v>0</v>
      </c>
      <c r="AG187" s="1291">
        <f t="shared" si="78"/>
        <v>0</v>
      </c>
      <c r="AH187" s="1291">
        <f t="shared" si="78"/>
        <v>7437</v>
      </c>
      <c r="AI187" s="246">
        <f t="shared" si="78"/>
        <v>0</v>
      </c>
      <c r="AJ187" s="246">
        <f t="shared" si="78"/>
        <v>0</v>
      </c>
      <c r="AK187" s="246">
        <f t="shared" si="78"/>
        <v>0</v>
      </c>
      <c r="AL187" s="246">
        <f t="shared" si="78"/>
        <v>0</v>
      </c>
      <c r="AM187" s="246">
        <f t="shared" si="78"/>
        <v>0</v>
      </c>
      <c r="AN187" s="1291">
        <f t="shared" si="78"/>
        <v>0</v>
      </c>
      <c r="AO187" s="1291">
        <f t="shared" si="78"/>
        <v>0</v>
      </c>
      <c r="AP187" s="1291">
        <f t="shared" si="78"/>
        <v>0</v>
      </c>
      <c r="AQ187" s="1291">
        <f t="shared" si="78"/>
        <v>0</v>
      </c>
      <c r="AR187" s="1291">
        <f t="shared" si="78"/>
        <v>0</v>
      </c>
      <c r="AS187" s="246">
        <f t="shared" si="78"/>
        <v>6959.89</v>
      </c>
      <c r="AT187" s="246">
        <f t="shared" si="78"/>
        <v>0</v>
      </c>
      <c r="AU187" s="246">
        <f t="shared" si="78"/>
        <v>0</v>
      </c>
      <c r="AV187" s="246">
        <f t="shared" si="78"/>
        <v>0</v>
      </c>
      <c r="AW187" s="246">
        <f t="shared" si="78"/>
        <v>0</v>
      </c>
      <c r="AX187" s="1291">
        <f t="shared" si="78"/>
        <v>0</v>
      </c>
      <c r="AY187" s="1291">
        <f t="shared" si="78"/>
        <v>0</v>
      </c>
      <c r="AZ187" s="1291">
        <f t="shared" si="78"/>
        <v>0</v>
      </c>
      <c r="BA187" s="1291">
        <f t="shared" si="78"/>
        <v>0</v>
      </c>
      <c r="BB187" s="1291">
        <f t="shared" si="78"/>
        <v>0</v>
      </c>
      <c r="BC187" s="1290"/>
      <c r="BD187" s="425"/>
      <c r="BE187" s="425"/>
      <c r="BF187" s="994" t="s">
        <v>664</v>
      </c>
    </row>
    <row r="188" spans="1:58" s="1229" customFormat="1" ht="16.5" customHeight="1">
      <c r="A188" s="983"/>
      <c r="B188" s="783"/>
      <c r="C188" s="1153"/>
      <c r="D188" s="1153"/>
      <c r="E188" s="676">
        <v>17.100000000000001</v>
      </c>
      <c r="F188" s="779" t="str" cm="1">
        <f t="array" aca="1" ref="F188" ca="1">OFFSET(G188,-1,-1)</f>
        <v>2</v>
      </c>
      <c r="G188" s="425"/>
      <c r="H188" s="425"/>
      <c r="I188" s="425"/>
      <c r="J188" s="425"/>
      <c r="K188" s="425"/>
      <c r="L188" s="425"/>
      <c r="M188" s="425"/>
      <c r="N188" s="425"/>
      <c r="O188" s="425"/>
      <c r="P188" s="425"/>
      <c r="Q188" s="425"/>
      <c r="R188" s="425"/>
      <c r="S188" s="425"/>
      <c r="T188" s="687" t="b" cm="1">
        <f t="array" ref="T188">T187</f>
        <v>1</v>
      </c>
      <c r="U188" s="1153"/>
      <c r="V188" s="1153"/>
      <c r="W188" s="1153"/>
      <c r="X188" s="1726"/>
      <c r="Y188" s="1153"/>
      <c r="Z188" s="1726"/>
      <c r="AA188" s="425"/>
      <c r="AB188" s="724" t="str">
        <f>AB181&amp;".3"</f>
        <v>3.3</v>
      </c>
      <c r="AC188" s="469" t="s">
        <v>646</v>
      </c>
      <c r="AD188" s="121" t="s">
        <v>634</v>
      </c>
      <c r="AE188" s="1291"/>
      <c r="AF188" s="1291"/>
      <c r="AG188" s="1291"/>
      <c r="AH188" s="1291"/>
      <c r="AI188" s="246"/>
      <c r="AJ188" s="246"/>
      <c r="AK188" s="246"/>
      <c r="AL188" s="246"/>
      <c r="AM188" s="246"/>
      <c r="AN188" s="1291"/>
      <c r="AO188" s="1291"/>
      <c r="AP188" s="1291"/>
      <c r="AQ188" s="1291"/>
      <c r="AR188" s="1291"/>
      <c r="AS188" s="246"/>
      <c r="AT188" s="246"/>
      <c r="AU188" s="246"/>
      <c r="AV188" s="246"/>
      <c r="AW188" s="246"/>
      <c r="AX188" s="1291"/>
      <c r="AY188" s="1291"/>
      <c r="AZ188" s="1291"/>
      <c r="BA188" s="1291"/>
      <c r="BB188" s="1291"/>
      <c r="BC188" s="1290"/>
      <c r="BD188" s="425"/>
      <c r="BE188" s="425"/>
      <c r="BF188" s="994" t="s">
        <v>665</v>
      </c>
    </row>
    <row r="189" spans="1:58" s="1229" customFormat="1" ht="16.5" customHeight="1">
      <c r="A189" s="983"/>
      <c r="B189" s="783"/>
      <c r="C189" s="1153"/>
      <c r="D189" s="1153"/>
      <c r="E189" s="676">
        <v>17.100000000000001</v>
      </c>
      <c r="F189" s="779" t="str" cm="1">
        <f t="array" aca="1" ref="F189" ca="1">OFFSET(G189,-1,-1)</f>
        <v>2</v>
      </c>
      <c r="G189" s="425"/>
      <c r="H189" s="425"/>
      <c r="I189" s="425"/>
      <c r="J189" s="425"/>
      <c r="K189" s="425"/>
      <c r="L189" s="425"/>
      <c r="M189" s="425"/>
      <c r="N189" s="425"/>
      <c r="O189" s="425"/>
      <c r="P189" s="425"/>
      <c r="Q189" s="425"/>
      <c r="R189" s="425"/>
      <c r="S189" s="425"/>
      <c r="T189" s="687" t="b" cm="1">
        <f t="array" ref="T189">T188</f>
        <v>1</v>
      </c>
      <c r="U189" s="1153"/>
      <c r="V189" s="1153"/>
      <c r="W189" s="1153"/>
      <c r="X189" s="1726"/>
      <c r="Y189" s="1153"/>
      <c r="Z189" s="1726"/>
      <c r="AA189" s="425"/>
      <c r="AB189" s="475" t="s">
        <v>440</v>
      </c>
      <c r="AC189" s="476" t="s">
        <v>666</v>
      </c>
      <c r="AD189" s="121" t="s">
        <v>634</v>
      </c>
      <c r="AE189" s="448">
        <f t="shared" ref="AE189:BB189" si="79">AE190+AE191</f>
        <v>0</v>
      </c>
      <c r="AF189" s="448">
        <f t="shared" si="79"/>
        <v>0</v>
      </c>
      <c r="AG189" s="448">
        <f t="shared" si="79"/>
        <v>0</v>
      </c>
      <c r="AH189" s="448">
        <f t="shared" si="79"/>
        <v>0</v>
      </c>
      <c r="AI189" s="448">
        <f t="shared" si="79"/>
        <v>0</v>
      </c>
      <c r="AJ189" s="448">
        <f t="shared" si="79"/>
        <v>0</v>
      </c>
      <c r="AK189" s="448">
        <f t="shared" si="79"/>
        <v>0</v>
      </c>
      <c r="AL189" s="448">
        <f t="shared" si="79"/>
        <v>0</v>
      </c>
      <c r="AM189" s="448">
        <f t="shared" si="79"/>
        <v>0</v>
      </c>
      <c r="AN189" s="448">
        <f t="shared" si="79"/>
        <v>0</v>
      </c>
      <c r="AO189" s="448">
        <f t="shared" si="79"/>
        <v>0</v>
      </c>
      <c r="AP189" s="448">
        <f t="shared" si="79"/>
        <v>0</v>
      </c>
      <c r="AQ189" s="448">
        <f t="shared" si="79"/>
        <v>0</v>
      </c>
      <c r="AR189" s="448">
        <f t="shared" si="79"/>
        <v>0</v>
      </c>
      <c r="AS189" s="448">
        <f t="shared" si="79"/>
        <v>0</v>
      </c>
      <c r="AT189" s="448">
        <f t="shared" si="79"/>
        <v>0</v>
      </c>
      <c r="AU189" s="448">
        <f t="shared" si="79"/>
        <v>0</v>
      </c>
      <c r="AV189" s="448">
        <f t="shared" si="79"/>
        <v>0</v>
      </c>
      <c r="AW189" s="448">
        <f t="shared" si="79"/>
        <v>0</v>
      </c>
      <c r="AX189" s="448">
        <f t="shared" si="79"/>
        <v>0</v>
      </c>
      <c r="AY189" s="448">
        <f t="shared" si="79"/>
        <v>0</v>
      </c>
      <c r="AZ189" s="448">
        <f t="shared" si="79"/>
        <v>0</v>
      </c>
      <c r="BA189" s="448">
        <f t="shared" si="79"/>
        <v>0</v>
      </c>
      <c r="BB189" s="448">
        <f t="shared" si="79"/>
        <v>0</v>
      </c>
      <c r="BC189" s="1290"/>
      <c r="BD189" s="425"/>
      <c r="BE189" s="425"/>
      <c r="BF189" s="994" t="s">
        <v>667</v>
      </c>
    </row>
    <row r="190" spans="1:58" s="1229" customFormat="1" ht="16.5" customHeight="1">
      <c r="A190" s="983"/>
      <c r="B190" s="783"/>
      <c r="C190" s="1153"/>
      <c r="D190" s="1153"/>
      <c r="E190" s="676">
        <v>17.100000000000001</v>
      </c>
      <c r="F190" s="779" t="str" cm="1">
        <f t="array" aca="1" ref="F190" ca="1">OFFSET(G190,-1,-1)</f>
        <v>2</v>
      </c>
      <c r="G190" s="425"/>
      <c r="H190" s="425"/>
      <c r="I190" s="425"/>
      <c r="J190" s="425"/>
      <c r="K190" s="425"/>
      <c r="L190" s="425"/>
      <c r="M190" s="425"/>
      <c r="N190" s="425"/>
      <c r="O190" s="425"/>
      <c r="P190" s="425"/>
      <c r="Q190" s="425"/>
      <c r="R190" s="425"/>
      <c r="S190" s="425"/>
      <c r="T190" s="687" t="b" cm="1">
        <f t="array" ref="T190">T189</f>
        <v>1</v>
      </c>
      <c r="U190" s="1153"/>
      <c r="V190" s="1153"/>
      <c r="W190" s="1153"/>
      <c r="X190" s="1726"/>
      <c r="Y190" s="1153"/>
      <c r="Z190" s="1726"/>
      <c r="AA190" s="425"/>
      <c r="AB190" s="724" t="str">
        <f>AB189&amp;".1"</f>
        <v>4.1</v>
      </c>
      <c r="AC190" s="469" t="s">
        <v>638</v>
      </c>
      <c r="AD190" s="121" t="s">
        <v>634</v>
      </c>
      <c r="AE190" s="1294"/>
      <c r="AF190" s="1294"/>
      <c r="AG190" s="1294"/>
      <c r="AH190" s="1294"/>
      <c r="AI190" s="416"/>
      <c r="AJ190" s="416"/>
      <c r="AK190" s="416"/>
      <c r="AL190" s="416"/>
      <c r="AM190" s="416"/>
      <c r="AN190" s="1294"/>
      <c r="AO190" s="1294"/>
      <c r="AP190" s="1294"/>
      <c r="AQ190" s="1294"/>
      <c r="AR190" s="1294"/>
      <c r="AS190" s="416"/>
      <c r="AT190" s="416"/>
      <c r="AU190" s="416"/>
      <c r="AV190" s="416"/>
      <c r="AW190" s="416"/>
      <c r="AX190" s="1294"/>
      <c r="AY190" s="1294"/>
      <c r="AZ190" s="1294"/>
      <c r="BA190" s="1294"/>
      <c r="BB190" s="1294"/>
      <c r="BC190" s="1290"/>
      <c r="BD190" s="425"/>
      <c r="BE190" s="425"/>
      <c r="BF190" s="994" t="s">
        <v>668</v>
      </c>
    </row>
    <row r="191" spans="1:58" s="1229" customFormat="1" ht="16.5" customHeight="1">
      <c r="A191" s="983"/>
      <c r="B191" s="783"/>
      <c r="C191" s="1153"/>
      <c r="D191" s="1153"/>
      <c r="E191" s="676">
        <v>17.100000000000001</v>
      </c>
      <c r="F191" s="779" t="str" cm="1">
        <f t="array" aca="1" ref="F191" ca="1">OFFSET(G191,-1,-1)</f>
        <v>2</v>
      </c>
      <c r="G191" s="425"/>
      <c r="H191" s="425"/>
      <c r="I191" s="425"/>
      <c r="J191" s="425"/>
      <c r="K191" s="425"/>
      <c r="L191" s="425"/>
      <c r="M191" s="425"/>
      <c r="N191" s="425"/>
      <c r="O191" s="425"/>
      <c r="P191" s="425"/>
      <c r="Q191" s="425"/>
      <c r="R191" s="425"/>
      <c r="S191" s="425"/>
      <c r="T191" s="687" t="b" cm="1">
        <f t="array" ref="T191">T190</f>
        <v>1</v>
      </c>
      <c r="U191" s="1153"/>
      <c r="V191" s="1153"/>
      <c r="W191" s="1153"/>
      <c r="X191" s="1726"/>
      <c r="Y191" s="1153"/>
      <c r="Z191" s="1726"/>
      <c r="AA191" s="425"/>
      <c r="AB191" s="724" t="str">
        <f>AB189&amp;".2"</f>
        <v>4.2</v>
      </c>
      <c r="AC191" s="469" t="s">
        <v>640</v>
      </c>
      <c r="AD191" s="121" t="s">
        <v>634</v>
      </c>
      <c r="AE191" s="1295"/>
      <c r="AF191" s="1295"/>
      <c r="AG191" s="1295"/>
      <c r="AH191" s="1295"/>
      <c r="AI191" s="474"/>
      <c r="AJ191" s="474"/>
      <c r="AK191" s="474"/>
      <c r="AL191" s="474"/>
      <c r="AM191" s="474"/>
      <c r="AN191" s="1295"/>
      <c r="AO191" s="1295"/>
      <c r="AP191" s="1295"/>
      <c r="AQ191" s="1295"/>
      <c r="AR191" s="1295"/>
      <c r="AS191" s="474"/>
      <c r="AT191" s="474"/>
      <c r="AU191" s="474"/>
      <c r="AV191" s="474"/>
      <c r="AW191" s="474"/>
      <c r="AX191" s="1295"/>
      <c r="AY191" s="1295"/>
      <c r="AZ191" s="1295"/>
      <c r="BA191" s="1295"/>
      <c r="BB191" s="1295"/>
      <c r="BC191" s="1296"/>
      <c r="BD191" s="425"/>
      <c r="BE191" s="425"/>
      <c r="BF191" s="994" t="s">
        <v>669</v>
      </c>
    </row>
    <row r="192" spans="1:58" s="1229" customFormat="1" ht="16.5" customHeight="1">
      <c r="A192" s="983"/>
      <c r="B192" s="783"/>
      <c r="C192" s="1153"/>
      <c r="D192" s="1153"/>
      <c r="E192" s="676">
        <v>17.100000000000001</v>
      </c>
      <c r="F192" s="779" t="str" cm="1">
        <f t="array" aca="1" ref="F192" ca="1">OFFSET(G192,-1,-1)</f>
        <v>2</v>
      </c>
      <c r="G192" s="425"/>
      <c r="H192" s="425"/>
      <c r="I192" s="425"/>
      <c r="J192" s="425"/>
      <c r="K192" s="425"/>
      <c r="L192" s="425"/>
      <c r="M192" s="425"/>
      <c r="N192" s="425"/>
      <c r="O192" s="425"/>
      <c r="P192" s="425"/>
      <c r="Q192" s="425"/>
      <c r="R192" s="425"/>
      <c r="S192" s="425"/>
      <c r="T192" s="687" t="b" cm="1">
        <f t="array" ref="T192">T191</f>
        <v>1</v>
      </c>
      <c r="U192" s="1153"/>
      <c r="V192" s="1153"/>
      <c r="W192" s="1153"/>
      <c r="X192" s="1726"/>
      <c r="Y192" s="1153"/>
      <c r="Z192" s="1726"/>
      <c r="AA192" s="425"/>
      <c r="AB192" s="730" t="s">
        <v>443</v>
      </c>
      <c r="AC192" s="449" t="s">
        <v>670</v>
      </c>
      <c r="AD192" s="351" t="s">
        <v>634</v>
      </c>
      <c r="AE192" s="1291"/>
      <c r="AF192" s="1291"/>
      <c r="AG192" s="1291"/>
      <c r="AH192" s="1291"/>
      <c r="AI192" s="246"/>
      <c r="AJ192" s="246"/>
      <c r="AK192" s="246"/>
      <c r="AL192" s="246"/>
      <c r="AM192" s="246"/>
      <c r="AN192" s="1291"/>
      <c r="AO192" s="1291"/>
      <c r="AP192" s="1291"/>
      <c r="AQ192" s="1291"/>
      <c r="AR192" s="1291"/>
      <c r="AS192" s="246"/>
      <c r="AT192" s="246"/>
      <c r="AU192" s="246"/>
      <c r="AV192" s="246"/>
      <c r="AW192" s="246"/>
      <c r="AX192" s="1291"/>
      <c r="AY192" s="1291"/>
      <c r="AZ192" s="1291"/>
      <c r="BA192" s="1291"/>
      <c r="BB192" s="1291"/>
      <c r="BC192" s="1297"/>
      <c r="BD192" s="425"/>
      <c r="BE192" s="425"/>
      <c r="BF192" s="994" t="s">
        <v>671</v>
      </c>
    </row>
    <row r="193" spans="1:58" s="1229" customFormat="1" ht="16.5" customHeight="1">
      <c r="A193" s="983"/>
      <c r="B193" s="783"/>
      <c r="C193" s="1153"/>
      <c r="D193" s="1153"/>
      <c r="E193" s="676">
        <v>17.100000000000001</v>
      </c>
      <c r="F193" s="779" t="str" cm="1">
        <f t="array" aca="1" ref="F193" ca="1">OFFSET(G193,-1,-1)</f>
        <v>2</v>
      </c>
      <c r="G193" s="425"/>
      <c r="H193" s="425"/>
      <c r="I193" s="425"/>
      <c r="J193" s="425"/>
      <c r="K193" s="425"/>
      <c r="L193" s="425"/>
      <c r="M193" s="425"/>
      <c r="N193" s="425"/>
      <c r="O193" s="425"/>
      <c r="P193" s="425"/>
      <c r="Q193" s="425"/>
      <c r="R193" s="425"/>
      <c r="S193" s="425"/>
      <c r="T193" s="687" t="b" cm="1">
        <f t="array" ref="T193">T192</f>
        <v>1</v>
      </c>
      <c r="U193" s="1153"/>
      <c r="V193" s="1153"/>
      <c r="W193" s="1153"/>
      <c r="X193" s="1726"/>
      <c r="Y193" s="1153"/>
      <c r="Z193" s="1726"/>
      <c r="AA193" s="425"/>
      <c r="AB193" s="731" t="s">
        <v>448</v>
      </c>
      <c r="AC193" s="413" t="s">
        <v>672</v>
      </c>
      <c r="AD193" s="351" t="s">
        <v>634</v>
      </c>
      <c r="AE193" s="311">
        <f t="shared" ref="AE193:BB193" si="80">AE181-AE192</f>
        <v>0</v>
      </c>
      <c r="AF193" s="311">
        <f t="shared" si="80"/>
        <v>0</v>
      </c>
      <c r="AG193" s="311">
        <f t="shared" si="80"/>
        <v>0</v>
      </c>
      <c r="AH193" s="311">
        <f t="shared" si="80"/>
        <v>134025</v>
      </c>
      <c r="AI193" s="311">
        <f t="shared" si="80"/>
        <v>0</v>
      </c>
      <c r="AJ193" s="311">
        <f t="shared" si="80"/>
        <v>0</v>
      </c>
      <c r="AK193" s="311">
        <f t="shared" si="80"/>
        <v>0</v>
      </c>
      <c r="AL193" s="311">
        <f t="shared" si="80"/>
        <v>0</v>
      </c>
      <c r="AM193" s="311">
        <f t="shared" si="80"/>
        <v>0</v>
      </c>
      <c r="AN193" s="311">
        <f t="shared" si="80"/>
        <v>0</v>
      </c>
      <c r="AO193" s="311">
        <f t="shared" si="80"/>
        <v>0</v>
      </c>
      <c r="AP193" s="311">
        <f t="shared" si="80"/>
        <v>0</v>
      </c>
      <c r="AQ193" s="311">
        <f t="shared" si="80"/>
        <v>0</v>
      </c>
      <c r="AR193" s="311">
        <f t="shared" si="80"/>
        <v>0</v>
      </c>
      <c r="AS193" s="311">
        <f t="shared" si="80"/>
        <v>134025</v>
      </c>
      <c r="AT193" s="311">
        <f t="shared" si="80"/>
        <v>0</v>
      </c>
      <c r="AU193" s="311">
        <f t="shared" si="80"/>
        <v>0</v>
      </c>
      <c r="AV193" s="311">
        <f t="shared" si="80"/>
        <v>0</v>
      </c>
      <c r="AW193" s="311">
        <f t="shared" si="80"/>
        <v>0</v>
      </c>
      <c r="AX193" s="311">
        <f t="shared" si="80"/>
        <v>0</v>
      </c>
      <c r="AY193" s="311">
        <f t="shared" si="80"/>
        <v>0</v>
      </c>
      <c r="AZ193" s="311">
        <f t="shared" si="80"/>
        <v>0</v>
      </c>
      <c r="BA193" s="311">
        <f t="shared" si="80"/>
        <v>0</v>
      </c>
      <c r="BB193" s="311">
        <f t="shared" si="80"/>
        <v>0</v>
      </c>
      <c r="BC193" s="1297"/>
      <c r="BD193" s="425"/>
      <c r="BE193" s="425"/>
      <c r="BF193" s="994" t="s">
        <v>673</v>
      </c>
    </row>
    <row r="194" spans="1:58" s="1229" customFormat="1" ht="16.5" customHeight="1">
      <c r="A194" s="983"/>
      <c r="B194" s="783"/>
      <c r="C194" s="1153"/>
      <c r="D194" s="1153"/>
      <c r="E194" s="676">
        <v>17.100000000000001</v>
      </c>
      <c r="F194" s="779" t="str" cm="1">
        <f t="array" aca="1" ref="F194" ca="1">OFFSET(G194,-1,-1)</f>
        <v>2</v>
      </c>
      <c r="G194" s="425"/>
      <c r="H194" s="425"/>
      <c r="I194" s="425"/>
      <c r="J194" s="425"/>
      <c r="K194" s="425"/>
      <c r="L194" s="425"/>
      <c r="M194" s="425"/>
      <c r="N194" s="425"/>
      <c r="O194" s="425"/>
      <c r="P194" s="425"/>
      <c r="Q194" s="425"/>
      <c r="R194" s="425"/>
      <c r="S194" s="425"/>
      <c r="T194" s="687" t="b" cm="1">
        <f t="array" ref="T194">T193</f>
        <v>1</v>
      </c>
      <c r="U194" s="1153"/>
      <c r="V194" s="1153"/>
      <c r="W194" s="1153"/>
      <c r="X194" s="1726"/>
      <c r="Y194" s="1153"/>
      <c r="Z194" s="1726"/>
      <c r="AA194" s="425"/>
      <c r="AB194" s="724" t="str">
        <f>AB193&amp;".1"</f>
        <v>6.1</v>
      </c>
      <c r="AC194" s="469" t="s">
        <v>638</v>
      </c>
      <c r="AD194" s="351" t="s">
        <v>634</v>
      </c>
      <c r="AE194" s="311">
        <f t="shared" ref="AE194:BB194" si="81">AE193-AE202</f>
        <v>0</v>
      </c>
      <c r="AF194" s="311">
        <f t="shared" si="81"/>
        <v>0</v>
      </c>
      <c r="AG194" s="311">
        <f t="shared" si="81"/>
        <v>0</v>
      </c>
      <c r="AH194" s="311">
        <f t="shared" si="81"/>
        <v>126588</v>
      </c>
      <c r="AI194" s="311">
        <f t="shared" si="81"/>
        <v>0</v>
      </c>
      <c r="AJ194" s="311">
        <f t="shared" si="81"/>
        <v>0</v>
      </c>
      <c r="AK194" s="311">
        <f t="shared" si="81"/>
        <v>0</v>
      </c>
      <c r="AL194" s="311">
        <f t="shared" si="81"/>
        <v>0</v>
      </c>
      <c r="AM194" s="311">
        <f t="shared" si="81"/>
        <v>0</v>
      </c>
      <c r="AN194" s="311">
        <f t="shared" si="81"/>
        <v>0</v>
      </c>
      <c r="AO194" s="311">
        <f t="shared" si="81"/>
        <v>0</v>
      </c>
      <c r="AP194" s="311">
        <f t="shared" si="81"/>
        <v>0</v>
      </c>
      <c r="AQ194" s="311">
        <f t="shared" si="81"/>
        <v>0</v>
      </c>
      <c r="AR194" s="311">
        <f t="shared" si="81"/>
        <v>0</v>
      </c>
      <c r="AS194" s="311">
        <f t="shared" si="81"/>
        <v>127065.11</v>
      </c>
      <c r="AT194" s="311">
        <f t="shared" si="81"/>
        <v>0</v>
      </c>
      <c r="AU194" s="311">
        <f t="shared" si="81"/>
        <v>0</v>
      </c>
      <c r="AV194" s="311">
        <f t="shared" si="81"/>
        <v>0</v>
      </c>
      <c r="AW194" s="311">
        <f t="shared" si="81"/>
        <v>0</v>
      </c>
      <c r="AX194" s="311">
        <f t="shared" si="81"/>
        <v>0</v>
      </c>
      <c r="AY194" s="311">
        <f t="shared" si="81"/>
        <v>0</v>
      </c>
      <c r="AZ194" s="311">
        <f t="shared" si="81"/>
        <v>0</v>
      </c>
      <c r="BA194" s="311">
        <f t="shared" si="81"/>
        <v>0</v>
      </c>
      <c r="BB194" s="311">
        <f t="shared" si="81"/>
        <v>0</v>
      </c>
      <c r="BC194" s="1297"/>
      <c r="BD194" s="425"/>
      <c r="BE194" s="425"/>
      <c r="BF194" s="994" t="s">
        <v>674</v>
      </c>
    </row>
    <row r="195" spans="1:58" s="1229" customFormat="1" ht="16.5" customHeight="1">
      <c r="A195" s="983"/>
      <c r="B195" s="783"/>
      <c r="C195" s="1153"/>
      <c r="D195" s="1153"/>
      <c r="E195" s="676">
        <v>17.100000000000001</v>
      </c>
      <c r="F195" s="779" t="str" cm="1">
        <f t="array" aca="1" ref="F195" ca="1">OFFSET(G195,-1,-1)</f>
        <v>2</v>
      </c>
      <c r="G195" s="425"/>
      <c r="H195" s="425"/>
      <c r="I195" s="425"/>
      <c r="J195" s="425"/>
      <c r="K195" s="425"/>
      <c r="L195" s="425"/>
      <c r="M195" s="425"/>
      <c r="N195" s="425"/>
      <c r="O195" s="425"/>
      <c r="P195" s="425"/>
      <c r="Q195" s="425"/>
      <c r="R195" s="425"/>
      <c r="S195" s="425"/>
      <c r="T195" s="687" t="b" cm="1">
        <f t="array" ref="T195">T194</f>
        <v>1</v>
      </c>
      <c r="U195" s="1153"/>
      <c r="V195" s="1153"/>
      <c r="W195" s="1153"/>
      <c r="X195" s="1726"/>
      <c r="Y195" s="1153"/>
      <c r="Z195" s="1726"/>
      <c r="AA195" s="425"/>
      <c r="AB195" s="724" t="str">
        <f>AB194&amp;".1"</f>
        <v>6.1.1</v>
      </c>
      <c r="AC195" s="572" t="s">
        <v>675</v>
      </c>
      <c r="AD195" s="121" t="s">
        <v>634</v>
      </c>
      <c r="AE195" s="1291"/>
      <c r="AF195" s="1291"/>
      <c r="AG195" s="1291"/>
      <c r="AH195" s="1291"/>
      <c r="AI195" s="246"/>
      <c r="AJ195" s="246"/>
      <c r="AK195" s="246"/>
      <c r="AL195" s="246"/>
      <c r="AM195" s="246"/>
      <c r="AN195" s="1291"/>
      <c r="AO195" s="1291"/>
      <c r="AP195" s="1291"/>
      <c r="AQ195" s="1291"/>
      <c r="AR195" s="1291"/>
      <c r="AS195" s="246"/>
      <c r="AT195" s="246"/>
      <c r="AU195" s="246"/>
      <c r="AV195" s="246"/>
      <c r="AW195" s="246"/>
      <c r="AX195" s="1291"/>
      <c r="AY195" s="1291"/>
      <c r="AZ195" s="1291"/>
      <c r="BA195" s="1291"/>
      <c r="BB195" s="1291"/>
      <c r="BC195" s="1297"/>
      <c r="BD195" s="425"/>
      <c r="BE195" s="425"/>
      <c r="BF195" s="994" t="s">
        <v>676</v>
      </c>
    </row>
    <row r="196" spans="1:58" s="1229" customFormat="1" ht="16.5" customHeight="1">
      <c r="A196" s="983"/>
      <c r="B196" s="783"/>
      <c r="C196" s="1153"/>
      <c r="D196" s="1153"/>
      <c r="E196" s="676">
        <v>17.100000000000001</v>
      </c>
      <c r="F196" s="779" t="str" cm="1">
        <f t="array" aca="1" ref="F196" ca="1">OFFSET(G196,-1,-1)</f>
        <v>2</v>
      </c>
      <c r="G196" s="425"/>
      <c r="H196" s="425"/>
      <c r="I196" s="425"/>
      <c r="J196" s="425"/>
      <c r="K196" s="425"/>
      <c r="L196" s="425"/>
      <c r="M196" s="425"/>
      <c r="N196" s="425"/>
      <c r="O196" s="425"/>
      <c r="P196" s="425"/>
      <c r="Q196" s="425"/>
      <c r="R196" s="425"/>
      <c r="S196" s="425"/>
      <c r="T196" s="687" t="b" cm="1">
        <f t="array" ref="T196">T195</f>
        <v>1</v>
      </c>
      <c r="U196" s="1153"/>
      <c r="V196" s="1153"/>
      <c r="W196" s="1153"/>
      <c r="X196" s="1726"/>
      <c r="Y196" s="1153"/>
      <c r="Z196" s="1726"/>
      <c r="AA196" s="425"/>
      <c r="AB196" s="724" t="str">
        <f>AB194&amp;".2"</f>
        <v>6.1.2</v>
      </c>
      <c r="AC196" s="573" t="s">
        <v>677</v>
      </c>
      <c r="AD196" s="121" t="s">
        <v>634</v>
      </c>
      <c r="AE196" s="1291">
        <f t="shared" ref="AE196:BB196" si="82">SUM(AE197:AE200)</f>
        <v>0</v>
      </c>
      <c r="AF196" s="1291">
        <f t="shared" si="82"/>
        <v>0</v>
      </c>
      <c r="AG196" s="1291">
        <f t="shared" si="82"/>
        <v>0</v>
      </c>
      <c r="AH196" s="1291">
        <f t="shared" si="82"/>
        <v>0</v>
      </c>
      <c r="AI196" s="246">
        <f t="shared" si="82"/>
        <v>0</v>
      </c>
      <c r="AJ196" s="246">
        <f t="shared" si="82"/>
        <v>0</v>
      </c>
      <c r="AK196" s="246">
        <f t="shared" si="82"/>
        <v>0</v>
      </c>
      <c r="AL196" s="246">
        <f t="shared" si="82"/>
        <v>0</v>
      </c>
      <c r="AM196" s="246">
        <f t="shared" si="82"/>
        <v>0</v>
      </c>
      <c r="AN196" s="1291">
        <f t="shared" si="82"/>
        <v>0</v>
      </c>
      <c r="AO196" s="1291">
        <f t="shared" si="82"/>
        <v>0</v>
      </c>
      <c r="AP196" s="1291">
        <f t="shared" si="82"/>
        <v>0</v>
      </c>
      <c r="AQ196" s="1291">
        <f t="shared" si="82"/>
        <v>0</v>
      </c>
      <c r="AR196" s="1291">
        <f t="shared" si="82"/>
        <v>0</v>
      </c>
      <c r="AS196" s="246">
        <f t="shared" si="82"/>
        <v>0</v>
      </c>
      <c r="AT196" s="246">
        <f t="shared" si="82"/>
        <v>0</v>
      </c>
      <c r="AU196" s="246">
        <f t="shared" si="82"/>
        <v>0</v>
      </c>
      <c r="AV196" s="246">
        <f t="shared" si="82"/>
        <v>0</v>
      </c>
      <c r="AW196" s="246">
        <f t="shared" si="82"/>
        <v>0</v>
      </c>
      <c r="AX196" s="1291">
        <f t="shared" si="82"/>
        <v>0</v>
      </c>
      <c r="AY196" s="1291">
        <f t="shared" si="82"/>
        <v>0</v>
      </c>
      <c r="AZ196" s="1291">
        <f t="shared" si="82"/>
        <v>0</v>
      </c>
      <c r="BA196" s="1291">
        <f t="shared" si="82"/>
        <v>0</v>
      </c>
      <c r="BB196" s="1291">
        <f t="shared" si="82"/>
        <v>0</v>
      </c>
      <c r="BC196" s="1297"/>
      <c r="BD196" s="425"/>
      <c r="BE196" s="425"/>
      <c r="BF196" s="994" t="s">
        <v>678</v>
      </c>
    </row>
    <row r="197" spans="1:58" s="1229" customFormat="1" ht="16.5" customHeight="1">
      <c r="A197" s="983"/>
      <c r="B197" s="783"/>
      <c r="C197" s="1153"/>
      <c r="D197" s="1153"/>
      <c r="E197" s="676">
        <v>17.100000000000001</v>
      </c>
      <c r="F197" s="779" t="str" cm="1">
        <f t="array" aca="1" ref="F197" ca="1">OFFSET(G197,-1,-1)</f>
        <v>2</v>
      </c>
      <c r="G197" s="425"/>
      <c r="H197" s="425"/>
      <c r="I197" s="425"/>
      <c r="J197" s="425"/>
      <c r="K197" s="425"/>
      <c r="L197" s="425"/>
      <c r="M197" s="425"/>
      <c r="N197" s="425"/>
      <c r="O197" s="425"/>
      <c r="P197" s="425"/>
      <c r="Q197" s="425"/>
      <c r="R197" s="425"/>
      <c r="S197" s="425"/>
      <c r="T197" s="687" t="b" cm="1">
        <f t="array" ref="T197">T196</f>
        <v>1</v>
      </c>
      <c r="U197" s="1153"/>
      <c r="V197" s="1153"/>
      <c r="W197" s="1153"/>
      <c r="X197" s="1726"/>
      <c r="Y197" s="1153"/>
      <c r="Z197" s="1726"/>
      <c r="AA197" s="425"/>
      <c r="AB197" s="724" t="str">
        <f>AB196&amp;".1"</f>
        <v>6.1.2.1</v>
      </c>
      <c r="AC197" s="574" t="s">
        <v>679</v>
      </c>
      <c r="AD197" s="351" t="s">
        <v>634</v>
      </c>
      <c r="AE197" s="1291"/>
      <c r="AF197" s="1291"/>
      <c r="AG197" s="1291"/>
      <c r="AH197" s="1291"/>
      <c r="AI197" s="246"/>
      <c r="AJ197" s="246"/>
      <c r="AK197" s="246"/>
      <c r="AL197" s="246"/>
      <c r="AM197" s="246"/>
      <c r="AN197" s="1291"/>
      <c r="AO197" s="1291"/>
      <c r="AP197" s="1291"/>
      <c r="AQ197" s="1291"/>
      <c r="AR197" s="1291"/>
      <c r="AS197" s="246"/>
      <c r="AT197" s="246"/>
      <c r="AU197" s="246"/>
      <c r="AV197" s="246"/>
      <c r="AW197" s="246"/>
      <c r="AX197" s="1291"/>
      <c r="AY197" s="1291"/>
      <c r="AZ197" s="1291"/>
      <c r="BA197" s="1291"/>
      <c r="BB197" s="1291"/>
      <c r="BC197" s="1297"/>
      <c r="BD197" s="425"/>
      <c r="BE197" s="425"/>
      <c r="BF197" s="994" t="s">
        <v>680</v>
      </c>
    </row>
    <row r="198" spans="1:58" s="1229" customFormat="1" ht="16.5" customHeight="1">
      <c r="A198" s="983"/>
      <c r="B198" s="783"/>
      <c r="C198" s="1153"/>
      <c r="D198" s="1153"/>
      <c r="E198" s="676">
        <v>17.100000000000001</v>
      </c>
      <c r="F198" s="779" t="str" cm="1">
        <f t="array" aca="1" ref="F198" ca="1">OFFSET(G198,-1,-1)</f>
        <v>2</v>
      </c>
      <c r="G198" s="425"/>
      <c r="H198" s="425"/>
      <c r="I198" s="425"/>
      <c r="J198" s="425"/>
      <c r="K198" s="425"/>
      <c r="L198" s="425"/>
      <c r="M198" s="425"/>
      <c r="N198" s="425"/>
      <c r="O198" s="425"/>
      <c r="P198" s="425"/>
      <c r="Q198" s="425"/>
      <c r="R198" s="425"/>
      <c r="S198" s="425"/>
      <c r="T198" s="687" t="b" cm="1">
        <f t="array" ref="T198">T197</f>
        <v>1</v>
      </c>
      <c r="U198" s="1153"/>
      <c r="V198" s="1153"/>
      <c r="W198" s="1153"/>
      <c r="X198" s="1726"/>
      <c r="Y198" s="1153"/>
      <c r="Z198" s="1726"/>
      <c r="AA198" s="425"/>
      <c r="AB198" s="724" t="str">
        <f>AB196&amp;".2"</f>
        <v>6.1.2.2</v>
      </c>
      <c r="AC198" s="575" t="s">
        <v>681</v>
      </c>
      <c r="AD198" s="121" t="s">
        <v>634</v>
      </c>
      <c r="AE198" s="1291"/>
      <c r="AF198" s="1291"/>
      <c r="AG198" s="1291"/>
      <c r="AH198" s="1291"/>
      <c r="AI198" s="246"/>
      <c r="AJ198" s="246"/>
      <c r="AK198" s="246"/>
      <c r="AL198" s="246"/>
      <c r="AM198" s="246"/>
      <c r="AN198" s="1291"/>
      <c r="AO198" s="1291"/>
      <c r="AP198" s="1291"/>
      <c r="AQ198" s="1291"/>
      <c r="AR198" s="1291"/>
      <c r="AS198" s="246"/>
      <c r="AT198" s="246"/>
      <c r="AU198" s="246"/>
      <c r="AV198" s="246"/>
      <c r="AW198" s="246"/>
      <c r="AX198" s="1291"/>
      <c r="AY198" s="1291"/>
      <c r="AZ198" s="1291"/>
      <c r="BA198" s="1291"/>
      <c r="BB198" s="1291"/>
      <c r="BC198" s="1297"/>
      <c r="BD198" s="425"/>
      <c r="BE198" s="425"/>
      <c r="BF198" s="994" t="s">
        <v>682</v>
      </c>
    </row>
    <row r="199" spans="1:58" s="1229" customFormat="1" ht="16.5" customHeight="1">
      <c r="A199" s="983"/>
      <c r="B199" s="783"/>
      <c r="C199" s="1153"/>
      <c r="D199" s="1153"/>
      <c r="E199" s="676">
        <v>17.100000000000001</v>
      </c>
      <c r="F199" s="779" t="str" cm="1">
        <f t="array" aca="1" ref="F199" ca="1">OFFSET(G199,-1,-1)</f>
        <v>2</v>
      </c>
      <c r="G199" s="425"/>
      <c r="H199" s="425"/>
      <c r="I199" s="425"/>
      <c r="J199" s="425"/>
      <c r="K199" s="425"/>
      <c r="L199" s="425"/>
      <c r="M199" s="425"/>
      <c r="N199" s="425"/>
      <c r="O199" s="425"/>
      <c r="P199" s="425"/>
      <c r="Q199" s="425"/>
      <c r="R199" s="425"/>
      <c r="S199" s="425"/>
      <c r="T199" s="687" t="b" cm="1">
        <f t="array" ref="T199">T198</f>
        <v>1</v>
      </c>
      <c r="U199" s="1153"/>
      <c r="V199" s="1153"/>
      <c r="W199" s="1153"/>
      <c r="X199" s="1726"/>
      <c r="Y199" s="1153"/>
      <c r="Z199" s="1726"/>
      <c r="AA199" s="425"/>
      <c r="AB199" s="724" t="str">
        <f>AB196&amp;".3"</f>
        <v>6.1.2.3</v>
      </c>
      <c r="AC199" s="575" t="s">
        <v>683</v>
      </c>
      <c r="AD199" s="121" t="s">
        <v>634</v>
      </c>
      <c r="AE199" s="1291"/>
      <c r="AF199" s="1291"/>
      <c r="AG199" s="1291"/>
      <c r="AH199" s="1291"/>
      <c r="AI199" s="246"/>
      <c r="AJ199" s="246"/>
      <c r="AK199" s="246"/>
      <c r="AL199" s="246"/>
      <c r="AM199" s="246"/>
      <c r="AN199" s="1291"/>
      <c r="AO199" s="1291"/>
      <c r="AP199" s="1291"/>
      <c r="AQ199" s="1291"/>
      <c r="AR199" s="1291"/>
      <c r="AS199" s="246"/>
      <c r="AT199" s="246"/>
      <c r="AU199" s="246"/>
      <c r="AV199" s="246"/>
      <c r="AW199" s="246"/>
      <c r="AX199" s="1291"/>
      <c r="AY199" s="1291"/>
      <c r="AZ199" s="1291"/>
      <c r="BA199" s="1291"/>
      <c r="BB199" s="1291"/>
      <c r="BC199" s="1297"/>
      <c r="BD199" s="425"/>
      <c r="BE199" s="425"/>
      <c r="BF199" s="994" t="s">
        <v>684</v>
      </c>
    </row>
    <row r="200" spans="1:58" s="1229" customFormat="1" ht="16.5" customHeight="1">
      <c r="A200" s="983"/>
      <c r="B200" s="783"/>
      <c r="C200" s="1153"/>
      <c r="D200" s="1153"/>
      <c r="E200" s="676">
        <v>17.100000000000001</v>
      </c>
      <c r="F200" s="779" t="str" cm="1">
        <f t="array" aca="1" ref="F200" ca="1">OFFSET(G200,-1,-1)</f>
        <v>2</v>
      </c>
      <c r="G200" s="425"/>
      <c r="H200" s="425"/>
      <c r="I200" s="425"/>
      <c r="J200" s="425"/>
      <c r="K200" s="425"/>
      <c r="L200" s="425"/>
      <c r="M200" s="425"/>
      <c r="N200" s="425"/>
      <c r="O200" s="425"/>
      <c r="P200" s="425"/>
      <c r="Q200" s="425"/>
      <c r="R200" s="425"/>
      <c r="S200" s="425"/>
      <c r="T200" s="687" t="b" cm="1">
        <f t="array" ref="T200">T199</f>
        <v>1</v>
      </c>
      <c r="U200" s="1153"/>
      <c r="V200" s="1153"/>
      <c r="W200" s="1153"/>
      <c r="X200" s="1726"/>
      <c r="Y200" s="1153"/>
      <c r="Z200" s="1726"/>
      <c r="AA200" s="425"/>
      <c r="AB200" s="724" t="str">
        <f>AB196&amp;".4"</f>
        <v>6.1.2.4</v>
      </c>
      <c r="AC200" s="575" t="s">
        <v>685</v>
      </c>
      <c r="AD200" s="351" t="s">
        <v>634</v>
      </c>
      <c r="AE200" s="1291"/>
      <c r="AF200" s="1291"/>
      <c r="AG200" s="1291"/>
      <c r="AH200" s="1291"/>
      <c r="AI200" s="246"/>
      <c r="AJ200" s="246"/>
      <c r="AK200" s="246"/>
      <c r="AL200" s="246"/>
      <c r="AM200" s="246"/>
      <c r="AN200" s="1291"/>
      <c r="AO200" s="1291"/>
      <c r="AP200" s="1291"/>
      <c r="AQ200" s="1291"/>
      <c r="AR200" s="1291"/>
      <c r="AS200" s="246"/>
      <c r="AT200" s="246"/>
      <c r="AU200" s="246"/>
      <c r="AV200" s="246"/>
      <c r="AW200" s="246"/>
      <c r="AX200" s="1291"/>
      <c r="AY200" s="1291"/>
      <c r="AZ200" s="1291"/>
      <c r="BA200" s="1291"/>
      <c r="BB200" s="1291"/>
      <c r="BC200" s="1297"/>
      <c r="BD200" s="425"/>
      <c r="BE200" s="425"/>
      <c r="BF200" s="994" t="s">
        <v>686</v>
      </c>
    </row>
    <row r="201" spans="1:58" s="1229" customFormat="1" ht="16.5" customHeight="1">
      <c r="A201" s="983"/>
      <c r="B201" s="783"/>
      <c r="C201" s="1153"/>
      <c r="D201" s="1153"/>
      <c r="E201" s="676">
        <v>17.100000000000001</v>
      </c>
      <c r="F201" s="779" t="str" cm="1">
        <f t="array" aca="1" ref="F201" ca="1">OFFSET(G201,-1,-1)</f>
        <v>2</v>
      </c>
      <c r="G201" s="425"/>
      <c r="H201" s="425"/>
      <c r="I201" s="425"/>
      <c r="J201" s="425"/>
      <c r="K201" s="425"/>
      <c r="L201" s="425"/>
      <c r="M201" s="425"/>
      <c r="N201" s="425"/>
      <c r="O201" s="425"/>
      <c r="P201" s="425"/>
      <c r="Q201" s="425"/>
      <c r="R201" s="425"/>
      <c r="S201" s="425"/>
      <c r="T201" s="687" t="b" cm="1">
        <f t="array" ref="T201">T200</f>
        <v>1</v>
      </c>
      <c r="U201" s="1153"/>
      <c r="V201" s="1153"/>
      <c r="W201" s="1153"/>
      <c r="X201" s="1726"/>
      <c r="Y201" s="1153"/>
      <c r="Z201" s="1726"/>
      <c r="AA201" s="425"/>
      <c r="AB201" s="724" t="str">
        <f>AB194&amp;".3"</f>
        <v>6.1.3</v>
      </c>
      <c r="AC201" s="914" t="s">
        <v>687</v>
      </c>
      <c r="AD201" s="351" t="s">
        <v>634</v>
      </c>
      <c r="AE201" s="1291">
        <f t="shared" ref="AE201:BB201" si="83">AE194-AE195-AE196</f>
        <v>0</v>
      </c>
      <c r="AF201" s="1291">
        <f t="shared" si="83"/>
        <v>0</v>
      </c>
      <c r="AG201" s="1291">
        <f t="shared" si="83"/>
        <v>0</v>
      </c>
      <c r="AH201" s="1291">
        <f t="shared" si="83"/>
        <v>126588</v>
      </c>
      <c r="AI201" s="246">
        <f t="shared" si="83"/>
        <v>0</v>
      </c>
      <c r="AJ201" s="246">
        <f t="shared" si="83"/>
        <v>0</v>
      </c>
      <c r="AK201" s="246">
        <f t="shared" si="83"/>
        <v>0</v>
      </c>
      <c r="AL201" s="246">
        <f t="shared" si="83"/>
        <v>0</v>
      </c>
      <c r="AM201" s="246">
        <f t="shared" si="83"/>
        <v>0</v>
      </c>
      <c r="AN201" s="1291">
        <f t="shared" si="83"/>
        <v>0</v>
      </c>
      <c r="AO201" s="1291">
        <f t="shared" si="83"/>
        <v>0</v>
      </c>
      <c r="AP201" s="1291">
        <f t="shared" si="83"/>
        <v>0</v>
      </c>
      <c r="AQ201" s="1291">
        <f t="shared" si="83"/>
        <v>0</v>
      </c>
      <c r="AR201" s="1291">
        <f t="shared" si="83"/>
        <v>0</v>
      </c>
      <c r="AS201" s="246">
        <f t="shared" si="83"/>
        <v>127065.11</v>
      </c>
      <c r="AT201" s="246">
        <f t="shared" si="83"/>
        <v>0</v>
      </c>
      <c r="AU201" s="246">
        <f t="shared" si="83"/>
        <v>0</v>
      </c>
      <c r="AV201" s="246">
        <f t="shared" si="83"/>
        <v>0</v>
      </c>
      <c r="AW201" s="246">
        <f t="shared" si="83"/>
        <v>0</v>
      </c>
      <c r="AX201" s="1291">
        <f t="shared" si="83"/>
        <v>0</v>
      </c>
      <c r="AY201" s="1291">
        <f t="shared" si="83"/>
        <v>0</v>
      </c>
      <c r="AZ201" s="1291">
        <f t="shared" si="83"/>
        <v>0</v>
      </c>
      <c r="BA201" s="1291">
        <f t="shared" si="83"/>
        <v>0</v>
      </c>
      <c r="BB201" s="1291">
        <f t="shared" si="83"/>
        <v>0</v>
      </c>
      <c r="BC201" s="1297"/>
      <c r="BD201" s="425"/>
      <c r="BE201" s="425"/>
      <c r="BF201" s="994" t="s">
        <v>688</v>
      </c>
    </row>
    <row r="202" spans="1:58" s="1229" customFormat="1" ht="16.5" customHeight="1">
      <c r="A202" s="983"/>
      <c r="B202" s="783"/>
      <c r="C202" s="1153"/>
      <c r="D202" s="1153"/>
      <c r="E202" s="676">
        <v>17.100000000000001</v>
      </c>
      <c r="F202" s="779" t="str" cm="1">
        <f t="array" aca="1" ref="F202" ca="1">OFFSET(G202,-1,-1)</f>
        <v>2</v>
      </c>
      <c r="G202" s="425"/>
      <c r="H202" s="425"/>
      <c r="I202" s="425"/>
      <c r="J202" s="425"/>
      <c r="K202" s="425"/>
      <c r="L202" s="425"/>
      <c r="M202" s="425"/>
      <c r="N202" s="425"/>
      <c r="O202" s="425"/>
      <c r="P202" s="425"/>
      <c r="Q202" s="425"/>
      <c r="R202" s="425"/>
      <c r="S202" s="425"/>
      <c r="T202" s="687" t="b" cm="1">
        <f t="array" ref="T202">T201</f>
        <v>1</v>
      </c>
      <c r="U202" s="1153"/>
      <c r="V202" s="1153"/>
      <c r="W202" s="1153"/>
      <c r="X202" s="1726"/>
      <c r="Y202" s="1153"/>
      <c r="Z202" s="1726"/>
      <c r="AA202" s="425"/>
      <c r="AB202" s="724" t="str">
        <f>AB193&amp;".2"</f>
        <v>6.2</v>
      </c>
      <c r="AC202" s="469" t="s">
        <v>640</v>
      </c>
      <c r="AD202" s="351" t="s">
        <v>634</v>
      </c>
      <c r="AE202" s="1291"/>
      <c r="AF202" s="1291"/>
      <c r="AG202" s="1291"/>
      <c r="AH202" s="1291">
        <v>7437</v>
      </c>
      <c r="AI202" s="246"/>
      <c r="AJ202" s="246"/>
      <c r="AK202" s="246"/>
      <c r="AL202" s="246"/>
      <c r="AM202" s="246"/>
      <c r="AN202" s="1291"/>
      <c r="AO202" s="1291"/>
      <c r="AP202" s="1291"/>
      <c r="AQ202" s="1291"/>
      <c r="AR202" s="1291"/>
      <c r="AS202" s="246">
        <v>6959.89</v>
      </c>
      <c r="AT202" s="246"/>
      <c r="AU202" s="246"/>
      <c r="AV202" s="246"/>
      <c r="AW202" s="246"/>
      <c r="AX202" s="1291"/>
      <c r="AY202" s="1291"/>
      <c r="AZ202" s="1291"/>
      <c r="BA202" s="1291"/>
      <c r="BB202" s="1291"/>
      <c r="BC202" s="1297"/>
      <c r="BD202" s="425"/>
      <c r="BE202" s="425"/>
      <c r="BF202" s="994" t="s">
        <v>689</v>
      </c>
    </row>
    <row r="203" spans="1:58" s="1229" customFormat="1" ht="16.5" customHeight="1">
      <c r="A203" s="983"/>
      <c r="B203" s="783"/>
      <c r="C203" s="1153"/>
      <c r="D203" s="1153"/>
      <c r="E203" s="676">
        <v>17.100000000000001</v>
      </c>
      <c r="F203" s="779" t="str" cm="1">
        <f t="array" aca="1" ref="F203" ca="1">OFFSET(G203,-1,-1)</f>
        <v>2</v>
      </c>
      <c r="G203" s="425"/>
      <c r="H203" s="425"/>
      <c r="I203" s="425"/>
      <c r="J203" s="425"/>
      <c r="K203" s="425"/>
      <c r="L203" s="425"/>
      <c r="M203" s="425"/>
      <c r="N203" s="425"/>
      <c r="O203" s="425"/>
      <c r="P203" s="425"/>
      <c r="Q203" s="425"/>
      <c r="R203" s="425"/>
      <c r="S203" s="425"/>
      <c r="T203" s="687" t="b" cm="1">
        <f t="array" ref="T203">T202</f>
        <v>1</v>
      </c>
      <c r="U203" s="1153"/>
      <c r="V203" s="1153"/>
      <c r="W203" s="1153"/>
      <c r="X203" s="1726"/>
      <c r="Y203" s="1153"/>
      <c r="Z203" s="1726"/>
      <c r="AA203" s="425"/>
      <c r="AB203" s="475" t="s">
        <v>451</v>
      </c>
      <c r="AC203" s="476" t="s">
        <v>690</v>
      </c>
      <c r="AD203" s="351" t="s">
        <v>634</v>
      </c>
      <c r="AE203" s="311">
        <f t="shared" ref="AE203:BB203" si="84">SUM(AE204:AE205)</f>
        <v>0</v>
      </c>
      <c r="AF203" s="311">
        <f t="shared" si="84"/>
        <v>0</v>
      </c>
      <c r="AG203" s="311">
        <f t="shared" si="84"/>
        <v>0</v>
      </c>
      <c r="AH203" s="311">
        <f t="shared" si="84"/>
        <v>134025</v>
      </c>
      <c r="AI203" s="311">
        <f t="shared" si="84"/>
        <v>0</v>
      </c>
      <c r="AJ203" s="311">
        <f t="shared" si="84"/>
        <v>0</v>
      </c>
      <c r="AK203" s="311">
        <f t="shared" si="84"/>
        <v>0</v>
      </c>
      <c r="AL203" s="311">
        <f t="shared" si="84"/>
        <v>0</v>
      </c>
      <c r="AM203" s="311">
        <f t="shared" si="84"/>
        <v>0</v>
      </c>
      <c r="AN203" s="311">
        <f t="shared" si="84"/>
        <v>0</v>
      </c>
      <c r="AO203" s="311">
        <f t="shared" si="84"/>
        <v>0</v>
      </c>
      <c r="AP203" s="311">
        <f t="shared" si="84"/>
        <v>0</v>
      </c>
      <c r="AQ203" s="311">
        <f t="shared" si="84"/>
        <v>0</v>
      </c>
      <c r="AR203" s="311">
        <f t="shared" si="84"/>
        <v>0</v>
      </c>
      <c r="AS203" s="311">
        <f t="shared" si="84"/>
        <v>134025</v>
      </c>
      <c r="AT203" s="311">
        <f t="shared" si="84"/>
        <v>0</v>
      </c>
      <c r="AU203" s="311">
        <f t="shared" si="84"/>
        <v>0</v>
      </c>
      <c r="AV203" s="311">
        <f t="shared" si="84"/>
        <v>0</v>
      </c>
      <c r="AW203" s="311">
        <f t="shared" si="84"/>
        <v>0</v>
      </c>
      <c r="AX203" s="311">
        <f t="shared" si="84"/>
        <v>0</v>
      </c>
      <c r="AY203" s="311">
        <f t="shared" si="84"/>
        <v>0</v>
      </c>
      <c r="AZ203" s="311">
        <f t="shared" si="84"/>
        <v>0</v>
      </c>
      <c r="BA203" s="311">
        <f t="shared" si="84"/>
        <v>0</v>
      </c>
      <c r="BB203" s="311">
        <f t="shared" si="84"/>
        <v>0</v>
      </c>
      <c r="BC203" s="1297"/>
      <c r="BD203" s="425"/>
      <c r="BE203" s="425"/>
      <c r="BF203" s="994" t="s">
        <v>691</v>
      </c>
    </row>
    <row r="204" spans="1:58" s="1229" customFormat="1" ht="16.5" customHeight="1">
      <c r="A204" s="983"/>
      <c r="B204" s="783"/>
      <c r="C204" s="1153"/>
      <c r="D204" s="1153"/>
      <c r="E204" s="676">
        <v>17.100000000000001</v>
      </c>
      <c r="F204" s="779" t="str" cm="1">
        <f t="array" aca="1" ref="F204" ca="1">OFFSET(G204,-1,-1)</f>
        <v>2</v>
      </c>
      <c r="G204" s="425"/>
      <c r="H204" s="425"/>
      <c r="I204" s="425"/>
      <c r="J204" s="425"/>
      <c r="K204" s="425"/>
      <c r="L204" s="425"/>
      <c r="M204" s="425"/>
      <c r="N204" s="425"/>
      <c r="O204" s="425"/>
      <c r="P204" s="425"/>
      <c r="Q204" s="425"/>
      <c r="R204" s="425"/>
      <c r="S204" s="425"/>
      <c r="T204" s="687" t="b" cm="1">
        <f t="array" ref="T204">T203</f>
        <v>1</v>
      </c>
      <c r="U204" s="1153"/>
      <c r="V204" s="1153"/>
      <c r="W204" s="1153"/>
      <c r="X204" s="1726"/>
      <c r="Y204" s="1153"/>
      <c r="Z204" s="1726"/>
      <c r="AA204" s="425"/>
      <c r="AB204" s="724" t="str">
        <f>AB203&amp;".1"</f>
        <v>7.1</v>
      </c>
      <c r="AC204" s="469" t="s">
        <v>638</v>
      </c>
      <c r="AD204" s="351" t="s">
        <v>634</v>
      </c>
      <c r="AE204" s="1291">
        <f t="shared" ref="AE204:BB204" si="85">AE201+AE190</f>
        <v>0</v>
      </c>
      <c r="AF204" s="1291">
        <f t="shared" si="85"/>
        <v>0</v>
      </c>
      <c r="AG204" s="1291">
        <f t="shared" si="85"/>
        <v>0</v>
      </c>
      <c r="AH204" s="1291">
        <f t="shared" si="85"/>
        <v>126588</v>
      </c>
      <c r="AI204" s="246">
        <f t="shared" si="85"/>
        <v>0</v>
      </c>
      <c r="AJ204" s="246">
        <f t="shared" si="85"/>
        <v>0</v>
      </c>
      <c r="AK204" s="246">
        <f t="shared" si="85"/>
        <v>0</v>
      </c>
      <c r="AL204" s="246">
        <f t="shared" si="85"/>
        <v>0</v>
      </c>
      <c r="AM204" s="246">
        <f t="shared" si="85"/>
        <v>0</v>
      </c>
      <c r="AN204" s="1291">
        <f t="shared" si="85"/>
        <v>0</v>
      </c>
      <c r="AO204" s="1291">
        <f t="shared" si="85"/>
        <v>0</v>
      </c>
      <c r="AP204" s="1291">
        <f t="shared" si="85"/>
        <v>0</v>
      </c>
      <c r="AQ204" s="1291">
        <f t="shared" si="85"/>
        <v>0</v>
      </c>
      <c r="AR204" s="1291">
        <f t="shared" si="85"/>
        <v>0</v>
      </c>
      <c r="AS204" s="246">
        <f t="shared" si="85"/>
        <v>127065.11</v>
      </c>
      <c r="AT204" s="246">
        <f t="shared" si="85"/>
        <v>0</v>
      </c>
      <c r="AU204" s="246">
        <f t="shared" si="85"/>
        <v>0</v>
      </c>
      <c r="AV204" s="246">
        <f t="shared" si="85"/>
        <v>0</v>
      </c>
      <c r="AW204" s="246">
        <f t="shared" si="85"/>
        <v>0</v>
      </c>
      <c r="AX204" s="1291">
        <f t="shared" si="85"/>
        <v>0</v>
      </c>
      <c r="AY204" s="1291">
        <f t="shared" si="85"/>
        <v>0</v>
      </c>
      <c r="AZ204" s="1291">
        <f t="shared" si="85"/>
        <v>0</v>
      </c>
      <c r="BA204" s="1291">
        <f t="shared" si="85"/>
        <v>0</v>
      </c>
      <c r="BB204" s="1291">
        <f t="shared" si="85"/>
        <v>0</v>
      </c>
      <c r="BC204" s="1297"/>
      <c r="BD204" s="425"/>
      <c r="BE204" s="425"/>
      <c r="BF204" s="994" t="s">
        <v>692</v>
      </c>
    </row>
    <row r="205" spans="1:58" s="1229" customFormat="1" ht="16.5" customHeight="1">
      <c r="A205" s="983"/>
      <c r="B205" s="783"/>
      <c r="C205" s="1153"/>
      <c r="D205" s="1153"/>
      <c r="E205" s="676">
        <v>17.100000000000001</v>
      </c>
      <c r="F205" s="779" t="str" cm="1">
        <f t="array" aca="1" ref="F205" ca="1">OFFSET(G205,-1,-1)</f>
        <v>2</v>
      </c>
      <c r="G205" s="425"/>
      <c r="H205" s="425"/>
      <c r="I205" s="425"/>
      <c r="J205" s="425"/>
      <c r="K205" s="425"/>
      <c r="L205" s="425"/>
      <c r="M205" s="425"/>
      <c r="N205" s="425"/>
      <c r="O205" s="425"/>
      <c r="P205" s="425"/>
      <c r="Q205" s="425"/>
      <c r="R205" s="425"/>
      <c r="S205" s="425"/>
      <c r="T205" s="687" t="b" cm="1">
        <f t="array" ref="T205">T204</f>
        <v>1</v>
      </c>
      <c r="U205" s="1153"/>
      <c r="V205" s="1153"/>
      <c r="W205" s="1153"/>
      <c r="X205" s="1726"/>
      <c r="Y205" s="1153"/>
      <c r="Z205" s="1726"/>
      <c r="AA205" s="425"/>
      <c r="AB205" s="724" t="str">
        <f>AB203&amp;".2"</f>
        <v>7.2</v>
      </c>
      <c r="AC205" s="469" t="s">
        <v>640</v>
      </c>
      <c r="AD205" s="351" t="s">
        <v>634</v>
      </c>
      <c r="AE205" s="1291">
        <f t="shared" ref="AE205:BB205" si="86">AE202+AE191</f>
        <v>0</v>
      </c>
      <c r="AF205" s="1291">
        <f t="shared" si="86"/>
        <v>0</v>
      </c>
      <c r="AG205" s="1291">
        <f t="shared" si="86"/>
        <v>0</v>
      </c>
      <c r="AH205" s="1291">
        <f t="shared" si="86"/>
        <v>7437</v>
      </c>
      <c r="AI205" s="246">
        <f t="shared" si="86"/>
        <v>0</v>
      </c>
      <c r="AJ205" s="246">
        <f t="shared" si="86"/>
        <v>0</v>
      </c>
      <c r="AK205" s="246">
        <f t="shared" si="86"/>
        <v>0</v>
      </c>
      <c r="AL205" s="246">
        <f t="shared" si="86"/>
        <v>0</v>
      </c>
      <c r="AM205" s="246">
        <f t="shared" si="86"/>
        <v>0</v>
      </c>
      <c r="AN205" s="1291">
        <f t="shared" si="86"/>
        <v>0</v>
      </c>
      <c r="AO205" s="1291">
        <f t="shared" si="86"/>
        <v>0</v>
      </c>
      <c r="AP205" s="1291">
        <f t="shared" si="86"/>
        <v>0</v>
      </c>
      <c r="AQ205" s="1291">
        <f t="shared" si="86"/>
        <v>0</v>
      </c>
      <c r="AR205" s="1291">
        <f t="shared" si="86"/>
        <v>0</v>
      </c>
      <c r="AS205" s="246">
        <f t="shared" si="86"/>
        <v>6959.89</v>
      </c>
      <c r="AT205" s="246">
        <f t="shared" si="86"/>
        <v>0</v>
      </c>
      <c r="AU205" s="246">
        <f t="shared" si="86"/>
        <v>0</v>
      </c>
      <c r="AV205" s="246">
        <f t="shared" si="86"/>
        <v>0</v>
      </c>
      <c r="AW205" s="246">
        <f t="shared" si="86"/>
        <v>0</v>
      </c>
      <c r="AX205" s="1291">
        <f t="shared" si="86"/>
        <v>0</v>
      </c>
      <c r="AY205" s="1291">
        <f t="shared" si="86"/>
        <v>0</v>
      </c>
      <c r="AZ205" s="1291">
        <f t="shared" si="86"/>
        <v>0</v>
      </c>
      <c r="BA205" s="1291">
        <f t="shared" si="86"/>
        <v>0</v>
      </c>
      <c r="BB205" s="1291">
        <f t="shared" si="86"/>
        <v>0</v>
      </c>
      <c r="BC205" s="1297"/>
      <c r="BD205" s="425"/>
      <c r="BE205" s="425"/>
      <c r="BF205" s="994" t="s">
        <v>693</v>
      </c>
    </row>
    <row r="206" spans="1:58" s="1229" customFormat="1" ht="33" customHeight="1">
      <c r="A206" s="983"/>
      <c r="B206" s="783"/>
      <c r="C206" s="1153"/>
      <c r="D206" s="1153"/>
      <c r="E206" s="676">
        <v>34.5</v>
      </c>
      <c r="F206" s="779" t="str" cm="1">
        <f t="array" aca="1" ref="F206" ca="1">OFFSET(G206,-1,-1)</f>
        <v>2</v>
      </c>
      <c r="G206" s="425"/>
      <c r="H206" s="425"/>
      <c r="I206" s="425"/>
      <c r="J206" s="425"/>
      <c r="K206" s="425"/>
      <c r="L206" s="425"/>
      <c r="M206" s="425"/>
      <c r="N206" s="425"/>
      <c r="O206" s="425"/>
      <c r="P206" s="425"/>
      <c r="Q206" s="425"/>
      <c r="R206" s="425"/>
      <c r="S206" s="425"/>
      <c r="T206" s="687" t="b" cm="1">
        <f t="array" ref="T206">T205</f>
        <v>1</v>
      </c>
      <c r="U206" s="1153"/>
      <c r="V206" s="1153"/>
      <c r="W206" s="1153"/>
      <c r="X206" s="1726"/>
      <c r="Y206" s="1153"/>
      <c r="Z206" s="1726"/>
      <c r="AA206" s="425"/>
      <c r="AB206" s="475" t="s">
        <v>454</v>
      </c>
      <c r="AC206" s="476" t="s">
        <v>694</v>
      </c>
      <c r="AD206" s="351" t="s">
        <v>634</v>
      </c>
      <c r="AE206" s="311">
        <f t="shared" ref="AE206:BB206" si="87">SUM(AE207,AE209)</f>
        <v>0</v>
      </c>
      <c r="AF206" s="311">
        <f t="shared" si="87"/>
        <v>0</v>
      </c>
      <c r="AG206" s="311">
        <f t="shared" si="87"/>
        <v>0</v>
      </c>
      <c r="AH206" s="311">
        <f t="shared" si="87"/>
        <v>14882</v>
      </c>
      <c r="AI206" s="311">
        <f t="shared" si="87"/>
        <v>0</v>
      </c>
      <c r="AJ206" s="311">
        <f t="shared" si="87"/>
        <v>0</v>
      </c>
      <c r="AK206" s="311">
        <f t="shared" si="87"/>
        <v>0</v>
      </c>
      <c r="AL206" s="311">
        <f t="shared" si="87"/>
        <v>0</v>
      </c>
      <c r="AM206" s="311">
        <f t="shared" si="87"/>
        <v>0</v>
      </c>
      <c r="AN206" s="311">
        <f t="shared" si="87"/>
        <v>0</v>
      </c>
      <c r="AO206" s="311">
        <f t="shared" si="87"/>
        <v>0</v>
      </c>
      <c r="AP206" s="311">
        <f t="shared" si="87"/>
        <v>0</v>
      </c>
      <c r="AQ206" s="311">
        <f t="shared" si="87"/>
        <v>0</v>
      </c>
      <c r="AR206" s="311">
        <f t="shared" si="87"/>
        <v>0</v>
      </c>
      <c r="AS206" s="311">
        <f t="shared" si="87"/>
        <v>14882</v>
      </c>
      <c r="AT206" s="311">
        <f t="shared" si="87"/>
        <v>0</v>
      </c>
      <c r="AU206" s="311">
        <f t="shared" si="87"/>
        <v>0</v>
      </c>
      <c r="AV206" s="311">
        <f t="shared" si="87"/>
        <v>0</v>
      </c>
      <c r="AW206" s="311">
        <f t="shared" si="87"/>
        <v>0</v>
      </c>
      <c r="AX206" s="311">
        <f t="shared" si="87"/>
        <v>0</v>
      </c>
      <c r="AY206" s="311">
        <f t="shared" si="87"/>
        <v>0</v>
      </c>
      <c r="AZ206" s="311">
        <f t="shared" si="87"/>
        <v>0</v>
      </c>
      <c r="BA206" s="311">
        <f t="shared" si="87"/>
        <v>0</v>
      </c>
      <c r="BB206" s="311">
        <f t="shared" si="87"/>
        <v>0</v>
      </c>
      <c r="BC206" s="1297"/>
      <c r="BD206" s="425"/>
      <c r="BE206" s="425"/>
      <c r="BF206" s="994" t="s">
        <v>695</v>
      </c>
    </row>
    <row r="207" spans="1:58" s="1229" customFormat="1" ht="16.5" customHeight="1">
      <c r="A207" s="983"/>
      <c r="B207" s="783"/>
      <c r="C207" s="1153"/>
      <c r="D207" s="1153"/>
      <c r="E207" s="676">
        <v>17.100000000000001</v>
      </c>
      <c r="F207" s="779" t="str" cm="1">
        <f t="array" aca="1" ref="F207" ca="1">OFFSET(G207,-1,-1)</f>
        <v>2</v>
      </c>
      <c r="G207" s="425"/>
      <c r="H207" s="425"/>
      <c r="I207" s="425"/>
      <c r="J207" s="425"/>
      <c r="K207" s="425"/>
      <c r="L207" s="425"/>
      <c r="M207" s="425"/>
      <c r="N207" s="425"/>
      <c r="O207" s="425"/>
      <c r="P207" s="425"/>
      <c r="Q207" s="425"/>
      <c r="R207" s="425"/>
      <c r="S207" s="425"/>
      <c r="T207" s="687" t="b" cm="1">
        <f t="array" ref="T207">T206</f>
        <v>1</v>
      </c>
      <c r="U207" s="1153"/>
      <c r="V207" s="1153"/>
      <c r="W207" s="1153"/>
      <c r="X207" s="1726"/>
      <c r="Y207" s="1153"/>
      <c r="Z207" s="1726"/>
      <c r="AA207" s="425"/>
      <c r="AB207" s="724" t="str">
        <f>AB206&amp;".1"</f>
        <v>8.1</v>
      </c>
      <c r="AC207" s="469" t="s">
        <v>638</v>
      </c>
      <c r="AD207" s="351" t="s">
        <v>634</v>
      </c>
      <c r="AE207" s="1291"/>
      <c r="AF207" s="1291"/>
      <c r="AG207" s="1291"/>
      <c r="AH207" s="1291">
        <v>14882</v>
      </c>
      <c r="AI207" s="246"/>
      <c r="AJ207" s="246"/>
      <c r="AK207" s="246"/>
      <c r="AL207" s="246"/>
      <c r="AM207" s="246"/>
      <c r="AN207" s="1291"/>
      <c r="AO207" s="1291"/>
      <c r="AP207" s="1291"/>
      <c r="AQ207" s="1291"/>
      <c r="AR207" s="1291"/>
      <c r="AS207" s="246">
        <v>14882</v>
      </c>
      <c r="AT207" s="246"/>
      <c r="AU207" s="246"/>
      <c r="AV207" s="246"/>
      <c r="AW207" s="246"/>
      <c r="AX207" s="1291"/>
      <c r="AY207" s="1291"/>
      <c r="AZ207" s="1291"/>
      <c r="BA207" s="1291"/>
      <c r="BB207" s="1291"/>
      <c r="BC207" s="1297"/>
      <c r="BD207" s="425"/>
      <c r="BE207" s="425"/>
      <c r="BF207" s="994" t="s">
        <v>696</v>
      </c>
    </row>
    <row r="208" spans="1:58" s="1229" customFormat="1" ht="16.5" customHeight="1">
      <c r="A208" s="983"/>
      <c r="B208" s="783"/>
      <c r="C208" s="1153"/>
      <c r="D208" s="1153"/>
      <c r="E208" s="676">
        <v>17.100000000000001</v>
      </c>
      <c r="F208" s="779" t="str" cm="1">
        <f t="array" aca="1" ref="F208" ca="1">OFFSET(G208,-1,-1)</f>
        <v>2</v>
      </c>
      <c r="G208" s="425"/>
      <c r="H208" s="425"/>
      <c r="I208" s="425"/>
      <c r="J208" s="425"/>
      <c r="K208" s="425"/>
      <c r="L208" s="425"/>
      <c r="M208" s="425"/>
      <c r="N208" s="425"/>
      <c r="O208" s="425"/>
      <c r="P208" s="425"/>
      <c r="Q208" s="425"/>
      <c r="R208" s="425"/>
      <c r="S208" s="425"/>
      <c r="T208" s="687" t="b" cm="1">
        <f t="array" ref="T208">T207</f>
        <v>1</v>
      </c>
      <c r="U208" s="1153"/>
      <c r="V208" s="1153"/>
      <c r="W208" s="1153"/>
      <c r="X208" s="1726"/>
      <c r="Y208" s="1153"/>
      <c r="Z208" s="1726"/>
      <c r="AA208" s="425"/>
      <c r="AB208" s="724" t="str">
        <f>AB207&amp;".1"</f>
        <v>8.1.1</v>
      </c>
      <c r="AC208" s="571" t="s">
        <v>697</v>
      </c>
      <c r="AD208" s="351" t="s">
        <v>533</v>
      </c>
      <c r="AE208" s="876">
        <f t="shared" ref="AE208:BB208" si="88">IFERROR(AE207/AE204,0)</f>
        <v>0</v>
      </c>
      <c r="AF208" s="876">
        <f t="shared" si="88"/>
        <v>0</v>
      </c>
      <c r="AG208" s="876">
        <f t="shared" si="88"/>
        <v>0</v>
      </c>
      <c r="AH208" s="876">
        <f t="shared" si="88"/>
        <v>0.11756248617562486</v>
      </c>
      <c r="AI208" s="876">
        <f t="shared" si="88"/>
        <v>0</v>
      </c>
      <c r="AJ208" s="876">
        <f t="shared" si="88"/>
        <v>0</v>
      </c>
      <c r="AK208" s="876">
        <f t="shared" si="88"/>
        <v>0</v>
      </c>
      <c r="AL208" s="876">
        <f t="shared" si="88"/>
        <v>0</v>
      </c>
      <c r="AM208" s="876">
        <f t="shared" si="88"/>
        <v>0</v>
      </c>
      <c r="AN208" s="876">
        <f t="shared" si="88"/>
        <v>0</v>
      </c>
      <c r="AO208" s="876">
        <f t="shared" si="88"/>
        <v>0</v>
      </c>
      <c r="AP208" s="876">
        <f t="shared" si="88"/>
        <v>0</v>
      </c>
      <c r="AQ208" s="876">
        <f t="shared" si="88"/>
        <v>0</v>
      </c>
      <c r="AR208" s="876">
        <f t="shared" si="88"/>
        <v>0</v>
      </c>
      <c r="AS208" s="876">
        <f t="shared" si="88"/>
        <v>0.11712105707066243</v>
      </c>
      <c r="AT208" s="876">
        <f t="shared" si="88"/>
        <v>0</v>
      </c>
      <c r="AU208" s="876">
        <f t="shared" si="88"/>
        <v>0</v>
      </c>
      <c r="AV208" s="876">
        <f t="shared" si="88"/>
        <v>0</v>
      </c>
      <c r="AW208" s="876">
        <f t="shared" si="88"/>
        <v>0</v>
      </c>
      <c r="AX208" s="876">
        <f t="shared" si="88"/>
        <v>0</v>
      </c>
      <c r="AY208" s="876">
        <f t="shared" si="88"/>
        <v>0</v>
      </c>
      <c r="AZ208" s="876">
        <f t="shared" si="88"/>
        <v>0</v>
      </c>
      <c r="BA208" s="876">
        <f t="shared" si="88"/>
        <v>0</v>
      </c>
      <c r="BB208" s="876">
        <f t="shared" si="88"/>
        <v>0</v>
      </c>
      <c r="BC208" s="1297"/>
      <c r="BD208" s="425"/>
      <c r="BE208" s="425"/>
      <c r="BF208" s="994" t="s">
        <v>698</v>
      </c>
    </row>
    <row r="209" spans="1:58" s="1229" customFormat="1" ht="16.5" customHeight="1">
      <c r="A209" s="983"/>
      <c r="B209" s="783"/>
      <c r="C209" s="1153"/>
      <c r="D209" s="1153"/>
      <c r="E209" s="676">
        <v>17.100000000000001</v>
      </c>
      <c r="F209" s="779" t="str" cm="1">
        <f t="array" aca="1" ref="F209" ca="1">OFFSET(G209,-1,-1)</f>
        <v>2</v>
      </c>
      <c r="G209" s="425"/>
      <c r="H209" s="425"/>
      <c r="I209" s="425"/>
      <c r="J209" s="425"/>
      <c r="K209" s="425"/>
      <c r="L209" s="425"/>
      <c r="M209" s="425"/>
      <c r="N209" s="425"/>
      <c r="O209" s="425"/>
      <c r="P209" s="425"/>
      <c r="Q209" s="425"/>
      <c r="R209" s="425"/>
      <c r="S209" s="425"/>
      <c r="T209" s="687" t="b" cm="1">
        <f t="array" ref="T209">T208</f>
        <v>1</v>
      </c>
      <c r="U209" s="1153"/>
      <c r="V209" s="1153"/>
      <c r="W209" s="1153"/>
      <c r="X209" s="1726"/>
      <c r="Y209" s="1153"/>
      <c r="Z209" s="1726"/>
      <c r="AA209" s="425"/>
      <c r="AB209" s="724" t="str">
        <f>AB206&amp;".2"</f>
        <v>8.2</v>
      </c>
      <c r="AC209" s="469" t="s">
        <v>640</v>
      </c>
      <c r="AD209" s="351" t="s">
        <v>634</v>
      </c>
      <c r="AE209" s="1291"/>
      <c r="AF209" s="1291"/>
      <c r="AG209" s="1291"/>
      <c r="AH209" s="1291"/>
      <c r="AI209" s="246"/>
      <c r="AJ209" s="246"/>
      <c r="AK209" s="246"/>
      <c r="AL209" s="246"/>
      <c r="AM209" s="246"/>
      <c r="AN209" s="1291"/>
      <c r="AO209" s="1291"/>
      <c r="AP209" s="1291"/>
      <c r="AQ209" s="1291"/>
      <c r="AR209" s="1291"/>
      <c r="AS209" s="246"/>
      <c r="AT209" s="246"/>
      <c r="AU209" s="246"/>
      <c r="AV209" s="246"/>
      <c r="AW209" s="246"/>
      <c r="AX209" s="1291"/>
      <c r="AY209" s="1291"/>
      <c r="AZ209" s="1291"/>
      <c r="BA209" s="1291"/>
      <c r="BB209" s="1291"/>
      <c r="BC209" s="1297"/>
      <c r="BD209" s="425"/>
      <c r="BE209" s="425"/>
      <c r="BF209" s="994" t="s">
        <v>699</v>
      </c>
    </row>
    <row r="210" spans="1:58" s="1229" customFormat="1" ht="16.5" customHeight="1">
      <c r="A210" s="983"/>
      <c r="B210" s="783"/>
      <c r="C210" s="1153"/>
      <c r="D210" s="1153"/>
      <c r="E210" s="676">
        <v>17.100000000000001</v>
      </c>
      <c r="F210" s="779" t="str" cm="1">
        <f t="array" aca="1" ref="F210" ca="1">OFFSET(G210,-1,-1)</f>
        <v>2</v>
      </c>
      <c r="G210" s="425"/>
      <c r="H210" s="425"/>
      <c r="I210" s="425"/>
      <c r="J210" s="425"/>
      <c r="K210" s="425"/>
      <c r="L210" s="425"/>
      <c r="M210" s="425"/>
      <c r="N210" s="425"/>
      <c r="O210" s="425"/>
      <c r="P210" s="425"/>
      <c r="Q210" s="425"/>
      <c r="R210" s="425"/>
      <c r="S210" s="425"/>
      <c r="T210" s="687" t="b" cm="1">
        <f t="array" ref="T210">T209</f>
        <v>1</v>
      </c>
      <c r="U210" s="1153"/>
      <c r="V210" s="1153"/>
      <c r="W210" s="1153"/>
      <c r="X210" s="1726"/>
      <c r="Y210" s="1153"/>
      <c r="Z210" s="1726"/>
      <c r="AA210" s="425"/>
      <c r="AB210" s="724" t="str">
        <f>AB209&amp;".1"</f>
        <v>8.2.1</v>
      </c>
      <c r="AC210" s="571" t="s">
        <v>697</v>
      </c>
      <c r="AD210" s="121" t="s">
        <v>533</v>
      </c>
      <c r="AE210" s="913">
        <f t="shared" ref="AE210:BB210" si="89">IFERROR(AE209/AE205,0)</f>
        <v>0</v>
      </c>
      <c r="AF210" s="913">
        <f t="shared" si="89"/>
        <v>0</v>
      </c>
      <c r="AG210" s="913">
        <f t="shared" si="89"/>
        <v>0</v>
      </c>
      <c r="AH210" s="913">
        <f t="shared" si="89"/>
        <v>0</v>
      </c>
      <c r="AI210" s="913">
        <f t="shared" si="89"/>
        <v>0</v>
      </c>
      <c r="AJ210" s="913">
        <f t="shared" si="89"/>
        <v>0</v>
      </c>
      <c r="AK210" s="913">
        <f t="shared" si="89"/>
        <v>0</v>
      </c>
      <c r="AL210" s="913">
        <f t="shared" si="89"/>
        <v>0</v>
      </c>
      <c r="AM210" s="913">
        <f t="shared" si="89"/>
        <v>0</v>
      </c>
      <c r="AN210" s="913">
        <f t="shared" si="89"/>
        <v>0</v>
      </c>
      <c r="AO210" s="913">
        <f t="shared" si="89"/>
        <v>0</v>
      </c>
      <c r="AP210" s="913">
        <f t="shared" si="89"/>
        <v>0</v>
      </c>
      <c r="AQ210" s="913">
        <f t="shared" si="89"/>
        <v>0</v>
      </c>
      <c r="AR210" s="913">
        <f t="shared" si="89"/>
        <v>0</v>
      </c>
      <c r="AS210" s="913">
        <f t="shared" si="89"/>
        <v>0</v>
      </c>
      <c r="AT210" s="913">
        <f t="shared" si="89"/>
        <v>0</v>
      </c>
      <c r="AU210" s="913">
        <f t="shared" si="89"/>
        <v>0</v>
      </c>
      <c r="AV210" s="913">
        <f t="shared" si="89"/>
        <v>0</v>
      </c>
      <c r="AW210" s="913">
        <f t="shared" si="89"/>
        <v>0</v>
      </c>
      <c r="AX210" s="913">
        <f t="shared" si="89"/>
        <v>0</v>
      </c>
      <c r="AY210" s="913">
        <f t="shared" si="89"/>
        <v>0</v>
      </c>
      <c r="AZ210" s="913">
        <f t="shared" si="89"/>
        <v>0</v>
      </c>
      <c r="BA210" s="913">
        <f t="shared" si="89"/>
        <v>0</v>
      </c>
      <c r="BB210" s="913">
        <f t="shared" si="89"/>
        <v>0</v>
      </c>
      <c r="BC210" s="1298"/>
      <c r="BD210" s="425"/>
      <c r="BE210" s="425"/>
      <c r="BF210" s="994" t="s">
        <v>700</v>
      </c>
    </row>
    <row r="211" spans="1:58" s="1229" customFormat="1" ht="16.5" customHeight="1">
      <c r="A211" s="983"/>
      <c r="B211" s="783"/>
      <c r="C211" s="1153"/>
      <c r="D211" s="1153"/>
      <c r="E211" s="676">
        <v>17.100000000000001</v>
      </c>
      <c r="F211" s="779" t="str" cm="1">
        <f t="array" aca="1" ref="F211" ca="1">OFFSET(G211,-1,-1)</f>
        <v>2</v>
      </c>
      <c r="G211" s="425"/>
      <c r="H211" s="425"/>
      <c r="I211" s="425"/>
      <c r="J211" s="425"/>
      <c r="K211" s="425"/>
      <c r="L211" s="425"/>
      <c r="M211" s="425"/>
      <c r="N211" s="425"/>
      <c r="O211" s="425"/>
      <c r="P211" s="425"/>
      <c r="Q211" s="425"/>
      <c r="R211" s="425"/>
      <c r="S211" s="425"/>
      <c r="T211" s="687" t="b" cm="1">
        <f t="array" ref="T211">T210</f>
        <v>1</v>
      </c>
      <c r="U211" s="1153"/>
      <c r="V211" s="1153"/>
      <c r="W211" s="1153"/>
      <c r="X211" s="1726"/>
      <c r="Y211" s="1153"/>
      <c r="Z211" s="1726"/>
      <c r="AA211" s="425"/>
      <c r="AB211" s="414" t="s">
        <v>457</v>
      </c>
      <c r="AC211" s="413" t="s">
        <v>701</v>
      </c>
      <c r="AD211" s="121" t="s">
        <v>634</v>
      </c>
      <c r="AE211" s="448">
        <f t="shared" ref="AE211:BB211" si="90">AE203-AE206</f>
        <v>0</v>
      </c>
      <c r="AF211" s="448">
        <f t="shared" si="90"/>
        <v>0</v>
      </c>
      <c r="AG211" s="448">
        <f t="shared" si="90"/>
        <v>0</v>
      </c>
      <c r="AH211" s="448">
        <f t="shared" si="90"/>
        <v>119143</v>
      </c>
      <c r="AI211" s="448">
        <f t="shared" si="90"/>
        <v>0</v>
      </c>
      <c r="AJ211" s="448">
        <f t="shared" si="90"/>
        <v>0</v>
      </c>
      <c r="AK211" s="448">
        <f t="shared" si="90"/>
        <v>0</v>
      </c>
      <c r="AL211" s="448">
        <f t="shared" si="90"/>
        <v>0</v>
      </c>
      <c r="AM211" s="448">
        <f t="shared" si="90"/>
        <v>0</v>
      </c>
      <c r="AN211" s="448">
        <f t="shared" si="90"/>
        <v>0</v>
      </c>
      <c r="AO211" s="448">
        <f t="shared" si="90"/>
        <v>0</v>
      </c>
      <c r="AP211" s="448">
        <f t="shared" si="90"/>
        <v>0</v>
      </c>
      <c r="AQ211" s="448">
        <f t="shared" si="90"/>
        <v>0</v>
      </c>
      <c r="AR211" s="448">
        <f t="shared" si="90"/>
        <v>0</v>
      </c>
      <c r="AS211" s="448">
        <f t="shared" si="90"/>
        <v>119143</v>
      </c>
      <c r="AT211" s="448">
        <f t="shared" si="90"/>
        <v>0</v>
      </c>
      <c r="AU211" s="448">
        <f t="shared" si="90"/>
        <v>0</v>
      </c>
      <c r="AV211" s="448">
        <f t="shared" si="90"/>
        <v>0</v>
      </c>
      <c r="AW211" s="448">
        <f t="shared" si="90"/>
        <v>0</v>
      </c>
      <c r="AX211" s="448">
        <f t="shared" si="90"/>
        <v>0</v>
      </c>
      <c r="AY211" s="448">
        <f t="shared" si="90"/>
        <v>0</v>
      </c>
      <c r="AZ211" s="448">
        <f t="shared" si="90"/>
        <v>0</v>
      </c>
      <c r="BA211" s="448">
        <f t="shared" si="90"/>
        <v>0</v>
      </c>
      <c r="BB211" s="448">
        <f t="shared" si="90"/>
        <v>0</v>
      </c>
      <c r="BC211" s="1290"/>
      <c r="BD211" s="425"/>
      <c r="BE211" s="425"/>
      <c r="BF211" s="994" t="s">
        <v>702</v>
      </c>
    </row>
    <row r="212" spans="1:58" s="1229" customFormat="1" ht="16.5" customHeight="1">
      <c r="A212" s="983"/>
      <c r="B212" s="783"/>
      <c r="C212" s="1153"/>
      <c r="D212" s="1153"/>
      <c r="E212" s="676">
        <v>17.100000000000001</v>
      </c>
      <c r="F212" s="779" t="str" cm="1">
        <f t="array" aca="1" ref="F212" ca="1">OFFSET(G212,-1,-1)</f>
        <v>2</v>
      </c>
      <c r="G212" s="425"/>
      <c r="H212" s="425"/>
      <c r="I212" s="425"/>
      <c r="J212" s="425"/>
      <c r="K212" s="425"/>
      <c r="L212" s="425"/>
      <c r="M212" s="425"/>
      <c r="N212" s="425"/>
      <c r="O212" s="425"/>
      <c r="P212" s="425"/>
      <c r="Q212" s="425"/>
      <c r="R212" s="425"/>
      <c r="S212" s="425"/>
      <c r="T212" s="687" t="b" cm="1">
        <f t="array" ref="T212">T211</f>
        <v>1</v>
      </c>
      <c r="U212" s="1153"/>
      <c r="V212" s="1153"/>
      <c r="W212" s="1153"/>
      <c r="X212" s="1726"/>
      <c r="Y212" s="1153"/>
      <c r="Z212" s="1726"/>
      <c r="AA212" s="425"/>
      <c r="AB212" s="724" t="str">
        <f>AB211&amp;".1"</f>
        <v>9.1</v>
      </c>
      <c r="AC212" s="469" t="s">
        <v>638</v>
      </c>
      <c r="AD212" s="121" t="s">
        <v>634</v>
      </c>
      <c r="AE212" s="1294">
        <f t="shared" ref="AE212:BB212" si="91">AE204-AE207</f>
        <v>0</v>
      </c>
      <c r="AF212" s="1294">
        <f t="shared" si="91"/>
        <v>0</v>
      </c>
      <c r="AG212" s="1294">
        <f t="shared" si="91"/>
        <v>0</v>
      </c>
      <c r="AH212" s="1294">
        <f t="shared" si="91"/>
        <v>111706</v>
      </c>
      <c r="AI212" s="416">
        <f t="shared" si="91"/>
        <v>0</v>
      </c>
      <c r="AJ212" s="416">
        <f t="shared" si="91"/>
        <v>0</v>
      </c>
      <c r="AK212" s="416">
        <f t="shared" si="91"/>
        <v>0</v>
      </c>
      <c r="AL212" s="416">
        <f t="shared" si="91"/>
        <v>0</v>
      </c>
      <c r="AM212" s="416">
        <f t="shared" si="91"/>
        <v>0</v>
      </c>
      <c r="AN212" s="1294">
        <f t="shared" si="91"/>
        <v>0</v>
      </c>
      <c r="AO212" s="1294">
        <f t="shared" si="91"/>
        <v>0</v>
      </c>
      <c r="AP212" s="1294">
        <f t="shared" si="91"/>
        <v>0</v>
      </c>
      <c r="AQ212" s="1294">
        <f t="shared" si="91"/>
        <v>0</v>
      </c>
      <c r="AR212" s="1294">
        <f t="shared" si="91"/>
        <v>0</v>
      </c>
      <c r="AS212" s="416">
        <f t="shared" si="91"/>
        <v>112183.11</v>
      </c>
      <c r="AT212" s="416">
        <f t="shared" si="91"/>
        <v>0</v>
      </c>
      <c r="AU212" s="416">
        <f t="shared" si="91"/>
        <v>0</v>
      </c>
      <c r="AV212" s="416">
        <f t="shared" si="91"/>
        <v>0</v>
      </c>
      <c r="AW212" s="416">
        <f t="shared" si="91"/>
        <v>0</v>
      </c>
      <c r="AX212" s="1294">
        <f t="shared" si="91"/>
        <v>0</v>
      </c>
      <c r="AY212" s="1294">
        <f t="shared" si="91"/>
        <v>0</v>
      </c>
      <c r="AZ212" s="1294">
        <f t="shared" si="91"/>
        <v>0</v>
      </c>
      <c r="BA212" s="1294">
        <f t="shared" si="91"/>
        <v>0</v>
      </c>
      <c r="BB212" s="1294">
        <f t="shared" si="91"/>
        <v>0</v>
      </c>
      <c r="BC212" s="1290"/>
      <c r="BD212" s="425"/>
      <c r="BE212" s="425"/>
      <c r="BF212" s="994" t="s">
        <v>703</v>
      </c>
    </row>
    <row r="213" spans="1:58" s="1229" customFormat="1" ht="16.5" customHeight="1">
      <c r="A213" s="983"/>
      <c r="B213" s="783"/>
      <c r="C213" s="1153"/>
      <c r="D213" s="1153"/>
      <c r="E213" s="676">
        <v>17.100000000000001</v>
      </c>
      <c r="F213" s="779" t="str" cm="1">
        <f t="array" aca="1" ref="F213" ca="1">OFFSET(G213,-1,-1)</f>
        <v>2</v>
      </c>
      <c r="G213" s="425"/>
      <c r="H213" s="425"/>
      <c r="I213" s="425"/>
      <c r="J213" s="425"/>
      <c r="K213" s="425"/>
      <c r="L213" s="425"/>
      <c r="M213" s="425"/>
      <c r="N213" s="425"/>
      <c r="O213" s="425"/>
      <c r="P213" s="425"/>
      <c r="Q213" s="425"/>
      <c r="R213" s="425"/>
      <c r="S213" s="425"/>
      <c r="T213" s="687" t="b" cm="1">
        <f t="array" ref="T213">T212</f>
        <v>1</v>
      </c>
      <c r="U213" s="1153"/>
      <c r="V213" s="1153"/>
      <c r="W213" s="1153"/>
      <c r="X213" s="1726"/>
      <c r="Y213" s="1153"/>
      <c r="Z213" s="1726"/>
      <c r="AA213" s="425"/>
      <c r="AB213" s="724" t="str">
        <f>AB212&amp;".1"</f>
        <v>9.1.1</v>
      </c>
      <c r="AC213" s="572" t="s">
        <v>675</v>
      </c>
      <c r="AD213" s="121" t="s">
        <v>634</v>
      </c>
      <c r="AE213" s="1294"/>
      <c r="AF213" s="1294"/>
      <c r="AG213" s="1294"/>
      <c r="AH213" s="1294"/>
      <c r="AI213" s="416"/>
      <c r="AJ213" s="416"/>
      <c r="AK213" s="416"/>
      <c r="AL213" s="416"/>
      <c r="AM213" s="416"/>
      <c r="AN213" s="1294"/>
      <c r="AO213" s="1294"/>
      <c r="AP213" s="1294"/>
      <c r="AQ213" s="1294"/>
      <c r="AR213" s="1294"/>
      <c r="AS213" s="416"/>
      <c r="AT213" s="416"/>
      <c r="AU213" s="416"/>
      <c r="AV213" s="416"/>
      <c r="AW213" s="416"/>
      <c r="AX213" s="1294"/>
      <c r="AY213" s="1294"/>
      <c r="AZ213" s="1294"/>
      <c r="BA213" s="1294"/>
      <c r="BB213" s="1294"/>
      <c r="BC213" s="1290"/>
      <c r="BD213" s="425"/>
      <c r="BE213" s="425"/>
      <c r="BF213" s="994" t="s">
        <v>704</v>
      </c>
    </row>
    <row r="214" spans="1:58" s="1229" customFormat="1" ht="16.5" customHeight="1">
      <c r="A214" s="983"/>
      <c r="B214" s="783"/>
      <c r="C214" s="1153"/>
      <c r="D214" s="1153"/>
      <c r="E214" s="676">
        <v>17.100000000000001</v>
      </c>
      <c r="F214" s="779" t="str" cm="1">
        <f t="array" aca="1" ref="F214" ca="1">OFFSET(G214,-1,-1)</f>
        <v>2</v>
      </c>
      <c r="G214" s="425"/>
      <c r="H214" s="425"/>
      <c r="I214" s="425"/>
      <c r="J214" s="425"/>
      <c r="K214" s="425"/>
      <c r="L214" s="425"/>
      <c r="M214" s="425"/>
      <c r="N214" s="425"/>
      <c r="O214" s="425"/>
      <c r="P214" s="425"/>
      <c r="Q214" s="425"/>
      <c r="R214" s="425"/>
      <c r="S214" s="425"/>
      <c r="T214" s="687" t="b" cm="1">
        <f t="array" ref="T214">T213</f>
        <v>1</v>
      </c>
      <c r="U214" s="1153"/>
      <c r="V214" s="1153"/>
      <c r="W214" s="1153"/>
      <c r="X214" s="1726"/>
      <c r="Y214" s="1153"/>
      <c r="Z214" s="1726"/>
      <c r="AA214" s="425"/>
      <c r="AB214" s="724" t="str">
        <f>AB212&amp;".2"</f>
        <v>9.1.2</v>
      </c>
      <c r="AC214" s="573" t="s">
        <v>677</v>
      </c>
      <c r="AD214" s="121" t="s">
        <v>634</v>
      </c>
      <c r="AE214" s="1299">
        <f t="shared" ref="AE214:BB214" si="92">AE215+AE216+AE217+AE218</f>
        <v>0</v>
      </c>
      <c r="AF214" s="1299">
        <f t="shared" si="92"/>
        <v>0</v>
      </c>
      <c r="AG214" s="1299">
        <f t="shared" si="92"/>
        <v>0</v>
      </c>
      <c r="AH214" s="1299">
        <f t="shared" si="92"/>
        <v>111706</v>
      </c>
      <c r="AI214" s="933">
        <f t="shared" si="92"/>
        <v>0</v>
      </c>
      <c r="AJ214" s="933">
        <f t="shared" si="92"/>
        <v>0</v>
      </c>
      <c r="AK214" s="933">
        <f t="shared" si="92"/>
        <v>0</v>
      </c>
      <c r="AL214" s="933">
        <f t="shared" si="92"/>
        <v>0</v>
      </c>
      <c r="AM214" s="933">
        <f t="shared" si="92"/>
        <v>0</v>
      </c>
      <c r="AN214" s="1299">
        <f t="shared" si="92"/>
        <v>0</v>
      </c>
      <c r="AO214" s="1299">
        <f t="shared" si="92"/>
        <v>0</v>
      </c>
      <c r="AP214" s="1299">
        <f t="shared" si="92"/>
        <v>0</v>
      </c>
      <c r="AQ214" s="1299">
        <f t="shared" si="92"/>
        <v>0</v>
      </c>
      <c r="AR214" s="1299">
        <f t="shared" si="92"/>
        <v>0</v>
      </c>
      <c r="AS214" s="933">
        <f t="shared" si="92"/>
        <v>112183.11</v>
      </c>
      <c r="AT214" s="933">
        <f t="shared" si="92"/>
        <v>0</v>
      </c>
      <c r="AU214" s="933">
        <f t="shared" si="92"/>
        <v>0</v>
      </c>
      <c r="AV214" s="933">
        <f t="shared" si="92"/>
        <v>0</v>
      </c>
      <c r="AW214" s="933">
        <f t="shared" si="92"/>
        <v>0</v>
      </c>
      <c r="AX214" s="1299">
        <f t="shared" si="92"/>
        <v>0</v>
      </c>
      <c r="AY214" s="1299">
        <f t="shared" si="92"/>
        <v>0</v>
      </c>
      <c r="AZ214" s="1299">
        <f t="shared" si="92"/>
        <v>0</v>
      </c>
      <c r="BA214" s="1299">
        <f t="shared" si="92"/>
        <v>0</v>
      </c>
      <c r="BB214" s="1299">
        <f t="shared" si="92"/>
        <v>0</v>
      </c>
      <c r="BC214" s="1290"/>
      <c r="BD214" s="425"/>
      <c r="BE214" s="425"/>
      <c r="BF214" s="994" t="s">
        <v>705</v>
      </c>
    </row>
    <row r="215" spans="1:58" s="1229" customFormat="1" ht="16.5" customHeight="1">
      <c r="A215" s="983"/>
      <c r="B215" s="783"/>
      <c r="C215" s="1153"/>
      <c r="D215" s="1153"/>
      <c r="E215" s="676">
        <v>17.100000000000001</v>
      </c>
      <c r="F215" s="779" t="str" cm="1">
        <f t="array" aca="1" ref="F215" ca="1">OFFSET(G215,-1,-1)</f>
        <v>2</v>
      </c>
      <c r="G215" s="425"/>
      <c r="H215" s="425"/>
      <c r="I215" s="425"/>
      <c r="J215" s="425"/>
      <c r="K215" s="425"/>
      <c r="L215" s="425"/>
      <c r="M215" s="425"/>
      <c r="N215" s="425"/>
      <c r="O215" s="425"/>
      <c r="P215" s="425"/>
      <c r="Q215" s="425"/>
      <c r="R215" s="425"/>
      <c r="S215" s="425"/>
      <c r="T215" s="687" t="b" cm="1">
        <f t="array" ref="T215">T214</f>
        <v>1</v>
      </c>
      <c r="U215" s="1153"/>
      <c r="V215" s="1153"/>
      <c r="W215" s="1153"/>
      <c r="X215" s="1726"/>
      <c r="Y215" s="1153"/>
      <c r="Z215" s="1726"/>
      <c r="AA215" s="425"/>
      <c r="AB215" s="724" t="str">
        <f>AB214&amp;".1"</f>
        <v>9.1.2.1</v>
      </c>
      <c r="AC215" s="574" t="s">
        <v>679</v>
      </c>
      <c r="AD215" s="351" t="s">
        <v>634</v>
      </c>
      <c r="AE215" s="1300"/>
      <c r="AF215" s="1300"/>
      <c r="AG215" s="1300"/>
      <c r="AH215" s="1300"/>
      <c r="AI215" s="472"/>
      <c r="AJ215" s="472"/>
      <c r="AK215" s="472"/>
      <c r="AL215" s="472"/>
      <c r="AM215" s="472"/>
      <c r="AN215" s="1300"/>
      <c r="AO215" s="1300"/>
      <c r="AP215" s="1300"/>
      <c r="AQ215" s="1300"/>
      <c r="AR215" s="1300"/>
      <c r="AS215" s="472"/>
      <c r="AT215" s="472"/>
      <c r="AU215" s="472"/>
      <c r="AV215" s="472"/>
      <c r="AW215" s="472"/>
      <c r="AX215" s="1300"/>
      <c r="AY215" s="1300"/>
      <c r="AZ215" s="1300"/>
      <c r="BA215" s="1300"/>
      <c r="BB215" s="1300"/>
      <c r="BC215" s="1290"/>
      <c r="BD215" s="425"/>
      <c r="BE215" s="425"/>
      <c r="BF215" s="994" t="s">
        <v>706</v>
      </c>
    </row>
    <row r="216" spans="1:58" s="1229" customFormat="1" ht="16.5" customHeight="1">
      <c r="A216" s="983"/>
      <c r="B216" s="783"/>
      <c r="C216" s="1153"/>
      <c r="D216" s="1153"/>
      <c r="E216" s="676">
        <v>17.100000000000001</v>
      </c>
      <c r="F216" s="779" t="str" cm="1">
        <f t="array" aca="1" ref="F216" ca="1">OFFSET(G216,-1,-1)</f>
        <v>2</v>
      </c>
      <c r="G216" s="425"/>
      <c r="H216" s="425"/>
      <c r="I216" s="425"/>
      <c r="J216" s="425"/>
      <c r="K216" s="425"/>
      <c r="L216" s="425"/>
      <c r="M216" s="425"/>
      <c r="N216" s="425"/>
      <c r="O216" s="425"/>
      <c r="P216" s="425"/>
      <c r="Q216" s="425"/>
      <c r="R216" s="425"/>
      <c r="S216" s="425"/>
      <c r="T216" s="687" t="b" cm="1">
        <f t="array" ref="T216">T215</f>
        <v>1</v>
      </c>
      <c r="U216" s="1153"/>
      <c r="V216" s="1153"/>
      <c r="W216" s="1153"/>
      <c r="X216" s="1726"/>
      <c r="Y216" s="1153"/>
      <c r="Z216" s="1726"/>
      <c r="AA216" s="425"/>
      <c r="AB216" s="724" t="str">
        <f>AB214&amp;".2"</f>
        <v>9.1.2.2</v>
      </c>
      <c r="AC216" s="575" t="s">
        <v>681</v>
      </c>
      <c r="AD216" s="121" t="s">
        <v>634</v>
      </c>
      <c r="AE216" s="1294"/>
      <c r="AF216" s="1294"/>
      <c r="AG216" s="1294"/>
      <c r="AH216" s="1294"/>
      <c r="AI216" s="416"/>
      <c r="AJ216" s="416"/>
      <c r="AK216" s="416"/>
      <c r="AL216" s="416"/>
      <c r="AM216" s="416"/>
      <c r="AN216" s="1294"/>
      <c r="AO216" s="1294"/>
      <c r="AP216" s="1294"/>
      <c r="AQ216" s="1294"/>
      <c r="AR216" s="1294"/>
      <c r="AS216" s="416"/>
      <c r="AT216" s="416"/>
      <c r="AU216" s="416"/>
      <c r="AV216" s="416"/>
      <c r="AW216" s="416"/>
      <c r="AX216" s="1294"/>
      <c r="AY216" s="1294"/>
      <c r="AZ216" s="1294"/>
      <c r="BA216" s="1294"/>
      <c r="BB216" s="1294"/>
      <c r="BC216" s="1290"/>
      <c r="BD216" s="425"/>
      <c r="BE216" s="425"/>
      <c r="BF216" s="994" t="s">
        <v>707</v>
      </c>
    </row>
    <row r="217" spans="1:58" s="1229" customFormat="1" ht="16.5" customHeight="1">
      <c r="A217" s="983"/>
      <c r="B217" s="783"/>
      <c r="C217" s="1153"/>
      <c r="D217" s="1153"/>
      <c r="E217" s="676">
        <v>17.100000000000001</v>
      </c>
      <c r="F217" s="779" t="str" cm="1">
        <f t="array" aca="1" ref="F217" ca="1">OFFSET(G217,-1,-1)</f>
        <v>2</v>
      </c>
      <c r="G217" s="425"/>
      <c r="H217" s="425"/>
      <c r="I217" s="425"/>
      <c r="J217" s="425"/>
      <c r="K217" s="425"/>
      <c r="L217" s="425"/>
      <c r="M217" s="425"/>
      <c r="N217" s="425"/>
      <c r="O217" s="425"/>
      <c r="P217" s="425"/>
      <c r="Q217" s="425"/>
      <c r="R217" s="425"/>
      <c r="S217" s="425"/>
      <c r="T217" s="687" t="b" cm="1">
        <f t="array" ref="T217">T216</f>
        <v>1</v>
      </c>
      <c r="U217" s="1153"/>
      <c r="V217" s="1153"/>
      <c r="W217" s="1153"/>
      <c r="X217" s="1726"/>
      <c r="Y217" s="1153"/>
      <c r="Z217" s="1726"/>
      <c r="AA217" s="425"/>
      <c r="AB217" s="724" t="str">
        <f>AB214&amp;".3"</f>
        <v>9.1.2.3</v>
      </c>
      <c r="AC217" s="575" t="s">
        <v>683</v>
      </c>
      <c r="AD217" s="121" t="s">
        <v>634</v>
      </c>
      <c r="AE217" s="1295"/>
      <c r="AF217" s="1295"/>
      <c r="AG217" s="1295"/>
      <c r="AH217" s="1295"/>
      <c r="AI217" s="474"/>
      <c r="AJ217" s="474"/>
      <c r="AK217" s="474"/>
      <c r="AL217" s="474"/>
      <c r="AM217" s="474"/>
      <c r="AN217" s="1295"/>
      <c r="AO217" s="1295"/>
      <c r="AP217" s="1295"/>
      <c r="AQ217" s="1295"/>
      <c r="AR217" s="1295"/>
      <c r="AS217" s="474"/>
      <c r="AT217" s="474"/>
      <c r="AU217" s="474"/>
      <c r="AV217" s="474"/>
      <c r="AW217" s="474"/>
      <c r="AX217" s="1295"/>
      <c r="AY217" s="1295"/>
      <c r="AZ217" s="1295"/>
      <c r="BA217" s="1295"/>
      <c r="BB217" s="1295"/>
      <c r="BC217" s="1290"/>
      <c r="BD217" s="425"/>
      <c r="BE217" s="425"/>
      <c r="BF217" s="994" t="s">
        <v>708</v>
      </c>
    </row>
    <row r="218" spans="1:58" s="1229" customFormat="1" ht="16.5" customHeight="1">
      <c r="A218" s="983"/>
      <c r="B218" s="783"/>
      <c r="C218" s="1153"/>
      <c r="D218" s="1153"/>
      <c r="E218" s="676">
        <v>17.100000000000001</v>
      </c>
      <c r="F218" s="779" t="str" cm="1">
        <f t="array" aca="1" ref="F218" ca="1">OFFSET(G218,-1,-1)</f>
        <v>2</v>
      </c>
      <c r="G218" s="425"/>
      <c r="H218" s="425"/>
      <c r="I218" s="425"/>
      <c r="J218" s="425"/>
      <c r="K218" s="425"/>
      <c r="L218" s="425"/>
      <c r="M218" s="425"/>
      <c r="N218" s="425"/>
      <c r="O218" s="425"/>
      <c r="P218" s="425"/>
      <c r="Q218" s="425"/>
      <c r="R218" s="425"/>
      <c r="S218" s="425"/>
      <c r="T218" s="687" t="b" cm="1">
        <f t="array" ref="T218">T217</f>
        <v>1</v>
      </c>
      <c r="U218" s="1153"/>
      <c r="V218" s="1153"/>
      <c r="W218" s="1153"/>
      <c r="X218" s="1726"/>
      <c r="Y218" s="1153"/>
      <c r="Z218" s="1726"/>
      <c r="AA218" s="425"/>
      <c r="AB218" s="724" t="str">
        <f>AB214&amp;".4"</f>
        <v>9.1.2.4</v>
      </c>
      <c r="AC218" s="575" t="s">
        <v>685</v>
      </c>
      <c r="AD218" s="351" t="s">
        <v>634</v>
      </c>
      <c r="AE218" s="1291"/>
      <c r="AF218" s="1293"/>
      <c r="AG218" s="1291"/>
      <c r="AH218" s="1291">
        <v>111706</v>
      </c>
      <c r="AI218" s="246"/>
      <c r="AJ218" s="246"/>
      <c r="AK218" s="246"/>
      <c r="AL218" s="246"/>
      <c r="AM218" s="246"/>
      <c r="AN218" s="1291"/>
      <c r="AO218" s="1291"/>
      <c r="AP218" s="1291"/>
      <c r="AQ218" s="1291"/>
      <c r="AR218" s="1291"/>
      <c r="AS218" s="246">
        <v>112183.11</v>
      </c>
      <c r="AT218" s="246"/>
      <c r="AU218" s="246"/>
      <c r="AV218" s="246"/>
      <c r="AW218" s="246"/>
      <c r="AX218" s="1291"/>
      <c r="AY218" s="1291"/>
      <c r="AZ218" s="1291"/>
      <c r="BA218" s="1291"/>
      <c r="BB218" s="1291"/>
      <c r="BC218" s="1290"/>
      <c r="BD218" s="425"/>
      <c r="BE218" s="425"/>
      <c r="BF218" s="994" t="s">
        <v>709</v>
      </c>
    </row>
    <row r="219" spans="1:58" s="1229" customFormat="1" ht="16.5" customHeight="1">
      <c r="A219" s="983"/>
      <c r="B219" s="783"/>
      <c r="C219" s="1153"/>
      <c r="D219" s="1153"/>
      <c r="E219" s="676">
        <v>17.100000000000001</v>
      </c>
      <c r="F219" s="779" t="str" cm="1">
        <f t="array" aca="1" ref="F219" ca="1">OFFSET(G219,-1,-1)</f>
        <v>2</v>
      </c>
      <c r="G219" s="425"/>
      <c r="H219" s="425"/>
      <c r="I219" s="425"/>
      <c r="J219" s="425"/>
      <c r="K219" s="425"/>
      <c r="L219" s="425"/>
      <c r="M219" s="425"/>
      <c r="N219" s="425"/>
      <c r="O219" s="425"/>
      <c r="P219" s="425"/>
      <c r="Q219" s="425"/>
      <c r="R219" s="425"/>
      <c r="S219" s="425"/>
      <c r="T219" s="687" t="b" cm="1">
        <f t="array" ref="T219">T218</f>
        <v>1</v>
      </c>
      <c r="U219" s="1153"/>
      <c r="V219" s="1153"/>
      <c r="W219" s="1153"/>
      <c r="X219" s="1726"/>
      <c r="Y219" s="1153"/>
      <c r="Z219" s="1726"/>
      <c r="AA219" s="425"/>
      <c r="AB219" s="724" t="str">
        <f>AB211&amp;".2"</f>
        <v>9.2</v>
      </c>
      <c r="AC219" s="469" t="s">
        <v>640</v>
      </c>
      <c r="AD219" s="351" t="s">
        <v>634</v>
      </c>
      <c r="AE219" s="1291">
        <f t="shared" ref="AE219:BB219" si="93">AE205-AE209</f>
        <v>0</v>
      </c>
      <c r="AF219" s="1291">
        <f t="shared" si="93"/>
        <v>0</v>
      </c>
      <c r="AG219" s="1291">
        <f t="shared" si="93"/>
        <v>0</v>
      </c>
      <c r="AH219" s="1291">
        <f t="shared" si="93"/>
        <v>7437</v>
      </c>
      <c r="AI219" s="246">
        <f t="shared" si="93"/>
        <v>0</v>
      </c>
      <c r="AJ219" s="246">
        <f t="shared" si="93"/>
        <v>0</v>
      </c>
      <c r="AK219" s="246">
        <f t="shared" si="93"/>
        <v>0</v>
      </c>
      <c r="AL219" s="246">
        <f t="shared" si="93"/>
        <v>0</v>
      </c>
      <c r="AM219" s="246">
        <f t="shared" si="93"/>
        <v>0</v>
      </c>
      <c r="AN219" s="1291">
        <f t="shared" si="93"/>
        <v>0</v>
      </c>
      <c r="AO219" s="1291">
        <f t="shared" si="93"/>
        <v>0</v>
      </c>
      <c r="AP219" s="1291">
        <f t="shared" si="93"/>
        <v>0</v>
      </c>
      <c r="AQ219" s="1291">
        <f t="shared" si="93"/>
        <v>0</v>
      </c>
      <c r="AR219" s="1291">
        <f t="shared" si="93"/>
        <v>0</v>
      </c>
      <c r="AS219" s="246">
        <f t="shared" si="93"/>
        <v>6959.89</v>
      </c>
      <c r="AT219" s="246">
        <f t="shared" si="93"/>
        <v>0</v>
      </c>
      <c r="AU219" s="246">
        <f t="shared" si="93"/>
        <v>0</v>
      </c>
      <c r="AV219" s="246">
        <f t="shared" si="93"/>
        <v>0</v>
      </c>
      <c r="AW219" s="246">
        <f t="shared" si="93"/>
        <v>0</v>
      </c>
      <c r="AX219" s="1291">
        <f t="shared" si="93"/>
        <v>0</v>
      </c>
      <c r="AY219" s="1291">
        <f t="shared" si="93"/>
        <v>0</v>
      </c>
      <c r="AZ219" s="1291">
        <f t="shared" si="93"/>
        <v>0</v>
      </c>
      <c r="BA219" s="1291">
        <f t="shared" si="93"/>
        <v>0</v>
      </c>
      <c r="BB219" s="1291">
        <f t="shared" si="93"/>
        <v>0</v>
      </c>
      <c r="BC219" s="1290"/>
      <c r="BD219" s="425"/>
      <c r="BE219" s="425"/>
      <c r="BF219" s="994" t="s">
        <v>710</v>
      </c>
    </row>
    <row r="220" spans="1:58" s="1229" customFormat="1" ht="16.5" customHeight="1">
      <c r="A220" s="983"/>
      <c r="B220" s="783"/>
      <c r="C220" s="1153"/>
      <c r="D220" s="1153"/>
      <c r="E220" s="676">
        <v>17.100000000000001</v>
      </c>
      <c r="F220" s="779" t="str" cm="1">
        <f t="array" aca="1" ref="F220" ca="1">OFFSET(G220,-1,-1)</f>
        <v>2</v>
      </c>
      <c r="G220" s="425"/>
      <c r="H220" s="425"/>
      <c r="I220" s="425"/>
      <c r="J220" s="425"/>
      <c r="K220" s="425"/>
      <c r="L220" s="425"/>
      <c r="M220" s="425"/>
      <c r="N220" s="425"/>
      <c r="O220" s="425"/>
      <c r="P220" s="425"/>
      <c r="Q220" s="425"/>
      <c r="R220" s="425"/>
      <c r="S220" s="425"/>
      <c r="T220" s="687" t="b" cm="1">
        <f t="array" ref="T220">T219</f>
        <v>1</v>
      </c>
      <c r="U220" s="1153"/>
      <c r="V220" s="1153"/>
      <c r="W220" s="1153"/>
      <c r="X220" s="1726"/>
      <c r="Y220" s="1153"/>
      <c r="Z220" s="1726"/>
      <c r="AA220" s="425"/>
      <c r="AB220" s="418" t="s">
        <v>711</v>
      </c>
      <c r="AC220" s="572" t="s">
        <v>675</v>
      </c>
      <c r="AD220" s="351" t="s">
        <v>634</v>
      </c>
      <c r="AE220" s="1291"/>
      <c r="AF220" s="1291"/>
      <c r="AG220" s="1291"/>
      <c r="AH220" s="1291"/>
      <c r="AI220" s="246"/>
      <c r="AJ220" s="246"/>
      <c r="AK220" s="246"/>
      <c r="AL220" s="246"/>
      <c r="AM220" s="246"/>
      <c r="AN220" s="1291"/>
      <c r="AO220" s="1291"/>
      <c r="AP220" s="1291"/>
      <c r="AQ220" s="1291"/>
      <c r="AR220" s="1291"/>
      <c r="AS220" s="246"/>
      <c r="AT220" s="246"/>
      <c r="AU220" s="246"/>
      <c r="AV220" s="246"/>
      <c r="AW220" s="246"/>
      <c r="AX220" s="1291"/>
      <c r="AY220" s="1291"/>
      <c r="AZ220" s="1291"/>
      <c r="BA220" s="1291"/>
      <c r="BB220" s="1291"/>
      <c r="BC220" s="1290"/>
      <c r="BD220" s="425"/>
      <c r="BE220" s="425"/>
      <c r="BF220" s="994" t="s">
        <v>712</v>
      </c>
    </row>
    <row r="221" spans="1:58" s="1229" customFormat="1" ht="16.5" customHeight="1">
      <c r="A221" s="983"/>
      <c r="B221" s="783"/>
      <c r="C221" s="1153"/>
      <c r="D221" s="1153"/>
      <c r="E221" s="676">
        <v>17.100000000000001</v>
      </c>
      <c r="F221" s="779" t="str" cm="1">
        <f t="array" aca="1" ref="F221" ca="1">OFFSET(G221,-1,-1)</f>
        <v>2</v>
      </c>
      <c r="G221" s="425"/>
      <c r="H221" s="425"/>
      <c r="I221" s="425"/>
      <c r="J221" s="425"/>
      <c r="K221" s="425"/>
      <c r="L221" s="425"/>
      <c r="M221" s="425"/>
      <c r="N221" s="425"/>
      <c r="O221" s="425"/>
      <c r="P221" s="425"/>
      <c r="Q221" s="425"/>
      <c r="R221" s="425"/>
      <c r="S221" s="425"/>
      <c r="T221" s="687" t="b" cm="1">
        <f t="array" ref="T221">T220</f>
        <v>1</v>
      </c>
      <c r="U221" s="1153"/>
      <c r="V221" s="1153"/>
      <c r="W221" s="1153"/>
      <c r="X221" s="1726"/>
      <c r="Y221" s="1153"/>
      <c r="Z221" s="1726"/>
      <c r="AA221" s="425"/>
      <c r="AB221" s="419" t="s">
        <v>713</v>
      </c>
      <c r="AC221" s="573" t="s">
        <v>677</v>
      </c>
      <c r="AD221" s="121" t="s">
        <v>634</v>
      </c>
      <c r="AE221" s="577">
        <f t="shared" ref="AE221:BB221" si="94">SUM(AE222:AE225)</f>
        <v>0</v>
      </c>
      <c r="AF221" s="577">
        <f t="shared" si="94"/>
        <v>0</v>
      </c>
      <c r="AG221" s="577">
        <f t="shared" si="94"/>
        <v>0</v>
      </c>
      <c r="AH221" s="577">
        <f t="shared" si="94"/>
        <v>7437</v>
      </c>
      <c r="AI221" s="577">
        <f t="shared" si="94"/>
        <v>0</v>
      </c>
      <c r="AJ221" s="577">
        <f t="shared" si="94"/>
        <v>0</v>
      </c>
      <c r="AK221" s="577">
        <f t="shared" si="94"/>
        <v>0</v>
      </c>
      <c r="AL221" s="577">
        <f t="shared" si="94"/>
        <v>0</v>
      </c>
      <c r="AM221" s="577">
        <f t="shared" si="94"/>
        <v>0</v>
      </c>
      <c r="AN221" s="577">
        <f t="shared" si="94"/>
        <v>0</v>
      </c>
      <c r="AO221" s="577">
        <f t="shared" si="94"/>
        <v>0</v>
      </c>
      <c r="AP221" s="577">
        <f t="shared" si="94"/>
        <v>0</v>
      </c>
      <c r="AQ221" s="577">
        <f t="shared" si="94"/>
        <v>0</v>
      </c>
      <c r="AR221" s="577">
        <f t="shared" si="94"/>
        <v>0</v>
      </c>
      <c r="AS221" s="577">
        <f t="shared" si="94"/>
        <v>6959.89</v>
      </c>
      <c r="AT221" s="577">
        <f t="shared" si="94"/>
        <v>0</v>
      </c>
      <c r="AU221" s="577">
        <f t="shared" si="94"/>
        <v>0</v>
      </c>
      <c r="AV221" s="577">
        <f t="shared" si="94"/>
        <v>0</v>
      </c>
      <c r="AW221" s="577">
        <f t="shared" si="94"/>
        <v>0</v>
      </c>
      <c r="AX221" s="577">
        <f t="shared" si="94"/>
        <v>0</v>
      </c>
      <c r="AY221" s="577">
        <f t="shared" si="94"/>
        <v>0</v>
      </c>
      <c r="AZ221" s="577">
        <f t="shared" si="94"/>
        <v>0</v>
      </c>
      <c r="BA221" s="577">
        <f t="shared" si="94"/>
        <v>0</v>
      </c>
      <c r="BB221" s="577">
        <f t="shared" si="94"/>
        <v>0</v>
      </c>
      <c r="BC221" s="1290"/>
      <c r="BD221" s="425"/>
      <c r="BE221" s="425"/>
      <c r="BF221" s="994" t="s">
        <v>714</v>
      </c>
    </row>
    <row r="222" spans="1:58" s="1229" customFormat="1" ht="16.5" customHeight="1">
      <c r="A222" s="983"/>
      <c r="B222" s="783"/>
      <c r="C222" s="1153"/>
      <c r="D222" s="1153"/>
      <c r="E222" s="676">
        <v>17.100000000000001</v>
      </c>
      <c r="F222" s="779" t="str" cm="1">
        <f t="array" aca="1" ref="F222" ca="1">OFFSET(G222,-1,-1)</f>
        <v>2</v>
      </c>
      <c r="G222" s="425"/>
      <c r="H222" s="425"/>
      <c r="I222" s="425"/>
      <c r="J222" s="425"/>
      <c r="K222" s="425"/>
      <c r="L222" s="425"/>
      <c r="M222" s="425"/>
      <c r="N222" s="425"/>
      <c r="O222" s="425"/>
      <c r="P222" s="425"/>
      <c r="Q222" s="425"/>
      <c r="R222" s="425"/>
      <c r="S222" s="425"/>
      <c r="T222" s="687" t="b" cm="1">
        <f t="array" ref="T222">T221</f>
        <v>1</v>
      </c>
      <c r="U222" s="1153"/>
      <c r="V222" s="1153"/>
      <c r="W222" s="1153"/>
      <c r="X222" s="1726"/>
      <c r="Y222" s="1153"/>
      <c r="Z222" s="1726"/>
      <c r="AA222" s="425"/>
      <c r="AB222" s="418" t="s">
        <v>715</v>
      </c>
      <c r="AC222" s="574" t="s">
        <v>679</v>
      </c>
      <c r="AD222" s="351" t="s">
        <v>634</v>
      </c>
      <c r="AE222" s="1300"/>
      <c r="AF222" s="1300"/>
      <c r="AG222" s="1300"/>
      <c r="AH222" s="1300"/>
      <c r="AI222" s="472"/>
      <c r="AJ222" s="472"/>
      <c r="AK222" s="472"/>
      <c r="AL222" s="472"/>
      <c r="AM222" s="472"/>
      <c r="AN222" s="1300"/>
      <c r="AO222" s="1300"/>
      <c r="AP222" s="1300"/>
      <c r="AQ222" s="1300"/>
      <c r="AR222" s="1300"/>
      <c r="AS222" s="472"/>
      <c r="AT222" s="472"/>
      <c r="AU222" s="472"/>
      <c r="AV222" s="472"/>
      <c r="AW222" s="472"/>
      <c r="AX222" s="1300"/>
      <c r="AY222" s="1300"/>
      <c r="AZ222" s="1300"/>
      <c r="BA222" s="1300"/>
      <c r="BB222" s="1300"/>
      <c r="BC222" s="1290"/>
      <c r="BD222" s="425"/>
      <c r="BE222" s="425"/>
      <c r="BF222" s="994" t="s">
        <v>716</v>
      </c>
    </row>
    <row r="223" spans="1:58" s="1229" customFormat="1" ht="16.5" customHeight="1">
      <c r="A223" s="983"/>
      <c r="B223" s="783"/>
      <c r="C223" s="1153"/>
      <c r="D223" s="1153"/>
      <c r="E223" s="676">
        <v>17.100000000000001</v>
      </c>
      <c r="F223" s="779" t="str" cm="1">
        <f t="array" aca="1" ref="F223" ca="1">OFFSET(G223,-1,-1)</f>
        <v>2</v>
      </c>
      <c r="G223" s="425"/>
      <c r="H223" s="425"/>
      <c r="I223" s="425"/>
      <c r="J223" s="425"/>
      <c r="K223" s="425"/>
      <c r="L223" s="425"/>
      <c r="M223" s="425"/>
      <c r="N223" s="425"/>
      <c r="O223" s="425"/>
      <c r="P223" s="425"/>
      <c r="Q223" s="425"/>
      <c r="R223" s="425"/>
      <c r="S223" s="425"/>
      <c r="T223" s="687" t="b" cm="1">
        <f t="array" ref="T223">T222</f>
        <v>1</v>
      </c>
      <c r="U223" s="1153"/>
      <c r="V223" s="1153"/>
      <c r="W223" s="1153"/>
      <c r="X223" s="1726"/>
      <c r="Y223" s="1153"/>
      <c r="Z223" s="1726"/>
      <c r="AA223" s="425"/>
      <c r="AB223" s="418" t="s">
        <v>717</v>
      </c>
      <c r="AC223" s="575" t="s">
        <v>681</v>
      </c>
      <c r="AD223" s="121" t="s">
        <v>634</v>
      </c>
      <c r="AE223" s="1295"/>
      <c r="AF223" s="1295"/>
      <c r="AG223" s="1295"/>
      <c r="AH223" s="1295"/>
      <c r="AI223" s="474"/>
      <c r="AJ223" s="474"/>
      <c r="AK223" s="474"/>
      <c r="AL223" s="474"/>
      <c r="AM223" s="474"/>
      <c r="AN223" s="1295"/>
      <c r="AO223" s="1295"/>
      <c r="AP223" s="1295"/>
      <c r="AQ223" s="1295"/>
      <c r="AR223" s="1295"/>
      <c r="AS223" s="474"/>
      <c r="AT223" s="474"/>
      <c r="AU223" s="474"/>
      <c r="AV223" s="474"/>
      <c r="AW223" s="474"/>
      <c r="AX223" s="1295"/>
      <c r="AY223" s="1295"/>
      <c r="AZ223" s="1295"/>
      <c r="BA223" s="1295"/>
      <c r="BB223" s="1295"/>
      <c r="BC223" s="1290"/>
      <c r="BD223" s="425"/>
      <c r="BE223" s="425"/>
      <c r="BF223" s="994" t="s">
        <v>718</v>
      </c>
    </row>
    <row r="224" spans="1:58" s="1229" customFormat="1" ht="16.5" customHeight="1">
      <c r="A224" s="983"/>
      <c r="B224" s="783"/>
      <c r="C224" s="1153"/>
      <c r="D224" s="1153"/>
      <c r="E224" s="676">
        <v>17.100000000000001</v>
      </c>
      <c r="F224" s="779" t="str" cm="1">
        <f t="array" aca="1" ref="F224" ca="1">OFFSET(G224,-1,-1)</f>
        <v>2</v>
      </c>
      <c r="G224" s="425"/>
      <c r="H224" s="425"/>
      <c r="I224" s="425"/>
      <c r="J224" s="425"/>
      <c r="K224" s="425"/>
      <c r="L224" s="425"/>
      <c r="M224" s="425"/>
      <c r="N224" s="425"/>
      <c r="O224" s="425"/>
      <c r="P224" s="425"/>
      <c r="Q224" s="425"/>
      <c r="R224" s="425"/>
      <c r="S224" s="425"/>
      <c r="T224" s="687" t="b" cm="1">
        <f t="array" ref="T224">T223</f>
        <v>1</v>
      </c>
      <c r="U224" s="1153"/>
      <c r="V224" s="1153"/>
      <c r="W224" s="1153"/>
      <c r="X224" s="1726"/>
      <c r="Y224" s="1153"/>
      <c r="Z224" s="1726"/>
      <c r="AA224" s="425"/>
      <c r="AB224" s="732" t="s">
        <v>719</v>
      </c>
      <c r="AC224" s="575" t="s">
        <v>683</v>
      </c>
      <c r="AD224" s="351" t="s">
        <v>634</v>
      </c>
      <c r="AE224" s="1291"/>
      <c r="AF224" s="1291"/>
      <c r="AG224" s="1291"/>
      <c r="AH224" s="1291"/>
      <c r="AI224" s="246"/>
      <c r="AJ224" s="246"/>
      <c r="AK224" s="246"/>
      <c r="AL224" s="246"/>
      <c r="AM224" s="246"/>
      <c r="AN224" s="1291"/>
      <c r="AO224" s="1291"/>
      <c r="AP224" s="1291"/>
      <c r="AQ224" s="1291"/>
      <c r="AR224" s="1291"/>
      <c r="AS224" s="246"/>
      <c r="AT224" s="246"/>
      <c r="AU224" s="246"/>
      <c r="AV224" s="246"/>
      <c r="AW224" s="246"/>
      <c r="AX224" s="1291"/>
      <c r="AY224" s="1291"/>
      <c r="AZ224" s="1291"/>
      <c r="BA224" s="1291"/>
      <c r="BB224" s="1291"/>
      <c r="BC224" s="1290"/>
      <c r="BD224" s="425"/>
      <c r="BE224" s="425"/>
      <c r="BF224" s="994" t="s">
        <v>720</v>
      </c>
    </row>
    <row r="225" spans="1:58" s="1229" customFormat="1" ht="16.5" customHeight="1">
      <c r="A225" s="983"/>
      <c r="B225" s="783"/>
      <c r="C225" s="1153"/>
      <c r="D225" s="1153"/>
      <c r="E225" s="676">
        <v>17.100000000000001</v>
      </c>
      <c r="F225" s="779" t="str" cm="1">
        <f t="array" aca="1" ref="F225" ca="1">OFFSET(G225,-1,-1)</f>
        <v>2</v>
      </c>
      <c r="G225" s="425"/>
      <c r="H225" s="425"/>
      <c r="I225" s="425"/>
      <c r="J225" s="425"/>
      <c r="K225" s="425"/>
      <c r="L225" s="425"/>
      <c r="M225" s="425"/>
      <c r="N225" s="425"/>
      <c r="O225" s="425"/>
      <c r="P225" s="425"/>
      <c r="Q225" s="425"/>
      <c r="R225" s="425"/>
      <c r="S225" s="425"/>
      <c r="T225" s="687" t="b" cm="1">
        <f t="array" ref="T225">T224</f>
        <v>1</v>
      </c>
      <c r="U225" s="1153"/>
      <c r="V225" s="1153"/>
      <c r="W225" s="1153"/>
      <c r="X225" s="1726"/>
      <c r="Y225" s="1153"/>
      <c r="Z225" s="1726"/>
      <c r="AA225" s="425"/>
      <c r="AB225" s="733" t="s">
        <v>721</v>
      </c>
      <c r="AC225" s="575" t="s">
        <v>685</v>
      </c>
      <c r="AD225" s="351" t="s">
        <v>634</v>
      </c>
      <c r="AE225" s="1291"/>
      <c r="AF225" s="1291"/>
      <c r="AG225" s="1291"/>
      <c r="AH225" s="1291">
        <v>7437</v>
      </c>
      <c r="AI225" s="246"/>
      <c r="AJ225" s="246"/>
      <c r="AK225" s="246"/>
      <c r="AL225" s="246"/>
      <c r="AM225" s="246"/>
      <c r="AN225" s="1291"/>
      <c r="AO225" s="1291"/>
      <c r="AP225" s="1291"/>
      <c r="AQ225" s="1291"/>
      <c r="AR225" s="1291"/>
      <c r="AS225" s="246">
        <v>6959.89</v>
      </c>
      <c r="AT225" s="246"/>
      <c r="AU225" s="246"/>
      <c r="AV225" s="246"/>
      <c r="AW225" s="246"/>
      <c r="AX225" s="1291"/>
      <c r="AY225" s="1291"/>
      <c r="AZ225" s="1291"/>
      <c r="BA225" s="1291"/>
      <c r="BB225" s="1291"/>
      <c r="BC225" s="1290"/>
      <c r="BD225" s="425"/>
      <c r="BE225" s="425"/>
      <c r="BF225" s="994" t="s">
        <v>722</v>
      </c>
    </row>
    <row r="226" spans="1:58" s="1229" customFormat="1" ht="24.75" hidden="1" customHeight="1">
      <c r="A226" s="983"/>
      <c r="B226" s="783"/>
      <c r="C226" s="1153"/>
      <c r="D226" s="1153"/>
      <c r="E226" s="676">
        <v>25.5</v>
      </c>
      <c r="F226" s="779" t="str" cm="1">
        <f t="array" aca="1" ref="F226" ca="1">OFFSET(G226,-1,-1)</f>
        <v>2</v>
      </c>
      <c r="G226" s="425"/>
      <c r="H226" s="425"/>
      <c r="I226" s="425"/>
      <c r="J226" s="425"/>
      <c r="K226" s="425"/>
      <c r="L226" s="425"/>
      <c r="M226" s="425"/>
      <c r="N226" s="425"/>
      <c r="O226" s="620" t="s">
        <v>723</v>
      </c>
      <c r="P226" s="425"/>
      <c r="Q226" s="425"/>
      <c r="R226" s="425"/>
      <c r="S226" s="425"/>
      <c r="T226" s="687" t="b">
        <f>AND(T225,H164="двухставочный")</f>
        <v>0</v>
      </c>
      <c r="U226" s="1153"/>
      <c r="V226" s="1153"/>
      <c r="W226" s="1153"/>
      <c r="X226" s="1726"/>
      <c r="Y226" s="1153"/>
      <c r="Z226" s="1726"/>
      <c r="AA226" s="425"/>
      <c r="AB226" s="271" t="s">
        <v>460</v>
      </c>
      <c r="AC226" s="499" t="s">
        <v>724</v>
      </c>
      <c r="AD226" s="435" t="s">
        <v>725</v>
      </c>
      <c r="AE226" s="576">
        <f t="shared" ref="AE226:BB226" si="95">SUM(AE227:AE230)</f>
        <v>0</v>
      </c>
      <c r="AF226" s="311">
        <f t="shared" si="95"/>
        <v>0</v>
      </c>
      <c r="AG226" s="311">
        <f t="shared" si="95"/>
        <v>0</v>
      </c>
      <c r="AH226" s="311">
        <f t="shared" si="95"/>
        <v>0</v>
      </c>
      <c r="AI226" s="311">
        <f t="shared" si="95"/>
        <v>0</v>
      </c>
      <c r="AJ226" s="311">
        <f t="shared" si="95"/>
        <v>0</v>
      </c>
      <c r="AK226" s="311">
        <f t="shared" si="95"/>
        <v>0</v>
      </c>
      <c r="AL226" s="311">
        <f t="shared" si="95"/>
        <v>0</v>
      </c>
      <c r="AM226" s="311">
        <f t="shared" si="95"/>
        <v>0</v>
      </c>
      <c r="AN226" s="311">
        <f t="shared" si="95"/>
        <v>0</v>
      </c>
      <c r="AO226" s="311">
        <f t="shared" si="95"/>
        <v>0</v>
      </c>
      <c r="AP226" s="311">
        <f t="shared" si="95"/>
        <v>0</v>
      </c>
      <c r="AQ226" s="311">
        <f t="shared" si="95"/>
        <v>0</v>
      </c>
      <c r="AR226" s="311">
        <f t="shared" si="95"/>
        <v>0</v>
      </c>
      <c r="AS226" s="311">
        <f t="shared" si="95"/>
        <v>0</v>
      </c>
      <c r="AT226" s="311">
        <f t="shared" si="95"/>
        <v>0</v>
      </c>
      <c r="AU226" s="311">
        <f t="shared" si="95"/>
        <v>0</v>
      </c>
      <c r="AV226" s="311">
        <f t="shared" si="95"/>
        <v>0</v>
      </c>
      <c r="AW226" s="311">
        <f t="shared" si="95"/>
        <v>0</v>
      </c>
      <c r="AX226" s="311">
        <f t="shared" si="95"/>
        <v>0</v>
      </c>
      <c r="AY226" s="311">
        <f t="shared" si="95"/>
        <v>0</v>
      </c>
      <c r="AZ226" s="311">
        <f t="shared" si="95"/>
        <v>0</v>
      </c>
      <c r="BA226" s="311">
        <f t="shared" si="95"/>
        <v>0</v>
      </c>
      <c r="BB226" s="311">
        <f t="shared" si="95"/>
        <v>0</v>
      </c>
      <c r="BC226" s="28"/>
      <c r="BD226" s="425"/>
      <c r="BE226" s="425"/>
      <c r="BF226" s="994" t="s">
        <v>726</v>
      </c>
    </row>
    <row r="227" spans="1:58" s="1229" customFormat="1" ht="16.5" hidden="1" customHeight="1">
      <c r="A227" s="983"/>
      <c r="B227" s="783"/>
      <c r="C227" s="1153"/>
      <c r="D227" s="1153"/>
      <c r="E227" s="676">
        <v>17.100000000000001</v>
      </c>
      <c r="F227" s="779" t="str" cm="1">
        <f t="array" aca="1" ref="F227" ca="1">OFFSET(G227,-1,-1)</f>
        <v>2</v>
      </c>
      <c r="G227" s="425"/>
      <c r="H227" s="425"/>
      <c r="I227" s="425"/>
      <c r="J227" s="425"/>
      <c r="K227" s="425"/>
      <c r="L227" s="425"/>
      <c r="M227" s="425"/>
      <c r="N227" s="425"/>
      <c r="O227" s="620" t="s">
        <v>723</v>
      </c>
      <c r="P227" s="425"/>
      <c r="Q227" s="425"/>
      <c r="R227" s="425"/>
      <c r="S227" s="425"/>
      <c r="T227" s="687" t="b" cm="1">
        <f t="array" ref="T227">T226</f>
        <v>0</v>
      </c>
      <c r="U227" s="1153"/>
      <c r="V227" s="1153"/>
      <c r="W227" s="1153"/>
      <c r="X227" s="1726"/>
      <c r="Y227" s="1153"/>
      <c r="Z227" s="1726"/>
      <c r="AA227" s="425"/>
      <c r="AB227" s="724" t="str">
        <f>AB226&amp;".1"</f>
        <v>10.1</v>
      </c>
      <c r="AC227" s="473" t="s">
        <v>679</v>
      </c>
      <c r="AD227" s="435" t="s">
        <v>725</v>
      </c>
      <c r="AE227" s="29"/>
      <c r="AF227" s="29"/>
      <c r="AG227" s="29"/>
      <c r="AH227" s="29"/>
      <c r="AI227" s="246"/>
      <c r="AJ227" s="246"/>
      <c r="AK227" s="246"/>
      <c r="AL227" s="246"/>
      <c r="AM227" s="246"/>
      <c r="AN227" s="29"/>
      <c r="AO227" s="29"/>
      <c r="AP227" s="29"/>
      <c r="AQ227" s="29"/>
      <c r="AR227" s="29"/>
      <c r="AS227" s="246"/>
      <c r="AT227" s="246"/>
      <c r="AU227" s="246"/>
      <c r="AV227" s="246"/>
      <c r="AW227" s="246"/>
      <c r="AX227" s="29"/>
      <c r="AY227" s="29"/>
      <c r="AZ227" s="29"/>
      <c r="BA227" s="29"/>
      <c r="BB227" s="38"/>
      <c r="BC227" s="28"/>
      <c r="BD227" s="425"/>
      <c r="BE227" s="425"/>
      <c r="BF227" s="994" t="s">
        <v>727</v>
      </c>
    </row>
    <row r="228" spans="1:58" s="1229" customFormat="1" ht="16.5" hidden="1" customHeight="1">
      <c r="A228" s="983"/>
      <c r="B228" s="783"/>
      <c r="C228" s="1153"/>
      <c r="D228" s="1153"/>
      <c r="E228" s="676">
        <v>17.100000000000001</v>
      </c>
      <c r="F228" s="779" t="str" cm="1">
        <f t="array" aca="1" ref="F228" ca="1">OFFSET(G228,-1,-1)</f>
        <v>2</v>
      </c>
      <c r="G228" s="425"/>
      <c r="H228" s="425"/>
      <c r="I228" s="425"/>
      <c r="J228" s="425"/>
      <c r="K228" s="425"/>
      <c r="L228" s="425"/>
      <c r="M228" s="425"/>
      <c r="N228" s="425"/>
      <c r="O228" s="620" t="s">
        <v>723</v>
      </c>
      <c r="P228" s="425"/>
      <c r="Q228" s="425"/>
      <c r="R228" s="425"/>
      <c r="S228" s="425"/>
      <c r="T228" s="687" t="b" cm="1">
        <f t="array" ref="T228">T227</f>
        <v>0</v>
      </c>
      <c r="U228" s="1153"/>
      <c r="V228" s="1153"/>
      <c r="W228" s="1153"/>
      <c r="X228" s="1726"/>
      <c r="Y228" s="1153"/>
      <c r="Z228" s="1726"/>
      <c r="AA228" s="425"/>
      <c r="AB228" s="724" t="str">
        <f>AB226&amp;".2"</f>
        <v>10.2</v>
      </c>
      <c r="AC228" s="356" t="s">
        <v>681</v>
      </c>
      <c r="AD228" s="435" t="s">
        <v>725</v>
      </c>
      <c r="AE228" s="29"/>
      <c r="AF228" s="29"/>
      <c r="AG228" s="29"/>
      <c r="AH228" s="29"/>
      <c r="AI228" s="246"/>
      <c r="AJ228" s="246"/>
      <c r="AK228" s="246"/>
      <c r="AL228" s="246"/>
      <c r="AM228" s="246"/>
      <c r="AN228" s="29"/>
      <c r="AO228" s="29"/>
      <c r="AP228" s="29"/>
      <c r="AQ228" s="29"/>
      <c r="AR228" s="29"/>
      <c r="AS228" s="246"/>
      <c r="AT228" s="246"/>
      <c r="AU228" s="246"/>
      <c r="AV228" s="246"/>
      <c r="AW228" s="246"/>
      <c r="AX228" s="29"/>
      <c r="AY228" s="29"/>
      <c r="AZ228" s="29"/>
      <c r="BA228" s="29"/>
      <c r="BB228" s="38"/>
      <c r="BC228" s="28"/>
      <c r="BD228" s="425"/>
      <c r="BE228" s="425"/>
      <c r="BF228" s="994" t="s">
        <v>728</v>
      </c>
    </row>
    <row r="229" spans="1:58" s="1229" customFormat="1" ht="16.5" hidden="1" customHeight="1">
      <c r="A229" s="983"/>
      <c r="B229" s="783"/>
      <c r="C229" s="1153"/>
      <c r="D229" s="1153"/>
      <c r="E229" s="676">
        <v>17.100000000000001</v>
      </c>
      <c r="F229" s="779" t="str" cm="1">
        <f t="array" aca="1" ref="F229" ca="1">OFFSET(G229,-1,-1)</f>
        <v>2</v>
      </c>
      <c r="G229" s="425"/>
      <c r="H229" s="425"/>
      <c r="I229" s="425"/>
      <c r="J229" s="425"/>
      <c r="K229" s="425"/>
      <c r="L229" s="425"/>
      <c r="M229" s="425"/>
      <c r="N229" s="425"/>
      <c r="O229" s="620" t="s">
        <v>723</v>
      </c>
      <c r="P229" s="425"/>
      <c r="Q229" s="425"/>
      <c r="R229" s="425"/>
      <c r="S229" s="425"/>
      <c r="T229" s="687" t="b" cm="1">
        <f t="array" ref="T229">T228</f>
        <v>0</v>
      </c>
      <c r="U229" s="1153"/>
      <c r="V229" s="1153"/>
      <c r="W229" s="1153"/>
      <c r="X229" s="1726"/>
      <c r="Y229" s="1153"/>
      <c r="Z229" s="1726"/>
      <c r="AA229" s="425"/>
      <c r="AB229" s="724" t="str">
        <f>AB226&amp;".3"</f>
        <v>10.3</v>
      </c>
      <c r="AC229" s="356" t="s">
        <v>683</v>
      </c>
      <c r="AD229" s="435" t="s">
        <v>725</v>
      </c>
      <c r="AE229" s="29"/>
      <c r="AF229" s="29"/>
      <c r="AG229" s="29"/>
      <c r="AH229" s="29"/>
      <c r="AI229" s="246"/>
      <c r="AJ229" s="246"/>
      <c r="AK229" s="246"/>
      <c r="AL229" s="246"/>
      <c r="AM229" s="246"/>
      <c r="AN229" s="29"/>
      <c r="AO229" s="29"/>
      <c r="AP229" s="29"/>
      <c r="AQ229" s="29"/>
      <c r="AR229" s="29"/>
      <c r="AS229" s="246"/>
      <c r="AT229" s="246"/>
      <c r="AU229" s="246"/>
      <c r="AV229" s="246"/>
      <c r="AW229" s="246"/>
      <c r="AX229" s="29"/>
      <c r="AY229" s="29"/>
      <c r="AZ229" s="29"/>
      <c r="BA229" s="29"/>
      <c r="BB229" s="38"/>
      <c r="BC229" s="28"/>
      <c r="BD229" s="425"/>
      <c r="BE229" s="425"/>
      <c r="BF229" s="994" t="s">
        <v>729</v>
      </c>
    </row>
    <row r="230" spans="1:58" s="1229" customFormat="1" ht="16.5" hidden="1" customHeight="1">
      <c r="A230" s="983"/>
      <c r="B230" s="783"/>
      <c r="C230" s="1153"/>
      <c r="D230" s="1153"/>
      <c r="E230" s="676">
        <v>17.100000000000001</v>
      </c>
      <c r="F230" s="779" t="str" cm="1">
        <f t="array" aca="1" ref="F230" ca="1">OFFSET(G230,-1,-1)</f>
        <v>2</v>
      </c>
      <c r="G230" s="425"/>
      <c r="H230" s="425"/>
      <c r="I230" s="425"/>
      <c r="J230" s="425"/>
      <c r="K230" s="425"/>
      <c r="L230" s="425"/>
      <c r="M230" s="425"/>
      <c r="N230" s="425"/>
      <c r="O230" s="620" t="s">
        <v>723</v>
      </c>
      <c r="P230" s="425"/>
      <c r="Q230" s="425"/>
      <c r="R230" s="425"/>
      <c r="S230" s="425"/>
      <c r="T230" s="687" t="b" cm="1">
        <f t="array" ref="T230">T229</f>
        <v>0</v>
      </c>
      <c r="U230" s="1153"/>
      <c r="V230" s="1153"/>
      <c r="W230" s="1153"/>
      <c r="X230" s="1726"/>
      <c r="Y230" s="1153"/>
      <c r="Z230" s="1726"/>
      <c r="AA230" s="425"/>
      <c r="AB230" s="724" t="str">
        <f>AB226&amp;".4"</f>
        <v>10.4</v>
      </c>
      <c r="AC230" s="356" t="s">
        <v>685</v>
      </c>
      <c r="AD230" s="501" t="s">
        <v>725</v>
      </c>
      <c r="AE230" s="30"/>
      <c r="AF230" s="30"/>
      <c r="AG230" s="30"/>
      <c r="AH230" s="30"/>
      <c r="AI230" s="498"/>
      <c r="AJ230" s="498"/>
      <c r="AK230" s="498"/>
      <c r="AL230" s="498"/>
      <c r="AM230" s="498"/>
      <c r="AN230" s="30"/>
      <c r="AO230" s="30"/>
      <c r="AP230" s="30"/>
      <c r="AQ230" s="30"/>
      <c r="AR230" s="30"/>
      <c r="AS230" s="498"/>
      <c r="AT230" s="498"/>
      <c r="AU230" s="498"/>
      <c r="AV230" s="498"/>
      <c r="AW230" s="498"/>
      <c r="AX230" s="30"/>
      <c r="AY230" s="30"/>
      <c r="AZ230" s="30"/>
      <c r="BA230" s="30"/>
      <c r="BB230" s="39"/>
      <c r="BC230" s="24"/>
      <c r="BD230" s="425"/>
      <c r="BE230" s="425"/>
      <c r="BF230" s="994" t="s">
        <v>730</v>
      </c>
    </row>
    <row r="231" spans="1:58" s="1229" customFormat="1" ht="52.5" hidden="1" customHeight="1">
      <c r="A231" s="983"/>
      <c r="B231" s="783"/>
      <c r="C231" s="1153"/>
      <c r="D231" s="1153"/>
      <c r="E231" s="676">
        <v>54</v>
      </c>
      <c r="F231" s="779" t="str" cm="1">
        <f t="array" aca="1" ref="F231" ca="1">OFFSET(G231,-1,-1)</f>
        <v>2</v>
      </c>
      <c r="G231" s="425"/>
      <c r="H231" s="425"/>
      <c r="I231" s="425"/>
      <c r="J231" s="425"/>
      <c r="K231" s="425"/>
      <c r="L231" s="425"/>
      <c r="M231" s="425"/>
      <c r="N231" s="425"/>
      <c r="O231" s="620" t="s">
        <v>723</v>
      </c>
      <c r="P231" s="425"/>
      <c r="Q231" s="425"/>
      <c r="R231" s="425"/>
      <c r="S231" s="425"/>
      <c r="T231" s="687" t="b" cm="1">
        <f t="array" ref="T231">T230</f>
        <v>0</v>
      </c>
      <c r="U231" s="1153"/>
      <c r="V231" s="1153"/>
      <c r="W231" s="1153"/>
      <c r="X231" s="1726"/>
      <c r="Y231" s="1153"/>
      <c r="Z231" s="1726"/>
      <c r="AA231" s="425"/>
      <c r="AB231" s="271" t="s">
        <v>463</v>
      </c>
      <c r="AC231" s="500" t="s">
        <v>731</v>
      </c>
      <c r="AD231" s="108"/>
      <c r="AE231" s="29"/>
      <c r="AF231" s="29"/>
      <c r="AG231" s="29"/>
      <c r="AH231" s="29"/>
      <c r="AI231" s="246"/>
      <c r="AJ231" s="246"/>
      <c r="AK231" s="246"/>
      <c r="AL231" s="246"/>
      <c r="AM231" s="246"/>
      <c r="AN231" s="29"/>
      <c r="AO231" s="29"/>
      <c r="AP231" s="29"/>
      <c r="AQ231" s="29"/>
      <c r="AR231" s="29"/>
      <c r="AS231" s="246"/>
      <c r="AT231" s="246"/>
      <c r="AU231" s="246"/>
      <c r="AV231" s="246"/>
      <c r="AW231" s="246"/>
      <c r="AX231" s="29"/>
      <c r="AY231" s="29"/>
      <c r="AZ231" s="29"/>
      <c r="BA231" s="29"/>
      <c r="BB231" s="29"/>
      <c r="BC231" s="34"/>
      <c r="BD231" s="425"/>
      <c r="BE231" s="425"/>
      <c r="BF231" s="994" t="s">
        <v>732</v>
      </c>
    </row>
    <row r="232" spans="1:58" ht="11.1" customHeight="1">
      <c r="E232" s="676">
        <v>11.4</v>
      </c>
      <c r="U232" s="126" t="s">
        <v>238</v>
      </c>
      <c r="V232" s="122" t="s">
        <v>733</v>
      </c>
    </row>
    <row r="233" spans="1:58" ht="11.25" hidden="1" customHeight="1">
      <c r="E233" s="676">
        <v>0</v>
      </c>
      <c r="V233" s="129"/>
    </row>
    <row r="234" spans="1:58" ht="14.65" customHeight="1">
      <c r="E234" s="676">
        <v>15</v>
      </c>
      <c r="V234" s="129"/>
      <c r="AB234" s="1738" t="s">
        <v>734</v>
      </c>
      <c r="AC234" s="1738"/>
      <c r="AD234" s="1738"/>
      <c r="AE234" s="1739"/>
      <c r="AF234" s="1739"/>
      <c r="AG234" s="1739"/>
      <c r="AH234" s="1739"/>
      <c r="AI234" s="1739"/>
      <c r="AJ234" s="1739"/>
      <c r="AK234" s="1739"/>
      <c r="AL234" s="1739"/>
      <c r="AM234" s="1739"/>
      <c r="AN234" s="1739"/>
      <c r="AO234" s="1739"/>
      <c r="AP234" s="1739"/>
      <c r="AQ234" s="1739"/>
      <c r="AR234" s="1739"/>
      <c r="AS234" s="1739"/>
      <c r="AT234" s="1739"/>
      <c r="AU234" s="1739"/>
      <c r="AV234" s="1739"/>
      <c r="AW234" s="1739"/>
      <c r="AX234" s="1739"/>
      <c r="AY234" s="1739"/>
      <c r="AZ234" s="1739"/>
      <c r="BA234" s="1739"/>
      <c r="BB234" s="1739"/>
      <c r="BC234" s="1739"/>
    </row>
    <row r="235" spans="1:58" ht="14.65" customHeight="1">
      <c r="E235" s="676">
        <v>15</v>
      </c>
      <c r="V235" s="129"/>
      <c r="AA235" s="778"/>
      <c r="AB235" s="1740"/>
      <c r="AC235" s="1741"/>
      <c r="AD235" s="1741"/>
      <c r="AE235" s="1741"/>
      <c r="AF235" s="1741"/>
      <c r="AG235" s="1741"/>
      <c r="AH235" s="1741"/>
      <c r="AI235" s="1741"/>
      <c r="AJ235" s="1741"/>
      <c r="AK235" s="1741"/>
      <c r="AL235" s="1741"/>
      <c r="AM235" s="1741"/>
      <c r="AN235" s="1742"/>
      <c r="AO235" s="1742"/>
      <c r="AP235" s="1742"/>
      <c r="AQ235" s="1742"/>
      <c r="AR235" s="1742"/>
      <c r="AS235" s="1741"/>
      <c r="AT235" s="1741"/>
      <c r="AU235" s="1741"/>
      <c r="AV235" s="1741"/>
      <c r="AW235" s="1741"/>
      <c r="AX235" s="1742"/>
      <c r="AY235" s="1742"/>
      <c r="AZ235" s="1742"/>
      <c r="BA235" s="1742"/>
      <c r="BB235" s="1742"/>
      <c r="BC235" s="1743"/>
    </row>
    <row r="236" spans="1:58" ht="14.65" hidden="1" customHeight="1">
      <c r="E236" s="676">
        <v>15</v>
      </c>
      <c r="T236" s="126" t="b">
        <f>ROW(W236)&gt;ROW(W$236)</f>
        <v>0</v>
      </c>
      <c r="V236" s="129"/>
      <c r="W236" s="126" t="s">
        <v>236</v>
      </c>
      <c r="AA236" s="774" t="s">
        <v>218</v>
      </c>
      <c r="AB236" s="1744"/>
      <c r="AC236" s="1742"/>
      <c r="AD236" s="1742"/>
      <c r="AE236" s="1742"/>
      <c r="AF236" s="1742"/>
      <c r="AG236" s="1742"/>
      <c r="AH236" s="1742"/>
      <c r="AI236" s="1741"/>
      <c r="AJ236" s="1741"/>
      <c r="AK236" s="1741"/>
      <c r="AL236" s="1741"/>
      <c r="AM236" s="1741"/>
      <c r="AN236" s="1742"/>
      <c r="AO236" s="1742"/>
      <c r="AP236" s="1742"/>
      <c r="AQ236" s="1742"/>
      <c r="AR236" s="1742"/>
      <c r="AS236" s="1741"/>
      <c r="AT236" s="1741"/>
      <c r="AU236" s="1741"/>
      <c r="AV236" s="1741"/>
      <c r="AW236" s="1741"/>
      <c r="AX236" s="1742"/>
      <c r="AY236" s="1742"/>
      <c r="AZ236" s="1742"/>
      <c r="BA236" s="1742"/>
      <c r="BB236" s="1742"/>
      <c r="BC236" s="1745"/>
    </row>
    <row r="237" spans="1:58" ht="14.65" customHeight="1">
      <c r="E237" s="676">
        <v>15</v>
      </c>
      <c r="W237" s="122" t="s">
        <v>237</v>
      </c>
      <c r="AB237" s="1736" t="s">
        <v>735</v>
      </c>
      <c r="AC237" s="1737"/>
      <c r="AD237" s="324"/>
      <c r="AE237" s="325"/>
      <c r="AF237" s="325"/>
      <c r="AG237" s="325"/>
      <c r="AH237" s="325"/>
      <c r="AI237" s="325"/>
      <c r="AJ237" s="325"/>
      <c r="AK237" s="325"/>
      <c r="AL237" s="325"/>
      <c r="AM237" s="325"/>
      <c r="AN237" s="325"/>
      <c r="AO237" s="325"/>
      <c r="AP237" s="325"/>
      <c r="AQ237" s="325"/>
      <c r="AR237" s="325"/>
      <c r="AS237" s="325"/>
      <c r="AT237" s="325"/>
      <c r="AU237" s="325"/>
      <c r="AV237" s="325"/>
      <c r="AW237" s="325"/>
      <c r="AX237" s="325"/>
      <c r="AY237" s="325"/>
      <c r="AZ237" s="325"/>
      <c r="BA237" s="325"/>
      <c r="BB237" s="325"/>
      <c r="BC237" s="294"/>
    </row>
    <row r="238" spans="1:58" ht="11.25" customHeight="1">
      <c r="BD238" s="163"/>
    </row>
  </sheetData>
  <sheetProtection formatColumns="0" formatRows="0" insertRows="0" deleteColumns="0" deleteRows="0" sort="0" autoFilter="0"/>
  <mergeCells count="15">
    <mergeCell ref="AB24:BC24"/>
    <mergeCell ref="AD25:AD26"/>
    <mergeCell ref="BC25:BC26"/>
    <mergeCell ref="AB25:AB26"/>
    <mergeCell ref="AC25:AC26"/>
    <mergeCell ref="X28:X95"/>
    <mergeCell ref="Z28:Z95"/>
    <mergeCell ref="AB237:AC237"/>
    <mergeCell ref="AB234:BC234"/>
    <mergeCell ref="AB235:BC235"/>
    <mergeCell ref="AB236:BC236"/>
    <mergeCell ref="X96:X163"/>
    <mergeCell ref="Z96:Z163"/>
    <mergeCell ref="X164:X231"/>
    <mergeCell ref="Z164:Z231"/>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xr:uid="{00000000-0002-0000-0900-000000000000}">
      <formula1>-9.99999999999999E+23</formula1>
      <formula2>9.99999999999999E+23</formula2>
    </dataValidation>
    <dataValidation allowBlank="1" showInputMessage="1" showErrorMessage="1" sqref="AC90 AC95 AC158 AC163 AC226 AC231" xr:uid="{00000000-0002-0000-0900-000001000000}"/>
  </dataValidations>
  <pageMargins left="0.35" right="0.35" top="0.4" bottom="0.31" header="0.08" footer="0.08"/>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2118-2502-1AB7-5E58-7FC3811D3CB3}">
  <sheetPr>
    <tabColor theme="6" tint="0.39997558519241921"/>
    <outlinePr summaryBelow="0" summaryRight="0"/>
  </sheetPr>
  <dimension ref="A1:BF55"/>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6.28515625" style="983" hidden="1" customWidth="1"/>
    <col min="2" max="2" width="8.5703125" style="783" hidden="1" customWidth="1"/>
    <col min="3" max="4" width="3.5703125" style="1153" hidden="1" customWidth="1"/>
    <col min="5" max="5" width="8.42578125" style="782" hidden="1" customWidth="1"/>
    <col min="6" max="6" width="6.42578125" style="1153" hidden="1" customWidth="1"/>
    <col min="7" max="19" width="3.5703125" style="425"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5" customWidth="1"/>
    <col min="28" max="28" width="9.140625" style="165" customWidth="1"/>
    <col min="29" max="29" width="60.140625" style="165" customWidth="1"/>
    <col min="30" max="30" width="10.42578125" style="165" customWidth="1"/>
    <col min="31" max="39" width="13.140625" style="425" customWidth="1"/>
    <col min="40" max="44" width="13.140625" style="425" hidden="1" customWidth="1"/>
    <col min="45" max="49" width="13.140625" style="425" customWidth="1"/>
    <col min="50" max="54" width="13.140625" style="425" hidden="1" customWidth="1"/>
    <col min="55" max="55" width="20.140625" style="165" customWidth="1"/>
    <col min="56" max="56" width="3" style="425" customWidth="1"/>
    <col min="57" max="57" width="9.140625" style="425" hidden="1"/>
    <col min="58" max="58" width="9.140625" style="1016" hidden="1"/>
  </cols>
  <sheetData>
    <row r="1" spans="1:58" s="1153" customFormat="1" ht="12" hidden="1" customHeight="1">
      <c r="A1" s="983" t="b">
        <f>OR(T27:T49)</f>
        <v>0</v>
      </c>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382</v>
      </c>
      <c r="Z1" s="687" t="s">
        <v>93</v>
      </c>
      <c r="AA1" s="698" t="s">
        <v>90</v>
      </c>
      <c r="AB1" s="698" t="s">
        <v>92</v>
      </c>
      <c r="AC1" s="122"/>
      <c r="AD1" s="122"/>
      <c r="BC1" s="122"/>
      <c r="BF1" s="967" t="s">
        <v>383</v>
      </c>
    </row>
    <row r="2" spans="1:58" s="783" customFormat="1" ht="12" hidden="1" customHeight="1">
      <c r="A2" s="991"/>
      <c r="B2" s="768" t="s">
        <v>15</v>
      </c>
      <c r="G2" s="786"/>
      <c r="H2" s="786"/>
      <c r="I2" s="786"/>
      <c r="J2" s="786"/>
      <c r="K2" s="786"/>
      <c r="L2" s="786"/>
      <c r="M2" s="786"/>
      <c r="N2" s="786"/>
      <c r="O2" s="786"/>
      <c r="P2" s="786"/>
      <c r="Q2" s="786"/>
      <c r="R2" s="786"/>
      <c r="S2" s="786"/>
      <c r="AB2" s="671"/>
      <c r="AC2" s="671"/>
      <c r="AD2" s="671"/>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C2" s="671"/>
      <c r="BF2" s="996"/>
    </row>
    <row r="3" spans="1:58" s="1153" customFormat="1" ht="12" hidden="1" customHeight="1">
      <c r="A3" s="983"/>
      <c r="B3" s="667"/>
      <c r="E3" s="667"/>
      <c r="G3" s="163"/>
      <c r="H3" s="163"/>
      <c r="I3" s="163"/>
      <c r="J3" s="163"/>
      <c r="K3" s="163"/>
      <c r="L3" s="163"/>
      <c r="M3" s="163"/>
      <c r="N3" s="163"/>
      <c r="O3" s="163"/>
      <c r="P3" s="163"/>
      <c r="Q3" s="163"/>
      <c r="R3" s="163"/>
      <c r="S3" s="163"/>
      <c r="AB3" s="122"/>
      <c r="AC3" s="122"/>
      <c r="AD3" s="122"/>
      <c r="BC3" s="122"/>
      <c r="BF3" s="967"/>
    </row>
    <row r="4" spans="1:58" s="1153" customFormat="1" ht="12" hidden="1" customHeight="1">
      <c r="A4" s="983"/>
      <c r="B4" s="667"/>
      <c r="E4" s="667"/>
      <c r="G4" s="163"/>
      <c r="H4" s="163"/>
      <c r="I4" s="163"/>
      <c r="J4" s="163"/>
      <c r="K4" s="163"/>
      <c r="L4" s="163"/>
      <c r="M4" s="163"/>
      <c r="N4" s="163"/>
      <c r="O4" s="163"/>
      <c r="P4" s="163"/>
      <c r="Q4" s="163"/>
      <c r="R4" s="163"/>
      <c r="S4" s="163"/>
      <c r="AB4" s="122"/>
      <c r="AC4" s="122"/>
      <c r="AD4" s="122"/>
      <c r="BC4" s="122"/>
      <c r="BF4" s="967"/>
    </row>
    <row r="5" spans="1:58" s="782" customFormat="1" ht="12" hidden="1" customHeight="1">
      <c r="A5" s="991"/>
      <c r="B5" s="667"/>
      <c r="C5" s="667"/>
      <c r="D5" s="667"/>
      <c r="E5" s="676" t="s">
        <v>16</v>
      </c>
      <c r="G5" s="787"/>
      <c r="H5" s="787"/>
      <c r="I5" s="787"/>
      <c r="J5" s="787"/>
      <c r="K5" s="787"/>
      <c r="L5" s="787"/>
      <c r="M5" s="787"/>
      <c r="N5" s="787"/>
      <c r="O5" s="787"/>
      <c r="P5" s="787"/>
      <c r="Q5" s="787"/>
      <c r="R5" s="787"/>
      <c r="S5" s="787"/>
      <c r="AA5" s="676">
        <v>3</v>
      </c>
      <c r="AB5" s="682">
        <v>9.1300000000000008</v>
      </c>
      <c r="AC5" s="682">
        <v>60.13</v>
      </c>
      <c r="AD5" s="682">
        <v>10.38</v>
      </c>
      <c r="AE5" s="676">
        <v>13.13</v>
      </c>
      <c r="AF5" s="676">
        <v>13.13</v>
      </c>
      <c r="AG5" s="676">
        <v>13.13</v>
      </c>
      <c r="AH5" s="676">
        <v>13.13</v>
      </c>
      <c r="AI5" s="676">
        <v>13.13</v>
      </c>
      <c r="AJ5" s="676">
        <v>13.13</v>
      </c>
      <c r="AK5" s="676">
        <v>13.13</v>
      </c>
      <c r="AL5" s="676">
        <v>13.13</v>
      </c>
      <c r="AM5" s="676">
        <v>13.13</v>
      </c>
      <c r="AN5" s="676">
        <v>13.13</v>
      </c>
      <c r="AO5" s="676">
        <v>13.13</v>
      </c>
      <c r="AP5" s="676">
        <v>13.13</v>
      </c>
      <c r="AQ5" s="676">
        <v>13.13</v>
      </c>
      <c r="AR5" s="676">
        <v>13.13</v>
      </c>
      <c r="AS5" s="676">
        <v>13.13</v>
      </c>
      <c r="AT5" s="676">
        <v>13.13</v>
      </c>
      <c r="AU5" s="676">
        <v>13.13</v>
      </c>
      <c r="AV5" s="676">
        <v>13.13</v>
      </c>
      <c r="AW5" s="676">
        <v>13.13</v>
      </c>
      <c r="AX5" s="676">
        <v>13.13</v>
      </c>
      <c r="AY5" s="676">
        <v>13.13</v>
      </c>
      <c r="AZ5" s="676">
        <v>13.13</v>
      </c>
      <c r="BA5" s="676">
        <v>13.13</v>
      </c>
      <c r="BB5" s="676">
        <v>13.13</v>
      </c>
      <c r="BC5" s="682">
        <v>20.13</v>
      </c>
      <c r="BD5" s="676">
        <v>3</v>
      </c>
      <c r="BF5" s="996"/>
    </row>
    <row r="6" spans="1:58" s="1153" customFormat="1" ht="12" hidden="1" customHeight="1">
      <c r="A6" s="983"/>
      <c r="B6" s="667"/>
      <c r="E6" s="676"/>
      <c r="G6" s="163"/>
      <c r="H6" s="163"/>
      <c r="I6" s="163"/>
      <c r="J6" s="163"/>
      <c r="K6" s="163"/>
      <c r="L6" s="163"/>
      <c r="M6" s="163"/>
      <c r="N6" s="163"/>
      <c r="O6" s="163"/>
      <c r="P6" s="163"/>
      <c r="Q6" s="163"/>
      <c r="R6" s="163"/>
      <c r="S6" s="163"/>
      <c r="AB6" s="122"/>
      <c r="AC6" s="122"/>
      <c r="AD6" s="122"/>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C6" s="122"/>
      <c r="BF6" s="967"/>
    </row>
    <row r="7" spans="1:58" ht="12" hidden="1" customHeight="1">
      <c r="F7" s="163"/>
      <c r="T7" s="163"/>
      <c r="U7" s="163"/>
      <c r="V7" s="163"/>
      <c r="W7" s="163"/>
      <c r="X7" s="163"/>
      <c r="Y7" s="163"/>
      <c r="Z7" s="163"/>
      <c r="AE7" s="163" t="str" cm="1">
        <f t="array" ref="AE7">AE26</f>
        <v>Принято органом регулирования</v>
      </c>
      <c r="AF7" s="163" t="str" cm="1">
        <f t="array" ref="AF7">AF26</f>
        <v>Факт по данным организации</v>
      </c>
      <c r="AG7" s="163" t="str" cm="1">
        <f t="array" ref="AG7">AG26</f>
        <v>Факт, принятый органом регулирования</v>
      </c>
      <c r="AH7" s="163" t="str" cm="1">
        <f t="array" ref="AH7">AH26</f>
        <v>Принято органом регулирования</v>
      </c>
      <c r="AI7" s="163" t="str" cm="1">
        <f t="array" ref="AI7">AI26</f>
        <v>Предложение организации</v>
      </c>
      <c r="AJ7" s="163" t="str" cm="1">
        <f t="array" ref="AJ7">AJ26</f>
        <v>Предложение организации</v>
      </c>
      <c r="AK7" s="163" t="str" cm="1">
        <f t="array" ref="AK7">AK26</f>
        <v>Предложение организации</v>
      </c>
      <c r="AL7" s="163" t="str" cm="1">
        <f t="array" ref="AL7">AL26</f>
        <v>Предложение организации</v>
      </c>
      <c r="AM7" s="163" t="str" cm="1">
        <f t="array" ref="AM7">AM26</f>
        <v>Предложение организации</v>
      </c>
      <c r="AN7" s="163" t="str" cm="1">
        <f t="array" ref="AN7">AN26</f>
        <v>Предложение организации</v>
      </c>
      <c r="AO7" s="163" t="str" cm="1">
        <f t="array" ref="AO7">AO26</f>
        <v>Предложение организации</v>
      </c>
      <c r="AP7" s="163" t="str" cm="1">
        <f t="array" ref="AP7">AP26</f>
        <v>Предложение организации</v>
      </c>
      <c r="AQ7" s="163" t="str" cm="1">
        <f t="array" ref="AQ7">AQ26</f>
        <v>Предложение организации</v>
      </c>
      <c r="AR7" s="163" t="str" cm="1">
        <f t="array" ref="AR7">AR26</f>
        <v>Предложение организации</v>
      </c>
      <c r="AS7" s="163" t="str" cm="1">
        <f t="array" ref="AS7">AS26</f>
        <v>Принято органом регулирования</v>
      </c>
      <c r="AT7" s="163" t="str" cm="1">
        <f t="array" ref="AT7">AT26</f>
        <v>Принято органом регулирования</v>
      </c>
      <c r="AU7" s="163" t="str" cm="1">
        <f t="array" ref="AU7">AU26</f>
        <v>Принято органом регулирования</v>
      </c>
      <c r="AV7" s="163" t="str" cm="1">
        <f t="array" ref="AV7">AV26</f>
        <v>Принято органом регулирования</v>
      </c>
      <c r="AW7" s="163" t="str" cm="1">
        <f t="array" ref="AW7">AW26</f>
        <v>Принято органом регулирования</v>
      </c>
      <c r="AX7" s="163" t="str" cm="1">
        <f t="array" ref="AX7">AX26</f>
        <v>Принято органом регулирования</v>
      </c>
      <c r="AY7" s="163" t="str" cm="1">
        <f t="array" ref="AY7">AY26</f>
        <v>Принято органом регулирования</v>
      </c>
      <c r="AZ7" s="163" t="str" cm="1">
        <f t="array" ref="AZ7">AZ26</f>
        <v>Принято органом регулирования</v>
      </c>
      <c r="BA7" s="163" t="str" cm="1">
        <f t="array" ref="BA7">BA26</f>
        <v>Принято органом регулирования</v>
      </c>
      <c r="BB7" s="163" t="str" cm="1">
        <f t="array" ref="BB7">BB26</f>
        <v>Принято органом регулирования</v>
      </c>
    </row>
    <row r="8" spans="1:58" ht="12" hidden="1" customHeight="1">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58" s="1013" customFormat="1" ht="12" hidden="1" customHeight="1">
      <c r="A9" s="958" t="s">
        <v>472</v>
      </c>
      <c r="B9" s="951"/>
      <c r="E9" s="951"/>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67"/>
    </row>
    <row r="10" spans="1:58" s="1013" customFormat="1" ht="12" hidden="1" customHeight="1">
      <c r="A10" s="958" t="s">
        <v>473</v>
      </c>
      <c r="B10" s="951"/>
      <c r="E10" s="951"/>
      <c r="AE10" s="959" t="str" cm="1">
        <f t="array" ref="AE10">AE26</f>
        <v>Принято органом регулирования</v>
      </c>
      <c r="AF10" s="959" t="str" cm="1">
        <f t="array" ref="AF10">AF26</f>
        <v>Факт по данным организации</v>
      </c>
      <c r="AG10" s="959" t="str" cm="1">
        <f t="array" ref="AG10">AG26</f>
        <v>Факт, принятый органом регулирования</v>
      </c>
      <c r="AH10" s="959" t="str" cm="1">
        <f t="array" ref="AH10">AH26</f>
        <v>Принято органом регулирования</v>
      </c>
      <c r="AI10" s="959" t="str" cm="1">
        <f t="array" ref="AI10">AI26</f>
        <v>Предложение организации</v>
      </c>
      <c r="AJ10" s="959" t="str" cm="1">
        <f t="array" ref="AJ10">AJ26</f>
        <v>Предложение организации</v>
      </c>
      <c r="AK10" s="959" t="str" cm="1">
        <f t="array" ref="AK10">AK26</f>
        <v>Предложение организации</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Принято органом регулирования</v>
      </c>
      <c r="AT10" s="959" t="str" cm="1">
        <f t="array" ref="AT10">AT26</f>
        <v>Принято органом регулирования</v>
      </c>
      <c r="AU10" s="959" t="str" cm="1">
        <f t="array" ref="AU10">AU26</f>
        <v>Принято органом регулирования</v>
      </c>
      <c r="AV10" s="959" t="str" cm="1">
        <f t="array" ref="AV10">AV26</f>
        <v>Принято органом регулирования</v>
      </c>
      <c r="AW10" s="959" t="str" cm="1">
        <f t="array" ref="AW10">AW26</f>
        <v>Принято органом регулирования</v>
      </c>
      <c r="AX10" s="959" t="str" cm="1">
        <f t="array" ref="AX10">AX26</f>
        <v>Принято органом регулирования</v>
      </c>
      <c r="AY10" s="959" t="str" cm="1">
        <f t="array" ref="AY10">AY26</f>
        <v>Принято органом регулирования</v>
      </c>
      <c r="AZ10" s="959" t="str" cm="1">
        <f t="array" ref="AZ10">AZ26</f>
        <v>Принято органом регулирования</v>
      </c>
      <c r="BA10" s="959" t="str" cm="1">
        <f t="array" ref="BA10">BA26</f>
        <v>Принято органом регулирования</v>
      </c>
      <c r="BB10" s="959" t="str" cm="1">
        <f t="array" ref="BB10">BB26</f>
        <v>Принято органом регулирования</v>
      </c>
      <c r="BF10" s="967"/>
    </row>
    <row r="11" spans="1:58" s="1013" customFormat="1" ht="12" hidden="1" customHeight="1">
      <c r="A11" s="958" t="s">
        <v>474</v>
      </c>
      <c r="B11" s="951"/>
      <c r="E11" s="951"/>
      <c r="G11" s="967"/>
      <c r="H11" s="967"/>
      <c r="I11" s="967"/>
      <c r="J11" s="967"/>
      <c r="K11" s="967"/>
      <c r="L11" s="967"/>
      <c r="M11" s="967"/>
      <c r="N11" s="967"/>
      <c r="O11" s="967"/>
      <c r="P11" s="967"/>
      <c r="Q11" s="967"/>
      <c r="R11" s="967"/>
      <c r="S11" s="967"/>
      <c r="AB11" s="961"/>
      <c r="AC11" s="961"/>
      <c r="AD11" s="961"/>
      <c r="BC11" s="961" t="str" cm="1">
        <f t="array" ref="BC11">BC25</f>
        <v>Ссылка на правовую норму (основание для принятия показателя в расчет тарифа)</v>
      </c>
      <c r="BF11" s="967"/>
    </row>
    <row r="12" spans="1:58" s="1153" customFormat="1" ht="12" hidden="1" customHeight="1">
      <c r="A12" s="983"/>
      <c r="B12" s="667"/>
      <c r="E12" s="676"/>
      <c r="G12" s="163"/>
      <c r="H12" s="163"/>
      <c r="I12" s="163"/>
      <c r="J12" s="163"/>
      <c r="K12" s="163"/>
      <c r="L12" s="163"/>
      <c r="M12" s="163"/>
      <c r="N12" s="163"/>
      <c r="O12" s="163"/>
      <c r="P12" s="163"/>
      <c r="Q12" s="163"/>
      <c r="R12" s="163"/>
      <c r="S12" s="163"/>
      <c r="AB12" s="122"/>
      <c r="AC12" s="122"/>
      <c r="AD12" s="122"/>
      <c r="BC12" s="122"/>
      <c r="BF12" s="967"/>
    </row>
    <row r="13" spans="1:58" s="1153" customFormat="1" ht="12" hidden="1" customHeight="1">
      <c r="A13" s="983"/>
      <c r="B13" s="667"/>
      <c r="E13" s="676"/>
      <c r="G13" s="163"/>
      <c r="H13" s="163"/>
      <c r="I13" s="163"/>
      <c r="J13" s="163"/>
      <c r="K13" s="163"/>
      <c r="L13" s="163"/>
      <c r="M13" s="163"/>
      <c r="N13" s="163"/>
      <c r="O13" s="163"/>
      <c r="P13" s="163"/>
      <c r="Q13" s="163"/>
      <c r="R13" s="163"/>
      <c r="S13" s="163"/>
      <c r="AB13" s="122"/>
      <c r="AC13" s="122"/>
      <c r="AD13" s="122"/>
      <c r="BC13" s="122"/>
      <c r="BF13" s="967"/>
    </row>
    <row r="14" spans="1:58" s="1153" customFormat="1" ht="12" hidden="1" customHeight="1">
      <c r="A14" s="983"/>
      <c r="B14" s="667"/>
      <c r="E14" s="676"/>
      <c r="G14" s="163"/>
      <c r="H14" s="163"/>
      <c r="I14" s="163"/>
      <c r="J14" s="163"/>
      <c r="K14" s="163"/>
      <c r="L14" s="163"/>
      <c r="M14" s="163"/>
      <c r="N14" s="163"/>
      <c r="O14" s="163"/>
      <c r="P14" s="163"/>
      <c r="Q14" s="163"/>
      <c r="R14" s="163"/>
      <c r="S14" s="163"/>
      <c r="AB14" s="122"/>
      <c r="AC14" s="122"/>
      <c r="BC14" s="122"/>
      <c r="BF14" s="967"/>
    </row>
    <row r="15" spans="1:58" s="1153" customFormat="1" ht="12" hidden="1" customHeight="1">
      <c r="A15" s="983"/>
      <c r="B15" s="667"/>
      <c r="E15" s="676"/>
      <c r="G15" s="163"/>
      <c r="H15" s="163"/>
      <c r="I15" s="163"/>
      <c r="J15" s="163"/>
      <c r="K15" s="163"/>
      <c r="L15" s="163"/>
      <c r="M15" s="163"/>
      <c r="N15" s="163"/>
      <c r="O15" s="163"/>
      <c r="P15" s="163"/>
      <c r="Q15" s="163"/>
      <c r="R15" s="163"/>
      <c r="S15" s="163"/>
      <c r="AB15" s="122"/>
      <c r="AC15" s="122"/>
      <c r="AD15" s="122"/>
      <c r="BC15" s="122"/>
      <c r="BF15" s="967"/>
    </row>
    <row r="16" spans="1:58" s="1153" customFormat="1" ht="12" hidden="1" customHeight="1">
      <c r="A16" s="983"/>
      <c r="B16" s="667"/>
      <c r="E16" s="676"/>
      <c r="G16" s="163"/>
      <c r="H16" s="163"/>
      <c r="I16" s="163"/>
      <c r="J16" s="163"/>
      <c r="K16" s="163"/>
      <c r="L16" s="163"/>
      <c r="M16" s="163"/>
      <c r="N16" s="163"/>
      <c r="O16" s="163"/>
      <c r="P16" s="163"/>
      <c r="Q16" s="163"/>
      <c r="R16" s="163"/>
      <c r="S16" s="163"/>
      <c r="AB16" s="122"/>
      <c r="AC16" s="122"/>
      <c r="AD16" s="122"/>
      <c r="BC16" s="122"/>
      <c r="BF16" s="967"/>
    </row>
    <row r="17" spans="1:58" s="1153" customFormat="1" ht="12" hidden="1" customHeight="1">
      <c r="A17" s="983"/>
      <c r="B17" s="667"/>
      <c r="E17" s="676"/>
      <c r="G17" s="163"/>
      <c r="H17" s="163"/>
      <c r="I17" s="163"/>
      <c r="J17" s="163"/>
      <c r="K17" s="163"/>
      <c r="L17" s="163"/>
      <c r="M17" s="163"/>
      <c r="N17" s="163"/>
      <c r="O17" s="163"/>
      <c r="P17" s="163"/>
      <c r="Q17" s="163"/>
      <c r="R17" s="163"/>
      <c r="S17" s="163"/>
      <c r="AB17" s="122"/>
      <c r="AC17" s="122"/>
      <c r="AD17" s="122"/>
      <c r="BC17" s="122"/>
      <c r="BF17" s="967"/>
    </row>
    <row r="18" spans="1:58" s="1153" customFormat="1" ht="12" hidden="1" customHeight="1">
      <c r="A18" s="983"/>
      <c r="B18" s="667"/>
      <c r="E18" s="676"/>
      <c r="G18" s="163"/>
      <c r="H18" s="163"/>
      <c r="I18" s="163"/>
      <c r="J18" s="163"/>
      <c r="K18" s="163"/>
      <c r="L18" s="163"/>
      <c r="M18" s="163"/>
      <c r="N18" s="163"/>
      <c r="O18" s="163"/>
      <c r="P18" s="163"/>
      <c r="Q18" s="163"/>
      <c r="R18" s="163"/>
      <c r="S18" s="163"/>
      <c r="AB18" s="122"/>
      <c r="AC18" s="122"/>
      <c r="AD18" s="122"/>
      <c r="BC18" s="122"/>
      <c r="BF18" s="967"/>
    </row>
    <row r="19" spans="1:58" s="1153" customFormat="1" ht="12" hidden="1" customHeight="1">
      <c r="A19" s="983"/>
      <c r="B19" s="667"/>
      <c r="E19" s="676"/>
      <c r="G19" s="163"/>
      <c r="H19" s="163"/>
      <c r="I19" s="163"/>
      <c r="J19" s="163"/>
      <c r="K19" s="163"/>
      <c r="L19" s="163"/>
      <c r="M19" s="163"/>
      <c r="N19" s="163"/>
      <c r="O19" s="163"/>
      <c r="P19" s="163"/>
      <c r="Q19" s="163"/>
      <c r="R19" s="163"/>
      <c r="S19" s="163"/>
      <c r="AB19" s="122"/>
      <c r="AC19" s="122"/>
      <c r="AD19" s="122"/>
      <c r="BC19" s="122"/>
      <c r="BF19" s="967"/>
    </row>
    <row r="20" spans="1:58" s="1153" customFormat="1" ht="12" hidden="1" customHeight="1">
      <c r="A20" s="983"/>
      <c r="B20" s="667"/>
      <c r="E20" s="676"/>
      <c r="G20" s="163"/>
      <c r="H20" s="163"/>
      <c r="I20" s="163"/>
      <c r="J20" s="163"/>
      <c r="K20" s="163"/>
      <c r="L20" s="163"/>
      <c r="M20" s="163"/>
      <c r="N20" s="163"/>
      <c r="O20" s="163"/>
      <c r="P20" s="163"/>
      <c r="Q20" s="163"/>
      <c r="R20" s="163"/>
      <c r="S20" s="163"/>
      <c r="AB20" s="122"/>
      <c r="AC20" s="122"/>
      <c r="AD20" s="122"/>
      <c r="BC20" s="122"/>
      <c r="BF20" s="967"/>
    </row>
    <row r="21" spans="1:58" ht="14.65" customHeight="1">
      <c r="E21" s="676">
        <v>15</v>
      </c>
      <c r="AA21" s="699"/>
      <c r="AC21" s="343" t="str" cm="1">
        <f t="array" ref="AC21">tpl_title</f>
        <v>Кемеровская область / 2026 / ОАО «СКЭК» (ИНН:4205153492, КПП:420501001) / ДПР: 2021-2030</v>
      </c>
    </row>
    <row r="22" spans="1:58" s="814" customFormat="1" ht="19.5" customHeight="1">
      <c r="A22" s="343"/>
      <c r="B22" s="667"/>
      <c r="C22" s="129"/>
      <c r="D22" s="129"/>
      <c r="E22" s="676">
        <v>20.100000000000001</v>
      </c>
      <c r="F22" s="129"/>
      <c r="T22" s="129"/>
      <c r="U22" s="129"/>
      <c r="V22" s="129"/>
      <c r="W22" s="129"/>
      <c r="X22" s="129"/>
      <c r="Y22" s="129"/>
      <c r="Z22" s="129"/>
      <c r="AB22" s="332" t="s">
        <v>35</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56"/>
    </row>
    <row r="23" spans="1:58" ht="11.1" customHeight="1">
      <c r="E23" s="676">
        <v>11.3</v>
      </c>
    </row>
    <row r="24" spans="1:58" s="814" customFormat="1" ht="14.65" customHeight="1">
      <c r="A24" s="343"/>
      <c r="B24" s="667"/>
      <c r="C24" s="129"/>
      <c r="D24" s="129"/>
      <c r="E24" s="676">
        <v>15</v>
      </c>
      <c r="F24" s="129"/>
      <c r="T24" s="129"/>
      <c r="U24" s="129"/>
      <c r="V24" s="129"/>
      <c r="W24" s="129"/>
      <c r="X24" s="129"/>
      <c r="Y24" s="129"/>
      <c r="Z24" s="129"/>
      <c r="AB24" s="1746" t="s">
        <v>35</v>
      </c>
      <c r="AC24" s="1746"/>
      <c r="AD24" s="1746"/>
      <c r="AE24" s="1746"/>
      <c r="AF24" s="1746"/>
      <c r="AG24" s="1746"/>
      <c r="AH24" s="1746"/>
      <c r="AI24" s="1746"/>
      <c r="AJ24" s="1746"/>
      <c r="AK24" s="1746"/>
      <c r="AL24" s="1746"/>
      <c r="AM24" s="1746"/>
      <c r="AN24" s="1746"/>
      <c r="AO24" s="1746"/>
      <c r="AP24" s="1746"/>
      <c r="AQ24" s="1746"/>
      <c r="AR24" s="1746"/>
      <c r="AS24" s="1746"/>
      <c r="AT24" s="1746"/>
      <c r="AU24" s="1746"/>
      <c r="AV24" s="1746"/>
      <c r="AW24" s="1746"/>
      <c r="AX24" s="1746"/>
      <c r="AY24" s="1746"/>
      <c r="AZ24" s="1746"/>
      <c r="BA24" s="1746"/>
      <c r="BB24" s="1746"/>
      <c r="BC24" s="1746"/>
      <c r="BF24" s="956"/>
    </row>
    <row r="25" spans="1:58" s="165" customFormat="1" ht="14.65" customHeight="1">
      <c r="A25" s="277"/>
      <c r="B25" s="671"/>
      <c r="C25" s="122"/>
      <c r="D25" s="122"/>
      <c r="E25" s="682">
        <v>15</v>
      </c>
      <c r="F25" s="122"/>
      <c r="T25" s="122"/>
      <c r="U25" s="122"/>
      <c r="V25" s="129"/>
      <c r="W25" s="122"/>
      <c r="X25" s="122"/>
      <c r="Y25" s="122"/>
      <c r="Z25" s="122"/>
      <c r="AB25" s="1748" t="s">
        <v>396</v>
      </c>
      <c r="AC25" s="1749" t="s">
        <v>475</v>
      </c>
      <c r="AD25" s="1730" t="s">
        <v>476</v>
      </c>
      <c r="AE25" s="350" t="str">
        <f>god-2&amp;" год"</f>
        <v>2024 год</v>
      </c>
      <c r="AF25" s="1146" t="str">
        <f>god-2&amp;" год"</f>
        <v>2024 год</v>
      </c>
      <c r="AG25" s="350" t="str">
        <f>god-2&amp;" год"</f>
        <v>2024 год</v>
      </c>
      <c r="AH25" s="125" t="str">
        <f>god-1&amp;" год"</f>
        <v>2025 год</v>
      </c>
      <c r="AI25" s="1141" t="str">
        <f>god&amp;" год"</f>
        <v>2026 год</v>
      </c>
      <c r="AJ25" s="1141" t="str">
        <f>god+1&amp;" год"</f>
        <v>2027 год</v>
      </c>
      <c r="AK25" s="1141" t="str">
        <f>god+2&amp;" год"</f>
        <v>2028 год</v>
      </c>
      <c r="AL25" s="1141" t="str">
        <f>god+3&amp;" год"</f>
        <v>2029 год</v>
      </c>
      <c r="AM25" s="1141" t="str">
        <f>god+4&amp;" год"</f>
        <v>2030 год</v>
      </c>
      <c r="AN25" s="1141" t="str">
        <f>god+5&amp;" год"</f>
        <v>2031 год</v>
      </c>
      <c r="AO25" s="1141" t="str">
        <f>god+6&amp;" год"</f>
        <v>2032 год</v>
      </c>
      <c r="AP25" s="1141" t="str">
        <f>god+7&amp;" год"</f>
        <v>2033 год</v>
      </c>
      <c r="AQ25" s="1141" t="str">
        <f>god+8&amp;" год"</f>
        <v>2034 год</v>
      </c>
      <c r="AR25" s="1141" t="str">
        <f>god+9&amp;" год"</f>
        <v>2035 год</v>
      </c>
      <c r="AS25" s="121" t="str">
        <f>god&amp;" год"</f>
        <v>2026 год</v>
      </c>
      <c r="AT25" s="121" t="str">
        <f>god+1&amp;" год"</f>
        <v>2027 год</v>
      </c>
      <c r="AU25" s="121" t="str">
        <f>god+2&amp;" год"</f>
        <v>2028 год</v>
      </c>
      <c r="AV25" s="121" t="str">
        <f>god+3&amp;" год"</f>
        <v>2029 год</v>
      </c>
      <c r="AW25" s="121" t="str">
        <f>god+4&amp;" год"</f>
        <v>2030 год</v>
      </c>
      <c r="AX25" s="121" t="str">
        <f>god+5&amp;" год"</f>
        <v>2031 год</v>
      </c>
      <c r="AY25" s="121" t="str">
        <f>god+6&amp;" год"</f>
        <v>2032 год</v>
      </c>
      <c r="AZ25" s="121" t="str">
        <f>god+7&amp;" год"</f>
        <v>2033 год</v>
      </c>
      <c r="BA25" s="121" t="str">
        <f>god+8&amp;" год"</f>
        <v>2034 год</v>
      </c>
      <c r="BB25" s="121" t="str">
        <f>god+9&amp;" год"</f>
        <v>2035 год</v>
      </c>
      <c r="BC25" s="1747" t="s">
        <v>630</v>
      </c>
      <c r="BF25" s="967"/>
    </row>
    <row r="26" spans="1:58" s="165" customFormat="1" ht="68.099999999999994" customHeight="1">
      <c r="A26" s="277"/>
      <c r="B26" s="671"/>
      <c r="C26" s="122"/>
      <c r="D26" s="122"/>
      <c r="E26" s="682">
        <v>69.900000000000006</v>
      </c>
      <c r="F26" s="122"/>
      <c r="T26" s="122"/>
      <c r="U26" s="122"/>
      <c r="V26" s="129"/>
      <c r="W26" s="122"/>
      <c r="X26" s="122"/>
      <c r="Y26" s="122"/>
      <c r="Z26" s="122"/>
      <c r="AB26" s="1748"/>
      <c r="AC26" s="1750"/>
      <c r="AD26" s="1730"/>
      <c r="AE26" s="121" t="s">
        <v>412</v>
      </c>
      <c r="AF26" s="1141" t="s">
        <v>631</v>
      </c>
      <c r="AG26" s="121" t="s">
        <v>632</v>
      </c>
      <c r="AH26" s="121" t="s">
        <v>412</v>
      </c>
      <c r="AI26" s="1142" t="s">
        <v>413</v>
      </c>
      <c r="AJ26" s="1142" t="s">
        <v>413</v>
      </c>
      <c r="AK26" s="1142" t="s">
        <v>413</v>
      </c>
      <c r="AL26" s="1142" t="s">
        <v>413</v>
      </c>
      <c r="AM26" s="1142" t="s">
        <v>413</v>
      </c>
      <c r="AN26" s="1142" t="s">
        <v>413</v>
      </c>
      <c r="AO26" s="1142" t="s">
        <v>413</v>
      </c>
      <c r="AP26" s="1142" t="s">
        <v>413</v>
      </c>
      <c r="AQ26" s="1142" t="s">
        <v>413</v>
      </c>
      <c r="AR26" s="1142" t="s">
        <v>413</v>
      </c>
      <c r="AS26" s="351" t="s">
        <v>412</v>
      </c>
      <c r="AT26" s="351" t="s">
        <v>412</v>
      </c>
      <c r="AU26" s="351" t="s">
        <v>412</v>
      </c>
      <c r="AV26" s="351" t="s">
        <v>412</v>
      </c>
      <c r="AW26" s="351" t="s">
        <v>412</v>
      </c>
      <c r="AX26" s="351" t="s">
        <v>412</v>
      </c>
      <c r="AY26" s="351" t="s">
        <v>412</v>
      </c>
      <c r="AZ26" s="351" t="s">
        <v>412</v>
      </c>
      <c r="BA26" s="351" t="s">
        <v>412</v>
      </c>
      <c r="BB26" s="351" t="s">
        <v>412</v>
      </c>
      <c r="BC26" s="1747"/>
      <c r="BF26" s="967"/>
    </row>
    <row r="27" spans="1:58" s="165" customFormat="1" ht="14.25" hidden="1" customHeight="1">
      <c r="A27" s="277"/>
      <c r="B27" s="671"/>
      <c r="C27" s="122"/>
      <c r="D27" s="122"/>
      <c r="E27" s="682">
        <v>0</v>
      </c>
      <c r="F27" s="122"/>
      <c r="T27" s="122"/>
      <c r="U27" s="122"/>
      <c r="V27" s="129"/>
      <c r="W27" s="122"/>
      <c r="X27" s="122"/>
      <c r="Y27" s="122"/>
      <c r="Z27" s="122"/>
      <c r="AB27" s="447"/>
      <c r="AC27" s="446"/>
      <c r="AD27" s="318"/>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F27" s="967"/>
    </row>
    <row r="28" spans="1:58" ht="11.1" hidden="1" customHeight="1">
      <c r="E28" s="676">
        <v>11.4</v>
      </c>
      <c r="F28" s="126" cm="1">
        <f t="array" ref="F28">X28</f>
        <v>0</v>
      </c>
      <c r="G28" s="163" cm="1">
        <f t="array" ref="G28">INDEX('Общие сведения'!$AL$187:$AL$236,MATCH($F28,'Общие сведения'!$Z$187:$Z$236,0))</f>
        <v>0</v>
      </c>
      <c r="T28" s="687" t="b">
        <f>AND(X28&gt;0,G28="передача тепловой энергии")</f>
        <v>0</v>
      </c>
      <c r="V28" s="126" t="s">
        <v>315</v>
      </c>
      <c r="X28" s="1726">
        <v>0</v>
      </c>
      <c r="Z28" s="1726"/>
      <c r="AB28" s="398" t="str" cm="1">
        <f t="array" ref="AB28">INDEX('Общие сведения'!$AG$187:$AG$236,MATCH($F28,'Общие сведения'!$Z$187:$Z$236,0))</f>
        <v xml:space="preserve">Тариф 0 (Теплоснабжение) - </v>
      </c>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row>
    <row r="29" spans="1:58" ht="16.7" hidden="1" customHeight="1">
      <c r="E29" s="676">
        <v>17.100000000000001</v>
      </c>
      <c r="F29" s="779" cm="1">
        <f t="array" aca="1" ref="F29" ca="1">OFFSET(G29,-1,-1)</f>
        <v>0</v>
      </c>
      <c r="T29" s="687" t="b" cm="1">
        <f t="array" ref="T29">T28</f>
        <v>0</v>
      </c>
      <c r="X29" s="1726"/>
      <c r="Z29" s="1726"/>
      <c r="AB29" s="475" t="s">
        <v>341</v>
      </c>
      <c r="AC29" s="476" t="s">
        <v>736</v>
      </c>
      <c r="AD29" s="121" t="s">
        <v>634</v>
      </c>
      <c r="AE29" s="32"/>
      <c r="AF29" s="32"/>
      <c r="AG29" s="32"/>
      <c r="AH29" s="32"/>
      <c r="AI29" s="416"/>
      <c r="AJ29" s="416"/>
      <c r="AK29" s="416"/>
      <c r="AL29" s="416"/>
      <c r="AM29" s="416"/>
      <c r="AN29" s="32"/>
      <c r="AO29" s="32"/>
      <c r="AP29" s="32"/>
      <c r="AQ29" s="32"/>
      <c r="AR29" s="32"/>
      <c r="AS29" s="416"/>
      <c r="AT29" s="416"/>
      <c r="AU29" s="416"/>
      <c r="AV29" s="416"/>
      <c r="AW29" s="416"/>
      <c r="AX29" s="32"/>
      <c r="AY29" s="32"/>
      <c r="AZ29" s="32"/>
      <c r="BA29" s="32"/>
      <c r="BB29" s="32"/>
      <c r="BC29" s="28"/>
      <c r="BF29" s="1006" t="s">
        <v>737</v>
      </c>
    </row>
    <row r="30" spans="1:58" ht="16.7" hidden="1" customHeight="1">
      <c r="E30" s="676">
        <v>17.100000000000001</v>
      </c>
      <c r="F30" s="779" cm="1">
        <f t="array" aca="1" ref="F30" ca="1">OFFSET(G30,-1,-1)</f>
        <v>0</v>
      </c>
      <c r="T30" s="687" t="b" cm="1">
        <f t="array" ref="T30">T29</f>
        <v>0</v>
      </c>
      <c r="X30" s="1726"/>
      <c r="Z30" s="1726"/>
      <c r="AB30" s="475" t="s">
        <v>348</v>
      </c>
      <c r="AC30" s="476" t="s">
        <v>738</v>
      </c>
      <c r="AD30" s="121" t="s">
        <v>634</v>
      </c>
      <c r="AE30" s="40"/>
      <c r="AF30" s="40"/>
      <c r="AG30" s="40"/>
      <c r="AH30" s="40"/>
      <c r="AI30" s="415"/>
      <c r="AJ30" s="415"/>
      <c r="AK30" s="415"/>
      <c r="AL30" s="415"/>
      <c r="AM30" s="415"/>
      <c r="AN30" s="40"/>
      <c r="AO30" s="40"/>
      <c r="AP30" s="40"/>
      <c r="AQ30" s="40"/>
      <c r="AR30" s="40"/>
      <c r="AS30" s="415"/>
      <c r="AT30" s="415"/>
      <c r="AU30" s="415"/>
      <c r="AV30" s="415"/>
      <c r="AW30" s="415"/>
      <c r="AX30" s="40"/>
      <c r="AY30" s="40"/>
      <c r="AZ30" s="40"/>
      <c r="BA30" s="40"/>
      <c r="BB30" s="40"/>
      <c r="BC30" s="28"/>
      <c r="BF30" s="1006" t="s">
        <v>739</v>
      </c>
    </row>
    <row r="31" spans="1:58" ht="16.7" hidden="1" customHeight="1">
      <c r="E31" s="676">
        <v>17.100000000000001</v>
      </c>
      <c r="F31" s="779" cm="1">
        <f t="array" aca="1" ref="F31" ca="1">OFFSET(G31,-1,-1)</f>
        <v>0</v>
      </c>
      <c r="T31" s="687" t="b" cm="1">
        <f t="array" ref="T31">T30</f>
        <v>0</v>
      </c>
      <c r="X31" s="1726"/>
      <c r="Z31" s="1726"/>
      <c r="AB31" s="419" t="s">
        <v>491</v>
      </c>
      <c r="AC31" s="428" t="s">
        <v>740</v>
      </c>
      <c r="AD31" s="121" t="s">
        <v>533</v>
      </c>
      <c r="AE31" s="478">
        <f t="shared" ref="AE31:BB31" si="2">IF(AE29=0,0,AE30/AE29)</f>
        <v>0</v>
      </c>
      <c r="AF31" s="478">
        <f t="shared" si="2"/>
        <v>0</v>
      </c>
      <c r="AG31" s="478">
        <f t="shared" si="2"/>
        <v>0</v>
      </c>
      <c r="AH31" s="478">
        <f t="shared" si="2"/>
        <v>0</v>
      </c>
      <c r="AI31" s="478">
        <f t="shared" si="2"/>
        <v>0</v>
      </c>
      <c r="AJ31" s="478">
        <f t="shared" si="2"/>
        <v>0</v>
      </c>
      <c r="AK31" s="478">
        <f t="shared" si="2"/>
        <v>0</v>
      </c>
      <c r="AL31" s="478">
        <f t="shared" si="2"/>
        <v>0</v>
      </c>
      <c r="AM31" s="478">
        <f t="shared" si="2"/>
        <v>0</v>
      </c>
      <c r="AN31" s="478">
        <f t="shared" si="2"/>
        <v>0</v>
      </c>
      <c r="AO31" s="478">
        <f t="shared" si="2"/>
        <v>0</v>
      </c>
      <c r="AP31" s="478">
        <f t="shared" si="2"/>
        <v>0</v>
      </c>
      <c r="AQ31" s="478">
        <f t="shared" si="2"/>
        <v>0</v>
      </c>
      <c r="AR31" s="478">
        <f t="shared" si="2"/>
        <v>0</v>
      </c>
      <c r="AS31" s="478">
        <f t="shared" si="2"/>
        <v>0</v>
      </c>
      <c r="AT31" s="478">
        <f t="shared" si="2"/>
        <v>0</v>
      </c>
      <c r="AU31" s="478">
        <f t="shared" si="2"/>
        <v>0</v>
      </c>
      <c r="AV31" s="478">
        <f t="shared" si="2"/>
        <v>0</v>
      </c>
      <c r="AW31" s="478">
        <f t="shared" si="2"/>
        <v>0</v>
      </c>
      <c r="AX31" s="478">
        <f t="shared" si="2"/>
        <v>0</v>
      </c>
      <c r="AY31" s="478">
        <f t="shared" si="2"/>
        <v>0</v>
      </c>
      <c r="AZ31" s="478">
        <f t="shared" si="2"/>
        <v>0</v>
      </c>
      <c r="BA31" s="478">
        <f t="shared" si="2"/>
        <v>0</v>
      </c>
      <c r="BB31" s="478">
        <f t="shared" si="2"/>
        <v>0</v>
      </c>
      <c r="BC31" s="28"/>
      <c r="BF31" s="1006" t="s">
        <v>741</v>
      </c>
    </row>
    <row r="32" spans="1:58" ht="16.7" hidden="1" customHeight="1">
      <c r="E32" s="676">
        <v>17.100000000000001</v>
      </c>
      <c r="F32" s="779" cm="1">
        <f t="array" aca="1" ref="F32" ca="1">OFFSET(G32,-1,-1)</f>
        <v>0</v>
      </c>
      <c r="T32" s="687" t="b" cm="1">
        <f t="array" ref="T32">T31</f>
        <v>0</v>
      </c>
      <c r="X32" s="1726"/>
      <c r="Z32" s="1726"/>
      <c r="AB32" s="414" t="s">
        <v>437</v>
      </c>
      <c r="AC32" s="477" t="s">
        <v>742</v>
      </c>
      <c r="AD32" s="121" t="s">
        <v>634</v>
      </c>
      <c r="AE32" s="417">
        <f t="shared" ref="AE32:BB32" si="3">AE29-AE30</f>
        <v>0</v>
      </c>
      <c r="AF32" s="417">
        <f t="shared" si="3"/>
        <v>0</v>
      </c>
      <c r="AG32" s="417">
        <f t="shared" si="3"/>
        <v>0</v>
      </c>
      <c r="AH32" s="417">
        <f t="shared" si="3"/>
        <v>0</v>
      </c>
      <c r="AI32" s="417">
        <f t="shared" si="3"/>
        <v>0</v>
      </c>
      <c r="AJ32" s="417">
        <f t="shared" si="3"/>
        <v>0</v>
      </c>
      <c r="AK32" s="417">
        <f t="shared" si="3"/>
        <v>0</v>
      </c>
      <c r="AL32" s="417">
        <f t="shared" si="3"/>
        <v>0</v>
      </c>
      <c r="AM32" s="417">
        <f t="shared" si="3"/>
        <v>0</v>
      </c>
      <c r="AN32" s="417">
        <f t="shared" si="3"/>
        <v>0</v>
      </c>
      <c r="AO32" s="417">
        <f t="shared" si="3"/>
        <v>0</v>
      </c>
      <c r="AP32" s="417">
        <f t="shared" si="3"/>
        <v>0</v>
      </c>
      <c r="AQ32" s="417">
        <f t="shared" si="3"/>
        <v>0</v>
      </c>
      <c r="AR32" s="417">
        <f t="shared" si="3"/>
        <v>0</v>
      </c>
      <c r="AS32" s="417">
        <f t="shared" si="3"/>
        <v>0</v>
      </c>
      <c r="AT32" s="417">
        <f t="shared" si="3"/>
        <v>0</v>
      </c>
      <c r="AU32" s="417">
        <f t="shared" si="3"/>
        <v>0</v>
      </c>
      <c r="AV32" s="417">
        <f t="shared" si="3"/>
        <v>0</v>
      </c>
      <c r="AW32" s="417">
        <f t="shared" si="3"/>
        <v>0</v>
      </c>
      <c r="AX32" s="417">
        <f t="shared" si="3"/>
        <v>0</v>
      </c>
      <c r="AY32" s="417">
        <f t="shared" si="3"/>
        <v>0</v>
      </c>
      <c r="AZ32" s="417">
        <f t="shared" si="3"/>
        <v>0</v>
      </c>
      <c r="BA32" s="417">
        <f t="shared" si="3"/>
        <v>0</v>
      </c>
      <c r="BB32" s="417">
        <f t="shared" si="3"/>
        <v>0</v>
      </c>
      <c r="BC32" s="28"/>
      <c r="BF32" s="1006" t="s">
        <v>743</v>
      </c>
    </row>
    <row r="33" spans="1:58" ht="16.7" hidden="1" customHeight="1">
      <c r="E33" s="676">
        <v>17.100000000000001</v>
      </c>
      <c r="F33" s="779" cm="1">
        <f t="array" aca="1" ref="F33" ca="1">OFFSET(G33,-1,-1)</f>
        <v>0</v>
      </c>
      <c r="T33" s="687" t="b" cm="1">
        <f t="array" ref="T33">T32</f>
        <v>0</v>
      </c>
      <c r="X33" s="1726"/>
      <c r="Z33" s="1726"/>
      <c r="AB33" s="418" t="s">
        <v>744</v>
      </c>
      <c r="AC33" s="466" t="s">
        <v>745</v>
      </c>
      <c r="AD33" s="121" t="s">
        <v>634</v>
      </c>
      <c r="AE33" s="32"/>
      <c r="AF33" s="32"/>
      <c r="AG33" s="32"/>
      <c r="AH33" s="32"/>
      <c r="AI33" s="416"/>
      <c r="AJ33" s="416"/>
      <c r="AK33" s="416"/>
      <c r="AL33" s="416"/>
      <c r="AM33" s="416"/>
      <c r="AN33" s="32"/>
      <c r="AO33" s="32"/>
      <c r="AP33" s="32"/>
      <c r="AQ33" s="32"/>
      <c r="AR33" s="32"/>
      <c r="AS33" s="416"/>
      <c r="AT33" s="416"/>
      <c r="AU33" s="416"/>
      <c r="AV33" s="416"/>
      <c r="AW33" s="416"/>
      <c r="AX33" s="32"/>
      <c r="AY33" s="32"/>
      <c r="AZ33" s="32"/>
      <c r="BA33" s="32"/>
      <c r="BB33" s="32"/>
      <c r="BC33" s="28"/>
      <c r="BF33" s="1006" t="s">
        <v>746</v>
      </c>
    </row>
    <row r="34" spans="1:58" ht="16.7" hidden="1" customHeight="1">
      <c r="E34" s="676">
        <v>17.100000000000001</v>
      </c>
      <c r="F34" s="779" cm="1">
        <f t="array" aca="1" ref="F34" ca="1">OFFSET(G34,-1,-1)</f>
        <v>0</v>
      </c>
      <c r="T34" s="687" t="b" cm="1">
        <f t="array" ref="T34">T33</f>
        <v>0</v>
      </c>
      <c r="X34" s="1726"/>
      <c r="Z34" s="1726"/>
      <c r="AB34" s="418" t="s">
        <v>747</v>
      </c>
      <c r="AC34" s="466" t="s">
        <v>679</v>
      </c>
      <c r="AD34" s="121" t="s">
        <v>634</v>
      </c>
      <c r="AE34" s="448">
        <f t="shared" ref="AE34:BB34" si="4">AE32-AE33</f>
        <v>0</v>
      </c>
      <c r="AF34" s="448">
        <f t="shared" si="4"/>
        <v>0</v>
      </c>
      <c r="AG34" s="448">
        <f t="shared" si="4"/>
        <v>0</v>
      </c>
      <c r="AH34" s="448">
        <f t="shared" si="4"/>
        <v>0</v>
      </c>
      <c r="AI34" s="448">
        <f t="shared" si="4"/>
        <v>0</v>
      </c>
      <c r="AJ34" s="448">
        <f t="shared" si="4"/>
        <v>0</v>
      </c>
      <c r="AK34" s="448">
        <f t="shared" si="4"/>
        <v>0</v>
      </c>
      <c r="AL34" s="448">
        <f t="shared" si="4"/>
        <v>0</v>
      </c>
      <c r="AM34" s="448">
        <f t="shared" si="4"/>
        <v>0</v>
      </c>
      <c r="AN34" s="448">
        <f t="shared" si="4"/>
        <v>0</v>
      </c>
      <c r="AO34" s="448">
        <f t="shared" si="4"/>
        <v>0</v>
      </c>
      <c r="AP34" s="448">
        <f t="shared" si="4"/>
        <v>0</v>
      </c>
      <c r="AQ34" s="448">
        <f t="shared" si="4"/>
        <v>0</v>
      </c>
      <c r="AR34" s="448">
        <f t="shared" si="4"/>
        <v>0</v>
      </c>
      <c r="AS34" s="448">
        <f t="shared" si="4"/>
        <v>0</v>
      </c>
      <c r="AT34" s="448">
        <f t="shared" si="4"/>
        <v>0</v>
      </c>
      <c r="AU34" s="448">
        <f t="shared" si="4"/>
        <v>0</v>
      </c>
      <c r="AV34" s="448">
        <f t="shared" si="4"/>
        <v>0</v>
      </c>
      <c r="AW34" s="448">
        <f t="shared" si="4"/>
        <v>0</v>
      </c>
      <c r="AX34" s="448">
        <f t="shared" si="4"/>
        <v>0</v>
      </c>
      <c r="AY34" s="448">
        <f t="shared" si="4"/>
        <v>0</v>
      </c>
      <c r="AZ34" s="448">
        <f t="shared" si="4"/>
        <v>0</v>
      </c>
      <c r="BA34" s="448">
        <f t="shared" si="4"/>
        <v>0</v>
      </c>
      <c r="BB34" s="448">
        <f t="shared" si="4"/>
        <v>0</v>
      </c>
      <c r="BC34" s="28"/>
      <c r="BF34" s="1006" t="s">
        <v>748</v>
      </c>
    </row>
    <row r="35" spans="1:58" s="1229" customFormat="1" ht="10.5" hidden="1" customHeight="1">
      <c r="A35" s="983"/>
      <c r="B35" s="783"/>
      <c r="C35" s="1153"/>
      <c r="D35" s="1153"/>
      <c r="E35" s="676">
        <v>11.4</v>
      </c>
      <c r="F35" s="126" t="str" cm="1">
        <f t="array" ref="F35">X35</f>
        <v>1</v>
      </c>
      <c r="G35" s="163" t="str" cm="1">
        <f t="array" ref="G35">INDEX('Общие сведения'!$AL$187:$AL$236,MATCH($F35,'Общие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25"/>
      <c r="I35" s="425"/>
      <c r="J35" s="425"/>
      <c r="K35" s="425"/>
      <c r="L35" s="425"/>
      <c r="M35" s="425"/>
      <c r="N35" s="425"/>
      <c r="O35" s="425"/>
      <c r="P35" s="425"/>
      <c r="Q35" s="425"/>
      <c r="R35" s="425"/>
      <c r="S35" s="425"/>
      <c r="T35" s="687" t="b">
        <f>AND(X35&gt;0,G35="передача тепловой энергии")</f>
        <v>0</v>
      </c>
      <c r="U35" s="1153"/>
      <c r="V35" s="126" t="str" cm="1">
        <f t="array" ref="V35">'Баланс Пр'!$AB$96</f>
        <v>Тариф 1 (Теплоснабжение) - Тариф на тепловую энергию (мощность), поставляемую потребителям (Не определено)</v>
      </c>
      <c r="W35" s="1153"/>
      <c r="X35" s="1726" t="s">
        <v>341</v>
      </c>
      <c r="Y35" s="1153"/>
      <c r="Z35" s="1726"/>
      <c r="AA35" s="425"/>
      <c r="AB35" s="398" t="str" cm="1">
        <f t="array" ref="AB35">IF(ISBLANK('Баланс Пр'!$AB$96),"",'Баланс Пр'!$AB$96)</f>
        <v>Тариф 1 (Теплоснабжение) - Тариф на тепловую энергию (мощность), поставляемую потребителям (Не определено)</v>
      </c>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425"/>
      <c r="BE35" s="425"/>
      <c r="BF35" s="1016"/>
    </row>
    <row r="36" spans="1:58" s="1229" customFormat="1" ht="16.5" hidden="1" customHeight="1">
      <c r="A36" s="983"/>
      <c r="B36" s="783"/>
      <c r="C36" s="1153"/>
      <c r="D36" s="1153"/>
      <c r="E36" s="676">
        <v>17.100000000000001</v>
      </c>
      <c r="F36" s="779" t="str" cm="1">
        <f t="array" aca="1" ref="F36" ca="1">OFFSET(G36,-1,-1)</f>
        <v>1</v>
      </c>
      <c r="G36" s="425"/>
      <c r="H36" s="425"/>
      <c r="I36" s="425"/>
      <c r="J36" s="425"/>
      <c r="K36" s="425"/>
      <c r="L36" s="425"/>
      <c r="M36" s="425"/>
      <c r="N36" s="425"/>
      <c r="O36" s="425"/>
      <c r="P36" s="425"/>
      <c r="Q36" s="425"/>
      <c r="R36" s="425"/>
      <c r="S36" s="425"/>
      <c r="T36" s="687" t="b" cm="1">
        <f t="array" ref="T36">T35</f>
        <v>0</v>
      </c>
      <c r="U36" s="1153"/>
      <c r="V36" s="1153"/>
      <c r="W36" s="1153"/>
      <c r="X36" s="1726"/>
      <c r="Y36" s="1153"/>
      <c r="Z36" s="1726"/>
      <c r="AA36" s="425"/>
      <c r="AB36" s="475" t="s">
        <v>341</v>
      </c>
      <c r="AC36" s="476" t="s">
        <v>736</v>
      </c>
      <c r="AD36" s="121" t="s">
        <v>634</v>
      </c>
      <c r="AE36" s="32"/>
      <c r="AF36" s="32"/>
      <c r="AG36" s="32"/>
      <c r="AH36" s="32"/>
      <c r="AI36" s="416"/>
      <c r="AJ36" s="416"/>
      <c r="AK36" s="416"/>
      <c r="AL36" s="416"/>
      <c r="AM36" s="416"/>
      <c r="AN36" s="32"/>
      <c r="AO36" s="32"/>
      <c r="AP36" s="32"/>
      <c r="AQ36" s="32"/>
      <c r="AR36" s="32"/>
      <c r="AS36" s="416"/>
      <c r="AT36" s="416"/>
      <c r="AU36" s="416"/>
      <c r="AV36" s="416"/>
      <c r="AW36" s="416"/>
      <c r="AX36" s="32"/>
      <c r="AY36" s="32"/>
      <c r="AZ36" s="32"/>
      <c r="BA36" s="32"/>
      <c r="BB36" s="32"/>
      <c r="BC36" s="28"/>
      <c r="BD36" s="425"/>
      <c r="BE36" s="425"/>
      <c r="BF36" s="1006" t="s">
        <v>737</v>
      </c>
    </row>
    <row r="37" spans="1:58" s="1229" customFormat="1" ht="16.5" hidden="1" customHeight="1">
      <c r="A37" s="983"/>
      <c r="B37" s="783"/>
      <c r="C37" s="1153"/>
      <c r="D37" s="1153"/>
      <c r="E37" s="676">
        <v>17.100000000000001</v>
      </c>
      <c r="F37" s="779" t="str" cm="1">
        <f t="array" aca="1" ref="F37" ca="1">OFFSET(G37,-1,-1)</f>
        <v>1</v>
      </c>
      <c r="G37" s="425"/>
      <c r="H37" s="425"/>
      <c r="I37" s="425"/>
      <c r="J37" s="425"/>
      <c r="K37" s="425"/>
      <c r="L37" s="425"/>
      <c r="M37" s="425"/>
      <c r="N37" s="425"/>
      <c r="O37" s="425"/>
      <c r="P37" s="425"/>
      <c r="Q37" s="425"/>
      <c r="R37" s="425"/>
      <c r="S37" s="425"/>
      <c r="T37" s="687" t="b" cm="1">
        <f t="array" ref="T37">T36</f>
        <v>0</v>
      </c>
      <c r="U37" s="1153"/>
      <c r="V37" s="1153"/>
      <c r="W37" s="1153"/>
      <c r="X37" s="1726"/>
      <c r="Y37" s="1153"/>
      <c r="Z37" s="1726"/>
      <c r="AA37" s="425"/>
      <c r="AB37" s="475" t="s">
        <v>348</v>
      </c>
      <c r="AC37" s="476" t="s">
        <v>738</v>
      </c>
      <c r="AD37" s="121" t="s">
        <v>634</v>
      </c>
      <c r="AE37" s="40"/>
      <c r="AF37" s="40"/>
      <c r="AG37" s="40"/>
      <c r="AH37" s="40"/>
      <c r="AI37" s="415"/>
      <c r="AJ37" s="415"/>
      <c r="AK37" s="415"/>
      <c r="AL37" s="415"/>
      <c r="AM37" s="415"/>
      <c r="AN37" s="40"/>
      <c r="AO37" s="40"/>
      <c r="AP37" s="40"/>
      <c r="AQ37" s="40"/>
      <c r="AR37" s="40"/>
      <c r="AS37" s="415"/>
      <c r="AT37" s="415"/>
      <c r="AU37" s="415"/>
      <c r="AV37" s="415"/>
      <c r="AW37" s="415"/>
      <c r="AX37" s="40"/>
      <c r="AY37" s="40"/>
      <c r="AZ37" s="40"/>
      <c r="BA37" s="40"/>
      <c r="BB37" s="40"/>
      <c r="BC37" s="28"/>
      <c r="BD37" s="425"/>
      <c r="BE37" s="425"/>
      <c r="BF37" s="1006" t="s">
        <v>739</v>
      </c>
    </row>
    <row r="38" spans="1:58" s="1229" customFormat="1" ht="16.5" hidden="1" customHeight="1">
      <c r="A38" s="983"/>
      <c r="B38" s="783"/>
      <c r="C38" s="1153"/>
      <c r="D38" s="1153"/>
      <c r="E38" s="676">
        <v>17.100000000000001</v>
      </c>
      <c r="F38" s="779" t="str" cm="1">
        <f t="array" aca="1" ref="F38" ca="1">OFFSET(G38,-1,-1)</f>
        <v>1</v>
      </c>
      <c r="G38" s="425"/>
      <c r="H38" s="425"/>
      <c r="I38" s="425"/>
      <c r="J38" s="425"/>
      <c r="K38" s="425"/>
      <c r="L38" s="425"/>
      <c r="M38" s="425"/>
      <c r="N38" s="425"/>
      <c r="O38" s="425"/>
      <c r="P38" s="425"/>
      <c r="Q38" s="425"/>
      <c r="R38" s="425"/>
      <c r="S38" s="425"/>
      <c r="T38" s="687" t="b" cm="1">
        <f t="array" ref="T38">T37</f>
        <v>0</v>
      </c>
      <c r="U38" s="1153"/>
      <c r="V38" s="1153"/>
      <c r="W38" s="1153"/>
      <c r="X38" s="1726"/>
      <c r="Y38" s="1153"/>
      <c r="Z38" s="1726"/>
      <c r="AA38" s="425"/>
      <c r="AB38" s="419" t="s">
        <v>491</v>
      </c>
      <c r="AC38" s="428" t="s">
        <v>740</v>
      </c>
      <c r="AD38" s="121" t="s">
        <v>533</v>
      </c>
      <c r="AE38" s="478">
        <f t="shared" ref="AE38:BB38" si="5">IF(AE36=0,0,AE37/AE36)</f>
        <v>0</v>
      </c>
      <c r="AF38" s="478">
        <f t="shared" si="5"/>
        <v>0</v>
      </c>
      <c r="AG38" s="478">
        <f t="shared" si="5"/>
        <v>0</v>
      </c>
      <c r="AH38" s="478">
        <f t="shared" si="5"/>
        <v>0</v>
      </c>
      <c r="AI38" s="478">
        <f t="shared" si="5"/>
        <v>0</v>
      </c>
      <c r="AJ38" s="478">
        <f t="shared" si="5"/>
        <v>0</v>
      </c>
      <c r="AK38" s="478">
        <f t="shared" si="5"/>
        <v>0</v>
      </c>
      <c r="AL38" s="478">
        <f t="shared" si="5"/>
        <v>0</v>
      </c>
      <c r="AM38" s="478">
        <f t="shared" si="5"/>
        <v>0</v>
      </c>
      <c r="AN38" s="478">
        <f t="shared" si="5"/>
        <v>0</v>
      </c>
      <c r="AO38" s="478">
        <f t="shared" si="5"/>
        <v>0</v>
      </c>
      <c r="AP38" s="478">
        <f t="shared" si="5"/>
        <v>0</v>
      </c>
      <c r="AQ38" s="478">
        <f t="shared" si="5"/>
        <v>0</v>
      </c>
      <c r="AR38" s="478">
        <f t="shared" si="5"/>
        <v>0</v>
      </c>
      <c r="AS38" s="478">
        <f t="shared" si="5"/>
        <v>0</v>
      </c>
      <c r="AT38" s="478">
        <f t="shared" si="5"/>
        <v>0</v>
      </c>
      <c r="AU38" s="478">
        <f t="shared" si="5"/>
        <v>0</v>
      </c>
      <c r="AV38" s="478">
        <f t="shared" si="5"/>
        <v>0</v>
      </c>
      <c r="AW38" s="478">
        <f t="shared" si="5"/>
        <v>0</v>
      </c>
      <c r="AX38" s="478">
        <f t="shared" si="5"/>
        <v>0</v>
      </c>
      <c r="AY38" s="478">
        <f t="shared" si="5"/>
        <v>0</v>
      </c>
      <c r="AZ38" s="478">
        <f t="shared" si="5"/>
        <v>0</v>
      </c>
      <c r="BA38" s="478">
        <f t="shared" si="5"/>
        <v>0</v>
      </c>
      <c r="BB38" s="478">
        <f t="shared" si="5"/>
        <v>0</v>
      </c>
      <c r="BC38" s="28"/>
      <c r="BD38" s="425"/>
      <c r="BE38" s="425"/>
      <c r="BF38" s="1006" t="s">
        <v>741</v>
      </c>
    </row>
    <row r="39" spans="1:58" s="1229" customFormat="1" ht="16.5" hidden="1" customHeight="1">
      <c r="A39" s="983"/>
      <c r="B39" s="783"/>
      <c r="C39" s="1153"/>
      <c r="D39" s="1153"/>
      <c r="E39" s="676">
        <v>17.100000000000001</v>
      </c>
      <c r="F39" s="779" t="str" cm="1">
        <f t="array" aca="1" ref="F39" ca="1">OFFSET(G39,-1,-1)</f>
        <v>1</v>
      </c>
      <c r="G39" s="425"/>
      <c r="H39" s="425"/>
      <c r="I39" s="425"/>
      <c r="J39" s="425"/>
      <c r="K39" s="425"/>
      <c r="L39" s="425"/>
      <c r="M39" s="425"/>
      <c r="N39" s="425"/>
      <c r="O39" s="425"/>
      <c r="P39" s="425"/>
      <c r="Q39" s="425"/>
      <c r="R39" s="425"/>
      <c r="S39" s="425"/>
      <c r="T39" s="687" t="b" cm="1">
        <f t="array" ref="T39">T38</f>
        <v>0</v>
      </c>
      <c r="U39" s="1153"/>
      <c r="V39" s="1153"/>
      <c r="W39" s="1153"/>
      <c r="X39" s="1726"/>
      <c r="Y39" s="1153"/>
      <c r="Z39" s="1726"/>
      <c r="AA39" s="425"/>
      <c r="AB39" s="414" t="s">
        <v>437</v>
      </c>
      <c r="AC39" s="477" t="s">
        <v>742</v>
      </c>
      <c r="AD39" s="121" t="s">
        <v>634</v>
      </c>
      <c r="AE39" s="417">
        <f t="shared" ref="AE39:BB39" si="6">AE36-AE37</f>
        <v>0</v>
      </c>
      <c r="AF39" s="417">
        <f t="shared" si="6"/>
        <v>0</v>
      </c>
      <c r="AG39" s="417">
        <f t="shared" si="6"/>
        <v>0</v>
      </c>
      <c r="AH39" s="417">
        <f t="shared" si="6"/>
        <v>0</v>
      </c>
      <c r="AI39" s="417">
        <f t="shared" si="6"/>
        <v>0</v>
      </c>
      <c r="AJ39" s="417">
        <f t="shared" si="6"/>
        <v>0</v>
      </c>
      <c r="AK39" s="417">
        <f t="shared" si="6"/>
        <v>0</v>
      </c>
      <c r="AL39" s="417">
        <f t="shared" si="6"/>
        <v>0</v>
      </c>
      <c r="AM39" s="417">
        <f t="shared" si="6"/>
        <v>0</v>
      </c>
      <c r="AN39" s="417">
        <f t="shared" si="6"/>
        <v>0</v>
      </c>
      <c r="AO39" s="417">
        <f t="shared" si="6"/>
        <v>0</v>
      </c>
      <c r="AP39" s="417">
        <f t="shared" si="6"/>
        <v>0</v>
      </c>
      <c r="AQ39" s="417">
        <f t="shared" si="6"/>
        <v>0</v>
      </c>
      <c r="AR39" s="417">
        <f t="shared" si="6"/>
        <v>0</v>
      </c>
      <c r="AS39" s="417">
        <f t="shared" si="6"/>
        <v>0</v>
      </c>
      <c r="AT39" s="417">
        <f t="shared" si="6"/>
        <v>0</v>
      </c>
      <c r="AU39" s="417">
        <f t="shared" si="6"/>
        <v>0</v>
      </c>
      <c r="AV39" s="417">
        <f t="shared" si="6"/>
        <v>0</v>
      </c>
      <c r="AW39" s="417">
        <f t="shared" si="6"/>
        <v>0</v>
      </c>
      <c r="AX39" s="417">
        <f t="shared" si="6"/>
        <v>0</v>
      </c>
      <c r="AY39" s="417">
        <f t="shared" si="6"/>
        <v>0</v>
      </c>
      <c r="AZ39" s="417">
        <f t="shared" si="6"/>
        <v>0</v>
      </c>
      <c r="BA39" s="417">
        <f t="shared" si="6"/>
        <v>0</v>
      </c>
      <c r="BB39" s="417">
        <f t="shared" si="6"/>
        <v>0</v>
      </c>
      <c r="BC39" s="28"/>
      <c r="BD39" s="425"/>
      <c r="BE39" s="425"/>
      <c r="BF39" s="1006" t="s">
        <v>743</v>
      </c>
    </row>
    <row r="40" spans="1:58" s="1229" customFormat="1" ht="16.5" hidden="1" customHeight="1">
      <c r="A40" s="983"/>
      <c r="B40" s="783"/>
      <c r="C40" s="1153"/>
      <c r="D40" s="1153"/>
      <c r="E40" s="676">
        <v>17.100000000000001</v>
      </c>
      <c r="F40" s="779" t="str" cm="1">
        <f t="array" aca="1" ref="F40" ca="1">OFFSET(G40,-1,-1)</f>
        <v>1</v>
      </c>
      <c r="G40" s="425"/>
      <c r="H40" s="425"/>
      <c r="I40" s="425"/>
      <c r="J40" s="425"/>
      <c r="K40" s="425"/>
      <c r="L40" s="425"/>
      <c r="M40" s="425"/>
      <c r="N40" s="425"/>
      <c r="O40" s="425"/>
      <c r="P40" s="425"/>
      <c r="Q40" s="425"/>
      <c r="R40" s="425"/>
      <c r="S40" s="425"/>
      <c r="T40" s="687" t="b" cm="1">
        <f t="array" ref="T40">T39</f>
        <v>0</v>
      </c>
      <c r="U40" s="1153"/>
      <c r="V40" s="1153"/>
      <c r="W40" s="1153"/>
      <c r="X40" s="1726"/>
      <c r="Y40" s="1153"/>
      <c r="Z40" s="1726"/>
      <c r="AA40" s="425"/>
      <c r="AB40" s="418" t="s">
        <v>744</v>
      </c>
      <c r="AC40" s="466" t="s">
        <v>745</v>
      </c>
      <c r="AD40" s="121" t="s">
        <v>634</v>
      </c>
      <c r="AE40" s="32"/>
      <c r="AF40" s="32"/>
      <c r="AG40" s="32"/>
      <c r="AH40" s="32"/>
      <c r="AI40" s="416"/>
      <c r="AJ40" s="416"/>
      <c r="AK40" s="416"/>
      <c r="AL40" s="416"/>
      <c r="AM40" s="416"/>
      <c r="AN40" s="32"/>
      <c r="AO40" s="32"/>
      <c r="AP40" s="32"/>
      <c r="AQ40" s="32"/>
      <c r="AR40" s="32"/>
      <c r="AS40" s="416"/>
      <c r="AT40" s="416"/>
      <c r="AU40" s="416"/>
      <c r="AV40" s="416"/>
      <c r="AW40" s="416"/>
      <c r="AX40" s="32"/>
      <c r="AY40" s="32"/>
      <c r="AZ40" s="32"/>
      <c r="BA40" s="32"/>
      <c r="BB40" s="32"/>
      <c r="BC40" s="28"/>
      <c r="BD40" s="425"/>
      <c r="BE40" s="425"/>
      <c r="BF40" s="1006" t="s">
        <v>746</v>
      </c>
    </row>
    <row r="41" spans="1:58" s="1229" customFormat="1" ht="16.5" hidden="1" customHeight="1">
      <c r="A41" s="983"/>
      <c r="B41" s="783"/>
      <c r="C41" s="1153"/>
      <c r="D41" s="1153"/>
      <c r="E41" s="676">
        <v>17.100000000000001</v>
      </c>
      <c r="F41" s="779" t="str" cm="1">
        <f t="array" aca="1" ref="F41" ca="1">OFFSET(G41,-1,-1)</f>
        <v>1</v>
      </c>
      <c r="G41" s="425"/>
      <c r="H41" s="425"/>
      <c r="I41" s="425"/>
      <c r="J41" s="425"/>
      <c r="K41" s="425"/>
      <c r="L41" s="425"/>
      <c r="M41" s="425"/>
      <c r="N41" s="425"/>
      <c r="O41" s="425"/>
      <c r="P41" s="425"/>
      <c r="Q41" s="425"/>
      <c r="R41" s="425"/>
      <c r="S41" s="425"/>
      <c r="T41" s="687" t="b" cm="1">
        <f t="array" ref="T41">T40</f>
        <v>0</v>
      </c>
      <c r="U41" s="1153"/>
      <c r="V41" s="1153"/>
      <c r="W41" s="1153"/>
      <c r="X41" s="1726"/>
      <c r="Y41" s="1153"/>
      <c r="Z41" s="1726"/>
      <c r="AA41" s="425"/>
      <c r="AB41" s="418" t="s">
        <v>747</v>
      </c>
      <c r="AC41" s="466" t="s">
        <v>679</v>
      </c>
      <c r="AD41" s="121" t="s">
        <v>634</v>
      </c>
      <c r="AE41" s="448">
        <f t="shared" ref="AE41:BB41" si="7">AE39-AE40</f>
        <v>0</v>
      </c>
      <c r="AF41" s="448">
        <f t="shared" si="7"/>
        <v>0</v>
      </c>
      <c r="AG41" s="448">
        <f t="shared" si="7"/>
        <v>0</v>
      </c>
      <c r="AH41" s="448">
        <f t="shared" si="7"/>
        <v>0</v>
      </c>
      <c r="AI41" s="448">
        <f t="shared" si="7"/>
        <v>0</v>
      </c>
      <c r="AJ41" s="448">
        <f t="shared" si="7"/>
        <v>0</v>
      </c>
      <c r="AK41" s="448">
        <f t="shared" si="7"/>
        <v>0</v>
      </c>
      <c r="AL41" s="448">
        <f t="shared" si="7"/>
        <v>0</v>
      </c>
      <c r="AM41" s="448">
        <f t="shared" si="7"/>
        <v>0</v>
      </c>
      <c r="AN41" s="448">
        <f t="shared" si="7"/>
        <v>0</v>
      </c>
      <c r="AO41" s="448">
        <f t="shared" si="7"/>
        <v>0</v>
      </c>
      <c r="AP41" s="448">
        <f t="shared" si="7"/>
        <v>0</v>
      </c>
      <c r="AQ41" s="448">
        <f t="shared" si="7"/>
        <v>0</v>
      </c>
      <c r="AR41" s="448">
        <f t="shared" si="7"/>
        <v>0</v>
      </c>
      <c r="AS41" s="448">
        <f t="shared" si="7"/>
        <v>0</v>
      </c>
      <c r="AT41" s="448">
        <f t="shared" si="7"/>
        <v>0</v>
      </c>
      <c r="AU41" s="448">
        <f t="shared" si="7"/>
        <v>0</v>
      </c>
      <c r="AV41" s="448">
        <f t="shared" si="7"/>
        <v>0</v>
      </c>
      <c r="AW41" s="448">
        <f t="shared" si="7"/>
        <v>0</v>
      </c>
      <c r="AX41" s="448">
        <f t="shared" si="7"/>
        <v>0</v>
      </c>
      <c r="AY41" s="448">
        <f t="shared" si="7"/>
        <v>0</v>
      </c>
      <c r="AZ41" s="448">
        <f t="shared" si="7"/>
        <v>0</v>
      </c>
      <c r="BA41" s="448">
        <f t="shared" si="7"/>
        <v>0</v>
      </c>
      <c r="BB41" s="448">
        <f t="shared" si="7"/>
        <v>0</v>
      </c>
      <c r="BC41" s="28"/>
      <c r="BD41" s="425"/>
      <c r="BE41" s="425"/>
      <c r="BF41" s="1006" t="s">
        <v>748</v>
      </c>
    </row>
    <row r="42" spans="1:58" s="1229" customFormat="1" ht="10.5" hidden="1" customHeight="1">
      <c r="A42" s="983"/>
      <c r="B42" s="783"/>
      <c r="C42" s="1153"/>
      <c r="D42" s="1153"/>
      <c r="E42" s="676">
        <v>11.4</v>
      </c>
      <c r="F42" s="126" t="str" cm="1">
        <f t="array" ref="F42">X42</f>
        <v>2</v>
      </c>
      <c r="G42" s="163" t="str" cm="1">
        <f t="array" ref="G42">INDEX('Общие сведения'!$AL$187:$AL$236,MATCH($F42,'Общие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H42" s="425"/>
      <c r="I42" s="425"/>
      <c r="J42" s="425"/>
      <c r="K42" s="425"/>
      <c r="L42" s="425"/>
      <c r="M42" s="425"/>
      <c r="N42" s="425"/>
      <c r="O42" s="425"/>
      <c r="P42" s="425"/>
      <c r="Q42" s="425"/>
      <c r="R42" s="425"/>
      <c r="S42" s="425"/>
      <c r="T42" s="687" t="b">
        <f>AND(X42&gt;0,G42="передача тепловой энергии")</f>
        <v>0</v>
      </c>
      <c r="U42" s="1153"/>
      <c r="V42" s="126" t="str" cm="1">
        <f t="array" ref="V42">'Баланс Пр'!$AB$164</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2" s="1153"/>
      <c r="X42" s="1726" t="s">
        <v>348</v>
      </c>
      <c r="Y42" s="1153"/>
      <c r="Z42" s="1726"/>
      <c r="AA42" s="425"/>
      <c r="AB42" s="398" t="str" cm="1">
        <f t="array" ref="AB42">IF(ISBLANK('Баланс Пр'!$AB$164),"",'Баланс Пр'!$AB$164)</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425"/>
      <c r="BE42" s="425"/>
      <c r="BF42" s="1016"/>
    </row>
    <row r="43" spans="1:58" s="1229" customFormat="1" ht="16.5" hidden="1" customHeight="1">
      <c r="A43" s="983"/>
      <c r="B43" s="783"/>
      <c r="C43" s="1153"/>
      <c r="D43" s="1153"/>
      <c r="E43" s="676">
        <v>17.100000000000001</v>
      </c>
      <c r="F43" s="779" t="str" cm="1">
        <f t="array" aca="1" ref="F43" ca="1">OFFSET(G43,-1,-1)</f>
        <v>2</v>
      </c>
      <c r="G43" s="425"/>
      <c r="H43" s="425"/>
      <c r="I43" s="425"/>
      <c r="J43" s="425"/>
      <c r="K43" s="425"/>
      <c r="L43" s="425"/>
      <c r="M43" s="425"/>
      <c r="N43" s="425"/>
      <c r="O43" s="425"/>
      <c r="P43" s="425"/>
      <c r="Q43" s="425"/>
      <c r="R43" s="425"/>
      <c r="S43" s="425"/>
      <c r="T43" s="687" t="b" cm="1">
        <f t="array" ref="T43">T42</f>
        <v>0</v>
      </c>
      <c r="U43" s="1153"/>
      <c r="V43" s="1153"/>
      <c r="W43" s="1153"/>
      <c r="X43" s="1726"/>
      <c r="Y43" s="1153"/>
      <c r="Z43" s="1726"/>
      <c r="AA43" s="425"/>
      <c r="AB43" s="475" t="s">
        <v>341</v>
      </c>
      <c r="AC43" s="476" t="s">
        <v>736</v>
      </c>
      <c r="AD43" s="121" t="s">
        <v>634</v>
      </c>
      <c r="AE43" s="32"/>
      <c r="AF43" s="32"/>
      <c r="AG43" s="32"/>
      <c r="AH43" s="32"/>
      <c r="AI43" s="416"/>
      <c r="AJ43" s="416"/>
      <c r="AK43" s="416"/>
      <c r="AL43" s="416"/>
      <c r="AM43" s="416"/>
      <c r="AN43" s="32"/>
      <c r="AO43" s="32"/>
      <c r="AP43" s="32"/>
      <c r="AQ43" s="32"/>
      <c r="AR43" s="32"/>
      <c r="AS43" s="416"/>
      <c r="AT43" s="416"/>
      <c r="AU43" s="416"/>
      <c r="AV43" s="416"/>
      <c r="AW43" s="416"/>
      <c r="AX43" s="32"/>
      <c r="AY43" s="32"/>
      <c r="AZ43" s="32"/>
      <c r="BA43" s="32"/>
      <c r="BB43" s="32"/>
      <c r="BC43" s="28"/>
      <c r="BD43" s="425"/>
      <c r="BE43" s="425"/>
      <c r="BF43" s="1006" t="s">
        <v>737</v>
      </c>
    </row>
    <row r="44" spans="1:58" s="1229" customFormat="1" ht="16.5" hidden="1" customHeight="1">
      <c r="A44" s="983"/>
      <c r="B44" s="783"/>
      <c r="C44" s="1153"/>
      <c r="D44" s="1153"/>
      <c r="E44" s="676">
        <v>17.100000000000001</v>
      </c>
      <c r="F44" s="779" t="str" cm="1">
        <f t="array" aca="1" ref="F44" ca="1">OFFSET(G44,-1,-1)</f>
        <v>2</v>
      </c>
      <c r="G44" s="425"/>
      <c r="H44" s="425"/>
      <c r="I44" s="425"/>
      <c r="J44" s="425"/>
      <c r="K44" s="425"/>
      <c r="L44" s="425"/>
      <c r="M44" s="425"/>
      <c r="N44" s="425"/>
      <c r="O44" s="425"/>
      <c r="P44" s="425"/>
      <c r="Q44" s="425"/>
      <c r="R44" s="425"/>
      <c r="S44" s="425"/>
      <c r="T44" s="687" t="b" cm="1">
        <f t="array" ref="T44">T43</f>
        <v>0</v>
      </c>
      <c r="U44" s="1153"/>
      <c r="V44" s="1153"/>
      <c r="W44" s="1153"/>
      <c r="X44" s="1726"/>
      <c r="Y44" s="1153"/>
      <c r="Z44" s="1726"/>
      <c r="AA44" s="425"/>
      <c r="AB44" s="475" t="s">
        <v>348</v>
      </c>
      <c r="AC44" s="476" t="s">
        <v>738</v>
      </c>
      <c r="AD44" s="121" t="s">
        <v>634</v>
      </c>
      <c r="AE44" s="40"/>
      <c r="AF44" s="40"/>
      <c r="AG44" s="40"/>
      <c r="AH44" s="40"/>
      <c r="AI44" s="415"/>
      <c r="AJ44" s="415"/>
      <c r="AK44" s="415"/>
      <c r="AL44" s="415"/>
      <c r="AM44" s="415"/>
      <c r="AN44" s="40"/>
      <c r="AO44" s="40"/>
      <c r="AP44" s="40"/>
      <c r="AQ44" s="40"/>
      <c r="AR44" s="40"/>
      <c r="AS44" s="415"/>
      <c r="AT44" s="415"/>
      <c r="AU44" s="415"/>
      <c r="AV44" s="415"/>
      <c r="AW44" s="415"/>
      <c r="AX44" s="40"/>
      <c r="AY44" s="40"/>
      <c r="AZ44" s="40"/>
      <c r="BA44" s="40"/>
      <c r="BB44" s="40"/>
      <c r="BC44" s="28"/>
      <c r="BD44" s="425"/>
      <c r="BE44" s="425"/>
      <c r="BF44" s="1006" t="s">
        <v>739</v>
      </c>
    </row>
    <row r="45" spans="1:58" s="1229" customFormat="1" ht="16.5" hidden="1" customHeight="1">
      <c r="A45" s="983"/>
      <c r="B45" s="783"/>
      <c r="C45" s="1153"/>
      <c r="D45" s="1153"/>
      <c r="E45" s="676">
        <v>17.100000000000001</v>
      </c>
      <c r="F45" s="779" t="str" cm="1">
        <f t="array" aca="1" ref="F45" ca="1">OFFSET(G45,-1,-1)</f>
        <v>2</v>
      </c>
      <c r="G45" s="425"/>
      <c r="H45" s="425"/>
      <c r="I45" s="425"/>
      <c r="J45" s="425"/>
      <c r="K45" s="425"/>
      <c r="L45" s="425"/>
      <c r="M45" s="425"/>
      <c r="N45" s="425"/>
      <c r="O45" s="425"/>
      <c r="P45" s="425"/>
      <c r="Q45" s="425"/>
      <c r="R45" s="425"/>
      <c r="S45" s="425"/>
      <c r="T45" s="687" t="b" cm="1">
        <f t="array" ref="T45">T44</f>
        <v>0</v>
      </c>
      <c r="U45" s="1153"/>
      <c r="V45" s="1153"/>
      <c r="W45" s="1153"/>
      <c r="X45" s="1726"/>
      <c r="Y45" s="1153"/>
      <c r="Z45" s="1726"/>
      <c r="AA45" s="425"/>
      <c r="AB45" s="419" t="s">
        <v>491</v>
      </c>
      <c r="AC45" s="428" t="s">
        <v>740</v>
      </c>
      <c r="AD45" s="121" t="s">
        <v>533</v>
      </c>
      <c r="AE45" s="478">
        <f t="shared" ref="AE45:BB45" si="8">IF(AE43=0,0,AE44/AE43)</f>
        <v>0</v>
      </c>
      <c r="AF45" s="478">
        <f t="shared" si="8"/>
        <v>0</v>
      </c>
      <c r="AG45" s="478">
        <f t="shared" si="8"/>
        <v>0</v>
      </c>
      <c r="AH45" s="478">
        <f t="shared" si="8"/>
        <v>0</v>
      </c>
      <c r="AI45" s="478">
        <f t="shared" si="8"/>
        <v>0</v>
      </c>
      <c r="AJ45" s="478">
        <f t="shared" si="8"/>
        <v>0</v>
      </c>
      <c r="AK45" s="478">
        <f t="shared" si="8"/>
        <v>0</v>
      </c>
      <c r="AL45" s="478">
        <f t="shared" si="8"/>
        <v>0</v>
      </c>
      <c r="AM45" s="478">
        <f t="shared" si="8"/>
        <v>0</v>
      </c>
      <c r="AN45" s="478">
        <f t="shared" si="8"/>
        <v>0</v>
      </c>
      <c r="AO45" s="478">
        <f t="shared" si="8"/>
        <v>0</v>
      </c>
      <c r="AP45" s="478">
        <f t="shared" si="8"/>
        <v>0</v>
      </c>
      <c r="AQ45" s="478">
        <f t="shared" si="8"/>
        <v>0</v>
      </c>
      <c r="AR45" s="478">
        <f t="shared" si="8"/>
        <v>0</v>
      </c>
      <c r="AS45" s="478">
        <f t="shared" si="8"/>
        <v>0</v>
      </c>
      <c r="AT45" s="478">
        <f t="shared" si="8"/>
        <v>0</v>
      </c>
      <c r="AU45" s="478">
        <f t="shared" si="8"/>
        <v>0</v>
      </c>
      <c r="AV45" s="478">
        <f t="shared" si="8"/>
        <v>0</v>
      </c>
      <c r="AW45" s="478">
        <f t="shared" si="8"/>
        <v>0</v>
      </c>
      <c r="AX45" s="478">
        <f t="shared" si="8"/>
        <v>0</v>
      </c>
      <c r="AY45" s="478">
        <f t="shared" si="8"/>
        <v>0</v>
      </c>
      <c r="AZ45" s="478">
        <f t="shared" si="8"/>
        <v>0</v>
      </c>
      <c r="BA45" s="478">
        <f t="shared" si="8"/>
        <v>0</v>
      </c>
      <c r="BB45" s="478">
        <f t="shared" si="8"/>
        <v>0</v>
      </c>
      <c r="BC45" s="28"/>
      <c r="BD45" s="425"/>
      <c r="BE45" s="425"/>
      <c r="BF45" s="1006" t="s">
        <v>741</v>
      </c>
    </row>
    <row r="46" spans="1:58" s="1229" customFormat="1" ht="16.5" hidden="1" customHeight="1">
      <c r="A46" s="983"/>
      <c r="B46" s="783"/>
      <c r="C46" s="1153"/>
      <c r="D46" s="1153"/>
      <c r="E46" s="676">
        <v>17.100000000000001</v>
      </c>
      <c r="F46" s="779" t="str" cm="1">
        <f t="array" aca="1" ref="F46" ca="1">OFFSET(G46,-1,-1)</f>
        <v>2</v>
      </c>
      <c r="G46" s="425"/>
      <c r="H46" s="425"/>
      <c r="I46" s="425"/>
      <c r="J46" s="425"/>
      <c r="K46" s="425"/>
      <c r="L46" s="425"/>
      <c r="M46" s="425"/>
      <c r="N46" s="425"/>
      <c r="O46" s="425"/>
      <c r="P46" s="425"/>
      <c r="Q46" s="425"/>
      <c r="R46" s="425"/>
      <c r="S46" s="425"/>
      <c r="T46" s="687" t="b" cm="1">
        <f t="array" ref="T46">T45</f>
        <v>0</v>
      </c>
      <c r="U46" s="1153"/>
      <c r="V46" s="1153"/>
      <c r="W46" s="1153"/>
      <c r="X46" s="1726"/>
      <c r="Y46" s="1153"/>
      <c r="Z46" s="1726"/>
      <c r="AA46" s="425"/>
      <c r="AB46" s="414" t="s">
        <v>437</v>
      </c>
      <c r="AC46" s="477" t="s">
        <v>742</v>
      </c>
      <c r="AD46" s="121" t="s">
        <v>634</v>
      </c>
      <c r="AE46" s="417">
        <f t="shared" ref="AE46:BB46" si="9">AE43-AE44</f>
        <v>0</v>
      </c>
      <c r="AF46" s="417">
        <f t="shared" si="9"/>
        <v>0</v>
      </c>
      <c r="AG46" s="417">
        <f t="shared" si="9"/>
        <v>0</v>
      </c>
      <c r="AH46" s="417">
        <f t="shared" si="9"/>
        <v>0</v>
      </c>
      <c r="AI46" s="417">
        <f t="shared" si="9"/>
        <v>0</v>
      </c>
      <c r="AJ46" s="417">
        <f t="shared" si="9"/>
        <v>0</v>
      </c>
      <c r="AK46" s="417">
        <f t="shared" si="9"/>
        <v>0</v>
      </c>
      <c r="AL46" s="417">
        <f t="shared" si="9"/>
        <v>0</v>
      </c>
      <c r="AM46" s="417">
        <f t="shared" si="9"/>
        <v>0</v>
      </c>
      <c r="AN46" s="417">
        <f t="shared" si="9"/>
        <v>0</v>
      </c>
      <c r="AO46" s="417">
        <f t="shared" si="9"/>
        <v>0</v>
      </c>
      <c r="AP46" s="417">
        <f t="shared" si="9"/>
        <v>0</v>
      </c>
      <c r="AQ46" s="417">
        <f t="shared" si="9"/>
        <v>0</v>
      </c>
      <c r="AR46" s="417">
        <f t="shared" si="9"/>
        <v>0</v>
      </c>
      <c r="AS46" s="417">
        <f t="shared" si="9"/>
        <v>0</v>
      </c>
      <c r="AT46" s="417">
        <f t="shared" si="9"/>
        <v>0</v>
      </c>
      <c r="AU46" s="417">
        <f t="shared" si="9"/>
        <v>0</v>
      </c>
      <c r="AV46" s="417">
        <f t="shared" si="9"/>
        <v>0</v>
      </c>
      <c r="AW46" s="417">
        <f t="shared" si="9"/>
        <v>0</v>
      </c>
      <c r="AX46" s="417">
        <f t="shared" si="9"/>
        <v>0</v>
      </c>
      <c r="AY46" s="417">
        <f t="shared" si="9"/>
        <v>0</v>
      </c>
      <c r="AZ46" s="417">
        <f t="shared" si="9"/>
        <v>0</v>
      </c>
      <c r="BA46" s="417">
        <f t="shared" si="9"/>
        <v>0</v>
      </c>
      <c r="BB46" s="417">
        <f t="shared" si="9"/>
        <v>0</v>
      </c>
      <c r="BC46" s="28"/>
      <c r="BD46" s="425"/>
      <c r="BE46" s="425"/>
      <c r="BF46" s="1006" t="s">
        <v>743</v>
      </c>
    </row>
    <row r="47" spans="1:58" s="1229" customFormat="1" ht="16.5" hidden="1" customHeight="1">
      <c r="A47" s="983"/>
      <c r="B47" s="783"/>
      <c r="C47" s="1153"/>
      <c r="D47" s="1153"/>
      <c r="E47" s="676">
        <v>17.100000000000001</v>
      </c>
      <c r="F47" s="779" t="str" cm="1">
        <f t="array" aca="1" ref="F47" ca="1">OFFSET(G47,-1,-1)</f>
        <v>2</v>
      </c>
      <c r="G47" s="425"/>
      <c r="H47" s="425"/>
      <c r="I47" s="425"/>
      <c r="J47" s="425"/>
      <c r="K47" s="425"/>
      <c r="L47" s="425"/>
      <c r="M47" s="425"/>
      <c r="N47" s="425"/>
      <c r="O47" s="425"/>
      <c r="P47" s="425"/>
      <c r="Q47" s="425"/>
      <c r="R47" s="425"/>
      <c r="S47" s="425"/>
      <c r="T47" s="687" t="b" cm="1">
        <f t="array" ref="T47">T46</f>
        <v>0</v>
      </c>
      <c r="U47" s="1153"/>
      <c r="V47" s="1153"/>
      <c r="W47" s="1153"/>
      <c r="X47" s="1726"/>
      <c r="Y47" s="1153"/>
      <c r="Z47" s="1726"/>
      <c r="AA47" s="425"/>
      <c r="AB47" s="418" t="s">
        <v>744</v>
      </c>
      <c r="AC47" s="466" t="s">
        <v>745</v>
      </c>
      <c r="AD47" s="121" t="s">
        <v>634</v>
      </c>
      <c r="AE47" s="32"/>
      <c r="AF47" s="32"/>
      <c r="AG47" s="32"/>
      <c r="AH47" s="32"/>
      <c r="AI47" s="416"/>
      <c r="AJ47" s="416"/>
      <c r="AK47" s="416"/>
      <c r="AL47" s="416"/>
      <c r="AM47" s="416"/>
      <c r="AN47" s="32"/>
      <c r="AO47" s="32"/>
      <c r="AP47" s="32"/>
      <c r="AQ47" s="32"/>
      <c r="AR47" s="32"/>
      <c r="AS47" s="416"/>
      <c r="AT47" s="416"/>
      <c r="AU47" s="416"/>
      <c r="AV47" s="416"/>
      <c r="AW47" s="416"/>
      <c r="AX47" s="32"/>
      <c r="AY47" s="32"/>
      <c r="AZ47" s="32"/>
      <c r="BA47" s="32"/>
      <c r="BB47" s="32"/>
      <c r="BC47" s="28"/>
      <c r="BD47" s="425"/>
      <c r="BE47" s="425"/>
      <c r="BF47" s="1006" t="s">
        <v>746</v>
      </c>
    </row>
    <row r="48" spans="1:58" s="1229" customFormat="1" ht="16.5" hidden="1" customHeight="1">
      <c r="A48" s="983"/>
      <c r="B48" s="783"/>
      <c r="C48" s="1153"/>
      <c r="D48" s="1153"/>
      <c r="E48" s="676">
        <v>17.100000000000001</v>
      </c>
      <c r="F48" s="779" t="str" cm="1">
        <f t="array" aca="1" ref="F48" ca="1">OFFSET(G48,-1,-1)</f>
        <v>2</v>
      </c>
      <c r="G48" s="425"/>
      <c r="H48" s="425"/>
      <c r="I48" s="425"/>
      <c r="J48" s="425"/>
      <c r="K48" s="425"/>
      <c r="L48" s="425"/>
      <c r="M48" s="425"/>
      <c r="N48" s="425"/>
      <c r="O48" s="425"/>
      <c r="P48" s="425"/>
      <c r="Q48" s="425"/>
      <c r="R48" s="425"/>
      <c r="S48" s="425"/>
      <c r="T48" s="687" t="b" cm="1">
        <f t="array" ref="T48">T47</f>
        <v>0</v>
      </c>
      <c r="U48" s="1153"/>
      <c r="V48" s="1153"/>
      <c r="W48" s="1153"/>
      <c r="X48" s="1726"/>
      <c r="Y48" s="1153"/>
      <c r="Z48" s="1726"/>
      <c r="AA48" s="425"/>
      <c r="AB48" s="418" t="s">
        <v>747</v>
      </c>
      <c r="AC48" s="466" t="s">
        <v>679</v>
      </c>
      <c r="AD48" s="121" t="s">
        <v>634</v>
      </c>
      <c r="AE48" s="448">
        <f t="shared" ref="AE48:BB48" si="10">AE46-AE47</f>
        <v>0</v>
      </c>
      <c r="AF48" s="448">
        <f t="shared" si="10"/>
        <v>0</v>
      </c>
      <c r="AG48" s="448">
        <f t="shared" si="10"/>
        <v>0</v>
      </c>
      <c r="AH48" s="448">
        <f t="shared" si="10"/>
        <v>0</v>
      </c>
      <c r="AI48" s="448">
        <f t="shared" si="10"/>
        <v>0</v>
      </c>
      <c r="AJ48" s="448">
        <f t="shared" si="10"/>
        <v>0</v>
      </c>
      <c r="AK48" s="448">
        <f t="shared" si="10"/>
        <v>0</v>
      </c>
      <c r="AL48" s="448">
        <f t="shared" si="10"/>
        <v>0</v>
      </c>
      <c r="AM48" s="448">
        <f t="shared" si="10"/>
        <v>0</v>
      </c>
      <c r="AN48" s="448">
        <f t="shared" si="10"/>
        <v>0</v>
      </c>
      <c r="AO48" s="448">
        <f t="shared" si="10"/>
        <v>0</v>
      </c>
      <c r="AP48" s="448">
        <f t="shared" si="10"/>
        <v>0</v>
      </c>
      <c r="AQ48" s="448">
        <f t="shared" si="10"/>
        <v>0</v>
      </c>
      <c r="AR48" s="448">
        <f t="shared" si="10"/>
        <v>0</v>
      </c>
      <c r="AS48" s="448">
        <f t="shared" si="10"/>
        <v>0</v>
      </c>
      <c r="AT48" s="448">
        <f t="shared" si="10"/>
        <v>0</v>
      </c>
      <c r="AU48" s="448">
        <f t="shared" si="10"/>
        <v>0</v>
      </c>
      <c r="AV48" s="448">
        <f t="shared" si="10"/>
        <v>0</v>
      </c>
      <c r="AW48" s="448">
        <f t="shared" si="10"/>
        <v>0</v>
      </c>
      <c r="AX48" s="448">
        <f t="shared" si="10"/>
        <v>0</v>
      </c>
      <c r="AY48" s="448">
        <f t="shared" si="10"/>
        <v>0</v>
      </c>
      <c r="AZ48" s="448">
        <f t="shared" si="10"/>
        <v>0</v>
      </c>
      <c r="BA48" s="448">
        <f t="shared" si="10"/>
        <v>0</v>
      </c>
      <c r="BB48" s="448">
        <f t="shared" si="10"/>
        <v>0</v>
      </c>
      <c r="BC48" s="28"/>
      <c r="BD48" s="425"/>
      <c r="BE48" s="425"/>
      <c r="BF48" s="1006" t="s">
        <v>748</v>
      </c>
    </row>
    <row r="49" spans="5:56" ht="11.1" customHeight="1">
      <c r="E49" s="676">
        <v>11.4</v>
      </c>
      <c r="U49" s="126" t="s">
        <v>238</v>
      </c>
      <c r="V49" s="122" t="s">
        <v>749</v>
      </c>
    </row>
    <row r="50" spans="5:56" ht="11.25" hidden="1" customHeight="1">
      <c r="E50" s="676">
        <v>0</v>
      </c>
      <c r="V50" s="129"/>
    </row>
    <row r="51" spans="5:56" ht="14.65" customHeight="1">
      <c r="E51" s="676">
        <v>15</v>
      </c>
      <c r="V51" s="129"/>
      <c r="AB51" s="1738" t="s">
        <v>734</v>
      </c>
      <c r="AC51" s="1738"/>
      <c r="AD51" s="1738"/>
      <c r="AE51" s="1739"/>
      <c r="AF51" s="1739"/>
      <c r="AG51" s="1739"/>
      <c r="AH51" s="1739"/>
      <c r="AI51" s="1739"/>
      <c r="AJ51" s="1739"/>
      <c r="AK51" s="1739"/>
      <c r="AL51" s="1739"/>
      <c r="AM51" s="1739"/>
      <c r="AN51" s="1739"/>
      <c r="AO51" s="1739"/>
      <c r="AP51" s="1739"/>
      <c r="AQ51" s="1739"/>
      <c r="AR51" s="1739"/>
      <c r="AS51" s="1739"/>
      <c r="AT51" s="1739"/>
      <c r="AU51" s="1739"/>
      <c r="AV51" s="1739"/>
      <c r="AW51" s="1739"/>
      <c r="AX51" s="1739"/>
      <c r="AY51" s="1739"/>
      <c r="AZ51" s="1739"/>
      <c r="BA51" s="1739"/>
      <c r="BB51" s="1739"/>
      <c r="BC51" s="1739"/>
    </row>
    <row r="52" spans="5:56" ht="14.65" customHeight="1">
      <c r="E52" s="676">
        <v>15</v>
      </c>
      <c r="V52" s="129"/>
      <c r="AA52" s="778"/>
      <c r="AB52" s="1740"/>
      <c r="AC52" s="1741"/>
      <c r="AD52" s="1741"/>
      <c r="AE52" s="1741"/>
      <c r="AF52" s="1741"/>
      <c r="AG52" s="1741"/>
      <c r="AH52" s="1741"/>
      <c r="AI52" s="1741"/>
      <c r="AJ52" s="1741"/>
      <c r="AK52" s="1741"/>
      <c r="AL52" s="1741"/>
      <c r="AM52" s="1741"/>
      <c r="AN52" s="1742"/>
      <c r="AO52" s="1742"/>
      <c r="AP52" s="1742"/>
      <c r="AQ52" s="1742"/>
      <c r="AR52" s="1742"/>
      <c r="AS52" s="1741"/>
      <c r="AT52" s="1741"/>
      <c r="AU52" s="1741"/>
      <c r="AV52" s="1741"/>
      <c r="AW52" s="1741"/>
      <c r="AX52" s="1742"/>
      <c r="AY52" s="1742"/>
      <c r="AZ52" s="1742"/>
      <c r="BA52" s="1742"/>
      <c r="BB52" s="1742"/>
      <c r="BC52" s="1743"/>
    </row>
    <row r="53" spans="5:56" ht="14.65" hidden="1" customHeight="1">
      <c r="E53" s="676">
        <v>15</v>
      </c>
      <c r="T53" s="687" t="b">
        <f>ROW(W53)&gt;ROW(W$53)</f>
        <v>0</v>
      </c>
      <c r="V53" s="129"/>
      <c r="W53" s="126" t="s">
        <v>236</v>
      </c>
      <c r="AA53" s="774" t="s">
        <v>218</v>
      </c>
      <c r="AB53" s="1744"/>
      <c r="AC53" s="1742"/>
      <c r="AD53" s="1742"/>
      <c r="AE53" s="1742"/>
      <c r="AF53" s="1742"/>
      <c r="AG53" s="1742"/>
      <c r="AH53" s="1742"/>
      <c r="AI53" s="1741"/>
      <c r="AJ53" s="1741"/>
      <c r="AK53" s="1741"/>
      <c r="AL53" s="1741"/>
      <c r="AM53" s="1741"/>
      <c r="AN53" s="1742"/>
      <c r="AO53" s="1742"/>
      <c r="AP53" s="1742"/>
      <c r="AQ53" s="1742"/>
      <c r="AR53" s="1742"/>
      <c r="AS53" s="1741"/>
      <c r="AT53" s="1741"/>
      <c r="AU53" s="1741"/>
      <c r="AV53" s="1741"/>
      <c r="AW53" s="1741"/>
      <c r="AX53" s="1742"/>
      <c r="AY53" s="1742"/>
      <c r="AZ53" s="1742"/>
      <c r="BA53" s="1742"/>
      <c r="BB53" s="1742"/>
      <c r="BC53" s="1745"/>
    </row>
    <row r="54" spans="5:56" ht="14.65" customHeight="1">
      <c r="E54" s="676">
        <v>15</v>
      </c>
      <c r="W54" s="122" t="s">
        <v>237</v>
      </c>
      <c r="AB54" s="1736" t="s">
        <v>735</v>
      </c>
      <c r="AC54" s="1737"/>
      <c r="AD54" s="324"/>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294"/>
    </row>
    <row r="55" spans="5:56" ht="11.25" customHeight="1">
      <c r="BD55" s="163"/>
    </row>
  </sheetData>
  <sheetProtection formatColumns="0" formatRows="0" insertRows="0" deleteColumns="0" deleteRows="0" sort="0" autoFilter="0"/>
  <mergeCells count="15">
    <mergeCell ref="AB24:BC24"/>
    <mergeCell ref="AB25:AB26"/>
    <mergeCell ref="AC25:AC26"/>
    <mergeCell ref="AD25:AD26"/>
    <mergeCell ref="BC25:BC26"/>
    <mergeCell ref="AB53:BC53"/>
    <mergeCell ref="X28:X34"/>
    <mergeCell ref="Z28:Z34"/>
    <mergeCell ref="AB54:AC54"/>
    <mergeCell ref="AB52:BC52"/>
    <mergeCell ref="AB51:BC51"/>
    <mergeCell ref="X35:X41"/>
    <mergeCell ref="Z35:Z41"/>
    <mergeCell ref="X42:X48"/>
    <mergeCell ref="Z42:Z48"/>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12447-A943-B238-D33A-F3BF5C5516D8}">
  <sheetPr>
    <tabColor rgb="FFFFC000"/>
    <outlinePr summaryBelow="0"/>
  </sheetPr>
  <dimension ref="A1:DB436"/>
  <sheetViews>
    <sheetView showGridLines="0" workbookViewId="0">
      <pane xSplit="33" ySplit="26" topLeftCell="AZ365" activePane="bottomRight" state="frozen"/>
      <selection pane="topRight" activeCell="AH1" sqref="AH1"/>
      <selection pane="bottomLeft" activeCell="A27" sqref="A27"/>
      <selection pane="bottomRight" activeCell="BQ152" sqref="BQ152"/>
    </sheetView>
  </sheetViews>
  <sheetFormatPr defaultColWidth="9.140625" defaultRowHeight="11.25" customHeight="1"/>
  <cols>
    <col min="1" max="1" width="3.5703125" style="1155" hidden="1" customWidth="1"/>
    <col min="2" max="2" width="4.7109375" style="783" hidden="1" customWidth="1"/>
    <col min="3" max="4" width="3.5703125" style="1155" hidden="1" customWidth="1"/>
    <col min="5" max="5" width="8.42578125" style="782" hidden="1" customWidth="1"/>
    <col min="6" max="6" width="6.42578125" style="1155" hidden="1" customWidth="1"/>
    <col min="7" max="11" width="3.5703125" style="814" hidden="1" customWidth="1"/>
    <col min="12" max="12" width="7.7109375" style="814" hidden="1" customWidth="1"/>
    <col min="13" max="17" width="3.5703125" style="814" hidden="1" customWidth="1"/>
    <col min="18" max="18" width="7.7109375" style="1155" hidden="1" customWidth="1"/>
    <col min="19" max="19" width="7.7109375" style="779" hidden="1" customWidth="1"/>
    <col min="20" max="20" width="8.140625" style="1155" hidden="1" customWidth="1"/>
    <col min="21" max="21" width="8" style="1155" hidden="1" customWidth="1"/>
    <col min="22" max="22" width="6" style="1155" hidden="1" customWidth="1"/>
    <col min="23" max="24" width="6.28515625" style="1155" hidden="1" customWidth="1"/>
    <col min="25" max="25" width="5.7109375" style="1155" hidden="1" customWidth="1"/>
    <col min="26" max="26" width="5.42578125" style="1155" hidden="1" customWidth="1"/>
    <col min="27" max="27" width="3" style="699" customWidth="1"/>
    <col min="28" max="28" width="2.7109375" customWidth="1"/>
    <col min="29" max="29" width="3.5703125" customWidth="1"/>
    <col min="30" max="30" width="10" customWidth="1"/>
    <col min="31" max="31" width="45" customWidth="1"/>
    <col min="32" max="32" width="30" customWidth="1"/>
    <col min="33" max="33" width="20" customWidth="1"/>
    <col min="34" max="52" width="16.28515625" customWidth="1"/>
    <col min="53" max="67" width="16.28515625" hidden="1" customWidth="1"/>
    <col min="68" max="82" width="16.28515625" customWidth="1"/>
    <col min="83" max="97" width="16.28515625" hidden="1" customWidth="1"/>
    <col min="98" max="98" width="26" customWidth="1"/>
    <col min="99" max="99" width="3" customWidth="1"/>
    <col min="100" max="100" width="9.140625" hidden="1"/>
    <col min="101" max="101" width="9.140625" style="977" hidden="1"/>
    <col min="102" max="104" width="9.140625" style="975" hidden="1"/>
    <col min="105" max="106" width="9.140625" style="976" hidden="1"/>
  </cols>
  <sheetData>
    <row r="1" spans="1:106" s="1155" customFormat="1" ht="12" hidden="1" customHeight="1">
      <c r="B1" s="667"/>
      <c r="E1" s="667"/>
      <c r="F1" s="698" t="s">
        <v>83</v>
      </c>
      <c r="G1" s="617"/>
      <c r="H1" s="617"/>
      <c r="I1" s="617"/>
      <c r="J1" s="617"/>
      <c r="K1" s="617"/>
      <c r="L1" s="617"/>
      <c r="M1" s="617"/>
      <c r="N1" s="617"/>
      <c r="O1" s="617"/>
      <c r="P1" s="617"/>
      <c r="Q1" s="617"/>
      <c r="S1" s="799" t="s">
        <v>750</v>
      </c>
      <c r="T1" s="799" t="s">
        <v>751</v>
      </c>
      <c r="U1" s="687" t="s">
        <v>86</v>
      </c>
      <c r="V1" s="687" t="s">
        <v>91</v>
      </c>
      <c r="W1" s="687" t="s">
        <v>87</v>
      </c>
      <c r="X1" s="687" t="s">
        <v>88</v>
      </c>
      <c r="Y1" s="687" t="s">
        <v>89</v>
      </c>
      <c r="Z1" s="687" t="s">
        <v>93</v>
      </c>
      <c r="AC1" s="698" t="s">
        <v>90</v>
      </c>
      <c r="AD1" s="698" t="s">
        <v>382</v>
      </c>
      <c r="AE1" s="698" t="s">
        <v>92</v>
      </c>
      <c r="CW1" s="970" t="s">
        <v>383</v>
      </c>
      <c r="CX1" s="969" t="s">
        <v>384</v>
      </c>
      <c r="CY1" s="969" t="s">
        <v>385</v>
      </c>
      <c r="CZ1" s="969" t="s">
        <v>752</v>
      </c>
      <c r="DA1" s="972" t="s">
        <v>388</v>
      </c>
      <c r="DB1" s="972" t="s">
        <v>389</v>
      </c>
    </row>
    <row r="2" spans="1:106" s="783" customFormat="1" ht="12" hidden="1" customHeight="1">
      <c r="B2" s="768" t="s">
        <v>15</v>
      </c>
      <c r="G2" s="786"/>
      <c r="H2" s="786"/>
      <c r="I2" s="786"/>
      <c r="J2" s="786"/>
      <c r="K2" s="786"/>
      <c r="L2" s="786"/>
      <c r="M2" s="786"/>
      <c r="N2" s="786"/>
      <c r="O2" s="786"/>
      <c r="P2" s="786"/>
      <c r="Q2" s="786"/>
      <c r="AO2" s="688" t="b">
        <f t="shared" ref="AO2:BT2" si="0">AO6&lt;=last_year_vis</f>
        <v>1</v>
      </c>
      <c r="AP2" s="688" t="b">
        <f t="shared" si="0"/>
        <v>1</v>
      </c>
      <c r="AQ2" s="688" t="b">
        <f t="shared" si="0"/>
        <v>1</v>
      </c>
      <c r="AR2" s="688" t="b">
        <f t="shared" si="0"/>
        <v>1</v>
      </c>
      <c r="AS2" s="688" t="b">
        <f t="shared" si="0"/>
        <v>1</v>
      </c>
      <c r="AT2" s="688" t="b">
        <f t="shared" si="0"/>
        <v>1</v>
      </c>
      <c r="AU2" s="688" t="b">
        <f t="shared" si="0"/>
        <v>1</v>
      </c>
      <c r="AV2" s="688" t="b">
        <f t="shared" si="0"/>
        <v>1</v>
      </c>
      <c r="AW2" s="688" t="b">
        <f t="shared" si="0"/>
        <v>1</v>
      </c>
      <c r="AX2" s="688" t="b">
        <f t="shared" si="0"/>
        <v>1</v>
      </c>
      <c r="AY2" s="688" t="b">
        <f t="shared" si="0"/>
        <v>1</v>
      </c>
      <c r="AZ2" s="688" t="b">
        <f t="shared" si="0"/>
        <v>1</v>
      </c>
      <c r="BA2" s="688" t="b">
        <f t="shared" si="0"/>
        <v>0</v>
      </c>
      <c r="BB2" s="688" t="b">
        <f t="shared" si="0"/>
        <v>0</v>
      </c>
      <c r="BC2" s="688" t="b">
        <f t="shared" si="0"/>
        <v>0</v>
      </c>
      <c r="BD2" s="688" t="b">
        <f t="shared" si="0"/>
        <v>0</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N2" s="688" t="b">
        <f t="shared" si="0"/>
        <v>0</v>
      </c>
      <c r="BO2" s="688" t="b">
        <f t="shared" si="0"/>
        <v>0</v>
      </c>
      <c r="BP2" s="688" t="b">
        <f t="shared" si="0"/>
        <v>1</v>
      </c>
      <c r="BQ2" s="688" t="b">
        <f t="shared" si="0"/>
        <v>1</v>
      </c>
      <c r="BR2" s="688" t="b">
        <f t="shared" si="0"/>
        <v>1</v>
      </c>
      <c r="BS2" s="688" t="b">
        <f t="shared" si="0"/>
        <v>1</v>
      </c>
      <c r="BT2" s="688" t="b">
        <f t="shared" si="0"/>
        <v>1</v>
      </c>
      <c r="BU2" s="688" t="b">
        <f t="shared" ref="BU2:CS2" si="1">BU6&lt;=last_year_vis</f>
        <v>1</v>
      </c>
      <c r="BV2" s="688" t="b">
        <f t="shared" si="1"/>
        <v>1</v>
      </c>
      <c r="BW2" s="688" t="b">
        <f t="shared" si="1"/>
        <v>1</v>
      </c>
      <c r="BX2" s="688" t="b">
        <f t="shared" si="1"/>
        <v>1</v>
      </c>
      <c r="BY2" s="688" t="b">
        <f t="shared" si="1"/>
        <v>1</v>
      </c>
      <c r="BZ2" s="688" t="b">
        <f t="shared" si="1"/>
        <v>1</v>
      </c>
      <c r="CA2" s="688" t="b">
        <f t="shared" si="1"/>
        <v>1</v>
      </c>
      <c r="CB2" s="688" t="b">
        <f t="shared" si="1"/>
        <v>1</v>
      </c>
      <c r="CC2" s="688" t="b">
        <f t="shared" si="1"/>
        <v>1</v>
      </c>
      <c r="CD2" s="688" t="b">
        <f t="shared" si="1"/>
        <v>1</v>
      </c>
      <c r="CE2" s="688" t="b">
        <f t="shared" si="1"/>
        <v>0</v>
      </c>
      <c r="CF2" s="688" t="b">
        <f t="shared" si="1"/>
        <v>0</v>
      </c>
      <c r="CG2" s="688" t="b">
        <f t="shared" si="1"/>
        <v>0</v>
      </c>
      <c r="CH2" s="688" t="b">
        <f t="shared" si="1"/>
        <v>0</v>
      </c>
      <c r="CI2" s="688" t="b">
        <f t="shared" si="1"/>
        <v>0</v>
      </c>
      <c r="CJ2" s="688" t="b">
        <f t="shared" si="1"/>
        <v>0</v>
      </c>
      <c r="CK2" s="688" t="b">
        <f t="shared" si="1"/>
        <v>0</v>
      </c>
      <c r="CL2" s="688" t="b">
        <f t="shared" si="1"/>
        <v>0</v>
      </c>
      <c r="CM2" s="688" t="b">
        <f t="shared" si="1"/>
        <v>0</v>
      </c>
      <c r="CN2" s="688" t="b">
        <f t="shared" si="1"/>
        <v>0</v>
      </c>
      <c r="CO2" s="688" t="b">
        <f t="shared" si="1"/>
        <v>0</v>
      </c>
      <c r="CP2" s="688" t="b">
        <f t="shared" si="1"/>
        <v>0</v>
      </c>
      <c r="CQ2" s="688" t="b">
        <f t="shared" si="1"/>
        <v>0</v>
      </c>
      <c r="CR2" s="688" t="b">
        <f t="shared" si="1"/>
        <v>0</v>
      </c>
      <c r="CS2" s="688" t="b">
        <f t="shared" si="1"/>
        <v>0</v>
      </c>
      <c r="CW2" s="973"/>
      <c r="CX2" s="951"/>
      <c r="CY2" s="951"/>
      <c r="CZ2" s="951"/>
      <c r="DA2" s="676"/>
      <c r="DB2" s="676"/>
    </row>
    <row r="3" spans="1:106" s="1155" customFormat="1" ht="12" hidden="1" customHeight="1">
      <c r="B3" s="667"/>
      <c r="E3" s="667"/>
      <c r="G3" s="617"/>
      <c r="H3" s="617"/>
      <c r="I3" s="617"/>
      <c r="J3" s="617"/>
      <c r="K3" s="617"/>
      <c r="L3" s="617"/>
      <c r="M3" s="617"/>
      <c r="N3" s="617"/>
      <c r="O3" s="617"/>
      <c r="P3" s="617"/>
      <c r="Q3" s="617"/>
      <c r="S3" s="779"/>
      <c r="CW3" s="970"/>
      <c r="CX3" s="969"/>
      <c r="CY3" s="969"/>
      <c r="CZ3" s="969"/>
      <c r="DA3" s="972"/>
      <c r="DB3" s="972"/>
    </row>
    <row r="4" spans="1:106" s="1155" customFormat="1" ht="12" hidden="1" customHeight="1">
      <c r="B4" s="667"/>
      <c r="E4" s="667"/>
      <c r="G4" s="617"/>
      <c r="H4" s="617"/>
      <c r="I4" s="617"/>
      <c r="J4" s="617"/>
      <c r="K4" s="617"/>
      <c r="L4" s="617"/>
      <c r="M4" s="617"/>
      <c r="N4" s="617"/>
      <c r="O4" s="617"/>
      <c r="P4" s="617"/>
      <c r="Q4" s="617"/>
      <c r="S4" s="779"/>
      <c r="CW4" s="970"/>
      <c r="CX4" s="969"/>
      <c r="CY4" s="969"/>
      <c r="CZ4" s="969"/>
      <c r="DA4" s="972"/>
      <c r="DB4" s="972"/>
    </row>
    <row r="5" spans="1:106" s="782" customFormat="1" ht="12" hidden="1" customHeight="1">
      <c r="A5" s="667"/>
      <c r="B5" s="667"/>
      <c r="C5" s="667"/>
      <c r="D5" s="667"/>
      <c r="E5" s="676" t="s">
        <v>16</v>
      </c>
      <c r="G5" s="787"/>
      <c r="H5" s="787"/>
      <c r="I5" s="787"/>
      <c r="J5" s="787"/>
      <c r="K5" s="787"/>
      <c r="L5" s="787"/>
      <c r="M5" s="787"/>
      <c r="N5" s="787"/>
      <c r="O5" s="787"/>
      <c r="P5" s="787"/>
      <c r="Q5" s="787"/>
      <c r="AA5" s="676">
        <v>3</v>
      </c>
      <c r="AB5" s="676">
        <v>2.75</v>
      </c>
      <c r="AD5" s="676">
        <v>10</v>
      </c>
      <c r="AE5" s="676">
        <v>45</v>
      </c>
      <c r="AF5" s="676">
        <v>30</v>
      </c>
      <c r="AG5" s="676">
        <v>20</v>
      </c>
      <c r="AH5" s="676">
        <v>16.25</v>
      </c>
      <c r="AI5" s="676">
        <v>16.25</v>
      </c>
      <c r="AJ5" s="676">
        <v>16.25</v>
      </c>
      <c r="AK5" s="676">
        <v>16.25</v>
      </c>
      <c r="AL5" s="676">
        <v>16.25</v>
      </c>
      <c r="AM5" s="676">
        <v>16.25</v>
      </c>
      <c r="AN5" s="676">
        <v>16.25</v>
      </c>
      <c r="AO5" s="676">
        <v>16.25</v>
      </c>
      <c r="AP5" s="676">
        <v>16.25</v>
      </c>
      <c r="AQ5" s="676">
        <v>16.25</v>
      </c>
      <c r="AR5" s="676">
        <v>16.25</v>
      </c>
      <c r="AS5" s="676">
        <v>16.25</v>
      </c>
      <c r="AT5" s="676">
        <v>16.25</v>
      </c>
      <c r="AU5" s="676">
        <v>16.25</v>
      </c>
      <c r="AV5" s="676">
        <v>16.25</v>
      </c>
      <c r="AW5" s="676">
        <v>16.25</v>
      </c>
      <c r="AX5" s="676">
        <v>16.25</v>
      </c>
      <c r="AY5" s="676">
        <v>16.25</v>
      </c>
      <c r="AZ5" s="676">
        <v>16.25</v>
      </c>
      <c r="BA5" s="676">
        <v>16.25</v>
      </c>
      <c r="BB5" s="676">
        <v>16.25</v>
      </c>
      <c r="BC5" s="676">
        <v>16.25</v>
      </c>
      <c r="BD5" s="676">
        <v>16.25</v>
      </c>
      <c r="BE5" s="676">
        <v>16.25</v>
      </c>
      <c r="BF5" s="676">
        <v>16.25</v>
      </c>
      <c r="BG5" s="676">
        <v>16.25</v>
      </c>
      <c r="BH5" s="676">
        <v>16.25</v>
      </c>
      <c r="BI5" s="676">
        <v>16.25</v>
      </c>
      <c r="BJ5" s="676">
        <v>16.25</v>
      </c>
      <c r="BK5" s="676">
        <v>16.25</v>
      </c>
      <c r="BL5" s="676">
        <v>16.25</v>
      </c>
      <c r="BM5" s="676">
        <v>16.25</v>
      </c>
      <c r="BN5" s="676">
        <v>16.25</v>
      </c>
      <c r="BO5" s="676">
        <v>16.25</v>
      </c>
      <c r="BP5" s="676">
        <v>16.25</v>
      </c>
      <c r="BQ5" s="676">
        <v>16.25</v>
      </c>
      <c r="BR5" s="676">
        <v>16.25</v>
      </c>
      <c r="BS5" s="676">
        <v>16.25</v>
      </c>
      <c r="BT5" s="676">
        <v>16.25</v>
      </c>
      <c r="BU5" s="676">
        <v>16.25</v>
      </c>
      <c r="BV5" s="676">
        <v>16.25</v>
      </c>
      <c r="BW5" s="676">
        <v>16.25</v>
      </c>
      <c r="BX5" s="676">
        <v>16.25</v>
      </c>
      <c r="BY5" s="676">
        <v>16.25</v>
      </c>
      <c r="BZ5" s="676">
        <v>16.25</v>
      </c>
      <c r="CA5" s="676">
        <v>16.25</v>
      </c>
      <c r="CB5" s="676">
        <v>16.25</v>
      </c>
      <c r="CC5" s="676">
        <v>16.25</v>
      </c>
      <c r="CD5" s="676">
        <v>16.25</v>
      </c>
      <c r="CE5" s="676">
        <v>16.25</v>
      </c>
      <c r="CF5" s="676">
        <v>16.25</v>
      </c>
      <c r="CG5" s="676">
        <v>16.25</v>
      </c>
      <c r="CH5" s="676">
        <v>16.25</v>
      </c>
      <c r="CI5" s="676">
        <v>16.25</v>
      </c>
      <c r="CJ5" s="676">
        <v>16.25</v>
      </c>
      <c r="CK5" s="676">
        <v>16.25</v>
      </c>
      <c r="CL5" s="676">
        <v>16.25</v>
      </c>
      <c r="CM5" s="676">
        <v>16.25</v>
      </c>
      <c r="CN5" s="676">
        <v>16.25</v>
      </c>
      <c r="CO5" s="676">
        <v>16.25</v>
      </c>
      <c r="CP5" s="676">
        <v>16.25</v>
      </c>
      <c r="CQ5" s="676">
        <v>16.25</v>
      </c>
      <c r="CR5" s="676">
        <v>16.25</v>
      </c>
      <c r="CS5" s="676">
        <v>16.25</v>
      </c>
      <c r="CT5" s="676">
        <v>26</v>
      </c>
      <c r="CU5" s="676">
        <v>3</v>
      </c>
      <c r="CW5" s="973"/>
      <c r="CX5" s="951"/>
      <c r="CY5" s="951"/>
      <c r="CZ5" s="951"/>
    </row>
    <row r="6" spans="1:106" s="1155" customFormat="1" ht="12" hidden="1" customHeight="1">
      <c r="B6" s="667"/>
      <c r="E6" s="676"/>
      <c r="G6" s="617"/>
      <c r="H6" s="617"/>
      <c r="I6" s="617"/>
      <c r="J6" s="617"/>
      <c r="K6" s="617"/>
      <c r="L6" s="617"/>
      <c r="M6" s="617"/>
      <c r="N6" s="617"/>
      <c r="O6" s="617"/>
      <c r="P6" s="617"/>
      <c r="Q6" s="617"/>
      <c r="S6" s="779"/>
      <c r="AH6" s="110">
        <f>god-2</f>
        <v>2024</v>
      </c>
      <c r="AI6" s="110">
        <f>god-2</f>
        <v>2024</v>
      </c>
      <c r="AJ6" s="110">
        <f>god-2</f>
        <v>2024</v>
      </c>
      <c r="AK6" s="110">
        <f>god-1</f>
        <v>2025</v>
      </c>
      <c r="AL6" s="110" cm="1">
        <f t="array" ref="AL6">god</f>
        <v>2026</v>
      </c>
      <c r="AM6" s="110" cm="1">
        <f t="array" ref="AM6">god</f>
        <v>2026</v>
      </c>
      <c r="AN6" s="110" cm="1">
        <f t="array" ref="AN6">god</f>
        <v>2026</v>
      </c>
      <c r="AO6" s="110">
        <f>god+1</f>
        <v>2027</v>
      </c>
      <c r="AP6" s="110">
        <f>god+1</f>
        <v>2027</v>
      </c>
      <c r="AQ6" s="110">
        <f>god+1</f>
        <v>2027</v>
      </c>
      <c r="AR6" s="110">
        <f>god+2</f>
        <v>2028</v>
      </c>
      <c r="AS6" s="110">
        <f>god+2</f>
        <v>2028</v>
      </c>
      <c r="AT6" s="110">
        <f>god+2</f>
        <v>2028</v>
      </c>
      <c r="AU6" s="110">
        <f>god+3</f>
        <v>2029</v>
      </c>
      <c r="AV6" s="110">
        <f>god+3</f>
        <v>2029</v>
      </c>
      <c r="AW6" s="110">
        <f>god+3</f>
        <v>2029</v>
      </c>
      <c r="AX6" s="110">
        <f>god+4</f>
        <v>2030</v>
      </c>
      <c r="AY6" s="110">
        <f>god+4</f>
        <v>2030</v>
      </c>
      <c r="AZ6" s="110">
        <f>god+4</f>
        <v>2030</v>
      </c>
      <c r="BA6" s="110">
        <f>god+5</f>
        <v>2031</v>
      </c>
      <c r="BB6" s="110">
        <f>god+5</f>
        <v>2031</v>
      </c>
      <c r="BC6" s="110">
        <f>god+5</f>
        <v>2031</v>
      </c>
      <c r="BD6" s="110">
        <f>god+6</f>
        <v>2032</v>
      </c>
      <c r="BE6" s="110">
        <f>god+6</f>
        <v>2032</v>
      </c>
      <c r="BF6" s="110">
        <f>god+6</f>
        <v>2032</v>
      </c>
      <c r="BG6" s="110">
        <f>god+7</f>
        <v>2033</v>
      </c>
      <c r="BH6" s="110">
        <f>god+7</f>
        <v>2033</v>
      </c>
      <c r="BI6" s="110">
        <f>god+7</f>
        <v>2033</v>
      </c>
      <c r="BJ6" s="110">
        <f>god+8</f>
        <v>2034</v>
      </c>
      <c r="BK6" s="110">
        <f>god+8</f>
        <v>2034</v>
      </c>
      <c r="BL6" s="110">
        <f>god+8</f>
        <v>2034</v>
      </c>
      <c r="BM6" s="110">
        <f>god+9</f>
        <v>2035</v>
      </c>
      <c r="BN6" s="110">
        <f>god+9</f>
        <v>2035</v>
      </c>
      <c r="BO6" s="110">
        <f>god+9</f>
        <v>2035</v>
      </c>
      <c r="BP6" s="110" cm="1">
        <f t="array" ref="BP6">god</f>
        <v>2026</v>
      </c>
      <c r="BQ6" s="110" cm="1">
        <f t="array" ref="BQ6">god</f>
        <v>2026</v>
      </c>
      <c r="BR6" s="110" cm="1">
        <f t="array" ref="BR6">god</f>
        <v>2026</v>
      </c>
      <c r="BS6" s="110">
        <f>god+1</f>
        <v>2027</v>
      </c>
      <c r="BT6" s="110">
        <f>god+1</f>
        <v>2027</v>
      </c>
      <c r="BU6" s="110">
        <f>god+1</f>
        <v>2027</v>
      </c>
      <c r="BV6" s="110">
        <f>god+2</f>
        <v>2028</v>
      </c>
      <c r="BW6" s="110">
        <f>god+2</f>
        <v>2028</v>
      </c>
      <c r="BX6" s="110">
        <f>god+2</f>
        <v>2028</v>
      </c>
      <c r="BY6" s="110">
        <f>god+3</f>
        <v>2029</v>
      </c>
      <c r="BZ6" s="110">
        <f>god+3</f>
        <v>2029</v>
      </c>
      <c r="CA6" s="110">
        <f>god+3</f>
        <v>2029</v>
      </c>
      <c r="CB6" s="110">
        <f>god+4</f>
        <v>2030</v>
      </c>
      <c r="CC6" s="110">
        <f>god+4</f>
        <v>2030</v>
      </c>
      <c r="CD6" s="110">
        <f>god+4</f>
        <v>2030</v>
      </c>
      <c r="CE6" s="110">
        <f>god+5</f>
        <v>2031</v>
      </c>
      <c r="CF6" s="110">
        <f>god+5</f>
        <v>2031</v>
      </c>
      <c r="CG6" s="110">
        <f>god+5</f>
        <v>2031</v>
      </c>
      <c r="CH6" s="110">
        <f>god+6</f>
        <v>2032</v>
      </c>
      <c r="CI6" s="110">
        <f>god+6</f>
        <v>2032</v>
      </c>
      <c r="CJ6" s="110">
        <f>god+6</f>
        <v>2032</v>
      </c>
      <c r="CK6" s="110">
        <f>god+7</f>
        <v>2033</v>
      </c>
      <c r="CL6" s="110">
        <f>god+7</f>
        <v>2033</v>
      </c>
      <c r="CM6" s="110">
        <f>god+7</f>
        <v>2033</v>
      </c>
      <c r="CN6" s="110">
        <f>god+8</f>
        <v>2034</v>
      </c>
      <c r="CO6" s="110">
        <f>god+8</f>
        <v>2034</v>
      </c>
      <c r="CP6" s="110">
        <f>god+8</f>
        <v>2034</v>
      </c>
      <c r="CQ6" s="110">
        <f>god+9</f>
        <v>2035</v>
      </c>
      <c r="CR6" s="110">
        <f>god+9</f>
        <v>2035</v>
      </c>
      <c r="CS6" s="110">
        <f>god+9</f>
        <v>2035</v>
      </c>
      <c r="CW6" s="970"/>
      <c r="CX6" s="969"/>
      <c r="CY6" s="969"/>
      <c r="CZ6" s="969"/>
      <c r="DA6" s="972"/>
      <c r="DB6" s="972"/>
    </row>
    <row r="7" spans="1:106" s="814" customFormat="1" ht="12" hidden="1" customHeight="1">
      <c r="A7" s="110"/>
      <c r="B7" s="667"/>
      <c r="C7" s="110"/>
      <c r="D7" s="110"/>
      <c r="E7" s="676"/>
      <c r="S7" s="620"/>
      <c r="AH7" s="617" t="str">
        <f t="shared" ref="AH7:BM7" si="2">AH26&amp;AH25</f>
        <v>Принято органом регулированияГод</v>
      </c>
      <c r="AI7" s="617" t="str">
        <f t="shared" si="2"/>
        <v>Факт по данным организацииГод</v>
      </c>
      <c r="AJ7" s="617" t="str">
        <f t="shared" si="2"/>
        <v>Факт, принятый органом регулированияГод</v>
      </c>
      <c r="AK7" s="617" t="str">
        <f t="shared" si="2"/>
        <v>Принято органом регулированияГод</v>
      </c>
      <c r="AL7" s="617" t="str">
        <f t="shared" si="2"/>
        <v>Предложение организацииГод</v>
      </c>
      <c r="AM7" s="617" t="str">
        <f t="shared" si="2"/>
        <v>Предложение организации01.01.-30.09.</v>
      </c>
      <c r="AN7" s="617" t="str">
        <f t="shared" si="2"/>
        <v>Предложение организации01.10.-31.12.</v>
      </c>
      <c r="AO7" s="617" t="str">
        <f t="shared" si="2"/>
        <v>Предложение организацииГод</v>
      </c>
      <c r="AP7" s="617" t="str">
        <f t="shared" si="2"/>
        <v>Предложение организации1 полугодие</v>
      </c>
      <c r="AQ7" s="617" t="str">
        <f t="shared" si="2"/>
        <v>Предложение организации2 полугодие</v>
      </c>
      <c r="AR7" s="617" t="str">
        <f t="shared" si="2"/>
        <v>Предложение организацииГод</v>
      </c>
      <c r="AS7" s="617" t="str">
        <f t="shared" si="2"/>
        <v>Предложение организации1 полугодие</v>
      </c>
      <c r="AT7" s="617" t="str">
        <f t="shared" si="2"/>
        <v>Предложение организации2 полугодие</v>
      </c>
      <c r="AU7" s="617" t="str">
        <f t="shared" si="2"/>
        <v>Предложение организацииГод</v>
      </c>
      <c r="AV7" s="617" t="str">
        <f t="shared" si="2"/>
        <v>Предложение организации1 полугодие</v>
      </c>
      <c r="AW7" s="617" t="str">
        <f t="shared" si="2"/>
        <v>Предложение организации2 полугодие</v>
      </c>
      <c r="AX7" s="617" t="str">
        <f t="shared" si="2"/>
        <v>Предложение организацииГод</v>
      </c>
      <c r="AY7" s="617" t="str">
        <f t="shared" si="2"/>
        <v>Предложение организации1 полугодие</v>
      </c>
      <c r="AZ7" s="617" t="str">
        <f t="shared" si="2"/>
        <v>Предложение организации2 полугодие</v>
      </c>
      <c r="BA7" s="617" t="str">
        <f t="shared" si="2"/>
        <v>Предложение организацииГод</v>
      </c>
      <c r="BB7" s="617" t="str">
        <f t="shared" si="2"/>
        <v>Предложение организации1 полугодие</v>
      </c>
      <c r="BC7" s="617" t="str">
        <f t="shared" si="2"/>
        <v>Предложение организации2 полугодие</v>
      </c>
      <c r="BD7" s="617" t="str">
        <f t="shared" si="2"/>
        <v>Предложение организацииГод</v>
      </c>
      <c r="BE7" s="617" t="str">
        <f t="shared" si="2"/>
        <v>Предложение организации1 полугодие</v>
      </c>
      <c r="BF7" s="617" t="str">
        <f t="shared" si="2"/>
        <v>Предложение организации2 полугодие</v>
      </c>
      <c r="BG7" s="617" t="str">
        <f t="shared" si="2"/>
        <v>Предложение организацииГод</v>
      </c>
      <c r="BH7" s="617" t="str">
        <f t="shared" si="2"/>
        <v>Предложение организации1 полугодие</v>
      </c>
      <c r="BI7" s="617" t="str">
        <f t="shared" si="2"/>
        <v>Предложение организации2 полугодие</v>
      </c>
      <c r="BJ7" s="617" t="str">
        <f t="shared" si="2"/>
        <v>Предложение организацииГод</v>
      </c>
      <c r="BK7" s="617" t="str">
        <f t="shared" si="2"/>
        <v>Предложение организации1 полугодие</v>
      </c>
      <c r="BL7" s="617" t="str">
        <f t="shared" si="2"/>
        <v>Предложение организации2 полугодие</v>
      </c>
      <c r="BM7" s="617" t="str">
        <f t="shared" si="2"/>
        <v>Предложение организацииГод</v>
      </c>
      <c r="BN7" s="617" t="str">
        <f t="shared" ref="BN7:CS7" si="3">BN26&amp;BN25</f>
        <v>Предложение организации1 полугодие</v>
      </c>
      <c r="BO7" s="617" t="str">
        <f t="shared" si="3"/>
        <v>Предложение организации2 полугодие</v>
      </c>
      <c r="BP7" s="617" t="str">
        <f t="shared" si="3"/>
        <v>Принято органом регулированияГод</v>
      </c>
      <c r="BQ7" s="617" t="str">
        <f t="shared" si="3"/>
        <v>Принято органом регулирования01.01.-30.09.</v>
      </c>
      <c r="BR7" s="617" t="str">
        <f t="shared" si="3"/>
        <v>Принято органом регулирования01.10.-31.12.</v>
      </c>
      <c r="BS7" s="617" t="str">
        <f t="shared" si="3"/>
        <v>Принято органом регулированияГод</v>
      </c>
      <c r="BT7" s="617" t="str">
        <f t="shared" si="3"/>
        <v>Принято органом регулирования1 полугодие</v>
      </c>
      <c r="BU7" s="617" t="str">
        <f t="shared" si="3"/>
        <v>Принято органом регулирования2 полугодие</v>
      </c>
      <c r="BV7" s="617" t="str">
        <f t="shared" si="3"/>
        <v>Принято органом регулированияГод</v>
      </c>
      <c r="BW7" s="617" t="str">
        <f t="shared" si="3"/>
        <v>Принято органом регулирования1 полугодие</v>
      </c>
      <c r="BX7" s="617" t="str">
        <f t="shared" si="3"/>
        <v>Принято органом регулирования2 полугодие</v>
      </c>
      <c r="BY7" s="617" t="str">
        <f t="shared" si="3"/>
        <v>Принято органом регулированияГод</v>
      </c>
      <c r="BZ7" s="617" t="str">
        <f t="shared" si="3"/>
        <v>Принято органом регулирования1 полугодие</v>
      </c>
      <c r="CA7" s="617" t="str">
        <f t="shared" si="3"/>
        <v>Принято органом регулирования2 полугодие</v>
      </c>
      <c r="CB7" s="617" t="str">
        <f t="shared" si="3"/>
        <v>Принято органом регулированияГод</v>
      </c>
      <c r="CC7" s="617" t="str">
        <f t="shared" si="3"/>
        <v>Принято органом регулирования1 полугодие</v>
      </c>
      <c r="CD7" s="617" t="str">
        <f t="shared" si="3"/>
        <v>Принято органом регулирования2 полугодие</v>
      </c>
      <c r="CE7" s="617" t="str">
        <f t="shared" si="3"/>
        <v>Принято органом регулированияГод</v>
      </c>
      <c r="CF7" s="617" t="str">
        <f t="shared" si="3"/>
        <v>Принято органом регулирования1 полугодие</v>
      </c>
      <c r="CG7" s="617" t="str">
        <f t="shared" si="3"/>
        <v>Принято органом регулирования2 полугодие</v>
      </c>
      <c r="CH7" s="617" t="str">
        <f t="shared" si="3"/>
        <v>Принято органом регулированияГод</v>
      </c>
      <c r="CI7" s="617" t="str">
        <f t="shared" si="3"/>
        <v>Принято органом регулирования1 полугодие</v>
      </c>
      <c r="CJ7" s="617" t="str">
        <f t="shared" si="3"/>
        <v>Принято органом регулирования2 полугодие</v>
      </c>
      <c r="CK7" s="617" t="str">
        <f t="shared" si="3"/>
        <v>Принято органом регулированияГод</v>
      </c>
      <c r="CL7" s="617" t="str">
        <f t="shared" si="3"/>
        <v>Принято органом регулирования1 полугодие</v>
      </c>
      <c r="CM7" s="617" t="str">
        <f t="shared" si="3"/>
        <v>Принято органом регулирования2 полугодие</v>
      </c>
      <c r="CN7" s="617" t="str">
        <f t="shared" si="3"/>
        <v>Принято органом регулированияГод</v>
      </c>
      <c r="CO7" s="617" t="str">
        <f t="shared" si="3"/>
        <v>Принято органом регулирования1 полугодие</v>
      </c>
      <c r="CP7" s="617" t="str">
        <f t="shared" si="3"/>
        <v>Принято органом регулирования2 полугодие</v>
      </c>
      <c r="CQ7" s="617" t="str">
        <f t="shared" si="3"/>
        <v>Принято органом регулированияГод</v>
      </c>
      <c r="CR7" s="617" t="str">
        <f t="shared" si="3"/>
        <v>Принято органом регулирования1 полугодие</v>
      </c>
      <c r="CS7" s="617" t="str">
        <f t="shared" si="3"/>
        <v>Принято органом регулирования2 полугодие</v>
      </c>
      <c r="CW7" s="970"/>
      <c r="CX7" s="971"/>
      <c r="CY7" s="971"/>
      <c r="CZ7" s="971"/>
      <c r="DA7" s="974"/>
      <c r="DB7" s="974"/>
    </row>
    <row r="8" spans="1:106" s="814" customFormat="1" ht="12" hidden="1" customHeight="1">
      <c r="A8" s="833"/>
      <c r="B8" s="667"/>
      <c r="C8" s="110"/>
      <c r="D8" s="110"/>
      <c r="E8" s="676"/>
      <c r="S8" s="620"/>
      <c r="CW8" s="970"/>
      <c r="CX8" s="971"/>
      <c r="CY8" s="971"/>
      <c r="CZ8" s="971"/>
      <c r="DA8" s="974"/>
      <c r="DB8" s="974"/>
    </row>
    <row r="9" spans="1:106" s="969" customFormat="1" ht="12" hidden="1" customHeight="1">
      <c r="A9" s="968" t="s">
        <v>472</v>
      </c>
      <c r="B9" s="951"/>
      <c r="E9" s="951"/>
      <c r="S9" s="960"/>
      <c r="AH9" s="969">
        <f>god-2</f>
        <v>2024</v>
      </c>
      <c r="AI9" s="969">
        <f>god-2</f>
        <v>2024</v>
      </c>
      <c r="AJ9" s="969">
        <f>god-2</f>
        <v>2024</v>
      </c>
      <c r="AK9" s="969">
        <f>god-1</f>
        <v>2025</v>
      </c>
      <c r="AL9" s="969" cm="1">
        <f t="array" ref="AL9">god</f>
        <v>2026</v>
      </c>
      <c r="AM9" s="969" cm="1">
        <f t="array" ref="AM9">god</f>
        <v>2026</v>
      </c>
      <c r="AN9" s="969" cm="1">
        <f t="array" ref="AN9">god</f>
        <v>2026</v>
      </c>
      <c r="AO9" s="969">
        <f>god+1</f>
        <v>2027</v>
      </c>
      <c r="AP9" s="969">
        <f>god+1</f>
        <v>2027</v>
      </c>
      <c r="AQ9" s="969">
        <f>god+1</f>
        <v>2027</v>
      </c>
      <c r="AR9" s="969">
        <f>god+2</f>
        <v>2028</v>
      </c>
      <c r="AS9" s="969">
        <f>god+2</f>
        <v>2028</v>
      </c>
      <c r="AT9" s="969">
        <f>god+2</f>
        <v>2028</v>
      </c>
      <c r="AU9" s="969">
        <f>god+3</f>
        <v>2029</v>
      </c>
      <c r="AV9" s="969">
        <f>god+3</f>
        <v>2029</v>
      </c>
      <c r="AW9" s="969">
        <f>god+3</f>
        <v>2029</v>
      </c>
      <c r="AX9" s="969">
        <f>god+4</f>
        <v>2030</v>
      </c>
      <c r="AY9" s="969">
        <f>god+4</f>
        <v>2030</v>
      </c>
      <c r="AZ9" s="969">
        <f>god+4</f>
        <v>2030</v>
      </c>
      <c r="BA9" s="969">
        <f>god+5</f>
        <v>2031</v>
      </c>
      <c r="BB9" s="969">
        <f>god+5</f>
        <v>2031</v>
      </c>
      <c r="BC9" s="969">
        <f>god+5</f>
        <v>2031</v>
      </c>
      <c r="BD9" s="969">
        <f>god+6</f>
        <v>2032</v>
      </c>
      <c r="BE9" s="969">
        <f>god+6</f>
        <v>2032</v>
      </c>
      <c r="BF9" s="969">
        <f>god+6</f>
        <v>2032</v>
      </c>
      <c r="BG9" s="969">
        <f>god+7</f>
        <v>2033</v>
      </c>
      <c r="BH9" s="969">
        <f>god+7</f>
        <v>2033</v>
      </c>
      <c r="BI9" s="969">
        <f>god+7</f>
        <v>2033</v>
      </c>
      <c r="BJ9" s="969">
        <f>god+8</f>
        <v>2034</v>
      </c>
      <c r="BK9" s="969">
        <f>god+8</f>
        <v>2034</v>
      </c>
      <c r="BL9" s="969">
        <f>god+8</f>
        <v>2034</v>
      </c>
      <c r="BM9" s="969">
        <f>god+9</f>
        <v>2035</v>
      </c>
      <c r="BN9" s="969">
        <f>god+9</f>
        <v>2035</v>
      </c>
      <c r="BO9" s="969">
        <f>god+9</f>
        <v>2035</v>
      </c>
      <c r="BP9" s="969" cm="1">
        <f t="array" ref="BP9">god</f>
        <v>2026</v>
      </c>
      <c r="BQ9" s="969" cm="1">
        <f t="array" ref="BQ9">god</f>
        <v>2026</v>
      </c>
      <c r="BR9" s="969" cm="1">
        <f t="array" ref="BR9">god</f>
        <v>2026</v>
      </c>
      <c r="BS9" s="969">
        <f>god+1</f>
        <v>2027</v>
      </c>
      <c r="BT9" s="969">
        <f>god+1</f>
        <v>2027</v>
      </c>
      <c r="BU9" s="969">
        <f>god+1</f>
        <v>2027</v>
      </c>
      <c r="BV9" s="969">
        <f>god+2</f>
        <v>2028</v>
      </c>
      <c r="BW9" s="969">
        <f>god+2</f>
        <v>2028</v>
      </c>
      <c r="BX9" s="969">
        <f>god+2</f>
        <v>2028</v>
      </c>
      <c r="BY9" s="969">
        <f>god+3</f>
        <v>2029</v>
      </c>
      <c r="BZ9" s="969">
        <f>god+3</f>
        <v>2029</v>
      </c>
      <c r="CA9" s="969">
        <f>god+3</f>
        <v>2029</v>
      </c>
      <c r="CB9" s="969">
        <f>god+4</f>
        <v>2030</v>
      </c>
      <c r="CC9" s="969">
        <f>god+4</f>
        <v>2030</v>
      </c>
      <c r="CD9" s="969">
        <f>god+4</f>
        <v>2030</v>
      </c>
      <c r="CE9" s="969">
        <f>god+5</f>
        <v>2031</v>
      </c>
      <c r="CF9" s="969">
        <f>god+5</f>
        <v>2031</v>
      </c>
      <c r="CG9" s="969">
        <f>god+5</f>
        <v>2031</v>
      </c>
      <c r="CH9" s="969">
        <f>god+6</f>
        <v>2032</v>
      </c>
      <c r="CI9" s="969">
        <f>god+6</f>
        <v>2032</v>
      </c>
      <c r="CJ9" s="969">
        <f>god+6</f>
        <v>2032</v>
      </c>
      <c r="CK9" s="969">
        <f>god+7</f>
        <v>2033</v>
      </c>
      <c r="CL9" s="969">
        <f>god+7</f>
        <v>2033</v>
      </c>
      <c r="CM9" s="969">
        <f>god+7</f>
        <v>2033</v>
      </c>
      <c r="CN9" s="969">
        <f>god+8</f>
        <v>2034</v>
      </c>
      <c r="CO9" s="969">
        <f>god+8</f>
        <v>2034</v>
      </c>
      <c r="CP9" s="969">
        <f>god+8</f>
        <v>2034</v>
      </c>
      <c r="CQ9" s="969">
        <f>god+9</f>
        <v>2035</v>
      </c>
      <c r="CR9" s="969">
        <f>god+9</f>
        <v>2035</v>
      </c>
      <c r="CS9" s="969">
        <f>god+9</f>
        <v>2035</v>
      </c>
      <c r="CW9" s="970"/>
    </row>
    <row r="10" spans="1:106" s="969" customFormat="1" ht="12" hidden="1" customHeight="1">
      <c r="A10" s="968" t="s">
        <v>473</v>
      </c>
      <c r="B10" s="951"/>
      <c r="E10" s="951"/>
      <c r="S10" s="960"/>
      <c r="AH10" s="969" t="str" cm="1">
        <f t="array" ref="AH10">AH26</f>
        <v>Принято органом регулирования</v>
      </c>
      <c r="AI10" s="969" t="str" cm="1">
        <f t="array" ref="AI10">AI26</f>
        <v>Факт по данным организации</v>
      </c>
      <c r="AJ10" s="969" t="str" cm="1">
        <f t="array" ref="AJ10">AJ26</f>
        <v>Факт, принятый органом регулирования</v>
      </c>
      <c r="AK10" s="969" t="str" cm="1">
        <f t="array" ref="AK10">AK26</f>
        <v>Принято органом регулирования</v>
      </c>
      <c r="AL10" s="969" t="str" cm="1">
        <f t="array" ref="AL10">AL26</f>
        <v>Предложение организации</v>
      </c>
      <c r="AM10" s="969" t="str" cm="1">
        <f t="array" ref="AM10">AM26</f>
        <v>Предложение организации</v>
      </c>
      <c r="AN10" s="969" t="str" cm="1">
        <f t="array" ref="AN10">AN26</f>
        <v>Предложение организации</v>
      </c>
      <c r="AO10" s="969" t="str" cm="1">
        <f t="array" ref="AO10">AO26</f>
        <v>Предложение организации</v>
      </c>
      <c r="AP10" s="969" t="str" cm="1">
        <f t="array" ref="AP10">AP26</f>
        <v>Предложение организации</v>
      </c>
      <c r="AQ10" s="969" t="str" cm="1">
        <f t="array" ref="AQ10">AQ26</f>
        <v>Предложение организации</v>
      </c>
      <c r="AR10" s="969" t="str" cm="1">
        <f t="array" ref="AR10">AR26</f>
        <v>Предложение организации</v>
      </c>
      <c r="AS10" s="969" t="str" cm="1">
        <f t="array" ref="AS10">AS26</f>
        <v>Предложение организации</v>
      </c>
      <c r="AT10" s="969" t="str" cm="1">
        <f t="array" ref="AT10">AT26</f>
        <v>Предложение организации</v>
      </c>
      <c r="AU10" s="969" t="str" cm="1">
        <f t="array" ref="AU10">AU26</f>
        <v>Предложение организации</v>
      </c>
      <c r="AV10" s="969" t="str" cm="1">
        <f t="array" ref="AV10">AV26</f>
        <v>Предложение организации</v>
      </c>
      <c r="AW10" s="969" t="str" cm="1">
        <f t="array" ref="AW10">AW26</f>
        <v>Предложение организации</v>
      </c>
      <c r="AX10" s="969" t="str" cm="1">
        <f t="array" ref="AX10">AX26</f>
        <v>Предложение организации</v>
      </c>
      <c r="AY10" s="969" t="str" cm="1">
        <f t="array" ref="AY10">AY26</f>
        <v>Предложение организации</v>
      </c>
      <c r="AZ10" s="969" t="str" cm="1">
        <f t="array" ref="AZ10">AZ26</f>
        <v>Предложение организации</v>
      </c>
      <c r="BA10" s="969" t="str" cm="1">
        <f t="array" ref="BA10">BA26</f>
        <v>Предложение организации</v>
      </c>
      <c r="BB10" s="969" t="str" cm="1">
        <f t="array" ref="BB10">BB26</f>
        <v>Предложение организации</v>
      </c>
      <c r="BC10" s="969" t="str" cm="1">
        <f t="array" ref="BC10">BC26</f>
        <v>Предложение организации</v>
      </c>
      <c r="BD10" s="969" t="str" cm="1">
        <f t="array" ref="BD10">BD26</f>
        <v>Предложение организации</v>
      </c>
      <c r="BE10" s="969" t="str" cm="1">
        <f t="array" ref="BE10">BE26</f>
        <v>Предложение организации</v>
      </c>
      <c r="BF10" s="969" t="str" cm="1">
        <f t="array" ref="BF10">BF26</f>
        <v>Предложение организации</v>
      </c>
      <c r="BG10" s="969" t="str" cm="1">
        <f t="array" ref="BG10">BG26</f>
        <v>Предложение организации</v>
      </c>
      <c r="BH10" s="969" t="str" cm="1">
        <f t="array" ref="BH10">BH26</f>
        <v>Предложение организации</v>
      </c>
      <c r="BI10" s="969" t="str" cm="1">
        <f t="array" ref="BI10">BI26</f>
        <v>Предложение организации</v>
      </c>
      <c r="BJ10" s="969" t="str" cm="1">
        <f t="array" ref="BJ10">BJ26</f>
        <v>Предложение организации</v>
      </c>
      <c r="BK10" s="969" t="str" cm="1">
        <f t="array" ref="BK10">BK26</f>
        <v>Предложение организации</v>
      </c>
      <c r="BL10" s="969" t="str" cm="1">
        <f t="array" ref="BL10">BL26</f>
        <v>Предложение организации</v>
      </c>
      <c r="BM10" s="969" t="str" cm="1">
        <f t="array" ref="BM10">BM26</f>
        <v>Предложение организации</v>
      </c>
      <c r="BN10" s="969" t="str" cm="1">
        <f t="array" ref="BN10">BN26</f>
        <v>Предложение организации</v>
      </c>
      <c r="BO10" s="969" t="str" cm="1">
        <f t="array" ref="BO10">BO26</f>
        <v>Предложение организации</v>
      </c>
      <c r="BP10" s="969" t="str" cm="1">
        <f t="array" ref="BP10">BP26</f>
        <v>Принято органом регулирования</v>
      </c>
      <c r="BQ10" s="969" t="str" cm="1">
        <f t="array" ref="BQ10">BQ26</f>
        <v>Принято органом регулирования</v>
      </c>
      <c r="BR10" s="969" t="str" cm="1">
        <f t="array" ref="BR10">BR26</f>
        <v>Принято органом регулирования</v>
      </c>
      <c r="BS10" s="969" t="str" cm="1">
        <f t="array" ref="BS10">BS26</f>
        <v>Принято органом регулирования</v>
      </c>
      <c r="BT10" s="969" t="str" cm="1">
        <f t="array" ref="BT10">BT26</f>
        <v>Принято органом регулирования</v>
      </c>
      <c r="BU10" s="969" t="str" cm="1">
        <f t="array" ref="BU10">BU26</f>
        <v>Принято органом регулирования</v>
      </c>
      <c r="BV10" s="969" t="str" cm="1">
        <f t="array" ref="BV10">BV26</f>
        <v>Принято органом регулирования</v>
      </c>
      <c r="BW10" s="969" t="str" cm="1">
        <f t="array" ref="BW10">BW26</f>
        <v>Принято органом регулирования</v>
      </c>
      <c r="BX10" s="969" t="str" cm="1">
        <f t="array" ref="BX10">BX26</f>
        <v>Принято органом регулирования</v>
      </c>
      <c r="BY10" s="969" t="str" cm="1">
        <f t="array" ref="BY10">BY26</f>
        <v>Принято органом регулирования</v>
      </c>
      <c r="BZ10" s="969" t="str" cm="1">
        <f t="array" ref="BZ10">BZ26</f>
        <v>Принято органом регулирования</v>
      </c>
      <c r="CA10" s="969" t="str" cm="1">
        <f t="array" ref="CA10">CA26</f>
        <v>Принято органом регулирования</v>
      </c>
      <c r="CB10" s="969" t="str" cm="1">
        <f t="array" ref="CB10">CB26</f>
        <v>Принято органом регулирования</v>
      </c>
      <c r="CC10" s="969" t="str" cm="1">
        <f t="array" ref="CC10">CC26</f>
        <v>Принято органом регулирования</v>
      </c>
      <c r="CD10" s="969" t="str" cm="1">
        <f t="array" ref="CD10">CD26</f>
        <v>Принято органом регулирования</v>
      </c>
      <c r="CE10" s="969" t="str" cm="1">
        <f t="array" ref="CE10">CE26</f>
        <v>Принято органом регулирования</v>
      </c>
      <c r="CF10" s="969" t="str" cm="1">
        <f t="array" ref="CF10">CF26</f>
        <v>Принято органом регулирования</v>
      </c>
      <c r="CG10" s="969" t="str" cm="1">
        <f t="array" ref="CG10">CG26</f>
        <v>Принято органом регулирования</v>
      </c>
      <c r="CH10" s="969" t="str" cm="1">
        <f t="array" ref="CH10">CH26</f>
        <v>Принято органом регулирования</v>
      </c>
      <c r="CI10" s="969" t="str" cm="1">
        <f t="array" ref="CI10">CI26</f>
        <v>Принято органом регулирования</v>
      </c>
      <c r="CJ10" s="969" t="str" cm="1">
        <f t="array" ref="CJ10">CJ26</f>
        <v>Принято органом регулирования</v>
      </c>
      <c r="CK10" s="969" t="str" cm="1">
        <f t="array" ref="CK10">CK26</f>
        <v>Принято органом регулирования</v>
      </c>
      <c r="CL10" s="969" t="str" cm="1">
        <f t="array" ref="CL10">CL26</f>
        <v>Принято органом регулирования</v>
      </c>
      <c r="CM10" s="969" t="str" cm="1">
        <f t="array" ref="CM10">CM26</f>
        <v>Принято органом регулирования</v>
      </c>
      <c r="CN10" s="969" t="str" cm="1">
        <f t="array" ref="CN10">CN26</f>
        <v>Принято органом регулирования</v>
      </c>
      <c r="CO10" s="969" t="str" cm="1">
        <f t="array" ref="CO10">CO26</f>
        <v>Принято органом регулирования</v>
      </c>
      <c r="CP10" s="969" t="str" cm="1">
        <f t="array" ref="CP10">CP26</f>
        <v>Принято органом регулирования</v>
      </c>
      <c r="CQ10" s="969" t="str" cm="1">
        <f t="array" ref="CQ10">CQ26</f>
        <v>Принято органом регулирования</v>
      </c>
      <c r="CR10" s="969" t="str" cm="1">
        <f t="array" ref="CR10">CR26</f>
        <v>Принято органом регулирования</v>
      </c>
      <c r="CS10" s="969" t="str" cm="1">
        <f t="array" ref="CS10">CS26</f>
        <v>Принято органом регулирования</v>
      </c>
      <c r="CW10" s="970"/>
    </row>
    <row r="11" spans="1:106" s="969" customFormat="1" ht="12" hidden="1" customHeight="1">
      <c r="A11" s="968" t="s">
        <v>474</v>
      </c>
      <c r="B11" s="951"/>
      <c r="E11" s="951"/>
      <c r="G11" s="971"/>
      <c r="H11" s="971"/>
      <c r="I11" s="971"/>
      <c r="J11" s="971"/>
      <c r="K11" s="971"/>
      <c r="L11" s="971"/>
      <c r="M11" s="971"/>
      <c r="N11" s="971"/>
      <c r="O11" s="971"/>
      <c r="P11" s="971"/>
      <c r="Q11" s="971"/>
      <c r="S11" s="960"/>
      <c r="AH11" s="969" t="str" cm="1">
        <f t="array" ref="AH11">AH25</f>
        <v>Год</v>
      </c>
      <c r="AI11" s="969" t="str" cm="1">
        <f t="array" ref="AI11">AI25</f>
        <v>Год</v>
      </c>
      <c r="AJ11" s="969" t="str" cm="1">
        <f t="array" ref="AJ11">AJ25</f>
        <v>Год</v>
      </c>
      <c r="AK11" s="969" t="str" cm="1">
        <f t="array" ref="AK11">AK25</f>
        <v>Год</v>
      </c>
      <c r="AL11" s="969" t="str" cm="1">
        <f t="array" ref="AL11">AL25</f>
        <v>Год</v>
      </c>
      <c r="AM11" s="969" t="str" cm="1">
        <f t="array" ref="AM11">AM25</f>
        <v>01.01.-30.09.</v>
      </c>
      <c r="AN11" s="969" t="str" cm="1">
        <f t="array" ref="AN11">AN25</f>
        <v>01.10.-31.12.</v>
      </c>
      <c r="AO11" s="969" t="str" cm="1">
        <f t="array" ref="AO11">AO25</f>
        <v>Год</v>
      </c>
      <c r="AP11" s="969" t="str" cm="1">
        <f t="array" ref="AP11">AP25</f>
        <v>1 полугодие</v>
      </c>
      <c r="AQ11" s="969" t="str" cm="1">
        <f t="array" ref="AQ11">AQ25</f>
        <v>2 полугодие</v>
      </c>
      <c r="AR11" s="969" t="str" cm="1">
        <f t="array" ref="AR11">AR25</f>
        <v>Год</v>
      </c>
      <c r="AS11" s="969" t="str" cm="1">
        <f t="array" ref="AS11">AS25</f>
        <v>1 полугодие</v>
      </c>
      <c r="AT11" s="969" t="str" cm="1">
        <f t="array" ref="AT11">AT25</f>
        <v>2 полугодие</v>
      </c>
      <c r="AU11" s="969" t="str" cm="1">
        <f t="array" ref="AU11">AU25</f>
        <v>Год</v>
      </c>
      <c r="AV11" s="969" t="str" cm="1">
        <f t="array" ref="AV11">AV25</f>
        <v>1 полугодие</v>
      </c>
      <c r="AW11" s="969" t="str" cm="1">
        <f t="array" ref="AW11">AW25</f>
        <v>2 полугодие</v>
      </c>
      <c r="AX11" s="969" t="str" cm="1">
        <f t="array" ref="AX11">AX25</f>
        <v>Год</v>
      </c>
      <c r="AY11" s="969" t="str" cm="1">
        <f t="array" ref="AY11">AY25</f>
        <v>1 полугодие</v>
      </c>
      <c r="AZ11" s="969" t="str" cm="1">
        <f t="array" ref="AZ11">AZ25</f>
        <v>2 полугодие</v>
      </c>
      <c r="BA11" s="969" t="str" cm="1">
        <f t="array" ref="BA11">BA25</f>
        <v>Год</v>
      </c>
      <c r="BB11" s="969" t="str" cm="1">
        <f t="array" ref="BB11">BB25</f>
        <v>1 полугодие</v>
      </c>
      <c r="BC11" s="969" t="str" cm="1">
        <f t="array" ref="BC11">BC25</f>
        <v>2 полугодие</v>
      </c>
      <c r="BD11" s="969" t="str" cm="1">
        <f t="array" ref="BD11">BD25</f>
        <v>Год</v>
      </c>
      <c r="BE11" s="969" t="str" cm="1">
        <f t="array" ref="BE11">BE25</f>
        <v>1 полугодие</v>
      </c>
      <c r="BF11" s="969" t="str" cm="1">
        <f t="array" ref="BF11">BF25</f>
        <v>2 полугодие</v>
      </c>
      <c r="BG11" s="969" t="str" cm="1">
        <f t="array" ref="BG11">BG25</f>
        <v>Год</v>
      </c>
      <c r="BH11" s="969" t="str" cm="1">
        <f t="array" ref="BH11">BH25</f>
        <v>1 полугодие</v>
      </c>
      <c r="BI11" s="969" t="str" cm="1">
        <f t="array" ref="BI11">BI25</f>
        <v>2 полугодие</v>
      </c>
      <c r="BJ11" s="969" t="str" cm="1">
        <f t="array" ref="BJ11">BJ25</f>
        <v>Год</v>
      </c>
      <c r="BK11" s="969" t="str" cm="1">
        <f t="array" ref="BK11">BK25</f>
        <v>1 полугодие</v>
      </c>
      <c r="BL11" s="969" t="str" cm="1">
        <f t="array" ref="BL11">BL25</f>
        <v>2 полугодие</v>
      </c>
      <c r="BM11" s="969" t="str" cm="1">
        <f t="array" ref="BM11">BM25</f>
        <v>Год</v>
      </c>
      <c r="BN11" s="969" t="str" cm="1">
        <f t="array" ref="BN11">BN25</f>
        <v>1 полугодие</v>
      </c>
      <c r="BO11" s="969" t="str" cm="1">
        <f t="array" ref="BO11">BO25</f>
        <v>2 полугодие</v>
      </c>
      <c r="BP11" s="969" t="str" cm="1">
        <f t="array" ref="BP11">BP25</f>
        <v>Год</v>
      </c>
      <c r="BQ11" s="969" t="str" cm="1">
        <f t="array" ref="BQ11">BQ25</f>
        <v>01.01.-30.09.</v>
      </c>
      <c r="BR11" s="969" t="str" cm="1">
        <f t="array" ref="BR11">BR25</f>
        <v>01.10.-31.12.</v>
      </c>
      <c r="BS11" s="969" t="str" cm="1">
        <f t="array" ref="BS11">BS25</f>
        <v>Год</v>
      </c>
      <c r="BT11" s="969" t="str" cm="1">
        <f t="array" ref="BT11">BT25</f>
        <v>1 полугодие</v>
      </c>
      <c r="BU11" s="969" t="str" cm="1">
        <f t="array" ref="BU11">BU25</f>
        <v>2 полугодие</v>
      </c>
      <c r="BV11" s="969" t="str" cm="1">
        <f t="array" ref="BV11">BV25</f>
        <v>Год</v>
      </c>
      <c r="BW11" s="969" t="str" cm="1">
        <f t="array" ref="BW11">BW25</f>
        <v>1 полугодие</v>
      </c>
      <c r="BX11" s="969" t="str" cm="1">
        <f t="array" ref="BX11">BX25</f>
        <v>2 полугодие</v>
      </c>
      <c r="BY11" s="969" t="str" cm="1">
        <f t="array" ref="BY11">BY25</f>
        <v>Год</v>
      </c>
      <c r="BZ11" s="969" t="str" cm="1">
        <f t="array" ref="BZ11">BZ25</f>
        <v>1 полугодие</v>
      </c>
      <c r="CA11" s="969" t="str" cm="1">
        <f t="array" ref="CA11">CA25</f>
        <v>2 полугодие</v>
      </c>
      <c r="CB11" s="969" t="str" cm="1">
        <f t="array" ref="CB11">CB25</f>
        <v>Год</v>
      </c>
      <c r="CC11" s="969" t="str" cm="1">
        <f t="array" ref="CC11">CC25</f>
        <v>1 полугодие</v>
      </c>
      <c r="CD11" s="969" t="str" cm="1">
        <f t="array" ref="CD11">CD25</f>
        <v>2 полугодие</v>
      </c>
      <c r="CE11" s="969" t="str" cm="1">
        <f t="array" ref="CE11">CE25</f>
        <v>Год</v>
      </c>
      <c r="CF11" s="969" t="str" cm="1">
        <f t="array" ref="CF11">CF25</f>
        <v>1 полугодие</v>
      </c>
      <c r="CG11" s="969" t="str" cm="1">
        <f t="array" ref="CG11">CG25</f>
        <v>2 полугодие</v>
      </c>
      <c r="CH11" s="969" t="str" cm="1">
        <f t="array" ref="CH11">CH25</f>
        <v>Год</v>
      </c>
      <c r="CI11" s="969" t="str" cm="1">
        <f t="array" ref="CI11">CI25</f>
        <v>1 полугодие</v>
      </c>
      <c r="CJ11" s="969" t="str" cm="1">
        <f t="array" ref="CJ11">CJ25</f>
        <v>2 полугодие</v>
      </c>
      <c r="CK11" s="969" t="str" cm="1">
        <f t="array" ref="CK11">CK25</f>
        <v>Год</v>
      </c>
      <c r="CL11" s="969" t="str" cm="1">
        <f t="array" ref="CL11">CL25</f>
        <v>1 полугодие</v>
      </c>
      <c r="CM11" s="969" t="str" cm="1">
        <f t="array" ref="CM11">CM25</f>
        <v>2 полугодие</v>
      </c>
      <c r="CN11" s="969" t="str" cm="1">
        <f t="array" ref="CN11">CN25</f>
        <v>Год</v>
      </c>
      <c r="CO11" s="969" t="str" cm="1">
        <f t="array" ref="CO11">CO25</f>
        <v>1 полугодие</v>
      </c>
      <c r="CP11" s="969" t="str" cm="1">
        <f t="array" ref="CP11">CP25</f>
        <v>2 полугодие</v>
      </c>
      <c r="CQ11" s="969" t="str" cm="1">
        <f t="array" ref="CQ11">CQ25</f>
        <v>Год</v>
      </c>
      <c r="CR11" s="969" t="str" cm="1">
        <f t="array" ref="CR11">CR25</f>
        <v>1 полугодие</v>
      </c>
      <c r="CS11" s="969" t="str" cm="1">
        <f t="array" ref="CS11">CS25</f>
        <v>2 полугодие</v>
      </c>
      <c r="CT11" s="969" t="str" cm="1">
        <f t="array" ref="CT11">CT24</f>
        <v>Ссылка на правовую норму (основание для принятия показателя в расчет тарифа)</v>
      </c>
      <c r="CW11" s="970"/>
    </row>
    <row r="12" spans="1:106" s="969" customFormat="1" ht="12" hidden="1" customHeight="1">
      <c r="A12" s="968" t="s">
        <v>394</v>
      </c>
      <c r="B12" s="951"/>
      <c r="E12" s="951"/>
      <c r="G12" s="971"/>
      <c r="H12" s="971"/>
      <c r="I12" s="971"/>
      <c r="J12" s="971"/>
      <c r="K12" s="971"/>
      <c r="L12" s="971"/>
      <c r="M12" s="971"/>
      <c r="N12" s="971"/>
      <c r="O12" s="971"/>
      <c r="P12" s="971"/>
      <c r="Q12" s="971"/>
      <c r="S12" s="960"/>
      <c r="AE12" s="969" t="s">
        <v>385</v>
      </c>
      <c r="AF12" s="969" t="s">
        <v>752</v>
      </c>
      <c r="CW12" s="970"/>
    </row>
    <row r="13" spans="1:106" s="1155" customFormat="1" ht="12" hidden="1" customHeight="1">
      <c r="B13" s="667"/>
      <c r="E13" s="676"/>
      <c r="G13" s="617"/>
      <c r="H13" s="617"/>
      <c r="I13" s="617"/>
      <c r="J13" s="617"/>
      <c r="K13" s="617"/>
      <c r="L13" s="617"/>
      <c r="M13" s="617"/>
      <c r="N13" s="617"/>
      <c r="O13" s="617"/>
      <c r="P13" s="617"/>
      <c r="Q13" s="617"/>
      <c r="S13" s="779"/>
      <c r="CW13" s="970"/>
      <c r="CX13" s="969"/>
      <c r="CY13" s="969"/>
      <c r="CZ13" s="969"/>
      <c r="DA13" s="972"/>
      <c r="DB13" s="972"/>
    </row>
    <row r="14" spans="1:106" s="1155" customFormat="1" ht="12" hidden="1" customHeight="1">
      <c r="B14" s="667"/>
      <c r="E14" s="676"/>
      <c r="G14" s="617"/>
      <c r="H14" s="617"/>
      <c r="I14" s="617"/>
      <c r="J14" s="617"/>
      <c r="K14" s="617"/>
      <c r="L14" s="617"/>
      <c r="M14" s="617"/>
      <c r="N14" s="617"/>
      <c r="O14" s="617"/>
      <c r="P14" s="617"/>
      <c r="Q14" s="617"/>
      <c r="S14" s="779"/>
      <c r="CW14" s="970"/>
      <c r="CX14" s="969"/>
      <c r="CY14" s="969"/>
      <c r="CZ14" s="969"/>
      <c r="DA14" s="972"/>
      <c r="DB14" s="972"/>
    </row>
    <row r="15" spans="1:106" s="1155" customFormat="1" ht="12" hidden="1" customHeight="1">
      <c r="B15" s="667"/>
      <c r="E15" s="676"/>
      <c r="G15" s="617"/>
      <c r="H15" s="617"/>
      <c r="I15" s="617"/>
      <c r="J15" s="617"/>
      <c r="K15" s="617"/>
      <c r="L15" s="617"/>
      <c r="M15" s="617"/>
      <c r="N15" s="617"/>
      <c r="O15" s="617"/>
      <c r="P15" s="617"/>
      <c r="Q15" s="617"/>
      <c r="S15" s="779"/>
      <c r="CW15" s="970"/>
      <c r="CX15" s="969"/>
      <c r="CY15" s="969"/>
      <c r="CZ15" s="969"/>
      <c r="DA15" s="972"/>
      <c r="DB15" s="972"/>
    </row>
    <row r="16" spans="1:106" s="1155" customFormat="1" ht="12" hidden="1" customHeight="1">
      <c r="B16" s="667"/>
      <c r="E16" s="676"/>
      <c r="G16" s="617"/>
      <c r="H16" s="617"/>
      <c r="I16" s="617"/>
      <c r="J16" s="617"/>
      <c r="K16" s="617"/>
      <c r="L16" s="617"/>
      <c r="M16" s="617"/>
      <c r="N16" s="617"/>
      <c r="O16" s="617"/>
      <c r="P16" s="617"/>
      <c r="Q16" s="617"/>
      <c r="S16" s="779"/>
      <c r="CW16" s="970"/>
      <c r="CX16" s="969"/>
      <c r="CY16" s="969"/>
      <c r="CZ16" s="969"/>
      <c r="DA16" s="972"/>
      <c r="DB16" s="972"/>
    </row>
    <row r="17" spans="1:106" s="1155" customFormat="1" ht="12" hidden="1" customHeight="1">
      <c r="B17" s="667"/>
      <c r="E17" s="676"/>
      <c r="G17" s="617"/>
      <c r="H17" s="617"/>
      <c r="I17" s="617"/>
      <c r="J17" s="617"/>
      <c r="K17" s="617"/>
      <c r="L17" s="617"/>
      <c r="M17" s="617"/>
      <c r="N17" s="617"/>
      <c r="O17" s="617"/>
      <c r="P17" s="617"/>
      <c r="Q17" s="617"/>
      <c r="S17" s="779"/>
      <c r="CW17" s="970"/>
      <c r="CX17" s="969"/>
      <c r="CY17" s="969"/>
      <c r="CZ17" s="969"/>
      <c r="DA17" s="972"/>
      <c r="DB17" s="972"/>
    </row>
    <row r="18" spans="1:106" s="1155" customFormat="1" ht="12" hidden="1" customHeight="1">
      <c r="A18" s="859" t="s">
        <v>530</v>
      </c>
      <c r="B18" s="667"/>
      <c r="E18" s="676"/>
      <c r="G18" s="617"/>
      <c r="H18" s="617"/>
      <c r="I18" s="617"/>
      <c r="J18" s="617"/>
      <c r="K18" s="617"/>
      <c r="L18" s="617"/>
      <c r="M18" s="617"/>
      <c r="N18" s="617"/>
      <c r="O18" s="617"/>
      <c r="P18" s="617"/>
      <c r="Q18" s="617"/>
      <c r="S18" s="779"/>
      <c r="AE18" s="110" t="s">
        <v>753</v>
      </c>
      <c r="AF18" s="110" t="s">
        <v>754</v>
      </c>
      <c r="CW18" s="970"/>
      <c r="CX18" s="969"/>
      <c r="CY18" s="969"/>
      <c r="CZ18" s="969"/>
      <c r="DA18" s="972"/>
      <c r="DB18" s="972"/>
    </row>
    <row r="19" spans="1:106" s="1155" customFormat="1" ht="12" hidden="1" customHeight="1">
      <c r="B19" s="667"/>
      <c r="E19" s="676"/>
      <c r="G19" s="617"/>
      <c r="H19" s="617"/>
      <c r="I19" s="617"/>
      <c r="J19" s="617"/>
      <c r="K19" s="617"/>
      <c r="L19" s="617"/>
      <c r="M19" s="617"/>
      <c r="N19" s="617"/>
      <c r="O19" s="617"/>
      <c r="P19" s="617"/>
      <c r="Q19" s="617"/>
      <c r="S19" s="779"/>
      <c r="CW19" s="970"/>
      <c r="CX19" s="969"/>
      <c r="CY19" s="969"/>
      <c r="CZ19" s="969"/>
      <c r="DA19" s="972"/>
      <c r="DB19" s="972"/>
    </row>
    <row r="20" spans="1:106" s="1155" customFormat="1" ht="12" hidden="1" customHeight="1">
      <c r="B20" s="667"/>
      <c r="E20" s="676"/>
      <c r="G20" s="617"/>
      <c r="H20" s="617"/>
      <c r="I20" s="617"/>
      <c r="J20" s="617"/>
      <c r="K20" s="617"/>
      <c r="L20" s="617"/>
      <c r="M20" s="617"/>
      <c r="N20" s="617"/>
      <c r="O20" s="617"/>
      <c r="P20" s="617"/>
      <c r="Q20" s="617"/>
      <c r="S20" s="779"/>
      <c r="CW20" s="970"/>
      <c r="CX20" s="969"/>
      <c r="CY20" s="969"/>
      <c r="CZ20" s="969"/>
      <c r="DA20" s="972"/>
      <c r="DB20" s="972"/>
    </row>
    <row r="21" spans="1:106" s="699" customFormat="1" ht="11.1" customHeight="1">
      <c r="A21" s="110"/>
      <c r="B21" s="667"/>
      <c r="C21" s="110"/>
      <c r="D21" s="110"/>
      <c r="E21" s="676">
        <v>11.4</v>
      </c>
      <c r="F21" s="110"/>
      <c r="G21" s="617"/>
      <c r="H21" s="617"/>
      <c r="I21" s="617"/>
      <c r="J21" s="617"/>
      <c r="K21" s="617"/>
      <c r="L21" s="617"/>
      <c r="M21" s="617"/>
      <c r="N21" s="617"/>
      <c r="O21" s="617"/>
      <c r="P21" s="617"/>
      <c r="Q21" s="617"/>
      <c r="R21" s="110"/>
      <c r="S21" s="779"/>
      <c r="T21" s="110"/>
      <c r="U21" s="110"/>
      <c r="V21" s="110"/>
      <c r="W21" s="110"/>
      <c r="X21" s="110"/>
      <c r="Y21" s="110"/>
      <c r="Z21" s="110"/>
      <c r="AE21" s="343" t="str" cm="1">
        <f t="array" ref="AE21">tpl_title</f>
        <v>Кемеровская область / 2026 / ОАО «СКЭК» (ИНН:4205153492, КПП:420501001) / ДПР: 2021-2030</v>
      </c>
      <c r="CW21" s="970"/>
      <c r="CX21" s="975"/>
      <c r="CY21" s="975"/>
      <c r="CZ21" s="975"/>
      <c r="DA21" s="976"/>
      <c r="DB21" s="976"/>
    </row>
    <row r="22" spans="1:106" s="814" customFormat="1" ht="19.5" customHeight="1">
      <c r="A22" s="129"/>
      <c r="B22" s="667"/>
      <c r="C22" s="129"/>
      <c r="D22" s="129"/>
      <c r="E22" s="676">
        <v>20.100000000000001</v>
      </c>
      <c r="F22" s="129"/>
      <c r="R22" s="129"/>
      <c r="S22" s="129"/>
      <c r="T22" s="129"/>
      <c r="U22" s="129"/>
      <c r="V22" s="129"/>
      <c r="W22" s="129"/>
      <c r="X22" s="129"/>
      <c r="Y22" s="129"/>
      <c r="Z22" s="129"/>
      <c r="AD22" s="332" t="s">
        <v>37</v>
      </c>
      <c r="AE22" s="332"/>
      <c r="AF22" s="219"/>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CW22" s="977"/>
      <c r="CX22" s="956"/>
      <c r="CY22" s="956"/>
      <c r="CZ22" s="956"/>
      <c r="DA22" s="978"/>
      <c r="DB22" s="978"/>
    </row>
    <row r="23" spans="1:106" ht="11.1" customHeight="1">
      <c r="E23" s="676">
        <v>11.4</v>
      </c>
      <c r="AO23" s="1301"/>
      <c r="AP23" s="1301"/>
      <c r="AQ23" s="1301"/>
      <c r="AR23" s="1301"/>
      <c r="AS23" s="1301"/>
      <c r="AT23" s="1301"/>
      <c r="AU23" s="1301"/>
      <c r="AV23" s="1301"/>
      <c r="AW23" s="1301"/>
      <c r="AX23" s="1301"/>
      <c r="AY23" s="1301"/>
      <c r="AZ23" s="1301"/>
      <c r="BA23" s="1301"/>
      <c r="BB23" s="1301"/>
      <c r="BC23" s="1301"/>
      <c r="BD23" s="1301"/>
      <c r="BE23" s="1301"/>
      <c r="BF23" s="1301"/>
      <c r="BG23" s="1301"/>
      <c r="BH23" s="1301"/>
      <c r="BI23" s="1301"/>
      <c r="BJ23" s="1301"/>
      <c r="BK23" s="1301"/>
      <c r="BL23" s="1301"/>
      <c r="BM23" s="1301"/>
      <c r="BN23" s="1301"/>
      <c r="BO23" s="1301"/>
      <c r="BP23" s="1301"/>
      <c r="BQ23" s="1301"/>
      <c r="BR23" s="1301"/>
      <c r="BS23" s="1301"/>
      <c r="BT23" s="1301"/>
      <c r="BU23" s="1301"/>
      <c r="BV23" s="1301"/>
      <c r="BW23" s="1301"/>
      <c r="BX23" s="1301"/>
      <c r="BY23" s="1301"/>
      <c r="BZ23" s="1301"/>
      <c r="CA23" s="1301"/>
      <c r="CB23" s="1301"/>
      <c r="CC23" s="1301"/>
      <c r="CD23" s="1301"/>
      <c r="CE23" s="1301"/>
      <c r="CF23" s="1301"/>
      <c r="CG23" s="1301"/>
      <c r="CH23" s="1301"/>
      <c r="CI23" s="1301"/>
      <c r="CJ23" s="1301"/>
      <c r="CK23" s="1301"/>
      <c r="CL23" s="1301"/>
      <c r="CM23" s="1301"/>
      <c r="CN23" s="1301"/>
      <c r="CO23" s="1301"/>
      <c r="CP23" s="1301"/>
      <c r="CQ23" s="1301"/>
      <c r="CR23" s="1301"/>
      <c r="CS23" s="1301"/>
    </row>
    <row r="24" spans="1:106" ht="15.4" customHeight="1">
      <c r="E24" s="676">
        <v>15.8</v>
      </c>
      <c r="AB24" s="1774" t="s">
        <v>755</v>
      </c>
      <c r="AC24" s="1774"/>
      <c r="AD24" s="1774"/>
      <c r="AE24" s="1774" t="s">
        <v>756</v>
      </c>
      <c r="AF24" s="1774"/>
      <c r="AG24" s="1774" t="s">
        <v>476</v>
      </c>
      <c r="AH24" s="693" t="str">
        <f>god-2&amp;" год"</f>
        <v>2024 год</v>
      </c>
      <c r="AI24" s="1146" t="str">
        <f>god-2&amp;" год"</f>
        <v>2024 год</v>
      </c>
      <c r="AJ24" s="350" t="str">
        <f>god-2&amp;" год"</f>
        <v>2024 год</v>
      </c>
      <c r="AK24" s="125" t="str">
        <f>god-1&amp;" год"</f>
        <v>2025 год</v>
      </c>
      <c r="AL24" s="1141" t="str">
        <f>god&amp;" год"</f>
        <v>2026 год</v>
      </c>
      <c r="AM24" s="1141" t="str" cm="1">
        <f t="array" ref="AM24">AL24</f>
        <v>2026 год</v>
      </c>
      <c r="AN24" s="1141" t="str" cm="1">
        <f t="array" ref="AN24">AM24</f>
        <v>2026 год</v>
      </c>
      <c r="AO24" s="1141" t="str">
        <f>god+1&amp;" год"</f>
        <v>2027 год</v>
      </c>
      <c r="AP24" s="1141" t="str" cm="1">
        <f t="array" ref="AP24">AO24</f>
        <v>2027 год</v>
      </c>
      <c r="AQ24" s="1141" t="str" cm="1">
        <f t="array" ref="AQ24">AP24</f>
        <v>2027 год</v>
      </c>
      <c r="AR24" s="1141" t="str">
        <f>god+2&amp;" год"</f>
        <v>2028 год</v>
      </c>
      <c r="AS24" s="1141" t="str" cm="1">
        <f t="array" ref="AS24">AR24</f>
        <v>2028 год</v>
      </c>
      <c r="AT24" s="1141" t="str" cm="1">
        <f t="array" ref="AT24">AS24</f>
        <v>2028 год</v>
      </c>
      <c r="AU24" s="1141" t="str">
        <f>god+3&amp;" год"</f>
        <v>2029 год</v>
      </c>
      <c r="AV24" s="1141" t="str" cm="1">
        <f t="array" ref="AV24">AU24</f>
        <v>2029 год</v>
      </c>
      <c r="AW24" s="1141" t="str" cm="1">
        <f t="array" ref="AW24">AV24</f>
        <v>2029 год</v>
      </c>
      <c r="AX24" s="1141" t="str">
        <f>god+4&amp;" год"</f>
        <v>2030 год</v>
      </c>
      <c r="AY24" s="1141" t="str" cm="1">
        <f t="array" ref="AY24">AX24</f>
        <v>2030 год</v>
      </c>
      <c r="AZ24" s="1141" t="str" cm="1">
        <f t="array" ref="AZ24">AY24</f>
        <v>2030 год</v>
      </c>
      <c r="BA24" s="1141" t="str">
        <f>god+5&amp;" год"</f>
        <v>2031 год</v>
      </c>
      <c r="BB24" s="1141" t="str" cm="1">
        <f t="array" ref="BB24">BA24</f>
        <v>2031 год</v>
      </c>
      <c r="BC24" s="1141" t="str" cm="1">
        <f t="array" ref="BC24">BB24</f>
        <v>2031 год</v>
      </c>
      <c r="BD24" s="1141" t="str">
        <f>god+6&amp;" год"</f>
        <v>2032 год</v>
      </c>
      <c r="BE24" s="1141" t="str" cm="1">
        <f t="array" ref="BE24">BD24</f>
        <v>2032 год</v>
      </c>
      <c r="BF24" s="1141" t="str" cm="1">
        <f t="array" ref="BF24">BE24</f>
        <v>2032 год</v>
      </c>
      <c r="BG24" s="1141" t="str">
        <f>god+7&amp;" год"</f>
        <v>2033 год</v>
      </c>
      <c r="BH24" s="1141" t="str" cm="1">
        <f t="array" ref="BH24">BG24</f>
        <v>2033 год</v>
      </c>
      <c r="BI24" s="1141" t="str" cm="1">
        <f t="array" ref="BI24">BH24</f>
        <v>2033 год</v>
      </c>
      <c r="BJ24" s="1141" t="str">
        <f>god+8&amp;" год"</f>
        <v>2034 год</v>
      </c>
      <c r="BK24" s="1141" t="str" cm="1">
        <f t="array" ref="BK24">BJ24</f>
        <v>2034 год</v>
      </c>
      <c r="BL24" s="1141" t="str" cm="1">
        <f t="array" ref="BL24">BK24</f>
        <v>2034 год</v>
      </c>
      <c r="BM24" s="1141" t="str">
        <f>god+9&amp;" год"</f>
        <v>2035 год</v>
      </c>
      <c r="BN24" s="1141" t="str" cm="1">
        <f t="array" ref="BN24">BM24</f>
        <v>2035 год</v>
      </c>
      <c r="BO24" s="1141" t="str" cm="1">
        <f t="array" ref="BO24">BN24</f>
        <v>2035 год</v>
      </c>
      <c r="BP24" s="121" t="str">
        <f>god&amp;" год"</f>
        <v>2026 год</v>
      </c>
      <c r="BQ24" s="121" t="str" cm="1">
        <f t="array" ref="BQ24">BP24</f>
        <v>2026 год</v>
      </c>
      <c r="BR24" s="121" t="str" cm="1">
        <f t="array" ref="BR24">BQ24</f>
        <v>2026 год</v>
      </c>
      <c r="BS24" s="121" t="str">
        <f>god+1&amp;" год"</f>
        <v>2027 год</v>
      </c>
      <c r="BT24" s="121" t="str" cm="1">
        <f t="array" ref="BT24">BS24</f>
        <v>2027 год</v>
      </c>
      <c r="BU24" s="121" t="str" cm="1">
        <f t="array" ref="BU24">BT24</f>
        <v>2027 год</v>
      </c>
      <c r="BV24" s="121" t="str">
        <f>god+2&amp;" год"</f>
        <v>2028 год</v>
      </c>
      <c r="BW24" s="121" t="str" cm="1">
        <f t="array" ref="BW24">BV24</f>
        <v>2028 год</v>
      </c>
      <c r="BX24" s="121" t="str" cm="1">
        <f t="array" ref="BX24">BW24</f>
        <v>2028 год</v>
      </c>
      <c r="BY24" s="351" t="str">
        <f>god+3&amp;" год"</f>
        <v>2029 год</v>
      </c>
      <c r="BZ24" s="121" t="str" cm="1">
        <f t="array" ref="BZ24">BY24</f>
        <v>2029 год</v>
      </c>
      <c r="CA24" s="121" t="str" cm="1">
        <f t="array" ref="CA24">BZ24</f>
        <v>2029 год</v>
      </c>
      <c r="CB24" s="120" t="str">
        <f>god+4&amp;" год"</f>
        <v>2030 год</v>
      </c>
      <c r="CC24" s="121" t="str" cm="1">
        <f t="array" ref="CC24">CB24</f>
        <v>2030 год</v>
      </c>
      <c r="CD24" s="121" t="str" cm="1">
        <f t="array" ref="CD24">CC24</f>
        <v>2030 год</v>
      </c>
      <c r="CE24" s="525" t="str">
        <f>god+5&amp;" год"</f>
        <v>2031 год</v>
      </c>
      <c r="CF24" s="121" t="str" cm="1">
        <f t="array" ref="CF24">CE24</f>
        <v>2031 год</v>
      </c>
      <c r="CG24" s="121" t="str" cm="1">
        <f t="array" ref="CG24">CF24</f>
        <v>2031 год</v>
      </c>
      <c r="CH24" s="121" t="str">
        <f>god+6&amp;" год"</f>
        <v>2032 год</v>
      </c>
      <c r="CI24" s="121" t="str" cm="1">
        <f t="array" ref="CI24">CH24</f>
        <v>2032 год</v>
      </c>
      <c r="CJ24" s="121" t="str" cm="1">
        <f t="array" ref="CJ24">CI24</f>
        <v>2032 год</v>
      </c>
      <c r="CK24" s="121" t="str">
        <f>god+7&amp;" год"</f>
        <v>2033 год</v>
      </c>
      <c r="CL24" s="121" t="str" cm="1">
        <f t="array" ref="CL24">CK24</f>
        <v>2033 год</v>
      </c>
      <c r="CM24" s="121" t="str" cm="1">
        <f t="array" ref="CM24">CL24</f>
        <v>2033 год</v>
      </c>
      <c r="CN24" s="351" t="str">
        <f>god+8&amp;" год"</f>
        <v>2034 год</v>
      </c>
      <c r="CO24" s="121" t="str" cm="1">
        <f t="array" ref="CO24">CN24</f>
        <v>2034 год</v>
      </c>
      <c r="CP24" s="121" t="str" cm="1">
        <f t="array" ref="CP24">CO24</f>
        <v>2034 год</v>
      </c>
      <c r="CQ24" s="120" t="str">
        <f>god+9&amp;" год"</f>
        <v>2035 год</v>
      </c>
      <c r="CR24" s="121" t="str" cm="1">
        <f t="array" ref="CR24">CQ24</f>
        <v>2035 год</v>
      </c>
      <c r="CS24" s="121" t="str" cm="1">
        <f t="array" ref="CS24">CR24</f>
        <v>2035 год</v>
      </c>
      <c r="CT24" s="1747" t="s">
        <v>630</v>
      </c>
    </row>
    <row r="25" spans="1:106" ht="15.4" customHeight="1">
      <c r="E25" s="676">
        <v>15.8</v>
      </c>
      <c r="AB25" s="1774"/>
      <c r="AC25" s="1774"/>
      <c r="AD25" s="1774"/>
      <c r="AE25" s="1774"/>
      <c r="AF25" s="1774"/>
      <c r="AG25" s="1774"/>
      <c r="AH25" s="693" t="s">
        <v>119</v>
      </c>
      <c r="AI25" s="1146" t="s">
        <v>119</v>
      </c>
      <c r="AJ25" s="350" t="s">
        <v>119</v>
      </c>
      <c r="AK25" s="350" t="s">
        <v>119</v>
      </c>
      <c r="AL25" s="1146" t="s">
        <v>119</v>
      </c>
      <c r="AM25" s="1142" t="str">
        <f>IF(god=2026,"01.01.-30.09.","1 полугодие")</f>
        <v>01.01.-30.09.</v>
      </c>
      <c r="AN25" s="1142" t="str">
        <f>IF(god=2026,"01.10.-31.12.","2 полугодие")</f>
        <v>01.10.-31.12.</v>
      </c>
      <c r="AO25" s="1146" t="s">
        <v>119</v>
      </c>
      <c r="AP25" s="1142" t="str">
        <f>IF(god=2025,"01.01.-30.09.","1 полугодие")</f>
        <v>1 полугодие</v>
      </c>
      <c r="AQ25" s="1142" t="str">
        <f>IF(god=2025,"01.10.-31.12.","2 полугодие")</f>
        <v>2 полугодие</v>
      </c>
      <c r="AR25" s="1146" t="s">
        <v>119</v>
      </c>
      <c r="AS25" s="1142" t="s">
        <v>757</v>
      </c>
      <c r="AT25" s="1142" t="s">
        <v>758</v>
      </c>
      <c r="AU25" s="1146" t="s">
        <v>119</v>
      </c>
      <c r="AV25" s="1142" t="s">
        <v>757</v>
      </c>
      <c r="AW25" s="1142" t="s">
        <v>758</v>
      </c>
      <c r="AX25" s="1146" t="s">
        <v>119</v>
      </c>
      <c r="AY25" s="1142" t="s">
        <v>757</v>
      </c>
      <c r="AZ25" s="1142" t="s">
        <v>758</v>
      </c>
      <c r="BA25" s="1146" t="s">
        <v>119</v>
      </c>
      <c r="BB25" s="1142" t="s">
        <v>757</v>
      </c>
      <c r="BC25" s="1142" t="s">
        <v>758</v>
      </c>
      <c r="BD25" s="1146" t="s">
        <v>119</v>
      </c>
      <c r="BE25" s="1142" t="s">
        <v>757</v>
      </c>
      <c r="BF25" s="1142" t="s">
        <v>758</v>
      </c>
      <c r="BG25" s="1146" t="s">
        <v>119</v>
      </c>
      <c r="BH25" s="1142" t="s">
        <v>757</v>
      </c>
      <c r="BI25" s="1142" t="s">
        <v>758</v>
      </c>
      <c r="BJ25" s="1146" t="s">
        <v>119</v>
      </c>
      <c r="BK25" s="1142" t="s">
        <v>757</v>
      </c>
      <c r="BL25" s="1142" t="s">
        <v>758</v>
      </c>
      <c r="BM25" s="1146" t="s">
        <v>119</v>
      </c>
      <c r="BN25" s="1142" t="s">
        <v>757</v>
      </c>
      <c r="BO25" s="1142" t="s">
        <v>758</v>
      </c>
      <c r="BP25" s="350" t="s">
        <v>119</v>
      </c>
      <c r="BQ25" s="351" t="str">
        <f>IF(god=2026,"01.01.-30.09.","1 полугодие")</f>
        <v>01.01.-30.09.</v>
      </c>
      <c r="BR25" s="351" t="str">
        <f>IF(god=2026,"01.10.-31.12.","2 полугодие")</f>
        <v>01.10.-31.12.</v>
      </c>
      <c r="BS25" s="350" t="s">
        <v>119</v>
      </c>
      <c r="BT25" s="351" t="str">
        <f>IF(god=2025,"01.01.-30.09.","1 полугодие")</f>
        <v>1 полугодие</v>
      </c>
      <c r="BU25" s="351" t="str">
        <f>IF(god=2025,"01.10.-31.12.","2 полугодие")</f>
        <v>2 полугодие</v>
      </c>
      <c r="BV25" s="350" t="s">
        <v>119</v>
      </c>
      <c r="BW25" s="351" t="s">
        <v>757</v>
      </c>
      <c r="BX25" s="351" t="s">
        <v>758</v>
      </c>
      <c r="BY25" s="350" t="s">
        <v>119</v>
      </c>
      <c r="BZ25" s="351" t="s">
        <v>757</v>
      </c>
      <c r="CA25" s="351" t="s">
        <v>758</v>
      </c>
      <c r="CB25" s="350" t="s">
        <v>119</v>
      </c>
      <c r="CC25" s="351" t="s">
        <v>757</v>
      </c>
      <c r="CD25" s="350" t="s">
        <v>758</v>
      </c>
      <c r="CE25" s="350" t="s">
        <v>119</v>
      </c>
      <c r="CF25" s="351" t="s">
        <v>757</v>
      </c>
      <c r="CG25" s="351" t="s">
        <v>758</v>
      </c>
      <c r="CH25" s="350" t="s">
        <v>119</v>
      </c>
      <c r="CI25" s="351" t="s">
        <v>757</v>
      </c>
      <c r="CJ25" s="351" t="s">
        <v>758</v>
      </c>
      <c r="CK25" s="350" t="s">
        <v>119</v>
      </c>
      <c r="CL25" s="351" t="s">
        <v>757</v>
      </c>
      <c r="CM25" s="351" t="s">
        <v>758</v>
      </c>
      <c r="CN25" s="350" t="s">
        <v>119</v>
      </c>
      <c r="CO25" s="351" t="s">
        <v>757</v>
      </c>
      <c r="CP25" s="351" t="s">
        <v>758</v>
      </c>
      <c r="CQ25" s="350" t="s">
        <v>119</v>
      </c>
      <c r="CR25" s="351" t="s">
        <v>757</v>
      </c>
      <c r="CS25" s="351" t="s">
        <v>758</v>
      </c>
      <c r="CT25" s="1747"/>
    </row>
    <row r="26" spans="1:106" ht="52.7" customHeight="1">
      <c r="E26" s="676">
        <v>54</v>
      </c>
      <c r="AB26" s="1774"/>
      <c r="AC26" s="1774"/>
      <c r="AD26" s="1774"/>
      <c r="AE26" s="1774"/>
      <c r="AF26" s="1774"/>
      <c r="AG26" s="1774"/>
      <c r="AH26" s="525" t="s">
        <v>412</v>
      </c>
      <c r="AI26" s="1141" t="s">
        <v>631</v>
      </c>
      <c r="AJ26" s="121" t="s">
        <v>632</v>
      </c>
      <c r="AK26" s="121" t="s">
        <v>412</v>
      </c>
      <c r="AL26" s="1142" t="s">
        <v>413</v>
      </c>
      <c r="AM26" s="1142" t="s">
        <v>413</v>
      </c>
      <c r="AN26" s="1142" t="s">
        <v>413</v>
      </c>
      <c r="AO26" s="1142" t="s">
        <v>413</v>
      </c>
      <c r="AP26" s="1142" t="s">
        <v>413</v>
      </c>
      <c r="AQ26" s="1142" t="s">
        <v>413</v>
      </c>
      <c r="AR26" s="1142" t="s">
        <v>413</v>
      </c>
      <c r="AS26" s="1142" t="s">
        <v>413</v>
      </c>
      <c r="AT26" s="1142" t="s">
        <v>413</v>
      </c>
      <c r="AU26" s="1142" t="s">
        <v>413</v>
      </c>
      <c r="AV26" s="1142" t="s">
        <v>413</v>
      </c>
      <c r="AW26" s="1142" t="s">
        <v>413</v>
      </c>
      <c r="AX26" s="1142" t="s">
        <v>413</v>
      </c>
      <c r="AY26" s="1142" t="s">
        <v>413</v>
      </c>
      <c r="AZ26" s="1142" t="s">
        <v>413</v>
      </c>
      <c r="BA26" s="1142" t="s">
        <v>413</v>
      </c>
      <c r="BB26" s="1142" t="s">
        <v>413</v>
      </c>
      <c r="BC26" s="1142" t="s">
        <v>413</v>
      </c>
      <c r="BD26" s="1142" t="s">
        <v>413</v>
      </c>
      <c r="BE26" s="1142" t="s">
        <v>413</v>
      </c>
      <c r="BF26" s="1142" t="s">
        <v>413</v>
      </c>
      <c r="BG26" s="1142" t="s">
        <v>413</v>
      </c>
      <c r="BH26" s="1142" t="s">
        <v>413</v>
      </c>
      <c r="BI26" s="1142" t="s">
        <v>413</v>
      </c>
      <c r="BJ26" s="1142" t="s">
        <v>413</v>
      </c>
      <c r="BK26" s="1142" t="s">
        <v>413</v>
      </c>
      <c r="BL26" s="1142" t="s">
        <v>413</v>
      </c>
      <c r="BM26" s="1142" t="s">
        <v>413</v>
      </c>
      <c r="BN26" s="1142" t="s">
        <v>413</v>
      </c>
      <c r="BO26" s="1142" t="s">
        <v>413</v>
      </c>
      <c r="BP26" s="351" t="s">
        <v>412</v>
      </c>
      <c r="BQ26" s="351" t="s">
        <v>412</v>
      </c>
      <c r="BR26" s="351" t="s">
        <v>412</v>
      </c>
      <c r="BS26" s="351" t="s">
        <v>412</v>
      </c>
      <c r="BT26" s="351" t="s">
        <v>412</v>
      </c>
      <c r="BU26" s="351" t="s">
        <v>412</v>
      </c>
      <c r="BV26" s="351" t="s">
        <v>412</v>
      </c>
      <c r="BW26" s="351" t="s">
        <v>412</v>
      </c>
      <c r="BX26" s="351" t="s">
        <v>412</v>
      </c>
      <c r="BY26" s="351" t="s">
        <v>412</v>
      </c>
      <c r="BZ26" s="351" t="s">
        <v>412</v>
      </c>
      <c r="CA26" s="351" t="s">
        <v>412</v>
      </c>
      <c r="CB26" s="351" t="s">
        <v>412</v>
      </c>
      <c r="CC26" s="351" t="s">
        <v>412</v>
      </c>
      <c r="CD26" s="351" t="s">
        <v>412</v>
      </c>
      <c r="CE26" s="351" t="s">
        <v>412</v>
      </c>
      <c r="CF26" s="351" t="s">
        <v>412</v>
      </c>
      <c r="CG26" s="351" t="s">
        <v>412</v>
      </c>
      <c r="CH26" s="351" t="s">
        <v>412</v>
      </c>
      <c r="CI26" s="351" t="s">
        <v>412</v>
      </c>
      <c r="CJ26" s="351" t="s">
        <v>412</v>
      </c>
      <c r="CK26" s="351" t="s">
        <v>412</v>
      </c>
      <c r="CL26" s="351" t="s">
        <v>412</v>
      </c>
      <c r="CM26" s="351" t="s">
        <v>412</v>
      </c>
      <c r="CN26" s="351" t="s">
        <v>412</v>
      </c>
      <c r="CO26" s="351" t="s">
        <v>412</v>
      </c>
      <c r="CP26" s="351" t="s">
        <v>412</v>
      </c>
      <c r="CQ26" s="351" t="s">
        <v>412</v>
      </c>
      <c r="CR26" s="351" t="s">
        <v>412</v>
      </c>
      <c r="CS26" s="351" t="s">
        <v>412</v>
      </c>
      <c r="CT26" s="1747"/>
    </row>
    <row r="27" spans="1:106" ht="12" hidden="1" customHeight="1">
      <c r="E27" s="676">
        <v>0</v>
      </c>
      <c r="AB27" s="563"/>
      <c r="AC27" s="563"/>
      <c r="AD27" s="739"/>
      <c r="AE27" s="563"/>
      <c r="AF27" s="563"/>
      <c r="AG27" s="739"/>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434"/>
      <c r="CC27" s="122"/>
      <c r="CD27" s="444"/>
      <c r="CE27" s="444"/>
      <c r="CF27" s="122"/>
      <c r="CG27" s="122"/>
      <c r="CH27" s="122"/>
      <c r="CI27" s="122"/>
      <c r="CJ27" s="122"/>
      <c r="CK27" s="122"/>
      <c r="CL27" s="122"/>
      <c r="CM27" s="122"/>
      <c r="CN27" s="122"/>
      <c r="CO27" s="122"/>
      <c r="CP27" s="122"/>
      <c r="CQ27" s="434"/>
      <c r="CR27" s="122"/>
      <c r="CS27" s="122"/>
      <c r="CT27" s="122"/>
    </row>
    <row r="28" spans="1:106" ht="16.7" hidden="1" customHeight="1">
      <c r="E28" s="676">
        <v>17.100000000000001</v>
      </c>
      <c r="F28" s="779" cm="1">
        <f t="array" ref="F28">Y28</f>
        <v>0</v>
      </c>
      <c r="G28" s="163" t="str" cm="1">
        <f t="array" ref="G28">INDEX('Общие сведения'!$AE$187:$AE$236,MATCH($F28,'Общие сведения'!$Z$187:$Z$236,0))</f>
        <v>Теплоснабжение</v>
      </c>
      <c r="H28" s="163" cm="1">
        <f t="array" ref="H28">INDEX('Общие сведения'!$AK$187:$AK$236,MATCH($F28,'Общие сведения'!$Z$187:$Z$236,0))</f>
        <v>0</v>
      </c>
      <c r="I28" s="163" cm="1">
        <f t="array" ref="I28">INDEX('Общие сведения'!$AH$187:$AH$236,MATCH($F28,'Общие сведения'!$Z$187:$Z$236,0))</f>
        <v>0</v>
      </c>
      <c r="J28" s="163" cm="1">
        <f t="array" ref="J28">INDEX('Общие сведения'!$AI$187:$AI$236,MATCH($F28,'Общие сведения'!$Z$187:$Z$236,0))</f>
        <v>0</v>
      </c>
      <c r="K28" s="163" cm="1">
        <f t="array" ref="K28">INDEX('Общие сведения'!$AJ$187:$AJ$236,MATCH($F28,'Общие сведения'!$Z$187:$Z$236,0))</f>
        <v>0</v>
      </c>
      <c r="L28" s="164" t="b" cm="1">
        <f t="array" ref="L28">INDEX('Общие сведения'!$AN$187:$AN$236,MATCH($F28,'Общие сведения'!$Z$187:$Z$236,0))</f>
        <v>0</v>
      </c>
      <c r="S28" s="110" t="b">
        <f>Y28&gt;0</f>
        <v>0</v>
      </c>
      <c r="U28" s="698" t="b">
        <f t="shared" ref="U28:U91" si="4">AND(S28,IF(ISBLANK(T28),TRUE,T28))</f>
        <v>0</v>
      </c>
      <c r="W28" s="126" t="s">
        <v>315</v>
      </c>
      <c r="Y28" s="1751">
        <v>0</v>
      </c>
      <c r="Z28" s="1687"/>
      <c r="AB28" s="398" t="str" cm="1">
        <f t="array" ref="AB28">INDEX('Общие сведения'!$AG$187:$AG$236,MATCH(F28,'Общие сведения'!$Z$187:$Z$236,0))</f>
        <v xml:space="preserve">Тариф 0 (Теплоснабжение) - </v>
      </c>
      <c r="AC28" s="398"/>
      <c r="AD28" s="213"/>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67"/>
      <c r="CE28" s="267"/>
      <c r="CF28" s="210"/>
      <c r="CG28" s="210"/>
      <c r="CH28" s="210"/>
      <c r="CI28" s="210"/>
      <c r="CJ28" s="210"/>
      <c r="CK28" s="210"/>
      <c r="CL28" s="210"/>
      <c r="CM28" s="210"/>
      <c r="CN28" s="210"/>
      <c r="CO28" s="210"/>
      <c r="CP28" s="210"/>
      <c r="CQ28" s="210"/>
      <c r="CR28" s="210"/>
      <c r="CS28" s="210"/>
      <c r="CT28" s="210"/>
      <c r="CW28" s="970" t="str">
        <f>IF(AND(ISNUMBER(VALUE(TRIM(SUBSTITUTE(AD28,".","")))),TRIM(SUBSTITUTE(AD28,".",""))&lt;&gt;""),"P"&amp;SUBSTITUTE(AD28,".",""),"")</f>
        <v/>
      </c>
    </row>
    <row r="29" spans="1:106" ht="16.7" hidden="1" customHeight="1">
      <c r="E29" s="676">
        <v>17.100000000000001</v>
      </c>
      <c r="F29" s="779" cm="1">
        <f t="array" aca="1" ref="F29" ca="1">OFFSET(G29,-1,-1)</f>
        <v>0</v>
      </c>
      <c r="L29" s="779" t="b" cm="1">
        <f t="array" aca="1" ref="L29" ca="1">OFFSET(M29,-1,-1)</f>
        <v>0</v>
      </c>
      <c r="R29" s="779" t="s">
        <v>759</v>
      </c>
      <c r="S29" s="110" t="b" cm="1">
        <f t="array" aca="1" ref="S29" ca="1">OFFSET(T29,-1,-1)</f>
        <v>0</v>
      </c>
      <c r="T29" s="110" t="b" cm="1">
        <f t="array" aca="1" ref="T29" ca="1">L29</f>
        <v>0</v>
      </c>
      <c r="U29" s="698" t="b">
        <f t="shared" ca="1" si="4"/>
        <v>0</v>
      </c>
      <c r="Y29" s="1687"/>
      <c r="Z29" s="1687"/>
      <c r="AB29" s="1752" t="s">
        <v>760</v>
      </c>
      <c r="AD29" s="111">
        <v>1</v>
      </c>
      <c r="AE29" s="1759" t="s">
        <v>761</v>
      </c>
      <c r="AF29" s="1760"/>
      <c r="AG29" s="111" t="s">
        <v>762</v>
      </c>
      <c r="AH29" s="41"/>
      <c r="AI29" s="42"/>
      <c r="AJ29" s="42"/>
      <c r="AK29" s="42"/>
      <c r="AL29" s="736">
        <f>AM29+AN29</f>
        <v>0</v>
      </c>
      <c r="AM29" s="42"/>
      <c r="AN29" s="42"/>
      <c r="AO29" s="736">
        <f>AP29+AQ29</f>
        <v>0</v>
      </c>
      <c r="AP29" s="826"/>
      <c r="AQ29" s="826"/>
      <c r="AR29" s="736">
        <f>AS29+AT29</f>
        <v>0</v>
      </c>
      <c r="AS29" s="826"/>
      <c r="AT29" s="826"/>
      <c r="AU29" s="736">
        <f>AV29+AW29</f>
        <v>0</v>
      </c>
      <c r="AV29" s="826"/>
      <c r="AW29" s="826"/>
      <c r="AX29" s="736">
        <f>AY29+AZ29</f>
        <v>0</v>
      </c>
      <c r="AY29" s="826"/>
      <c r="AZ29" s="826"/>
      <c r="BA29" s="736">
        <f>BB29+BC29</f>
        <v>0</v>
      </c>
      <c r="BB29" s="42"/>
      <c r="BC29" s="42"/>
      <c r="BD29" s="736">
        <f>BE29+BF29</f>
        <v>0</v>
      </c>
      <c r="BE29" s="42"/>
      <c r="BF29" s="42"/>
      <c r="BG29" s="736">
        <f>BH29+BI29</f>
        <v>0</v>
      </c>
      <c r="BH29" s="42"/>
      <c r="BI29" s="42"/>
      <c r="BJ29" s="736">
        <f>BK29+BL29</f>
        <v>0</v>
      </c>
      <c r="BK29" s="42"/>
      <c r="BL29" s="42"/>
      <c r="BM29" s="736">
        <f>BN29+BO29</f>
        <v>0</v>
      </c>
      <c r="BN29" s="42"/>
      <c r="BO29" s="42"/>
      <c r="BP29" s="736">
        <f>BQ29+BR29</f>
        <v>0</v>
      </c>
      <c r="BQ29" s="826"/>
      <c r="BR29" s="826"/>
      <c r="BS29" s="736">
        <f>BT29+BU29</f>
        <v>0</v>
      </c>
      <c r="BT29" s="826"/>
      <c r="BU29" s="826"/>
      <c r="BV29" s="736">
        <f>BW29+BX29</f>
        <v>0</v>
      </c>
      <c r="BW29" s="826"/>
      <c r="BX29" s="826"/>
      <c r="BY29" s="736">
        <f>BZ29+CA29</f>
        <v>0</v>
      </c>
      <c r="BZ29" s="826"/>
      <c r="CA29" s="826"/>
      <c r="CB29" s="736">
        <f>CC29+CD29</f>
        <v>0</v>
      </c>
      <c r="CC29" s="826"/>
      <c r="CD29" s="826"/>
      <c r="CE29" s="736">
        <f>CF29+CG29</f>
        <v>0</v>
      </c>
      <c r="CF29" s="42"/>
      <c r="CG29" s="42"/>
      <c r="CH29" s="736">
        <f>CI29+CJ29</f>
        <v>0</v>
      </c>
      <c r="CI29" s="42"/>
      <c r="CJ29" s="42"/>
      <c r="CK29" s="736">
        <f>CL29+CM29</f>
        <v>0</v>
      </c>
      <c r="CL29" s="42"/>
      <c r="CM29" s="42"/>
      <c r="CN29" s="736">
        <f>CO29+CP29</f>
        <v>0</v>
      </c>
      <c r="CO29" s="42"/>
      <c r="CP29" s="42"/>
      <c r="CQ29" s="736">
        <f>CR29+CS29</f>
        <v>0</v>
      </c>
      <c r="CR29" s="42"/>
      <c r="CS29" s="42"/>
      <c r="CT29" s="28"/>
      <c r="CW29" s="970" t="s">
        <v>763</v>
      </c>
    </row>
    <row r="30" spans="1:106" ht="16.7" hidden="1" customHeight="1">
      <c r="E30" s="676">
        <v>17.100000000000001</v>
      </c>
      <c r="F30" s="779" cm="1">
        <f t="array" aca="1" ref="F30" ca="1">OFFSET(G30,-1,-1)</f>
        <v>0</v>
      </c>
      <c r="L30" s="779" t="b" cm="1">
        <f t="array" aca="1" ref="L30" ca="1">OFFSET(M30,-1,-1)</f>
        <v>0</v>
      </c>
      <c r="R30" s="779" t="s">
        <v>759</v>
      </c>
      <c r="S30" s="110" t="b" cm="1">
        <f t="array" aca="1" ref="S30" ca="1">OFFSET(T30,-1,-1)</f>
        <v>0</v>
      </c>
      <c r="T30" s="110" t="b" cm="1">
        <f t="array" aca="1" ref="T30" ca="1">T29</f>
        <v>0</v>
      </c>
      <c r="U30" s="698" t="b">
        <f t="shared" ca="1" si="4"/>
        <v>0</v>
      </c>
      <c r="Y30" s="1687"/>
      <c r="Z30" s="1687"/>
      <c r="AB30" s="1753"/>
      <c r="AD30" s="111">
        <v>2</v>
      </c>
      <c r="AE30" s="1759" t="s">
        <v>764</v>
      </c>
      <c r="AF30" s="1760"/>
      <c r="AG30" s="111" t="s">
        <v>762</v>
      </c>
      <c r="AH30" s="734">
        <f t="shared" ref="AH30:BM30" si="5">AH31+AH33</f>
        <v>0</v>
      </c>
      <c r="AI30" s="736">
        <f t="shared" si="5"/>
        <v>0</v>
      </c>
      <c r="AJ30" s="736">
        <f t="shared" si="5"/>
        <v>0</v>
      </c>
      <c r="AK30" s="736">
        <f t="shared" si="5"/>
        <v>0</v>
      </c>
      <c r="AL30" s="736">
        <f t="shared" si="5"/>
        <v>0</v>
      </c>
      <c r="AM30" s="736">
        <f t="shared" si="5"/>
        <v>0</v>
      </c>
      <c r="AN30" s="736">
        <f t="shared" si="5"/>
        <v>0</v>
      </c>
      <c r="AO30" s="736">
        <f t="shared" si="5"/>
        <v>0</v>
      </c>
      <c r="AP30" s="736">
        <f t="shared" si="5"/>
        <v>0</v>
      </c>
      <c r="AQ30" s="736">
        <f t="shared" si="5"/>
        <v>0</v>
      </c>
      <c r="AR30" s="736">
        <f t="shared" si="5"/>
        <v>0</v>
      </c>
      <c r="AS30" s="736">
        <f t="shared" si="5"/>
        <v>0</v>
      </c>
      <c r="AT30" s="736">
        <f t="shared" si="5"/>
        <v>0</v>
      </c>
      <c r="AU30" s="736">
        <f t="shared" si="5"/>
        <v>0</v>
      </c>
      <c r="AV30" s="736">
        <f t="shared" si="5"/>
        <v>0</v>
      </c>
      <c r="AW30" s="736">
        <f t="shared" si="5"/>
        <v>0</v>
      </c>
      <c r="AX30" s="736">
        <f t="shared" si="5"/>
        <v>0</v>
      </c>
      <c r="AY30" s="736">
        <f t="shared" si="5"/>
        <v>0</v>
      </c>
      <c r="AZ30" s="736">
        <f t="shared" si="5"/>
        <v>0</v>
      </c>
      <c r="BA30" s="736">
        <f t="shared" si="5"/>
        <v>0</v>
      </c>
      <c r="BB30" s="736">
        <f t="shared" si="5"/>
        <v>0</v>
      </c>
      <c r="BC30" s="736">
        <f t="shared" si="5"/>
        <v>0</v>
      </c>
      <c r="BD30" s="736">
        <f t="shared" si="5"/>
        <v>0</v>
      </c>
      <c r="BE30" s="736">
        <f t="shared" si="5"/>
        <v>0</v>
      </c>
      <c r="BF30" s="736">
        <f t="shared" si="5"/>
        <v>0</v>
      </c>
      <c r="BG30" s="736">
        <f t="shared" si="5"/>
        <v>0</v>
      </c>
      <c r="BH30" s="736">
        <f t="shared" si="5"/>
        <v>0</v>
      </c>
      <c r="BI30" s="736">
        <f t="shared" si="5"/>
        <v>0</v>
      </c>
      <c r="BJ30" s="736">
        <f t="shared" si="5"/>
        <v>0</v>
      </c>
      <c r="BK30" s="736">
        <f t="shared" si="5"/>
        <v>0</v>
      </c>
      <c r="BL30" s="736">
        <f t="shared" si="5"/>
        <v>0</v>
      </c>
      <c r="BM30" s="736">
        <f t="shared" si="5"/>
        <v>0</v>
      </c>
      <c r="BN30" s="736">
        <f t="shared" ref="BN30:CS30" si="6">BN31+BN33</f>
        <v>0</v>
      </c>
      <c r="BO30" s="736">
        <f t="shared" si="6"/>
        <v>0</v>
      </c>
      <c r="BP30" s="736">
        <f t="shared" si="6"/>
        <v>0</v>
      </c>
      <c r="BQ30" s="736">
        <f t="shared" si="6"/>
        <v>0</v>
      </c>
      <c r="BR30" s="736">
        <f t="shared" si="6"/>
        <v>0</v>
      </c>
      <c r="BS30" s="736">
        <f t="shared" si="6"/>
        <v>0</v>
      </c>
      <c r="BT30" s="736">
        <f t="shared" si="6"/>
        <v>0</v>
      </c>
      <c r="BU30" s="736">
        <f t="shared" si="6"/>
        <v>0</v>
      </c>
      <c r="BV30" s="736">
        <f t="shared" si="6"/>
        <v>0</v>
      </c>
      <c r="BW30" s="736">
        <f t="shared" si="6"/>
        <v>0</v>
      </c>
      <c r="BX30" s="736">
        <f t="shared" si="6"/>
        <v>0</v>
      </c>
      <c r="BY30" s="736">
        <f t="shared" si="6"/>
        <v>0</v>
      </c>
      <c r="BZ30" s="736">
        <f t="shared" si="6"/>
        <v>0</v>
      </c>
      <c r="CA30" s="736">
        <f t="shared" si="6"/>
        <v>0</v>
      </c>
      <c r="CB30" s="736">
        <f t="shared" si="6"/>
        <v>0</v>
      </c>
      <c r="CC30" s="736">
        <f t="shared" si="6"/>
        <v>0</v>
      </c>
      <c r="CD30" s="736">
        <f t="shared" si="6"/>
        <v>0</v>
      </c>
      <c r="CE30" s="736">
        <f t="shared" si="6"/>
        <v>0</v>
      </c>
      <c r="CF30" s="736">
        <f t="shared" si="6"/>
        <v>0</v>
      </c>
      <c r="CG30" s="736">
        <f t="shared" si="6"/>
        <v>0</v>
      </c>
      <c r="CH30" s="736">
        <f t="shared" si="6"/>
        <v>0</v>
      </c>
      <c r="CI30" s="736">
        <f t="shared" si="6"/>
        <v>0</v>
      </c>
      <c r="CJ30" s="736">
        <f t="shared" si="6"/>
        <v>0</v>
      </c>
      <c r="CK30" s="736">
        <f t="shared" si="6"/>
        <v>0</v>
      </c>
      <c r="CL30" s="736">
        <f t="shared" si="6"/>
        <v>0</v>
      </c>
      <c r="CM30" s="736">
        <f t="shared" si="6"/>
        <v>0</v>
      </c>
      <c r="CN30" s="736">
        <f t="shared" si="6"/>
        <v>0</v>
      </c>
      <c r="CO30" s="736">
        <f t="shared" si="6"/>
        <v>0</v>
      </c>
      <c r="CP30" s="736">
        <f t="shared" si="6"/>
        <v>0</v>
      </c>
      <c r="CQ30" s="736">
        <f t="shared" si="6"/>
        <v>0</v>
      </c>
      <c r="CR30" s="736">
        <f t="shared" si="6"/>
        <v>0</v>
      </c>
      <c r="CS30" s="736">
        <f t="shared" si="6"/>
        <v>0</v>
      </c>
      <c r="CT30" s="28"/>
      <c r="CW30" s="970" t="s">
        <v>765</v>
      </c>
    </row>
    <row r="31" spans="1:106" ht="16.7" hidden="1" customHeight="1">
      <c r="E31" s="676">
        <v>17.100000000000001</v>
      </c>
      <c r="F31" s="779" cm="1">
        <f t="array" aca="1" ref="F31" ca="1">OFFSET(G31,-1,-1)</f>
        <v>0</v>
      </c>
      <c r="L31" s="779" t="b" cm="1">
        <f t="array" aca="1" ref="L31" ca="1">OFFSET(M31,-1,-1)</f>
        <v>0</v>
      </c>
      <c r="R31" s="779" t="s">
        <v>759</v>
      </c>
      <c r="S31" s="110" t="b" cm="1">
        <f t="array" aca="1" ref="S31" ca="1">OFFSET(T31,-1,-1)</f>
        <v>0</v>
      </c>
      <c r="T31" s="110" t="b" cm="1">
        <f t="array" aca="1" ref="T31" ca="1">T30</f>
        <v>0</v>
      </c>
      <c r="U31" s="698" t="b">
        <f t="shared" ca="1" si="4"/>
        <v>0</v>
      </c>
      <c r="Y31" s="1687"/>
      <c r="Z31" s="1687"/>
      <c r="AB31" s="1753"/>
      <c r="AD31" s="111" t="s">
        <v>491</v>
      </c>
      <c r="AE31" s="1770" t="s">
        <v>766</v>
      </c>
      <c r="AF31" s="1771"/>
      <c r="AG31" s="111" t="s">
        <v>762</v>
      </c>
      <c r="AH31" s="41"/>
      <c r="AI31" s="42"/>
      <c r="AJ31" s="42"/>
      <c r="AK31" s="42"/>
      <c r="AL31" s="736">
        <f>AM31+AN31</f>
        <v>0</v>
      </c>
      <c r="AM31" s="42"/>
      <c r="AN31" s="42"/>
      <c r="AO31" s="736">
        <f>AP31+AQ31</f>
        <v>0</v>
      </c>
      <c r="AP31" s="826"/>
      <c r="AQ31" s="826"/>
      <c r="AR31" s="736">
        <f>AS31+AT31</f>
        <v>0</v>
      </c>
      <c r="AS31" s="826"/>
      <c r="AT31" s="826"/>
      <c r="AU31" s="736">
        <f>AV31+AW31</f>
        <v>0</v>
      </c>
      <c r="AV31" s="826"/>
      <c r="AW31" s="826"/>
      <c r="AX31" s="736">
        <f>AY31+AZ31</f>
        <v>0</v>
      </c>
      <c r="AY31" s="826"/>
      <c r="AZ31" s="826"/>
      <c r="BA31" s="736">
        <f>BB31+BC31</f>
        <v>0</v>
      </c>
      <c r="BB31" s="42"/>
      <c r="BC31" s="42"/>
      <c r="BD31" s="736">
        <f>BE31+BF31</f>
        <v>0</v>
      </c>
      <c r="BE31" s="42"/>
      <c r="BF31" s="42"/>
      <c r="BG31" s="736">
        <f>BH31+BI31</f>
        <v>0</v>
      </c>
      <c r="BH31" s="42"/>
      <c r="BI31" s="42"/>
      <c r="BJ31" s="736">
        <f>BK31+BL31</f>
        <v>0</v>
      </c>
      <c r="BK31" s="42"/>
      <c r="BL31" s="42"/>
      <c r="BM31" s="736">
        <f>BN31+BO31</f>
        <v>0</v>
      </c>
      <c r="BN31" s="42"/>
      <c r="BO31" s="42"/>
      <c r="BP31" s="736">
        <f>BQ31+BR31</f>
        <v>0</v>
      </c>
      <c r="BQ31" s="826"/>
      <c r="BR31" s="826"/>
      <c r="BS31" s="736">
        <f>BT31+BU31</f>
        <v>0</v>
      </c>
      <c r="BT31" s="826"/>
      <c r="BU31" s="826"/>
      <c r="BV31" s="736">
        <f>BW31+BX31</f>
        <v>0</v>
      </c>
      <c r="BW31" s="826"/>
      <c r="BX31" s="826"/>
      <c r="BY31" s="736">
        <f>BZ31+CA31</f>
        <v>0</v>
      </c>
      <c r="BZ31" s="826"/>
      <c r="CA31" s="826"/>
      <c r="CB31" s="736">
        <f>CC31+CD31</f>
        <v>0</v>
      </c>
      <c r="CC31" s="826"/>
      <c r="CD31" s="826"/>
      <c r="CE31" s="736">
        <f>CF31+CG31</f>
        <v>0</v>
      </c>
      <c r="CF31" s="42"/>
      <c r="CG31" s="42"/>
      <c r="CH31" s="736">
        <f>CI31+CJ31</f>
        <v>0</v>
      </c>
      <c r="CI31" s="42"/>
      <c r="CJ31" s="42"/>
      <c r="CK31" s="736">
        <f>CL31+CM31</f>
        <v>0</v>
      </c>
      <c r="CL31" s="42"/>
      <c r="CM31" s="42"/>
      <c r="CN31" s="736">
        <f>CO31+CP31</f>
        <v>0</v>
      </c>
      <c r="CO31" s="42"/>
      <c r="CP31" s="42"/>
      <c r="CQ31" s="736">
        <f>CR31+CS31</f>
        <v>0</v>
      </c>
      <c r="CR31" s="42"/>
      <c r="CS31" s="42"/>
      <c r="CT31" s="28"/>
      <c r="CW31" s="970" t="s">
        <v>767</v>
      </c>
    </row>
    <row r="32" spans="1:106" ht="16.7" hidden="1" customHeight="1">
      <c r="E32" s="676">
        <v>17.100000000000001</v>
      </c>
      <c r="F32" s="779" cm="1">
        <f t="array" aca="1" ref="F32" ca="1">OFFSET(G32,-1,-1)</f>
        <v>0</v>
      </c>
      <c r="L32" s="779" t="b" cm="1">
        <f t="array" aca="1" ref="L32" ca="1">OFFSET(M32,-1,-1)</f>
        <v>0</v>
      </c>
      <c r="R32" s="779" t="s">
        <v>759</v>
      </c>
      <c r="S32" s="110" t="b" cm="1">
        <f t="array" aca="1" ref="S32" ca="1">OFFSET(T32,-1,-1)</f>
        <v>0</v>
      </c>
      <c r="T32" s="110" t="b" cm="1">
        <f t="array" aca="1" ref="T32" ca="1">T31</f>
        <v>0</v>
      </c>
      <c r="U32" s="698" t="b">
        <f t="shared" ca="1" si="4"/>
        <v>0</v>
      </c>
      <c r="Y32" s="1687"/>
      <c r="Z32" s="1687"/>
      <c r="AB32" s="1753"/>
      <c r="AD32" s="111" t="s">
        <v>494</v>
      </c>
      <c r="AE32" s="1772" t="s">
        <v>768</v>
      </c>
      <c r="AF32" s="1773"/>
      <c r="AG32" s="111" t="s">
        <v>533</v>
      </c>
      <c r="AH32" s="740">
        <f t="shared" ref="AH32:BM32" si="7">IFERROR(AH31/AH29,0)</f>
        <v>0</v>
      </c>
      <c r="AI32" s="741">
        <f t="shared" si="7"/>
        <v>0</v>
      </c>
      <c r="AJ32" s="741">
        <f t="shared" si="7"/>
        <v>0</v>
      </c>
      <c r="AK32" s="741">
        <f t="shared" si="7"/>
        <v>0</v>
      </c>
      <c r="AL32" s="741">
        <f t="shared" si="7"/>
        <v>0</v>
      </c>
      <c r="AM32" s="741">
        <f t="shared" si="7"/>
        <v>0</v>
      </c>
      <c r="AN32" s="741">
        <f t="shared" si="7"/>
        <v>0</v>
      </c>
      <c r="AO32" s="741">
        <f t="shared" si="7"/>
        <v>0</v>
      </c>
      <c r="AP32" s="741">
        <f t="shared" si="7"/>
        <v>0</v>
      </c>
      <c r="AQ32" s="741">
        <f t="shared" si="7"/>
        <v>0</v>
      </c>
      <c r="AR32" s="741">
        <f t="shared" si="7"/>
        <v>0</v>
      </c>
      <c r="AS32" s="741">
        <f t="shared" si="7"/>
        <v>0</v>
      </c>
      <c r="AT32" s="741">
        <f t="shared" si="7"/>
        <v>0</v>
      </c>
      <c r="AU32" s="741">
        <f t="shared" si="7"/>
        <v>0</v>
      </c>
      <c r="AV32" s="741">
        <f t="shared" si="7"/>
        <v>0</v>
      </c>
      <c r="AW32" s="741">
        <f t="shared" si="7"/>
        <v>0</v>
      </c>
      <c r="AX32" s="741">
        <f t="shared" si="7"/>
        <v>0</v>
      </c>
      <c r="AY32" s="741">
        <f t="shared" si="7"/>
        <v>0</v>
      </c>
      <c r="AZ32" s="741">
        <f t="shared" si="7"/>
        <v>0</v>
      </c>
      <c r="BA32" s="741">
        <f t="shared" si="7"/>
        <v>0</v>
      </c>
      <c r="BB32" s="741">
        <f t="shared" si="7"/>
        <v>0</v>
      </c>
      <c r="BC32" s="741">
        <f t="shared" si="7"/>
        <v>0</v>
      </c>
      <c r="BD32" s="741">
        <f t="shared" si="7"/>
        <v>0</v>
      </c>
      <c r="BE32" s="741">
        <f t="shared" si="7"/>
        <v>0</v>
      </c>
      <c r="BF32" s="741">
        <f t="shared" si="7"/>
        <v>0</v>
      </c>
      <c r="BG32" s="741">
        <f t="shared" si="7"/>
        <v>0</v>
      </c>
      <c r="BH32" s="741">
        <f t="shared" si="7"/>
        <v>0</v>
      </c>
      <c r="BI32" s="741">
        <f t="shared" si="7"/>
        <v>0</v>
      </c>
      <c r="BJ32" s="741">
        <f t="shared" si="7"/>
        <v>0</v>
      </c>
      <c r="BK32" s="741">
        <f t="shared" si="7"/>
        <v>0</v>
      </c>
      <c r="BL32" s="741">
        <f t="shared" si="7"/>
        <v>0</v>
      </c>
      <c r="BM32" s="741">
        <f t="shared" si="7"/>
        <v>0</v>
      </c>
      <c r="BN32" s="741">
        <f t="shared" ref="BN32:CS32" si="8">IFERROR(BN31/BN29,0)</f>
        <v>0</v>
      </c>
      <c r="BO32" s="741">
        <f t="shared" si="8"/>
        <v>0</v>
      </c>
      <c r="BP32" s="741">
        <f t="shared" si="8"/>
        <v>0</v>
      </c>
      <c r="BQ32" s="741">
        <f t="shared" si="8"/>
        <v>0</v>
      </c>
      <c r="BR32" s="741">
        <f t="shared" si="8"/>
        <v>0</v>
      </c>
      <c r="BS32" s="741">
        <f t="shared" si="8"/>
        <v>0</v>
      </c>
      <c r="BT32" s="741">
        <f t="shared" si="8"/>
        <v>0</v>
      </c>
      <c r="BU32" s="741">
        <f t="shared" si="8"/>
        <v>0</v>
      </c>
      <c r="BV32" s="741">
        <f t="shared" si="8"/>
        <v>0</v>
      </c>
      <c r="BW32" s="741">
        <f t="shared" si="8"/>
        <v>0</v>
      </c>
      <c r="BX32" s="741">
        <f t="shared" si="8"/>
        <v>0</v>
      </c>
      <c r="BY32" s="741">
        <f t="shared" si="8"/>
        <v>0</v>
      </c>
      <c r="BZ32" s="741">
        <f t="shared" si="8"/>
        <v>0</v>
      </c>
      <c r="CA32" s="741">
        <f t="shared" si="8"/>
        <v>0</v>
      </c>
      <c r="CB32" s="741">
        <f t="shared" si="8"/>
        <v>0</v>
      </c>
      <c r="CC32" s="741">
        <f t="shared" si="8"/>
        <v>0</v>
      </c>
      <c r="CD32" s="741">
        <f t="shared" si="8"/>
        <v>0</v>
      </c>
      <c r="CE32" s="741">
        <f t="shared" si="8"/>
        <v>0</v>
      </c>
      <c r="CF32" s="741">
        <f t="shared" si="8"/>
        <v>0</v>
      </c>
      <c r="CG32" s="741">
        <f t="shared" si="8"/>
        <v>0</v>
      </c>
      <c r="CH32" s="741">
        <f t="shared" si="8"/>
        <v>0</v>
      </c>
      <c r="CI32" s="741">
        <f t="shared" si="8"/>
        <v>0</v>
      </c>
      <c r="CJ32" s="741">
        <f t="shared" si="8"/>
        <v>0</v>
      </c>
      <c r="CK32" s="741">
        <f t="shared" si="8"/>
        <v>0</v>
      </c>
      <c r="CL32" s="741">
        <f t="shared" si="8"/>
        <v>0</v>
      </c>
      <c r="CM32" s="741">
        <f t="shared" si="8"/>
        <v>0</v>
      </c>
      <c r="CN32" s="741">
        <f t="shared" si="8"/>
        <v>0</v>
      </c>
      <c r="CO32" s="741">
        <f t="shared" si="8"/>
        <v>0</v>
      </c>
      <c r="CP32" s="741">
        <f t="shared" si="8"/>
        <v>0</v>
      </c>
      <c r="CQ32" s="741">
        <f t="shared" si="8"/>
        <v>0</v>
      </c>
      <c r="CR32" s="741">
        <f t="shared" si="8"/>
        <v>0</v>
      </c>
      <c r="CS32" s="741">
        <f t="shared" si="8"/>
        <v>0</v>
      </c>
      <c r="CT32" s="28"/>
      <c r="CW32" s="970" t="s">
        <v>769</v>
      </c>
    </row>
    <row r="33" spans="5:101" ht="16.7" hidden="1" customHeight="1">
      <c r="E33" s="676">
        <v>17.100000000000001</v>
      </c>
      <c r="F33" s="779" cm="1">
        <f t="array" aca="1" ref="F33" ca="1">OFFSET(G33,-1,-1)</f>
        <v>0</v>
      </c>
      <c r="L33" s="779" t="b" cm="1">
        <f t="array" aca="1" ref="L33" ca="1">OFFSET(M33,-1,-1)</f>
        <v>0</v>
      </c>
      <c r="R33" s="779" t="s">
        <v>759</v>
      </c>
      <c r="S33" s="110" t="b" cm="1">
        <f t="array" aca="1" ref="S33" ca="1">OFFSET(T33,-1,-1)</f>
        <v>0</v>
      </c>
      <c r="T33" s="110" t="b" cm="1">
        <f t="array" aca="1" ref="T33" ca="1">T32</f>
        <v>0</v>
      </c>
      <c r="U33" s="698" t="b">
        <f t="shared" ca="1" si="4"/>
        <v>0</v>
      </c>
      <c r="Y33" s="1687"/>
      <c r="Z33" s="1687"/>
      <c r="AB33" s="1753"/>
      <c r="AD33" s="111" t="s">
        <v>518</v>
      </c>
      <c r="AE33" s="1770" t="s">
        <v>770</v>
      </c>
      <c r="AF33" s="1771"/>
      <c r="AG33" s="111" t="s">
        <v>762</v>
      </c>
      <c r="AH33" s="41"/>
      <c r="AI33" s="42"/>
      <c r="AJ33" s="42"/>
      <c r="AK33" s="42"/>
      <c r="AL33" s="736">
        <f>AM33+AN33</f>
        <v>0</v>
      </c>
      <c r="AM33" s="42"/>
      <c r="AN33" s="42"/>
      <c r="AO33" s="736">
        <f>AP33+AQ33</f>
        <v>0</v>
      </c>
      <c r="AP33" s="826"/>
      <c r="AQ33" s="826"/>
      <c r="AR33" s="736">
        <f>AS33+AT33</f>
        <v>0</v>
      </c>
      <c r="AS33" s="826"/>
      <c r="AT33" s="826"/>
      <c r="AU33" s="736">
        <f>AV33+AW33</f>
        <v>0</v>
      </c>
      <c r="AV33" s="826"/>
      <c r="AW33" s="826"/>
      <c r="AX33" s="736">
        <f>AY33+AZ33</f>
        <v>0</v>
      </c>
      <c r="AY33" s="826"/>
      <c r="AZ33" s="826"/>
      <c r="BA33" s="736">
        <f>BB33+BC33</f>
        <v>0</v>
      </c>
      <c r="BB33" s="42"/>
      <c r="BC33" s="42"/>
      <c r="BD33" s="736">
        <f>BE33+BF33</f>
        <v>0</v>
      </c>
      <c r="BE33" s="42"/>
      <c r="BF33" s="42"/>
      <c r="BG33" s="736">
        <f>BH33+BI33</f>
        <v>0</v>
      </c>
      <c r="BH33" s="42"/>
      <c r="BI33" s="42"/>
      <c r="BJ33" s="736">
        <f>BK33+BL33</f>
        <v>0</v>
      </c>
      <c r="BK33" s="42"/>
      <c r="BL33" s="42"/>
      <c r="BM33" s="736">
        <f>BN33+BO33</f>
        <v>0</v>
      </c>
      <c r="BN33" s="42"/>
      <c r="BO33" s="42"/>
      <c r="BP33" s="736">
        <f>BQ33+BR33</f>
        <v>0</v>
      </c>
      <c r="BQ33" s="826"/>
      <c r="BR33" s="826"/>
      <c r="BS33" s="736">
        <f>BT33+BU33</f>
        <v>0</v>
      </c>
      <c r="BT33" s="826"/>
      <c r="BU33" s="826"/>
      <c r="BV33" s="736">
        <f>BW33+BX33</f>
        <v>0</v>
      </c>
      <c r="BW33" s="826"/>
      <c r="BX33" s="826"/>
      <c r="BY33" s="736">
        <f>BZ33+CA33</f>
        <v>0</v>
      </c>
      <c r="BZ33" s="826"/>
      <c r="CA33" s="826"/>
      <c r="CB33" s="736">
        <f>CC33+CD33</f>
        <v>0</v>
      </c>
      <c r="CC33" s="826"/>
      <c r="CD33" s="826"/>
      <c r="CE33" s="736">
        <f>CF33+CG33</f>
        <v>0</v>
      </c>
      <c r="CF33" s="42"/>
      <c r="CG33" s="42"/>
      <c r="CH33" s="736">
        <f>CI33+CJ33</f>
        <v>0</v>
      </c>
      <c r="CI33" s="42"/>
      <c r="CJ33" s="42"/>
      <c r="CK33" s="736">
        <f>CL33+CM33</f>
        <v>0</v>
      </c>
      <c r="CL33" s="42"/>
      <c r="CM33" s="42"/>
      <c r="CN33" s="736">
        <f>CO33+CP33</f>
        <v>0</v>
      </c>
      <c r="CO33" s="42"/>
      <c r="CP33" s="42"/>
      <c r="CQ33" s="736">
        <f>CR33+CS33</f>
        <v>0</v>
      </c>
      <c r="CR33" s="42"/>
      <c r="CS33" s="42"/>
      <c r="CT33" s="28"/>
      <c r="CW33" s="970" t="s">
        <v>771</v>
      </c>
    </row>
    <row r="34" spans="5:101" ht="16.7" hidden="1" customHeight="1">
      <c r="E34" s="676">
        <v>17.100000000000001</v>
      </c>
      <c r="F34" s="779" cm="1">
        <f t="array" aca="1" ref="F34" ca="1">OFFSET(G34,-1,-1)</f>
        <v>0</v>
      </c>
      <c r="L34" s="779" t="b" cm="1">
        <f t="array" aca="1" ref="L34" ca="1">OFFSET(M34,-1,-1)</f>
        <v>0</v>
      </c>
      <c r="R34" s="779" t="s">
        <v>759</v>
      </c>
      <c r="S34" s="110" t="b" cm="1">
        <f t="array" aca="1" ref="S34" ca="1">OFFSET(T34,-1,-1)</f>
        <v>0</v>
      </c>
      <c r="T34" s="110" t="b" cm="1">
        <f t="array" aca="1" ref="T34" ca="1">T33</f>
        <v>0</v>
      </c>
      <c r="U34" s="698" t="b">
        <f t="shared" ca="1" si="4"/>
        <v>0</v>
      </c>
      <c r="Y34" s="1687"/>
      <c r="Z34" s="1687"/>
      <c r="AB34" s="1753"/>
      <c r="AD34" s="111" t="s">
        <v>772</v>
      </c>
      <c r="AE34" s="1772" t="s">
        <v>773</v>
      </c>
      <c r="AF34" s="1773"/>
      <c r="AG34" s="111" t="s">
        <v>774</v>
      </c>
      <c r="AH34" s="41"/>
      <c r="AI34" s="42"/>
      <c r="AJ34" s="42"/>
      <c r="AK34" s="42"/>
      <c r="AL34" s="42"/>
      <c r="AM34" s="42"/>
      <c r="AN34" s="42"/>
      <c r="AO34" s="826"/>
      <c r="AP34" s="826"/>
      <c r="AQ34" s="826"/>
      <c r="AR34" s="826"/>
      <c r="AS34" s="826"/>
      <c r="AT34" s="826"/>
      <c r="AU34" s="826"/>
      <c r="AV34" s="826"/>
      <c r="AW34" s="826"/>
      <c r="AX34" s="826"/>
      <c r="AY34" s="826"/>
      <c r="AZ34" s="826"/>
      <c r="BA34" s="42"/>
      <c r="BB34" s="42"/>
      <c r="BC34" s="42"/>
      <c r="BD34" s="42"/>
      <c r="BE34" s="42"/>
      <c r="BF34" s="42"/>
      <c r="BG34" s="42"/>
      <c r="BH34" s="42"/>
      <c r="BI34" s="42"/>
      <c r="BJ34" s="42"/>
      <c r="BK34" s="42"/>
      <c r="BL34" s="42"/>
      <c r="BM34" s="42"/>
      <c r="BN34" s="42"/>
      <c r="BO34" s="42"/>
      <c r="BP34" s="826"/>
      <c r="BQ34" s="826"/>
      <c r="BR34" s="826"/>
      <c r="BS34" s="826"/>
      <c r="BT34" s="826"/>
      <c r="BU34" s="826"/>
      <c r="BV34" s="826"/>
      <c r="BW34" s="826"/>
      <c r="BX34" s="826"/>
      <c r="BY34" s="826"/>
      <c r="BZ34" s="826"/>
      <c r="CA34" s="826"/>
      <c r="CB34" s="826"/>
      <c r="CC34" s="826"/>
      <c r="CD34" s="826"/>
      <c r="CE34" s="42"/>
      <c r="CF34" s="42"/>
      <c r="CG34" s="42"/>
      <c r="CH34" s="42"/>
      <c r="CI34" s="42"/>
      <c r="CJ34" s="42"/>
      <c r="CK34" s="42"/>
      <c r="CL34" s="42"/>
      <c r="CM34" s="42"/>
      <c r="CN34" s="42"/>
      <c r="CO34" s="42"/>
      <c r="CP34" s="42"/>
      <c r="CQ34" s="42"/>
      <c r="CR34" s="42"/>
      <c r="CS34" s="42"/>
      <c r="CT34" s="28"/>
      <c r="CW34" s="970" t="s">
        <v>775</v>
      </c>
    </row>
    <row r="35" spans="5:101" ht="16.7" hidden="1" customHeight="1">
      <c r="E35" s="676">
        <v>17.100000000000001</v>
      </c>
      <c r="F35" s="779" cm="1">
        <f t="array" aca="1" ref="F35" ca="1">OFFSET(G35,-1,-1)</f>
        <v>0</v>
      </c>
      <c r="L35" s="779" t="b" cm="1">
        <f t="array" aca="1" ref="L35" ca="1">OFFSET(M35,-1,-1)</f>
        <v>0</v>
      </c>
      <c r="R35" s="779" t="s">
        <v>759</v>
      </c>
      <c r="S35" s="110" t="b" cm="1">
        <f t="array" aca="1" ref="S35" ca="1">OFFSET(T35,-1,-1)</f>
        <v>0</v>
      </c>
      <c r="T35" s="110" t="b" cm="1">
        <f t="array" aca="1" ref="T35" ca="1">T34</f>
        <v>0</v>
      </c>
      <c r="U35" s="698" t="b">
        <f t="shared" ca="1" si="4"/>
        <v>0</v>
      </c>
      <c r="Y35" s="1687"/>
      <c r="Z35" s="1687"/>
      <c r="AB35" s="1753"/>
      <c r="AD35" s="111">
        <v>3</v>
      </c>
      <c r="AE35" s="1759" t="s">
        <v>776</v>
      </c>
      <c r="AF35" s="1760"/>
      <c r="AG35" s="111" t="s">
        <v>762</v>
      </c>
      <c r="AH35" s="734">
        <f t="shared" ref="AH35:BM35" si="9">AH29-AH30</f>
        <v>0</v>
      </c>
      <c r="AI35" s="736">
        <f t="shared" si="9"/>
        <v>0</v>
      </c>
      <c r="AJ35" s="736">
        <f t="shared" si="9"/>
        <v>0</v>
      </c>
      <c r="AK35" s="736">
        <f t="shared" si="9"/>
        <v>0</v>
      </c>
      <c r="AL35" s="736">
        <f t="shared" si="9"/>
        <v>0</v>
      </c>
      <c r="AM35" s="736">
        <f t="shared" si="9"/>
        <v>0</v>
      </c>
      <c r="AN35" s="736">
        <f t="shared" si="9"/>
        <v>0</v>
      </c>
      <c r="AO35" s="736">
        <f t="shared" si="9"/>
        <v>0</v>
      </c>
      <c r="AP35" s="736">
        <f t="shared" si="9"/>
        <v>0</v>
      </c>
      <c r="AQ35" s="736">
        <f t="shared" si="9"/>
        <v>0</v>
      </c>
      <c r="AR35" s="736">
        <f t="shared" si="9"/>
        <v>0</v>
      </c>
      <c r="AS35" s="736">
        <f t="shared" si="9"/>
        <v>0</v>
      </c>
      <c r="AT35" s="736">
        <f t="shared" si="9"/>
        <v>0</v>
      </c>
      <c r="AU35" s="736">
        <f t="shared" si="9"/>
        <v>0</v>
      </c>
      <c r="AV35" s="736">
        <f t="shared" si="9"/>
        <v>0</v>
      </c>
      <c r="AW35" s="736">
        <f t="shared" si="9"/>
        <v>0</v>
      </c>
      <c r="AX35" s="736">
        <f t="shared" si="9"/>
        <v>0</v>
      </c>
      <c r="AY35" s="736">
        <f t="shared" si="9"/>
        <v>0</v>
      </c>
      <c r="AZ35" s="736">
        <f t="shared" si="9"/>
        <v>0</v>
      </c>
      <c r="BA35" s="736">
        <f t="shared" si="9"/>
        <v>0</v>
      </c>
      <c r="BB35" s="736">
        <f t="shared" si="9"/>
        <v>0</v>
      </c>
      <c r="BC35" s="736">
        <f t="shared" si="9"/>
        <v>0</v>
      </c>
      <c r="BD35" s="736">
        <f t="shared" si="9"/>
        <v>0</v>
      </c>
      <c r="BE35" s="736">
        <f t="shared" si="9"/>
        <v>0</v>
      </c>
      <c r="BF35" s="736">
        <f t="shared" si="9"/>
        <v>0</v>
      </c>
      <c r="BG35" s="736">
        <f t="shared" si="9"/>
        <v>0</v>
      </c>
      <c r="BH35" s="736">
        <f t="shared" si="9"/>
        <v>0</v>
      </c>
      <c r="BI35" s="736">
        <f t="shared" si="9"/>
        <v>0</v>
      </c>
      <c r="BJ35" s="736">
        <f t="shared" si="9"/>
        <v>0</v>
      </c>
      <c r="BK35" s="736">
        <f t="shared" si="9"/>
        <v>0</v>
      </c>
      <c r="BL35" s="736">
        <f t="shared" si="9"/>
        <v>0</v>
      </c>
      <c r="BM35" s="736">
        <f t="shared" si="9"/>
        <v>0</v>
      </c>
      <c r="BN35" s="736">
        <f t="shared" ref="BN35:CS35" si="10">BN29-BN30</f>
        <v>0</v>
      </c>
      <c r="BO35" s="736">
        <f t="shared" si="10"/>
        <v>0</v>
      </c>
      <c r="BP35" s="736">
        <f t="shared" si="10"/>
        <v>0</v>
      </c>
      <c r="BQ35" s="736">
        <f t="shared" si="10"/>
        <v>0</v>
      </c>
      <c r="BR35" s="736">
        <f t="shared" si="10"/>
        <v>0</v>
      </c>
      <c r="BS35" s="736">
        <f t="shared" si="10"/>
        <v>0</v>
      </c>
      <c r="BT35" s="736">
        <f t="shared" si="10"/>
        <v>0</v>
      </c>
      <c r="BU35" s="736">
        <f t="shared" si="10"/>
        <v>0</v>
      </c>
      <c r="BV35" s="736">
        <f t="shared" si="10"/>
        <v>0</v>
      </c>
      <c r="BW35" s="736">
        <f t="shared" si="10"/>
        <v>0</v>
      </c>
      <c r="BX35" s="736">
        <f t="shared" si="10"/>
        <v>0</v>
      </c>
      <c r="BY35" s="736">
        <f t="shared" si="10"/>
        <v>0</v>
      </c>
      <c r="BZ35" s="736">
        <f t="shared" si="10"/>
        <v>0</v>
      </c>
      <c r="CA35" s="736">
        <f t="shared" si="10"/>
        <v>0</v>
      </c>
      <c r="CB35" s="736">
        <f t="shared" si="10"/>
        <v>0</v>
      </c>
      <c r="CC35" s="736">
        <f t="shared" si="10"/>
        <v>0</v>
      </c>
      <c r="CD35" s="736">
        <f t="shared" si="10"/>
        <v>0</v>
      </c>
      <c r="CE35" s="736">
        <f t="shared" si="10"/>
        <v>0</v>
      </c>
      <c r="CF35" s="736">
        <f t="shared" si="10"/>
        <v>0</v>
      </c>
      <c r="CG35" s="736">
        <f t="shared" si="10"/>
        <v>0</v>
      </c>
      <c r="CH35" s="736">
        <f t="shared" si="10"/>
        <v>0</v>
      </c>
      <c r="CI35" s="736">
        <f t="shared" si="10"/>
        <v>0</v>
      </c>
      <c r="CJ35" s="736">
        <f t="shared" si="10"/>
        <v>0</v>
      </c>
      <c r="CK35" s="736">
        <f t="shared" si="10"/>
        <v>0</v>
      </c>
      <c r="CL35" s="736">
        <f t="shared" si="10"/>
        <v>0</v>
      </c>
      <c r="CM35" s="736">
        <f t="shared" si="10"/>
        <v>0</v>
      </c>
      <c r="CN35" s="736">
        <f t="shared" si="10"/>
        <v>0</v>
      </c>
      <c r="CO35" s="736">
        <f t="shared" si="10"/>
        <v>0</v>
      </c>
      <c r="CP35" s="736">
        <f t="shared" si="10"/>
        <v>0</v>
      </c>
      <c r="CQ35" s="736">
        <f t="shared" si="10"/>
        <v>0</v>
      </c>
      <c r="CR35" s="736">
        <f t="shared" si="10"/>
        <v>0</v>
      </c>
      <c r="CS35" s="736">
        <f t="shared" si="10"/>
        <v>0</v>
      </c>
      <c r="CT35" s="28"/>
      <c r="CW35" s="970" t="s">
        <v>777</v>
      </c>
    </row>
    <row r="36" spans="5:101" ht="16.7" hidden="1" customHeight="1">
      <c r="E36" s="676">
        <v>17.100000000000001</v>
      </c>
      <c r="F36" s="779" cm="1">
        <f t="array" aca="1" ref="F36" ca="1">OFFSET(G36,-1,-1)</f>
        <v>0</v>
      </c>
      <c r="L36" s="779" t="b" cm="1">
        <f t="array" aca="1" ref="L36" ca="1">OFFSET(M36,-1,-1)</f>
        <v>0</v>
      </c>
      <c r="R36" s="779" t="s">
        <v>759</v>
      </c>
      <c r="S36" s="110" t="b" cm="1">
        <f t="array" aca="1" ref="S36" ca="1">OFFSET(T36,-1,-1)</f>
        <v>0</v>
      </c>
      <c r="T36" s="110" t="b" cm="1">
        <f t="array" aca="1" ref="T36" ca="1">T35</f>
        <v>0</v>
      </c>
      <c r="U36" s="698" t="b">
        <f t="shared" ca="1" si="4"/>
        <v>0</v>
      </c>
      <c r="Y36" s="1687"/>
      <c r="Z36" s="1687"/>
      <c r="AB36" s="1753"/>
      <c r="AD36" s="111">
        <v>4</v>
      </c>
      <c r="AE36" s="1759" t="s">
        <v>778</v>
      </c>
      <c r="AF36" s="1760"/>
      <c r="AG36" s="111" t="s">
        <v>762</v>
      </c>
      <c r="AH36" s="41"/>
      <c r="AI36" s="42"/>
      <c r="AJ36" s="42"/>
      <c r="AK36" s="42"/>
      <c r="AL36" s="736">
        <f>AM36+AN36</f>
        <v>0</v>
      </c>
      <c r="AM36" s="42"/>
      <c r="AN36" s="42"/>
      <c r="AO36" s="736">
        <f>AP36+AQ36</f>
        <v>0</v>
      </c>
      <c r="AP36" s="826"/>
      <c r="AQ36" s="826"/>
      <c r="AR36" s="736">
        <f>AS36+AT36</f>
        <v>0</v>
      </c>
      <c r="AS36" s="826"/>
      <c r="AT36" s="826"/>
      <c r="AU36" s="736">
        <f>AV36+AW36</f>
        <v>0</v>
      </c>
      <c r="AV36" s="826"/>
      <c r="AW36" s="826"/>
      <c r="AX36" s="736">
        <f>AY36+AZ36</f>
        <v>0</v>
      </c>
      <c r="AY36" s="826"/>
      <c r="AZ36" s="826"/>
      <c r="BA36" s="736">
        <f>BB36+BC36</f>
        <v>0</v>
      </c>
      <c r="BB36" s="42"/>
      <c r="BC36" s="42"/>
      <c r="BD36" s="736">
        <f>BE36+BF36</f>
        <v>0</v>
      </c>
      <c r="BE36" s="42"/>
      <c r="BF36" s="42"/>
      <c r="BG36" s="736">
        <f>BH36+BI36</f>
        <v>0</v>
      </c>
      <c r="BH36" s="42"/>
      <c r="BI36" s="42"/>
      <c r="BJ36" s="736">
        <f>BK36+BL36</f>
        <v>0</v>
      </c>
      <c r="BK36" s="42"/>
      <c r="BL36" s="42"/>
      <c r="BM36" s="736">
        <f>BN36+BO36</f>
        <v>0</v>
      </c>
      <c r="BN36" s="42"/>
      <c r="BO36" s="42"/>
      <c r="BP36" s="736">
        <f>BQ36+BR36</f>
        <v>0</v>
      </c>
      <c r="BQ36" s="826"/>
      <c r="BR36" s="826"/>
      <c r="BS36" s="736">
        <f>BT36+BU36</f>
        <v>0</v>
      </c>
      <c r="BT36" s="826"/>
      <c r="BU36" s="826"/>
      <c r="BV36" s="736">
        <f>BW36+BX36</f>
        <v>0</v>
      </c>
      <c r="BW36" s="826"/>
      <c r="BX36" s="826"/>
      <c r="BY36" s="736">
        <f>BZ36+CA36</f>
        <v>0</v>
      </c>
      <c r="BZ36" s="826"/>
      <c r="CA36" s="826"/>
      <c r="CB36" s="736">
        <f>CC36+CD36</f>
        <v>0</v>
      </c>
      <c r="CC36" s="826"/>
      <c r="CD36" s="826"/>
      <c r="CE36" s="736">
        <f>CF36+CG36</f>
        <v>0</v>
      </c>
      <c r="CF36" s="42"/>
      <c r="CG36" s="42"/>
      <c r="CH36" s="736">
        <f>CI36+CJ36</f>
        <v>0</v>
      </c>
      <c r="CI36" s="42"/>
      <c r="CJ36" s="42"/>
      <c r="CK36" s="736">
        <f>CL36+CM36</f>
        <v>0</v>
      </c>
      <c r="CL36" s="42"/>
      <c r="CM36" s="42"/>
      <c r="CN36" s="736">
        <f>CO36+CP36</f>
        <v>0</v>
      </c>
      <c r="CO36" s="42"/>
      <c r="CP36" s="42"/>
      <c r="CQ36" s="736">
        <f>CR36+CS36</f>
        <v>0</v>
      </c>
      <c r="CR36" s="42"/>
      <c r="CS36" s="42"/>
      <c r="CT36" s="28"/>
      <c r="CW36" s="970" t="s">
        <v>779</v>
      </c>
    </row>
    <row r="37" spans="5:101" ht="16.7" hidden="1" customHeight="1">
      <c r="E37" s="676">
        <v>17.100000000000001</v>
      </c>
      <c r="F37" s="779" cm="1">
        <f t="array" aca="1" ref="F37" ca="1">OFFSET(G37,-1,-1)</f>
        <v>0</v>
      </c>
      <c r="L37" s="779" t="b" cm="1">
        <f t="array" aca="1" ref="L37" ca="1">OFFSET(M37,-1,-1)</f>
        <v>0</v>
      </c>
      <c r="R37" s="779" t="s">
        <v>759</v>
      </c>
      <c r="S37" s="110" t="b" cm="1">
        <f t="array" aca="1" ref="S37" ca="1">OFFSET(T37,-1,-1)</f>
        <v>0</v>
      </c>
      <c r="T37" s="110" t="b" cm="1">
        <f t="array" aca="1" ref="T37" ca="1">T36</f>
        <v>0</v>
      </c>
      <c r="U37" s="698" t="b">
        <f t="shared" ca="1" si="4"/>
        <v>0</v>
      </c>
      <c r="Y37" s="1687"/>
      <c r="Z37" s="1687"/>
      <c r="AB37" s="1753"/>
      <c r="AD37" s="111" t="s">
        <v>780</v>
      </c>
      <c r="AE37" s="1770" t="s">
        <v>781</v>
      </c>
      <c r="AF37" s="1771"/>
      <c r="AG37" s="111" t="s">
        <v>533</v>
      </c>
      <c r="AH37" s="740">
        <f t="shared" ref="AH37:BM37" si="11">IFERROR(AH36/AH35,0)</f>
        <v>0</v>
      </c>
      <c r="AI37" s="741">
        <f t="shared" si="11"/>
        <v>0</v>
      </c>
      <c r="AJ37" s="741">
        <f t="shared" si="11"/>
        <v>0</v>
      </c>
      <c r="AK37" s="741">
        <f t="shared" si="11"/>
        <v>0</v>
      </c>
      <c r="AL37" s="741">
        <f t="shared" si="11"/>
        <v>0</v>
      </c>
      <c r="AM37" s="741">
        <f t="shared" si="11"/>
        <v>0</v>
      </c>
      <c r="AN37" s="741">
        <f t="shared" si="11"/>
        <v>0</v>
      </c>
      <c r="AO37" s="741">
        <f t="shared" si="11"/>
        <v>0</v>
      </c>
      <c r="AP37" s="741">
        <f t="shared" si="11"/>
        <v>0</v>
      </c>
      <c r="AQ37" s="741">
        <f t="shared" si="11"/>
        <v>0</v>
      </c>
      <c r="AR37" s="741">
        <f t="shared" si="11"/>
        <v>0</v>
      </c>
      <c r="AS37" s="741">
        <f t="shared" si="11"/>
        <v>0</v>
      </c>
      <c r="AT37" s="741">
        <f t="shared" si="11"/>
        <v>0</v>
      </c>
      <c r="AU37" s="741">
        <f t="shared" si="11"/>
        <v>0</v>
      </c>
      <c r="AV37" s="741">
        <f t="shared" si="11"/>
        <v>0</v>
      </c>
      <c r="AW37" s="741">
        <f t="shared" si="11"/>
        <v>0</v>
      </c>
      <c r="AX37" s="741">
        <f t="shared" si="11"/>
        <v>0</v>
      </c>
      <c r="AY37" s="741">
        <f t="shared" si="11"/>
        <v>0</v>
      </c>
      <c r="AZ37" s="741">
        <f t="shared" si="11"/>
        <v>0</v>
      </c>
      <c r="BA37" s="741">
        <f t="shared" si="11"/>
        <v>0</v>
      </c>
      <c r="BB37" s="741">
        <f t="shared" si="11"/>
        <v>0</v>
      </c>
      <c r="BC37" s="741">
        <f t="shared" si="11"/>
        <v>0</v>
      </c>
      <c r="BD37" s="741">
        <f t="shared" si="11"/>
        <v>0</v>
      </c>
      <c r="BE37" s="741">
        <f t="shared" si="11"/>
        <v>0</v>
      </c>
      <c r="BF37" s="741">
        <f t="shared" si="11"/>
        <v>0</v>
      </c>
      <c r="BG37" s="741">
        <f t="shared" si="11"/>
        <v>0</v>
      </c>
      <c r="BH37" s="741">
        <f t="shared" si="11"/>
        <v>0</v>
      </c>
      <c r="BI37" s="741">
        <f t="shared" si="11"/>
        <v>0</v>
      </c>
      <c r="BJ37" s="741">
        <f t="shared" si="11"/>
        <v>0</v>
      </c>
      <c r="BK37" s="741">
        <f t="shared" si="11"/>
        <v>0</v>
      </c>
      <c r="BL37" s="741">
        <f t="shared" si="11"/>
        <v>0</v>
      </c>
      <c r="BM37" s="741">
        <f t="shared" si="11"/>
        <v>0</v>
      </c>
      <c r="BN37" s="741">
        <f t="shared" ref="BN37:CS37" si="12">IFERROR(BN36/BN35,0)</f>
        <v>0</v>
      </c>
      <c r="BO37" s="741">
        <f t="shared" si="12"/>
        <v>0</v>
      </c>
      <c r="BP37" s="741">
        <f t="shared" si="12"/>
        <v>0</v>
      </c>
      <c r="BQ37" s="741">
        <f t="shared" si="12"/>
        <v>0</v>
      </c>
      <c r="BR37" s="741">
        <f t="shared" si="12"/>
        <v>0</v>
      </c>
      <c r="BS37" s="741">
        <f t="shared" si="12"/>
        <v>0</v>
      </c>
      <c r="BT37" s="741">
        <f t="shared" si="12"/>
        <v>0</v>
      </c>
      <c r="BU37" s="741">
        <f t="shared" si="12"/>
        <v>0</v>
      </c>
      <c r="BV37" s="741">
        <f t="shared" si="12"/>
        <v>0</v>
      </c>
      <c r="BW37" s="741">
        <f t="shared" si="12"/>
        <v>0</v>
      </c>
      <c r="BX37" s="741">
        <f t="shared" si="12"/>
        <v>0</v>
      </c>
      <c r="BY37" s="741">
        <f t="shared" si="12"/>
        <v>0</v>
      </c>
      <c r="BZ37" s="741">
        <f t="shared" si="12"/>
        <v>0</v>
      </c>
      <c r="CA37" s="741">
        <f t="shared" si="12"/>
        <v>0</v>
      </c>
      <c r="CB37" s="741">
        <f t="shared" si="12"/>
        <v>0</v>
      </c>
      <c r="CC37" s="741">
        <f t="shared" si="12"/>
        <v>0</v>
      </c>
      <c r="CD37" s="741">
        <f t="shared" si="12"/>
        <v>0</v>
      </c>
      <c r="CE37" s="741">
        <f t="shared" si="12"/>
        <v>0</v>
      </c>
      <c r="CF37" s="741">
        <f t="shared" si="12"/>
        <v>0</v>
      </c>
      <c r="CG37" s="741">
        <f t="shared" si="12"/>
        <v>0</v>
      </c>
      <c r="CH37" s="741">
        <f t="shared" si="12"/>
        <v>0</v>
      </c>
      <c r="CI37" s="741">
        <f t="shared" si="12"/>
        <v>0</v>
      </c>
      <c r="CJ37" s="741">
        <f t="shared" si="12"/>
        <v>0</v>
      </c>
      <c r="CK37" s="741">
        <f t="shared" si="12"/>
        <v>0</v>
      </c>
      <c r="CL37" s="741">
        <f t="shared" si="12"/>
        <v>0</v>
      </c>
      <c r="CM37" s="741">
        <f t="shared" si="12"/>
        <v>0</v>
      </c>
      <c r="CN37" s="741">
        <f t="shared" si="12"/>
        <v>0</v>
      </c>
      <c r="CO37" s="741">
        <f t="shared" si="12"/>
        <v>0</v>
      </c>
      <c r="CP37" s="741">
        <f t="shared" si="12"/>
        <v>0</v>
      </c>
      <c r="CQ37" s="741">
        <f t="shared" si="12"/>
        <v>0</v>
      </c>
      <c r="CR37" s="741">
        <f t="shared" si="12"/>
        <v>0</v>
      </c>
      <c r="CS37" s="741">
        <f t="shared" si="12"/>
        <v>0</v>
      </c>
      <c r="CT37" s="28"/>
      <c r="CW37" s="970" t="s">
        <v>782</v>
      </c>
    </row>
    <row r="38" spans="5:101" ht="16.7" hidden="1" customHeight="1">
      <c r="E38" s="676">
        <v>17.100000000000001</v>
      </c>
      <c r="F38" s="779" cm="1">
        <f t="array" aca="1" ref="F38" ca="1">OFFSET(G38,-1,-1)</f>
        <v>0</v>
      </c>
      <c r="L38" s="779" t="b" cm="1">
        <f t="array" aca="1" ref="L38" ca="1">OFFSET(M38,-1,-1)</f>
        <v>0</v>
      </c>
      <c r="R38" s="779" t="s">
        <v>759</v>
      </c>
      <c r="S38" s="110" t="b" cm="1">
        <f t="array" aca="1" ref="S38" ca="1">OFFSET(T38,-1,-1)</f>
        <v>0</v>
      </c>
      <c r="T38" s="110" t="b" cm="1">
        <f t="array" aca="1" ref="T38" ca="1">T37</f>
        <v>0</v>
      </c>
      <c r="U38" s="698" t="b">
        <f t="shared" ca="1" si="4"/>
        <v>0</v>
      </c>
      <c r="Y38" s="1687"/>
      <c r="Z38" s="1687"/>
      <c r="AB38" s="1753"/>
      <c r="AD38" s="111">
        <v>5</v>
      </c>
      <c r="AE38" s="1777" t="s">
        <v>783</v>
      </c>
      <c r="AF38" s="1778"/>
      <c r="AG38" s="111" t="s">
        <v>762</v>
      </c>
      <c r="AH38" s="41"/>
      <c r="AI38" s="42"/>
      <c r="AJ38" s="42"/>
      <c r="AK38" s="42"/>
      <c r="AL38" s="736">
        <f>AM38+AN38</f>
        <v>0</v>
      </c>
      <c r="AM38" s="42"/>
      <c r="AN38" s="42"/>
      <c r="AO38" s="736">
        <f>AP38+AQ38</f>
        <v>0</v>
      </c>
      <c r="AP38" s="826"/>
      <c r="AQ38" s="826"/>
      <c r="AR38" s="736">
        <f>AS38+AT38</f>
        <v>0</v>
      </c>
      <c r="AS38" s="826"/>
      <c r="AT38" s="826"/>
      <c r="AU38" s="736">
        <f>AV38+AW38</f>
        <v>0</v>
      </c>
      <c r="AV38" s="826"/>
      <c r="AW38" s="826"/>
      <c r="AX38" s="736">
        <f>AY38+AZ38</f>
        <v>0</v>
      </c>
      <c r="AY38" s="826"/>
      <c r="AZ38" s="826"/>
      <c r="BA38" s="736">
        <f>BB38+BC38</f>
        <v>0</v>
      </c>
      <c r="BB38" s="42"/>
      <c r="BC38" s="42"/>
      <c r="BD38" s="736">
        <f>BE38+BF38</f>
        <v>0</v>
      </c>
      <c r="BE38" s="42"/>
      <c r="BF38" s="42"/>
      <c r="BG38" s="736">
        <f>BH38+BI38</f>
        <v>0</v>
      </c>
      <c r="BH38" s="42"/>
      <c r="BI38" s="42"/>
      <c r="BJ38" s="736">
        <f>BK38+BL38</f>
        <v>0</v>
      </c>
      <c r="BK38" s="42"/>
      <c r="BL38" s="42"/>
      <c r="BM38" s="736">
        <f>BN38+BO38</f>
        <v>0</v>
      </c>
      <c r="BN38" s="42"/>
      <c r="BO38" s="42"/>
      <c r="BP38" s="736">
        <f>BQ38+BR38</f>
        <v>0</v>
      </c>
      <c r="BQ38" s="826"/>
      <c r="BR38" s="826"/>
      <c r="BS38" s="736">
        <f>BT38+BU38</f>
        <v>0</v>
      </c>
      <c r="BT38" s="826"/>
      <c r="BU38" s="826"/>
      <c r="BV38" s="736">
        <f>BW38+BX38</f>
        <v>0</v>
      </c>
      <c r="BW38" s="826"/>
      <c r="BX38" s="826"/>
      <c r="BY38" s="736">
        <f>BZ38+CA38</f>
        <v>0</v>
      </c>
      <c r="BZ38" s="826"/>
      <c r="CA38" s="826"/>
      <c r="CB38" s="736">
        <f>CC38+CD38</f>
        <v>0</v>
      </c>
      <c r="CC38" s="826"/>
      <c r="CD38" s="826"/>
      <c r="CE38" s="736">
        <f>CF38+CG38</f>
        <v>0</v>
      </c>
      <c r="CF38" s="42"/>
      <c r="CG38" s="42"/>
      <c r="CH38" s="736">
        <f>CI38+CJ38</f>
        <v>0</v>
      </c>
      <c r="CI38" s="42"/>
      <c r="CJ38" s="42"/>
      <c r="CK38" s="736">
        <f>CL38+CM38</f>
        <v>0</v>
      </c>
      <c r="CL38" s="42"/>
      <c r="CM38" s="42"/>
      <c r="CN38" s="736">
        <f>CO38+CP38</f>
        <v>0</v>
      </c>
      <c r="CO38" s="42"/>
      <c r="CP38" s="42"/>
      <c r="CQ38" s="736">
        <f>CR38+CS38</f>
        <v>0</v>
      </c>
      <c r="CR38" s="42"/>
      <c r="CS38" s="42"/>
      <c r="CT38" s="28"/>
      <c r="CW38" s="970" t="s">
        <v>784</v>
      </c>
    </row>
    <row r="39" spans="5:101" ht="16.7" hidden="1" customHeight="1">
      <c r="E39" s="676">
        <v>17.100000000000001</v>
      </c>
      <c r="F39" s="779" cm="1">
        <f t="array" aca="1" ref="F39" ca="1">OFFSET(G39,-1,-1)</f>
        <v>0</v>
      </c>
      <c r="L39" s="779" t="b" cm="1">
        <f t="array" aca="1" ref="L39" ca="1">OFFSET(M39,-1,-1)</f>
        <v>0</v>
      </c>
      <c r="R39" s="779" t="s">
        <v>759</v>
      </c>
      <c r="S39" s="110" t="b" cm="1">
        <f t="array" aca="1" ref="S39" ca="1">OFFSET(T39,-1,-1)</f>
        <v>0</v>
      </c>
      <c r="T39" s="110" t="b" cm="1">
        <f t="array" aca="1" ref="T39" ca="1">T38</f>
        <v>0</v>
      </c>
      <c r="U39" s="698" t="b">
        <f t="shared" ca="1" si="4"/>
        <v>0</v>
      </c>
      <c r="Y39" s="1687"/>
      <c r="Z39" s="1687"/>
      <c r="AB39" s="1753"/>
      <c r="AD39" s="111" t="s">
        <v>785</v>
      </c>
      <c r="AE39" s="1770" t="s">
        <v>781</v>
      </c>
      <c r="AF39" s="1771"/>
      <c r="AG39" s="111" t="s">
        <v>533</v>
      </c>
      <c r="AH39" s="740">
        <f t="shared" ref="AH39:BM39" si="13">IFERROR(AH38/AH35,0)</f>
        <v>0</v>
      </c>
      <c r="AI39" s="741">
        <f t="shared" si="13"/>
        <v>0</v>
      </c>
      <c r="AJ39" s="741">
        <f t="shared" si="13"/>
        <v>0</v>
      </c>
      <c r="AK39" s="741">
        <f t="shared" si="13"/>
        <v>0</v>
      </c>
      <c r="AL39" s="741">
        <f t="shared" si="13"/>
        <v>0</v>
      </c>
      <c r="AM39" s="741">
        <f t="shared" si="13"/>
        <v>0</v>
      </c>
      <c r="AN39" s="741">
        <f t="shared" si="13"/>
        <v>0</v>
      </c>
      <c r="AO39" s="741">
        <f t="shared" si="13"/>
        <v>0</v>
      </c>
      <c r="AP39" s="741">
        <f t="shared" si="13"/>
        <v>0</v>
      </c>
      <c r="AQ39" s="741">
        <f t="shared" si="13"/>
        <v>0</v>
      </c>
      <c r="AR39" s="741">
        <f t="shared" si="13"/>
        <v>0</v>
      </c>
      <c r="AS39" s="741">
        <f t="shared" si="13"/>
        <v>0</v>
      </c>
      <c r="AT39" s="741">
        <f t="shared" si="13"/>
        <v>0</v>
      </c>
      <c r="AU39" s="741">
        <f t="shared" si="13"/>
        <v>0</v>
      </c>
      <c r="AV39" s="741">
        <f t="shared" si="13"/>
        <v>0</v>
      </c>
      <c r="AW39" s="741">
        <f t="shared" si="13"/>
        <v>0</v>
      </c>
      <c r="AX39" s="741">
        <f t="shared" si="13"/>
        <v>0</v>
      </c>
      <c r="AY39" s="741">
        <f t="shared" si="13"/>
        <v>0</v>
      </c>
      <c r="AZ39" s="741">
        <f t="shared" si="13"/>
        <v>0</v>
      </c>
      <c r="BA39" s="741">
        <f t="shared" si="13"/>
        <v>0</v>
      </c>
      <c r="BB39" s="741">
        <f t="shared" si="13"/>
        <v>0</v>
      </c>
      <c r="BC39" s="741">
        <f t="shared" si="13"/>
        <v>0</v>
      </c>
      <c r="BD39" s="741">
        <f t="shared" si="13"/>
        <v>0</v>
      </c>
      <c r="BE39" s="741">
        <f t="shared" si="13"/>
        <v>0</v>
      </c>
      <c r="BF39" s="741">
        <f t="shared" si="13"/>
        <v>0</v>
      </c>
      <c r="BG39" s="741">
        <f t="shared" si="13"/>
        <v>0</v>
      </c>
      <c r="BH39" s="741">
        <f t="shared" si="13"/>
        <v>0</v>
      </c>
      <c r="BI39" s="741">
        <f t="shared" si="13"/>
        <v>0</v>
      </c>
      <c r="BJ39" s="741">
        <f t="shared" si="13"/>
        <v>0</v>
      </c>
      <c r="BK39" s="741">
        <f t="shared" si="13"/>
        <v>0</v>
      </c>
      <c r="BL39" s="741">
        <f t="shared" si="13"/>
        <v>0</v>
      </c>
      <c r="BM39" s="741">
        <f t="shared" si="13"/>
        <v>0</v>
      </c>
      <c r="BN39" s="741">
        <f t="shared" ref="BN39:CS39" si="14">IFERROR(BN38/BN35,0)</f>
        <v>0</v>
      </c>
      <c r="BO39" s="741">
        <f t="shared" si="14"/>
        <v>0</v>
      </c>
      <c r="BP39" s="741">
        <f t="shared" si="14"/>
        <v>0</v>
      </c>
      <c r="BQ39" s="741">
        <f t="shared" si="14"/>
        <v>0</v>
      </c>
      <c r="BR39" s="741">
        <f t="shared" si="14"/>
        <v>0</v>
      </c>
      <c r="BS39" s="741">
        <f t="shared" si="14"/>
        <v>0</v>
      </c>
      <c r="BT39" s="741">
        <f t="shared" si="14"/>
        <v>0</v>
      </c>
      <c r="BU39" s="741">
        <f t="shared" si="14"/>
        <v>0</v>
      </c>
      <c r="BV39" s="741">
        <f t="shared" si="14"/>
        <v>0</v>
      </c>
      <c r="BW39" s="741">
        <f t="shared" si="14"/>
        <v>0</v>
      </c>
      <c r="BX39" s="741">
        <f t="shared" si="14"/>
        <v>0</v>
      </c>
      <c r="BY39" s="741">
        <f t="shared" si="14"/>
        <v>0</v>
      </c>
      <c r="BZ39" s="741">
        <f t="shared" si="14"/>
        <v>0</v>
      </c>
      <c r="CA39" s="741">
        <f t="shared" si="14"/>
        <v>0</v>
      </c>
      <c r="CB39" s="741">
        <f t="shared" si="14"/>
        <v>0</v>
      </c>
      <c r="CC39" s="741">
        <f t="shared" si="14"/>
        <v>0</v>
      </c>
      <c r="CD39" s="741">
        <f t="shared" si="14"/>
        <v>0</v>
      </c>
      <c r="CE39" s="741">
        <f t="shared" si="14"/>
        <v>0</v>
      </c>
      <c r="CF39" s="741">
        <f t="shared" si="14"/>
        <v>0</v>
      </c>
      <c r="CG39" s="741">
        <f t="shared" si="14"/>
        <v>0</v>
      </c>
      <c r="CH39" s="741">
        <f t="shared" si="14"/>
        <v>0</v>
      </c>
      <c r="CI39" s="741">
        <f t="shared" si="14"/>
        <v>0</v>
      </c>
      <c r="CJ39" s="741">
        <f t="shared" si="14"/>
        <v>0</v>
      </c>
      <c r="CK39" s="741">
        <f t="shared" si="14"/>
        <v>0</v>
      </c>
      <c r="CL39" s="741">
        <f t="shared" si="14"/>
        <v>0</v>
      </c>
      <c r="CM39" s="741">
        <f t="shared" si="14"/>
        <v>0</v>
      </c>
      <c r="CN39" s="741">
        <f t="shared" si="14"/>
        <v>0</v>
      </c>
      <c r="CO39" s="741">
        <f t="shared" si="14"/>
        <v>0</v>
      </c>
      <c r="CP39" s="741">
        <f t="shared" si="14"/>
        <v>0</v>
      </c>
      <c r="CQ39" s="741">
        <f t="shared" si="14"/>
        <v>0</v>
      </c>
      <c r="CR39" s="741">
        <f t="shared" si="14"/>
        <v>0</v>
      </c>
      <c r="CS39" s="741">
        <f t="shared" si="14"/>
        <v>0</v>
      </c>
      <c r="CT39" s="28"/>
      <c r="CW39" s="970" t="s">
        <v>786</v>
      </c>
    </row>
    <row r="40" spans="5:101" ht="16.7" hidden="1" customHeight="1">
      <c r="E40" s="676">
        <v>17.100000000000001</v>
      </c>
      <c r="F40" s="779" cm="1">
        <f t="array" aca="1" ref="F40" ca="1">OFFSET(G40,-1,-1)</f>
        <v>0</v>
      </c>
      <c r="L40" s="779" t="b" cm="1">
        <f t="array" aca="1" ref="L40" ca="1">OFFSET(M40,-1,-1)</f>
        <v>0</v>
      </c>
      <c r="R40" s="779" t="s">
        <v>759</v>
      </c>
      <c r="S40" s="110" t="b" cm="1">
        <f t="array" aca="1" ref="S40" ca="1">OFFSET(T40,-1,-1)</f>
        <v>0</v>
      </c>
      <c r="T40" s="110" t="b" cm="1">
        <f t="array" aca="1" ref="T40" ca="1">T39</f>
        <v>0</v>
      </c>
      <c r="U40" s="698" t="b">
        <f t="shared" ca="1" si="4"/>
        <v>0</v>
      </c>
      <c r="Y40" s="1687"/>
      <c r="Z40" s="1687"/>
      <c r="AB40" s="1753"/>
      <c r="AD40" s="111">
        <v>6</v>
      </c>
      <c r="AE40" s="1777" t="s">
        <v>787</v>
      </c>
      <c r="AF40" s="1778"/>
      <c r="AG40" s="111" t="s">
        <v>762</v>
      </c>
      <c r="AH40" s="734">
        <f t="shared" ref="AH40:BM40" si="15">AH35-AH36-AH38</f>
        <v>0</v>
      </c>
      <c r="AI40" s="736">
        <f t="shared" si="15"/>
        <v>0</v>
      </c>
      <c r="AJ40" s="736">
        <f t="shared" si="15"/>
        <v>0</v>
      </c>
      <c r="AK40" s="736">
        <f t="shared" si="15"/>
        <v>0</v>
      </c>
      <c r="AL40" s="736">
        <f t="shared" si="15"/>
        <v>0</v>
      </c>
      <c r="AM40" s="736">
        <f t="shared" si="15"/>
        <v>0</v>
      </c>
      <c r="AN40" s="736">
        <f t="shared" si="15"/>
        <v>0</v>
      </c>
      <c r="AO40" s="736">
        <f t="shared" si="15"/>
        <v>0</v>
      </c>
      <c r="AP40" s="736">
        <f t="shared" si="15"/>
        <v>0</v>
      </c>
      <c r="AQ40" s="736">
        <f t="shared" si="15"/>
        <v>0</v>
      </c>
      <c r="AR40" s="736">
        <f t="shared" si="15"/>
        <v>0</v>
      </c>
      <c r="AS40" s="736">
        <f t="shared" si="15"/>
        <v>0</v>
      </c>
      <c r="AT40" s="736">
        <f t="shared" si="15"/>
        <v>0</v>
      </c>
      <c r="AU40" s="736">
        <f t="shared" si="15"/>
        <v>0</v>
      </c>
      <c r="AV40" s="736">
        <f t="shared" si="15"/>
        <v>0</v>
      </c>
      <c r="AW40" s="736">
        <f t="shared" si="15"/>
        <v>0</v>
      </c>
      <c r="AX40" s="736">
        <f t="shared" si="15"/>
        <v>0</v>
      </c>
      <c r="AY40" s="736">
        <f t="shared" si="15"/>
        <v>0</v>
      </c>
      <c r="AZ40" s="736">
        <f t="shared" si="15"/>
        <v>0</v>
      </c>
      <c r="BA40" s="736">
        <f t="shared" si="15"/>
        <v>0</v>
      </c>
      <c r="BB40" s="736">
        <f t="shared" si="15"/>
        <v>0</v>
      </c>
      <c r="BC40" s="736">
        <f t="shared" si="15"/>
        <v>0</v>
      </c>
      <c r="BD40" s="736">
        <f t="shared" si="15"/>
        <v>0</v>
      </c>
      <c r="BE40" s="736">
        <f t="shared" si="15"/>
        <v>0</v>
      </c>
      <c r="BF40" s="736">
        <f t="shared" si="15"/>
        <v>0</v>
      </c>
      <c r="BG40" s="736">
        <f t="shared" si="15"/>
        <v>0</v>
      </c>
      <c r="BH40" s="736">
        <f t="shared" si="15"/>
        <v>0</v>
      </c>
      <c r="BI40" s="736">
        <f t="shared" si="15"/>
        <v>0</v>
      </c>
      <c r="BJ40" s="736">
        <f t="shared" si="15"/>
        <v>0</v>
      </c>
      <c r="BK40" s="736">
        <f t="shared" si="15"/>
        <v>0</v>
      </c>
      <c r="BL40" s="736">
        <f t="shared" si="15"/>
        <v>0</v>
      </c>
      <c r="BM40" s="736">
        <f t="shared" si="15"/>
        <v>0</v>
      </c>
      <c r="BN40" s="736">
        <f t="shared" ref="BN40:CS40" si="16">BN35-BN36-BN38</f>
        <v>0</v>
      </c>
      <c r="BO40" s="736">
        <f t="shared" si="16"/>
        <v>0</v>
      </c>
      <c r="BP40" s="736">
        <f t="shared" si="16"/>
        <v>0</v>
      </c>
      <c r="BQ40" s="736">
        <f t="shared" si="16"/>
        <v>0</v>
      </c>
      <c r="BR40" s="736">
        <f t="shared" si="16"/>
        <v>0</v>
      </c>
      <c r="BS40" s="736">
        <f t="shared" si="16"/>
        <v>0</v>
      </c>
      <c r="BT40" s="736">
        <f t="shared" si="16"/>
        <v>0</v>
      </c>
      <c r="BU40" s="736">
        <f t="shared" si="16"/>
        <v>0</v>
      </c>
      <c r="BV40" s="736">
        <f t="shared" si="16"/>
        <v>0</v>
      </c>
      <c r="BW40" s="736">
        <f t="shared" si="16"/>
        <v>0</v>
      </c>
      <c r="BX40" s="736">
        <f t="shared" si="16"/>
        <v>0</v>
      </c>
      <c r="BY40" s="736">
        <f t="shared" si="16"/>
        <v>0</v>
      </c>
      <c r="BZ40" s="736">
        <f t="shared" si="16"/>
        <v>0</v>
      </c>
      <c r="CA40" s="736">
        <f t="shared" si="16"/>
        <v>0</v>
      </c>
      <c r="CB40" s="736">
        <f t="shared" si="16"/>
        <v>0</v>
      </c>
      <c r="CC40" s="736">
        <f t="shared" si="16"/>
        <v>0</v>
      </c>
      <c r="CD40" s="736">
        <f t="shared" si="16"/>
        <v>0</v>
      </c>
      <c r="CE40" s="736">
        <f t="shared" si="16"/>
        <v>0</v>
      </c>
      <c r="CF40" s="736">
        <f t="shared" si="16"/>
        <v>0</v>
      </c>
      <c r="CG40" s="736">
        <f t="shared" si="16"/>
        <v>0</v>
      </c>
      <c r="CH40" s="736">
        <f t="shared" si="16"/>
        <v>0</v>
      </c>
      <c r="CI40" s="736">
        <f t="shared" si="16"/>
        <v>0</v>
      </c>
      <c r="CJ40" s="736">
        <f t="shared" si="16"/>
        <v>0</v>
      </c>
      <c r="CK40" s="736">
        <f t="shared" si="16"/>
        <v>0</v>
      </c>
      <c r="CL40" s="736">
        <f t="shared" si="16"/>
        <v>0</v>
      </c>
      <c r="CM40" s="736">
        <f t="shared" si="16"/>
        <v>0</v>
      </c>
      <c r="CN40" s="736">
        <f t="shared" si="16"/>
        <v>0</v>
      </c>
      <c r="CO40" s="736">
        <f t="shared" si="16"/>
        <v>0</v>
      </c>
      <c r="CP40" s="736">
        <f t="shared" si="16"/>
        <v>0</v>
      </c>
      <c r="CQ40" s="736">
        <f t="shared" si="16"/>
        <v>0</v>
      </c>
      <c r="CR40" s="736">
        <f t="shared" si="16"/>
        <v>0</v>
      </c>
      <c r="CS40" s="736">
        <f t="shared" si="16"/>
        <v>0</v>
      </c>
      <c r="CT40" s="28"/>
      <c r="CW40" s="970" t="s">
        <v>788</v>
      </c>
    </row>
    <row r="41" spans="5:101" ht="29.25" hidden="1" customHeight="1">
      <c r="E41" s="676">
        <v>30</v>
      </c>
      <c r="F41" s="779" cm="1">
        <f t="array" aca="1" ref="F41" ca="1">OFFSET(G41,-1,-1)</f>
        <v>0</v>
      </c>
      <c r="L41" s="779" t="b" cm="1">
        <f t="array" aca="1" ref="L41" ca="1">OFFSET(M41,-1,-1)</f>
        <v>0</v>
      </c>
      <c r="S41" s="110" t="b" cm="1">
        <f t="array" aca="1" ref="S41" ca="1">OFFSET(T41,-1,-1)</f>
        <v>0</v>
      </c>
      <c r="U41" s="698" t="b">
        <f t="shared" ca="1" si="4"/>
        <v>0</v>
      </c>
      <c r="Y41" s="1687"/>
      <c r="Z41" s="1687"/>
      <c r="AB41" s="1753"/>
      <c r="AD41" s="111">
        <v>7</v>
      </c>
      <c r="AE41" s="1766" t="s">
        <v>789</v>
      </c>
      <c r="AF41" s="1767"/>
      <c r="AG41" s="744" t="s">
        <v>634</v>
      </c>
      <c r="AH41" s="734">
        <f ca="1">SUMIFS('Баланс Пр'!AE$27:AE$233,'Баланс Пр'!$AB$27:$AB$233,"3.1",'Баланс Пр'!$F$27:$F$233,$F41)+SUMIFS('Баланс Пр'!AE$27:AE$233,'Баланс Пр'!$AB$27:$AB$233,"3.2",'Баланс Пр'!$F$27:$F$233,$F41)</f>
        <v>0</v>
      </c>
      <c r="AI41" s="734">
        <f ca="1">SUMIFS('Баланс Пр'!AF$27:AF$233,'Баланс Пр'!$AB$27:$AB$233,"3.1",'Баланс Пр'!$F$27:$F$233,$F41)+SUMIFS('Баланс Пр'!AF$27:AF$233,'Баланс Пр'!$AB$27:$AB$233,"3.2",'Баланс Пр'!$F$27:$F$233,$F41)</f>
        <v>0</v>
      </c>
      <c r="AJ41" s="734">
        <f ca="1">SUMIFS('Баланс Пр'!AG$27:AG$233,'Баланс Пр'!$AB$27:$AB$233,"3.1",'Баланс Пр'!$F$27:$F$233,$F41)+SUMIFS('Баланс Пр'!AG$27:AG$233,'Баланс Пр'!$AB$27:$AB$233,"3.2",'Баланс Пр'!$F$27:$F$233,$F41)</f>
        <v>0</v>
      </c>
      <c r="AK41" s="734">
        <f ca="1">SUMIFS('Баланс Пр'!AH$27:AH$233,'Баланс Пр'!$AB$27:$AB$233,"3.1",'Баланс Пр'!$F$27:$F$233,$F41)+SUMIFS('Баланс Пр'!AH$27:AH$233,'Баланс Пр'!$AB$27:$AB$233,"3.2",'Баланс Пр'!$F$27:$F$233,$F41)</f>
        <v>0</v>
      </c>
      <c r="AL41" s="734">
        <f ca="1">SUMIFS('Баланс Пр'!AI$27:AI$233,'Баланс Пр'!$AB$27:$AB$233,"3.1",'Баланс Пр'!$F$27:$F$233,$F41)+SUMIFS('Баланс Пр'!AI$27:AI$233,'Баланс Пр'!$AB$27:$AB$233,"3.2",'Баланс Пр'!$F$27:$F$233,$F41)</f>
        <v>0</v>
      </c>
      <c r="AM41" s="42"/>
      <c r="AN41" s="736">
        <f ca="1">AL41-AM41</f>
        <v>0</v>
      </c>
      <c r="AO41" s="734">
        <f ca="1">SUMIFS('Баланс Пр'!AJ$27:AJ$233,'Баланс Пр'!$AB$27:$AB$233,"3.1",'Баланс Пр'!$F$27:$F$233,$F41)+SUMIFS('Баланс Пр'!AJ$27:AJ$233,'Баланс Пр'!$AB$27:$AB$233,"3.2",'Баланс Пр'!$F$27:$F$233,$F41)</f>
        <v>0</v>
      </c>
      <c r="AP41" s="826"/>
      <c r="AQ41" s="736">
        <f ca="1">AO41-AP41</f>
        <v>0</v>
      </c>
      <c r="AR41" s="734">
        <f ca="1">SUMIFS('Баланс Пр'!AK$27:AK$233,'Баланс Пр'!$AB$27:$AB$233,"3.1",'Баланс Пр'!$F$27:$F$233,$F41)+SUMIFS('Баланс Пр'!AK$27:AK$233,'Баланс Пр'!$AB$27:$AB$233,"3.2",'Баланс Пр'!$F$27:$F$233,$F41)</f>
        <v>0</v>
      </c>
      <c r="AS41" s="826"/>
      <c r="AT41" s="736">
        <f ca="1">AR41-AS41</f>
        <v>0</v>
      </c>
      <c r="AU41" s="734">
        <f ca="1">SUMIFS('Баланс Пр'!AL$27:AL$233,'Баланс Пр'!$AB$27:$AB$233,"3.1",'Баланс Пр'!$F$27:$F$233,$F41)+SUMIFS('Баланс Пр'!AL$27:AL$233,'Баланс Пр'!$AB$27:$AB$233,"3.2",'Баланс Пр'!$F$27:$F$233,$F41)</f>
        <v>0</v>
      </c>
      <c r="AV41" s="826"/>
      <c r="AW41" s="736">
        <f ca="1">AU41-AV41</f>
        <v>0</v>
      </c>
      <c r="AX41" s="734">
        <f ca="1">SUMIFS('Баланс Пр'!AM$27:AM$233,'Баланс Пр'!$AB$27:$AB$233,"3.1",'Баланс Пр'!$F$27:$F$233,$F41)+SUMIFS('Баланс Пр'!AM$27:AM$233,'Баланс Пр'!$AB$27:$AB$233,"3.2",'Баланс Пр'!$F$27:$F$233,$F41)</f>
        <v>0</v>
      </c>
      <c r="AY41" s="826"/>
      <c r="AZ41" s="736">
        <f ca="1">AX41-AY41</f>
        <v>0</v>
      </c>
      <c r="BA41" s="734">
        <f ca="1">SUMIFS('Баланс Пр'!AN$27:AN$233,'Баланс Пр'!$AB$27:$AB$233,"3.1",'Баланс Пр'!$F$27:$F$233,$F41)+SUMIFS('Баланс Пр'!AN$27:AN$233,'Баланс Пр'!$AB$27:$AB$233,"3.2",'Баланс Пр'!$F$27:$F$233,$F41)</f>
        <v>0</v>
      </c>
      <c r="BB41" s="42"/>
      <c r="BC41" s="736">
        <f ca="1">BA41-BB41</f>
        <v>0</v>
      </c>
      <c r="BD41" s="734">
        <f ca="1">SUMIFS('Баланс Пр'!AO$27:AO$233,'Баланс Пр'!$AB$27:$AB$233,"3.1",'Баланс Пр'!$F$27:$F$233,$F41)+SUMIFS('Баланс Пр'!AO$27:AO$233,'Баланс Пр'!$AB$27:$AB$233,"3.2",'Баланс Пр'!$F$27:$F$233,$F41)</f>
        <v>0</v>
      </c>
      <c r="BE41" s="42"/>
      <c r="BF41" s="736">
        <f ca="1">BD41-BE41</f>
        <v>0</v>
      </c>
      <c r="BG41" s="734">
        <f ca="1">SUMIFS('Баланс Пр'!AP$27:AP$233,'Баланс Пр'!$AB$27:$AB$233,"3.1",'Баланс Пр'!$F$27:$F$233,$F41)+SUMIFS('Баланс Пр'!AP$27:AP$233,'Баланс Пр'!$AB$27:$AB$233,"3.2",'Баланс Пр'!$F$27:$F$233,$F41)</f>
        <v>0</v>
      </c>
      <c r="BH41" s="42"/>
      <c r="BI41" s="736">
        <f ca="1">BG41-BH41</f>
        <v>0</v>
      </c>
      <c r="BJ41" s="734">
        <f ca="1">SUMIFS('Баланс Пр'!AQ$27:AQ$233,'Баланс Пр'!$AB$27:$AB$233,"3.1",'Баланс Пр'!$F$27:$F$233,$F41)+SUMIFS('Баланс Пр'!AQ$27:AQ$233,'Баланс Пр'!$AB$27:$AB$233,"3.2",'Баланс Пр'!$F$27:$F$233,$F41)</f>
        <v>0</v>
      </c>
      <c r="BK41" s="42"/>
      <c r="BL41" s="736">
        <f ca="1">BJ41-BK41</f>
        <v>0</v>
      </c>
      <c r="BM41" s="734">
        <f ca="1">SUMIFS('Баланс Пр'!AR$27:AR$233,'Баланс Пр'!$AB$27:$AB$233,"3.1",'Баланс Пр'!$F$27:$F$233,$F41)+SUMIFS('Баланс Пр'!AR$27:AR$233,'Баланс Пр'!$AB$27:$AB$233,"3.2",'Баланс Пр'!$F$27:$F$233,$F41)</f>
        <v>0</v>
      </c>
      <c r="BN41" s="42"/>
      <c r="BO41" s="736">
        <f ca="1">BM41-BN41</f>
        <v>0</v>
      </c>
      <c r="BP41" s="734">
        <f ca="1">SUMIFS('Баланс Пр'!AS$27:AS$233,'Баланс Пр'!$AB$27:$AB$233,"3.1",'Баланс Пр'!$F$27:$F$233,$F41)+SUMIFS('Баланс Пр'!AS$27:AS$233,'Баланс Пр'!$AB$27:$AB$233,"3.2",'Баланс Пр'!$F$27:$F$233,$F41)</f>
        <v>0</v>
      </c>
      <c r="BQ41" s="826"/>
      <c r="BR41" s="736">
        <f ca="1">BP41-BQ41</f>
        <v>0</v>
      </c>
      <c r="BS41" s="734">
        <f ca="1">SUMIFS('Баланс Пр'!AT$27:AT$233,'Баланс Пр'!$AB$27:$AB$233,"3.1",'Баланс Пр'!$F$27:$F$233,$F41)+SUMIFS('Баланс Пр'!AT$27:AT$233,'Баланс Пр'!$AB$27:$AB$233,"3.2",'Баланс Пр'!$F$27:$F$233,$F41)</f>
        <v>0</v>
      </c>
      <c r="BT41" s="826"/>
      <c r="BU41" s="736">
        <f ca="1">BS41-BT41</f>
        <v>0</v>
      </c>
      <c r="BV41" s="734">
        <f ca="1">SUMIFS('Баланс Пр'!AU$27:AU$233,'Баланс Пр'!$AB$27:$AB$233,"3.1",'Баланс Пр'!$F$27:$F$233,$F41)+SUMIFS('Баланс Пр'!AU$27:AU$233,'Баланс Пр'!$AB$27:$AB$233,"3.2",'Баланс Пр'!$F$27:$F$233,$F41)</f>
        <v>0</v>
      </c>
      <c r="BW41" s="826"/>
      <c r="BX41" s="736">
        <f ca="1">BV41-BW41</f>
        <v>0</v>
      </c>
      <c r="BY41" s="734">
        <f ca="1">SUMIFS('Баланс Пр'!AV$27:AV$233,'Баланс Пр'!$AB$27:$AB$233,"3.1",'Баланс Пр'!$F$27:$F$233,$F41)+SUMIFS('Баланс Пр'!AV$27:AV$233,'Баланс Пр'!$AB$27:$AB$233,"3.2",'Баланс Пр'!$F$27:$F$233,$F41)</f>
        <v>0</v>
      </c>
      <c r="BZ41" s="826"/>
      <c r="CA41" s="736">
        <f ca="1">BY41-BZ41</f>
        <v>0</v>
      </c>
      <c r="CB41" s="734">
        <f ca="1">SUMIFS('Баланс Пр'!AW$27:AW$233,'Баланс Пр'!$AB$27:$AB$233,"3.1",'Баланс Пр'!$F$27:$F$233,$F41)+SUMIFS('Баланс Пр'!AW$27:AW$233,'Баланс Пр'!$AB$27:$AB$233,"3.2",'Баланс Пр'!$F$27:$F$233,$F41)</f>
        <v>0</v>
      </c>
      <c r="CC41" s="826"/>
      <c r="CD41" s="736">
        <f ca="1">CB41-CC41</f>
        <v>0</v>
      </c>
      <c r="CE41" s="734">
        <f ca="1">SUMIFS('Баланс Пр'!AX$27:AX$233,'Баланс Пр'!$AB$27:$AB$233,"3.1",'Баланс Пр'!$F$27:$F$233,$F41)+SUMIFS('Баланс Пр'!AX$27:AX$233,'Баланс Пр'!$AB$27:$AB$233,"3.2",'Баланс Пр'!$F$27:$F$233,$F41)</f>
        <v>0</v>
      </c>
      <c r="CF41" s="42"/>
      <c r="CG41" s="736">
        <f ca="1">CE41-CF41</f>
        <v>0</v>
      </c>
      <c r="CH41" s="734">
        <f ca="1">SUMIFS('Баланс Пр'!AY$27:AY$233,'Баланс Пр'!$AB$27:$AB$233,"3.1",'Баланс Пр'!$F$27:$F$233,$F41)+SUMIFS('Баланс Пр'!AY$27:AY$233,'Баланс Пр'!$AB$27:$AB$233,"3.2",'Баланс Пр'!$F$27:$F$233,$F41)</f>
        <v>0</v>
      </c>
      <c r="CI41" s="42"/>
      <c r="CJ41" s="736">
        <f ca="1">CH41-CI41</f>
        <v>0</v>
      </c>
      <c r="CK41" s="734">
        <f ca="1">SUMIFS('Баланс Пр'!AZ$27:AZ$233,'Баланс Пр'!$AB$27:$AB$233,"3.1",'Баланс Пр'!$F$27:$F$233,$F41)+SUMIFS('Баланс Пр'!AZ$27:AZ$233,'Баланс Пр'!$AB$27:$AB$233,"3.2",'Баланс Пр'!$F$27:$F$233,$F41)</f>
        <v>0</v>
      </c>
      <c r="CL41" s="42"/>
      <c r="CM41" s="736">
        <f ca="1">CK41-CL41</f>
        <v>0</v>
      </c>
      <c r="CN41" s="734">
        <f ca="1">SUMIFS('Баланс Пр'!BA$27:BA$233,'Баланс Пр'!$AB$27:$AB$233,"3.1",'Баланс Пр'!$F$27:$F$233,$F41)+SUMIFS('Баланс Пр'!BA$27:BA$233,'Баланс Пр'!$AB$27:$AB$233,"3.2",'Баланс Пр'!$F$27:$F$233,$F41)</f>
        <v>0</v>
      </c>
      <c r="CO41" s="42"/>
      <c r="CP41" s="736">
        <f ca="1">CN41-CO41</f>
        <v>0</v>
      </c>
      <c r="CQ41" s="734">
        <f ca="1">SUMIFS('Баланс Пр'!BB$27:BB$233,'Баланс Пр'!$AB$27:$AB$233,"3.1",'Баланс Пр'!$F$27:$F$233,$F41)+SUMIFS('Баланс Пр'!BB$27:BB$233,'Баланс Пр'!$AB$27:$AB$233,"3.2",'Баланс Пр'!$F$27:$F$233,$F41)</f>
        <v>0</v>
      </c>
      <c r="CR41" s="42"/>
      <c r="CS41" s="736">
        <f ca="1">CQ41-CR41</f>
        <v>0</v>
      </c>
      <c r="CT41" s="28"/>
      <c r="CW41" s="970" t="s">
        <v>790</v>
      </c>
    </row>
    <row r="42" spans="5:101" ht="16.7" hidden="1" customHeight="1">
      <c r="E42" s="676">
        <v>17.100000000000001</v>
      </c>
      <c r="F42" s="779" cm="1">
        <f t="array" aca="1" ref="F42" ca="1">OFFSET(G42,-1,-1)</f>
        <v>0</v>
      </c>
      <c r="L42" s="779" t="b" cm="1">
        <f t="array" aca="1" ref="L42" ca="1">OFFSET(M42,-1,-1)</f>
        <v>0</v>
      </c>
      <c r="S42" s="110" t="b" cm="1">
        <f t="array" aca="1" ref="S42" ca="1">OFFSET(T42,-1,-1)</f>
        <v>0</v>
      </c>
      <c r="U42" s="698" t="b">
        <f t="shared" ca="1" si="4"/>
        <v>0</v>
      </c>
      <c r="Y42" s="1687"/>
      <c r="Z42" s="1687"/>
      <c r="AB42" s="1753"/>
      <c r="AD42" s="111">
        <v>8</v>
      </c>
      <c r="AE42" s="1766" t="s">
        <v>791</v>
      </c>
      <c r="AF42" s="1767"/>
      <c r="AG42" s="744" t="s">
        <v>634</v>
      </c>
      <c r="AH42" s="734">
        <f ca="1">SUMIFS('Баланс Пр'!AE$27:AE$233,'Баланс Пр'!$AB$27:$AB$233,"5",'Баланс Пр'!$F$27:$F$233,$F41)</f>
        <v>0</v>
      </c>
      <c r="AI42" s="734">
        <f ca="1">SUMIFS('Баланс Пр'!AF$27:AF$233,'Баланс Пр'!$AB$27:$AB$233,"5",'Баланс Пр'!$F$27:$F$233,$F41)</f>
        <v>0</v>
      </c>
      <c r="AJ42" s="734">
        <f ca="1">SUMIFS('Баланс Пр'!AG$27:AG$233,'Баланс Пр'!$AB$27:$AB$233,"5",'Баланс Пр'!$F$27:$F$233,$F41)</f>
        <v>0</v>
      </c>
      <c r="AK42" s="734">
        <f ca="1">SUMIFS('Баланс Пр'!AH$27:AH$233,'Баланс Пр'!$AB$27:$AB$233,"5",'Баланс Пр'!$F$27:$F$233,$F41)</f>
        <v>0</v>
      </c>
      <c r="AL42" s="734">
        <f ca="1">SUMIFS('Баланс Пр'!AI$27:AI$233,'Баланс Пр'!$AB$27:$AB$233,"5",'Баланс Пр'!$F$27:$F$233,$F41)</f>
        <v>0</v>
      </c>
      <c r="AM42" s="42"/>
      <c r="AN42" s="736">
        <f ca="1">AL42-AM42</f>
        <v>0</v>
      </c>
      <c r="AO42" s="734">
        <f ca="1">SUMIFS('Баланс Пр'!AJ$27:AJ$233,'Баланс Пр'!$AB$27:$AB$233,"5",'Баланс Пр'!$F$27:$F$233,$F41)</f>
        <v>0</v>
      </c>
      <c r="AP42" s="826"/>
      <c r="AQ42" s="736">
        <f ca="1">AO42-AP42</f>
        <v>0</v>
      </c>
      <c r="AR42" s="734">
        <f ca="1">SUMIFS('Баланс Пр'!AK$27:AK$233,'Баланс Пр'!$AB$27:$AB$233,"5",'Баланс Пр'!$F$27:$F$233,$F41)</f>
        <v>0</v>
      </c>
      <c r="AS42" s="826"/>
      <c r="AT42" s="736">
        <f ca="1">AR42-AS42</f>
        <v>0</v>
      </c>
      <c r="AU42" s="734">
        <f ca="1">SUMIFS('Баланс Пр'!AL$27:AL$233,'Баланс Пр'!$AB$27:$AB$233,"5",'Баланс Пр'!$F$27:$F$233,$F41)</f>
        <v>0</v>
      </c>
      <c r="AV42" s="826"/>
      <c r="AW42" s="736">
        <f ca="1">AU42-AV42</f>
        <v>0</v>
      </c>
      <c r="AX42" s="734">
        <f ca="1">SUMIFS('Баланс Пр'!AM$27:AM$233,'Баланс Пр'!$AB$27:$AB$233,"5",'Баланс Пр'!$F$27:$F$233,$F41)</f>
        <v>0</v>
      </c>
      <c r="AY42" s="826"/>
      <c r="AZ42" s="736">
        <f ca="1">AX42-AY42</f>
        <v>0</v>
      </c>
      <c r="BA42" s="734">
        <f ca="1">SUMIFS('Баланс Пр'!AN$27:AN$233,'Баланс Пр'!$AB$27:$AB$233,"5",'Баланс Пр'!$F$27:$F$233,$F41)</f>
        <v>0</v>
      </c>
      <c r="BB42" s="42"/>
      <c r="BC42" s="736">
        <f ca="1">BA42-BB42</f>
        <v>0</v>
      </c>
      <c r="BD42" s="734">
        <f ca="1">SUMIFS('Баланс Пр'!AO$27:AO$233,'Баланс Пр'!$AB$27:$AB$233,"5",'Баланс Пр'!$F$27:$F$233,$F41)</f>
        <v>0</v>
      </c>
      <c r="BE42" s="42"/>
      <c r="BF42" s="736">
        <f ca="1">BD42-BE42</f>
        <v>0</v>
      </c>
      <c r="BG42" s="734">
        <f ca="1">SUMIFS('Баланс Пр'!AP$27:AP$233,'Баланс Пр'!$AB$27:$AB$233,"5",'Баланс Пр'!$F$27:$F$233,$F41)</f>
        <v>0</v>
      </c>
      <c r="BH42" s="42"/>
      <c r="BI42" s="736">
        <f ca="1">BG42-BH42</f>
        <v>0</v>
      </c>
      <c r="BJ42" s="734">
        <f ca="1">SUMIFS('Баланс Пр'!AQ$27:AQ$233,'Баланс Пр'!$AB$27:$AB$233,"5",'Баланс Пр'!$F$27:$F$233,$F41)</f>
        <v>0</v>
      </c>
      <c r="BK42" s="42"/>
      <c r="BL42" s="736">
        <f ca="1">BJ42-BK42</f>
        <v>0</v>
      </c>
      <c r="BM42" s="734">
        <f ca="1">SUMIFS('Баланс Пр'!AR$27:AR$233,'Баланс Пр'!$AB$27:$AB$233,"5",'Баланс Пр'!$F$27:$F$233,$F41)</f>
        <v>0</v>
      </c>
      <c r="BN42" s="42"/>
      <c r="BO42" s="736">
        <f ca="1">BM42-BN42</f>
        <v>0</v>
      </c>
      <c r="BP42" s="734">
        <f ca="1">SUMIFS('Баланс Пр'!AS$27:AS$233,'Баланс Пр'!$AB$27:$AB$233,"5",'Баланс Пр'!$F$27:$F$233,$F41)</f>
        <v>0</v>
      </c>
      <c r="BQ42" s="826"/>
      <c r="BR42" s="736">
        <f ca="1">BP42-BQ42</f>
        <v>0</v>
      </c>
      <c r="BS42" s="734">
        <f ca="1">SUMIFS('Баланс Пр'!AT$27:AT$233,'Баланс Пр'!$AB$27:$AB$233,"5",'Баланс Пр'!$F$27:$F$233,$F41)</f>
        <v>0</v>
      </c>
      <c r="BT42" s="826"/>
      <c r="BU42" s="736">
        <f ca="1">BS42-BT42</f>
        <v>0</v>
      </c>
      <c r="BV42" s="734">
        <f ca="1">SUMIFS('Баланс Пр'!AU$27:AU$233,'Баланс Пр'!$AB$27:$AB$233,"5",'Баланс Пр'!$F$27:$F$233,$F41)</f>
        <v>0</v>
      </c>
      <c r="BW42" s="826"/>
      <c r="BX42" s="736">
        <f ca="1">BV42-BW42</f>
        <v>0</v>
      </c>
      <c r="BY42" s="734">
        <f ca="1">SUMIFS('Баланс Пр'!AV$27:AV$233,'Баланс Пр'!$AB$27:$AB$233,"5",'Баланс Пр'!$F$27:$F$233,$F41)</f>
        <v>0</v>
      </c>
      <c r="BZ42" s="826"/>
      <c r="CA42" s="736">
        <f ca="1">BY42-BZ42</f>
        <v>0</v>
      </c>
      <c r="CB42" s="734">
        <f ca="1">SUMIFS('Баланс Пр'!AW$27:AW$233,'Баланс Пр'!$AB$27:$AB$233,"5",'Баланс Пр'!$F$27:$F$233,$F41)</f>
        <v>0</v>
      </c>
      <c r="CC42" s="826"/>
      <c r="CD42" s="736">
        <f ca="1">CB42-CC42</f>
        <v>0</v>
      </c>
      <c r="CE42" s="734">
        <f ca="1">SUMIFS('Баланс Пр'!AX$27:AX$233,'Баланс Пр'!$AB$27:$AB$233,"5",'Баланс Пр'!$F$27:$F$233,$F41)</f>
        <v>0</v>
      </c>
      <c r="CF42" s="42"/>
      <c r="CG42" s="736">
        <f ca="1">CE42-CF42</f>
        <v>0</v>
      </c>
      <c r="CH42" s="734">
        <f ca="1">SUMIFS('Баланс Пр'!AY$27:AY$233,'Баланс Пр'!$AB$27:$AB$233,"5",'Баланс Пр'!$F$27:$F$233,$F41)</f>
        <v>0</v>
      </c>
      <c r="CI42" s="42"/>
      <c r="CJ42" s="736">
        <f ca="1">CH42-CI42</f>
        <v>0</v>
      </c>
      <c r="CK42" s="734">
        <f ca="1">SUMIFS('Баланс Пр'!AZ$27:AZ$233,'Баланс Пр'!$AB$27:$AB$233,"5",'Баланс Пр'!$F$27:$F$233,$F41)</f>
        <v>0</v>
      </c>
      <c r="CL42" s="42"/>
      <c r="CM42" s="736">
        <f ca="1">CK42-CL42</f>
        <v>0</v>
      </c>
      <c r="CN42" s="734">
        <f ca="1">SUMIFS('Баланс Пр'!BA$27:BA$233,'Баланс Пр'!$AB$27:$AB$233,"5",'Баланс Пр'!$F$27:$F$233,$F41)</f>
        <v>0</v>
      </c>
      <c r="CO42" s="42"/>
      <c r="CP42" s="736">
        <f ca="1">CN42-CO42</f>
        <v>0</v>
      </c>
      <c r="CQ42" s="734">
        <f ca="1">SUMIFS('Баланс Пр'!BB$27:BB$233,'Баланс Пр'!$AB$27:$AB$233,"5",'Баланс Пр'!$F$27:$F$233,$F41)</f>
        <v>0</v>
      </c>
      <c r="CR42" s="42"/>
      <c r="CS42" s="736">
        <f ca="1">CQ42-CR42</f>
        <v>0</v>
      </c>
      <c r="CT42" s="28"/>
      <c r="CW42" s="970" t="s">
        <v>792</v>
      </c>
    </row>
    <row r="43" spans="5:101" ht="16.7" hidden="1" customHeight="1">
      <c r="E43" s="676">
        <v>17.100000000000001</v>
      </c>
      <c r="F43" s="779" cm="1">
        <f t="array" aca="1" ref="F43" ca="1">OFFSET(G43,-1,-1)</f>
        <v>0</v>
      </c>
      <c r="L43" s="779" t="b" cm="1">
        <f t="array" aca="1" ref="L43" ca="1">OFFSET(M43,-1,-1)</f>
        <v>0</v>
      </c>
      <c r="S43" s="110" t="b" cm="1">
        <f t="array" aca="1" ref="S43" ca="1">OFFSET(T43,-1,-1)</f>
        <v>0</v>
      </c>
      <c r="U43" s="698" t="b">
        <f t="shared" ca="1" si="4"/>
        <v>0</v>
      </c>
      <c r="Y43" s="1687"/>
      <c r="Z43" s="1687"/>
      <c r="AB43" s="1753"/>
      <c r="AD43" s="111" t="s">
        <v>793</v>
      </c>
      <c r="AE43" s="1768" t="s">
        <v>794</v>
      </c>
      <c r="AF43" s="1769"/>
      <c r="AG43" s="547" t="s">
        <v>533</v>
      </c>
      <c r="AH43" s="740">
        <f t="shared" ref="AH43:BM43" ca="1" si="17">IFERROR(AH42/AH41,0)</f>
        <v>0</v>
      </c>
      <c r="AI43" s="741">
        <f t="shared" ca="1" si="17"/>
        <v>0</v>
      </c>
      <c r="AJ43" s="741">
        <f t="shared" ca="1" si="17"/>
        <v>0</v>
      </c>
      <c r="AK43" s="741">
        <f t="shared" ca="1" si="17"/>
        <v>0</v>
      </c>
      <c r="AL43" s="741">
        <f t="shared" ca="1" si="17"/>
        <v>0</v>
      </c>
      <c r="AM43" s="741">
        <f t="shared" si="17"/>
        <v>0</v>
      </c>
      <c r="AN43" s="741">
        <f t="shared" ca="1" si="17"/>
        <v>0</v>
      </c>
      <c r="AO43" s="741">
        <f t="shared" ca="1" si="17"/>
        <v>0</v>
      </c>
      <c r="AP43" s="741">
        <f t="shared" si="17"/>
        <v>0</v>
      </c>
      <c r="AQ43" s="741">
        <f t="shared" ca="1" si="17"/>
        <v>0</v>
      </c>
      <c r="AR43" s="741">
        <f t="shared" ca="1" si="17"/>
        <v>0</v>
      </c>
      <c r="AS43" s="741">
        <f t="shared" si="17"/>
        <v>0</v>
      </c>
      <c r="AT43" s="741">
        <f t="shared" ca="1" si="17"/>
        <v>0</v>
      </c>
      <c r="AU43" s="741">
        <f t="shared" ca="1" si="17"/>
        <v>0</v>
      </c>
      <c r="AV43" s="741">
        <f t="shared" si="17"/>
        <v>0</v>
      </c>
      <c r="AW43" s="741">
        <f t="shared" ca="1" si="17"/>
        <v>0</v>
      </c>
      <c r="AX43" s="741">
        <f t="shared" ca="1" si="17"/>
        <v>0</v>
      </c>
      <c r="AY43" s="741">
        <f t="shared" si="17"/>
        <v>0</v>
      </c>
      <c r="AZ43" s="741">
        <f t="shared" ca="1" si="17"/>
        <v>0</v>
      </c>
      <c r="BA43" s="741">
        <f t="shared" ca="1" si="17"/>
        <v>0</v>
      </c>
      <c r="BB43" s="741">
        <f t="shared" si="17"/>
        <v>0</v>
      </c>
      <c r="BC43" s="741">
        <f t="shared" ca="1" si="17"/>
        <v>0</v>
      </c>
      <c r="BD43" s="741">
        <f t="shared" ca="1" si="17"/>
        <v>0</v>
      </c>
      <c r="BE43" s="741">
        <f t="shared" si="17"/>
        <v>0</v>
      </c>
      <c r="BF43" s="741">
        <f t="shared" ca="1" si="17"/>
        <v>0</v>
      </c>
      <c r="BG43" s="741">
        <f t="shared" ca="1" si="17"/>
        <v>0</v>
      </c>
      <c r="BH43" s="741">
        <f t="shared" si="17"/>
        <v>0</v>
      </c>
      <c r="BI43" s="741">
        <f t="shared" ca="1" si="17"/>
        <v>0</v>
      </c>
      <c r="BJ43" s="741">
        <f t="shared" ca="1" si="17"/>
        <v>0</v>
      </c>
      <c r="BK43" s="741">
        <f t="shared" si="17"/>
        <v>0</v>
      </c>
      <c r="BL43" s="741">
        <f t="shared" ca="1" si="17"/>
        <v>0</v>
      </c>
      <c r="BM43" s="741">
        <f t="shared" ca="1" si="17"/>
        <v>0</v>
      </c>
      <c r="BN43" s="741">
        <f t="shared" ref="BN43:CS43" si="18">IFERROR(BN42/BN41,0)</f>
        <v>0</v>
      </c>
      <c r="BO43" s="741">
        <f t="shared" ca="1" si="18"/>
        <v>0</v>
      </c>
      <c r="BP43" s="741">
        <f t="shared" ca="1" si="18"/>
        <v>0</v>
      </c>
      <c r="BQ43" s="741">
        <f t="shared" si="18"/>
        <v>0</v>
      </c>
      <c r="BR43" s="741">
        <f t="shared" ca="1" si="18"/>
        <v>0</v>
      </c>
      <c r="BS43" s="741">
        <f t="shared" ca="1" si="18"/>
        <v>0</v>
      </c>
      <c r="BT43" s="741">
        <f t="shared" si="18"/>
        <v>0</v>
      </c>
      <c r="BU43" s="741">
        <f t="shared" ca="1" si="18"/>
        <v>0</v>
      </c>
      <c r="BV43" s="741">
        <f t="shared" ca="1" si="18"/>
        <v>0</v>
      </c>
      <c r="BW43" s="741">
        <f t="shared" si="18"/>
        <v>0</v>
      </c>
      <c r="BX43" s="741">
        <f t="shared" ca="1" si="18"/>
        <v>0</v>
      </c>
      <c r="BY43" s="741">
        <f t="shared" ca="1" si="18"/>
        <v>0</v>
      </c>
      <c r="BZ43" s="741">
        <f t="shared" si="18"/>
        <v>0</v>
      </c>
      <c r="CA43" s="741">
        <f t="shared" ca="1" si="18"/>
        <v>0</v>
      </c>
      <c r="CB43" s="741">
        <f t="shared" ca="1" si="18"/>
        <v>0</v>
      </c>
      <c r="CC43" s="741">
        <f t="shared" si="18"/>
        <v>0</v>
      </c>
      <c r="CD43" s="741">
        <f t="shared" ca="1" si="18"/>
        <v>0</v>
      </c>
      <c r="CE43" s="741">
        <f t="shared" ca="1" si="18"/>
        <v>0</v>
      </c>
      <c r="CF43" s="741">
        <f t="shared" si="18"/>
        <v>0</v>
      </c>
      <c r="CG43" s="741">
        <f t="shared" ca="1" si="18"/>
        <v>0</v>
      </c>
      <c r="CH43" s="741">
        <f t="shared" ca="1" si="18"/>
        <v>0</v>
      </c>
      <c r="CI43" s="741">
        <f t="shared" si="18"/>
        <v>0</v>
      </c>
      <c r="CJ43" s="741">
        <f t="shared" ca="1" si="18"/>
        <v>0</v>
      </c>
      <c r="CK43" s="741">
        <f t="shared" ca="1" si="18"/>
        <v>0</v>
      </c>
      <c r="CL43" s="741">
        <f t="shared" si="18"/>
        <v>0</v>
      </c>
      <c r="CM43" s="741">
        <f t="shared" ca="1" si="18"/>
        <v>0</v>
      </c>
      <c r="CN43" s="741">
        <f t="shared" ca="1" si="18"/>
        <v>0</v>
      </c>
      <c r="CO43" s="741">
        <f t="shared" si="18"/>
        <v>0</v>
      </c>
      <c r="CP43" s="741">
        <f t="shared" ca="1" si="18"/>
        <v>0</v>
      </c>
      <c r="CQ43" s="741">
        <f t="shared" ca="1" si="18"/>
        <v>0</v>
      </c>
      <c r="CR43" s="741">
        <f t="shared" si="18"/>
        <v>0</v>
      </c>
      <c r="CS43" s="741">
        <f t="shared" ca="1" si="18"/>
        <v>0</v>
      </c>
      <c r="CT43" s="28"/>
      <c r="CW43" s="970" t="s">
        <v>795</v>
      </c>
    </row>
    <row r="44" spans="5:101" ht="29.25" hidden="1" customHeight="1">
      <c r="E44" s="676">
        <v>30</v>
      </c>
      <c r="F44" s="779" cm="1">
        <f t="array" aca="1" ref="F44" ca="1">OFFSET(G44,-1,-1)</f>
        <v>0</v>
      </c>
      <c r="L44" s="779" t="b" cm="1">
        <f t="array" aca="1" ref="L44" ca="1">OFFSET(M44,-1,-1)</f>
        <v>0</v>
      </c>
      <c r="S44" s="110" t="b" cm="1">
        <f t="array" aca="1" ref="S44" ca="1">OFFSET(T44,-1,-1)</f>
        <v>0</v>
      </c>
      <c r="U44" s="698" t="b">
        <f t="shared" ca="1" si="4"/>
        <v>0</v>
      </c>
      <c r="Y44" s="1687"/>
      <c r="Z44" s="1687"/>
      <c r="AB44" s="1753"/>
      <c r="AD44" s="111">
        <v>9</v>
      </c>
      <c r="AE44" s="1759" t="s">
        <v>796</v>
      </c>
      <c r="AF44" s="1760"/>
      <c r="AG44" s="744" t="s">
        <v>634</v>
      </c>
      <c r="AH44" s="734">
        <f t="shared" ref="AH44:BM44" ca="1" si="19">AH41-AH42</f>
        <v>0</v>
      </c>
      <c r="AI44" s="736">
        <f t="shared" ca="1" si="19"/>
        <v>0</v>
      </c>
      <c r="AJ44" s="736">
        <f t="shared" ca="1" si="19"/>
        <v>0</v>
      </c>
      <c r="AK44" s="736">
        <f t="shared" ca="1" si="19"/>
        <v>0</v>
      </c>
      <c r="AL44" s="736">
        <f t="shared" ca="1" si="19"/>
        <v>0</v>
      </c>
      <c r="AM44" s="736">
        <f t="shared" si="19"/>
        <v>0</v>
      </c>
      <c r="AN44" s="736">
        <f t="shared" ca="1" si="19"/>
        <v>0</v>
      </c>
      <c r="AO44" s="736">
        <f t="shared" ca="1" si="19"/>
        <v>0</v>
      </c>
      <c r="AP44" s="736">
        <f t="shared" si="19"/>
        <v>0</v>
      </c>
      <c r="AQ44" s="736">
        <f t="shared" ca="1" si="19"/>
        <v>0</v>
      </c>
      <c r="AR44" s="736">
        <f t="shared" ca="1" si="19"/>
        <v>0</v>
      </c>
      <c r="AS44" s="736">
        <f t="shared" si="19"/>
        <v>0</v>
      </c>
      <c r="AT44" s="736">
        <f t="shared" ca="1" si="19"/>
        <v>0</v>
      </c>
      <c r="AU44" s="736">
        <f t="shared" ca="1" si="19"/>
        <v>0</v>
      </c>
      <c r="AV44" s="736">
        <f t="shared" si="19"/>
        <v>0</v>
      </c>
      <c r="AW44" s="736">
        <f t="shared" ca="1" si="19"/>
        <v>0</v>
      </c>
      <c r="AX44" s="736">
        <f t="shared" ca="1" si="19"/>
        <v>0</v>
      </c>
      <c r="AY44" s="736">
        <f t="shared" si="19"/>
        <v>0</v>
      </c>
      <c r="AZ44" s="736">
        <f t="shared" ca="1" si="19"/>
        <v>0</v>
      </c>
      <c r="BA44" s="736">
        <f t="shared" ca="1" si="19"/>
        <v>0</v>
      </c>
      <c r="BB44" s="736">
        <f t="shared" si="19"/>
        <v>0</v>
      </c>
      <c r="BC44" s="736">
        <f t="shared" ca="1" si="19"/>
        <v>0</v>
      </c>
      <c r="BD44" s="736">
        <f t="shared" ca="1" si="19"/>
        <v>0</v>
      </c>
      <c r="BE44" s="736">
        <f t="shared" si="19"/>
        <v>0</v>
      </c>
      <c r="BF44" s="736">
        <f t="shared" ca="1" si="19"/>
        <v>0</v>
      </c>
      <c r="BG44" s="736">
        <f t="shared" ca="1" si="19"/>
        <v>0</v>
      </c>
      <c r="BH44" s="736">
        <f t="shared" si="19"/>
        <v>0</v>
      </c>
      <c r="BI44" s="736">
        <f t="shared" ca="1" si="19"/>
        <v>0</v>
      </c>
      <c r="BJ44" s="736">
        <f t="shared" ca="1" si="19"/>
        <v>0</v>
      </c>
      <c r="BK44" s="736">
        <f t="shared" si="19"/>
        <v>0</v>
      </c>
      <c r="BL44" s="736">
        <f t="shared" ca="1" si="19"/>
        <v>0</v>
      </c>
      <c r="BM44" s="736">
        <f t="shared" ca="1" si="19"/>
        <v>0</v>
      </c>
      <c r="BN44" s="736">
        <f t="shared" ref="BN44:CS44" si="20">BN41-BN42</f>
        <v>0</v>
      </c>
      <c r="BO44" s="736">
        <f t="shared" ca="1" si="20"/>
        <v>0</v>
      </c>
      <c r="BP44" s="736">
        <f t="shared" ca="1" si="20"/>
        <v>0</v>
      </c>
      <c r="BQ44" s="736">
        <f t="shared" si="20"/>
        <v>0</v>
      </c>
      <c r="BR44" s="736">
        <f t="shared" ca="1" si="20"/>
        <v>0</v>
      </c>
      <c r="BS44" s="736">
        <f t="shared" ca="1" si="20"/>
        <v>0</v>
      </c>
      <c r="BT44" s="736">
        <f t="shared" si="20"/>
        <v>0</v>
      </c>
      <c r="BU44" s="736">
        <f t="shared" ca="1" si="20"/>
        <v>0</v>
      </c>
      <c r="BV44" s="736">
        <f t="shared" ca="1" si="20"/>
        <v>0</v>
      </c>
      <c r="BW44" s="736">
        <f t="shared" si="20"/>
        <v>0</v>
      </c>
      <c r="BX44" s="736">
        <f t="shared" ca="1" si="20"/>
        <v>0</v>
      </c>
      <c r="BY44" s="736">
        <f t="shared" ca="1" si="20"/>
        <v>0</v>
      </c>
      <c r="BZ44" s="736">
        <f t="shared" si="20"/>
        <v>0</v>
      </c>
      <c r="CA44" s="736">
        <f t="shared" ca="1" si="20"/>
        <v>0</v>
      </c>
      <c r="CB44" s="736">
        <f t="shared" ca="1" si="20"/>
        <v>0</v>
      </c>
      <c r="CC44" s="736">
        <f t="shared" si="20"/>
        <v>0</v>
      </c>
      <c r="CD44" s="736">
        <f t="shared" ca="1" si="20"/>
        <v>0</v>
      </c>
      <c r="CE44" s="736">
        <f t="shared" ca="1" si="20"/>
        <v>0</v>
      </c>
      <c r="CF44" s="736">
        <f t="shared" si="20"/>
        <v>0</v>
      </c>
      <c r="CG44" s="736">
        <f t="shared" ca="1" si="20"/>
        <v>0</v>
      </c>
      <c r="CH44" s="736">
        <f t="shared" ca="1" si="20"/>
        <v>0</v>
      </c>
      <c r="CI44" s="736">
        <f t="shared" si="20"/>
        <v>0</v>
      </c>
      <c r="CJ44" s="736">
        <f t="shared" ca="1" si="20"/>
        <v>0</v>
      </c>
      <c r="CK44" s="736">
        <f t="shared" ca="1" si="20"/>
        <v>0</v>
      </c>
      <c r="CL44" s="736">
        <f t="shared" si="20"/>
        <v>0</v>
      </c>
      <c r="CM44" s="736">
        <f t="shared" ca="1" si="20"/>
        <v>0</v>
      </c>
      <c r="CN44" s="736">
        <f t="shared" ca="1" si="20"/>
        <v>0</v>
      </c>
      <c r="CO44" s="736">
        <f t="shared" si="20"/>
        <v>0</v>
      </c>
      <c r="CP44" s="736">
        <f t="shared" ca="1" si="20"/>
        <v>0</v>
      </c>
      <c r="CQ44" s="736">
        <f t="shared" ca="1" si="20"/>
        <v>0</v>
      </c>
      <c r="CR44" s="736">
        <f t="shared" si="20"/>
        <v>0</v>
      </c>
      <c r="CS44" s="736">
        <f t="shared" ca="1" si="20"/>
        <v>0</v>
      </c>
      <c r="CT44" s="28"/>
      <c r="CW44" s="970" t="s">
        <v>797</v>
      </c>
    </row>
    <row r="45" spans="5:101" ht="16.7" hidden="1" customHeight="1">
      <c r="E45" s="676">
        <v>17.100000000000001</v>
      </c>
      <c r="F45" s="779" cm="1">
        <f t="array" aca="1" ref="F45" ca="1">OFFSET(G45,-1,-1)</f>
        <v>0</v>
      </c>
      <c r="L45" s="779" t="b" cm="1">
        <f t="array" aca="1" ref="L45" ca="1">OFFSET(M45,-1,-1)</f>
        <v>0</v>
      </c>
      <c r="R45" s="779" t="s">
        <v>759</v>
      </c>
      <c r="S45" s="110" t="b" cm="1">
        <f t="array" aca="1" ref="S45" ca="1">OFFSET(T45,-1,-1)</f>
        <v>0</v>
      </c>
      <c r="T45" s="110" t="b" cm="1">
        <f t="array" aca="1" ref="T45" ca="1">L45</f>
        <v>0</v>
      </c>
      <c r="U45" s="698" t="b">
        <f t="shared" ca="1" si="4"/>
        <v>0</v>
      </c>
      <c r="Y45" s="1687"/>
      <c r="Z45" s="1687"/>
      <c r="AB45" s="1753"/>
      <c r="AD45" s="111">
        <v>10</v>
      </c>
      <c r="AE45" s="1759" t="s">
        <v>776</v>
      </c>
      <c r="AF45" s="1760"/>
      <c r="AG45" s="547" t="s">
        <v>762</v>
      </c>
      <c r="AH45" s="41"/>
      <c r="AI45" s="42"/>
      <c r="AJ45" s="42"/>
      <c r="AK45" s="42"/>
      <c r="AL45" s="736">
        <f>AM45+AN45</f>
        <v>0</v>
      </c>
      <c r="AM45" s="42"/>
      <c r="AN45" s="42"/>
      <c r="AO45" s="736">
        <f>AP45+AQ45</f>
        <v>0</v>
      </c>
      <c r="AP45" s="826"/>
      <c r="AQ45" s="826"/>
      <c r="AR45" s="736">
        <f>AS45+AT45</f>
        <v>0</v>
      </c>
      <c r="AS45" s="826"/>
      <c r="AT45" s="826"/>
      <c r="AU45" s="736">
        <f>AV45+AW45</f>
        <v>0</v>
      </c>
      <c r="AV45" s="826"/>
      <c r="AW45" s="826"/>
      <c r="AX45" s="736">
        <f>AY45+AZ45</f>
        <v>0</v>
      </c>
      <c r="AY45" s="826"/>
      <c r="AZ45" s="826"/>
      <c r="BA45" s="736">
        <f>BB45+BC45</f>
        <v>0</v>
      </c>
      <c r="BB45" s="42"/>
      <c r="BC45" s="42"/>
      <c r="BD45" s="736">
        <f>BE45+BF45</f>
        <v>0</v>
      </c>
      <c r="BE45" s="42"/>
      <c r="BF45" s="42"/>
      <c r="BG45" s="736">
        <f>BH45+BI45</f>
        <v>0</v>
      </c>
      <c r="BH45" s="42"/>
      <c r="BI45" s="42"/>
      <c r="BJ45" s="736">
        <f>BK45+BL45</f>
        <v>0</v>
      </c>
      <c r="BK45" s="42"/>
      <c r="BL45" s="42"/>
      <c r="BM45" s="736">
        <f>BN45+BO45</f>
        <v>0</v>
      </c>
      <c r="BN45" s="42"/>
      <c r="BO45" s="42"/>
      <c r="BP45" s="736">
        <f>BQ45+BR45</f>
        <v>0</v>
      </c>
      <c r="BQ45" s="826"/>
      <c r="BR45" s="826"/>
      <c r="BS45" s="736">
        <f>BT45+BU45</f>
        <v>0</v>
      </c>
      <c r="BT45" s="826"/>
      <c r="BU45" s="826"/>
      <c r="BV45" s="736">
        <f>BW45+BX45</f>
        <v>0</v>
      </c>
      <c r="BW45" s="826"/>
      <c r="BX45" s="826"/>
      <c r="BY45" s="736">
        <f>BZ45+CA45</f>
        <v>0</v>
      </c>
      <c r="BZ45" s="826"/>
      <c r="CA45" s="826"/>
      <c r="CB45" s="736">
        <f>CC45+CD45</f>
        <v>0</v>
      </c>
      <c r="CC45" s="826"/>
      <c r="CD45" s="826"/>
      <c r="CE45" s="736">
        <f>CF45+CG45</f>
        <v>0</v>
      </c>
      <c r="CF45" s="42"/>
      <c r="CG45" s="42"/>
      <c r="CH45" s="736">
        <f>CI45+CJ45</f>
        <v>0</v>
      </c>
      <c r="CI45" s="42"/>
      <c r="CJ45" s="42"/>
      <c r="CK45" s="736">
        <f>CL45+CM45</f>
        <v>0</v>
      </c>
      <c r="CL45" s="42"/>
      <c r="CM45" s="42"/>
      <c r="CN45" s="736">
        <f>CO45+CP45</f>
        <v>0</v>
      </c>
      <c r="CO45" s="42"/>
      <c r="CP45" s="42"/>
      <c r="CQ45" s="736">
        <f>CR45+CS45</f>
        <v>0</v>
      </c>
      <c r="CR45" s="42"/>
      <c r="CS45" s="42"/>
      <c r="CT45" s="28"/>
      <c r="CW45" s="970" t="s">
        <v>798</v>
      </c>
    </row>
    <row r="46" spans="5:101" ht="29.25" hidden="1" customHeight="1">
      <c r="E46" s="676">
        <v>30</v>
      </c>
      <c r="F46" s="779" cm="1">
        <f t="array" aca="1" ref="F46" ca="1">OFFSET(G46,-1,-1)</f>
        <v>0</v>
      </c>
      <c r="L46" s="779" t="b" cm="1">
        <f t="array" aca="1" ref="L46" ca="1">OFFSET(M46,-1,-1)</f>
        <v>0</v>
      </c>
      <c r="R46" s="779" t="s">
        <v>759</v>
      </c>
      <c r="S46" s="110" t="b" cm="1">
        <f t="array" aca="1" ref="S46" ca="1">OFFSET(T46,-1,-1)</f>
        <v>0</v>
      </c>
      <c r="T46" s="110" t="b" cm="1">
        <f t="array" aca="1" ref="T46" ca="1">L46</f>
        <v>0</v>
      </c>
      <c r="U46" s="698" t="b">
        <f t="shared" ca="1" si="4"/>
        <v>0</v>
      </c>
      <c r="Y46" s="1687"/>
      <c r="Z46" s="1687"/>
      <c r="AB46" s="1753"/>
      <c r="AD46" s="111">
        <v>11</v>
      </c>
      <c r="AE46" s="1759" t="s">
        <v>799</v>
      </c>
      <c r="AF46" s="1760"/>
      <c r="AG46" s="547" t="s">
        <v>800</v>
      </c>
      <c r="AH46" s="41"/>
      <c r="AI46" s="42"/>
      <c r="AJ46" s="42"/>
      <c r="AK46" s="42"/>
      <c r="AL46" s="736">
        <f>IFERROR(AL47*1000/AL45,0)</f>
        <v>0</v>
      </c>
      <c r="AM46" s="42"/>
      <c r="AN46" s="42" cm="1">
        <f t="array" ref="AN46">AM46</f>
        <v>0</v>
      </c>
      <c r="AO46" s="736">
        <f>IFERROR(AO47*1000/AO45,0)</f>
        <v>0</v>
      </c>
      <c r="AP46" s="826"/>
      <c r="AQ46" s="826" cm="1">
        <f t="array" ref="AQ46">AP46</f>
        <v>0</v>
      </c>
      <c r="AR46" s="736">
        <f>IFERROR(AR47*1000/AR45,0)</f>
        <v>0</v>
      </c>
      <c r="AS46" s="826"/>
      <c r="AT46" s="826" cm="1">
        <f t="array" ref="AT46">AS46</f>
        <v>0</v>
      </c>
      <c r="AU46" s="736">
        <f>IFERROR(AU47*1000/AU45,0)</f>
        <v>0</v>
      </c>
      <c r="AV46" s="826"/>
      <c r="AW46" s="826" cm="1">
        <f t="array" ref="AW46">AV46</f>
        <v>0</v>
      </c>
      <c r="AX46" s="736">
        <f>IFERROR(AX47*1000/AX45,0)</f>
        <v>0</v>
      </c>
      <c r="AY46" s="826"/>
      <c r="AZ46" s="826" cm="1">
        <f t="array" ref="AZ46">AY46</f>
        <v>0</v>
      </c>
      <c r="BA46" s="736">
        <f>IFERROR(BA47*1000/BA45,0)</f>
        <v>0</v>
      </c>
      <c r="BB46" s="42"/>
      <c r="BC46" s="42" cm="1">
        <f t="array" ref="BC46">BB46</f>
        <v>0</v>
      </c>
      <c r="BD46" s="736">
        <f>IFERROR(BD47*1000/BD45,0)</f>
        <v>0</v>
      </c>
      <c r="BE46" s="42"/>
      <c r="BF46" s="42" cm="1">
        <f t="array" ref="BF46">BE46</f>
        <v>0</v>
      </c>
      <c r="BG46" s="736">
        <f>IFERROR(BG47*1000/BG45,0)</f>
        <v>0</v>
      </c>
      <c r="BH46" s="42"/>
      <c r="BI46" s="42" cm="1">
        <f t="array" ref="BI46">BH46</f>
        <v>0</v>
      </c>
      <c r="BJ46" s="736">
        <f>IFERROR(BJ47*1000/BJ45,0)</f>
        <v>0</v>
      </c>
      <c r="BK46" s="42"/>
      <c r="BL46" s="42" cm="1">
        <f t="array" ref="BL46">BK46</f>
        <v>0</v>
      </c>
      <c r="BM46" s="736">
        <f>IFERROR(BM47*1000/BM45,0)</f>
        <v>0</v>
      </c>
      <c r="BN46" s="42"/>
      <c r="BO46" s="42" cm="1">
        <f t="array" ref="BO46">BN46</f>
        <v>0</v>
      </c>
      <c r="BP46" s="736">
        <f>IFERROR(BP47*1000/BP45,0)</f>
        <v>0</v>
      </c>
      <c r="BQ46" s="826"/>
      <c r="BR46" s="826" cm="1">
        <f t="array" ref="BR46">BQ46</f>
        <v>0</v>
      </c>
      <c r="BS46" s="736">
        <f>IFERROR(BS47*1000/BS45,0)</f>
        <v>0</v>
      </c>
      <c r="BT46" s="826"/>
      <c r="BU46" s="826" cm="1">
        <f t="array" ref="BU46">BT46</f>
        <v>0</v>
      </c>
      <c r="BV46" s="736">
        <f>IFERROR(BV47*1000/BV45,0)</f>
        <v>0</v>
      </c>
      <c r="BW46" s="826"/>
      <c r="BX46" s="826" cm="1">
        <f t="array" ref="BX46">BW46</f>
        <v>0</v>
      </c>
      <c r="BY46" s="736">
        <f>IFERROR(BY47*1000/BY45,0)</f>
        <v>0</v>
      </c>
      <c r="BZ46" s="826"/>
      <c r="CA46" s="826" cm="1">
        <f t="array" ref="CA46">BZ46</f>
        <v>0</v>
      </c>
      <c r="CB46" s="736">
        <f>IFERROR(CB47*1000/CB45,0)</f>
        <v>0</v>
      </c>
      <c r="CC46" s="826"/>
      <c r="CD46" s="826" cm="1">
        <f t="array" ref="CD46">CC46</f>
        <v>0</v>
      </c>
      <c r="CE46" s="736">
        <f>IFERROR(CE47*1000/CE45,0)</f>
        <v>0</v>
      </c>
      <c r="CF46" s="42"/>
      <c r="CG46" s="42" cm="1">
        <f t="array" ref="CG46">CF46</f>
        <v>0</v>
      </c>
      <c r="CH46" s="736">
        <f>IFERROR(CH47*1000/CH45,0)</f>
        <v>0</v>
      </c>
      <c r="CI46" s="42"/>
      <c r="CJ46" s="42" cm="1">
        <f t="array" ref="CJ46">CI46</f>
        <v>0</v>
      </c>
      <c r="CK46" s="736">
        <f>IFERROR(CK47*1000/CK45,0)</f>
        <v>0</v>
      </c>
      <c r="CL46" s="42"/>
      <c r="CM46" s="42" cm="1">
        <f t="array" ref="CM46">CL46</f>
        <v>0</v>
      </c>
      <c r="CN46" s="736">
        <f>IFERROR(CN47*1000/CN45,0)</f>
        <v>0</v>
      </c>
      <c r="CO46" s="42"/>
      <c r="CP46" s="42" cm="1">
        <f t="array" ref="CP46">CO46</f>
        <v>0</v>
      </c>
      <c r="CQ46" s="736">
        <f>IFERROR(CQ47*1000/CQ45,0)</f>
        <v>0</v>
      </c>
      <c r="CR46" s="42"/>
      <c r="CS46" s="42" cm="1">
        <f t="array" ref="CS46">CR46</f>
        <v>0</v>
      </c>
      <c r="CT46" s="28"/>
      <c r="CW46" s="970" t="s">
        <v>801</v>
      </c>
    </row>
    <row r="47" spans="5:101" ht="16.7" hidden="1" customHeight="1">
      <c r="E47" s="676">
        <v>17.100000000000001</v>
      </c>
      <c r="F47" s="779" cm="1">
        <f t="array" aca="1" ref="F47" ca="1">OFFSET(G47,-1,-1)</f>
        <v>0</v>
      </c>
      <c r="L47" s="779" t="b" cm="1">
        <f t="array" aca="1" ref="L47" ca="1">OFFSET(M47,-1,-1)</f>
        <v>0</v>
      </c>
      <c r="R47" s="779" t="s">
        <v>759</v>
      </c>
      <c r="S47" s="110" t="b" cm="1">
        <f t="array" aca="1" ref="S47" ca="1">OFFSET(T47,-1,-1)</f>
        <v>0</v>
      </c>
      <c r="T47" s="110" t="b" cm="1">
        <f t="array" aca="1" ref="T47" ca="1">L47</f>
        <v>0</v>
      </c>
      <c r="U47" s="698" t="b">
        <f t="shared" ca="1" si="4"/>
        <v>0</v>
      </c>
      <c r="Y47" s="1687"/>
      <c r="Z47" s="1687"/>
      <c r="AB47" s="1753"/>
      <c r="AD47" s="111">
        <v>12</v>
      </c>
      <c r="AE47" s="1759" t="s">
        <v>802</v>
      </c>
      <c r="AF47" s="1760"/>
      <c r="AG47" s="547" t="s">
        <v>803</v>
      </c>
      <c r="AH47" s="467">
        <f>AH45*AH46/1000</f>
        <v>0</v>
      </c>
      <c r="AI47" s="311">
        <f>AI45*AI46/1000</f>
        <v>0</v>
      </c>
      <c r="AJ47" s="311">
        <f>AJ45*AJ46/1000</f>
        <v>0</v>
      </c>
      <c r="AK47" s="311">
        <f>AK45*AK46/1000</f>
        <v>0</v>
      </c>
      <c r="AL47" s="736">
        <f>AM47+AN47</f>
        <v>0</v>
      </c>
      <c r="AM47" s="311">
        <f>AM45*AM46/1000</f>
        <v>0</v>
      </c>
      <c r="AN47" s="311">
        <f>AN45*AN46/1000</f>
        <v>0</v>
      </c>
      <c r="AO47" s="736">
        <f>AP47+AQ47</f>
        <v>0</v>
      </c>
      <c r="AP47" s="311">
        <f>AP45*AP46/1000</f>
        <v>0</v>
      </c>
      <c r="AQ47" s="311">
        <f>AQ45*AQ46/1000</f>
        <v>0</v>
      </c>
      <c r="AR47" s="736">
        <f>AS47+AT47</f>
        <v>0</v>
      </c>
      <c r="AS47" s="311">
        <f>AS45*AS46/1000</f>
        <v>0</v>
      </c>
      <c r="AT47" s="311">
        <f>AT45*AT46/1000</f>
        <v>0</v>
      </c>
      <c r="AU47" s="736">
        <f>AV47+AW47</f>
        <v>0</v>
      </c>
      <c r="AV47" s="311">
        <f>AV45*AV46/1000</f>
        <v>0</v>
      </c>
      <c r="AW47" s="311">
        <f>AW45*AW46/1000</f>
        <v>0</v>
      </c>
      <c r="AX47" s="736">
        <f>AY47+AZ47</f>
        <v>0</v>
      </c>
      <c r="AY47" s="311">
        <f>AY45*AY46/1000</f>
        <v>0</v>
      </c>
      <c r="AZ47" s="311">
        <f>AZ45*AZ46/1000</f>
        <v>0</v>
      </c>
      <c r="BA47" s="736">
        <f>BB47+BC47</f>
        <v>0</v>
      </c>
      <c r="BB47" s="311">
        <f>BB45*BB46/1000</f>
        <v>0</v>
      </c>
      <c r="BC47" s="311">
        <f>BC45*BC46/1000</f>
        <v>0</v>
      </c>
      <c r="BD47" s="736">
        <f>BE47+BF47</f>
        <v>0</v>
      </c>
      <c r="BE47" s="311">
        <f>BE45*BE46/1000</f>
        <v>0</v>
      </c>
      <c r="BF47" s="311">
        <f>BF45*BF46/1000</f>
        <v>0</v>
      </c>
      <c r="BG47" s="736">
        <f>BH47+BI47</f>
        <v>0</v>
      </c>
      <c r="BH47" s="311">
        <f>BH45*BH46/1000</f>
        <v>0</v>
      </c>
      <c r="BI47" s="311">
        <f>BI45*BI46/1000</f>
        <v>0</v>
      </c>
      <c r="BJ47" s="736">
        <f>BK47+BL47</f>
        <v>0</v>
      </c>
      <c r="BK47" s="311">
        <f>BK45*BK46/1000</f>
        <v>0</v>
      </c>
      <c r="BL47" s="311">
        <f>BL45*BL46/1000</f>
        <v>0</v>
      </c>
      <c r="BM47" s="736">
        <f>BN47+BO47</f>
        <v>0</v>
      </c>
      <c r="BN47" s="311">
        <f>BN45*BN46/1000</f>
        <v>0</v>
      </c>
      <c r="BO47" s="311">
        <f>BO45*BO46/1000</f>
        <v>0</v>
      </c>
      <c r="BP47" s="736">
        <f>BQ47+BR47</f>
        <v>0</v>
      </c>
      <c r="BQ47" s="311">
        <f>BQ45*BQ46/1000</f>
        <v>0</v>
      </c>
      <c r="BR47" s="311">
        <f>BR45*BR46/1000</f>
        <v>0</v>
      </c>
      <c r="BS47" s="736">
        <f>BT47+BU47</f>
        <v>0</v>
      </c>
      <c r="BT47" s="311">
        <f>BT45*BT46/1000</f>
        <v>0</v>
      </c>
      <c r="BU47" s="311">
        <f>BU45*BU46/1000</f>
        <v>0</v>
      </c>
      <c r="BV47" s="736">
        <f>BW47+BX47</f>
        <v>0</v>
      </c>
      <c r="BW47" s="311">
        <f>BW45*BW46/1000</f>
        <v>0</v>
      </c>
      <c r="BX47" s="311">
        <f>BX45*BX46/1000</f>
        <v>0</v>
      </c>
      <c r="BY47" s="736">
        <f>BZ47+CA47</f>
        <v>0</v>
      </c>
      <c r="BZ47" s="311">
        <f>BZ45*BZ46/1000</f>
        <v>0</v>
      </c>
      <c r="CA47" s="311">
        <f>CA45*CA46/1000</f>
        <v>0</v>
      </c>
      <c r="CB47" s="736">
        <f>CC47+CD47</f>
        <v>0</v>
      </c>
      <c r="CC47" s="311">
        <f>CC45*CC46/1000</f>
        <v>0</v>
      </c>
      <c r="CD47" s="311">
        <f>CD45*CD46/1000</f>
        <v>0</v>
      </c>
      <c r="CE47" s="736">
        <f>CF47+CG47</f>
        <v>0</v>
      </c>
      <c r="CF47" s="311">
        <f>CF45*CF46/1000</f>
        <v>0</v>
      </c>
      <c r="CG47" s="311">
        <f>CG45*CG46/1000</f>
        <v>0</v>
      </c>
      <c r="CH47" s="736">
        <f>CI47+CJ47</f>
        <v>0</v>
      </c>
      <c r="CI47" s="311">
        <f>CI45*CI46/1000</f>
        <v>0</v>
      </c>
      <c r="CJ47" s="311">
        <f>CJ45*CJ46/1000</f>
        <v>0</v>
      </c>
      <c r="CK47" s="736">
        <f>CL47+CM47</f>
        <v>0</v>
      </c>
      <c r="CL47" s="311">
        <f>CL45*CL46/1000</f>
        <v>0</v>
      </c>
      <c r="CM47" s="311">
        <f>CM45*CM46/1000</f>
        <v>0</v>
      </c>
      <c r="CN47" s="736">
        <f>CO47+CP47</f>
        <v>0</v>
      </c>
      <c r="CO47" s="311">
        <f>CO45*CO46/1000</f>
        <v>0</v>
      </c>
      <c r="CP47" s="311">
        <f>CP45*CP46/1000</f>
        <v>0</v>
      </c>
      <c r="CQ47" s="736">
        <f>CR47+CS47</f>
        <v>0</v>
      </c>
      <c r="CR47" s="311">
        <f>CR45*CR46/1000</f>
        <v>0</v>
      </c>
      <c r="CS47" s="311">
        <f>CS45*CS46/1000</f>
        <v>0</v>
      </c>
      <c r="CT47" s="28"/>
      <c r="CW47" s="970" t="s">
        <v>804</v>
      </c>
    </row>
    <row r="48" spans="5:101" ht="29.25" hidden="1" customHeight="1">
      <c r="E48" s="676">
        <v>30</v>
      </c>
      <c r="F48" s="779" cm="1">
        <f t="array" aca="1" ref="F48" ca="1">OFFSET(G48,-1,-1)</f>
        <v>0</v>
      </c>
      <c r="L48" s="779" t="b" cm="1">
        <f t="array" aca="1" ref="L48" ca="1">OFFSET(M48,-1,-1)</f>
        <v>0</v>
      </c>
      <c r="S48" s="110" t="b" cm="1">
        <f t="array" aca="1" ref="S48" ca="1">OFFSET(T48,-1,-1)</f>
        <v>0</v>
      </c>
      <c r="U48" s="698" t="b">
        <f t="shared" ca="1" si="4"/>
        <v>0</v>
      </c>
      <c r="Y48" s="1687"/>
      <c r="Z48" s="1687"/>
      <c r="AB48" s="1753"/>
      <c r="AD48" s="111">
        <v>13</v>
      </c>
      <c r="AE48" s="1759" t="s">
        <v>789</v>
      </c>
      <c r="AF48" s="1760"/>
      <c r="AG48" s="547" t="s">
        <v>634</v>
      </c>
      <c r="AH48" s="41" cm="1">
        <f t="array" aca="1" ref="AH48" ca="1">AH41</f>
        <v>0</v>
      </c>
      <c r="AI48" s="41" cm="1">
        <f t="array" aca="1" ref="AI48" ca="1">AI41</f>
        <v>0</v>
      </c>
      <c r="AJ48" s="41" cm="1">
        <f t="array" aca="1" ref="AJ48" ca="1">AJ41</f>
        <v>0</v>
      </c>
      <c r="AK48" s="41" cm="1">
        <f t="array" aca="1" ref="AK48" ca="1">AK41</f>
        <v>0</v>
      </c>
      <c r="AL48" s="41" cm="1">
        <f t="array" aca="1" ref="AL48" ca="1">AL41</f>
        <v>0</v>
      </c>
      <c r="AM48" s="41" cm="1">
        <f t="array" ref="AM48">AM41</f>
        <v>0</v>
      </c>
      <c r="AN48" s="41" cm="1">
        <f t="array" aca="1" ref="AN48" ca="1">AN41</f>
        <v>0</v>
      </c>
      <c r="AO48" s="827" cm="1">
        <f t="array" aca="1" ref="AO48" ca="1">AO41</f>
        <v>0</v>
      </c>
      <c r="AP48" s="827" cm="1">
        <f t="array" ref="AP48">AP41</f>
        <v>0</v>
      </c>
      <c r="AQ48" s="827" cm="1">
        <f t="array" aca="1" ref="AQ48" ca="1">AQ41</f>
        <v>0</v>
      </c>
      <c r="AR48" s="827" cm="1">
        <f t="array" aca="1" ref="AR48" ca="1">AR41</f>
        <v>0</v>
      </c>
      <c r="AS48" s="827" cm="1">
        <f t="array" ref="AS48">AS41</f>
        <v>0</v>
      </c>
      <c r="AT48" s="827" cm="1">
        <f t="array" aca="1" ref="AT48" ca="1">AT41</f>
        <v>0</v>
      </c>
      <c r="AU48" s="827" cm="1">
        <f t="array" aca="1" ref="AU48" ca="1">AU41</f>
        <v>0</v>
      </c>
      <c r="AV48" s="827" cm="1">
        <f t="array" ref="AV48">AV41</f>
        <v>0</v>
      </c>
      <c r="AW48" s="827" cm="1">
        <f t="array" aca="1" ref="AW48" ca="1">AW41</f>
        <v>0</v>
      </c>
      <c r="AX48" s="827" cm="1">
        <f t="array" aca="1" ref="AX48" ca="1">AX41</f>
        <v>0</v>
      </c>
      <c r="AY48" s="827" cm="1">
        <f t="array" ref="AY48">AY41</f>
        <v>0</v>
      </c>
      <c r="AZ48" s="827" cm="1">
        <f t="array" aca="1" ref="AZ48" ca="1">AZ41</f>
        <v>0</v>
      </c>
      <c r="BA48" s="41" cm="1">
        <f t="array" aca="1" ref="BA48" ca="1">BA41</f>
        <v>0</v>
      </c>
      <c r="BB48" s="41" cm="1">
        <f t="array" ref="BB48">BB41</f>
        <v>0</v>
      </c>
      <c r="BC48" s="41" cm="1">
        <f t="array" aca="1" ref="BC48" ca="1">BC41</f>
        <v>0</v>
      </c>
      <c r="BD48" s="41" cm="1">
        <f t="array" aca="1" ref="BD48" ca="1">BD41</f>
        <v>0</v>
      </c>
      <c r="BE48" s="41" cm="1">
        <f t="array" ref="BE48">BE41</f>
        <v>0</v>
      </c>
      <c r="BF48" s="41" cm="1">
        <f t="array" aca="1" ref="BF48" ca="1">BF41</f>
        <v>0</v>
      </c>
      <c r="BG48" s="41" cm="1">
        <f t="array" aca="1" ref="BG48" ca="1">BG41</f>
        <v>0</v>
      </c>
      <c r="BH48" s="41" cm="1">
        <f t="array" ref="BH48">BH41</f>
        <v>0</v>
      </c>
      <c r="BI48" s="41" cm="1">
        <f t="array" aca="1" ref="BI48" ca="1">BI41</f>
        <v>0</v>
      </c>
      <c r="BJ48" s="41" cm="1">
        <f t="array" aca="1" ref="BJ48" ca="1">BJ41</f>
        <v>0</v>
      </c>
      <c r="BK48" s="41" cm="1">
        <f t="array" ref="BK48">BK41</f>
        <v>0</v>
      </c>
      <c r="BL48" s="41" cm="1">
        <f t="array" aca="1" ref="BL48" ca="1">BL41</f>
        <v>0</v>
      </c>
      <c r="BM48" s="41" cm="1">
        <f t="array" aca="1" ref="BM48" ca="1">BM41</f>
        <v>0</v>
      </c>
      <c r="BN48" s="41" cm="1">
        <f t="array" ref="BN48">BN41</f>
        <v>0</v>
      </c>
      <c r="BO48" s="41" cm="1">
        <f t="array" aca="1" ref="BO48" ca="1">BO41</f>
        <v>0</v>
      </c>
      <c r="BP48" s="827" cm="1">
        <f t="array" aca="1" ref="BP48" ca="1">BP41</f>
        <v>0</v>
      </c>
      <c r="BQ48" s="827" cm="1">
        <f t="array" ref="BQ48">BQ41</f>
        <v>0</v>
      </c>
      <c r="BR48" s="827" cm="1">
        <f t="array" aca="1" ref="BR48" ca="1">BR41</f>
        <v>0</v>
      </c>
      <c r="BS48" s="827" cm="1">
        <f t="array" aca="1" ref="BS48" ca="1">BS41</f>
        <v>0</v>
      </c>
      <c r="BT48" s="827" cm="1">
        <f t="array" ref="BT48">BT41</f>
        <v>0</v>
      </c>
      <c r="BU48" s="827" cm="1">
        <f t="array" aca="1" ref="BU48" ca="1">BU41</f>
        <v>0</v>
      </c>
      <c r="BV48" s="827" cm="1">
        <f t="array" aca="1" ref="BV48" ca="1">BV41</f>
        <v>0</v>
      </c>
      <c r="BW48" s="827" cm="1">
        <f t="array" ref="BW48">BW41</f>
        <v>0</v>
      </c>
      <c r="BX48" s="827" cm="1">
        <f t="array" aca="1" ref="BX48" ca="1">BX41</f>
        <v>0</v>
      </c>
      <c r="BY48" s="827" cm="1">
        <f t="array" aca="1" ref="BY48" ca="1">BY41</f>
        <v>0</v>
      </c>
      <c r="BZ48" s="827" cm="1">
        <f t="array" ref="BZ48">BZ41</f>
        <v>0</v>
      </c>
      <c r="CA48" s="827" cm="1">
        <f t="array" aca="1" ref="CA48" ca="1">CA41</f>
        <v>0</v>
      </c>
      <c r="CB48" s="827" cm="1">
        <f t="array" aca="1" ref="CB48" ca="1">CB41</f>
        <v>0</v>
      </c>
      <c r="CC48" s="827" cm="1">
        <f t="array" ref="CC48">CC41</f>
        <v>0</v>
      </c>
      <c r="CD48" s="827" cm="1">
        <f t="array" aca="1" ref="CD48" ca="1">CD41</f>
        <v>0</v>
      </c>
      <c r="CE48" s="41" cm="1">
        <f t="array" aca="1" ref="CE48" ca="1">CE41</f>
        <v>0</v>
      </c>
      <c r="CF48" s="41" cm="1">
        <f t="array" ref="CF48">CF41</f>
        <v>0</v>
      </c>
      <c r="CG48" s="41" cm="1">
        <f t="array" aca="1" ref="CG48" ca="1">CG41</f>
        <v>0</v>
      </c>
      <c r="CH48" s="41" cm="1">
        <f t="array" aca="1" ref="CH48" ca="1">CH41</f>
        <v>0</v>
      </c>
      <c r="CI48" s="41" cm="1">
        <f t="array" ref="CI48">CI41</f>
        <v>0</v>
      </c>
      <c r="CJ48" s="41" cm="1">
        <f t="array" aca="1" ref="CJ48" ca="1">CJ41</f>
        <v>0</v>
      </c>
      <c r="CK48" s="41" cm="1">
        <f t="array" aca="1" ref="CK48" ca="1">CK41</f>
        <v>0</v>
      </c>
      <c r="CL48" s="41" cm="1">
        <f t="array" ref="CL48">CL41</f>
        <v>0</v>
      </c>
      <c r="CM48" s="41" cm="1">
        <f t="array" aca="1" ref="CM48" ca="1">CM41</f>
        <v>0</v>
      </c>
      <c r="CN48" s="41" cm="1">
        <f t="array" aca="1" ref="CN48" ca="1">CN41</f>
        <v>0</v>
      </c>
      <c r="CO48" s="41" cm="1">
        <f t="array" ref="CO48">CO41</f>
        <v>0</v>
      </c>
      <c r="CP48" s="41" cm="1">
        <f t="array" aca="1" ref="CP48" ca="1">CP41</f>
        <v>0</v>
      </c>
      <c r="CQ48" s="41" cm="1">
        <f t="array" aca="1" ref="CQ48" ca="1">CQ41</f>
        <v>0</v>
      </c>
      <c r="CR48" s="41" cm="1">
        <f t="array" ref="CR48">CR41</f>
        <v>0</v>
      </c>
      <c r="CS48" s="41" cm="1">
        <f t="array" aca="1" ref="CS48" ca="1">CS41</f>
        <v>0</v>
      </c>
      <c r="CT48" s="28"/>
      <c r="CW48" s="970" t="s">
        <v>805</v>
      </c>
    </row>
    <row r="49" spans="5:106" ht="29.25" hidden="1" customHeight="1">
      <c r="E49" s="676">
        <v>30</v>
      </c>
      <c r="F49" s="779" cm="1">
        <f t="array" aca="1" ref="F49" ca="1">OFFSET(G49,-1,-1)</f>
        <v>0</v>
      </c>
      <c r="L49" s="779" t="b" cm="1">
        <f t="array" aca="1" ref="L49" ca="1">OFFSET(M49,-1,-1)</f>
        <v>0</v>
      </c>
      <c r="S49" s="110" t="b" cm="1">
        <f t="array" aca="1" ref="S49" ca="1">OFFSET(T49,-1,-1)</f>
        <v>0</v>
      </c>
      <c r="U49" s="698" t="b">
        <f t="shared" ca="1" si="4"/>
        <v>0</v>
      </c>
      <c r="Y49" s="1687"/>
      <c r="Z49" s="1687"/>
      <c r="AB49" s="1753"/>
      <c r="AD49" s="111">
        <v>14</v>
      </c>
      <c r="AE49" s="1759" t="s">
        <v>806</v>
      </c>
      <c r="AF49" s="1760"/>
      <c r="AG49" s="111" t="s">
        <v>807</v>
      </c>
      <c r="AH49" s="41">
        <f ca="1">IFERROR(AH50/AH48*1000,0)</f>
        <v>0</v>
      </c>
      <c r="AI49" s="41">
        <f ca="1">IFERROR(AI50/AI48*1000,0)</f>
        <v>0</v>
      </c>
      <c r="AJ49" s="41">
        <f ca="1">IFERROR(AJ50/AJ48*1000,0)</f>
        <v>0</v>
      </c>
      <c r="AK49" s="41">
        <f ca="1">IFERROR(AK50/AK48*1000,0)</f>
        <v>0</v>
      </c>
      <c r="AL49" s="41"/>
      <c r="AM49" s="41" cm="1">
        <f t="array" ref="AM49">AL49</f>
        <v>0</v>
      </c>
      <c r="AN49" s="41" cm="1">
        <f t="array" ref="AN49">AL49</f>
        <v>0</v>
      </c>
      <c r="AO49" s="827"/>
      <c r="AP49" s="827" cm="1">
        <f t="array" ref="AP49">AO49</f>
        <v>0</v>
      </c>
      <c r="AQ49" s="827" cm="1">
        <f t="array" ref="AQ49">AO49</f>
        <v>0</v>
      </c>
      <c r="AR49" s="827"/>
      <c r="AS49" s="827" cm="1">
        <f t="array" ref="AS49">AR49</f>
        <v>0</v>
      </c>
      <c r="AT49" s="827" cm="1">
        <f t="array" ref="AT49">AR49</f>
        <v>0</v>
      </c>
      <c r="AU49" s="827"/>
      <c r="AV49" s="827" cm="1">
        <f t="array" ref="AV49">AU49</f>
        <v>0</v>
      </c>
      <c r="AW49" s="827" cm="1">
        <f t="array" ref="AW49">AU49</f>
        <v>0</v>
      </c>
      <c r="AX49" s="827"/>
      <c r="AY49" s="827" cm="1">
        <f t="array" ref="AY49">AX49</f>
        <v>0</v>
      </c>
      <c r="AZ49" s="827" cm="1">
        <f t="array" ref="AZ49">AX49</f>
        <v>0</v>
      </c>
      <c r="BA49" s="41"/>
      <c r="BB49" s="41" cm="1">
        <f t="array" ref="BB49">BA49</f>
        <v>0</v>
      </c>
      <c r="BC49" s="41" cm="1">
        <f t="array" ref="BC49">BA49</f>
        <v>0</v>
      </c>
      <c r="BD49" s="41"/>
      <c r="BE49" s="41" cm="1">
        <f t="array" ref="BE49">BD49</f>
        <v>0</v>
      </c>
      <c r="BF49" s="41" cm="1">
        <f t="array" ref="BF49">BD49</f>
        <v>0</v>
      </c>
      <c r="BG49" s="41"/>
      <c r="BH49" s="41" cm="1">
        <f t="array" ref="BH49">BG49</f>
        <v>0</v>
      </c>
      <c r="BI49" s="41" cm="1">
        <f t="array" ref="BI49">BG49</f>
        <v>0</v>
      </c>
      <c r="BJ49" s="41"/>
      <c r="BK49" s="41" cm="1">
        <f t="array" ref="BK49">BJ49</f>
        <v>0</v>
      </c>
      <c r="BL49" s="41" cm="1">
        <f t="array" ref="BL49">BJ49</f>
        <v>0</v>
      </c>
      <c r="BM49" s="41"/>
      <c r="BN49" s="41" cm="1">
        <f t="array" ref="BN49">BM49</f>
        <v>0</v>
      </c>
      <c r="BO49" s="41" cm="1">
        <f t="array" ref="BO49">BM49</f>
        <v>0</v>
      </c>
      <c r="BP49" s="827"/>
      <c r="BQ49" s="827" cm="1">
        <f t="array" ref="BQ49">BP49</f>
        <v>0</v>
      </c>
      <c r="BR49" s="827" cm="1">
        <f t="array" ref="BR49">BP49</f>
        <v>0</v>
      </c>
      <c r="BS49" s="827"/>
      <c r="BT49" s="827" cm="1">
        <f t="array" ref="BT49">BS49</f>
        <v>0</v>
      </c>
      <c r="BU49" s="827" cm="1">
        <f t="array" ref="BU49">BS49</f>
        <v>0</v>
      </c>
      <c r="BV49" s="827"/>
      <c r="BW49" s="827" cm="1">
        <f t="array" ref="BW49">BV49</f>
        <v>0</v>
      </c>
      <c r="BX49" s="827" cm="1">
        <f t="array" ref="BX49">BV49</f>
        <v>0</v>
      </c>
      <c r="BY49" s="827"/>
      <c r="BZ49" s="827" cm="1">
        <f t="array" ref="BZ49">BY49</f>
        <v>0</v>
      </c>
      <c r="CA49" s="827" cm="1">
        <f t="array" ref="CA49">BY49</f>
        <v>0</v>
      </c>
      <c r="CB49" s="827"/>
      <c r="CC49" s="827" cm="1">
        <f t="array" ref="CC49">CB49</f>
        <v>0</v>
      </c>
      <c r="CD49" s="827" cm="1">
        <f t="array" ref="CD49">CB49</f>
        <v>0</v>
      </c>
      <c r="CE49" s="41"/>
      <c r="CF49" s="41" cm="1">
        <f t="array" ref="CF49">CE49</f>
        <v>0</v>
      </c>
      <c r="CG49" s="41" cm="1">
        <f t="array" ref="CG49">CE49</f>
        <v>0</v>
      </c>
      <c r="CH49" s="41"/>
      <c r="CI49" s="41" cm="1">
        <f t="array" ref="CI49">CH49</f>
        <v>0</v>
      </c>
      <c r="CJ49" s="41" cm="1">
        <f t="array" ref="CJ49">CH49</f>
        <v>0</v>
      </c>
      <c r="CK49" s="41"/>
      <c r="CL49" s="41" cm="1">
        <f t="array" ref="CL49">CK49</f>
        <v>0</v>
      </c>
      <c r="CM49" s="41" cm="1">
        <f t="array" ref="CM49">CK49</f>
        <v>0</v>
      </c>
      <c r="CN49" s="41"/>
      <c r="CO49" s="41" cm="1">
        <f t="array" ref="CO49">CN49</f>
        <v>0</v>
      </c>
      <c r="CP49" s="41" cm="1">
        <f t="array" ref="CP49">CN49</f>
        <v>0</v>
      </c>
      <c r="CQ49" s="41"/>
      <c r="CR49" s="41" cm="1">
        <f t="array" ref="CR49">CQ49</f>
        <v>0</v>
      </c>
      <c r="CS49" s="41" cm="1">
        <f t="array" ref="CS49">CQ49</f>
        <v>0</v>
      </c>
      <c r="CT49" s="28"/>
      <c r="CW49" s="970" t="s">
        <v>808</v>
      </c>
    </row>
    <row r="50" spans="5:106" ht="16.7" hidden="1" customHeight="1">
      <c r="E50" s="676">
        <v>17.100000000000001</v>
      </c>
      <c r="F50" s="779" cm="1">
        <f t="array" aca="1" ref="F50" ca="1">OFFSET(G50,-1,-1)</f>
        <v>0</v>
      </c>
      <c r="L50" s="779" t="b" cm="1">
        <f t="array" aca="1" ref="L50" ca="1">OFFSET(M50,-1,-1)</f>
        <v>0</v>
      </c>
      <c r="S50" s="110" t="b" cm="1">
        <f t="array" aca="1" ref="S50" ca="1">OFFSET(T50,-1,-1)</f>
        <v>0</v>
      </c>
      <c r="U50" s="698" t="b">
        <f t="shared" ca="1" si="4"/>
        <v>0</v>
      </c>
      <c r="Y50" s="1687"/>
      <c r="Z50" s="1687"/>
      <c r="AB50" s="1786" t="s">
        <v>809</v>
      </c>
      <c r="AD50" s="111">
        <v>15</v>
      </c>
      <c r="AE50" s="1759" t="s">
        <v>810</v>
      </c>
      <c r="AF50" s="1760"/>
      <c r="AG50" s="111" t="s">
        <v>803</v>
      </c>
      <c r="AH50" s="41"/>
      <c r="AI50" s="41"/>
      <c r="AJ50" s="41"/>
      <c r="AK50" s="41"/>
      <c r="AL50" s="734">
        <f ca="1">AM50+AN50</f>
        <v>0</v>
      </c>
      <c r="AM50" s="41">
        <f>AM49*AM48/1000</f>
        <v>0</v>
      </c>
      <c r="AN50" s="41">
        <f ca="1">AN49*AN48/1000</f>
        <v>0</v>
      </c>
      <c r="AO50" s="734">
        <f ca="1">AP50+AQ50</f>
        <v>0</v>
      </c>
      <c r="AP50" s="827">
        <f>AP49*AP48/1000</f>
        <v>0</v>
      </c>
      <c r="AQ50" s="827">
        <f ca="1">AQ49*AQ48/1000</f>
        <v>0</v>
      </c>
      <c r="AR50" s="734">
        <f ca="1">AS50+AT50</f>
        <v>0</v>
      </c>
      <c r="AS50" s="827">
        <f>AS49*AS48/1000</f>
        <v>0</v>
      </c>
      <c r="AT50" s="827">
        <f ca="1">AT49*AT48/1000</f>
        <v>0</v>
      </c>
      <c r="AU50" s="734">
        <f ca="1">AV50+AW50</f>
        <v>0</v>
      </c>
      <c r="AV50" s="827">
        <f>AV49*AV48/1000</f>
        <v>0</v>
      </c>
      <c r="AW50" s="827">
        <f ca="1">AW49*AW48/1000</f>
        <v>0</v>
      </c>
      <c r="AX50" s="734">
        <f ca="1">AY50+AZ50</f>
        <v>0</v>
      </c>
      <c r="AY50" s="827">
        <f>AY49*AY48/1000</f>
        <v>0</v>
      </c>
      <c r="AZ50" s="827">
        <f ca="1">AZ49*AZ48/1000</f>
        <v>0</v>
      </c>
      <c r="BA50" s="734">
        <f ca="1">BB50+BC50</f>
        <v>0</v>
      </c>
      <c r="BB50" s="41">
        <f>BB49*BB48/1000</f>
        <v>0</v>
      </c>
      <c r="BC50" s="41">
        <f ca="1">BC49*BC48/1000</f>
        <v>0</v>
      </c>
      <c r="BD50" s="734">
        <f ca="1">BE50+BF50</f>
        <v>0</v>
      </c>
      <c r="BE50" s="41">
        <f>BE49*BE48/1000</f>
        <v>0</v>
      </c>
      <c r="BF50" s="41">
        <f ca="1">BF49*BF48/1000</f>
        <v>0</v>
      </c>
      <c r="BG50" s="734">
        <f ca="1">BH50+BI50</f>
        <v>0</v>
      </c>
      <c r="BH50" s="41">
        <f>BH49*BH48/1000</f>
        <v>0</v>
      </c>
      <c r="BI50" s="41">
        <f ca="1">BI49*BI48/1000</f>
        <v>0</v>
      </c>
      <c r="BJ50" s="734">
        <f ca="1">BK50+BL50</f>
        <v>0</v>
      </c>
      <c r="BK50" s="41">
        <f>BK49*BK48/1000</f>
        <v>0</v>
      </c>
      <c r="BL50" s="41">
        <f ca="1">BL49*BL48/1000</f>
        <v>0</v>
      </c>
      <c r="BM50" s="734">
        <f ca="1">BN50+BO50</f>
        <v>0</v>
      </c>
      <c r="BN50" s="41">
        <f>BN49*BN48/1000</f>
        <v>0</v>
      </c>
      <c r="BO50" s="41">
        <f ca="1">BO49*BO48/1000</f>
        <v>0</v>
      </c>
      <c r="BP50" s="734">
        <f ca="1">BQ50+BR50</f>
        <v>0</v>
      </c>
      <c r="BQ50" s="827">
        <f>BQ49*BQ48/1000</f>
        <v>0</v>
      </c>
      <c r="BR50" s="827">
        <f ca="1">BR49*BR48/1000</f>
        <v>0</v>
      </c>
      <c r="BS50" s="734">
        <f ca="1">BT50+BU50</f>
        <v>0</v>
      </c>
      <c r="BT50" s="827">
        <f>BT49*BT48/1000</f>
        <v>0</v>
      </c>
      <c r="BU50" s="827">
        <f ca="1">BU49*BU48/1000</f>
        <v>0</v>
      </c>
      <c r="BV50" s="734">
        <f ca="1">BW50+BX50</f>
        <v>0</v>
      </c>
      <c r="BW50" s="827">
        <f>BW49*BW48/1000</f>
        <v>0</v>
      </c>
      <c r="BX50" s="827">
        <f ca="1">BX49*BX48/1000</f>
        <v>0</v>
      </c>
      <c r="BY50" s="734">
        <f ca="1">BZ50+CA50</f>
        <v>0</v>
      </c>
      <c r="BZ50" s="827">
        <f>BZ49*BZ48/1000</f>
        <v>0</v>
      </c>
      <c r="CA50" s="827">
        <f ca="1">CA49*CA48/1000</f>
        <v>0</v>
      </c>
      <c r="CB50" s="734">
        <f ca="1">CC50+CD50</f>
        <v>0</v>
      </c>
      <c r="CC50" s="827">
        <f>CC49*CC48/1000</f>
        <v>0</v>
      </c>
      <c r="CD50" s="827">
        <f ca="1">CD49*CD48/1000</f>
        <v>0</v>
      </c>
      <c r="CE50" s="734">
        <f ca="1">CF50+CG50</f>
        <v>0</v>
      </c>
      <c r="CF50" s="41">
        <f>CF49*CF48/1000</f>
        <v>0</v>
      </c>
      <c r="CG50" s="41">
        <f ca="1">CG49*CG48/1000</f>
        <v>0</v>
      </c>
      <c r="CH50" s="734">
        <f ca="1">CI50+CJ50</f>
        <v>0</v>
      </c>
      <c r="CI50" s="41">
        <f>CI49*CI48/1000</f>
        <v>0</v>
      </c>
      <c r="CJ50" s="41">
        <f ca="1">CJ49*CJ48/1000</f>
        <v>0</v>
      </c>
      <c r="CK50" s="734">
        <f ca="1">CL50+CM50</f>
        <v>0</v>
      </c>
      <c r="CL50" s="41">
        <f>CL49*CL48/1000</f>
        <v>0</v>
      </c>
      <c r="CM50" s="41">
        <f ca="1">CM49*CM48/1000</f>
        <v>0</v>
      </c>
      <c r="CN50" s="734">
        <f ca="1">CO50+CP50</f>
        <v>0</v>
      </c>
      <c r="CO50" s="41">
        <f>CO49*CO48/1000</f>
        <v>0</v>
      </c>
      <c r="CP50" s="41">
        <f ca="1">CP49*CP48/1000</f>
        <v>0</v>
      </c>
      <c r="CQ50" s="734">
        <f ca="1">CR50+CS50</f>
        <v>0</v>
      </c>
      <c r="CR50" s="41">
        <f>CR49*CR48/1000</f>
        <v>0</v>
      </c>
      <c r="CS50" s="41">
        <f ca="1">CS49*CS48/1000</f>
        <v>0</v>
      </c>
      <c r="CT50" s="28"/>
      <c r="CW50" s="970" t="s">
        <v>811</v>
      </c>
    </row>
    <row r="51" spans="5:106" ht="16.7" hidden="1" customHeight="1">
      <c r="E51" s="676">
        <v>17.100000000000001</v>
      </c>
      <c r="F51" s="779" cm="1">
        <f t="array" aca="1" ref="F51" ca="1">OFFSET(G51,-1,-1)</f>
        <v>0</v>
      </c>
      <c r="L51" s="779" t="b" cm="1">
        <f t="array" aca="1" ref="L51" ca="1">OFFSET(M51,-1,-1)</f>
        <v>0</v>
      </c>
      <c r="S51" s="110" t="b" cm="1">
        <f t="array" aca="1" ref="S51" ca="1">OFFSET(T51,-1,-1)</f>
        <v>0</v>
      </c>
      <c r="U51" s="698" t="b">
        <f t="shared" ca="1" si="4"/>
        <v>0</v>
      </c>
      <c r="Y51" s="1687"/>
      <c r="Z51" s="1687"/>
      <c r="AB51" s="1787"/>
      <c r="AD51" s="111">
        <v>16</v>
      </c>
      <c r="AE51" s="1759" t="s">
        <v>812</v>
      </c>
      <c r="AF51" s="1760"/>
      <c r="AG51" s="111" t="s">
        <v>803</v>
      </c>
      <c r="AH51" s="734">
        <f>AH50+AH47</f>
        <v>0</v>
      </c>
      <c r="AI51" s="734">
        <f>AI50+AI47</f>
        <v>0</v>
      </c>
      <c r="AJ51" s="734">
        <f>AJ50+AJ47</f>
        <v>0</v>
      </c>
      <c r="AK51" s="734">
        <f>AK50+AK47</f>
        <v>0</v>
      </c>
      <c r="AL51" s="734">
        <f ca="1">AM51+AN51</f>
        <v>0</v>
      </c>
      <c r="AM51" s="734">
        <f>AM50+AM47</f>
        <v>0</v>
      </c>
      <c r="AN51" s="734">
        <f ca="1">AN50+AN47</f>
        <v>0</v>
      </c>
      <c r="AO51" s="734">
        <f ca="1">AP51+AQ51</f>
        <v>0</v>
      </c>
      <c r="AP51" s="734">
        <f>AP50+AP47</f>
        <v>0</v>
      </c>
      <c r="AQ51" s="734">
        <f ca="1">AQ50+AQ47</f>
        <v>0</v>
      </c>
      <c r="AR51" s="734">
        <f ca="1">AS51+AT51</f>
        <v>0</v>
      </c>
      <c r="AS51" s="734">
        <f>AS50+AS47</f>
        <v>0</v>
      </c>
      <c r="AT51" s="734">
        <f ca="1">AT50+AT47</f>
        <v>0</v>
      </c>
      <c r="AU51" s="734">
        <f ca="1">AV51+AW51</f>
        <v>0</v>
      </c>
      <c r="AV51" s="734">
        <f>AV50+AV47</f>
        <v>0</v>
      </c>
      <c r="AW51" s="734">
        <f ca="1">AW50+AW47</f>
        <v>0</v>
      </c>
      <c r="AX51" s="734">
        <f ca="1">AY51+AZ51</f>
        <v>0</v>
      </c>
      <c r="AY51" s="734">
        <f>AY50+AY47</f>
        <v>0</v>
      </c>
      <c r="AZ51" s="734">
        <f ca="1">AZ50+AZ47</f>
        <v>0</v>
      </c>
      <c r="BA51" s="734">
        <f ca="1">BB51+BC51</f>
        <v>0</v>
      </c>
      <c r="BB51" s="734">
        <f>BB50+BB47</f>
        <v>0</v>
      </c>
      <c r="BC51" s="734">
        <f ca="1">BC50+BC47</f>
        <v>0</v>
      </c>
      <c r="BD51" s="734">
        <f ca="1">BE51+BF51</f>
        <v>0</v>
      </c>
      <c r="BE51" s="734">
        <f>BE50+BE47</f>
        <v>0</v>
      </c>
      <c r="BF51" s="734">
        <f ca="1">BF50+BF47</f>
        <v>0</v>
      </c>
      <c r="BG51" s="734">
        <f ca="1">BH51+BI51</f>
        <v>0</v>
      </c>
      <c r="BH51" s="734">
        <f>BH50+BH47</f>
        <v>0</v>
      </c>
      <c r="BI51" s="734">
        <f ca="1">BI50+BI47</f>
        <v>0</v>
      </c>
      <c r="BJ51" s="734">
        <f ca="1">BK51+BL51</f>
        <v>0</v>
      </c>
      <c r="BK51" s="734">
        <f>BK50+BK47</f>
        <v>0</v>
      </c>
      <c r="BL51" s="734">
        <f ca="1">BL50+BL47</f>
        <v>0</v>
      </c>
      <c r="BM51" s="734">
        <f ca="1">BN51+BO51</f>
        <v>0</v>
      </c>
      <c r="BN51" s="734">
        <f>BN50+BN47</f>
        <v>0</v>
      </c>
      <c r="BO51" s="734">
        <f ca="1">BO50+BO47</f>
        <v>0</v>
      </c>
      <c r="BP51" s="734">
        <f ca="1">BQ51+BR51</f>
        <v>0</v>
      </c>
      <c r="BQ51" s="734">
        <f>BQ50+BQ47</f>
        <v>0</v>
      </c>
      <c r="BR51" s="734">
        <f ca="1">BR50+BR47</f>
        <v>0</v>
      </c>
      <c r="BS51" s="734">
        <f ca="1">BT51+BU51</f>
        <v>0</v>
      </c>
      <c r="BT51" s="734">
        <f>BT50+BT47</f>
        <v>0</v>
      </c>
      <c r="BU51" s="734">
        <f ca="1">BU50+BU47</f>
        <v>0</v>
      </c>
      <c r="BV51" s="734">
        <f ca="1">BW51+BX51</f>
        <v>0</v>
      </c>
      <c r="BW51" s="734">
        <f>BW50+BW47</f>
        <v>0</v>
      </c>
      <c r="BX51" s="734">
        <f ca="1">BX50+BX47</f>
        <v>0</v>
      </c>
      <c r="BY51" s="734">
        <f ca="1">BZ51+CA51</f>
        <v>0</v>
      </c>
      <c r="BZ51" s="734">
        <f>BZ50+BZ47</f>
        <v>0</v>
      </c>
      <c r="CA51" s="734">
        <f ca="1">CA50+CA47</f>
        <v>0</v>
      </c>
      <c r="CB51" s="734">
        <f ca="1">CC51+CD51</f>
        <v>0</v>
      </c>
      <c r="CC51" s="734">
        <f>CC50+CC47</f>
        <v>0</v>
      </c>
      <c r="CD51" s="734">
        <f ca="1">CD50+CD47</f>
        <v>0</v>
      </c>
      <c r="CE51" s="734">
        <f ca="1">CF51+CG51</f>
        <v>0</v>
      </c>
      <c r="CF51" s="734">
        <f>CF50+CF47</f>
        <v>0</v>
      </c>
      <c r="CG51" s="734">
        <f ca="1">CG50+CG47</f>
        <v>0</v>
      </c>
      <c r="CH51" s="734">
        <f ca="1">CI51+CJ51</f>
        <v>0</v>
      </c>
      <c r="CI51" s="734">
        <f>CI50+CI47</f>
        <v>0</v>
      </c>
      <c r="CJ51" s="734">
        <f ca="1">CJ50+CJ47</f>
        <v>0</v>
      </c>
      <c r="CK51" s="734">
        <f ca="1">CL51+CM51</f>
        <v>0</v>
      </c>
      <c r="CL51" s="734">
        <f>CL50+CL47</f>
        <v>0</v>
      </c>
      <c r="CM51" s="734">
        <f ca="1">CM50+CM47</f>
        <v>0</v>
      </c>
      <c r="CN51" s="734">
        <f ca="1">CO51+CP51</f>
        <v>0</v>
      </c>
      <c r="CO51" s="734">
        <f>CO50+CO47</f>
        <v>0</v>
      </c>
      <c r="CP51" s="734">
        <f ca="1">CP50+CP47</f>
        <v>0</v>
      </c>
      <c r="CQ51" s="734">
        <f ca="1">CR51+CS51</f>
        <v>0</v>
      </c>
      <c r="CR51" s="734">
        <f>CR50+CR47</f>
        <v>0</v>
      </c>
      <c r="CS51" s="734">
        <f ca="1">CS50+CS47</f>
        <v>0</v>
      </c>
      <c r="CT51" s="28"/>
      <c r="CW51" s="970" t="s">
        <v>813</v>
      </c>
    </row>
    <row r="52" spans="5:106" ht="16.7" hidden="1" customHeight="1">
      <c r="E52" s="676">
        <v>17.100000000000001</v>
      </c>
      <c r="F52" s="779" cm="1">
        <f t="array" aca="1" ref="F52" ca="1">OFFSET(G52,-1,-1)</f>
        <v>0</v>
      </c>
      <c r="L52" s="779" t="b" cm="1">
        <f t="array" aca="1" ref="L52" ca="1">OFFSET(M52,-1,-1)</f>
        <v>0</v>
      </c>
      <c r="R52" s="779" t="s">
        <v>759</v>
      </c>
      <c r="S52" s="110" t="b" cm="1">
        <f t="array" aca="1" ref="S52" ca="1">OFFSET(T52,-1,-1)</f>
        <v>0</v>
      </c>
      <c r="T52" s="110" t="b" cm="1">
        <f t="array" aca="1" ref="T52" ca="1">L52</f>
        <v>0</v>
      </c>
      <c r="U52" s="698" t="b">
        <f t="shared" ca="1" si="4"/>
        <v>0</v>
      </c>
      <c r="Y52" s="1687"/>
      <c r="Z52" s="1687"/>
      <c r="AB52" s="1787"/>
      <c r="AD52" s="111">
        <v>17</v>
      </c>
      <c r="AE52" s="1759" t="s">
        <v>814</v>
      </c>
      <c r="AF52" s="1760"/>
      <c r="AG52" s="111" t="s">
        <v>533</v>
      </c>
      <c r="AH52" s="740">
        <f t="shared" ref="AH52:BM52" si="21">IFERROR(AH50/AH51,0)</f>
        <v>0</v>
      </c>
      <c r="AI52" s="741">
        <f t="shared" si="21"/>
        <v>0</v>
      </c>
      <c r="AJ52" s="741">
        <f t="shared" si="21"/>
        <v>0</v>
      </c>
      <c r="AK52" s="741">
        <f t="shared" si="21"/>
        <v>0</v>
      </c>
      <c r="AL52" s="741">
        <f t="shared" ca="1" si="21"/>
        <v>0</v>
      </c>
      <c r="AM52" s="741">
        <f t="shared" si="21"/>
        <v>0</v>
      </c>
      <c r="AN52" s="741">
        <f t="shared" ca="1" si="21"/>
        <v>0</v>
      </c>
      <c r="AO52" s="741">
        <f t="shared" ca="1" si="21"/>
        <v>0</v>
      </c>
      <c r="AP52" s="741">
        <f t="shared" si="21"/>
        <v>0</v>
      </c>
      <c r="AQ52" s="741">
        <f t="shared" ca="1" si="21"/>
        <v>0</v>
      </c>
      <c r="AR52" s="741">
        <f t="shared" ca="1" si="21"/>
        <v>0</v>
      </c>
      <c r="AS52" s="741">
        <f t="shared" si="21"/>
        <v>0</v>
      </c>
      <c r="AT52" s="741">
        <f t="shared" ca="1" si="21"/>
        <v>0</v>
      </c>
      <c r="AU52" s="741">
        <f t="shared" ca="1" si="21"/>
        <v>0</v>
      </c>
      <c r="AV52" s="741">
        <f t="shared" si="21"/>
        <v>0</v>
      </c>
      <c r="AW52" s="741">
        <f t="shared" ca="1" si="21"/>
        <v>0</v>
      </c>
      <c r="AX52" s="741">
        <f t="shared" ca="1" si="21"/>
        <v>0</v>
      </c>
      <c r="AY52" s="741">
        <f t="shared" si="21"/>
        <v>0</v>
      </c>
      <c r="AZ52" s="741">
        <f t="shared" ca="1" si="21"/>
        <v>0</v>
      </c>
      <c r="BA52" s="741">
        <f t="shared" ca="1" si="21"/>
        <v>0</v>
      </c>
      <c r="BB52" s="741">
        <f t="shared" si="21"/>
        <v>0</v>
      </c>
      <c r="BC52" s="741">
        <f t="shared" ca="1" si="21"/>
        <v>0</v>
      </c>
      <c r="BD52" s="741">
        <f t="shared" ca="1" si="21"/>
        <v>0</v>
      </c>
      <c r="BE52" s="741">
        <f t="shared" si="21"/>
        <v>0</v>
      </c>
      <c r="BF52" s="741">
        <f t="shared" ca="1" si="21"/>
        <v>0</v>
      </c>
      <c r="BG52" s="741">
        <f t="shared" ca="1" si="21"/>
        <v>0</v>
      </c>
      <c r="BH52" s="741">
        <f t="shared" si="21"/>
        <v>0</v>
      </c>
      <c r="BI52" s="741">
        <f t="shared" ca="1" si="21"/>
        <v>0</v>
      </c>
      <c r="BJ52" s="741">
        <f t="shared" ca="1" si="21"/>
        <v>0</v>
      </c>
      <c r="BK52" s="741">
        <f t="shared" si="21"/>
        <v>0</v>
      </c>
      <c r="BL52" s="741">
        <f t="shared" ca="1" si="21"/>
        <v>0</v>
      </c>
      <c r="BM52" s="741">
        <f t="shared" ca="1" si="21"/>
        <v>0</v>
      </c>
      <c r="BN52" s="741">
        <f t="shared" ref="BN52:CS52" si="22">IFERROR(BN50/BN51,0)</f>
        <v>0</v>
      </c>
      <c r="BO52" s="741">
        <f t="shared" ca="1" si="22"/>
        <v>0</v>
      </c>
      <c r="BP52" s="741">
        <f t="shared" ca="1" si="22"/>
        <v>0</v>
      </c>
      <c r="BQ52" s="741">
        <f t="shared" si="22"/>
        <v>0</v>
      </c>
      <c r="BR52" s="741">
        <f t="shared" ca="1" si="22"/>
        <v>0</v>
      </c>
      <c r="BS52" s="741">
        <f t="shared" ca="1" si="22"/>
        <v>0</v>
      </c>
      <c r="BT52" s="741">
        <f t="shared" si="22"/>
        <v>0</v>
      </c>
      <c r="BU52" s="741">
        <f t="shared" ca="1" si="22"/>
        <v>0</v>
      </c>
      <c r="BV52" s="741">
        <f t="shared" ca="1" si="22"/>
        <v>0</v>
      </c>
      <c r="BW52" s="741">
        <f t="shared" si="22"/>
        <v>0</v>
      </c>
      <c r="BX52" s="741">
        <f t="shared" ca="1" si="22"/>
        <v>0</v>
      </c>
      <c r="BY52" s="741">
        <f t="shared" ca="1" si="22"/>
        <v>0</v>
      </c>
      <c r="BZ52" s="741">
        <f t="shared" si="22"/>
        <v>0</v>
      </c>
      <c r="CA52" s="741">
        <f t="shared" ca="1" si="22"/>
        <v>0</v>
      </c>
      <c r="CB52" s="741">
        <f t="shared" ca="1" si="22"/>
        <v>0</v>
      </c>
      <c r="CC52" s="741">
        <f t="shared" si="22"/>
        <v>0</v>
      </c>
      <c r="CD52" s="741">
        <f t="shared" ca="1" si="22"/>
        <v>0</v>
      </c>
      <c r="CE52" s="741">
        <f t="shared" ca="1" si="22"/>
        <v>0</v>
      </c>
      <c r="CF52" s="741">
        <f t="shared" si="22"/>
        <v>0</v>
      </c>
      <c r="CG52" s="741">
        <f t="shared" ca="1" si="22"/>
        <v>0</v>
      </c>
      <c r="CH52" s="741">
        <f t="shared" ca="1" si="22"/>
        <v>0</v>
      </c>
      <c r="CI52" s="741">
        <f t="shared" si="22"/>
        <v>0</v>
      </c>
      <c r="CJ52" s="741">
        <f t="shared" ca="1" si="22"/>
        <v>0</v>
      </c>
      <c r="CK52" s="741">
        <f t="shared" ca="1" si="22"/>
        <v>0</v>
      </c>
      <c r="CL52" s="741">
        <f t="shared" si="22"/>
        <v>0</v>
      </c>
      <c r="CM52" s="741">
        <f t="shared" ca="1" si="22"/>
        <v>0</v>
      </c>
      <c r="CN52" s="741">
        <f t="shared" ca="1" si="22"/>
        <v>0</v>
      </c>
      <c r="CO52" s="741">
        <f t="shared" si="22"/>
        <v>0</v>
      </c>
      <c r="CP52" s="741">
        <f t="shared" ca="1" si="22"/>
        <v>0</v>
      </c>
      <c r="CQ52" s="741">
        <f t="shared" ca="1" si="22"/>
        <v>0</v>
      </c>
      <c r="CR52" s="741">
        <f t="shared" si="22"/>
        <v>0</v>
      </c>
      <c r="CS52" s="741">
        <f t="shared" ca="1" si="22"/>
        <v>0</v>
      </c>
      <c r="CT52" s="28"/>
      <c r="CW52" s="970" t="s">
        <v>815</v>
      </c>
    </row>
    <row r="53" spans="5:106" ht="16.7" hidden="1" customHeight="1">
      <c r="E53" s="676">
        <v>17.100000000000001</v>
      </c>
      <c r="F53" s="779" cm="1">
        <f t="array" aca="1" ref="F53" ca="1">OFFSET(G53,-1,-1)</f>
        <v>0</v>
      </c>
      <c r="L53" s="779" t="b" cm="1">
        <f t="array" aca="1" ref="L53" ca="1">OFFSET(M53,-1,-1)</f>
        <v>0</v>
      </c>
      <c r="S53" s="110" t="b" cm="1">
        <f t="array" aca="1" ref="S53" ca="1">OFFSET(T53,-1,-1)</f>
        <v>0</v>
      </c>
      <c r="U53" s="698" t="b">
        <f t="shared" ca="1" si="4"/>
        <v>0</v>
      </c>
      <c r="Y53" s="1687"/>
      <c r="Z53" s="1687"/>
      <c r="AB53" s="1787"/>
      <c r="AD53" s="111">
        <v>18</v>
      </c>
      <c r="AE53" s="1759" t="s">
        <v>816</v>
      </c>
      <c r="AF53" s="1760"/>
      <c r="AG53" s="111" t="s">
        <v>803</v>
      </c>
      <c r="AH53" s="734">
        <f t="shared" ref="AH53:BM53" si="23">SUM(AH55:AH56)</f>
        <v>0</v>
      </c>
      <c r="AI53" s="734">
        <f t="shared" si="23"/>
        <v>0</v>
      </c>
      <c r="AJ53" s="734">
        <f t="shared" si="23"/>
        <v>0</v>
      </c>
      <c r="AK53" s="734">
        <f t="shared" si="23"/>
        <v>0</v>
      </c>
      <c r="AL53" s="734">
        <f t="shared" ca="1" si="23"/>
        <v>0</v>
      </c>
      <c r="AM53" s="734">
        <f t="shared" si="23"/>
        <v>0</v>
      </c>
      <c r="AN53" s="734">
        <f t="shared" ca="1" si="23"/>
        <v>0</v>
      </c>
      <c r="AO53" s="734">
        <f t="shared" ca="1" si="23"/>
        <v>0</v>
      </c>
      <c r="AP53" s="734">
        <f t="shared" si="23"/>
        <v>0</v>
      </c>
      <c r="AQ53" s="734">
        <f t="shared" ca="1" si="23"/>
        <v>0</v>
      </c>
      <c r="AR53" s="734">
        <f t="shared" ca="1" si="23"/>
        <v>0</v>
      </c>
      <c r="AS53" s="734">
        <f t="shared" si="23"/>
        <v>0</v>
      </c>
      <c r="AT53" s="734">
        <f t="shared" ca="1" si="23"/>
        <v>0</v>
      </c>
      <c r="AU53" s="734">
        <f t="shared" ca="1" si="23"/>
        <v>0</v>
      </c>
      <c r="AV53" s="734">
        <f t="shared" si="23"/>
        <v>0</v>
      </c>
      <c r="AW53" s="734">
        <f t="shared" ca="1" si="23"/>
        <v>0</v>
      </c>
      <c r="AX53" s="734">
        <f t="shared" ca="1" si="23"/>
        <v>0</v>
      </c>
      <c r="AY53" s="734">
        <f t="shared" si="23"/>
        <v>0</v>
      </c>
      <c r="AZ53" s="734">
        <f t="shared" ca="1" si="23"/>
        <v>0</v>
      </c>
      <c r="BA53" s="734">
        <f t="shared" ca="1" si="23"/>
        <v>0</v>
      </c>
      <c r="BB53" s="734">
        <f t="shared" si="23"/>
        <v>0</v>
      </c>
      <c r="BC53" s="734">
        <f t="shared" ca="1" si="23"/>
        <v>0</v>
      </c>
      <c r="BD53" s="734">
        <f t="shared" ca="1" si="23"/>
        <v>0</v>
      </c>
      <c r="BE53" s="734">
        <f t="shared" si="23"/>
        <v>0</v>
      </c>
      <c r="BF53" s="734">
        <f t="shared" ca="1" si="23"/>
        <v>0</v>
      </c>
      <c r="BG53" s="734">
        <f t="shared" ca="1" si="23"/>
        <v>0</v>
      </c>
      <c r="BH53" s="734">
        <f t="shared" si="23"/>
        <v>0</v>
      </c>
      <c r="BI53" s="734">
        <f t="shared" ca="1" si="23"/>
        <v>0</v>
      </c>
      <c r="BJ53" s="734">
        <f t="shared" ca="1" si="23"/>
        <v>0</v>
      </c>
      <c r="BK53" s="734">
        <f t="shared" si="23"/>
        <v>0</v>
      </c>
      <c r="BL53" s="734">
        <f t="shared" ca="1" si="23"/>
        <v>0</v>
      </c>
      <c r="BM53" s="734">
        <f t="shared" ca="1" si="23"/>
        <v>0</v>
      </c>
      <c r="BN53" s="734">
        <f t="shared" ref="BN53:CS53" si="24">SUM(BN55:BN56)</f>
        <v>0</v>
      </c>
      <c r="BO53" s="734">
        <f t="shared" ca="1" si="24"/>
        <v>0</v>
      </c>
      <c r="BP53" s="734">
        <f t="shared" ca="1" si="24"/>
        <v>0</v>
      </c>
      <c r="BQ53" s="734">
        <f t="shared" si="24"/>
        <v>0</v>
      </c>
      <c r="BR53" s="734">
        <f t="shared" ca="1" si="24"/>
        <v>0</v>
      </c>
      <c r="BS53" s="734">
        <f t="shared" ca="1" si="24"/>
        <v>0</v>
      </c>
      <c r="BT53" s="734">
        <f t="shared" si="24"/>
        <v>0</v>
      </c>
      <c r="BU53" s="734">
        <f t="shared" ca="1" si="24"/>
        <v>0</v>
      </c>
      <c r="BV53" s="734">
        <f t="shared" ca="1" si="24"/>
        <v>0</v>
      </c>
      <c r="BW53" s="734">
        <f t="shared" si="24"/>
        <v>0</v>
      </c>
      <c r="BX53" s="734">
        <f t="shared" ca="1" si="24"/>
        <v>0</v>
      </c>
      <c r="BY53" s="734">
        <f t="shared" ca="1" si="24"/>
        <v>0</v>
      </c>
      <c r="BZ53" s="734">
        <f t="shared" si="24"/>
        <v>0</v>
      </c>
      <c r="CA53" s="734">
        <f t="shared" ca="1" si="24"/>
        <v>0</v>
      </c>
      <c r="CB53" s="734">
        <f t="shared" ca="1" si="24"/>
        <v>0</v>
      </c>
      <c r="CC53" s="734">
        <f t="shared" si="24"/>
        <v>0</v>
      </c>
      <c r="CD53" s="734">
        <f t="shared" ca="1" si="24"/>
        <v>0</v>
      </c>
      <c r="CE53" s="734">
        <f t="shared" ca="1" si="24"/>
        <v>0</v>
      </c>
      <c r="CF53" s="734">
        <f t="shared" si="24"/>
        <v>0</v>
      </c>
      <c r="CG53" s="734">
        <f t="shared" ca="1" si="24"/>
        <v>0</v>
      </c>
      <c r="CH53" s="734">
        <f t="shared" ca="1" si="24"/>
        <v>0</v>
      </c>
      <c r="CI53" s="734">
        <f t="shared" si="24"/>
        <v>0</v>
      </c>
      <c r="CJ53" s="734">
        <f t="shared" ca="1" si="24"/>
        <v>0</v>
      </c>
      <c r="CK53" s="734">
        <f t="shared" ca="1" si="24"/>
        <v>0</v>
      </c>
      <c r="CL53" s="734">
        <f t="shared" si="24"/>
        <v>0</v>
      </c>
      <c r="CM53" s="734">
        <f t="shared" ca="1" si="24"/>
        <v>0</v>
      </c>
      <c r="CN53" s="734">
        <f t="shared" ca="1" si="24"/>
        <v>0</v>
      </c>
      <c r="CO53" s="734">
        <f t="shared" si="24"/>
        <v>0</v>
      </c>
      <c r="CP53" s="734">
        <f t="shared" ca="1" si="24"/>
        <v>0</v>
      </c>
      <c r="CQ53" s="734">
        <f t="shared" ca="1" si="24"/>
        <v>0</v>
      </c>
      <c r="CR53" s="734">
        <f t="shared" si="24"/>
        <v>0</v>
      </c>
      <c r="CS53" s="734">
        <f t="shared" ca="1" si="24"/>
        <v>0</v>
      </c>
      <c r="CT53" s="28"/>
      <c r="CW53" s="970" t="s">
        <v>817</v>
      </c>
    </row>
    <row r="54" spans="5:106" ht="16.7" hidden="1" customHeight="1">
      <c r="E54" s="676">
        <v>17.100000000000001</v>
      </c>
      <c r="F54" s="779" cm="1">
        <f t="array" aca="1" ref="F54" ca="1">OFFSET(G54,-1,-1)</f>
        <v>0</v>
      </c>
      <c r="L54" s="779" t="b" cm="1">
        <f t="array" aca="1" ref="L54" ca="1">OFFSET(M54,-1,-1)</f>
        <v>0</v>
      </c>
      <c r="R54" s="779" t="s">
        <v>759</v>
      </c>
      <c r="S54" s="110" t="b" cm="1">
        <f t="array" aca="1" ref="S54" ca="1">OFFSET(T54,-1,-1)</f>
        <v>0</v>
      </c>
      <c r="T54" s="110" t="b" cm="1">
        <f t="array" aca="1" ref="T54" ca="1">L54</f>
        <v>0</v>
      </c>
      <c r="U54" s="698" t="b">
        <f t="shared" ca="1" si="4"/>
        <v>0</v>
      </c>
      <c r="Y54" s="1687"/>
      <c r="Z54" s="1687"/>
      <c r="AB54" s="1787"/>
      <c r="AD54" s="111" t="s">
        <v>818</v>
      </c>
      <c r="AE54" s="1759" t="s">
        <v>770</v>
      </c>
      <c r="AF54" s="1760"/>
      <c r="AG54" s="111" t="s">
        <v>803</v>
      </c>
      <c r="AH54" s="41">
        <f>AH$52*AH53</f>
        <v>0</v>
      </c>
      <c r="AI54" s="42">
        <f>AI$52*AI53</f>
        <v>0</v>
      </c>
      <c r="AJ54" s="42">
        <f>AJ$52*AJ53</f>
        <v>0</v>
      </c>
      <c r="AK54" s="42">
        <f>AK$52*AK53</f>
        <v>0</v>
      </c>
      <c r="AL54" s="734">
        <f ca="1">AM54+AN54</f>
        <v>0</v>
      </c>
      <c r="AM54" s="42">
        <f>AM$52*AM53</f>
        <v>0</v>
      </c>
      <c r="AN54" s="42">
        <f ca="1">AN$52*AN53</f>
        <v>0</v>
      </c>
      <c r="AO54" s="734">
        <f ca="1">AP54+AQ54</f>
        <v>0</v>
      </c>
      <c r="AP54" s="826">
        <f>AP$52*AP53</f>
        <v>0</v>
      </c>
      <c r="AQ54" s="826">
        <f ca="1">AQ$52*AQ53</f>
        <v>0</v>
      </c>
      <c r="AR54" s="734">
        <f ca="1">AS54+AT54</f>
        <v>0</v>
      </c>
      <c r="AS54" s="826">
        <f>AS$52*AS53</f>
        <v>0</v>
      </c>
      <c r="AT54" s="826">
        <f ca="1">AT$52*AT53</f>
        <v>0</v>
      </c>
      <c r="AU54" s="734">
        <f ca="1">AV54+AW54</f>
        <v>0</v>
      </c>
      <c r="AV54" s="826">
        <f>AV$52*AV53</f>
        <v>0</v>
      </c>
      <c r="AW54" s="826">
        <f ca="1">AW$52*AW53</f>
        <v>0</v>
      </c>
      <c r="AX54" s="734">
        <f ca="1">AY54+AZ54</f>
        <v>0</v>
      </c>
      <c r="AY54" s="826">
        <f>AY$52*AY53</f>
        <v>0</v>
      </c>
      <c r="AZ54" s="826">
        <f ca="1">AZ$52*AZ53</f>
        <v>0</v>
      </c>
      <c r="BA54" s="734">
        <f ca="1">BB54+BC54</f>
        <v>0</v>
      </c>
      <c r="BB54" s="42">
        <f>BB$52*BB53</f>
        <v>0</v>
      </c>
      <c r="BC54" s="42">
        <f ca="1">BC$52*BC53</f>
        <v>0</v>
      </c>
      <c r="BD54" s="734">
        <f ca="1">BE54+BF54</f>
        <v>0</v>
      </c>
      <c r="BE54" s="42">
        <f>BE$52*BE53</f>
        <v>0</v>
      </c>
      <c r="BF54" s="42">
        <f ca="1">BF$52*BF53</f>
        <v>0</v>
      </c>
      <c r="BG54" s="734">
        <f ca="1">BH54+BI54</f>
        <v>0</v>
      </c>
      <c r="BH54" s="42">
        <f>BH$52*BH53</f>
        <v>0</v>
      </c>
      <c r="BI54" s="42">
        <f ca="1">BI$52*BI53</f>
        <v>0</v>
      </c>
      <c r="BJ54" s="734">
        <f ca="1">BK54+BL54</f>
        <v>0</v>
      </c>
      <c r="BK54" s="42">
        <f>BK$52*BK53</f>
        <v>0</v>
      </c>
      <c r="BL54" s="42">
        <f ca="1">BL$52*BL53</f>
        <v>0</v>
      </c>
      <c r="BM54" s="734">
        <f ca="1">BN54+BO54</f>
        <v>0</v>
      </c>
      <c r="BN54" s="42">
        <f>BN$52*BN53</f>
        <v>0</v>
      </c>
      <c r="BO54" s="42">
        <f ca="1">BO$52*BO53</f>
        <v>0</v>
      </c>
      <c r="BP54" s="734">
        <f ca="1">BQ54+BR54</f>
        <v>0</v>
      </c>
      <c r="BQ54" s="826">
        <f>BQ$52*BQ53</f>
        <v>0</v>
      </c>
      <c r="BR54" s="826">
        <f ca="1">BR$52*BR53</f>
        <v>0</v>
      </c>
      <c r="BS54" s="734">
        <f ca="1">BT54+BU54</f>
        <v>0</v>
      </c>
      <c r="BT54" s="826">
        <f>BT$52*BT53</f>
        <v>0</v>
      </c>
      <c r="BU54" s="826">
        <f ca="1">BU$52*BU53</f>
        <v>0</v>
      </c>
      <c r="BV54" s="734">
        <f ca="1">BW54+BX54</f>
        <v>0</v>
      </c>
      <c r="BW54" s="826">
        <f>BW$52*BW53</f>
        <v>0</v>
      </c>
      <c r="BX54" s="826">
        <f ca="1">BX$52*BX53</f>
        <v>0</v>
      </c>
      <c r="BY54" s="734">
        <f ca="1">BZ54+CA54</f>
        <v>0</v>
      </c>
      <c r="BZ54" s="826">
        <f>BZ$52*BZ53</f>
        <v>0</v>
      </c>
      <c r="CA54" s="826">
        <f ca="1">CA$52*CA53</f>
        <v>0</v>
      </c>
      <c r="CB54" s="734">
        <f ca="1">CC54+CD54</f>
        <v>0</v>
      </c>
      <c r="CC54" s="826">
        <f>CC$52*CC53</f>
        <v>0</v>
      </c>
      <c r="CD54" s="826">
        <f ca="1">CD$52*CD53</f>
        <v>0</v>
      </c>
      <c r="CE54" s="734">
        <f ca="1">CF54+CG54</f>
        <v>0</v>
      </c>
      <c r="CF54" s="42">
        <f>CF$52*CF53</f>
        <v>0</v>
      </c>
      <c r="CG54" s="42">
        <f ca="1">CG$52*CG53</f>
        <v>0</v>
      </c>
      <c r="CH54" s="734">
        <f ca="1">CI54+CJ54</f>
        <v>0</v>
      </c>
      <c r="CI54" s="42">
        <f>CI$52*CI53</f>
        <v>0</v>
      </c>
      <c r="CJ54" s="42">
        <f ca="1">CJ$52*CJ53</f>
        <v>0</v>
      </c>
      <c r="CK54" s="734">
        <f ca="1">CL54+CM54</f>
        <v>0</v>
      </c>
      <c r="CL54" s="42">
        <f>CL$52*CL53</f>
        <v>0</v>
      </c>
      <c r="CM54" s="42">
        <f ca="1">CM$52*CM53</f>
        <v>0</v>
      </c>
      <c r="CN54" s="734">
        <f ca="1">CO54+CP54</f>
        <v>0</v>
      </c>
      <c r="CO54" s="42">
        <f>CO$52*CO53</f>
        <v>0</v>
      </c>
      <c r="CP54" s="42">
        <f ca="1">CP$52*CP53</f>
        <v>0</v>
      </c>
      <c r="CQ54" s="734">
        <f ca="1">CR54+CS54</f>
        <v>0</v>
      </c>
      <c r="CR54" s="42">
        <f>CR$52*CR53</f>
        <v>0</v>
      </c>
      <c r="CS54" s="42">
        <f ca="1">CS$52*CS53</f>
        <v>0</v>
      </c>
      <c r="CT54" s="28"/>
      <c r="CW54" s="970" t="s">
        <v>819</v>
      </c>
    </row>
    <row r="55" spans="5:106" ht="16.7" hidden="1" customHeight="1">
      <c r="E55" s="676">
        <v>17.100000000000001</v>
      </c>
      <c r="F55" s="779" cm="1">
        <f t="array" aca="1" ref="F55" ca="1">OFFSET(G55,-1,-1)</f>
        <v>0</v>
      </c>
      <c r="L55" s="779" t="b" cm="1">
        <f t="array" aca="1" ref="L55" ca="1">OFFSET(M55,-1,-1)</f>
        <v>0</v>
      </c>
      <c r="S55" s="110" t="b" cm="1">
        <f t="array" aca="1" ref="S55" ca="1">OFFSET(T55,-1,-1)</f>
        <v>0</v>
      </c>
      <c r="T55" s="110" t="b">
        <f>AD55&lt;&gt;"18.0"</f>
        <v>0</v>
      </c>
      <c r="U55" s="698" t="b">
        <f t="shared" ca="1" si="4"/>
        <v>0</v>
      </c>
      <c r="X55" s="110" t="s">
        <v>236</v>
      </c>
      <c r="Y55" s="1687"/>
      <c r="Z55" s="1687"/>
      <c r="AB55" s="1787"/>
      <c r="AC55" s="11" t="s">
        <v>218</v>
      </c>
      <c r="AD55" s="111" t="s">
        <v>818</v>
      </c>
      <c r="AE55" s="43"/>
      <c r="AF55" s="44"/>
      <c r="AG55" s="111" t="s">
        <v>803</v>
      </c>
      <c r="AH55" s="41">
        <f>AH$51*AH58</f>
        <v>0</v>
      </c>
      <c r="AI55" s="41">
        <f>AI64*AI61</f>
        <v>0</v>
      </c>
      <c r="AJ55" s="41">
        <f>AJ64*AJ61</f>
        <v>0</v>
      </c>
      <c r="AK55" s="41">
        <f>AK$51*AK58</f>
        <v>0</v>
      </c>
      <c r="AL55" s="734">
        <f ca="1">AM55+AN55</f>
        <v>0</v>
      </c>
      <c r="AM55" s="41">
        <f>AM$51*AM58</f>
        <v>0</v>
      </c>
      <c r="AN55" s="41">
        <f ca="1">AN$51*AN58</f>
        <v>0</v>
      </c>
      <c r="AO55" s="734">
        <f ca="1">AP55+AQ55</f>
        <v>0</v>
      </c>
      <c r="AP55" s="827">
        <f>AP$51*AP58</f>
        <v>0</v>
      </c>
      <c r="AQ55" s="827">
        <f ca="1">AQ$51*AQ58</f>
        <v>0</v>
      </c>
      <c r="AR55" s="734">
        <f ca="1">AS55+AT55</f>
        <v>0</v>
      </c>
      <c r="AS55" s="827">
        <f>AS$51*AS58</f>
        <v>0</v>
      </c>
      <c r="AT55" s="827">
        <f ca="1">AT$51*AT58</f>
        <v>0</v>
      </c>
      <c r="AU55" s="734">
        <f ca="1">AV55+AW55</f>
        <v>0</v>
      </c>
      <c r="AV55" s="827">
        <f>AV$51*AV58</f>
        <v>0</v>
      </c>
      <c r="AW55" s="827">
        <f ca="1">AW$51*AW58</f>
        <v>0</v>
      </c>
      <c r="AX55" s="734">
        <f ca="1">AY55+AZ55</f>
        <v>0</v>
      </c>
      <c r="AY55" s="827">
        <f>AY$51*AY58</f>
        <v>0</v>
      </c>
      <c r="AZ55" s="827">
        <f ca="1">AZ$51*AZ58</f>
        <v>0</v>
      </c>
      <c r="BA55" s="734">
        <f ca="1">BB55+BC55</f>
        <v>0</v>
      </c>
      <c r="BB55" s="41">
        <f>BB$51*BB58</f>
        <v>0</v>
      </c>
      <c r="BC55" s="41">
        <f ca="1">BC$51*BC58</f>
        <v>0</v>
      </c>
      <c r="BD55" s="734">
        <f ca="1">BE55+BF55</f>
        <v>0</v>
      </c>
      <c r="BE55" s="41">
        <f>BE$51*BE58</f>
        <v>0</v>
      </c>
      <c r="BF55" s="41">
        <f ca="1">BF$51*BF58</f>
        <v>0</v>
      </c>
      <c r="BG55" s="734">
        <f ca="1">BH55+BI55</f>
        <v>0</v>
      </c>
      <c r="BH55" s="41">
        <f>BH$51*BH58</f>
        <v>0</v>
      </c>
      <c r="BI55" s="41">
        <f ca="1">BI$51*BI58</f>
        <v>0</v>
      </c>
      <c r="BJ55" s="734">
        <f ca="1">BK55+BL55</f>
        <v>0</v>
      </c>
      <c r="BK55" s="41">
        <f>BK$51*BK58</f>
        <v>0</v>
      </c>
      <c r="BL55" s="41">
        <f ca="1">BL$51*BL58</f>
        <v>0</v>
      </c>
      <c r="BM55" s="734">
        <f ca="1">BN55+BO55</f>
        <v>0</v>
      </c>
      <c r="BN55" s="41">
        <f>BN$51*BN58</f>
        <v>0</v>
      </c>
      <c r="BO55" s="41">
        <f ca="1">BO$51*BO58</f>
        <v>0</v>
      </c>
      <c r="BP55" s="734">
        <f ca="1">BQ55+BR55</f>
        <v>0</v>
      </c>
      <c r="BQ55" s="827">
        <f>BQ$51*BQ58</f>
        <v>0</v>
      </c>
      <c r="BR55" s="827">
        <f ca="1">BR$51*BR58</f>
        <v>0</v>
      </c>
      <c r="BS55" s="734">
        <f ca="1">BT55+BU55</f>
        <v>0</v>
      </c>
      <c r="BT55" s="827">
        <f>BT$51*BT58</f>
        <v>0</v>
      </c>
      <c r="BU55" s="827">
        <f ca="1">BU$51*BU58</f>
        <v>0</v>
      </c>
      <c r="BV55" s="734">
        <f ca="1">BW55+BX55</f>
        <v>0</v>
      </c>
      <c r="BW55" s="827">
        <f>BW$51*BW58</f>
        <v>0</v>
      </c>
      <c r="BX55" s="827">
        <f ca="1">BX$51*BX58</f>
        <v>0</v>
      </c>
      <c r="BY55" s="734">
        <f ca="1">BZ55+CA55</f>
        <v>0</v>
      </c>
      <c r="BZ55" s="827">
        <f>BZ$51*BZ58</f>
        <v>0</v>
      </c>
      <c r="CA55" s="827">
        <f ca="1">CA$51*CA58</f>
        <v>0</v>
      </c>
      <c r="CB55" s="734">
        <f ca="1">CC55+CD55</f>
        <v>0</v>
      </c>
      <c r="CC55" s="827">
        <f>CC$51*CC58</f>
        <v>0</v>
      </c>
      <c r="CD55" s="827">
        <f ca="1">CD$51*CD58</f>
        <v>0</v>
      </c>
      <c r="CE55" s="734">
        <f ca="1">CF55+CG55</f>
        <v>0</v>
      </c>
      <c r="CF55" s="41">
        <f>CF$51*CF58</f>
        <v>0</v>
      </c>
      <c r="CG55" s="41">
        <f ca="1">CG$51*CG58</f>
        <v>0</v>
      </c>
      <c r="CH55" s="734">
        <f ca="1">CI55+CJ55</f>
        <v>0</v>
      </c>
      <c r="CI55" s="41">
        <f>CI$51*CI58</f>
        <v>0</v>
      </c>
      <c r="CJ55" s="41">
        <f ca="1">CJ$51*CJ58</f>
        <v>0</v>
      </c>
      <c r="CK55" s="734">
        <f ca="1">CL55+CM55</f>
        <v>0</v>
      </c>
      <c r="CL55" s="41">
        <f>CL$51*CL58</f>
        <v>0</v>
      </c>
      <c r="CM55" s="41">
        <f ca="1">CM$51*CM58</f>
        <v>0</v>
      </c>
      <c r="CN55" s="734">
        <f ca="1">CO55+CP55</f>
        <v>0</v>
      </c>
      <c r="CO55" s="41">
        <f>CO$51*CO58</f>
        <v>0</v>
      </c>
      <c r="CP55" s="41">
        <f ca="1">CP$51*CP58</f>
        <v>0</v>
      </c>
      <c r="CQ55" s="734">
        <f ca="1">CR55+CS55</f>
        <v>0</v>
      </c>
      <c r="CR55" s="41">
        <f>CR$51*CR58</f>
        <v>0</v>
      </c>
      <c r="CS55" s="41">
        <f ca="1">CS$51*CS58</f>
        <v>0</v>
      </c>
      <c r="CT55" s="28"/>
      <c r="CW55" s="970" t="s">
        <v>820</v>
      </c>
      <c r="CX55" s="975" t="s">
        <v>821</v>
      </c>
      <c r="CY55" s="979" cm="1">
        <f t="array" ref="CY55">AE55</f>
        <v>0</v>
      </c>
      <c r="CZ55" s="979" cm="1">
        <f t="array" ref="CZ55">AF55</f>
        <v>0</v>
      </c>
      <c r="DB55" s="976" t="b">
        <v>1</v>
      </c>
    </row>
    <row r="56" spans="5:106" ht="16.7" hidden="1" customHeight="1">
      <c r="E56" s="676">
        <v>17.100000000000001</v>
      </c>
      <c r="F56" s="779" cm="1">
        <f t="array" aca="1" ref="F56" ca="1">OFFSET(G56,-1,-1)</f>
        <v>0</v>
      </c>
      <c r="L56" s="779" t="b" cm="1">
        <f t="array" aca="1" ref="L56" ca="1">OFFSET(M56,-1,-1)</f>
        <v>0</v>
      </c>
      <c r="S56" s="110" t="b" cm="1">
        <f t="array" aca="1" ref="S56" ca="1">OFFSET(T56,-1,-1)</f>
        <v>0</v>
      </c>
      <c r="U56" s="698" t="b">
        <f t="shared" ca="1" si="4"/>
        <v>0</v>
      </c>
      <c r="X56" s="820" t="str">
        <f>"{                  
         funcDyn: 'msg',
         blok: 'blok_2',
         wsCross: 'Топливо 4.4',
         linkFormula: 'AE-AE#AF-AF',
         levelDyn: "&amp;Y28&amp;"
}"</f>
        <v>{                  
         funcDyn: 'msg',
         blok: 'blok_2',
         wsCross: 'Топливо 4.4',
         linkFormula: 'AE-AE#AF-AF',
         levelDyn: 0
}</v>
      </c>
      <c r="Y56" s="1687"/>
      <c r="Z56" s="1687"/>
      <c r="AB56" s="1787"/>
      <c r="AD56" s="249"/>
      <c r="AE56" s="763" t="s">
        <v>238</v>
      </c>
      <c r="AF56" s="763"/>
      <c r="AG56" s="763"/>
      <c r="AH56" s="763"/>
      <c r="AI56" s="763"/>
      <c r="AJ56" s="763"/>
      <c r="AK56" s="763"/>
      <c r="AL56" s="763"/>
      <c r="AM56" s="763"/>
      <c r="AN56" s="763"/>
      <c r="AO56" s="763"/>
      <c r="AP56" s="763"/>
      <c r="AQ56" s="763"/>
      <c r="AR56" s="763"/>
      <c r="AS56" s="763"/>
      <c r="AT56" s="763"/>
      <c r="AU56" s="763"/>
      <c r="AV56" s="763"/>
      <c r="AW56" s="763"/>
      <c r="AX56" s="763"/>
      <c r="AY56" s="763"/>
      <c r="AZ56" s="763"/>
      <c r="BA56" s="763"/>
      <c r="BB56" s="763"/>
      <c r="BC56" s="763"/>
      <c r="BD56" s="763"/>
      <c r="BE56" s="763"/>
      <c r="BF56" s="763"/>
      <c r="BG56" s="763"/>
      <c r="BH56" s="763"/>
      <c r="BI56" s="763"/>
      <c r="BJ56" s="763"/>
      <c r="BK56" s="763"/>
      <c r="BL56" s="763"/>
      <c r="BM56" s="763"/>
      <c r="BN56" s="763"/>
      <c r="BO56" s="763"/>
      <c r="BP56" s="763"/>
      <c r="BQ56" s="763"/>
      <c r="BR56" s="763"/>
      <c r="BS56" s="763"/>
      <c r="BT56" s="763"/>
      <c r="BU56" s="763"/>
      <c r="BV56" s="763"/>
      <c r="BW56" s="763"/>
      <c r="BX56" s="763"/>
      <c r="BY56" s="763"/>
      <c r="BZ56" s="763"/>
      <c r="CA56" s="763"/>
      <c r="CB56" s="763"/>
      <c r="CC56" s="763"/>
      <c r="CD56" s="763"/>
      <c r="CE56" s="763"/>
      <c r="CF56" s="763"/>
      <c r="CG56" s="763"/>
      <c r="CH56" s="763"/>
      <c r="CI56" s="763"/>
      <c r="CJ56" s="763"/>
      <c r="CK56" s="763"/>
      <c r="CL56" s="763"/>
      <c r="CM56" s="763"/>
      <c r="CN56" s="763"/>
      <c r="CO56" s="763"/>
      <c r="CP56" s="763"/>
      <c r="CQ56" s="763"/>
      <c r="CR56" s="763"/>
      <c r="CS56" s="763"/>
      <c r="CT56" s="904"/>
      <c r="CW56" s="970" t="str">
        <f>IF(AND(ISNUMBER(VALUE(TRIM(SUBSTITUTE(AD56,".","")))),TRIM(SUBSTITUTE(AD56,".",""))&lt;&gt;""),"P"&amp;SUBSTITUTE(AD56,".",""),"")</f>
        <v/>
      </c>
      <c r="DA56" s="976" t="s">
        <v>821</v>
      </c>
    </row>
    <row r="57" spans="5:106" ht="16.7" hidden="1" customHeight="1">
      <c r="E57" s="676">
        <v>17.100000000000001</v>
      </c>
      <c r="F57" s="779" cm="1">
        <f t="array" aca="1" ref="F57" ca="1">OFFSET(G57,-1,-1)</f>
        <v>0</v>
      </c>
      <c r="L57" s="779" t="b" cm="1">
        <f t="array" aca="1" ref="L57" ca="1">OFFSET(M57,-1,-1)</f>
        <v>0</v>
      </c>
      <c r="S57" s="110" t="b" cm="1">
        <f t="array" aca="1" ref="S57" ca="1">OFFSET(T57,-1,-1)</f>
        <v>0</v>
      </c>
      <c r="U57" s="698" t="b">
        <f t="shared" ca="1" si="4"/>
        <v>0</v>
      </c>
      <c r="Y57" s="1687"/>
      <c r="Z57" s="1687"/>
      <c r="AB57" s="1787"/>
      <c r="AD57" s="111">
        <v>19</v>
      </c>
      <c r="AE57" s="1761" t="s">
        <v>822</v>
      </c>
      <c r="AF57" s="1762"/>
      <c r="AG57" s="540" t="s">
        <v>533</v>
      </c>
      <c r="AH57" s="762">
        <f t="shared" ref="AH57:BM57" si="25">SUM(AH58:AH59)</f>
        <v>0</v>
      </c>
      <c r="AI57" s="762">
        <f t="shared" si="25"/>
        <v>0</v>
      </c>
      <c r="AJ57" s="762">
        <f t="shared" si="25"/>
        <v>0</v>
      </c>
      <c r="AK57" s="762">
        <f t="shared" si="25"/>
        <v>0</v>
      </c>
      <c r="AL57" s="762">
        <f t="shared" ca="1" si="25"/>
        <v>0</v>
      </c>
      <c r="AM57" s="762">
        <f t="shared" si="25"/>
        <v>0</v>
      </c>
      <c r="AN57" s="762">
        <f t="shared" si="25"/>
        <v>0</v>
      </c>
      <c r="AO57" s="762">
        <f t="shared" ca="1" si="25"/>
        <v>0</v>
      </c>
      <c r="AP57" s="762">
        <f t="shared" si="25"/>
        <v>0</v>
      </c>
      <c r="AQ57" s="762">
        <f t="shared" si="25"/>
        <v>0</v>
      </c>
      <c r="AR57" s="762">
        <f t="shared" ca="1" si="25"/>
        <v>0</v>
      </c>
      <c r="AS57" s="762">
        <f t="shared" si="25"/>
        <v>0</v>
      </c>
      <c r="AT57" s="762">
        <f t="shared" si="25"/>
        <v>0</v>
      </c>
      <c r="AU57" s="762">
        <f t="shared" ca="1" si="25"/>
        <v>0</v>
      </c>
      <c r="AV57" s="762">
        <f t="shared" si="25"/>
        <v>0</v>
      </c>
      <c r="AW57" s="762">
        <f t="shared" si="25"/>
        <v>0</v>
      </c>
      <c r="AX57" s="762">
        <f t="shared" ca="1" si="25"/>
        <v>0</v>
      </c>
      <c r="AY57" s="762">
        <f t="shared" si="25"/>
        <v>0</v>
      </c>
      <c r="AZ57" s="762">
        <f t="shared" si="25"/>
        <v>0</v>
      </c>
      <c r="BA57" s="762">
        <f t="shared" ca="1" si="25"/>
        <v>0</v>
      </c>
      <c r="BB57" s="762">
        <f t="shared" si="25"/>
        <v>0</v>
      </c>
      <c r="BC57" s="762">
        <f t="shared" si="25"/>
        <v>0</v>
      </c>
      <c r="BD57" s="762">
        <f t="shared" ca="1" si="25"/>
        <v>0</v>
      </c>
      <c r="BE57" s="762">
        <f t="shared" si="25"/>
        <v>0</v>
      </c>
      <c r="BF57" s="762">
        <f t="shared" si="25"/>
        <v>0</v>
      </c>
      <c r="BG57" s="762">
        <f t="shared" ca="1" si="25"/>
        <v>0</v>
      </c>
      <c r="BH57" s="762">
        <f t="shared" si="25"/>
        <v>0</v>
      </c>
      <c r="BI57" s="762">
        <f t="shared" si="25"/>
        <v>0</v>
      </c>
      <c r="BJ57" s="762">
        <f t="shared" ca="1" si="25"/>
        <v>0</v>
      </c>
      <c r="BK57" s="762">
        <f t="shared" si="25"/>
        <v>0</v>
      </c>
      <c r="BL57" s="762">
        <f t="shared" si="25"/>
        <v>0</v>
      </c>
      <c r="BM57" s="762">
        <f t="shared" ca="1" si="25"/>
        <v>0</v>
      </c>
      <c r="BN57" s="762">
        <f t="shared" ref="BN57:CS57" si="26">SUM(BN58:BN59)</f>
        <v>0</v>
      </c>
      <c r="BO57" s="762">
        <f t="shared" si="26"/>
        <v>0</v>
      </c>
      <c r="BP57" s="762">
        <f t="shared" ca="1" si="26"/>
        <v>0</v>
      </c>
      <c r="BQ57" s="762">
        <f t="shared" si="26"/>
        <v>0</v>
      </c>
      <c r="BR57" s="762">
        <f t="shared" si="26"/>
        <v>0</v>
      </c>
      <c r="BS57" s="762">
        <f t="shared" ca="1" si="26"/>
        <v>0</v>
      </c>
      <c r="BT57" s="762">
        <f t="shared" si="26"/>
        <v>0</v>
      </c>
      <c r="BU57" s="762">
        <f t="shared" si="26"/>
        <v>0</v>
      </c>
      <c r="BV57" s="762">
        <f t="shared" ca="1" si="26"/>
        <v>0</v>
      </c>
      <c r="BW57" s="762">
        <f t="shared" si="26"/>
        <v>0</v>
      </c>
      <c r="BX57" s="762">
        <f t="shared" si="26"/>
        <v>0</v>
      </c>
      <c r="BY57" s="762">
        <f t="shared" ca="1" si="26"/>
        <v>0</v>
      </c>
      <c r="BZ57" s="762">
        <f t="shared" si="26"/>
        <v>0</v>
      </c>
      <c r="CA57" s="762">
        <f t="shared" si="26"/>
        <v>0</v>
      </c>
      <c r="CB57" s="762">
        <f t="shared" ca="1" si="26"/>
        <v>0</v>
      </c>
      <c r="CC57" s="762">
        <f t="shared" si="26"/>
        <v>0</v>
      </c>
      <c r="CD57" s="762">
        <f t="shared" si="26"/>
        <v>0</v>
      </c>
      <c r="CE57" s="762">
        <f t="shared" ca="1" si="26"/>
        <v>0</v>
      </c>
      <c r="CF57" s="762">
        <f t="shared" si="26"/>
        <v>0</v>
      </c>
      <c r="CG57" s="762">
        <f t="shared" si="26"/>
        <v>0</v>
      </c>
      <c r="CH57" s="762">
        <f t="shared" ca="1" si="26"/>
        <v>0</v>
      </c>
      <c r="CI57" s="762">
        <f t="shared" si="26"/>
        <v>0</v>
      </c>
      <c r="CJ57" s="762">
        <f t="shared" si="26"/>
        <v>0</v>
      </c>
      <c r="CK57" s="762">
        <f t="shared" ca="1" si="26"/>
        <v>0</v>
      </c>
      <c r="CL57" s="762">
        <f t="shared" si="26"/>
        <v>0</v>
      </c>
      <c r="CM57" s="762">
        <f t="shared" si="26"/>
        <v>0</v>
      </c>
      <c r="CN57" s="762">
        <f t="shared" ca="1" si="26"/>
        <v>0</v>
      </c>
      <c r="CO57" s="762">
        <f t="shared" si="26"/>
        <v>0</v>
      </c>
      <c r="CP57" s="762">
        <f t="shared" si="26"/>
        <v>0</v>
      </c>
      <c r="CQ57" s="762">
        <f t="shared" ca="1" si="26"/>
        <v>0</v>
      </c>
      <c r="CR57" s="762">
        <f t="shared" si="26"/>
        <v>0</v>
      </c>
      <c r="CS57" s="762">
        <f t="shared" si="26"/>
        <v>0</v>
      </c>
      <c r="CT57" s="35"/>
      <c r="CW57" s="970" t="s">
        <v>823</v>
      </c>
    </row>
    <row r="58" spans="5:106" ht="16.7" hidden="1" customHeight="1">
      <c r="E58" s="676">
        <v>17.100000000000001</v>
      </c>
      <c r="F58" s="779" cm="1">
        <f t="array" aca="1" ref="F58" ca="1">OFFSET(G58,-1,-1)</f>
        <v>0</v>
      </c>
      <c r="L58" s="779" t="b" cm="1">
        <f t="array" aca="1" ref="L58" ca="1">OFFSET(M58,-1,-1)</f>
        <v>0</v>
      </c>
      <c r="S58" s="110" t="b" cm="1">
        <f t="array" aca="1" ref="S58" ca="1">OFFSET(T58,-1,-1)</f>
        <v>0</v>
      </c>
      <c r="T58" s="110" t="b">
        <f>AD58&lt;&gt;"19.0"</f>
        <v>0</v>
      </c>
      <c r="U58" s="698" t="b">
        <f t="shared" ca="1" si="4"/>
        <v>0</v>
      </c>
      <c r="X58" s="110" t="s">
        <v>236</v>
      </c>
      <c r="Y58" s="1687"/>
      <c r="Z58" s="1687"/>
      <c r="AB58" s="1787"/>
      <c r="AD58" s="111" t="s">
        <v>824</v>
      </c>
      <c r="AE58" s="821"/>
      <c r="AF58" s="524"/>
      <c r="AG58" s="111" t="s">
        <v>533</v>
      </c>
      <c r="AH58" s="45"/>
      <c r="AI58" s="45">
        <f>IFERROR(AI55/AI$53,0)</f>
        <v>0</v>
      </c>
      <c r="AJ58" s="45">
        <f>IFERROR(AJ55/AJ$53,0)</f>
        <v>0</v>
      </c>
      <c r="AK58" s="45"/>
      <c r="AL58" s="740">
        <f ca="1">IFERROR(AL55/AL$51,0)</f>
        <v>0</v>
      </c>
      <c r="AM58" s="45"/>
      <c r="AN58" s="45"/>
      <c r="AO58" s="740">
        <f ca="1">IFERROR(AO55/AO$51,0)</f>
        <v>0</v>
      </c>
      <c r="AP58" s="828"/>
      <c r="AQ58" s="828"/>
      <c r="AR58" s="740">
        <f ca="1">IFERROR(AR55/AR$51,0)</f>
        <v>0</v>
      </c>
      <c r="AS58" s="828"/>
      <c r="AT58" s="828"/>
      <c r="AU58" s="740">
        <f ca="1">IFERROR(AU55/AU$51,0)</f>
        <v>0</v>
      </c>
      <c r="AV58" s="828"/>
      <c r="AW58" s="828"/>
      <c r="AX58" s="740">
        <f ca="1">IFERROR(AX55/AX$51,0)</f>
        <v>0</v>
      </c>
      <c r="AY58" s="828"/>
      <c r="AZ58" s="828"/>
      <c r="BA58" s="740">
        <f ca="1">IFERROR(BA55/BA$51,0)</f>
        <v>0</v>
      </c>
      <c r="BB58" s="45"/>
      <c r="BC58" s="45"/>
      <c r="BD58" s="740">
        <f ca="1">IFERROR(BD55/BD$51,0)</f>
        <v>0</v>
      </c>
      <c r="BE58" s="45"/>
      <c r="BF58" s="45"/>
      <c r="BG58" s="740">
        <f ca="1">IFERROR(BG55/BG$51,0)</f>
        <v>0</v>
      </c>
      <c r="BH58" s="45"/>
      <c r="BI58" s="45"/>
      <c r="BJ58" s="740">
        <f ca="1">IFERROR(BJ55/BJ$51,0)</f>
        <v>0</v>
      </c>
      <c r="BK58" s="45"/>
      <c r="BL58" s="45"/>
      <c r="BM58" s="740">
        <f ca="1">IFERROR(BM55/BM$51,0)</f>
        <v>0</v>
      </c>
      <c r="BN58" s="45"/>
      <c r="BO58" s="45"/>
      <c r="BP58" s="740">
        <f ca="1">IFERROR(BP55/BP$51,0)</f>
        <v>0</v>
      </c>
      <c r="BQ58" s="828"/>
      <c r="BR58" s="828"/>
      <c r="BS58" s="740">
        <f ca="1">IFERROR(BS55/BS$51,0)</f>
        <v>0</v>
      </c>
      <c r="BT58" s="828"/>
      <c r="BU58" s="828"/>
      <c r="BV58" s="740">
        <f ca="1">IFERROR(BV55/BV$51,0)</f>
        <v>0</v>
      </c>
      <c r="BW58" s="828"/>
      <c r="BX58" s="828"/>
      <c r="BY58" s="740">
        <f ca="1">IFERROR(BY55/BY$51,0)</f>
        <v>0</v>
      </c>
      <c r="BZ58" s="828"/>
      <c r="CA58" s="828"/>
      <c r="CB58" s="740">
        <f ca="1">IFERROR(CB55/CB$51,0)</f>
        <v>0</v>
      </c>
      <c r="CC58" s="828"/>
      <c r="CD58" s="828"/>
      <c r="CE58" s="740">
        <f ca="1">IFERROR(CE55/CE$51,0)</f>
        <v>0</v>
      </c>
      <c r="CF58" s="45"/>
      <c r="CG58" s="45"/>
      <c r="CH58" s="740">
        <f ca="1">IFERROR(CH55/CH$51,0)</f>
        <v>0</v>
      </c>
      <c r="CI58" s="45"/>
      <c r="CJ58" s="45"/>
      <c r="CK58" s="740">
        <f ca="1">IFERROR(CK55/CK$51,0)</f>
        <v>0</v>
      </c>
      <c r="CL58" s="45"/>
      <c r="CM58" s="45"/>
      <c r="CN58" s="740">
        <f ca="1">IFERROR(CN55/CN$51,0)</f>
        <v>0</v>
      </c>
      <c r="CO58" s="45"/>
      <c r="CP58" s="45"/>
      <c r="CQ58" s="740">
        <f ca="1">IFERROR(CQ55/CQ$51,0)</f>
        <v>0</v>
      </c>
      <c r="CR58" s="45"/>
      <c r="CS58" s="45"/>
      <c r="CT58" s="28"/>
      <c r="CW58" s="970" t="s">
        <v>823</v>
      </c>
      <c r="CX58" s="975" t="s">
        <v>821</v>
      </c>
      <c r="CY58" s="979" cm="1">
        <f t="array" ref="CY58">AE58</f>
        <v>0</v>
      </c>
      <c r="CZ58" s="979" cm="1">
        <f t="array" ref="CZ58">AF58</f>
        <v>0</v>
      </c>
    </row>
    <row r="59" spans="5:106" ht="17.25" hidden="1" customHeight="1">
      <c r="E59" s="676">
        <v>0</v>
      </c>
      <c r="F59" s="779" cm="1">
        <f t="array" aca="1" ref="F59" ca="1">OFFSET(G59,-1,-1)</f>
        <v>0</v>
      </c>
      <c r="L59" s="779" t="b" cm="1">
        <f t="array" aca="1" ref="L59" ca="1">OFFSET(M59,-1,-1)</f>
        <v>0</v>
      </c>
      <c r="S59" s="110" t="b" cm="1">
        <f t="array" aca="1" ref="S59" ca="1">OFFSET(T59,-1,-1)</f>
        <v>0</v>
      </c>
      <c r="U59" s="698" t="b">
        <f t="shared" ca="1" si="4"/>
        <v>0</v>
      </c>
      <c r="X59" s="820" t="str">
        <f>"{                  
         funcDyn: 'msg1',
         blok: 'blok_2',
         wsCross: 'Топливо 4.4',
         linkFormula: 'AE-AE#AF-AF',
         levelDyn: "&amp;Y28&amp;"
}"</f>
        <v>{                  
         funcDyn: 'msg1',
         blok: 'blok_2',
         wsCross: 'Топливо 4.4',
         linkFormula: 'AE-AE#AF-AF',
         levelDyn: 0
}</v>
      </c>
      <c r="Y59" s="1687"/>
      <c r="Z59" s="1687"/>
      <c r="AB59" s="1787"/>
      <c r="AD59" s="823"/>
      <c r="AE59" s="822" t="s">
        <v>238</v>
      </c>
      <c r="AF59" s="745"/>
      <c r="AG59" s="547"/>
      <c r="AH59" s="746"/>
      <c r="AI59" s="746"/>
      <c r="AJ59" s="746"/>
      <c r="AK59" s="746"/>
      <c r="AL59" s="746"/>
      <c r="AM59" s="746"/>
      <c r="AN59" s="746"/>
      <c r="AO59" s="746"/>
      <c r="AP59" s="746"/>
      <c r="AQ59" s="746"/>
      <c r="AR59" s="746"/>
      <c r="AS59" s="746"/>
      <c r="AT59" s="746"/>
      <c r="AU59" s="746"/>
      <c r="AV59" s="746"/>
      <c r="AW59" s="746"/>
      <c r="AX59" s="746"/>
      <c r="AY59" s="746"/>
      <c r="AZ59" s="746"/>
      <c r="BA59" s="746"/>
      <c r="BB59" s="746"/>
      <c r="BC59" s="746"/>
      <c r="BD59" s="746"/>
      <c r="BE59" s="746"/>
      <c r="BF59" s="746"/>
      <c r="BG59" s="746"/>
      <c r="BH59" s="746"/>
      <c r="BI59" s="746"/>
      <c r="BJ59" s="746"/>
      <c r="BK59" s="746"/>
      <c r="BL59" s="746"/>
      <c r="BM59" s="746"/>
      <c r="BN59" s="746"/>
      <c r="BO59" s="746"/>
      <c r="BP59" s="746"/>
      <c r="BQ59" s="746"/>
      <c r="BR59" s="746"/>
      <c r="BS59" s="746"/>
      <c r="BT59" s="746"/>
      <c r="BU59" s="746"/>
      <c r="BV59" s="746"/>
      <c r="BW59" s="746"/>
      <c r="BX59" s="746"/>
      <c r="BY59" s="746"/>
      <c r="BZ59" s="746"/>
      <c r="CA59" s="746"/>
      <c r="CB59" s="746"/>
      <c r="CC59" s="746"/>
      <c r="CD59" s="746"/>
      <c r="CE59" s="746"/>
      <c r="CF59" s="746"/>
      <c r="CG59" s="746"/>
      <c r="CH59" s="746"/>
      <c r="CI59" s="746"/>
      <c r="CJ59" s="746"/>
      <c r="CK59" s="746"/>
      <c r="CL59" s="746"/>
      <c r="CM59" s="746"/>
      <c r="CN59" s="746"/>
      <c r="CO59" s="746"/>
      <c r="CP59" s="746"/>
      <c r="CQ59" s="746"/>
      <c r="CR59" s="746"/>
      <c r="CS59" s="746"/>
      <c r="CT59" s="46"/>
      <c r="CW59" s="970" t="str">
        <f>IF(AND(ISNUMBER(VALUE(TRIM(SUBSTITUTE(AD59,".","")))),TRIM(SUBSTITUTE(AD59,".",""))&lt;&gt;""),"P"&amp;SUBSTITUTE(AD59,".",""),"")</f>
        <v/>
      </c>
    </row>
    <row r="60" spans="5:106" ht="16.7" hidden="1" customHeight="1">
      <c r="E60" s="676">
        <v>17.100000000000001</v>
      </c>
      <c r="F60" s="779" cm="1">
        <f t="array" aca="1" ref="F60" ca="1">OFFSET(G60,-1,-1)</f>
        <v>0</v>
      </c>
      <c r="L60" s="779" t="b" cm="1">
        <f t="array" aca="1" ref="L60" ca="1">OFFSET(M60,-1,-1)</f>
        <v>0</v>
      </c>
      <c r="S60" s="110" t="b" cm="1">
        <f t="array" aca="1" ref="S60" ca="1">OFFSET(T60,-1,-1)</f>
        <v>0</v>
      </c>
      <c r="U60" s="698" t="b">
        <f t="shared" ca="1" si="4"/>
        <v>0</v>
      </c>
      <c r="Y60" s="1687"/>
      <c r="Z60" s="1687"/>
      <c r="AB60" s="1787"/>
      <c r="AD60" s="111">
        <v>20</v>
      </c>
      <c r="AE60" s="1759" t="s">
        <v>825</v>
      </c>
      <c r="AF60" s="1760"/>
      <c r="AG60" s="622"/>
      <c r="AH60" s="735"/>
      <c r="AI60" s="737"/>
      <c r="AJ60" s="737"/>
      <c r="AK60" s="737"/>
      <c r="AL60" s="737"/>
      <c r="AM60" s="737"/>
      <c r="AN60" s="737"/>
      <c r="AO60" s="737"/>
      <c r="AP60" s="737"/>
      <c r="AQ60" s="737"/>
      <c r="AR60" s="737"/>
      <c r="AS60" s="737"/>
      <c r="AT60" s="737"/>
      <c r="AU60" s="737"/>
      <c r="AV60" s="737"/>
      <c r="AW60" s="737"/>
      <c r="AX60" s="737"/>
      <c r="AY60" s="737"/>
      <c r="AZ60" s="737"/>
      <c r="BA60" s="737"/>
      <c r="BB60" s="737"/>
      <c r="BC60" s="737"/>
      <c r="BD60" s="737"/>
      <c r="BE60" s="737"/>
      <c r="BF60" s="737"/>
      <c r="BG60" s="737"/>
      <c r="BH60" s="737"/>
      <c r="BI60" s="737"/>
      <c r="BJ60" s="737"/>
      <c r="BK60" s="737"/>
      <c r="BL60" s="737"/>
      <c r="BM60" s="737"/>
      <c r="BN60" s="737"/>
      <c r="BO60" s="737"/>
      <c r="BP60" s="737"/>
      <c r="BQ60" s="737"/>
      <c r="BR60" s="737"/>
      <c r="BS60" s="737"/>
      <c r="BT60" s="737"/>
      <c r="BU60" s="737"/>
      <c r="BV60" s="737"/>
      <c r="BW60" s="737"/>
      <c r="BX60" s="737"/>
      <c r="BY60" s="737"/>
      <c r="BZ60" s="737"/>
      <c r="CA60" s="737"/>
      <c r="CB60" s="737"/>
      <c r="CC60" s="737"/>
      <c r="CD60" s="737"/>
      <c r="CE60" s="737"/>
      <c r="CF60" s="737"/>
      <c r="CG60" s="737"/>
      <c r="CH60" s="737"/>
      <c r="CI60" s="737"/>
      <c r="CJ60" s="737"/>
      <c r="CK60" s="737"/>
      <c r="CL60" s="737"/>
      <c r="CM60" s="737"/>
      <c r="CN60" s="737"/>
      <c r="CO60" s="737"/>
      <c r="CP60" s="737"/>
      <c r="CQ60" s="737"/>
      <c r="CR60" s="737"/>
      <c r="CS60" s="737"/>
      <c r="CT60" s="28"/>
      <c r="CW60" s="970" t="s">
        <v>826</v>
      </c>
    </row>
    <row r="61" spans="5:106" ht="16.7" hidden="1" customHeight="1">
      <c r="E61" s="676">
        <v>17.100000000000001</v>
      </c>
      <c r="F61" s="779" cm="1">
        <f t="array" aca="1" ref="F61" ca="1">OFFSET(G61,-1,-1)</f>
        <v>0</v>
      </c>
      <c r="L61" s="779" t="b" cm="1">
        <f t="array" aca="1" ref="L61" ca="1">OFFSET(M61,-1,-1)</f>
        <v>0</v>
      </c>
      <c r="S61" s="110" t="b" cm="1">
        <f t="array" aca="1" ref="S61" ca="1">OFFSET(T61,-1,-1)</f>
        <v>0</v>
      </c>
      <c r="T61" s="110" t="b">
        <f>AD61&lt;&gt;"20.0"</f>
        <v>0</v>
      </c>
      <c r="U61" s="698" t="b">
        <f t="shared" ca="1" si="4"/>
        <v>0</v>
      </c>
      <c r="X61" s="110" t="s">
        <v>236</v>
      </c>
      <c r="Y61" s="1687"/>
      <c r="Z61" s="1687"/>
      <c r="AB61" s="1787"/>
      <c r="AD61" s="111" t="s">
        <v>827</v>
      </c>
      <c r="AE61" s="821"/>
      <c r="AF61" s="524"/>
      <c r="AG61" s="622"/>
      <c r="AH61" s="41"/>
      <c r="AI61" s="42"/>
      <c r="AJ61" s="42"/>
      <c r="AK61" s="42"/>
      <c r="AL61" s="736">
        <f ca="1">IFERROR(AL55/AL64,0)</f>
        <v>0</v>
      </c>
      <c r="AM61" s="42"/>
      <c r="AN61" s="42" cm="1">
        <f t="array" ref="AN61">AM61</f>
        <v>0</v>
      </c>
      <c r="AO61" s="736">
        <f ca="1">IFERROR(AO55/AO64,0)</f>
        <v>0</v>
      </c>
      <c r="AP61" s="826"/>
      <c r="AQ61" s="826" cm="1">
        <f t="array" ref="AQ61">AP61</f>
        <v>0</v>
      </c>
      <c r="AR61" s="736">
        <f ca="1">IFERROR(AR55/AR64,0)</f>
        <v>0</v>
      </c>
      <c r="AS61" s="826"/>
      <c r="AT61" s="826" cm="1">
        <f t="array" ref="AT61">AS61</f>
        <v>0</v>
      </c>
      <c r="AU61" s="736">
        <f ca="1">IFERROR(AU55/AU64,0)</f>
        <v>0</v>
      </c>
      <c r="AV61" s="826"/>
      <c r="AW61" s="826" cm="1">
        <f t="array" ref="AW61">AV61</f>
        <v>0</v>
      </c>
      <c r="AX61" s="736">
        <f ca="1">IFERROR(AX55/AX64,0)</f>
        <v>0</v>
      </c>
      <c r="AY61" s="826"/>
      <c r="AZ61" s="826" cm="1">
        <f t="array" ref="AZ61">AY61</f>
        <v>0</v>
      </c>
      <c r="BA61" s="736">
        <f ca="1">IFERROR(BA55/BA64,0)</f>
        <v>0</v>
      </c>
      <c r="BB61" s="42"/>
      <c r="BC61" s="42" cm="1">
        <f t="array" ref="BC61">BB61</f>
        <v>0</v>
      </c>
      <c r="BD61" s="736">
        <f ca="1">IFERROR(BD55/BD64,0)</f>
        <v>0</v>
      </c>
      <c r="BE61" s="42"/>
      <c r="BF61" s="42" cm="1">
        <f t="array" ref="BF61">BE61</f>
        <v>0</v>
      </c>
      <c r="BG61" s="736">
        <f ca="1">IFERROR(BG55/BG64,0)</f>
        <v>0</v>
      </c>
      <c r="BH61" s="42"/>
      <c r="BI61" s="42" cm="1">
        <f t="array" ref="BI61">BH61</f>
        <v>0</v>
      </c>
      <c r="BJ61" s="736">
        <f ca="1">IFERROR(BJ55/BJ64,0)</f>
        <v>0</v>
      </c>
      <c r="BK61" s="42"/>
      <c r="BL61" s="42" cm="1">
        <f t="array" ref="BL61">BK61</f>
        <v>0</v>
      </c>
      <c r="BM61" s="736">
        <f ca="1">IFERROR(BM55/BM64,0)</f>
        <v>0</v>
      </c>
      <c r="BN61" s="42"/>
      <c r="BO61" s="42" cm="1">
        <f t="array" ref="BO61">BN61</f>
        <v>0</v>
      </c>
      <c r="BP61" s="736">
        <f ca="1">IFERROR(BP55/BP64,0)</f>
        <v>0</v>
      </c>
      <c r="BQ61" s="826"/>
      <c r="BR61" s="826" cm="1">
        <f t="array" ref="BR61">BQ61</f>
        <v>0</v>
      </c>
      <c r="BS61" s="736">
        <f ca="1">IFERROR(BS55/BS64,0)</f>
        <v>0</v>
      </c>
      <c r="BT61" s="826"/>
      <c r="BU61" s="826" cm="1">
        <f t="array" ref="BU61">BT61</f>
        <v>0</v>
      </c>
      <c r="BV61" s="736">
        <f ca="1">IFERROR(BV55/BV64,0)</f>
        <v>0</v>
      </c>
      <c r="BW61" s="826"/>
      <c r="BX61" s="826" cm="1">
        <f t="array" ref="BX61">BW61</f>
        <v>0</v>
      </c>
      <c r="BY61" s="736">
        <f ca="1">IFERROR(BY55/BY64,0)</f>
        <v>0</v>
      </c>
      <c r="BZ61" s="826"/>
      <c r="CA61" s="826" cm="1">
        <f t="array" ref="CA61">BZ61</f>
        <v>0</v>
      </c>
      <c r="CB61" s="736">
        <f ca="1">IFERROR(CB55/CB64,0)</f>
        <v>0</v>
      </c>
      <c r="CC61" s="826"/>
      <c r="CD61" s="826" cm="1">
        <f t="array" ref="CD61">CC61</f>
        <v>0</v>
      </c>
      <c r="CE61" s="736">
        <f ca="1">IFERROR(CE55/CE64,0)</f>
        <v>0</v>
      </c>
      <c r="CF61" s="42"/>
      <c r="CG61" s="42" cm="1">
        <f t="array" ref="CG61">CF61</f>
        <v>0</v>
      </c>
      <c r="CH61" s="736">
        <f ca="1">IFERROR(CH55/CH64,0)</f>
        <v>0</v>
      </c>
      <c r="CI61" s="42"/>
      <c r="CJ61" s="42" cm="1">
        <f t="array" ref="CJ61">CI61</f>
        <v>0</v>
      </c>
      <c r="CK61" s="736">
        <f ca="1">IFERROR(CK55/CK64,0)</f>
        <v>0</v>
      </c>
      <c r="CL61" s="42"/>
      <c r="CM61" s="42" cm="1">
        <f t="array" ref="CM61">CL61</f>
        <v>0</v>
      </c>
      <c r="CN61" s="736">
        <f ca="1">IFERROR(CN55/CN64,0)</f>
        <v>0</v>
      </c>
      <c r="CO61" s="42"/>
      <c r="CP61" s="42" cm="1">
        <f t="array" ref="CP61">CO61</f>
        <v>0</v>
      </c>
      <c r="CQ61" s="736">
        <f ca="1">IFERROR(CQ55/CQ64,0)</f>
        <v>0</v>
      </c>
      <c r="CR61" s="42"/>
      <c r="CS61" s="42" cm="1">
        <f t="array" ref="CS61">CR61</f>
        <v>0</v>
      </c>
      <c r="CT61" s="28"/>
      <c r="CW61" s="970" t="s">
        <v>826</v>
      </c>
      <c r="CX61" s="975" t="s">
        <v>821</v>
      </c>
      <c r="CY61" s="979" cm="1">
        <f t="array" ref="CY61">AE61</f>
        <v>0</v>
      </c>
      <c r="CZ61" s="979" cm="1">
        <f t="array" ref="CZ61">AF61</f>
        <v>0</v>
      </c>
    </row>
    <row r="62" spans="5:106" ht="17.25" hidden="1" customHeight="1">
      <c r="E62" s="676">
        <v>0</v>
      </c>
      <c r="F62" s="779" cm="1">
        <f t="array" aca="1" ref="F62" ca="1">OFFSET(G62,-1,-1)</f>
        <v>0</v>
      </c>
      <c r="L62" s="779" t="b" cm="1">
        <f t="array" aca="1" ref="L62" ca="1">OFFSET(M62,-1,-1)</f>
        <v>0</v>
      </c>
      <c r="S62" s="110" t="b" cm="1">
        <f t="array" aca="1" ref="S62" ca="1">OFFSET(T62,-1,-1)</f>
        <v>0</v>
      </c>
      <c r="U62" s="698" t="b">
        <f t="shared" ca="1" si="4"/>
        <v>0</v>
      </c>
      <c r="X62" s="820" t="str">
        <f>"{                  
         funcDyn: 'msg1',
         blok: 'blok_2',
         wsCross: 'Топливо 4.4',
         linkFormula: 'AE-AE#AF-AF',
         levelDyn: "&amp;Y28&amp;"
}"</f>
        <v>{                  
         funcDyn: 'msg1',
         blok: 'blok_2',
         wsCross: 'Топливо 4.4',
         linkFormula: 'AE-AE#AF-AF',
         levelDyn: 0
}</v>
      </c>
      <c r="Y62" s="1687"/>
      <c r="Z62" s="1687"/>
      <c r="AB62" s="1787"/>
      <c r="AD62" s="823"/>
      <c r="AE62" s="822" t="s">
        <v>238</v>
      </c>
      <c r="AF62" s="745"/>
      <c r="AG62" s="853"/>
      <c r="AH62" s="735"/>
      <c r="AI62" s="737"/>
      <c r="AJ62" s="737"/>
      <c r="AK62" s="737"/>
      <c r="AL62" s="737"/>
      <c r="AM62" s="737"/>
      <c r="AN62" s="737"/>
      <c r="AO62" s="737"/>
      <c r="AP62" s="737"/>
      <c r="AQ62" s="737"/>
      <c r="AR62" s="737"/>
      <c r="AS62" s="737"/>
      <c r="AT62" s="737"/>
      <c r="AU62" s="737"/>
      <c r="AV62" s="737"/>
      <c r="AW62" s="737"/>
      <c r="AX62" s="737"/>
      <c r="AY62" s="737"/>
      <c r="AZ62" s="737"/>
      <c r="BA62" s="737"/>
      <c r="BB62" s="737"/>
      <c r="BC62" s="737"/>
      <c r="BD62" s="737"/>
      <c r="BE62" s="737"/>
      <c r="BF62" s="737"/>
      <c r="BG62" s="737"/>
      <c r="BH62" s="737"/>
      <c r="BI62" s="737"/>
      <c r="BJ62" s="737"/>
      <c r="BK62" s="737"/>
      <c r="BL62" s="737"/>
      <c r="BM62" s="737"/>
      <c r="BN62" s="737"/>
      <c r="BO62" s="737"/>
      <c r="BP62" s="737"/>
      <c r="BQ62" s="737"/>
      <c r="BR62" s="737"/>
      <c r="BS62" s="737"/>
      <c r="BT62" s="737"/>
      <c r="BU62" s="737"/>
      <c r="BV62" s="737"/>
      <c r="BW62" s="737"/>
      <c r="BX62" s="737"/>
      <c r="BY62" s="737"/>
      <c r="BZ62" s="737"/>
      <c r="CA62" s="737"/>
      <c r="CB62" s="737"/>
      <c r="CC62" s="737"/>
      <c r="CD62" s="737"/>
      <c r="CE62" s="737"/>
      <c r="CF62" s="737"/>
      <c r="CG62" s="737"/>
      <c r="CH62" s="737"/>
      <c r="CI62" s="737"/>
      <c r="CJ62" s="737"/>
      <c r="CK62" s="737"/>
      <c r="CL62" s="737"/>
      <c r="CM62" s="737"/>
      <c r="CN62" s="737"/>
      <c r="CO62" s="737"/>
      <c r="CP62" s="737"/>
      <c r="CQ62" s="737"/>
      <c r="CR62" s="737"/>
      <c r="CS62" s="737"/>
      <c r="CT62" s="46"/>
      <c r="CW62" s="970" t="str">
        <f>IF(AND(ISNUMBER(VALUE(TRIM(SUBSTITUTE(AD62,".","")))),TRIM(SUBSTITUTE(AD62,".",""))&lt;&gt;""),"P"&amp;SUBSTITUTE(AD62,".",""),"")</f>
        <v/>
      </c>
    </row>
    <row r="63" spans="5:106" ht="16.7" hidden="1" customHeight="1">
      <c r="E63" s="676">
        <v>17.100000000000001</v>
      </c>
      <c r="F63" s="779" cm="1">
        <f t="array" aca="1" ref="F63" ca="1">OFFSET(G63,-1,-1)</f>
        <v>0</v>
      </c>
      <c r="L63" s="779" t="b" cm="1">
        <f t="array" aca="1" ref="L63" ca="1">OFFSET(M63,-1,-1)</f>
        <v>0</v>
      </c>
      <c r="S63" s="110" t="b" cm="1">
        <f t="array" aca="1" ref="S63" ca="1">OFFSET(T63,-1,-1)</f>
        <v>0</v>
      </c>
      <c r="U63" s="698" t="b">
        <f t="shared" ca="1" si="4"/>
        <v>0</v>
      </c>
      <c r="Y63" s="1687"/>
      <c r="Z63" s="1687"/>
      <c r="AB63" s="1787"/>
      <c r="AD63" s="111">
        <v>21</v>
      </c>
      <c r="AE63" s="1775" t="s">
        <v>828</v>
      </c>
      <c r="AF63" s="1776"/>
      <c r="AG63" s="622"/>
      <c r="AH63" s="735"/>
      <c r="AI63" s="737"/>
      <c r="AJ63" s="737"/>
      <c r="AK63" s="737"/>
      <c r="AL63" s="737"/>
      <c r="AM63" s="737"/>
      <c r="AN63" s="737"/>
      <c r="AO63" s="737"/>
      <c r="AP63" s="737"/>
      <c r="AQ63" s="737"/>
      <c r="AR63" s="737"/>
      <c r="AS63" s="737"/>
      <c r="AT63" s="737"/>
      <c r="AU63" s="737"/>
      <c r="AV63" s="737"/>
      <c r="AW63" s="737"/>
      <c r="AX63" s="737"/>
      <c r="AY63" s="737"/>
      <c r="AZ63" s="737"/>
      <c r="BA63" s="737"/>
      <c r="BB63" s="737"/>
      <c r="BC63" s="737"/>
      <c r="BD63" s="737"/>
      <c r="BE63" s="737"/>
      <c r="BF63" s="737"/>
      <c r="BG63" s="737"/>
      <c r="BH63" s="737"/>
      <c r="BI63" s="737"/>
      <c r="BJ63" s="737"/>
      <c r="BK63" s="737"/>
      <c r="BL63" s="737"/>
      <c r="BM63" s="737"/>
      <c r="BN63" s="737"/>
      <c r="BO63" s="737"/>
      <c r="BP63" s="737"/>
      <c r="BQ63" s="737"/>
      <c r="BR63" s="737"/>
      <c r="BS63" s="737"/>
      <c r="BT63" s="737"/>
      <c r="BU63" s="737"/>
      <c r="BV63" s="737"/>
      <c r="BW63" s="737"/>
      <c r="BX63" s="737"/>
      <c r="BY63" s="737"/>
      <c r="BZ63" s="737"/>
      <c r="CA63" s="737"/>
      <c r="CB63" s="737"/>
      <c r="CC63" s="737"/>
      <c r="CD63" s="737"/>
      <c r="CE63" s="737"/>
      <c r="CF63" s="737"/>
      <c r="CG63" s="737"/>
      <c r="CH63" s="737"/>
      <c r="CI63" s="737"/>
      <c r="CJ63" s="737"/>
      <c r="CK63" s="737"/>
      <c r="CL63" s="737"/>
      <c r="CM63" s="737"/>
      <c r="CN63" s="737"/>
      <c r="CO63" s="737"/>
      <c r="CP63" s="737"/>
      <c r="CQ63" s="737"/>
      <c r="CR63" s="737"/>
      <c r="CS63" s="737"/>
      <c r="CT63" s="28"/>
      <c r="CW63" s="970" t="s">
        <v>829</v>
      </c>
    </row>
    <row r="64" spans="5:106" ht="16.7" hidden="1" customHeight="1">
      <c r="E64" s="676">
        <v>17.100000000000001</v>
      </c>
      <c r="F64" s="779" cm="1">
        <f t="array" aca="1" ref="F64" ca="1">OFFSET(G64,-1,-1)</f>
        <v>0</v>
      </c>
      <c r="L64" s="779" t="b" cm="1">
        <f t="array" aca="1" ref="L64" ca="1">OFFSET(M64,-1,-1)</f>
        <v>0</v>
      </c>
      <c r="S64" s="110" t="b" cm="1">
        <f t="array" aca="1" ref="S64" ca="1">OFFSET(T64,-1,-1)</f>
        <v>0</v>
      </c>
      <c r="T64" s="110" t="b">
        <f>AD64&lt;&gt;"21.0"</f>
        <v>0</v>
      </c>
      <c r="U64" s="698" t="b">
        <f t="shared" ca="1" si="4"/>
        <v>0</v>
      </c>
      <c r="X64" s="110" t="s">
        <v>236</v>
      </c>
      <c r="Y64" s="1687"/>
      <c r="Z64" s="1687"/>
      <c r="AB64" s="1787"/>
      <c r="AD64" s="111" t="s">
        <v>830</v>
      </c>
      <c r="AE64" s="821"/>
      <c r="AF64" s="524"/>
      <c r="AG64" s="894" t="str">
        <f>IFERROR(INDEX(fuel_ed_izm_list,MATCH(AE64,fuel_list,0)),"тнт")</f>
        <v>тнт</v>
      </c>
      <c r="AH64" s="42">
        <f>IFERROR(AH55/AH61,0)</f>
        <v>0</v>
      </c>
      <c r="AI64" s="42"/>
      <c r="AJ64" s="42"/>
      <c r="AK64" s="42">
        <f>IFERROR(AK55/AK61,0)</f>
        <v>0</v>
      </c>
      <c r="AL64" s="734">
        <f ca="1">AM64+AN64</f>
        <v>0</v>
      </c>
      <c r="AM64" s="42">
        <f>IFERROR(AM55/AM61,0)</f>
        <v>0</v>
      </c>
      <c r="AN64" s="42">
        <f ca="1">IFERROR(AN55/AN61,0)</f>
        <v>0</v>
      </c>
      <c r="AO64" s="734">
        <f ca="1">AP64+AQ64</f>
        <v>0</v>
      </c>
      <c r="AP64" s="826">
        <f>IFERROR(AP55/AP61,0)</f>
        <v>0</v>
      </c>
      <c r="AQ64" s="826">
        <f ca="1">IFERROR(AQ55/AQ61,0)</f>
        <v>0</v>
      </c>
      <c r="AR64" s="734">
        <f ca="1">AS64+AT64</f>
        <v>0</v>
      </c>
      <c r="AS64" s="826">
        <f>IFERROR(AS55/AS61,0)</f>
        <v>0</v>
      </c>
      <c r="AT64" s="826">
        <f ca="1">IFERROR(AT55/AT61,0)</f>
        <v>0</v>
      </c>
      <c r="AU64" s="734">
        <f ca="1">AV64+AW64</f>
        <v>0</v>
      </c>
      <c r="AV64" s="826">
        <f>IFERROR(AV55/AV61,0)</f>
        <v>0</v>
      </c>
      <c r="AW64" s="826">
        <f ca="1">IFERROR(AW55/AW61,0)</f>
        <v>0</v>
      </c>
      <c r="AX64" s="734">
        <f ca="1">AY64+AZ64</f>
        <v>0</v>
      </c>
      <c r="AY64" s="826">
        <f>IFERROR(AY55/AY61,0)</f>
        <v>0</v>
      </c>
      <c r="AZ64" s="826">
        <f ca="1">IFERROR(AZ55/AZ61,0)</f>
        <v>0</v>
      </c>
      <c r="BA64" s="734">
        <f ca="1">BB64+BC64</f>
        <v>0</v>
      </c>
      <c r="BB64" s="42">
        <f>IFERROR(BB55/BB61,0)</f>
        <v>0</v>
      </c>
      <c r="BC64" s="42">
        <f ca="1">IFERROR(BC55/BC61,0)</f>
        <v>0</v>
      </c>
      <c r="BD64" s="734">
        <f ca="1">BE64+BF64</f>
        <v>0</v>
      </c>
      <c r="BE64" s="42">
        <f>IFERROR(BE55/BE61,0)</f>
        <v>0</v>
      </c>
      <c r="BF64" s="42">
        <f ca="1">IFERROR(BF55/BF61,0)</f>
        <v>0</v>
      </c>
      <c r="BG64" s="734">
        <f ca="1">BH64+BI64</f>
        <v>0</v>
      </c>
      <c r="BH64" s="42">
        <f>IFERROR(BH55/BH61,0)</f>
        <v>0</v>
      </c>
      <c r="BI64" s="42">
        <f ca="1">IFERROR(BI55/BI61,0)</f>
        <v>0</v>
      </c>
      <c r="BJ64" s="734">
        <f ca="1">BK64+BL64</f>
        <v>0</v>
      </c>
      <c r="BK64" s="42">
        <f>IFERROR(BK55/BK61,0)</f>
        <v>0</v>
      </c>
      <c r="BL64" s="42">
        <f ca="1">IFERROR(BL55/BL61,0)</f>
        <v>0</v>
      </c>
      <c r="BM64" s="734">
        <f ca="1">BN64+BO64</f>
        <v>0</v>
      </c>
      <c r="BN64" s="42">
        <f>IFERROR(BN55/BN61,0)</f>
        <v>0</v>
      </c>
      <c r="BO64" s="42">
        <f ca="1">IFERROR(BO55/BO61,0)</f>
        <v>0</v>
      </c>
      <c r="BP64" s="734">
        <f ca="1">BQ64+BR64</f>
        <v>0</v>
      </c>
      <c r="BQ64" s="826">
        <f>IFERROR(BQ55/BQ61,0)</f>
        <v>0</v>
      </c>
      <c r="BR64" s="826">
        <f ca="1">IFERROR(BR55/BR61,0)</f>
        <v>0</v>
      </c>
      <c r="BS64" s="734">
        <f ca="1">BT64+BU64</f>
        <v>0</v>
      </c>
      <c r="BT64" s="826">
        <f>IFERROR(BT55/BT61,0)</f>
        <v>0</v>
      </c>
      <c r="BU64" s="826">
        <f ca="1">IFERROR(BU55/BU61,0)</f>
        <v>0</v>
      </c>
      <c r="BV64" s="734">
        <f ca="1">BW64+BX64</f>
        <v>0</v>
      </c>
      <c r="BW64" s="826">
        <f>IFERROR(BW55/BW61,0)</f>
        <v>0</v>
      </c>
      <c r="BX64" s="826">
        <f ca="1">IFERROR(BX55/BX61,0)</f>
        <v>0</v>
      </c>
      <c r="BY64" s="734">
        <f ca="1">BZ64+CA64</f>
        <v>0</v>
      </c>
      <c r="BZ64" s="826">
        <f>IFERROR(BZ55/BZ61,0)</f>
        <v>0</v>
      </c>
      <c r="CA64" s="826">
        <f ca="1">IFERROR(CA55/CA61,0)</f>
        <v>0</v>
      </c>
      <c r="CB64" s="734">
        <f ca="1">CC64+CD64</f>
        <v>0</v>
      </c>
      <c r="CC64" s="826">
        <f>IFERROR(CC55/CC61,0)</f>
        <v>0</v>
      </c>
      <c r="CD64" s="826">
        <f ca="1">IFERROR(CD55/CD61,0)</f>
        <v>0</v>
      </c>
      <c r="CE64" s="734">
        <f ca="1">CF64+CG64</f>
        <v>0</v>
      </c>
      <c r="CF64" s="42">
        <f>IFERROR(CF55/CF61,0)</f>
        <v>0</v>
      </c>
      <c r="CG64" s="42">
        <f ca="1">IFERROR(CG55/CG61,0)</f>
        <v>0</v>
      </c>
      <c r="CH64" s="734">
        <f ca="1">CI64+CJ64</f>
        <v>0</v>
      </c>
      <c r="CI64" s="42">
        <f>IFERROR(CI55/CI61,0)</f>
        <v>0</v>
      </c>
      <c r="CJ64" s="42">
        <f ca="1">IFERROR(CJ55/CJ61,0)</f>
        <v>0</v>
      </c>
      <c r="CK64" s="734">
        <f ca="1">CL64+CM64</f>
        <v>0</v>
      </c>
      <c r="CL64" s="42">
        <f>IFERROR(CL55/CL61,0)</f>
        <v>0</v>
      </c>
      <c r="CM64" s="42">
        <f ca="1">IFERROR(CM55/CM61,0)</f>
        <v>0</v>
      </c>
      <c r="CN64" s="734">
        <f ca="1">CO64+CP64</f>
        <v>0</v>
      </c>
      <c r="CO64" s="42">
        <f>IFERROR(CO55/CO61,0)</f>
        <v>0</v>
      </c>
      <c r="CP64" s="42">
        <f ca="1">IFERROR(CP55/CP61,0)</f>
        <v>0</v>
      </c>
      <c r="CQ64" s="734">
        <f ca="1">CR64+CS64</f>
        <v>0</v>
      </c>
      <c r="CR64" s="42">
        <f>IFERROR(CR55/CR61,0)</f>
        <v>0</v>
      </c>
      <c r="CS64" s="42">
        <f ca="1">IFERROR(CS55/CS61,0)</f>
        <v>0</v>
      </c>
      <c r="CT64" s="28"/>
      <c r="CW64" s="970" t="s">
        <v>829</v>
      </c>
      <c r="CX64" s="975" t="s">
        <v>821</v>
      </c>
      <c r="CY64" s="979" cm="1">
        <f t="array" ref="CY64">AE64</f>
        <v>0</v>
      </c>
      <c r="CZ64" s="979" cm="1">
        <f t="array" ref="CZ64">AF64</f>
        <v>0</v>
      </c>
    </row>
    <row r="65" spans="5:104" ht="17.25" hidden="1" customHeight="1">
      <c r="E65" s="676">
        <v>0</v>
      </c>
      <c r="F65" s="779" cm="1">
        <f t="array" aca="1" ref="F65" ca="1">OFFSET(G65,-1,-1)</f>
        <v>0</v>
      </c>
      <c r="L65" s="779" t="b" cm="1">
        <f t="array" aca="1" ref="L65" ca="1">OFFSET(M65,-1,-1)</f>
        <v>0</v>
      </c>
      <c r="S65" s="110" t="b" cm="1">
        <f t="array" aca="1" ref="S65" ca="1">OFFSET(T65,-1,-1)</f>
        <v>0</v>
      </c>
      <c r="U65" s="698" t="b">
        <f t="shared" ca="1" si="4"/>
        <v>0</v>
      </c>
      <c r="X65" s="820" t="str">
        <f>"{                  
         funcDyn: 'msg1',
         blok: 'blok_2',
         wsCross: 'Топливо 4.4',
         linkFormula: 'AE-AE#AF-AF',
         levelDyn: "&amp;Y28&amp;"
}"</f>
        <v>{                  
         funcDyn: 'msg1',
         blok: 'blok_2',
         wsCross: 'Топливо 4.4',
         linkFormula: 'AE-AE#AF-AF',
         levelDyn: 0
}</v>
      </c>
      <c r="Y65" s="1687"/>
      <c r="Z65" s="1687"/>
      <c r="AB65" s="1788"/>
      <c r="AD65" s="823"/>
      <c r="AE65" s="822" t="s">
        <v>238</v>
      </c>
      <c r="AF65" s="745"/>
      <c r="AG65" s="853"/>
      <c r="AH65" s="735"/>
      <c r="AI65" s="737"/>
      <c r="AJ65" s="737"/>
      <c r="AK65" s="737"/>
      <c r="AL65" s="735"/>
      <c r="AM65" s="737"/>
      <c r="AN65" s="737"/>
      <c r="AO65" s="735"/>
      <c r="AP65" s="737"/>
      <c r="AQ65" s="737"/>
      <c r="AR65" s="735"/>
      <c r="AS65" s="737"/>
      <c r="AT65" s="737"/>
      <c r="AU65" s="735"/>
      <c r="AV65" s="737"/>
      <c r="AW65" s="737"/>
      <c r="AX65" s="735"/>
      <c r="AY65" s="737"/>
      <c r="AZ65" s="737"/>
      <c r="BA65" s="735"/>
      <c r="BB65" s="737"/>
      <c r="BC65" s="737"/>
      <c r="BD65" s="735"/>
      <c r="BE65" s="737"/>
      <c r="BF65" s="737"/>
      <c r="BG65" s="735"/>
      <c r="BH65" s="737"/>
      <c r="BI65" s="737"/>
      <c r="BJ65" s="735"/>
      <c r="BK65" s="737"/>
      <c r="BL65" s="737"/>
      <c r="BM65" s="735"/>
      <c r="BN65" s="737"/>
      <c r="BO65" s="737"/>
      <c r="BP65" s="735"/>
      <c r="BQ65" s="737"/>
      <c r="BR65" s="737"/>
      <c r="BS65" s="735"/>
      <c r="BT65" s="737"/>
      <c r="BU65" s="737"/>
      <c r="BV65" s="735"/>
      <c r="BW65" s="737"/>
      <c r="BX65" s="737"/>
      <c r="BY65" s="735"/>
      <c r="BZ65" s="737"/>
      <c r="CA65" s="737"/>
      <c r="CB65" s="735"/>
      <c r="CC65" s="737"/>
      <c r="CD65" s="737"/>
      <c r="CE65" s="735"/>
      <c r="CF65" s="737"/>
      <c r="CG65" s="737"/>
      <c r="CH65" s="735"/>
      <c r="CI65" s="737"/>
      <c r="CJ65" s="737"/>
      <c r="CK65" s="735"/>
      <c r="CL65" s="737"/>
      <c r="CM65" s="737"/>
      <c r="CN65" s="735"/>
      <c r="CO65" s="737"/>
      <c r="CP65" s="737"/>
      <c r="CQ65" s="735"/>
      <c r="CR65" s="737"/>
      <c r="CS65" s="737"/>
      <c r="CT65" s="46"/>
      <c r="CW65" s="970" t="str">
        <f>IF(AND(ISNUMBER(VALUE(TRIM(SUBSTITUTE(AD65,".","")))),TRIM(SUBSTITUTE(AD65,".",""))&lt;&gt;""),"P"&amp;SUBSTITUTE(AD65,".",""),"")</f>
        <v/>
      </c>
    </row>
    <row r="66" spans="5:104" ht="16.7" hidden="1" customHeight="1">
      <c r="E66" s="676">
        <v>17.100000000000001</v>
      </c>
      <c r="F66" s="779" cm="1">
        <f t="array" aca="1" ref="F66" ca="1">OFFSET(G66,-1,-1)</f>
        <v>0</v>
      </c>
      <c r="L66" s="779" t="b" cm="1">
        <f t="array" aca="1" ref="L66" ca="1">OFFSET(M66,-1,-1)</f>
        <v>0</v>
      </c>
      <c r="S66" s="110" t="b" cm="1">
        <f t="array" aca="1" ref="S66" ca="1">OFFSET(T66,-1,-1)</f>
        <v>0</v>
      </c>
      <c r="U66" s="698" t="b">
        <f t="shared" ca="1" si="4"/>
        <v>0</v>
      </c>
      <c r="Y66" s="1687"/>
      <c r="Z66" s="1687"/>
      <c r="AB66" s="1783" t="s">
        <v>831</v>
      </c>
      <c r="AD66" s="111">
        <v>22</v>
      </c>
      <c r="AE66" s="1759" t="s">
        <v>832</v>
      </c>
      <c r="AF66" s="1760"/>
      <c r="AG66" s="622"/>
      <c r="AH66" s="735"/>
      <c r="AI66" s="737"/>
      <c r="AJ66" s="737"/>
      <c r="AK66" s="737"/>
      <c r="AL66" s="737"/>
      <c r="AM66" s="737"/>
      <c r="AN66" s="737"/>
      <c r="AO66" s="737"/>
      <c r="AP66" s="737"/>
      <c r="AQ66" s="737"/>
      <c r="AR66" s="737"/>
      <c r="AS66" s="737"/>
      <c r="AT66" s="737"/>
      <c r="AU66" s="737"/>
      <c r="AV66" s="737"/>
      <c r="AW66" s="737"/>
      <c r="AX66" s="737"/>
      <c r="AY66" s="737"/>
      <c r="AZ66" s="737"/>
      <c r="BA66" s="737"/>
      <c r="BB66" s="737"/>
      <c r="BC66" s="737"/>
      <c r="BD66" s="737"/>
      <c r="BE66" s="737"/>
      <c r="BF66" s="737"/>
      <c r="BG66" s="737"/>
      <c r="BH66" s="737"/>
      <c r="BI66" s="737"/>
      <c r="BJ66" s="737"/>
      <c r="BK66" s="737"/>
      <c r="BL66" s="737"/>
      <c r="BM66" s="737"/>
      <c r="BN66" s="737"/>
      <c r="BO66" s="737"/>
      <c r="BP66" s="737"/>
      <c r="BQ66" s="737"/>
      <c r="BR66" s="737"/>
      <c r="BS66" s="737"/>
      <c r="BT66" s="737"/>
      <c r="BU66" s="737"/>
      <c r="BV66" s="737"/>
      <c r="BW66" s="737"/>
      <c r="BX66" s="737"/>
      <c r="BY66" s="737"/>
      <c r="BZ66" s="737"/>
      <c r="CA66" s="737"/>
      <c r="CB66" s="737"/>
      <c r="CC66" s="737"/>
      <c r="CD66" s="737"/>
      <c r="CE66" s="737"/>
      <c r="CF66" s="737"/>
      <c r="CG66" s="737"/>
      <c r="CH66" s="737"/>
      <c r="CI66" s="737"/>
      <c r="CJ66" s="737"/>
      <c r="CK66" s="737"/>
      <c r="CL66" s="737"/>
      <c r="CM66" s="737"/>
      <c r="CN66" s="737"/>
      <c r="CO66" s="737"/>
      <c r="CP66" s="737"/>
      <c r="CQ66" s="737"/>
      <c r="CR66" s="737"/>
      <c r="CS66" s="737"/>
      <c r="CT66" s="28"/>
      <c r="CW66" s="970" t="s">
        <v>833</v>
      </c>
    </row>
    <row r="67" spans="5:104" ht="16.7" hidden="1" customHeight="1">
      <c r="E67" s="676">
        <v>17.100000000000001</v>
      </c>
      <c r="F67" s="779" cm="1">
        <f t="array" aca="1" ref="F67" ca="1">OFFSET(G67,-1,-1)</f>
        <v>0</v>
      </c>
      <c r="L67" s="779" t="b" cm="1">
        <f t="array" aca="1" ref="L67" ca="1">OFFSET(M67,-1,-1)</f>
        <v>0</v>
      </c>
      <c r="S67" s="110" t="b" cm="1">
        <f t="array" aca="1" ref="S67" ca="1">OFFSET(T67,-1,-1)</f>
        <v>0</v>
      </c>
      <c r="T67" s="110" t="b">
        <f>AD67&lt;&gt;"22.0"</f>
        <v>0</v>
      </c>
      <c r="U67" s="698" t="b">
        <f t="shared" ca="1" si="4"/>
        <v>0</v>
      </c>
      <c r="X67" s="110" t="s">
        <v>236</v>
      </c>
      <c r="Y67" s="1687"/>
      <c r="Z67" s="1687"/>
      <c r="AB67" s="1784"/>
      <c r="AD67" s="111" t="s">
        <v>834</v>
      </c>
      <c r="AE67" s="821"/>
      <c r="AF67" s="524"/>
      <c r="AG67" s="853" t="s">
        <v>533</v>
      </c>
      <c r="AH67" s="47"/>
      <c r="AI67" s="48"/>
      <c r="AJ67" s="48"/>
      <c r="AK67" s="48"/>
      <c r="AL67" s="873"/>
      <c r="AM67" s="48"/>
      <c r="AN67" s="48"/>
      <c r="AO67" s="873"/>
      <c r="AP67" s="872"/>
      <c r="AQ67" s="872"/>
      <c r="AR67" s="873"/>
      <c r="AS67" s="872"/>
      <c r="AT67" s="872"/>
      <c r="AU67" s="873"/>
      <c r="AV67" s="872"/>
      <c r="AW67" s="872"/>
      <c r="AX67" s="873"/>
      <c r="AY67" s="872"/>
      <c r="AZ67" s="872"/>
      <c r="BA67" s="873"/>
      <c r="BB67" s="48"/>
      <c r="BC67" s="48"/>
      <c r="BD67" s="873"/>
      <c r="BE67" s="48"/>
      <c r="BF67" s="48"/>
      <c r="BG67" s="873"/>
      <c r="BH67" s="48"/>
      <c r="BI67" s="48"/>
      <c r="BJ67" s="873"/>
      <c r="BK67" s="48"/>
      <c r="BL67" s="48"/>
      <c r="BM67" s="873"/>
      <c r="BN67" s="48"/>
      <c r="BO67" s="48"/>
      <c r="BP67" s="873"/>
      <c r="BQ67" s="872"/>
      <c r="BR67" s="872"/>
      <c r="BS67" s="873"/>
      <c r="BT67" s="872"/>
      <c r="BU67" s="872"/>
      <c r="BV67" s="873"/>
      <c r="BW67" s="872"/>
      <c r="BX67" s="872"/>
      <c r="BY67" s="873"/>
      <c r="BZ67" s="872"/>
      <c r="CA67" s="872"/>
      <c r="CB67" s="873"/>
      <c r="CC67" s="872"/>
      <c r="CD67" s="872"/>
      <c r="CE67" s="873"/>
      <c r="CF67" s="48"/>
      <c r="CG67" s="48"/>
      <c r="CH67" s="873"/>
      <c r="CI67" s="48"/>
      <c r="CJ67" s="48"/>
      <c r="CK67" s="873"/>
      <c r="CL67" s="48"/>
      <c r="CM67" s="48"/>
      <c r="CN67" s="873"/>
      <c r="CO67" s="48"/>
      <c r="CP67" s="48"/>
      <c r="CQ67" s="873"/>
      <c r="CR67" s="48"/>
      <c r="CS67" s="48"/>
      <c r="CT67" s="28"/>
      <c r="CW67" s="970" t="s">
        <v>833</v>
      </c>
      <c r="CX67" s="975" t="s">
        <v>821</v>
      </c>
      <c r="CY67" s="979" cm="1">
        <f t="array" ref="CY67">AE67</f>
        <v>0</v>
      </c>
      <c r="CZ67" s="979" cm="1">
        <f t="array" ref="CZ67">AF67</f>
        <v>0</v>
      </c>
    </row>
    <row r="68" spans="5:104" ht="17.25" hidden="1" customHeight="1">
      <c r="E68" s="676">
        <v>0</v>
      </c>
      <c r="F68" s="779" cm="1">
        <f t="array" aca="1" ref="F68" ca="1">OFFSET(G68,-1,-1)</f>
        <v>0</v>
      </c>
      <c r="L68" s="779" t="b" cm="1">
        <f t="array" aca="1" ref="L68" ca="1">OFFSET(M68,-1,-1)</f>
        <v>0</v>
      </c>
      <c r="S68" s="110" t="b" cm="1">
        <f t="array" aca="1" ref="S68" ca="1">OFFSET(T68,-1,-1)</f>
        <v>0</v>
      </c>
      <c r="U68" s="698" t="b">
        <f t="shared" ca="1" si="4"/>
        <v>0</v>
      </c>
      <c r="X68" s="820" t="str">
        <f>"{                  
         funcDyn: 'msg1',
         blok: 'blok_2',
         wsCross: 'Топливо 4.4',
         linkFormula: 'AE-AE#AF-AF',
         levelDyn: "&amp;Y28&amp;"
}"</f>
        <v>{                  
         funcDyn: 'msg1',
         blok: 'blok_2',
         wsCross: 'Топливо 4.4',
         linkFormula: 'AE-AE#AF-AF',
         levelDyn: 0
}</v>
      </c>
      <c r="Y68" s="1687"/>
      <c r="Z68" s="1687"/>
      <c r="AB68" s="1784"/>
      <c r="AD68" s="823"/>
      <c r="AE68" s="822" t="s">
        <v>238</v>
      </c>
      <c r="AF68" s="745"/>
      <c r="AG68" s="853"/>
      <c r="AH68" s="735"/>
      <c r="AI68" s="737"/>
      <c r="AJ68" s="737"/>
      <c r="AK68" s="737"/>
      <c r="AL68" s="737"/>
      <c r="AM68" s="737"/>
      <c r="AN68" s="737"/>
      <c r="AO68" s="737"/>
      <c r="AP68" s="737"/>
      <c r="AQ68" s="737"/>
      <c r="AR68" s="737"/>
      <c r="AS68" s="737"/>
      <c r="AT68" s="737"/>
      <c r="AU68" s="737"/>
      <c r="AV68" s="737"/>
      <c r="AW68" s="737"/>
      <c r="AX68" s="737"/>
      <c r="AY68" s="737"/>
      <c r="AZ68" s="737"/>
      <c r="BA68" s="737"/>
      <c r="BB68" s="737"/>
      <c r="BC68" s="737"/>
      <c r="BD68" s="737"/>
      <c r="BE68" s="737"/>
      <c r="BF68" s="737"/>
      <c r="BG68" s="737"/>
      <c r="BH68" s="737"/>
      <c r="BI68" s="737"/>
      <c r="BJ68" s="737"/>
      <c r="BK68" s="737"/>
      <c r="BL68" s="737"/>
      <c r="BM68" s="737"/>
      <c r="BN68" s="737"/>
      <c r="BO68" s="737"/>
      <c r="BP68" s="737"/>
      <c r="BQ68" s="737"/>
      <c r="BR68" s="737"/>
      <c r="BS68" s="737"/>
      <c r="BT68" s="737"/>
      <c r="BU68" s="737"/>
      <c r="BV68" s="737"/>
      <c r="BW68" s="737"/>
      <c r="BX68" s="737"/>
      <c r="BY68" s="737"/>
      <c r="BZ68" s="737"/>
      <c r="CA68" s="737"/>
      <c r="CB68" s="737"/>
      <c r="CC68" s="737"/>
      <c r="CD68" s="737"/>
      <c r="CE68" s="737"/>
      <c r="CF68" s="737"/>
      <c r="CG68" s="737"/>
      <c r="CH68" s="737"/>
      <c r="CI68" s="737"/>
      <c r="CJ68" s="737"/>
      <c r="CK68" s="737"/>
      <c r="CL68" s="737"/>
      <c r="CM68" s="737"/>
      <c r="CN68" s="737"/>
      <c r="CO68" s="737"/>
      <c r="CP68" s="737"/>
      <c r="CQ68" s="737"/>
      <c r="CR68" s="737"/>
      <c r="CS68" s="737"/>
      <c r="CT68" s="46"/>
      <c r="CW68" s="970" t="str">
        <f>IF(AND(ISNUMBER(VALUE(TRIM(SUBSTITUTE(AD68,".","")))),TRIM(SUBSTITUTE(AD68,".",""))&lt;&gt;""),"P"&amp;SUBSTITUTE(AD68,".",""),"")</f>
        <v/>
      </c>
    </row>
    <row r="69" spans="5:104" ht="16.7" hidden="1" customHeight="1">
      <c r="E69" s="676">
        <v>17.100000000000001</v>
      </c>
      <c r="F69" s="779" cm="1">
        <f t="array" aca="1" ref="F69" ca="1">OFFSET(G69,-1,-1)</f>
        <v>0</v>
      </c>
      <c r="L69" s="779" t="b" cm="1">
        <f t="array" aca="1" ref="L69" ca="1">OFFSET(M69,-1,-1)</f>
        <v>0</v>
      </c>
      <c r="S69" s="110" t="b" cm="1">
        <f t="array" aca="1" ref="S69" ca="1">OFFSET(T69,-1,-1)</f>
        <v>0</v>
      </c>
      <c r="U69" s="698" t="b">
        <f t="shared" ca="1" si="4"/>
        <v>0</v>
      </c>
      <c r="Y69" s="1687"/>
      <c r="Z69" s="1687"/>
      <c r="AB69" s="1784"/>
      <c r="AD69" s="111">
        <v>23</v>
      </c>
      <c r="AE69" s="1759" t="s">
        <v>835</v>
      </c>
      <c r="AF69" s="1760"/>
      <c r="AG69" s="622"/>
      <c r="AH69" s="735"/>
      <c r="AI69" s="737"/>
      <c r="AJ69" s="737"/>
      <c r="AK69" s="737"/>
      <c r="AL69" s="737"/>
      <c r="AM69" s="737"/>
      <c r="AN69" s="737"/>
      <c r="AO69" s="737"/>
      <c r="AP69" s="737"/>
      <c r="AQ69" s="737"/>
      <c r="AR69" s="737"/>
      <c r="AS69" s="737"/>
      <c r="AT69" s="737"/>
      <c r="AU69" s="737"/>
      <c r="AV69" s="737"/>
      <c r="AW69" s="737"/>
      <c r="AX69" s="737"/>
      <c r="AY69" s="737"/>
      <c r="AZ69" s="737"/>
      <c r="BA69" s="737"/>
      <c r="BB69" s="737"/>
      <c r="BC69" s="737"/>
      <c r="BD69" s="737"/>
      <c r="BE69" s="737"/>
      <c r="BF69" s="737"/>
      <c r="BG69" s="737"/>
      <c r="BH69" s="737"/>
      <c r="BI69" s="737"/>
      <c r="BJ69" s="737"/>
      <c r="BK69" s="737"/>
      <c r="BL69" s="737"/>
      <c r="BM69" s="737"/>
      <c r="BN69" s="737"/>
      <c r="BO69" s="737"/>
      <c r="BP69" s="737"/>
      <c r="BQ69" s="737"/>
      <c r="BR69" s="737"/>
      <c r="BS69" s="737"/>
      <c r="BT69" s="737"/>
      <c r="BU69" s="737"/>
      <c r="BV69" s="737"/>
      <c r="BW69" s="737"/>
      <c r="BX69" s="737"/>
      <c r="BY69" s="737"/>
      <c r="BZ69" s="737"/>
      <c r="CA69" s="737"/>
      <c r="CB69" s="737"/>
      <c r="CC69" s="737"/>
      <c r="CD69" s="737"/>
      <c r="CE69" s="737"/>
      <c r="CF69" s="737"/>
      <c r="CG69" s="737"/>
      <c r="CH69" s="737"/>
      <c r="CI69" s="737"/>
      <c r="CJ69" s="737"/>
      <c r="CK69" s="737"/>
      <c r="CL69" s="737"/>
      <c r="CM69" s="737"/>
      <c r="CN69" s="737"/>
      <c r="CO69" s="737"/>
      <c r="CP69" s="737"/>
      <c r="CQ69" s="737"/>
      <c r="CR69" s="737"/>
      <c r="CS69" s="737"/>
      <c r="CT69" s="28"/>
      <c r="CW69" s="970" t="s">
        <v>836</v>
      </c>
    </row>
    <row r="70" spans="5:104" ht="16.7" hidden="1" customHeight="1">
      <c r="E70" s="676">
        <v>17.100000000000001</v>
      </c>
      <c r="F70" s="779" cm="1">
        <f t="array" aca="1" ref="F70" ca="1">OFFSET(G70,-1,-1)</f>
        <v>0</v>
      </c>
      <c r="L70" s="779" t="b" cm="1">
        <f t="array" aca="1" ref="L70" ca="1">OFFSET(M70,-1,-1)</f>
        <v>0</v>
      </c>
      <c r="S70" s="110" t="b" cm="1">
        <f t="array" aca="1" ref="S70" ca="1">OFFSET(T70,-1,-1)</f>
        <v>0</v>
      </c>
      <c r="T70" s="110" t="b">
        <f>AD70&lt;&gt;"23.0"</f>
        <v>0</v>
      </c>
      <c r="U70" s="698" t="b">
        <f t="shared" ca="1" si="4"/>
        <v>0</v>
      </c>
      <c r="X70" s="110" t="s">
        <v>236</v>
      </c>
      <c r="Y70" s="1687"/>
      <c r="Z70" s="1687"/>
      <c r="AB70" s="1784"/>
      <c r="AD70" s="111" t="s">
        <v>837</v>
      </c>
      <c r="AE70" s="821"/>
      <c r="AF70" s="524"/>
      <c r="AG70" s="894" t="str">
        <f>"руб./"&amp;IFERROR(INDEX(fuel_ed_izm_list,MATCH(AE70,fuel_list,0)),"")</f>
        <v>руб./</v>
      </c>
      <c r="AH70" s="41">
        <f>IFERROR(AH74/AH64,0)*1000</f>
        <v>0</v>
      </c>
      <c r="AI70" s="42">
        <f>IFERROR(AI74/AI64,0)*1000</f>
        <v>0</v>
      </c>
      <c r="AJ70" s="42">
        <f>IFERROR(AJ74/AJ64,0)*1000</f>
        <v>0</v>
      </c>
      <c r="AK70" s="42">
        <f>IFERROR(AK74/AK64,0)*1000</f>
        <v>0</v>
      </c>
      <c r="AL70" s="736">
        <f ca="1">IFERROR(AL74/AL64,0)*1000</f>
        <v>0</v>
      </c>
      <c r="AM70" s="42"/>
      <c r="AN70" s="42"/>
      <c r="AO70" s="736">
        <f ca="1">IFERROR(AO74/AO64,0)*1000</f>
        <v>0</v>
      </c>
      <c r="AP70" s="826"/>
      <c r="AQ70" s="826"/>
      <c r="AR70" s="736">
        <f ca="1">IFERROR(AR74/AR64,0)*1000</f>
        <v>0</v>
      </c>
      <c r="AS70" s="826"/>
      <c r="AT70" s="826"/>
      <c r="AU70" s="736">
        <f ca="1">IFERROR(AU74/AU64,0)*1000</f>
        <v>0</v>
      </c>
      <c r="AV70" s="826"/>
      <c r="AW70" s="826"/>
      <c r="AX70" s="736">
        <f ca="1">IFERROR(AX74/AX64,0)*1000</f>
        <v>0</v>
      </c>
      <c r="AY70" s="826"/>
      <c r="AZ70" s="826"/>
      <c r="BA70" s="736">
        <f ca="1">IFERROR(BA74/BA64,0)*1000</f>
        <v>0</v>
      </c>
      <c r="BB70" s="42"/>
      <c r="BC70" s="42"/>
      <c r="BD70" s="736">
        <f ca="1">IFERROR(BD74/BD64,0)*1000</f>
        <v>0</v>
      </c>
      <c r="BE70" s="42"/>
      <c r="BF70" s="42"/>
      <c r="BG70" s="736">
        <f ca="1">IFERROR(BG74/BG64,0)*1000</f>
        <v>0</v>
      </c>
      <c r="BH70" s="42"/>
      <c r="BI70" s="42"/>
      <c r="BJ70" s="736">
        <f ca="1">IFERROR(BJ74/BJ64,0)*1000</f>
        <v>0</v>
      </c>
      <c r="BK70" s="42"/>
      <c r="BL70" s="42"/>
      <c r="BM70" s="736">
        <f ca="1">IFERROR(BM74/BM64,0)*1000</f>
        <v>0</v>
      </c>
      <c r="BN70" s="42"/>
      <c r="BO70" s="42"/>
      <c r="BP70" s="736">
        <f ca="1">IFERROR(BP74/BP64,0)*1000</f>
        <v>0</v>
      </c>
      <c r="BQ70" s="826"/>
      <c r="BR70" s="826"/>
      <c r="BS70" s="736">
        <f ca="1">IFERROR(BS74/BS64,0)*1000</f>
        <v>0</v>
      </c>
      <c r="BT70" s="826"/>
      <c r="BU70" s="826"/>
      <c r="BV70" s="736">
        <f ca="1">IFERROR(BV74/BV64,0)*1000</f>
        <v>0</v>
      </c>
      <c r="BW70" s="826"/>
      <c r="BX70" s="826"/>
      <c r="BY70" s="736">
        <f ca="1">IFERROR(BY74/BY64,0)*1000</f>
        <v>0</v>
      </c>
      <c r="BZ70" s="826"/>
      <c r="CA70" s="826"/>
      <c r="CB70" s="736">
        <f ca="1">IFERROR(CB74/CB64,0)*1000</f>
        <v>0</v>
      </c>
      <c r="CC70" s="826"/>
      <c r="CD70" s="826"/>
      <c r="CE70" s="736">
        <f ca="1">IFERROR(CE74/CE64,0)*1000</f>
        <v>0</v>
      </c>
      <c r="CF70" s="42"/>
      <c r="CG70" s="42"/>
      <c r="CH70" s="736">
        <f ca="1">IFERROR(CH74/CH64,0)*1000</f>
        <v>0</v>
      </c>
      <c r="CI70" s="42"/>
      <c r="CJ70" s="42"/>
      <c r="CK70" s="736">
        <f ca="1">IFERROR(CK74/CK64,0)*1000</f>
        <v>0</v>
      </c>
      <c r="CL70" s="42"/>
      <c r="CM70" s="42"/>
      <c r="CN70" s="736">
        <f ca="1">IFERROR(CN74/CN64,0)*1000</f>
        <v>0</v>
      </c>
      <c r="CO70" s="42"/>
      <c r="CP70" s="42"/>
      <c r="CQ70" s="736">
        <f ca="1">IFERROR(CQ74/CQ64,0)*1000</f>
        <v>0</v>
      </c>
      <c r="CR70" s="42"/>
      <c r="CS70" s="42"/>
      <c r="CT70" s="28"/>
      <c r="CW70" s="970" t="s">
        <v>836</v>
      </c>
      <c r="CX70" s="975" t="s">
        <v>821</v>
      </c>
      <c r="CY70" s="979" cm="1">
        <f t="array" ref="CY70">AE70</f>
        <v>0</v>
      </c>
      <c r="CZ70" s="979" cm="1">
        <f t="array" ref="CZ70">AF70</f>
        <v>0</v>
      </c>
    </row>
    <row r="71" spans="5:104" ht="17.25" hidden="1" customHeight="1">
      <c r="E71" s="676">
        <v>0</v>
      </c>
      <c r="F71" s="779" cm="1">
        <f t="array" aca="1" ref="F71" ca="1">OFFSET(G71,-1,-1)</f>
        <v>0</v>
      </c>
      <c r="L71" s="779" t="b" cm="1">
        <f t="array" aca="1" ref="L71" ca="1">OFFSET(M71,-1,-1)</f>
        <v>0</v>
      </c>
      <c r="S71" s="110" t="b" cm="1">
        <f t="array" aca="1" ref="S71" ca="1">OFFSET(T71,-1,-1)</f>
        <v>0</v>
      </c>
      <c r="U71" s="698" t="b">
        <f t="shared" ca="1" si="4"/>
        <v>0</v>
      </c>
      <c r="X71" s="820" t="str">
        <f>"{                  
         funcDyn: 'msg1',
         blok: 'blok_2',
         wsCross: 'Топливо 4.4',
         linkFormula: 'AE-AE#AF-AF',
         levelDyn: "&amp;Y28&amp;"
}"</f>
        <v>{                  
         funcDyn: 'msg1',
         blok: 'blok_2',
         wsCross: 'Топливо 4.4',
         linkFormula: 'AE-AE#AF-AF',
         levelDyn: 0
}</v>
      </c>
      <c r="Y71" s="1687"/>
      <c r="Z71" s="1687"/>
      <c r="AB71" s="1784"/>
      <c r="AD71" s="823"/>
      <c r="AE71" s="822" t="s">
        <v>238</v>
      </c>
      <c r="AF71" s="745"/>
      <c r="AG71" s="853"/>
      <c r="AH71" s="735"/>
      <c r="AI71" s="737"/>
      <c r="AJ71" s="737"/>
      <c r="AK71" s="737"/>
      <c r="AL71" s="737"/>
      <c r="AM71" s="737"/>
      <c r="AN71" s="737"/>
      <c r="AO71" s="737"/>
      <c r="AP71" s="737"/>
      <c r="AQ71" s="737"/>
      <c r="AR71" s="737"/>
      <c r="AS71" s="737"/>
      <c r="AT71" s="737"/>
      <c r="AU71" s="737"/>
      <c r="AV71" s="737"/>
      <c r="AW71" s="737"/>
      <c r="AX71" s="737"/>
      <c r="AY71" s="737"/>
      <c r="AZ71" s="737"/>
      <c r="BA71" s="737"/>
      <c r="BB71" s="737"/>
      <c r="BC71" s="737"/>
      <c r="BD71" s="737"/>
      <c r="BE71" s="737"/>
      <c r="BF71" s="737"/>
      <c r="BG71" s="737"/>
      <c r="BH71" s="737"/>
      <c r="BI71" s="737"/>
      <c r="BJ71" s="737"/>
      <c r="BK71" s="737"/>
      <c r="BL71" s="737"/>
      <c r="BM71" s="737"/>
      <c r="BN71" s="737"/>
      <c r="BO71" s="737"/>
      <c r="BP71" s="737"/>
      <c r="BQ71" s="737"/>
      <c r="BR71" s="737"/>
      <c r="BS71" s="737"/>
      <c r="BT71" s="737"/>
      <c r="BU71" s="737"/>
      <c r="BV71" s="737"/>
      <c r="BW71" s="737"/>
      <c r="BX71" s="737"/>
      <c r="BY71" s="737"/>
      <c r="BZ71" s="737"/>
      <c r="CA71" s="737"/>
      <c r="CB71" s="737"/>
      <c r="CC71" s="737"/>
      <c r="CD71" s="737"/>
      <c r="CE71" s="737"/>
      <c r="CF71" s="737"/>
      <c r="CG71" s="737"/>
      <c r="CH71" s="737"/>
      <c r="CI71" s="737"/>
      <c r="CJ71" s="737"/>
      <c r="CK71" s="737"/>
      <c r="CL71" s="737"/>
      <c r="CM71" s="737"/>
      <c r="CN71" s="737"/>
      <c r="CO71" s="737"/>
      <c r="CP71" s="737"/>
      <c r="CQ71" s="737"/>
      <c r="CR71" s="737"/>
      <c r="CS71" s="737"/>
      <c r="CT71" s="46"/>
      <c r="CW71" s="970" t="str">
        <f>IF(AND(ISNUMBER(VALUE(TRIM(SUBSTITUTE(AD71,".","")))),TRIM(SUBSTITUTE(AD71,".",""))&lt;&gt;""),"P"&amp;SUBSTITUTE(AD71,".",""),"")</f>
        <v/>
      </c>
    </row>
    <row r="72" spans="5:104" ht="16.7" hidden="1" customHeight="1">
      <c r="E72" s="676">
        <v>17.100000000000001</v>
      </c>
      <c r="F72" s="779" cm="1">
        <f t="array" aca="1" ref="F72" ca="1">OFFSET(G72,-1,-1)</f>
        <v>0</v>
      </c>
      <c r="L72" s="779" t="b" cm="1">
        <f t="array" aca="1" ref="L72" ca="1">OFFSET(M72,-1,-1)</f>
        <v>0</v>
      </c>
      <c r="S72" s="110" t="b" cm="1">
        <f t="array" aca="1" ref="S72" ca="1">OFFSET(T72,-1,-1)</f>
        <v>0</v>
      </c>
      <c r="U72" s="698" t="b">
        <f t="shared" ca="1" si="4"/>
        <v>0</v>
      </c>
      <c r="Y72" s="1687"/>
      <c r="Z72" s="1687"/>
      <c r="AB72" s="1784"/>
      <c r="AD72" s="111">
        <v>24</v>
      </c>
      <c r="AE72" s="1759" t="s">
        <v>838</v>
      </c>
      <c r="AF72" s="1760"/>
      <c r="AG72" s="853" t="s">
        <v>839</v>
      </c>
      <c r="AH72" s="734">
        <f t="shared" ref="AH72:BM72" si="27">SUM(AH74:AH75)</f>
        <v>0</v>
      </c>
      <c r="AI72" s="734">
        <f t="shared" si="27"/>
        <v>0</v>
      </c>
      <c r="AJ72" s="734">
        <f t="shared" si="27"/>
        <v>0</v>
      </c>
      <c r="AK72" s="734">
        <f t="shared" si="27"/>
        <v>0</v>
      </c>
      <c r="AL72" s="734">
        <f t="shared" ca="1" si="27"/>
        <v>0</v>
      </c>
      <c r="AM72" s="734">
        <f t="shared" si="27"/>
        <v>0</v>
      </c>
      <c r="AN72" s="734">
        <f t="shared" ca="1" si="27"/>
        <v>0</v>
      </c>
      <c r="AO72" s="734">
        <f t="shared" ca="1" si="27"/>
        <v>0</v>
      </c>
      <c r="AP72" s="734">
        <f t="shared" si="27"/>
        <v>0</v>
      </c>
      <c r="AQ72" s="734">
        <f t="shared" ca="1" si="27"/>
        <v>0</v>
      </c>
      <c r="AR72" s="734">
        <f t="shared" ca="1" si="27"/>
        <v>0</v>
      </c>
      <c r="AS72" s="734">
        <f t="shared" si="27"/>
        <v>0</v>
      </c>
      <c r="AT72" s="734">
        <f t="shared" ca="1" si="27"/>
        <v>0</v>
      </c>
      <c r="AU72" s="734">
        <f t="shared" ca="1" si="27"/>
        <v>0</v>
      </c>
      <c r="AV72" s="734">
        <f t="shared" si="27"/>
        <v>0</v>
      </c>
      <c r="AW72" s="734">
        <f t="shared" ca="1" si="27"/>
        <v>0</v>
      </c>
      <c r="AX72" s="734">
        <f t="shared" ca="1" si="27"/>
        <v>0</v>
      </c>
      <c r="AY72" s="734">
        <f t="shared" si="27"/>
        <v>0</v>
      </c>
      <c r="AZ72" s="734">
        <f t="shared" ca="1" si="27"/>
        <v>0</v>
      </c>
      <c r="BA72" s="734">
        <f t="shared" ca="1" si="27"/>
        <v>0</v>
      </c>
      <c r="BB72" s="734">
        <f t="shared" si="27"/>
        <v>0</v>
      </c>
      <c r="BC72" s="734">
        <f t="shared" ca="1" si="27"/>
        <v>0</v>
      </c>
      <c r="BD72" s="734">
        <f t="shared" ca="1" si="27"/>
        <v>0</v>
      </c>
      <c r="BE72" s="734">
        <f t="shared" si="27"/>
        <v>0</v>
      </c>
      <c r="BF72" s="734">
        <f t="shared" ca="1" si="27"/>
        <v>0</v>
      </c>
      <c r="BG72" s="734">
        <f t="shared" ca="1" si="27"/>
        <v>0</v>
      </c>
      <c r="BH72" s="734">
        <f t="shared" si="27"/>
        <v>0</v>
      </c>
      <c r="BI72" s="734">
        <f t="shared" ca="1" si="27"/>
        <v>0</v>
      </c>
      <c r="BJ72" s="734">
        <f t="shared" ca="1" si="27"/>
        <v>0</v>
      </c>
      <c r="BK72" s="734">
        <f t="shared" si="27"/>
        <v>0</v>
      </c>
      <c r="BL72" s="734">
        <f t="shared" ca="1" si="27"/>
        <v>0</v>
      </c>
      <c r="BM72" s="734">
        <f t="shared" ca="1" si="27"/>
        <v>0</v>
      </c>
      <c r="BN72" s="734">
        <f t="shared" ref="BN72:CS72" si="28">SUM(BN74:BN75)</f>
        <v>0</v>
      </c>
      <c r="BO72" s="734">
        <f t="shared" ca="1" si="28"/>
        <v>0</v>
      </c>
      <c r="BP72" s="734">
        <f t="shared" ca="1" si="28"/>
        <v>0</v>
      </c>
      <c r="BQ72" s="734">
        <f t="shared" si="28"/>
        <v>0</v>
      </c>
      <c r="BR72" s="734">
        <f t="shared" ca="1" si="28"/>
        <v>0</v>
      </c>
      <c r="BS72" s="734">
        <f t="shared" ca="1" si="28"/>
        <v>0</v>
      </c>
      <c r="BT72" s="734">
        <f t="shared" si="28"/>
        <v>0</v>
      </c>
      <c r="BU72" s="734">
        <f t="shared" ca="1" si="28"/>
        <v>0</v>
      </c>
      <c r="BV72" s="734">
        <f t="shared" ca="1" si="28"/>
        <v>0</v>
      </c>
      <c r="BW72" s="734">
        <f t="shared" si="28"/>
        <v>0</v>
      </c>
      <c r="BX72" s="734">
        <f t="shared" ca="1" si="28"/>
        <v>0</v>
      </c>
      <c r="BY72" s="734">
        <f t="shared" ca="1" si="28"/>
        <v>0</v>
      </c>
      <c r="BZ72" s="734">
        <f t="shared" si="28"/>
        <v>0</v>
      </c>
      <c r="CA72" s="734">
        <f t="shared" ca="1" si="28"/>
        <v>0</v>
      </c>
      <c r="CB72" s="734">
        <f t="shared" ca="1" si="28"/>
        <v>0</v>
      </c>
      <c r="CC72" s="734">
        <f t="shared" si="28"/>
        <v>0</v>
      </c>
      <c r="CD72" s="734">
        <f t="shared" ca="1" si="28"/>
        <v>0</v>
      </c>
      <c r="CE72" s="734">
        <f t="shared" ca="1" si="28"/>
        <v>0</v>
      </c>
      <c r="CF72" s="734">
        <f t="shared" si="28"/>
        <v>0</v>
      </c>
      <c r="CG72" s="734">
        <f t="shared" ca="1" si="28"/>
        <v>0</v>
      </c>
      <c r="CH72" s="734">
        <f t="shared" ca="1" si="28"/>
        <v>0</v>
      </c>
      <c r="CI72" s="734">
        <f t="shared" si="28"/>
        <v>0</v>
      </c>
      <c r="CJ72" s="734">
        <f t="shared" ca="1" si="28"/>
        <v>0</v>
      </c>
      <c r="CK72" s="734">
        <f t="shared" ca="1" si="28"/>
        <v>0</v>
      </c>
      <c r="CL72" s="734">
        <f t="shared" si="28"/>
        <v>0</v>
      </c>
      <c r="CM72" s="734">
        <f t="shared" ca="1" si="28"/>
        <v>0</v>
      </c>
      <c r="CN72" s="734">
        <f t="shared" ca="1" si="28"/>
        <v>0</v>
      </c>
      <c r="CO72" s="734">
        <f t="shared" si="28"/>
        <v>0</v>
      </c>
      <c r="CP72" s="734">
        <f t="shared" ca="1" si="28"/>
        <v>0</v>
      </c>
      <c r="CQ72" s="734">
        <f t="shared" ca="1" si="28"/>
        <v>0</v>
      </c>
      <c r="CR72" s="734">
        <f t="shared" si="28"/>
        <v>0</v>
      </c>
      <c r="CS72" s="734">
        <f t="shared" ca="1" si="28"/>
        <v>0</v>
      </c>
      <c r="CT72" s="28"/>
      <c r="CW72" s="970" t="s">
        <v>840</v>
      </c>
    </row>
    <row r="73" spans="5:104" ht="16.7" hidden="1" customHeight="1">
      <c r="E73" s="676">
        <v>17.100000000000001</v>
      </c>
      <c r="F73" s="779" cm="1">
        <f t="array" aca="1" ref="F73" ca="1">OFFSET(G73,-1,-1)</f>
        <v>0</v>
      </c>
      <c r="L73" s="779" t="b" cm="1">
        <f t="array" aca="1" ref="L73" ca="1">OFFSET(M73,-1,-1)</f>
        <v>0</v>
      </c>
      <c r="R73" s="779" t="s">
        <v>759</v>
      </c>
      <c r="S73" s="110" t="b" cm="1">
        <f t="array" aca="1" ref="S73" ca="1">OFFSET(T73,-1,-1)</f>
        <v>0</v>
      </c>
      <c r="T73" s="779" t="b">
        <v>0</v>
      </c>
      <c r="U73" s="698" t="b">
        <f t="shared" ca="1" si="4"/>
        <v>0</v>
      </c>
      <c r="Y73" s="1687"/>
      <c r="Z73" s="1687"/>
      <c r="AB73" s="1784"/>
      <c r="AD73" s="111" t="str">
        <f>AD72&amp;".0"</f>
        <v>24.0</v>
      </c>
      <c r="AE73" s="1770" t="s">
        <v>770</v>
      </c>
      <c r="AF73" s="1771"/>
      <c r="AG73" s="853" t="s">
        <v>839</v>
      </c>
      <c r="AH73" s="41">
        <f>AH$52*AH72/1000</f>
        <v>0</v>
      </c>
      <c r="AI73" s="41">
        <f>AI$52*AI72/1000</f>
        <v>0</v>
      </c>
      <c r="AJ73" s="41">
        <f>AJ$52*AJ72/1000</f>
        <v>0</v>
      </c>
      <c r="AK73" s="41">
        <f>AK$52*AK72/1000</f>
        <v>0</v>
      </c>
      <c r="AL73" s="736">
        <f ca="1">AM73+AN73</f>
        <v>0</v>
      </c>
      <c r="AM73" s="42">
        <f>AM$52*AM72</f>
        <v>0</v>
      </c>
      <c r="AN73" s="42">
        <f ca="1">AN$52*AN72</f>
        <v>0</v>
      </c>
      <c r="AO73" s="736">
        <f ca="1">AP73+AQ73</f>
        <v>0</v>
      </c>
      <c r="AP73" s="826">
        <f>AP$52*AP72</f>
        <v>0</v>
      </c>
      <c r="AQ73" s="826">
        <f ca="1">AQ$52*AQ72</f>
        <v>0</v>
      </c>
      <c r="AR73" s="736">
        <f ca="1">AS73+AT73</f>
        <v>0</v>
      </c>
      <c r="AS73" s="826">
        <f>AS$52*AS72</f>
        <v>0</v>
      </c>
      <c r="AT73" s="826">
        <f ca="1">AT$52*AT72</f>
        <v>0</v>
      </c>
      <c r="AU73" s="736">
        <f ca="1">AV73+AW73</f>
        <v>0</v>
      </c>
      <c r="AV73" s="826">
        <f>AV$52*AV72</f>
        <v>0</v>
      </c>
      <c r="AW73" s="826">
        <f ca="1">AW$52*AW72</f>
        <v>0</v>
      </c>
      <c r="AX73" s="736">
        <f ca="1">AY73+AZ73</f>
        <v>0</v>
      </c>
      <c r="AY73" s="826">
        <f>AY$52*AY72</f>
        <v>0</v>
      </c>
      <c r="AZ73" s="826">
        <f ca="1">AZ$52*AZ72</f>
        <v>0</v>
      </c>
      <c r="BA73" s="736">
        <f ca="1">BB73+BC73</f>
        <v>0</v>
      </c>
      <c r="BB73" s="42">
        <f>BB$52*BB72</f>
        <v>0</v>
      </c>
      <c r="BC73" s="42">
        <f ca="1">BC$52*BC72</f>
        <v>0</v>
      </c>
      <c r="BD73" s="736">
        <f ca="1">BE73+BF73</f>
        <v>0</v>
      </c>
      <c r="BE73" s="42">
        <f>BE$52*BE72</f>
        <v>0</v>
      </c>
      <c r="BF73" s="42">
        <f ca="1">BF$52*BF72</f>
        <v>0</v>
      </c>
      <c r="BG73" s="736">
        <f ca="1">BH73+BI73</f>
        <v>0</v>
      </c>
      <c r="BH73" s="42">
        <f>BH$52*BH72</f>
        <v>0</v>
      </c>
      <c r="BI73" s="42">
        <f ca="1">BI$52*BI72</f>
        <v>0</v>
      </c>
      <c r="BJ73" s="736">
        <f ca="1">BK73+BL73</f>
        <v>0</v>
      </c>
      <c r="BK73" s="42">
        <f>BK$52*BK72</f>
        <v>0</v>
      </c>
      <c r="BL73" s="42">
        <f ca="1">BL$52*BL72</f>
        <v>0</v>
      </c>
      <c r="BM73" s="736">
        <f ca="1">BN73+BO73</f>
        <v>0</v>
      </c>
      <c r="BN73" s="42">
        <f>BN$52*BN72</f>
        <v>0</v>
      </c>
      <c r="BO73" s="42">
        <f ca="1">BO$52*BO72</f>
        <v>0</v>
      </c>
      <c r="BP73" s="736">
        <f ca="1">BQ73+BR73</f>
        <v>0</v>
      </c>
      <c r="BQ73" s="826">
        <f>BQ$52*BQ72</f>
        <v>0</v>
      </c>
      <c r="BR73" s="826">
        <f ca="1">BR$52*BR72</f>
        <v>0</v>
      </c>
      <c r="BS73" s="736">
        <f ca="1">BT73+BU73</f>
        <v>0</v>
      </c>
      <c r="BT73" s="826">
        <f>BT$52*BT72</f>
        <v>0</v>
      </c>
      <c r="BU73" s="826">
        <f ca="1">BU$52*BU72</f>
        <v>0</v>
      </c>
      <c r="BV73" s="736">
        <f ca="1">BW73+BX73</f>
        <v>0</v>
      </c>
      <c r="BW73" s="826">
        <f>BW$52*BW72</f>
        <v>0</v>
      </c>
      <c r="BX73" s="826">
        <f ca="1">BX$52*BX72</f>
        <v>0</v>
      </c>
      <c r="BY73" s="736">
        <f ca="1">BZ73+CA73</f>
        <v>0</v>
      </c>
      <c r="BZ73" s="826">
        <f>BZ$52*BZ72</f>
        <v>0</v>
      </c>
      <c r="CA73" s="826">
        <f ca="1">CA$52*CA72</f>
        <v>0</v>
      </c>
      <c r="CB73" s="736">
        <f ca="1">CC73+CD73</f>
        <v>0</v>
      </c>
      <c r="CC73" s="826">
        <f>CC$52*CC72</f>
        <v>0</v>
      </c>
      <c r="CD73" s="826">
        <f ca="1">CD$52*CD72</f>
        <v>0</v>
      </c>
      <c r="CE73" s="736">
        <f ca="1">CF73+CG73</f>
        <v>0</v>
      </c>
      <c r="CF73" s="42">
        <f>CF$52*CF72</f>
        <v>0</v>
      </c>
      <c r="CG73" s="42">
        <f ca="1">CG$52*CG72</f>
        <v>0</v>
      </c>
      <c r="CH73" s="736">
        <f ca="1">CI73+CJ73</f>
        <v>0</v>
      </c>
      <c r="CI73" s="42">
        <f>CI$52*CI72</f>
        <v>0</v>
      </c>
      <c r="CJ73" s="42">
        <f ca="1">CJ$52*CJ72</f>
        <v>0</v>
      </c>
      <c r="CK73" s="736">
        <f ca="1">CL73+CM73</f>
        <v>0</v>
      </c>
      <c r="CL73" s="42">
        <f>CL$52*CL72</f>
        <v>0</v>
      </c>
      <c r="CM73" s="42">
        <f ca="1">CM$52*CM72</f>
        <v>0</v>
      </c>
      <c r="CN73" s="736">
        <f ca="1">CO73+CP73</f>
        <v>0</v>
      </c>
      <c r="CO73" s="42">
        <f>CO$52*CO72</f>
        <v>0</v>
      </c>
      <c r="CP73" s="42">
        <f ca="1">CP$52*CP72</f>
        <v>0</v>
      </c>
      <c r="CQ73" s="736">
        <f ca="1">CR73+CS73</f>
        <v>0</v>
      </c>
      <c r="CR73" s="42">
        <f>CR$52*CR72</f>
        <v>0</v>
      </c>
      <c r="CS73" s="42">
        <f ca="1">CS$52*CS72</f>
        <v>0</v>
      </c>
      <c r="CT73" s="28"/>
      <c r="CW73" s="970" t="s">
        <v>841</v>
      </c>
    </row>
    <row r="74" spans="5:104" ht="16.7" hidden="1" customHeight="1">
      <c r="E74" s="676">
        <v>17.100000000000001</v>
      </c>
      <c r="F74" s="779" cm="1">
        <f t="array" aca="1" ref="F74" ca="1">OFFSET(G74,-1,-1)</f>
        <v>0</v>
      </c>
      <c r="L74" s="779" t="b" cm="1">
        <f t="array" aca="1" ref="L74" ca="1">OFFSET(M74,-1,-1)</f>
        <v>0</v>
      </c>
      <c r="S74" s="110" t="b" cm="1">
        <f t="array" aca="1" ref="S74" ca="1">OFFSET(T74,-1,-1)</f>
        <v>0</v>
      </c>
      <c r="T74" s="110" t="b">
        <f>AD74&lt;&gt;"24.0"</f>
        <v>0</v>
      </c>
      <c r="U74" s="698" t="b">
        <f t="shared" ca="1" si="4"/>
        <v>0</v>
      </c>
      <c r="X74" s="110" t="s">
        <v>236</v>
      </c>
      <c r="Y74" s="1687"/>
      <c r="Z74" s="1687"/>
      <c r="AB74" s="1784"/>
      <c r="AD74" s="111" t="s">
        <v>842</v>
      </c>
      <c r="AE74" s="821"/>
      <c r="AF74" s="524"/>
      <c r="AG74" s="853" t="s">
        <v>839</v>
      </c>
      <c r="AH74" s="41"/>
      <c r="AI74" s="42"/>
      <c r="AJ74" s="42"/>
      <c r="AK74" s="42"/>
      <c r="AL74" s="736">
        <f ca="1">AM74+AN74</f>
        <v>0</v>
      </c>
      <c r="AM74" s="42">
        <f>AM70*AM64/1000</f>
        <v>0</v>
      </c>
      <c r="AN74" s="42">
        <f ca="1">AN70*AN64/1000</f>
        <v>0</v>
      </c>
      <c r="AO74" s="736">
        <f ca="1">AP74+AQ74</f>
        <v>0</v>
      </c>
      <c r="AP74" s="826">
        <f>AP70*AP64/1000</f>
        <v>0</v>
      </c>
      <c r="AQ74" s="826">
        <f ca="1">AQ70*AQ64/1000</f>
        <v>0</v>
      </c>
      <c r="AR74" s="736">
        <f ca="1">AS74+AT74</f>
        <v>0</v>
      </c>
      <c r="AS74" s="826">
        <f>AS70*AS64/1000</f>
        <v>0</v>
      </c>
      <c r="AT74" s="826">
        <f ca="1">AT70*AT64/1000</f>
        <v>0</v>
      </c>
      <c r="AU74" s="736">
        <f ca="1">AV74+AW74</f>
        <v>0</v>
      </c>
      <c r="AV74" s="826">
        <f>AV70*AV64/1000</f>
        <v>0</v>
      </c>
      <c r="AW74" s="826">
        <f ca="1">AW70*AW64/1000</f>
        <v>0</v>
      </c>
      <c r="AX74" s="736">
        <f ca="1">AY74+AZ74</f>
        <v>0</v>
      </c>
      <c r="AY74" s="826">
        <f>AY70*AY64/1000</f>
        <v>0</v>
      </c>
      <c r="AZ74" s="826">
        <f ca="1">AZ70*AZ64/1000</f>
        <v>0</v>
      </c>
      <c r="BA74" s="736">
        <f ca="1">BB74+BC74</f>
        <v>0</v>
      </c>
      <c r="BB74" s="42">
        <f>BB70*BB64/1000</f>
        <v>0</v>
      </c>
      <c r="BC74" s="42">
        <f ca="1">BC70*BC64/1000</f>
        <v>0</v>
      </c>
      <c r="BD74" s="736">
        <f ca="1">BE74+BF74</f>
        <v>0</v>
      </c>
      <c r="BE74" s="42">
        <f>BE70*BE64/1000</f>
        <v>0</v>
      </c>
      <c r="BF74" s="42">
        <f ca="1">BF70*BF64/1000</f>
        <v>0</v>
      </c>
      <c r="BG74" s="736">
        <f ca="1">BH74+BI74</f>
        <v>0</v>
      </c>
      <c r="BH74" s="42">
        <f>BH70*BH64/1000</f>
        <v>0</v>
      </c>
      <c r="BI74" s="42">
        <f ca="1">BI70*BI64/1000</f>
        <v>0</v>
      </c>
      <c r="BJ74" s="736">
        <f ca="1">BK74+BL74</f>
        <v>0</v>
      </c>
      <c r="BK74" s="42">
        <f>BK70*BK64/1000</f>
        <v>0</v>
      </c>
      <c r="BL74" s="42">
        <f ca="1">BL70*BL64/1000</f>
        <v>0</v>
      </c>
      <c r="BM74" s="736">
        <f ca="1">BN74+BO74</f>
        <v>0</v>
      </c>
      <c r="BN74" s="42">
        <f>BN70*BN64/1000</f>
        <v>0</v>
      </c>
      <c r="BO74" s="42">
        <f ca="1">BO70*BO64/1000</f>
        <v>0</v>
      </c>
      <c r="BP74" s="736">
        <f ca="1">BQ74+BR74</f>
        <v>0</v>
      </c>
      <c r="BQ74" s="826">
        <f>BQ70*BQ64/1000</f>
        <v>0</v>
      </c>
      <c r="BR74" s="826">
        <f ca="1">BR70*BR64/1000</f>
        <v>0</v>
      </c>
      <c r="BS74" s="736">
        <f ca="1">BT74+BU74</f>
        <v>0</v>
      </c>
      <c r="BT74" s="826">
        <f>BT70*BT64/1000</f>
        <v>0</v>
      </c>
      <c r="BU74" s="826">
        <f ca="1">BU70*BU64/1000</f>
        <v>0</v>
      </c>
      <c r="BV74" s="736">
        <f ca="1">BW74+BX74</f>
        <v>0</v>
      </c>
      <c r="BW74" s="826">
        <f>BW70*BW64/1000</f>
        <v>0</v>
      </c>
      <c r="BX74" s="826">
        <f ca="1">BX70*BX64/1000</f>
        <v>0</v>
      </c>
      <c r="BY74" s="736">
        <f ca="1">BZ74+CA74</f>
        <v>0</v>
      </c>
      <c r="BZ74" s="826">
        <f>BZ70*BZ64/1000</f>
        <v>0</v>
      </c>
      <c r="CA74" s="826">
        <f ca="1">CA70*CA64/1000</f>
        <v>0</v>
      </c>
      <c r="CB74" s="736">
        <f ca="1">CC74+CD74</f>
        <v>0</v>
      </c>
      <c r="CC74" s="826">
        <f>CC70*CC64/1000</f>
        <v>0</v>
      </c>
      <c r="CD74" s="826">
        <f ca="1">CD70*CD64/1000</f>
        <v>0</v>
      </c>
      <c r="CE74" s="736">
        <f ca="1">CF74+CG74</f>
        <v>0</v>
      </c>
      <c r="CF74" s="42">
        <f>CF70*CF64/1000</f>
        <v>0</v>
      </c>
      <c r="CG74" s="42">
        <f ca="1">CG70*CG64/1000</f>
        <v>0</v>
      </c>
      <c r="CH74" s="736">
        <f ca="1">CI74+CJ74</f>
        <v>0</v>
      </c>
      <c r="CI74" s="42">
        <f>CI70*CI64/1000</f>
        <v>0</v>
      </c>
      <c r="CJ74" s="42">
        <f ca="1">CJ70*CJ64/1000</f>
        <v>0</v>
      </c>
      <c r="CK74" s="736">
        <f ca="1">CL74+CM74</f>
        <v>0</v>
      </c>
      <c r="CL74" s="42">
        <f>CL70*CL64/1000</f>
        <v>0</v>
      </c>
      <c r="CM74" s="42">
        <f ca="1">CM70*CM64/1000</f>
        <v>0</v>
      </c>
      <c r="CN74" s="736">
        <f ca="1">CO74+CP74</f>
        <v>0</v>
      </c>
      <c r="CO74" s="42">
        <f>CO70*CO64/1000</f>
        <v>0</v>
      </c>
      <c r="CP74" s="42">
        <f ca="1">CP70*CP64/1000</f>
        <v>0</v>
      </c>
      <c r="CQ74" s="736">
        <f ca="1">CR74+CS74</f>
        <v>0</v>
      </c>
      <c r="CR74" s="42">
        <f>CR70*CR64/1000</f>
        <v>0</v>
      </c>
      <c r="CS74" s="42">
        <f ca="1">CS70*CS64/1000</f>
        <v>0</v>
      </c>
      <c r="CT74" s="28"/>
      <c r="CW74" s="970" t="s">
        <v>841</v>
      </c>
      <c r="CX74" s="975" t="s">
        <v>821</v>
      </c>
      <c r="CY74" s="979" cm="1">
        <f t="array" ref="CY74">AE74</f>
        <v>0</v>
      </c>
      <c r="CZ74" s="979" cm="1">
        <f t="array" ref="CZ74">AF74</f>
        <v>0</v>
      </c>
    </row>
    <row r="75" spans="5:104" ht="17.25" hidden="1" customHeight="1">
      <c r="E75" s="676">
        <v>0</v>
      </c>
      <c r="F75" s="779" cm="1">
        <f t="array" aca="1" ref="F75" ca="1">OFFSET(G75,-1,-1)</f>
        <v>0</v>
      </c>
      <c r="L75" s="779" t="b" cm="1">
        <f t="array" aca="1" ref="L75" ca="1">OFFSET(M75,-1,-1)</f>
        <v>0</v>
      </c>
      <c r="S75" s="110" t="b" cm="1">
        <f t="array" aca="1" ref="S75" ca="1">OFFSET(T75,-1,-1)</f>
        <v>0</v>
      </c>
      <c r="U75" s="698" t="b">
        <f t="shared" ca="1" si="4"/>
        <v>0</v>
      </c>
      <c r="X75" s="820" t="str">
        <f>"{                  
         funcDyn: 'msg1',
         blok: 'blok_2',
         wsCross: 'Топливо 4.4',
         linkFormula: 'AE-AE#AF-AF',
         levelDyn: "&amp;Y28&amp;"
}"</f>
        <v>{                  
         funcDyn: 'msg1',
         blok: 'blok_2',
         wsCross: 'Топливо 4.4',
         linkFormula: 'AE-AE#AF-AF',
         levelDyn: 0
}</v>
      </c>
      <c r="Y75" s="1687"/>
      <c r="Z75" s="1687"/>
      <c r="AB75" s="1784"/>
      <c r="AD75" s="823"/>
      <c r="AE75" s="822" t="s">
        <v>238</v>
      </c>
      <c r="AF75" s="745"/>
      <c r="AG75" s="733"/>
      <c r="AH75" s="735"/>
      <c r="AI75" s="737"/>
      <c r="AJ75" s="737"/>
      <c r="AK75" s="737"/>
      <c r="AL75" s="737"/>
      <c r="AM75" s="737"/>
      <c r="AN75" s="737"/>
      <c r="AO75" s="737"/>
      <c r="AP75" s="737"/>
      <c r="AQ75" s="737"/>
      <c r="AR75" s="737"/>
      <c r="AS75" s="737"/>
      <c r="AT75" s="737"/>
      <c r="AU75" s="737"/>
      <c r="AV75" s="737"/>
      <c r="AW75" s="737"/>
      <c r="AX75" s="737"/>
      <c r="AY75" s="737"/>
      <c r="AZ75" s="737"/>
      <c r="BA75" s="737"/>
      <c r="BB75" s="737"/>
      <c r="BC75" s="737"/>
      <c r="BD75" s="737"/>
      <c r="BE75" s="737"/>
      <c r="BF75" s="737"/>
      <c r="BG75" s="737"/>
      <c r="BH75" s="737"/>
      <c r="BI75" s="737"/>
      <c r="BJ75" s="737"/>
      <c r="BK75" s="737"/>
      <c r="BL75" s="737"/>
      <c r="BM75" s="737"/>
      <c r="BN75" s="737"/>
      <c r="BO75" s="737"/>
      <c r="BP75" s="737"/>
      <c r="BQ75" s="737"/>
      <c r="BR75" s="737"/>
      <c r="BS75" s="737"/>
      <c r="BT75" s="737"/>
      <c r="BU75" s="737"/>
      <c r="BV75" s="737"/>
      <c r="BW75" s="737"/>
      <c r="BX75" s="737"/>
      <c r="BY75" s="737"/>
      <c r="BZ75" s="737"/>
      <c r="CA75" s="737"/>
      <c r="CB75" s="737"/>
      <c r="CC75" s="737"/>
      <c r="CD75" s="737"/>
      <c r="CE75" s="737"/>
      <c r="CF75" s="737"/>
      <c r="CG75" s="737"/>
      <c r="CH75" s="737"/>
      <c r="CI75" s="737"/>
      <c r="CJ75" s="737"/>
      <c r="CK75" s="737"/>
      <c r="CL75" s="737"/>
      <c r="CM75" s="737"/>
      <c r="CN75" s="737"/>
      <c r="CO75" s="737"/>
      <c r="CP75" s="737"/>
      <c r="CQ75" s="737"/>
      <c r="CR75" s="737"/>
      <c r="CS75" s="737"/>
      <c r="CT75" s="46"/>
      <c r="CW75" s="970" t="str">
        <f>IF(AND(ISNUMBER(VALUE(TRIM(SUBSTITUTE(AD75,".","")))),TRIM(SUBSTITUTE(AD75,".",""))&lt;&gt;""),"P"&amp;SUBSTITUTE(AD75,".",""),"")</f>
        <v/>
      </c>
    </row>
    <row r="76" spans="5:104" ht="21.95" hidden="1" customHeight="1">
      <c r="E76" s="676">
        <v>22.5</v>
      </c>
      <c r="F76" s="779" cm="1">
        <f t="array" aca="1" ref="F76" ca="1">OFFSET(G76,-1,-1)</f>
        <v>0</v>
      </c>
      <c r="L76" s="779" t="b" cm="1">
        <f t="array" aca="1" ref="L76" ca="1">OFFSET(M76,-1,-1)</f>
        <v>0</v>
      </c>
      <c r="R76" s="779" t="s">
        <v>759</v>
      </c>
      <c r="S76" s="110" t="b" cm="1">
        <f t="array" aca="1" ref="S76" ca="1">OFFSET(T76,-1,-1)</f>
        <v>0</v>
      </c>
      <c r="T76" s="110" t="b" cm="1">
        <f t="array" aca="1" ref="T76" ca="1">L76</f>
        <v>0</v>
      </c>
      <c r="U76" s="698" t="b">
        <f t="shared" ca="1" si="4"/>
        <v>0</v>
      </c>
      <c r="Y76" s="1687"/>
      <c r="Z76" s="1687"/>
      <c r="AB76" s="1784"/>
      <c r="AD76" s="111">
        <v>25</v>
      </c>
      <c r="AE76" s="1775" t="s">
        <v>843</v>
      </c>
      <c r="AF76" s="1776"/>
      <c r="AG76" s="853" t="s">
        <v>839</v>
      </c>
      <c r="AH76" s="734">
        <f t="shared" ref="AH76:BM76" si="29">SUM(AH77:AH78)</f>
        <v>0</v>
      </c>
      <c r="AI76" s="734">
        <f t="shared" si="29"/>
        <v>0</v>
      </c>
      <c r="AJ76" s="734">
        <f t="shared" si="29"/>
        <v>0</v>
      </c>
      <c r="AK76" s="734">
        <f t="shared" si="29"/>
        <v>0</v>
      </c>
      <c r="AL76" s="734">
        <f t="shared" ca="1" si="29"/>
        <v>0</v>
      </c>
      <c r="AM76" s="734">
        <f t="shared" si="29"/>
        <v>0</v>
      </c>
      <c r="AN76" s="734">
        <f t="shared" ca="1" si="29"/>
        <v>0</v>
      </c>
      <c r="AO76" s="734">
        <f t="shared" ca="1" si="29"/>
        <v>0</v>
      </c>
      <c r="AP76" s="734">
        <f t="shared" si="29"/>
        <v>0</v>
      </c>
      <c r="AQ76" s="734">
        <f t="shared" ca="1" si="29"/>
        <v>0</v>
      </c>
      <c r="AR76" s="734">
        <f t="shared" ca="1" si="29"/>
        <v>0</v>
      </c>
      <c r="AS76" s="734">
        <f t="shared" si="29"/>
        <v>0</v>
      </c>
      <c r="AT76" s="734">
        <f t="shared" ca="1" si="29"/>
        <v>0</v>
      </c>
      <c r="AU76" s="734">
        <f t="shared" ca="1" si="29"/>
        <v>0</v>
      </c>
      <c r="AV76" s="734">
        <f t="shared" si="29"/>
        <v>0</v>
      </c>
      <c r="AW76" s="734">
        <f t="shared" ca="1" si="29"/>
        <v>0</v>
      </c>
      <c r="AX76" s="734">
        <f t="shared" ca="1" si="29"/>
        <v>0</v>
      </c>
      <c r="AY76" s="734">
        <f t="shared" si="29"/>
        <v>0</v>
      </c>
      <c r="AZ76" s="734">
        <f t="shared" ca="1" si="29"/>
        <v>0</v>
      </c>
      <c r="BA76" s="734">
        <f t="shared" ca="1" si="29"/>
        <v>0</v>
      </c>
      <c r="BB76" s="734">
        <f t="shared" si="29"/>
        <v>0</v>
      </c>
      <c r="BC76" s="734">
        <f t="shared" ca="1" si="29"/>
        <v>0</v>
      </c>
      <c r="BD76" s="734">
        <f t="shared" ca="1" si="29"/>
        <v>0</v>
      </c>
      <c r="BE76" s="734">
        <f t="shared" si="29"/>
        <v>0</v>
      </c>
      <c r="BF76" s="734">
        <f t="shared" ca="1" si="29"/>
        <v>0</v>
      </c>
      <c r="BG76" s="734">
        <f t="shared" ca="1" si="29"/>
        <v>0</v>
      </c>
      <c r="BH76" s="734">
        <f t="shared" si="29"/>
        <v>0</v>
      </c>
      <c r="BI76" s="734">
        <f t="shared" ca="1" si="29"/>
        <v>0</v>
      </c>
      <c r="BJ76" s="734">
        <f t="shared" ca="1" si="29"/>
        <v>0</v>
      </c>
      <c r="BK76" s="734">
        <f t="shared" si="29"/>
        <v>0</v>
      </c>
      <c r="BL76" s="734">
        <f t="shared" ca="1" si="29"/>
        <v>0</v>
      </c>
      <c r="BM76" s="734">
        <f t="shared" ca="1" si="29"/>
        <v>0</v>
      </c>
      <c r="BN76" s="734">
        <f t="shared" ref="BN76:CS76" si="30">SUM(BN77:BN78)</f>
        <v>0</v>
      </c>
      <c r="BO76" s="734">
        <f t="shared" ca="1" si="30"/>
        <v>0</v>
      </c>
      <c r="BP76" s="734">
        <f t="shared" ca="1" si="30"/>
        <v>0</v>
      </c>
      <c r="BQ76" s="734">
        <f t="shared" si="30"/>
        <v>0</v>
      </c>
      <c r="BR76" s="734">
        <f t="shared" ca="1" si="30"/>
        <v>0</v>
      </c>
      <c r="BS76" s="734">
        <f t="shared" ca="1" si="30"/>
        <v>0</v>
      </c>
      <c r="BT76" s="734">
        <f t="shared" si="30"/>
        <v>0</v>
      </c>
      <c r="BU76" s="734">
        <f t="shared" ca="1" si="30"/>
        <v>0</v>
      </c>
      <c r="BV76" s="734">
        <f t="shared" ca="1" si="30"/>
        <v>0</v>
      </c>
      <c r="BW76" s="734">
        <f t="shared" si="30"/>
        <v>0</v>
      </c>
      <c r="BX76" s="734">
        <f t="shared" ca="1" si="30"/>
        <v>0</v>
      </c>
      <c r="BY76" s="734">
        <f t="shared" ca="1" si="30"/>
        <v>0</v>
      </c>
      <c r="BZ76" s="734">
        <f t="shared" si="30"/>
        <v>0</v>
      </c>
      <c r="CA76" s="734">
        <f t="shared" ca="1" si="30"/>
        <v>0</v>
      </c>
      <c r="CB76" s="734">
        <f t="shared" ca="1" si="30"/>
        <v>0</v>
      </c>
      <c r="CC76" s="734">
        <f t="shared" si="30"/>
        <v>0</v>
      </c>
      <c r="CD76" s="734">
        <f t="shared" ca="1" si="30"/>
        <v>0</v>
      </c>
      <c r="CE76" s="734">
        <f t="shared" ca="1" si="30"/>
        <v>0</v>
      </c>
      <c r="CF76" s="734">
        <f t="shared" si="30"/>
        <v>0</v>
      </c>
      <c r="CG76" s="734">
        <f t="shared" ca="1" si="30"/>
        <v>0</v>
      </c>
      <c r="CH76" s="734">
        <f t="shared" ca="1" si="30"/>
        <v>0</v>
      </c>
      <c r="CI76" s="734">
        <f t="shared" si="30"/>
        <v>0</v>
      </c>
      <c r="CJ76" s="734">
        <f t="shared" ca="1" si="30"/>
        <v>0</v>
      </c>
      <c r="CK76" s="734">
        <f t="shared" ca="1" si="30"/>
        <v>0</v>
      </c>
      <c r="CL76" s="734">
        <f t="shared" si="30"/>
        <v>0</v>
      </c>
      <c r="CM76" s="734">
        <f t="shared" ca="1" si="30"/>
        <v>0</v>
      </c>
      <c r="CN76" s="734">
        <f t="shared" ca="1" si="30"/>
        <v>0</v>
      </c>
      <c r="CO76" s="734">
        <f t="shared" si="30"/>
        <v>0</v>
      </c>
      <c r="CP76" s="734">
        <f t="shared" ca="1" si="30"/>
        <v>0</v>
      </c>
      <c r="CQ76" s="734">
        <f t="shared" ca="1" si="30"/>
        <v>0</v>
      </c>
      <c r="CR76" s="734">
        <f t="shared" si="30"/>
        <v>0</v>
      </c>
      <c r="CS76" s="734">
        <f t="shared" ca="1" si="30"/>
        <v>0</v>
      </c>
      <c r="CT76" s="28"/>
      <c r="CW76" s="970" t="s">
        <v>844</v>
      </c>
    </row>
    <row r="77" spans="5:104" ht="16.7" hidden="1" customHeight="1">
      <c r="E77" s="676">
        <v>17.100000000000001</v>
      </c>
      <c r="F77" s="779" cm="1">
        <f t="array" aca="1" ref="F77" ca="1">OFFSET(G77,-1,-1)</f>
        <v>0</v>
      </c>
      <c r="L77" s="779" t="b" cm="1">
        <f t="array" aca="1" ref="L77" ca="1">OFFSET(M77,-1,-1)</f>
        <v>0</v>
      </c>
      <c r="R77" s="779" t="s">
        <v>759</v>
      </c>
      <c r="S77" s="110" t="b" cm="1">
        <f t="array" aca="1" ref="S77" ca="1">OFFSET(T77,-1,-1)</f>
        <v>0</v>
      </c>
      <c r="T77" s="110" t="b">
        <f ca="1">AND(L77,AD77&lt;&gt;"25.0")</f>
        <v>0</v>
      </c>
      <c r="U77" s="698" t="b">
        <f t="shared" ca="1" si="4"/>
        <v>0</v>
      </c>
      <c r="X77" s="110" t="s">
        <v>236</v>
      </c>
      <c r="Y77" s="1687"/>
      <c r="Z77" s="1687"/>
      <c r="AB77" s="1784"/>
      <c r="AD77" s="111" t="s">
        <v>845</v>
      </c>
      <c r="AE77" s="821"/>
      <c r="AF77" s="524"/>
      <c r="AG77" s="853" t="s">
        <v>839</v>
      </c>
      <c r="AH77" s="41">
        <f>AH$52*AH74</f>
        <v>0</v>
      </c>
      <c r="AI77" s="42">
        <f>AI$52*AI74</f>
        <v>0</v>
      </c>
      <c r="AJ77" s="42">
        <f>AJ$52*AJ74</f>
        <v>0</v>
      </c>
      <c r="AK77" s="42">
        <f>AK$52*AK74</f>
        <v>0</v>
      </c>
      <c r="AL77" s="736">
        <f ca="1">AM77+AN77</f>
        <v>0</v>
      </c>
      <c r="AM77" s="42">
        <f>AM$52*AM74</f>
        <v>0</v>
      </c>
      <c r="AN77" s="42">
        <f ca="1">AN$52*AN74</f>
        <v>0</v>
      </c>
      <c r="AO77" s="736">
        <f ca="1">AP77+AQ77</f>
        <v>0</v>
      </c>
      <c r="AP77" s="826">
        <f>AP$52*AP74</f>
        <v>0</v>
      </c>
      <c r="AQ77" s="826">
        <f ca="1">AQ$52*AQ74</f>
        <v>0</v>
      </c>
      <c r="AR77" s="736">
        <f ca="1">AS77+AT77</f>
        <v>0</v>
      </c>
      <c r="AS77" s="826">
        <f>AS$52*AS74</f>
        <v>0</v>
      </c>
      <c r="AT77" s="826">
        <f ca="1">AT$52*AT74</f>
        <v>0</v>
      </c>
      <c r="AU77" s="736">
        <f ca="1">AV77+AW77</f>
        <v>0</v>
      </c>
      <c r="AV77" s="826">
        <f>AV$52*AV74</f>
        <v>0</v>
      </c>
      <c r="AW77" s="826">
        <f ca="1">AW$52*AW74</f>
        <v>0</v>
      </c>
      <c r="AX77" s="736">
        <f ca="1">AY77+AZ77</f>
        <v>0</v>
      </c>
      <c r="AY77" s="826">
        <f>AY$52*AY74</f>
        <v>0</v>
      </c>
      <c r="AZ77" s="826">
        <f ca="1">AZ$52*AZ74</f>
        <v>0</v>
      </c>
      <c r="BA77" s="736">
        <f ca="1">BB77+BC77</f>
        <v>0</v>
      </c>
      <c r="BB77" s="42">
        <f>BB$52*BB74</f>
        <v>0</v>
      </c>
      <c r="BC77" s="42">
        <f ca="1">BC$52*BC74</f>
        <v>0</v>
      </c>
      <c r="BD77" s="736">
        <f ca="1">BE77+BF77</f>
        <v>0</v>
      </c>
      <c r="BE77" s="42">
        <f>BE$52*BE74</f>
        <v>0</v>
      </c>
      <c r="BF77" s="42">
        <f ca="1">BF$52*BF74</f>
        <v>0</v>
      </c>
      <c r="BG77" s="736">
        <f ca="1">BH77+BI77</f>
        <v>0</v>
      </c>
      <c r="BH77" s="42">
        <f>BH$52*BH74</f>
        <v>0</v>
      </c>
      <c r="BI77" s="42">
        <f ca="1">BI$52*BI74</f>
        <v>0</v>
      </c>
      <c r="BJ77" s="736">
        <f ca="1">BK77+BL77</f>
        <v>0</v>
      </c>
      <c r="BK77" s="42">
        <f>BK$52*BK74</f>
        <v>0</v>
      </c>
      <c r="BL77" s="42">
        <f ca="1">BL$52*BL74</f>
        <v>0</v>
      </c>
      <c r="BM77" s="736">
        <f ca="1">BN77+BO77</f>
        <v>0</v>
      </c>
      <c r="BN77" s="42">
        <f>BN$52*BN74</f>
        <v>0</v>
      </c>
      <c r="BO77" s="42">
        <f ca="1">BO$52*BO74</f>
        <v>0</v>
      </c>
      <c r="BP77" s="736">
        <f ca="1">BQ77+BR77</f>
        <v>0</v>
      </c>
      <c r="BQ77" s="826">
        <f>BQ$52*BQ74</f>
        <v>0</v>
      </c>
      <c r="BR77" s="826">
        <f ca="1">BR$52*BR74</f>
        <v>0</v>
      </c>
      <c r="BS77" s="736">
        <f ca="1">BT77+BU77</f>
        <v>0</v>
      </c>
      <c r="BT77" s="826">
        <f>BT$52*BT74</f>
        <v>0</v>
      </c>
      <c r="BU77" s="826">
        <f ca="1">BU$52*BU74</f>
        <v>0</v>
      </c>
      <c r="BV77" s="736">
        <f ca="1">BW77+BX77</f>
        <v>0</v>
      </c>
      <c r="BW77" s="826">
        <f>BW$52*BW74</f>
        <v>0</v>
      </c>
      <c r="BX77" s="826">
        <f ca="1">BX$52*BX74</f>
        <v>0</v>
      </c>
      <c r="BY77" s="736">
        <f ca="1">BZ77+CA77</f>
        <v>0</v>
      </c>
      <c r="BZ77" s="826">
        <f>BZ$52*BZ74</f>
        <v>0</v>
      </c>
      <c r="CA77" s="826">
        <f ca="1">CA$52*CA74</f>
        <v>0</v>
      </c>
      <c r="CB77" s="736">
        <f ca="1">CC77+CD77</f>
        <v>0</v>
      </c>
      <c r="CC77" s="826">
        <f>CC$52*CC74</f>
        <v>0</v>
      </c>
      <c r="CD77" s="826">
        <f ca="1">CD$52*CD74</f>
        <v>0</v>
      </c>
      <c r="CE77" s="736">
        <f ca="1">CF77+CG77</f>
        <v>0</v>
      </c>
      <c r="CF77" s="42">
        <f>CF$52*CF74</f>
        <v>0</v>
      </c>
      <c r="CG77" s="42">
        <f ca="1">CG$52*CG74</f>
        <v>0</v>
      </c>
      <c r="CH77" s="736">
        <f ca="1">CI77+CJ77</f>
        <v>0</v>
      </c>
      <c r="CI77" s="42">
        <f>CI$52*CI74</f>
        <v>0</v>
      </c>
      <c r="CJ77" s="42">
        <f ca="1">CJ$52*CJ74</f>
        <v>0</v>
      </c>
      <c r="CK77" s="736">
        <f ca="1">CL77+CM77</f>
        <v>0</v>
      </c>
      <c r="CL77" s="42">
        <f>CL$52*CL74</f>
        <v>0</v>
      </c>
      <c r="CM77" s="42">
        <f ca="1">CM$52*CM74</f>
        <v>0</v>
      </c>
      <c r="CN77" s="736">
        <f ca="1">CO77+CP77</f>
        <v>0</v>
      </c>
      <c r="CO77" s="42">
        <f>CO$52*CO74</f>
        <v>0</v>
      </c>
      <c r="CP77" s="42">
        <f ca="1">CP$52*CP74</f>
        <v>0</v>
      </c>
      <c r="CQ77" s="736">
        <f ca="1">CR77+CS77</f>
        <v>0</v>
      </c>
      <c r="CR77" s="42">
        <f>CR$52*CR74</f>
        <v>0</v>
      </c>
      <c r="CS77" s="42">
        <f ca="1">CS$52*CS74</f>
        <v>0</v>
      </c>
      <c r="CT77" s="28"/>
      <c r="CW77" s="970" t="s">
        <v>844</v>
      </c>
      <c r="CX77" s="975" t="s">
        <v>821</v>
      </c>
      <c r="CY77" s="979" cm="1">
        <f t="array" ref="CY77">AE77</f>
        <v>0</v>
      </c>
      <c r="CZ77" s="979" cm="1">
        <f t="array" ref="CZ77">AF77</f>
        <v>0</v>
      </c>
    </row>
    <row r="78" spans="5:104" ht="15" hidden="1" customHeight="1">
      <c r="E78" s="676">
        <v>0</v>
      </c>
      <c r="F78" s="779" cm="1">
        <f t="array" aca="1" ref="F78" ca="1">OFFSET(G78,-1,-1)</f>
        <v>0</v>
      </c>
      <c r="L78" s="779" t="b" cm="1">
        <f t="array" aca="1" ref="L78" ca="1">OFFSET(M78,-1,-1)</f>
        <v>0</v>
      </c>
      <c r="S78" s="110" t="b" cm="1">
        <f t="array" aca="1" ref="S78" ca="1">OFFSET(T78,-1,-1)</f>
        <v>0</v>
      </c>
      <c r="U78" s="698" t="b">
        <f t="shared" ca="1" si="4"/>
        <v>0</v>
      </c>
      <c r="X78" s="820" t="str">
        <f>"{                  
         funcDyn: 'msg1',
         blok: 'blok_2',
         wsCross: 'Топливо 4.4',
         linkFormula: 'AE-AE#AF-AF',
         levelDyn: "&amp;Y28&amp;"
}"</f>
        <v>{                  
         funcDyn: 'msg1',
         blok: 'blok_2',
         wsCross: 'Топливо 4.4',
         linkFormula: 'AE-AE#AF-AF',
         levelDyn: 0
}</v>
      </c>
      <c r="Y78" s="1687"/>
      <c r="Z78" s="1687"/>
      <c r="AB78" s="1785"/>
      <c r="AD78" s="823"/>
      <c r="AE78" s="822" t="s">
        <v>238</v>
      </c>
      <c r="AF78" s="745"/>
      <c r="AG78" s="853"/>
      <c r="AH78" s="735"/>
      <c r="AI78" s="737"/>
      <c r="AJ78" s="737"/>
      <c r="AK78" s="737"/>
      <c r="AL78" s="737"/>
      <c r="AM78" s="737"/>
      <c r="AN78" s="737"/>
      <c r="AO78" s="737"/>
      <c r="AP78" s="737"/>
      <c r="AQ78" s="737"/>
      <c r="AR78" s="737"/>
      <c r="AS78" s="737"/>
      <c r="AT78" s="737"/>
      <c r="AU78" s="737"/>
      <c r="AV78" s="737"/>
      <c r="AW78" s="737"/>
      <c r="AX78" s="737"/>
      <c r="AY78" s="737"/>
      <c r="AZ78" s="737"/>
      <c r="BA78" s="737"/>
      <c r="BB78" s="737"/>
      <c r="BC78" s="737"/>
      <c r="BD78" s="737"/>
      <c r="BE78" s="737"/>
      <c r="BF78" s="737"/>
      <c r="BG78" s="737"/>
      <c r="BH78" s="737"/>
      <c r="BI78" s="737"/>
      <c r="BJ78" s="737"/>
      <c r="BK78" s="737"/>
      <c r="BL78" s="737"/>
      <c r="BM78" s="737"/>
      <c r="BN78" s="737"/>
      <c r="BO78" s="737"/>
      <c r="BP78" s="737"/>
      <c r="BQ78" s="737"/>
      <c r="BR78" s="737"/>
      <c r="BS78" s="737"/>
      <c r="BT78" s="737"/>
      <c r="BU78" s="737"/>
      <c r="BV78" s="737"/>
      <c r="BW78" s="737"/>
      <c r="BX78" s="737"/>
      <c r="BY78" s="737"/>
      <c r="BZ78" s="737"/>
      <c r="CA78" s="737"/>
      <c r="CB78" s="737"/>
      <c r="CC78" s="737"/>
      <c r="CD78" s="737"/>
      <c r="CE78" s="737"/>
      <c r="CF78" s="737"/>
      <c r="CG78" s="737"/>
      <c r="CH78" s="737"/>
      <c r="CI78" s="737"/>
      <c r="CJ78" s="737"/>
      <c r="CK78" s="737"/>
      <c r="CL78" s="737"/>
      <c r="CM78" s="737"/>
      <c r="CN78" s="737"/>
      <c r="CO78" s="737"/>
      <c r="CP78" s="737"/>
      <c r="CQ78" s="737"/>
      <c r="CR78" s="737"/>
      <c r="CS78" s="737"/>
      <c r="CT78" s="46"/>
      <c r="CW78" s="970" t="str">
        <f>IF(AND(ISNUMBER(VALUE(TRIM(SUBSTITUTE(AD78,".","")))),TRIM(SUBSTITUTE(AD78,".",""))&lt;&gt;""),"P"&amp;SUBSTITUTE(AD78,".",""),"")</f>
        <v/>
      </c>
    </row>
    <row r="79" spans="5:104" ht="16.7" hidden="1" customHeight="1">
      <c r="E79" s="676">
        <v>17.100000000000001</v>
      </c>
      <c r="F79" s="779" cm="1">
        <f t="array" aca="1" ref="F79" ca="1">OFFSET(G79,-1,-1)</f>
        <v>0</v>
      </c>
      <c r="L79" s="779" t="b" cm="1">
        <f t="array" aca="1" ref="L79" ca="1">OFFSET(M79,-1,-1)</f>
        <v>0</v>
      </c>
      <c r="S79" s="110" t="b" cm="1">
        <f t="array" aca="1" ref="S79" ca="1">OFFSET(T79,-1,-1)</f>
        <v>0</v>
      </c>
      <c r="U79" s="698" t="b">
        <f t="shared" ca="1" si="4"/>
        <v>0</v>
      </c>
      <c r="Y79" s="1687"/>
      <c r="Z79" s="1687"/>
      <c r="AB79" s="1789" t="s">
        <v>846</v>
      </c>
      <c r="AD79" s="124">
        <v>26</v>
      </c>
      <c r="AE79" s="1754" t="s">
        <v>847</v>
      </c>
      <c r="AF79" s="1734"/>
      <c r="AG79" s="849"/>
      <c r="AH79" s="735"/>
      <c r="AI79" s="737"/>
      <c r="AJ79" s="737"/>
      <c r="AK79" s="737"/>
      <c r="AL79" s="737"/>
      <c r="AM79" s="737"/>
      <c r="AN79" s="737"/>
      <c r="AO79" s="737"/>
      <c r="AP79" s="737"/>
      <c r="AQ79" s="737"/>
      <c r="AR79" s="737"/>
      <c r="AS79" s="737"/>
      <c r="AT79" s="737"/>
      <c r="AU79" s="737"/>
      <c r="AV79" s="737"/>
      <c r="AW79" s="737"/>
      <c r="AX79" s="737"/>
      <c r="AY79" s="737"/>
      <c r="AZ79" s="737"/>
      <c r="BA79" s="737"/>
      <c r="BB79" s="737"/>
      <c r="BC79" s="737"/>
      <c r="BD79" s="737"/>
      <c r="BE79" s="737"/>
      <c r="BF79" s="737"/>
      <c r="BG79" s="737"/>
      <c r="BH79" s="737"/>
      <c r="BI79" s="737"/>
      <c r="BJ79" s="737"/>
      <c r="BK79" s="737"/>
      <c r="BL79" s="737"/>
      <c r="BM79" s="737"/>
      <c r="BN79" s="737"/>
      <c r="BO79" s="737"/>
      <c r="BP79" s="737"/>
      <c r="BQ79" s="737"/>
      <c r="BR79" s="737"/>
      <c r="BS79" s="737"/>
      <c r="BT79" s="737"/>
      <c r="BU79" s="737"/>
      <c r="BV79" s="737"/>
      <c r="BW79" s="737"/>
      <c r="BX79" s="737"/>
      <c r="BY79" s="737"/>
      <c r="BZ79" s="737"/>
      <c r="CA79" s="737"/>
      <c r="CB79" s="737"/>
      <c r="CC79" s="737"/>
      <c r="CD79" s="737"/>
      <c r="CE79" s="737"/>
      <c r="CF79" s="737"/>
      <c r="CG79" s="737"/>
      <c r="CH79" s="737"/>
      <c r="CI79" s="737"/>
      <c r="CJ79" s="737"/>
      <c r="CK79" s="737"/>
      <c r="CL79" s="737"/>
      <c r="CM79" s="737"/>
      <c r="CN79" s="737"/>
      <c r="CO79" s="737"/>
      <c r="CP79" s="737"/>
      <c r="CQ79" s="737"/>
      <c r="CR79" s="737"/>
      <c r="CS79" s="737"/>
      <c r="CT79" s="28"/>
      <c r="CW79" s="970" t="s">
        <v>848</v>
      </c>
    </row>
    <row r="80" spans="5:104" ht="16.7" hidden="1" customHeight="1">
      <c r="E80" s="676">
        <v>17.100000000000001</v>
      </c>
      <c r="F80" s="779" cm="1">
        <f t="array" aca="1" ref="F80" ca="1">OFFSET(G80,-1,-1)</f>
        <v>0</v>
      </c>
      <c r="L80" s="779" t="b" cm="1">
        <f t="array" aca="1" ref="L80" ca="1">OFFSET(M80,-1,-1)</f>
        <v>0</v>
      </c>
      <c r="S80" s="110" t="b" cm="1">
        <f t="array" aca="1" ref="S80" ca="1">OFFSET(T80,-1,-1)</f>
        <v>0</v>
      </c>
      <c r="T80" s="110" t="b">
        <f>AD80&lt;&gt;"26.0"</f>
        <v>0</v>
      </c>
      <c r="U80" s="698" t="b">
        <f t="shared" ca="1" si="4"/>
        <v>0</v>
      </c>
      <c r="X80" s="110" t="s">
        <v>236</v>
      </c>
      <c r="Y80" s="1687"/>
      <c r="Z80" s="1687"/>
      <c r="AB80" s="1790"/>
      <c r="AD80" s="111" t="s">
        <v>849</v>
      </c>
      <c r="AE80" s="821"/>
      <c r="AF80" s="524"/>
      <c r="AG80" s="733" t="s">
        <v>533</v>
      </c>
      <c r="AH80" s="45"/>
      <c r="AI80" s="49"/>
      <c r="AJ80" s="49"/>
      <c r="AK80" s="49"/>
      <c r="AL80" s="737"/>
      <c r="AM80" s="42"/>
      <c r="AN80" s="42"/>
      <c r="AO80" s="737"/>
      <c r="AP80" s="829"/>
      <c r="AQ80" s="829"/>
      <c r="AR80" s="737"/>
      <c r="AS80" s="829"/>
      <c r="AT80" s="829"/>
      <c r="AU80" s="737"/>
      <c r="AV80" s="829"/>
      <c r="AW80" s="829"/>
      <c r="AX80" s="737"/>
      <c r="AY80" s="829"/>
      <c r="AZ80" s="829"/>
      <c r="BA80" s="737"/>
      <c r="BB80" s="49"/>
      <c r="BC80" s="49"/>
      <c r="BD80" s="737"/>
      <c r="BE80" s="49"/>
      <c r="BF80" s="49"/>
      <c r="BG80" s="737"/>
      <c r="BH80" s="49"/>
      <c r="BI80" s="49"/>
      <c r="BJ80" s="737"/>
      <c r="BK80" s="49"/>
      <c r="BL80" s="49"/>
      <c r="BM80" s="737"/>
      <c r="BN80" s="49"/>
      <c r="BO80" s="49"/>
      <c r="BP80" s="737"/>
      <c r="BQ80" s="829"/>
      <c r="BR80" s="829"/>
      <c r="BS80" s="737"/>
      <c r="BT80" s="829"/>
      <c r="BU80" s="829"/>
      <c r="BV80" s="737"/>
      <c r="BW80" s="829"/>
      <c r="BX80" s="829"/>
      <c r="BY80" s="737"/>
      <c r="BZ80" s="829"/>
      <c r="CA80" s="829"/>
      <c r="CB80" s="737"/>
      <c r="CC80" s="829"/>
      <c r="CD80" s="829"/>
      <c r="CE80" s="737"/>
      <c r="CF80" s="49"/>
      <c r="CG80" s="49"/>
      <c r="CH80" s="737"/>
      <c r="CI80" s="49"/>
      <c r="CJ80" s="49"/>
      <c r="CK80" s="737"/>
      <c r="CL80" s="49"/>
      <c r="CM80" s="49"/>
      <c r="CN80" s="737"/>
      <c r="CO80" s="49"/>
      <c r="CP80" s="49"/>
      <c r="CQ80" s="737"/>
      <c r="CR80" s="49"/>
      <c r="CS80" s="49"/>
      <c r="CT80" s="28"/>
      <c r="CW80" s="970" t="s">
        <v>848</v>
      </c>
      <c r="CX80" s="975" t="s">
        <v>821</v>
      </c>
      <c r="CY80" s="979" cm="1">
        <f t="array" ref="CY80">AE80</f>
        <v>0</v>
      </c>
      <c r="CZ80" s="979" cm="1">
        <f t="array" ref="CZ80">AF80</f>
        <v>0</v>
      </c>
    </row>
    <row r="81" spans="5:104" ht="15" hidden="1" customHeight="1">
      <c r="E81" s="676">
        <v>0</v>
      </c>
      <c r="F81" s="779" cm="1">
        <f t="array" aca="1" ref="F81" ca="1">OFFSET(G81,-1,-1)</f>
        <v>0</v>
      </c>
      <c r="L81" s="779" t="b" cm="1">
        <f t="array" aca="1" ref="L81" ca="1">OFFSET(M81,-1,-1)</f>
        <v>0</v>
      </c>
      <c r="S81" s="110" t="b" cm="1">
        <f t="array" aca="1" ref="S81" ca="1">OFFSET(T81,-1,-1)</f>
        <v>0</v>
      </c>
      <c r="U81" s="698" t="b">
        <f t="shared" ca="1" si="4"/>
        <v>0</v>
      </c>
      <c r="X81" s="820" t="str">
        <f>"{                  
         funcDyn: 'msg1',
         blok: 'blok_2',
         wsCross: 'Топливо 4.4',
         linkFormula: 'AE-AE#AF-AF',
         levelDyn: "&amp;Y28&amp;"
}"</f>
        <v>{                  
         funcDyn: 'msg1',
         blok: 'blok_2',
         wsCross: 'Топливо 4.4',
         linkFormula: 'AE-AE#AF-AF',
         levelDyn: 0
}</v>
      </c>
      <c r="Y81" s="1687"/>
      <c r="Z81" s="1687"/>
      <c r="AB81" s="1790"/>
      <c r="AD81" s="823"/>
      <c r="AE81" s="822" t="s">
        <v>238</v>
      </c>
      <c r="AF81" s="745"/>
      <c r="AG81" s="733"/>
      <c r="AH81" s="746"/>
      <c r="AI81" s="50"/>
      <c r="AJ81" s="50"/>
      <c r="AK81" s="50"/>
      <c r="AL81" s="737"/>
      <c r="AM81" s="50"/>
      <c r="AN81" s="50"/>
      <c r="AO81" s="737"/>
      <c r="AP81" s="50"/>
      <c r="AQ81" s="50"/>
      <c r="AR81" s="737"/>
      <c r="AS81" s="50"/>
      <c r="AT81" s="50"/>
      <c r="AU81" s="737"/>
      <c r="AV81" s="50"/>
      <c r="AW81" s="50"/>
      <c r="AX81" s="737"/>
      <c r="AY81" s="50"/>
      <c r="AZ81" s="50"/>
      <c r="BA81" s="737"/>
      <c r="BB81" s="50"/>
      <c r="BC81" s="50"/>
      <c r="BD81" s="737"/>
      <c r="BE81" s="50"/>
      <c r="BF81" s="50"/>
      <c r="BG81" s="737"/>
      <c r="BH81" s="50"/>
      <c r="BI81" s="50"/>
      <c r="BJ81" s="737"/>
      <c r="BK81" s="50"/>
      <c r="BL81" s="50"/>
      <c r="BM81" s="737"/>
      <c r="BN81" s="50"/>
      <c r="BO81" s="50"/>
      <c r="BP81" s="737"/>
      <c r="BQ81" s="50"/>
      <c r="BR81" s="50"/>
      <c r="BS81" s="737"/>
      <c r="BT81" s="50"/>
      <c r="BU81" s="50"/>
      <c r="BV81" s="737"/>
      <c r="BW81" s="50"/>
      <c r="BX81" s="50"/>
      <c r="BY81" s="737"/>
      <c r="BZ81" s="50"/>
      <c r="CA81" s="50"/>
      <c r="CB81" s="737"/>
      <c r="CC81" s="50"/>
      <c r="CD81" s="50"/>
      <c r="CE81" s="737"/>
      <c r="CF81" s="50"/>
      <c r="CG81" s="50"/>
      <c r="CH81" s="737"/>
      <c r="CI81" s="50"/>
      <c r="CJ81" s="50"/>
      <c r="CK81" s="737"/>
      <c r="CL81" s="50"/>
      <c r="CM81" s="50"/>
      <c r="CN81" s="737"/>
      <c r="CO81" s="50"/>
      <c r="CP81" s="50"/>
      <c r="CQ81" s="737"/>
      <c r="CR81" s="50"/>
      <c r="CS81" s="50"/>
      <c r="CT81" s="46"/>
      <c r="CW81" s="970" t="str">
        <f>IF(AND(ISNUMBER(VALUE(TRIM(SUBSTITUTE(AD81,".","")))),TRIM(SUBSTITUTE(AD81,".",""))&lt;&gt;""),"P"&amp;SUBSTITUTE(AD81,".",""),"")</f>
        <v/>
      </c>
    </row>
    <row r="82" spans="5:104" ht="16.7" hidden="1" customHeight="1">
      <c r="E82" s="676">
        <v>17.100000000000001</v>
      </c>
      <c r="F82" s="779" cm="1">
        <f t="array" aca="1" ref="F82" ca="1">OFFSET(G82,-1,-1)</f>
        <v>0</v>
      </c>
      <c r="L82" s="779" t="b" cm="1">
        <f t="array" aca="1" ref="L82" ca="1">OFFSET(M82,-1,-1)</f>
        <v>0</v>
      </c>
      <c r="S82" s="110" t="b" cm="1">
        <f t="array" aca="1" ref="S82" ca="1">OFFSET(T82,-1,-1)</f>
        <v>0</v>
      </c>
      <c r="U82" s="698" t="b">
        <f t="shared" ca="1" si="4"/>
        <v>0</v>
      </c>
      <c r="Y82" s="1687"/>
      <c r="Z82" s="1687"/>
      <c r="AB82" s="1790"/>
      <c r="AD82" s="124">
        <v>27</v>
      </c>
      <c r="AE82" s="1754" t="s">
        <v>850</v>
      </c>
      <c r="AF82" s="1734"/>
      <c r="AG82" s="849"/>
      <c r="AH82" s="735"/>
      <c r="AI82" s="737"/>
      <c r="AJ82" s="737"/>
      <c r="AK82" s="737"/>
      <c r="AL82" s="737"/>
      <c r="AM82" s="737"/>
      <c r="AN82" s="737"/>
      <c r="AO82" s="737"/>
      <c r="AP82" s="737"/>
      <c r="AQ82" s="737"/>
      <c r="AR82" s="737"/>
      <c r="AS82" s="737"/>
      <c r="AT82" s="737"/>
      <c r="AU82" s="737"/>
      <c r="AV82" s="737"/>
      <c r="AW82" s="737"/>
      <c r="AX82" s="737"/>
      <c r="AY82" s="737"/>
      <c r="AZ82" s="737"/>
      <c r="BA82" s="737"/>
      <c r="BB82" s="737"/>
      <c r="BC82" s="737"/>
      <c r="BD82" s="737"/>
      <c r="BE82" s="737"/>
      <c r="BF82" s="737"/>
      <c r="BG82" s="737"/>
      <c r="BH82" s="737"/>
      <c r="BI82" s="737"/>
      <c r="BJ82" s="737"/>
      <c r="BK82" s="737"/>
      <c r="BL82" s="737"/>
      <c r="BM82" s="737"/>
      <c r="BN82" s="737"/>
      <c r="BO82" s="737"/>
      <c r="BP82" s="737"/>
      <c r="BQ82" s="737"/>
      <c r="BR82" s="737"/>
      <c r="BS82" s="737"/>
      <c r="BT82" s="737"/>
      <c r="BU82" s="737"/>
      <c r="BV82" s="737"/>
      <c r="BW82" s="737"/>
      <c r="BX82" s="737"/>
      <c r="BY82" s="737"/>
      <c r="BZ82" s="737"/>
      <c r="CA82" s="737"/>
      <c r="CB82" s="737"/>
      <c r="CC82" s="737"/>
      <c r="CD82" s="737"/>
      <c r="CE82" s="737"/>
      <c r="CF82" s="737"/>
      <c r="CG82" s="737"/>
      <c r="CH82" s="737"/>
      <c r="CI82" s="737"/>
      <c r="CJ82" s="737"/>
      <c r="CK82" s="737"/>
      <c r="CL82" s="737"/>
      <c r="CM82" s="737"/>
      <c r="CN82" s="737"/>
      <c r="CO82" s="737"/>
      <c r="CP82" s="737"/>
      <c r="CQ82" s="737"/>
      <c r="CR82" s="737"/>
      <c r="CS82" s="737"/>
      <c r="CT82" s="28"/>
      <c r="CW82" s="970" t="s">
        <v>851</v>
      </c>
    </row>
    <row r="83" spans="5:104" ht="16.7" hidden="1" customHeight="1">
      <c r="E83" s="676">
        <v>17.100000000000001</v>
      </c>
      <c r="F83" s="779" cm="1">
        <f t="array" aca="1" ref="F83" ca="1">OFFSET(G83,-1,-1)</f>
        <v>0</v>
      </c>
      <c r="L83" s="779" t="b" cm="1">
        <f t="array" aca="1" ref="L83" ca="1">OFFSET(M83,-1,-1)</f>
        <v>0</v>
      </c>
      <c r="S83" s="110" t="b" cm="1">
        <f t="array" aca="1" ref="S83" ca="1">OFFSET(T83,-1,-1)</f>
        <v>0</v>
      </c>
      <c r="T83" s="110" t="b">
        <f>AD83&lt;&gt;"27.0"</f>
        <v>0</v>
      </c>
      <c r="U83" s="698" t="b">
        <f t="shared" ca="1" si="4"/>
        <v>0</v>
      </c>
      <c r="X83" s="110" t="s">
        <v>236</v>
      </c>
      <c r="Y83" s="1687"/>
      <c r="Z83" s="1687"/>
      <c r="AB83" s="1790"/>
      <c r="AD83" s="111" t="s">
        <v>852</v>
      </c>
      <c r="AE83" s="821"/>
      <c r="AF83" s="524"/>
      <c r="AG83" s="894" t="str">
        <f>"руб./"&amp;IFERROR(INDEX(fuel_ed_izm_list,MATCH(AE83,fuel_list,0)),"")</f>
        <v>руб./</v>
      </c>
      <c r="AH83" s="41">
        <f>IFERROR(AH87/AH64,0)*1000</f>
        <v>0</v>
      </c>
      <c r="AI83" s="41">
        <f>IFERROR(AI87/AI64,0)*1000</f>
        <v>0</v>
      </c>
      <c r="AJ83" s="41">
        <f>IFERROR(AJ87/AJ64,0)*1000</f>
        <v>0</v>
      </c>
      <c r="AK83" s="41">
        <f>IFERROR(AK87/AK64,0)*1000</f>
        <v>0</v>
      </c>
      <c r="AL83" s="736">
        <f ca="1">IFERROR(AL87/AL64,0)*1000</f>
        <v>0</v>
      </c>
      <c r="AM83" s="42"/>
      <c r="AN83" s="42"/>
      <c r="AO83" s="736">
        <f ca="1">IFERROR(AO87/AO64,0)*1000</f>
        <v>0</v>
      </c>
      <c r="AP83" s="826"/>
      <c r="AQ83" s="826"/>
      <c r="AR83" s="736">
        <f ca="1">IFERROR(AR87/AR64,0)*1000</f>
        <v>0</v>
      </c>
      <c r="AS83" s="826"/>
      <c r="AT83" s="826"/>
      <c r="AU83" s="736">
        <f ca="1">IFERROR(AU87/AU64,0)*1000</f>
        <v>0</v>
      </c>
      <c r="AV83" s="826"/>
      <c r="AW83" s="826"/>
      <c r="AX83" s="736">
        <f ca="1">IFERROR(AX87/AX64,0)*1000</f>
        <v>0</v>
      </c>
      <c r="AY83" s="826"/>
      <c r="AZ83" s="826"/>
      <c r="BA83" s="736">
        <f ca="1">IFERROR(BA87/BA64,0)*1000</f>
        <v>0</v>
      </c>
      <c r="BB83" s="42"/>
      <c r="BC83" s="42"/>
      <c r="BD83" s="736">
        <f ca="1">IFERROR(BD87/BD64,0)*1000</f>
        <v>0</v>
      </c>
      <c r="BE83" s="42"/>
      <c r="BF83" s="42"/>
      <c r="BG83" s="736">
        <f ca="1">IFERROR(BG87/BG64,0)*1000</f>
        <v>0</v>
      </c>
      <c r="BH83" s="42"/>
      <c r="BI83" s="42"/>
      <c r="BJ83" s="736">
        <f ca="1">IFERROR(BJ87/BJ64,0)*1000</f>
        <v>0</v>
      </c>
      <c r="BK83" s="42"/>
      <c r="BL83" s="42"/>
      <c r="BM83" s="736">
        <f ca="1">IFERROR(BM87/BM64,0)*1000</f>
        <v>0</v>
      </c>
      <c r="BN83" s="42"/>
      <c r="BO83" s="42"/>
      <c r="BP83" s="736">
        <f ca="1">IFERROR(BP87/BP64,0)*1000</f>
        <v>0</v>
      </c>
      <c r="BQ83" s="826"/>
      <c r="BR83" s="826"/>
      <c r="BS83" s="736">
        <f ca="1">IFERROR(BS87/BS64,0)*1000</f>
        <v>0</v>
      </c>
      <c r="BT83" s="826"/>
      <c r="BU83" s="826"/>
      <c r="BV83" s="736">
        <f ca="1">IFERROR(BV87/BV64,0)*1000</f>
        <v>0</v>
      </c>
      <c r="BW83" s="826"/>
      <c r="BX83" s="826"/>
      <c r="BY83" s="736">
        <f ca="1">IFERROR(BY87/BY64,0)*1000</f>
        <v>0</v>
      </c>
      <c r="BZ83" s="826"/>
      <c r="CA83" s="826"/>
      <c r="CB83" s="736">
        <f ca="1">IFERROR(CB87/CB64,0)*1000</f>
        <v>0</v>
      </c>
      <c r="CC83" s="826"/>
      <c r="CD83" s="826"/>
      <c r="CE83" s="736">
        <f ca="1">IFERROR(CE87/CE64,0)*1000</f>
        <v>0</v>
      </c>
      <c r="CF83" s="42"/>
      <c r="CG83" s="42"/>
      <c r="CH83" s="736">
        <f ca="1">IFERROR(CH87/CH64,0)*1000</f>
        <v>0</v>
      </c>
      <c r="CI83" s="42"/>
      <c r="CJ83" s="42"/>
      <c r="CK83" s="736">
        <f ca="1">IFERROR(CK87/CK64,0)*1000</f>
        <v>0</v>
      </c>
      <c r="CL83" s="42"/>
      <c r="CM83" s="42"/>
      <c r="CN83" s="736">
        <f ca="1">IFERROR(CN87/CN64,0)*1000</f>
        <v>0</v>
      </c>
      <c r="CO83" s="42"/>
      <c r="CP83" s="42"/>
      <c r="CQ83" s="736">
        <f ca="1">IFERROR(CQ87/CQ64,0)*1000</f>
        <v>0</v>
      </c>
      <c r="CR83" s="42"/>
      <c r="CS83" s="42"/>
      <c r="CT83" s="28"/>
      <c r="CW83" s="970" t="s">
        <v>851</v>
      </c>
      <c r="CX83" s="975" t="s">
        <v>821</v>
      </c>
      <c r="CY83" s="979" cm="1">
        <f t="array" ref="CY83">AE83</f>
        <v>0</v>
      </c>
      <c r="CZ83" s="979" cm="1">
        <f t="array" ref="CZ83">AF83</f>
        <v>0</v>
      </c>
    </row>
    <row r="84" spans="5:104" ht="15" hidden="1" customHeight="1">
      <c r="E84" s="676">
        <v>0</v>
      </c>
      <c r="F84" s="779" cm="1">
        <f t="array" aca="1" ref="F84" ca="1">OFFSET(G84,-1,-1)</f>
        <v>0</v>
      </c>
      <c r="L84" s="779" t="b" cm="1">
        <f t="array" aca="1" ref="L84" ca="1">OFFSET(M84,-1,-1)</f>
        <v>0</v>
      </c>
      <c r="S84" s="110" t="b" cm="1">
        <f t="array" aca="1" ref="S84" ca="1">OFFSET(T84,-1,-1)</f>
        <v>0</v>
      </c>
      <c r="U84" s="698" t="b">
        <f t="shared" ca="1" si="4"/>
        <v>0</v>
      </c>
      <c r="X84" s="820" t="str">
        <f>"{                  
         funcDyn: 'msg1',
         blok: 'blok_2',
         wsCross: 'Топливо 4.4',
         linkFormula: 'AE-AE#AF-AF',
         levelDyn: "&amp;Y28&amp;"
}"</f>
        <v>{                  
         funcDyn: 'msg1',
         blok: 'blok_2',
         wsCross: 'Топливо 4.4',
         linkFormula: 'AE-AE#AF-AF',
         levelDyn: 0
}</v>
      </c>
      <c r="Y84" s="1687"/>
      <c r="Z84" s="1687"/>
      <c r="AB84" s="1790"/>
      <c r="AD84" s="823"/>
      <c r="AE84" s="822" t="s">
        <v>238</v>
      </c>
      <c r="AF84" s="745"/>
      <c r="AG84" s="733"/>
      <c r="AH84" s="735"/>
      <c r="AI84" s="737"/>
      <c r="AJ84" s="737"/>
      <c r="AK84" s="737"/>
      <c r="AL84" s="737"/>
      <c r="AM84" s="737"/>
      <c r="AN84" s="737"/>
      <c r="AO84" s="737"/>
      <c r="AP84" s="737"/>
      <c r="AQ84" s="737"/>
      <c r="AR84" s="737"/>
      <c r="AS84" s="737"/>
      <c r="AT84" s="737"/>
      <c r="AU84" s="737"/>
      <c r="AV84" s="737"/>
      <c r="AW84" s="737"/>
      <c r="AX84" s="737"/>
      <c r="AY84" s="737"/>
      <c r="AZ84" s="737"/>
      <c r="BA84" s="737"/>
      <c r="BB84" s="737"/>
      <c r="BC84" s="737"/>
      <c r="BD84" s="737"/>
      <c r="BE84" s="737"/>
      <c r="BF84" s="737"/>
      <c r="BG84" s="737"/>
      <c r="BH84" s="737"/>
      <c r="BI84" s="737"/>
      <c r="BJ84" s="737"/>
      <c r="BK84" s="737"/>
      <c r="BL84" s="737"/>
      <c r="BM84" s="737"/>
      <c r="BN84" s="737"/>
      <c r="BO84" s="737"/>
      <c r="BP84" s="737"/>
      <c r="BQ84" s="737"/>
      <c r="BR84" s="737"/>
      <c r="BS84" s="737"/>
      <c r="BT84" s="737"/>
      <c r="BU84" s="737"/>
      <c r="BV84" s="737"/>
      <c r="BW84" s="737"/>
      <c r="BX84" s="737"/>
      <c r="BY84" s="737"/>
      <c r="BZ84" s="737"/>
      <c r="CA84" s="737"/>
      <c r="CB84" s="737"/>
      <c r="CC84" s="737"/>
      <c r="CD84" s="737"/>
      <c r="CE84" s="737"/>
      <c r="CF84" s="737"/>
      <c r="CG84" s="737"/>
      <c r="CH84" s="737"/>
      <c r="CI84" s="737"/>
      <c r="CJ84" s="737"/>
      <c r="CK84" s="737"/>
      <c r="CL84" s="737"/>
      <c r="CM84" s="737"/>
      <c r="CN84" s="737"/>
      <c r="CO84" s="737"/>
      <c r="CP84" s="737"/>
      <c r="CQ84" s="737"/>
      <c r="CR84" s="737"/>
      <c r="CS84" s="737"/>
      <c r="CT84" s="46"/>
      <c r="CW84" s="970" t="str">
        <f>IF(AND(ISNUMBER(VALUE(TRIM(SUBSTITUTE(AD84,".","")))),TRIM(SUBSTITUTE(AD84,".",""))&lt;&gt;""),"P"&amp;SUBSTITUTE(AD84,".",""),"")</f>
        <v/>
      </c>
    </row>
    <row r="85" spans="5:104" ht="16.7" hidden="1" customHeight="1">
      <c r="E85" s="676">
        <v>17.100000000000001</v>
      </c>
      <c r="F85" s="779" cm="1">
        <f t="array" aca="1" ref="F85" ca="1">OFFSET(G85,-1,-1)</f>
        <v>0</v>
      </c>
      <c r="L85" s="779" t="b" cm="1">
        <f t="array" aca="1" ref="L85" ca="1">OFFSET(M85,-1,-1)</f>
        <v>0</v>
      </c>
      <c r="S85" s="110" t="b" cm="1">
        <f t="array" aca="1" ref="S85" ca="1">OFFSET(T85,-1,-1)</f>
        <v>0</v>
      </c>
      <c r="U85" s="698" t="b">
        <f t="shared" ca="1" si="4"/>
        <v>0</v>
      </c>
      <c r="Y85" s="1687"/>
      <c r="Z85" s="1687"/>
      <c r="AB85" s="1790"/>
      <c r="AD85" s="124">
        <v>28</v>
      </c>
      <c r="AE85" s="1754" t="s">
        <v>853</v>
      </c>
      <c r="AF85" s="1734"/>
      <c r="AG85" s="733" t="s">
        <v>839</v>
      </c>
      <c r="AH85" s="734">
        <f t="shared" ref="AH85:BM85" si="31">SUM(AH87:AH88)</f>
        <v>0</v>
      </c>
      <c r="AI85" s="734">
        <f t="shared" si="31"/>
        <v>0</v>
      </c>
      <c r="AJ85" s="734">
        <f t="shared" si="31"/>
        <v>0</v>
      </c>
      <c r="AK85" s="734">
        <f t="shared" si="31"/>
        <v>0</v>
      </c>
      <c r="AL85" s="734">
        <f t="shared" ca="1" si="31"/>
        <v>0</v>
      </c>
      <c r="AM85" s="734">
        <f t="shared" si="31"/>
        <v>0</v>
      </c>
      <c r="AN85" s="734">
        <f t="shared" ca="1" si="31"/>
        <v>0</v>
      </c>
      <c r="AO85" s="734">
        <f t="shared" ca="1" si="31"/>
        <v>0</v>
      </c>
      <c r="AP85" s="734">
        <f t="shared" si="31"/>
        <v>0</v>
      </c>
      <c r="AQ85" s="734">
        <f t="shared" ca="1" si="31"/>
        <v>0</v>
      </c>
      <c r="AR85" s="734">
        <f t="shared" ca="1" si="31"/>
        <v>0</v>
      </c>
      <c r="AS85" s="734">
        <f t="shared" si="31"/>
        <v>0</v>
      </c>
      <c r="AT85" s="734">
        <f t="shared" ca="1" si="31"/>
        <v>0</v>
      </c>
      <c r="AU85" s="734">
        <f t="shared" ca="1" si="31"/>
        <v>0</v>
      </c>
      <c r="AV85" s="734">
        <f t="shared" si="31"/>
        <v>0</v>
      </c>
      <c r="AW85" s="734">
        <f t="shared" ca="1" si="31"/>
        <v>0</v>
      </c>
      <c r="AX85" s="734">
        <f t="shared" ca="1" si="31"/>
        <v>0</v>
      </c>
      <c r="AY85" s="734">
        <f t="shared" si="31"/>
        <v>0</v>
      </c>
      <c r="AZ85" s="734">
        <f t="shared" ca="1" si="31"/>
        <v>0</v>
      </c>
      <c r="BA85" s="734">
        <f t="shared" ca="1" si="31"/>
        <v>0</v>
      </c>
      <c r="BB85" s="734">
        <f t="shared" si="31"/>
        <v>0</v>
      </c>
      <c r="BC85" s="734">
        <f t="shared" ca="1" si="31"/>
        <v>0</v>
      </c>
      <c r="BD85" s="734">
        <f t="shared" ca="1" si="31"/>
        <v>0</v>
      </c>
      <c r="BE85" s="734">
        <f t="shared" si="31"/>
        <v>0</v>
      </c>
      <c r="BF85" s="734">
        <f t="shared" ca="1" si="31"/>
        <v>0</v>
      </c>
      <c r="BG85" s="734">
        <f t="shared" ca="1" si="31"/>
        <v>0</v>
      </c>
      <c r="BH85" s="734">
        <f t="shared" si="31"/>
        <v>0</v>
      </c>
      <c r="BI85" s="734">
        <f t="shared" ca="1" si="31"/>
        <v>0</v>
      </c>
      <c r="BJ85" s="734">
        <f t="shared" ca="1" si="31"/>
        <v>0</v>
      </c>
      <c r="BK85" s="734">
        <f t="shared" si="31"/>
        <v>0</v>
      </c>
      <c r="BL85" s="734">
        <f t="shared" ca="1" si="31"/>
        <v>0</v>
      </c>
      <c r="BM85" s="734">
        <f t="shared" ca="1" si="31"/>
        <v>0</v>
      </c>
      <c r="BN85" s="734">
        <f t="shared" ref="BN85:CS85" si="32">SUM(BN87:BN88)</f>
        <v>0</v>
      </c>
      <c r="BO85" s="734">
        <f t="shared" ca="1" si="32"/>
        <v>0</v>
      </c>
      <c r="BP85" s="734">
        <f t="shared" ca="1" si="32"/>
        <v>0</v>
      </c>
      <c r="BQ85" s="734">
        <f t="shared" si="32"/>
        <v>0</v>
      </c>
      <c r="BR85" s="734">
        <f t="shared" ca="1" si="32"/>
        <v>0</v>
      </c>
      <c r="BS85" s="734">
        <f t="shared" ca="1" si="32"/>
        <v>0</v>
      </c>
      <c r="BT85" s="734">
        <f t="shared" si="32"/>
        <v>0</v>
      </c>
      <c r="BU85" s="734">
        <f t="shared" ca="1" si="32"/>
        <v>0</v>
      </c>
      <c r="BV85" s="734">
        <f t="shared" ca="1" si="32"/>
        <v>0</v>
      </c>
      <c r="BW85" s="734">
        <f t="shared" si="32"/>
        <v>0</v>
      </c>
      <c r="BX85" s="734">
        <f t="shared" ca="1" si="32"/>
        <v>0</v>
      </c>
      <c r="BY85" s="734">
        <f t="shared" ca="1" si="32"/>
        <v>0</v>
      </c>
      <c r="BZ85" s="734">
        <f t="shared" si="32"/>
        <v>0</v>
      </c>
      <c r="CA85" s="734">
        <f t="shared" ca="1" si="32"/>
        <v>0</v>
      </c>
      <c r="CB85" s="734">
        <f t="shared" ca="1" si="32"/>
        <v>0</v>
      </c>
      <c r="CC85" s="734">
        <f t="shared" si="32"/>
        <v>0</v>
      </c>
      <c r="CD85" s="734">
        <f t="shared" ca="1" si="32"/>
        <v>0</v>
      </c>
      <c r="CE85" s="734">
        <f t="shared" ca="1" si="32"/>
        <v>0</v>
      </c>
      <c r="CF85" s="734">
        <f t="shared" si="32"/>
        <v>0</v>
      </c>
      <c r="CG85" s="734">
        <f t="shared" ca="1" si="32"/>
        <v>0</v>
      </c>
      <c r="CH85" s="734">
        <f t="shared" ca="1" si="32"/>
        <v>0</v>
      </c>
      <c r="CI85" s="734">
        <f t="shared" si="32"/>
        <v>0</v>
      </c>
      <c r="CJ85" s="734">
        <f t="shared" ca="1" si="32"/>
        <v>0</v>
      </c>
      <c r="CK85" s="734">
        <f t="shared" ca="1" si="32"/>
        <v>0</v>
      </c>
      <c r="CL85" s="734">
        <f t="shared" si="32"/>
        <v>0</v>
      </c>
      <c r="CM85" s="734">
        <f t="shared" ca="1" si="32"/>
        <v>0</v>
      </c>
      <c r="CN85" s="734">
        <f t="shared" ca="1" si="32"/>
        <v>0</v>
      </c>
      <c r="CO85" s="734">
        <f t="shared" si="32"/>
        <v>0</v>
      </c>
      <c r="CP85" s="734">
        <f t="shared" ca="1" si="32"/>
        <v>0</v>
      </c>
      <c r="CQ85" s="734">
        <f t="shared" ca="1" si="32"/>
        <v>0</v>
      </c>
      <c r="CR85" s="734">
        <f t="shared" si="32"/>
        <v>0</v>
      </c>
      <c r="CS85" s="734">
        <f t="shared" ca="1" si="32"/>
        <v>0</v>
      </c>
      <c r="CT85" s="28"/>
      <c r="CW85" s="970" t="s">
        <v>854</v>
      </c>
    </row>
    <row r="86" spans="5:104" ht="16.7" hidden="1" customHeight="1">
      <c r="E86" s="676">
        <v>17.100000000000001</v>
      </c>
      <c r="F86" s="779" cm="1">
        <f t="array" aca="1" ref="F86" ca="1">OFFSET(G86,-1,-1)</f>
        <v>0</v>
      </c>
      <c r="L86" s="779" t="b" cm="1">
        <f t="array" aca="1" ref="L86" ca="1">OFFSET(M86,-1,-1)</f>
        <v>0</v>
      </c>
      <c r="R86" s="779" t="s">
        <v>759</v>
      </c>
      <c r="S86" s="110" t="b" cm="1">
        <f t="array" aca="1" ref="S86" ca="1">OFFSET(T86,-1,-1)</f>
        <v>0</v>
      </c>
      <c r="T86" s="779" t="b">
        <v>0</v>
      </c>
      <c r="U86" s="698" t="b">
        <f t="shared" ca="1" si="4"/>
        <v>0</v>
      </c>
      <c r="Y86" s="1687"/>
      <c r="Z86" s="1687"/>
      <c r="AB86" s="1790"/>
      <c r="AD86" s="111" t="str">
        <f>AD85&amp;".0"</f>
        <v>28.0</v>
      </c>
      <c r="AE86" s="1755" t="s">
        <v>770</v>
      </c>
      <c r="AF86" s="1756"/>
      <c r="AG86" s="733" t="s">
        <v>839</v>
      </c>
      <c r="AH86" s="41">
        <f>AH$52*AH85</f>
        <v>0</v>
      </c>
      <c r="AI86" s="42">
        <f>AI$52*AI85</f>
        <v>0</v>
      </c>
      <c r="AJ86" s="42">
        <f>AJ$52*AJ85</f>
        <v>0</v>
      </c>
      <c r="AK86" s="42">
        <f>AK$52*AK85</f>
        <v>0</v>
      </c>
      <c r="AL86" s="736">
        <f ca="1">AM86+AN86</f>
        <v>0</v>
      </c>
      <c r="AM86" s="42">
        <f>AM$52*AM85</f>
        <v>0</v>
      </c>
      <c r="AN86" s="42">
        <f ca="1">AN$52*AN85</f>
        <v>0</v>
      </c>
      <c r="AO86" s="736">
        <f ca="1">AP86+AQ86</f>
        <v>0</v>
      </c>
      <c r="AP86" s="826">
        <f>AP$52*AP85</f>
        <v>0</v>
      </c>
      <c r="AQ86" s="826">
        <f ca="1">AQ$52*AQ85</f>
        <v>0</v>
      </c>
      <c r="AR86" s="736">
        <f ca="1">AS86+AT86</f>
        <v>0</v>
      </c>
      <c r="AS86" s="826">
        <f>AS$52*AS85</f>
        <v>0</v>
      </c>
      <c r="AT86" s="826">
        <f ca="1">AT$52*AT85</f>
        <v>0</v>
      </c>
      <c r="AU86" s="736">
        <f ca="1">AV86+AW86</f>
        <v>0</v>
      </c>
      <c r="AV86" s="826">
        <f>AV$52*AV85</f>
        <v>0</v>
      </c>
      <c r="AW86" s="826">
        <f ca="1">AW$52*AW85</f>
        <v>0</v>
      </c>
      <c r="AX86" s="736">
        <f ca="1">AY86+AZ86</f>
        <v>0</v>
      </c>
      <c r="AY86" s="826">
        <f>AY$52*AY85</f>
        <v>0</v>
      </c>
      <c r="AZ86" s="826">
        <f ca="1">AZ$52*AZ85</f>
        <v>0</v>
      </c>
      <c r="BA86" s="736">
        <f ca="1">BB86+BC86</f>
        <v>0</v>
      </c>
      <c r="BB86" s="42">
        <f>BB$52*BB85</f>
        <v>0</v>
      </c>
      <c r="BC86" s="42">
        <f ca="1">BC$52*BC85</f>
        <v>0</v>
      </c>
      <c r="BD86" s="736">
        <f ca="1">BE86+BF86</f>
        <v>0</v>
      </c>
      <c r="BE86" s="42">
        <f>BE$52*BE85</f>
        <v>0</v>
      </c>
      <c r="BF86" s="42">
        <f ca="1">BF$52*BF85</f>
        <v>0</v>
      </c>
      <c r="BG86" s="736">
        <f ca="1">BH86+BI86</f>
        <v>0</v>
      </c>
      <c r="BH86" s="42">
        <f>BH$52*BH85</f>
        <v>0</v>
      </c>
      <c r="BI86" s="42">
        <f ca="1">BI$52*BI85</f>
        <v>0</v>
      </c>
      <c r="BJ86" s="736">
        <f ca="1">BK86+BL86</f>
        <v>0</v>
      </c>
      <c r="BK86" s="42">
        <f>BK$52*BK85</f>
        <v>0</v>
      </c>
      <c r="BL86" s="42">
        <f ca="1">BL$52*BL85</f>
        <v>0</v>
      </c>
      <c r="BM86" s="736">
        <f ca="1">BN86+BO86</f>
        <v>0</v>
      </c>
      <c r="BN86" s="42">
        <f>BN$52*BN85</f>
        <v>0</v>
      </c>
      <c r="BO86" s="42">
        <f ca="1">BO$52*BO85</f>
        <v>0</v>
      </c>
      <c r="BP86" s="736">
        <f ca="1">BQ86+BR86</f>
        <v>0</v>
      </c>
      <c r="BQ86" s="826">
        <f>BQ$52*BQ85</f>
        <v>0</v>
      </c>
      <c r="BR86" s="826">
        <f ca="1">BR$52*BR85</f>
        <v>0</v>
      </c>
      <c r="BS86" s="736">
        <f ca="1">BT86+BU86</f>
        <v>0</v>
      </c>
      <c r="BT86" s="826">
        <f>BT$52*BT85</f>
        <v>0</v>
      </c>
      <c r="BU86" s="826">
        <f ca="1">BU$52*BU85</f>
        <v>0</v>
      </c>
      <c r="BV86" s="736">
        <f ca="1">BW86+BX86</f>
        <v>0</v>
      </c>
      <c r="BW86" s="826">
        <f>BW$52*BW85</f>
        <v>0</v>
      </c>
      <c r="BX86" s="826">
        <f ca="1">BX$52*BX85</f>
        <v>0</v>
      </c>
      <c r="BY86" s="736">
        <f ca="1">BZ86+CA86</f>
        <v>0</v>
      </c>
      <c r="BZ86" s="826">
        <f>BZ$52*BZ85</f>
        <v>0</v>
      </c>
      <c r="CA86" s="826">
        <f ca="1">CA$52*CA85</f>
        <v>0</v>
      </c>
      <c r="CB86" s="736">
        <f ca="1">CC86+CD86</f>
        <v>0</v>
      </c>
      <c r="CC86" s="826">
        <f>CC$52*CC85</f>
        <v>0</v>
      </c>
      <c r="CD86" s="826">
        <f ca="1">CD$52*CD85</f>
        <v>0</v>
      </c>
      <c r="CE86" s="736">
        <f ca="1">CF86+CG86</f>
        <v>0</v>
      </c>
      <c r="CF86" s="42">
        <f>CF$52*CF85</f>
        <v>0</v>
      </c>
      <c r="CG86" s="42">
        <f ca="1">CG$52*CG85</f>
        <v>0</v>
      </c>
      <c r="CH86" s="736">
        <f ca="1">CI86+CJ86</f>
        <v>0</v>
      </c>
      <c r="CI86" s="42">
        <f>CI$52*CI85</f>
        <v>0</v>
      </c>
      <c r="CJ86" s="42">
        <f ca="1">CJ$52*CJ85</f>
        <v>0</v>
      </c>
      <c r="CK86" s="736">
        <f ca="1">CL86+CM86</f>
        <v>0</v>
      </c>
      <c r="CL86" s="42">
        <f>CL$52*CL85</f>
        <v>0</v>
      </c>
      <c r="CM86" s="42">
        <f ca="1">CM$52*CM85</f>
        <v>0</v>
      </c>
      <c r="CN86" s="736">
        <f ca="1">CO86+CP86</f>
        <v>0</v>
      </c>
      <c r="CO86" s="42">
        <f>CO$52*CO85</f>
        <v>0</v>
      </c>
      <c r="CP86" s="42">
        <f ca="1">CP$52*CP85</f>
        <v>0</v>
      </c>
      <c r="CQ86" s="736">
        <f ca="1">CR86+CS86</f>
        <v>0</v>
      </c>
      <c r="CR86" s="42">
        <f>CR$52*CR85</f>
        <v>0</v>
      </c>
      <c r="CS86" s="42">
        <f ca="1">CS$52*CS85</f>
        <v>0</v>
      </c>
      <c r="CT86" s="28"/>
      <c r="CW86" s="970" t="s">
        <v>855</v>
      </c>
    </row>
    <row r="87" spans="5:104" ht="16.7" hidden="1" customHeight="1">
      <c r="E87" s="676">
        <v>17.100000000000001</v>
      </c>
      <c r="F87" s="779" cm="1">
        <f t="array" aca="1" ref="F87" ca="1">OFFSET(G87,-1,-1)</f>
        <v>0</v>
      </c>
      <c r="L87" s="779" t="b" cm="1">
        <f t="array" aca="1" ref="L87" ca="1">OFFSET(M87,-1,-1)</f>
        <v>0</v>
      </c>
      <c r="S87" s="110" t="b" cm="1">
        <f t="array" aca="1" ref="S87" ca="1">OFFSET(T87,-1,-1)</f>
        <v>0</v>
      </c>
      <c r="T87" s="110" t="b">
        <f>AD87&lt;&gt;"28.0"</f>
        <v>0</v>
      </c>
      <c r="U87" s="698" t="b">
        <f t="shared" ca="1" si="4"/>
        <v>0</v>
      </c>
      <c r="X87" s="110" t="s">
        <v>236</v>
      </c>
      <c r="Y87" s="1687"/>
      <c r="Z87" s="1687"/>
      <c r="AB87" s="1790"/>
      <c r="AD87" s="111" t="s">
        <v>856</v>
      </c>
      <c r="AE87" s="821"/>
      <c r="AF87" s="524"/>
      <c r="AG87" s="733" t="s">
        <v>839</v>
      </c>
      <c r="AH87" s="41"/>
      <c r="AI87" s="42"/>
      <c r="AJ87" s="42"/>
      <c r="AK87" s="42"/>
      <c r="AL87" s="736">
        <f ca="1">AM87+AN87</f>
        <v>0</v>
      </c>
      <c r="AM87" s="42">
        <f>AM83*AM64/1000</f>
        <v>0</v>
      </c>
      <c r="AN87" s="42">
        <f ca="1">AN83*AN64/1000</f>
        <v>0</v>
      </c>
      <c r="AO87" s="736">
        <f ca="1">AP87+AQ87</f>
        <v>0</v>
      </c>
      <c r="AP87" s="826">
        <f>AP83*AP64/1000</f>
        <v>0</v>
      </c>
      <c r="AQ87" s="826">
        <f ca="1">AQ83*AQ64/1000</f>
        <v>0</v>
      </c>
      <c r="AR87" s="736">
        <f ca="1">AS87+AT87</f>
        <v>0</v>
      </c>
      <c r="AS87" s="826">
        <f>AS83*AS64/1000</f>
        <v>0</v>
      </c>
      <c r="AT87" s="826">
        <f ca="1">AT83*AT64/1000</f>
        <v>0</v>
      </c>
      <c r="AU87" s="736">
        <f ca="1">AV87+AW87</f>
        <v>0</v>
      </c>
      <c r="AV87" s="826">
        <f>AV83*AV64/1000</f>
        <v>0</v>
      </c>
      <c r="AW87" s="826">
        <f ca="1">AW83*AW64/1000</f>
        <v>0</v>
      </c>
      <c r="AX87" s="736">
        <f ca="1">AY87+AZ87</f>
        <v>0</v>
      </c>
      <c r="AY87" s="826">
        <f>AY83*AY64/1000</f>
        <v>0</v>
      </c>
      <c r="AZ87" s="826">
        <f ca="1">AZ83*AZ64/1000</f>
        <v>0</v>
      </c>
      <c r="BA87" s="736">
        <f ca="1">BB87+BC87</f>
        <v>0</v>
      </c>
      <c r="BB87" s="42">
        <f>BB83*BB64/1000</f>
        <v>0</v>
      </c>
      <c r="BC87" s="42">
        <f ca="1">BC83*BC64/1000</f>
        <v>0</v>
      </c>
      <c r="BD87" s="736">
        <f ca="1">BE87+BF87</f>
        <v>0</v>
      </c>
      <c r="BE87" s="42">
        <f>BE83*BE64/1000</f>
        <v>0</v>
      </c>
      <c r="BF87" s="42">
        <f ca="1">BF83*BF64/1000</f>
        <v>0</v>
      </c>
      <c r="BG87" s="736">
        <f ca="1">BH87+BI87</f>
        <v>0</v>
      </c>
      <c r="BH87" s="42">
        <f>BH83*BH64/1000</f>
        <v>0</v>
      </c>
      <c r="BI87" s="42">
        <f ca="1">BI83*BI64/1000</f>
        <v>0</v>
      </c>
      <c r="BJ87" s="736">
        <f ca="1">BK87+BL87</f>
        <v>0</v>
      </c>
      <c r="BK87" s="42">
        <f>BK83*BK64/1000</f>
        <v>0</v>
      </c>
      <c r="BL87" s="42">
        <f ca="1">BL83*BL64/1000</f>
        <v>0</v>
      </c>
      <c r="BM87" s="736">
        <f ca="1">BN87+BO87</f>
        <v>0</v>
      </c>
      <c r="BN87" s="42">
        <f>BN83*BN64/1000</f>
        <v>0</v>
      </c>
      <c r="BO87" s="42">
        <f ca="1">BO83*BO64/1000</f>
        <v>0</v>
      </c>
      <c r="BP87" s="736">
        <f ca="1">BQ87+BR87</f>
        <v>0</v>
      </c>
      <c r="BQ87" s="826">
        <f>BQ83*BQ64/1000</f>
        <v>0</v>
      </c>
      <c r="BR87" s="826">
        <f ca="1">BR83*BR64/1000</f>
        <v>0</v>
      </c>
      <c r="BS87" s="736">
        <f ca="1">BT87+BU87</f>
        <v>0</v>
      </c>
      <c r="BT87" s="826">
        <f>BT83*BT64/1000</f>
        <v>0</v>
      </c>
      <c r="BU87" s="826">
        <f ca="1">BU83*BU64/1000</f>
        <v>0</v>
      </c>
      <c r="BV87" s="736">
        <f ca="1">BW87+BX87</f>
        <v>0</v>
      </c>
      <c r="BW87" s="826">
        <f>BW83*BW64/1000</f>
        <v>0</v>
      </c>
      <c r="BX87" s="826">
        <f ca="1">BX83*BX64/1000</f>
        <v>0</v>
      </c>
      <c r="BY87" s="736">
        <f ca="1">BZ87+CA87</f>
        <v>0</v>
      </c>
      <c r="BZ87" s="826">
        <f>BZ83*BZ64/1000</f>
        <v>0</v>
      </c>
      <c r="CA87" s="826">
        <f ca="1">CA83*CA64/1000</f>
        <v>0</v>
      </c>
      <c r="CB87" s="736">
        <f ca="1">CC87+CD87</f>
        <v>0</v>
      </c>
      <c r="CC87" s="826">
        <f>CC83*CC64/1000</f>
        <v>0</v>
      </c>
      <c r="CD87" s="826">
        <f ca="1">CD83*CD64/1000</f>
        <v>0</v>
      </c>
      <c r="CE87" s="736">
        <f ca="1">CF87+CG87</f>
        <v>0</v>
      </c>
      <c r="CF87" s="42">
        <f>CF83*CF64/1000</f>
        <v>0</v>
      </c>
      <c r="CG87" s="42">
        <f ca="1">CG83*CG64/1000</f>
        <v>0</v>
      </c>
      <c r="CH87" s="736">
        <f ca="1">CI87+CJ87</f>
        <v>0</v>
      </c>
      <c r="CI87" s="42">
        <f>CI83*CI64/1000</f>
        <v>0</v>
      </c>
      <c r="CJ87" s="42">
        <f ca="1">CJ83*CJ64/1000</f>
        <v>0</v>
      </c>
      <c r="CK87" s="736">
        <f ca="1">CL87+CM87</f>
        <v>0</v>
      </c>
      <c r="CL87" s="42">
        <f>CL83*CL64/1000</f>
        <v>0</v>
      </c>
      <c r="CM87" s="42">
        <f ca="1">CM83*CM64/1000</f>
        <v>0</v>
      </c>
      <c r="CN87" s="736">
        <f ca="1">CO87+CP87</f>
        <v>0</v>
      </c>
      <c r="CO87" s="42">
        <f>CO83*CO64/1000</f>
        <v>0</v>
      </c>
      <c r="CP87" s="42">
        <f ca="1">CP83*CP64/1000</f>
        <v>0</v>
      </c>
      <c r="CQ87" s="736">
        <f ca="1">CR87+CS87</f>
        <v>0</v>
      </c>
      <c r="CR87" s="42">
        <f>CR83*CR64/1000</f>
        <v>0</v>
      </c>
      <c r="CS87" s="42">
        <f ca="1">CS83*CS64/1000</f>
        <v>0</v>
      </c>
      <c r="CT87" s="28"/>
      <c r="CW87" s="970" t="s">
        <v>855</v>
      </c>
      <c r="CX87" s="975" t="s">
        <v>821</v>
      </c>
      <c r="CY87" s="979" cm="1">
        <f t="array" ref="CY87">AE87</f>
        <v>0</v>
      </c>
      <c r="CZ87" s="979" cm="1">
        <f t="array" ref="CZ87">AF87</f>
        <v>0</v>
      </c>
    </row>
    <row r="88" spans="5:104" ht="15" hidden="1" customHeight="1">
      <c r="E88" s="676">
        <v>0</v>
      </c>
      <c r="F88" s="779" cm="1">
        <f t="array" aca="1" ref="F88" ca="1">OFFSET(G88,-1,-1)</f>
        <v>0</v>
      </c>
      <c r="L88" s="779" t="b" cm="1">
        <f t="array" aca="1" ref="L88" ca="1">OFFSET(M88,-1,-1)</f>
        <v>0</v>
      </c>
      <c r="S88" s="110" t="b" cm="1">
        <f t="array" aca="1" ref="S88" ca="1">OFFSET(T88,-1,-1)</f>
        <v>0</v>
      </c>
      <c r="U88" s="698" t="b">
        <f t="shared" ca="1" si="4"/>
        <v>0</v>
      </c>
      <c r="X88" s="820" t="str">
        <f>"{                  
         funcDyn: 'msg1',
         blok: 'blok_2',
         wsCross: 'Топливо 4.4',
         linkFormula: 'AE-AE#AF-AF',
         levelDyn: "&amp;Y28&amp;"
}"</f>
        <v>{                  
         funcDyn: 'msg1',
         blok: 'blok_2',
         wsCross: 'Топливо 4.4',
         linkFormula: 'AE-AE#AF-AF',
         levelDyn: 0
}</v>
      </c>
      <c r="Y88" s="1687"/>
      <c r="Z88" s="1687"/>
      <c r="AB88" s="1790"/>
      <c r="AD88" s="823"/>
      <c r="AE88" s="822" t="s">
        <v>238</v>
      </c>
      <c r="AF88" s="745"/>
      <c r="AG88" s="733"/>
      <c r="AH88" s="735"/>
      <c r="AI88" s="737"/>
      <c r="AJ88" s="737"/>
      <c r="AK88" s="737"/>
      <c r="AL88" s="737"/>
      <c r="AM88" s="737"/>
      <c r="AN88" s="737"/>
      <c r="AO88" s="737"/>
      <c r="AP88" s="737"/>
      <c r="AQ88" s="737"/>
      <c r="AR88" s="737"/>
      <c r="AS88" s="737"/>
      <c r="AT88" s="737"/>
      <c r="AU88" s="737"/>
      <c r="AV88" s="737"/>
      <c r="AW88" s="737"/>
      <c r="AX88" s="737"/>
      <c r="AY88" s="737"/>
      <c r="AZ88" s="737"/>
      <c r="BA88" s="737"/>
      <c r="BB88" s="737"/>
      <c r="BC88" s="737"/>
      <c r="BD88" s="737"/>
      <c r="BE88" s="737"/>
      <c r="BF88" s="737"/>
      <c r="BG88" s="737"/>
      <c r="BH88" s="737"/>
      <c r="BI88" s="737"/>
      <c r="BJ88" s="737"/>
      <c r="BK88" s="737"/>
      <c r="BL88" s="737"/>
      <c r="BM88" s="737"/>
      <c r="BN88" s="737"/>
      <c r="BO88" s="737"/>
      <c r="BP88" s="737"/>
      <c r="BQ88" s="737"/>
      <c r="BR88" s="737"/>
      <c r="BS88" s="737"/>
      <c r="BT88" s="737"/>
      <c r="BU88" s="737"/>
      <c r="BV88" s="737"/>
      <c r="BW88" s="737"/>
      <c r="BX88" s="737"/>
      <c r="BY88" s="737"/>
      <c r="BZ88" s="737"/>
      <c r="CA88" s="737"/>
      <c r="CB88" s="737"/>
      <c r="CC88" s="737"/>
      <c r="CD88" s="737"/>
      <c r="CE88" s="737"/>
      <c r="CF88" s="737"/>
      <c r="CG88" s="737"/>
      <c r="CH88" s="737"/>
      <c r="CI88" s="737"/>
      <c r="CJ88" s="737"/>
      <c r="CK88" s="737"/>
      <c r="CL88" s="737"/>
      <c r="CM88" s="737"/>
      <c r="CN88" s="737"/>
      <c r="CO88" s="737"/>
      <c r="CP88" s="737"/>
      <c r="CQ88" s="737"/>
      <c r="CR88" s="737"/>
      <c r="CS88" s="737"/>
      <c r="CT88" s="46"/>
      <c r="CW88" s="970" t="str">
        <f>IF(AND(ISNUMBER(VALUE(TRIM(SUBSTITUTE(AD88,".","")))),TRIM(SUBSTITUTE(AD88,".",""))&lt;&gt;""),"P"&amp;SUBSTITUTE(AD88,".",""),"")</f>
        <v/>
      </c>
    </row>
    <row r="89" spans="5:104" ht="29.25" hidden="1" customHeight="1">
      <c r="E89" s="676">
        <v>30</v>
      </c>
      <c r="F89" s="779" cm="1">
        <f t="array" aca="1" ref="F89" ca="1">OFFSET(G89,-1,-1)</f>
        <v>0</v>
      </c>
      <c r="L89" s="779" t="b" cm="1">
        <f t="array" aca="1" ref="L89" ca="1">OFFSET(M89,-1,-1)</f>
        <v>0</v>
      </c>
      <c r="R89" s="779" t="s">
        <v>759</v>
      </c>
      <c r="S89" s="110" t="b" cm="1">
        <f t="array" aca="1" ref="S89" ca="1">OFFSET(T89,-1,-1)</f>
        <v>0</v>
      </c>
      <c r="T89" s="110" t="b" cm="1">
        <f t="array" aca="1" ref="T89" ca="1">L89</f>
        <v>0</v>
      </c>
      <c r="U89" s="698" t="b">
        <f t="shared" ca="1" si="4"/>
        <v>0</v>
      </c>
      <c r="Y89" s="1687"/>
      <c r="Z89" s="1687"/>
      <c r="AB89" s="1790"/>
      <c r="AD89" s="124">
        <v>29</v>
      </c>
      <c r="AE89" s="1757" t="s">
        <v>857</v>
      </c>
      <c r="AF89" s="1758"/>
      <c r="AG89" s="733" t="s">
        <v>839</v>
      </c>
      <c r="AH89" s="734">
        <f t="shared" ref="AH89:BM89" si="33">SUM(AH90:AH91)</f>
        <v>0</v>
      </c>
      <c r="AI89" s="734">
        <f t="shared" si="33"/>
        <v>0</v>
      </c>
      <c r="AJ89" s="734">
        <f t="shared" si="33"/>
        <v>0</v>
      </c>
      <c r="AK89" s="734">
        <f t="shared" si="33"/>
        <v>0</v>
      </c>
      <c r="AL89" s="734">
        <f t="shared" ca="1" si="33"/>
        <v>0</v>
      </c>
      <c r="AM89" s="734">
        <f t="shared" si="33"/>
        <v>0</v>
      </c>
      <c r="AN89" s="734">
        <f t="shared" ca="1" si="33"/>
        <v>0</v>
      </c>
      <c r="AO89" s="734">
        <f t="shared" ca="1" si="33"/>
        <v>0</v>
      </c>
      <c r="AP89" s="734">
        <f t="shared" si="33"/>
        <v>0</v>
      </c>
      <c r="AQ89" s="734">
        <f t="shared" ca="1" si="33"/>
        <v>0</v>
      </c>
      <c r="AR89" s="734">
        <f t="shared" ca="1" si="33"/>
        <v>0</v>
      </c>
      <c r="AS89" s="734">
        <f t="shared" si="33"/>
        <v>0</v>
      </c>
      <c r="AT89" s="734">
        <f t="shared" ca="1" si="33"/>
        <v>0</v>
      </c>
      <c r="AU89" s="734">
        <f t="shared" ca="1" si="33"/>
        <v>0</v>
      </c>
      <c r="AV89" s="734">
        <f t="shared" si="33"/>
        <v>0</v>
      </c>
      <c r="AW89" s="734">
        <f t="shared" ca="1" si="33"/>
        <v>0</v>
      </c>
      <c r="AX89" s="734">
        <f t="shared" ca="1" si="33"/>
        <v>0</v>
      </c>
      <c r="AY89" s="734">
        <f t="shared" si="33"/>
        <v>0</v>
      </c>
      <c r="AZ89" s="734">
        <f t="shared" ca="1" si="33"/>
        <v>0</v>
      </c>
      <c r="BA89" s="734">
        <f t="shared" ca="1" si="33"/>
        <v>0</v>
      </c>
      <c r="BB89" s="734">
        <f t="shared" si="33"/>
        <v>0</v>
      </c>
      <c r="BC89" s="734">
        <f t="shared" ca="1" si="33"/>
        <v>0</v>
      </c>
      <c r="BD89" s="734">
        <f t="shared" ca="1" si="33"/>
        <v>0</v>
      </c>
      <c r="BE89" s="734">
        <f t="shared" si="33"/>
        <v>0</v>
      </c>
      <c r="BF89" s="734">
        <f t="shared" ca="1" si="33"/>
        <v>0</v>
      </c>
      <c r="BG89" s="734">
        <f t="shared" ca="1" si="33"/>
        <v>0</v>
      </c>
      <c r="BH89" s="734">
        <f t="shared" si="33"/>
        <v>0</v>
      </c>
      <c r="BI89" s="734">
        <f t="shared" ca="1" si="33"/>
        <v>0</v>
      </c>
      <c r="BJ89" s="734">
        <f t="shared" ca="1" si="33"/>
        <v>0</v>
      </c>
      <c r="BK89" s="734">
        <f t="shared" si="33"/>
        <v>0</v>
      </c>
      <c r="BL89" s="734">
        <f t="shared" ca="1" si="33"/>
        <v>0</v>
      </c>
      <c r="BM89" s="734">
        <f t="shared" ca="1" si="33"/>
        <v>0</v>
      </c>
      <c r="BN89" s="734">
        <f t="shared" ref="BN89:CS89" si="34">SUM(BN90:BN91)</f>
        <v>0</v>
      </c>
      <c r="BO89" s="734">
        <f t="shared" ca="1" si="34"/>
        <v>0</v>
      </c>
      <c r="BP89" s="734">
        <f t="shared" ca="1" si="34"/>
        <v>0</v>
      </c>
      <c r="BQ89" s="734">
        <f t="shared" si="34"/>
        <v>0</v>
      </c>
      <c r="BR89" s="734">
        <f t="shared" ca="1" si="34"/>
        <v>0</v>
      </c>
      <c r="BS89" s="734">
        <f t="shared" ca="1" si="34"/>
        <v>0</v>
      </c>
      <c r="BT89" s="734">
        <f t="shared" si="34"/>
        <v>0</v>
      </c>
      <c r="BU89" s="734">
        <f t="shared" ca="1" si="34"/>
        <v>0</v>
      </c>
      <c r="BV89" s="734">
        <f t="shared" ca="1" si="34"/>
        <v>0</v>
      </c>
      <c r="BW89" s="734">
        <f t="shared" si="34"/>
        <v>0</v>
      </c>
      <c r="BX89" s="734">
        <f t="shared" ca="1" si="34"/>
        <v>0</v>
      </c>
      <c r="BY89" s="734">
        <f t="shared" ca="1" si="34"/>
        <v>0</v>
      </c>
      <c r="BZ89" s="734">
        <f t="shared" si="34"/>
        <v>0</v>
      </c>
      <c r="CA89" s="734">
        <f t="shared" ca="1" si="34"/>
        <v>0</v>
      </c>
      <c r="CB89" s="734">
        <f t="shared" ca="1" si="34"/>
        <v>0</v>
      </c>
      <c r="CC89" s="734">
        <f t="shared" si="34"/>
        <v>0</v>
      </c>
      <c r="CD89" s="734">
        <f t="shared" ca="1" si="34"/>
        <v>0</v>
      </c>
      <c r="CE89" s="734">
        <f t="shared" ca="1" si="34"/>
        <v>0</v>
      </c>
      <c r="CF89" s="734">
        <f t="shared" si="34"/>
        <v>0</v>
      </c>
      <c r="CG89" s="734">
        <f t="shared" ca="1" si="34"/>
        <v>0</v>
      </c>
      <c r="CH89" s="734">
        <f t="shared" ca="1" si="34"/>
        <v>0</v>
      </c>
      <c r="CI89" s="734">
        <f t="shared" si="34"/>
        <v>0</v>
      </c>
      <c r="CJ89" s="734">
        <f t="shared" ca="1" si="34"/>
        <v>0</v>
      </c>
      <c r="CK89" s="734">
        <f t="shared" ca="1" si="34"/>
        <v>0</v>
      </c>
      <c r="CL89" s="734">
        <f t="shared" si="34"/>
        <v>0</v>
      </c>
      <c r="CM89" s="734">
        <f t="shared" ca="1" si="34"/>
        <v>0</v>
      </c>
      <c r="CN89" s="734">
        <f t="shared" ca="1" si="34"/>
        <v>0</v>
      </c>
      <c r="CO89" s="734">
        <f t="shared" si="34"/>
        <v>0</v>
      </c>
      <c r="CP89" s="734">
        <f t="shared" ca="1" si="34"/>
        <v>0</v>
      </c>
      <c r="CQ89" s="734">
        <f t="shared" ca="1" si="34"/>
        <v>0</v>
      </c>
      <c r="CR89" s="734">
        <f t="shared" si="34"/>
        <v>0</v>
      </c>
      <c r="CS89" s="734">
        <f t="shared" ca="1" si="34"/>
        <v>0</v>
      </c>
      <c r="CT89" s="28"/>
      <c r="CW89" s="970" t="s">
        <v>858</v>
      </c>
    </row>
    <row r="90" spans="5:104" ht="16.7" hidden="1" customHeight="1">
      <c r="E90" s="676">
        <v>17.100000000000001</v>
      </c>
      <c r="F90" s="779" cm="1">
        <f t="array" aca="1" ref="F90" ca="1">OFFSET(G90,-1,-1)</f>
        <v>0</v>
      </c>
      <c r="L90" s="779" t="b" cm="1">
        <f t="array" aca="1" ref="L90" ca="1">OFFSET(M90,-1,-1)</f>
        <v>0</v>
      </c>
      <c r="R90" s="779" t="s">
        <v>759</v>
      </c>
      <c r="S90" s="110" t="b" cm="1">
        <f t="array" aca="1" ref="S90" ca="1">OFFSET(T90,-1,-1)</f>
        <v>0</v>
      </c>
      <c r="T90" s="110" t="b">
        <f ca="1">AND(L90,AD90&lt;&gt;"29.0")</f>
        <v>0</v>
      </c>
      <c r="U90" s="698" t="b">
        <f t="shared" ca="1" si="4"/>
        <v>0</v>
      </c>
      <c r="X90" s="110" t="s">
        <v>236</v>
      </c>
      <c r="Y90" s="1687"/>
      <c r="Z90" s="1687"/>
      <c r="AB90" s="1790"/>
      <c r="AD90" s="111" t="s">
        <v>859</v>
      </c>
      <c r="AE90" s="821"/>
      <c r="AF90" s="524"/>
      <c r="AG90" s="733" t="s">
        <v>839</v>
      </c>
      <c r="AH90" s="41">
        <f>AH$52*AH87</f>
        <v>0</v>
      </c>
      <c r="AI90" s="42">
        <f>AI$52*AI87</f>
        <v>0</v>
      </c>
      <c r="AJ90" s="42">
        <f>AJ$52*AJ87</f>
        <v>0</v>
      </c>
      <c r="AK90" s="42">
        <f>AK$52*AK87</f>
        <v>0</v>
      </c>
      <c r="AL90" s="736">
        <f ca="1">AM90+AN90</f>
        <v>0</v>
      </c>
      <c r="AM90" s="42">
        <f>AM$52*AM87</f>
        <v>0</v>
      </c>
      <c r="AN90" s="42">
        <f ca="1">AN$52*AN87</f>
        <v>0</v>
      </c>
      <c r="AO90" s="736">
        <f ca="1">AP90+AQ90</f>
        <v>0</v>
      </c>
      <c r="AP90" s="826">
        <f>AP$52*AP87</f>
        <v>0</v>
      </c>
      <c r="AQ90" s="826">
        <f ca="1">AQ$52*AQ87</f>
        <v>0</v>
      </c>
      <c r="AR90" s="736">
        <f ca="1">AS90+AT90</f>
        <v>0</v>
      </c>
      <c r="AS90" s="826">
        <f>AS$52*AS87</f>
        <v>0</v>
      </c>
      <c r="AT90" s="826">
        <f ca="1">AT$52*AT87</f>
        <v>0</v>
      </c>
      <c r="AU90" s="736">
        <f ca="1">AV90+AW90</f>
        <v>0</v>
      </c>
      <c r="AV90" s="826">
        <f>AV$52*AV87</f>
        <v>0</v>
      </c>
      <c r="AW90" s="826">
        <f ca="1">AW$52*AW87</f>
        <v>0</v>
      </c>
      <c r="AX90" s="736">
        <f ca="1">AY90+AZ90</f>
        <v>0</v>
      </c>
      <c r="AY90" s="826">
        <f>AY$52*AY87</f>
        <v>0</v>
      </c>
      <c r="AZ90" s="826">
        <f ca="1">AZ$52*AZ87</f>
        <v>0</v>
      </c>
      <c r="BA90" s="736">
        <f ca="1">BB90+BC90</f>
        <v>0</v>
      </c>
      <c r="BB90" s="42">
        <f>BB$52*BB87</f>
        <v>0</v>
      </c>
      <c r="BC90" s="42">
        <f ca="1">BC$52*BC87</f>
        <v>0</v>
      </c>
      <c r="BD90" s="736">
        <f ca="1">BE90+BF90</f>
        <v>0</v>
      </c>
      <c r="BE90" s="42">
        <f>BE$52*BE87</f>
        <v>0</v>
      </c>
      <c r="BF90" s="42">
        <f ca="1">BF$52*BF87</f>
        <v>0</v>
      </c>
      <c r="BG90" s="736">
        <f ca="1">BH90+BI90</f>
        <v>0</v>
      </c>
      <c r="BH90" s="42">
        <f>BH$52*BH87</f>
        <v>0</v>
      </c>
      <c r="BI90" s="42">
        <f ca="1">BI$52*BI87</f>
        <v>0</v>
      </c>
      <c r="BJ90" s="736">
        <f ca="1">BK90+BL90</f>
        <v>0</v>
      </c>
      <c r="BK90" s="42">
        <f>BK$52*BK87</f>
        <v>0</v>
      </c>
      <c r="BL90" s="42">
        <f ca="1">BL$52*BL87</f>
        <v>0</v>
      </c>
      <c r="BM90" s="736">
        <f ca="1">BN90+BO90</f>
        <v>0</v>
      </c>
      <c r="BN90" s="42">
        <f>BN$52*BN87</f>
        <v>0</v>
      </c>
      <c r="BO90" s="42">
        <f ca="1">BO$52*BO87</f>
        <v>0</v>
      </c>
      <c r="BP90" s="736">
        <f ca="1">BQ90+BR90</f>
        <v>0</v>
      </c>
      <c r="BQ90" s="826">
        <f>BQ$52*BQ87</f>
        <v>0</v>
      </c>
      <c r="BR90" s="826">
        <f ca="1">BR$52*BR87</f>
        <v>0</v>
      </c>
      <c r="BS90" s="736">
        <f ca="1">BT90+BU90</f>
        <v>0</v>
      </c>
      <c r="BT90" s="826">
        <f>BT$52*BT87</f>
        <v>0</v>
      </c>
      <c r="BU90" s="826">
        <f ca="1">BU$52*BU87</f>
        <v>0</v>
      </c>
      <c r="BV90" s="736">
        <f ca="1">BW90+BX90</f>
        <v>0</v>
      </c>
      <c r="BW90" s="826">
        <f>BW$52*BW87</f>
        <v>0</v>
      </c>
      <c r="BX90" s="826">
        <f ca="1">BX$52*BX87</f>
        <v>0</v>
      </c>
      <c r="BY90" s="736">
        <f ca="1">BZ90+CA90</f>
        <v>0</v>
      </c>
      <c r="BZ90" s="826">
        <f>BZ$52*BZ87</f>
        <v>0</v>
      </c>
      <c r="CA90" s="826">
        <f ca="1">CA$52*CA87</f>
        <v>0</v>
      </c>
      <c r="CB90" s="736">
        <f ca="1">CC90+CD90</f>
        <v>0</v>
      </c>
      <c r="CC90" s="826">
        <f>CC$52*CC87</f>
        <v>0</v>
      </c>
      <c r="CD90" s="826">
        <f ca="1">CD$52*CD87</f>
        <v>0</v>
      </c>
      <c r="CE90" s="736">
        <f ca="1">CF90+CG90</f>
        <v>0</v>
      </c>
      <c r="CF90" s="42">
        <f>CF$52*CF87</f>
        <v>0</v>
      </c>
      <c r="CG90" s="42">
        <f ca="1">CG$52*CG87</f>
        <v>0</v>
      </c>
      <c r="CH90" s="736">
        <f ca="1">CI90+CJ90</f>
        <v>0</v>
      </c>
      <c r="CI90" s="42">
        <f>CI$52*CI87</f>
        <v>0</v>
      </c>
      <c r="CJ90" s="42">
        <f ca="1">CJ$52*CJ87</f>
        <v>0</v>
      </c>
      <c r="CK90" s="736">
        <f ca="1">CL90+CM90</f>
        <v>0</v>
      </c>
      <c r="CL90" s="42">
        <f>CL$52*CL87</f>
        <v>0</v>
      </c>
      <c r="CM90" s="42">
        <f ca="1">CM$52*CM87</f>
        <v>0</v>
      </c>
      <c r="CN90" s="736">
        <f ca="1">CO90+CP90</f>
        <v>0</v>
      </c>
      <c r="CO90" s="42">
        <f>CO$52*CO87</f>
        <v>0</v>
      </c>
      <c r="CP90" s="42">
        <f ca="1">CP$52*CP87</f>
        <v>0</v>
      </c>
      <c r="CQ90" s="736">
        <f ca="1">CR90+CS90</f>
        <v>0</v>
      </c>
      <c r="CR90" s="42">
        <f>CR$52*CR87</f>
        <v>0</v>
      </c>
      <c r="CS90" s="42">
        <f ca="1">CS$52*CS87</f>
        <v>0</v>
      </c>
      <c r="CT90" s="28"/>
      <c r="CW90" s="970" t="s">
        <v>858</v>
      </c>
      <c r="CX90" s="975" t="s">
        <v>821</v>
      </c>
      <c r="CY90" s="979" cm="1">
        <f t="array" ref="CY90">AE90</f>
        <v>0</v>
      </c>
      <c r="CZ90" s="979" cm="1">
        <f t="array" ref="CZ90">AF90</f>
        <v>0</v>
      </c>
    </row>
    <row r="91" spans="5:104" ht="15" hidden="1" customHeight="1">
      <c r="E91" s="676">
        <v>0</v>
      </c>
      <c r="F91" s="779" cm="1">
        <f t="array" aca="1" ref="F91" ca="1">OFFSET(G91,-1,-1)</f>
        <v>0</v>
      </c>
      <c r="L91" s="779" t="b" cm="1">
        <f t="array" aca="1" ref="L91" ca="1">OFFSET(M91,-1,-1)</f>
        <v>0</v>
      </c>
      <c r="S91" s="110" t="b" cm="1">
        <f t="array" aca="1" ref="S91" ca="1">OFFSET(T91,-1,-1)</f>
        <v>0</v>
      </c>
      <c r="U91" s="698" t="b">
        <f t="shared" ca="1" si="4"/>
        <v>0</v>
      </c>
      <c r="X91" s="820" t="str">
        <f>"{                  
         funcDyn: 'msg1',
         blok: 'blok_2',
         wsCross: 'Топливо 4.4',
         linkFormula: 'AE-AE#AF-AF',
         levelDyn: "&amp;Y28&amp;"
}"</f>
        <v>{                  
         funcDyn: 'msg1',
         blok: 'blok_2',
         wsCross: 'Топливо 4.4',
         linkFormula: 'AE-AE#AF-AF',
         levelDyn: 0
}</v>
      </c>
      <c r="Y91" s="1687"/>
      <c r="Z91" s="1687"/>
      <c r="AB91" s="1791"/>
      <c r="AD91" s="823"/>
      <c r="AE91" s="822" t="s">
        <v>238</v>
      </c>
      <c r="AF91" s="745"/>
      <c r="AG91" s="733"/>
      <c r="AH91" s="735"/>
      <c r="AI91" s="737"/>
      <c r="AJ91" s="737"/>
      <c r="AK91" s="737"/>
      <c r="AL91" s="737"/>
      <c r="AM91" s="737"/>
      <c r="AN91" s="737"/>
      <c r="AO91" s="737"/>
      <c r="AP91" s="737"/>
      <c r="AQ91" s="737"/>
      <c r="AR91" s="737"/>
      <c r="AS91" s="737"/>
      <c r="AT91" s="737"/>
      <c r="AU91" s="737"/>
      <c r="AV91" s="737"/>
      <c r="AW91" s="737"/>
      <c r="AX91" s="737"/>
      <c r="AY91" s="737"/>
      <c r="AZ91" s="737"/>
      <c r="BA91" s="737"/>
      <c r="BB91" s="737"/>
      <c r="BC91" s="737"/>
      <c r="BD91" s="737"/>
      <c r="BE91" s="737"/>
      <c r="BF91" s="737"/>
      <c r="BG91" s="737"/>
      <c r="BH91" s="737"/>
      <c r="BI91" s="737"/>
      <c r="BJ91" s="737"/>
      <c r="BK91" s="737"/>
      <c r="BL91" s="737"/>
      <c r="BM91" s="737"/>
      <c r="BN91" s="737"/>
      <c r="BO91" s="737"/>
      <c r="BP91" s="737"/>
      <c r="BQ91" s="737"/>
      <c r="BR91" s="737"/>
      <c r="BS91" s="737"/>
      <c r="BT91" s="737"/>
      <c r="BU91" s="737"/>
      <c r="BV91" s="737"/>
      <c r="BW91" s="737"/>
      <c r="BX91" s="737"/>
      <c r="BY91" s="737"/>
      <c r="BZ91" s="737"/>
      <c r="CA91" s="737"/>
      <c r="CB91" s="737"/>
      <c r="CC91" s="737"/>
      <c r="CD91" s="737"/>
      <c r="CE91" s="737"/>
      <c r="CF91" s="737"/>
      <c r="CG91" s="737"/>
      <c r="CH91" s="737"/>
      <c r="CI91" s="737"/>
      <c r="CJ91" s="737"/>
      <c r="CK91" s="737"/>
      <c r="CL91" s="737"/>
      <c r="CM91" s="737"/>
      <c r="CN91" s="737"/>
      <c r="CO91" s="737"/>
      <c r="CP91" s="737"/>
      <c r="CQ91" s="737"/>
      <c r="CR91" s="737"/>
      <c r="CS91" s="737"/>
      <c r="CT91" s="46"/>
      <c r="CW91" s="970" t="str">
        <f>IF(AND(ISNUMBER(VALUE(TRIM(SUBSTITUTE(AD91,".","")))),TRIM(SUBSTITUTE(AD91,".",""))&lt;&gt;""),"P"&amp;SUBSTITUTE(AD91,".",""),"")</f>
        <v/>
      </c>
    </row>
    <row r="92" spans="5:104" ht="16.7" hidden="1" customHeight="1">
      <c r="E92" s="676">
        <v>17.100000000000001</v>
      </c>
      <c r="F92" s="779" cm="1">
        <f t="array" aca="1" ref="F92" ca="1">OFFSET(G92,-1,-1)</f>
        <v>0</v>
      </c>
      <c r="L92" s="779" t="b" cm="1">
        <f t="array" aca="1" ref="L92" ca="1">OFFSET(M92,-1,-1)</f>
        <v>0</v>
      </c>
      <c r="S92" s="110" t="b" cm="1">
        <f t="array" aca="1" ref="S92" ca="1">OFFSET(T92,-1,-1)</f>
        <v>0</v>
      </c>
      <c r="U92" s="698" t="b">
        <f t="shared" ref="U92:U155" ca="1" si="35">AND(S92,IF(ISBLANK(T92),TRUE,T92))</f>
        <v>0</v>
      </c>
      <c r="Y92" s="1687"/>
      <c r="Z92" s="1687"/>
      <c r="AB92" s="1792" t="s">
        <v>860</v>
      </c>
      <c r="AD92" s="124" t="s">
        <v>861</v>
      </c>
      <c r="AE92" s="1754" t="s">
        <v>862</v>
      </c>
      <c r="AF92" s="1734"/>
      <c r="AG92" s="849"/>
      <c r="AH92" s="735"/>
      <c r="AI92" s="737"/>
      <c r="AJ92" s="737"/>
      <c r="AK92" s="737"/>
      <c r="AL92" s="737"/>
      <c r="AM92" s="737"/>
      <c r="AN92" s="737"/>
      <c r="AO92" s="737"/>
      <c r="AP92" s="737"/>
      <c r="AQ92" s="737"/>
      <c r="AR92" s="737"/>
      <c r="AS92" s="737"/>
      <c r="AT92" s="737"/>
      <c r="AU92" s="737"/>
      <c r="AV92" s="737"/>
      <c r="AW92" s="737"/>
      <c r="AX92" s="737"/>
      <c r="AY92" s="737"/>
      <c r="AZ92" s="737"/>
      <c r="BA92" s="737"/>
      <c r="BB92" s="737"/>
      <c r="BC92" s="737"/>
      <c r="BD92" s="737"/>
      <c r="BE92" s="737"/>
      <c r="BF92" s="737"/>
      <c r="BG92" s="737"/>
      <c r="BH92" s="737"/>
      <c r="BI92" s="737"/>
      <c r="BJ92" s="737"/>
      <c r="BK92" s="737"/>
      <c r="BL92" s="737"/>
      <c r="BM92" s="737"/>
      <c r="BN92" s="737"/>
      <c r="BO92" s="737"/>
      <c r="BP92" s="737"/>
      <c r="BQ92" s="737"/>
      <c r="BR92" s="737"/>
      <c r="BS92" s="737"/>
      <c r="BT92" s="737"/>
      <c r="BU92" s="737"/>
      <c r="BV92" s="737"/>
      <c r="BW92" s="737"/>
      <c r="BX92" s="737"/>
      <c r="BY92" s="737"/>
      <c r="BZ92" s="737"/>
      <c r="CA92" s="737"/>
      <c r="CB92" s="737"/>
      <c r="CC92" s="737"/>
      <c r="CD92" s="737"/>
      <c r="CE92" s="737"/>
      <c r="CF92" s="737"/>
      <c r="CG92" s="737"/>
      <c r="CH92" s="737"/>
      <c r="CI92" s="737"/>
      <c r="CJ92" s="737"/>
      <c r="CK92" s="737"/>
      <c r="CL92" s="737"/>
      <c r="CM92" s="737"/>
      <c r="CN92" s="737"/>
      <c r="CO92" s="737"/>
      <c r="CP92" s="737"/>
      <c r="CQ92" s="737"/>
      <c r="CR92" s="737"/>
      <c r="CS92" s="737"/>
      <c r="CT92" s="28"/>
      <c r="CW92" s="970" t="s">
        <v>863</v>
      </c>
    </row>
    <row r="93" spans="5:104" ht="16.7" hidden="1" customHeight="1">
      <c r="E93" s="676">
        <v>17.100000000000001</v>
      </c>
      <c r="F93" s="779" cm="1">
        <f t="array" aca="1" ref="F93" ca="1">OFFSET(G93,-1,-1)</f>
        <v>0</v>
      </c>
      <c r="L93" s="779" t="b" cm="1">
        <f t="array" aca="1" ref="L93" ca="1">OFFSET(M93,-1,-1)</f>
        <v>0</v>
      </c>
      <c r="S93" s="110" t="b" cm="1">
        <f t="array" aca="1" ref="S93" ca="1">OFFSET(T93,-1,-1)</f>
        <v>0</v>
      </c>
      <c r="T93" s="110" t="b">
        <f>AD93&lt;&gt;"30.0"</f>
        <v>0</v>
      </c>
      <c r="U93" s="698" t="b">
        <f t="shared" ca="1" si="35"/>
        <v>0</v>
      </c>
      <c r="X93" s="110" t="s">
        <v>236</v>
      </c>
      <c r="Y93" s="1687"/>
      <c r="Z93" s="1687"/>
      <c r="AB93" s="1793"/>
      <c r="AD93" s="111" t="s">
        <v>864</v>
      </c>
      <c r="AE93" s="821"/>
      <c r="AF93" s="524"/>
      <c r="AG93" s="733" t="s">
        <v>533</v>
      </c>
      <c r="AH93" s="45"/>
      <c r="AI93" s="49"/>
      <c r="AJ93" s="49"/>
      <c r="AK93" s="49"/>
      <c r="AL93" s="737"/>
      <c r="AM93" s="49"/>
      <c r="AN93" s="49"/>
      <c r="AO93" s="737"/>
      <c r="AP93" s="829"/>
      <c r="AQ93" s="829"/>
      <c r="AR93" s="737"/>
      <c r="AS93" s="829"/>
      <c r="AT93" s="829"/>
      <c r="AU93" s="737"/>
      <c r="AV93" s="829"/>
      <c r="AW93" s="829"/>
      <c r="AX93" s="737"/>
      <c r="AY93" s="829"/>
      <c r="AZ93" s="829"/>
      <c r="BA93" s="737"/>
      <c r="BB93" s="49"/>
      <c r="BC93" s="49"/>
      <c r="BD93" s="737"/>
      <c r="BE93" s="49"/>
      <c r="BF93" s="49"/>
      <c r="BG93" s="737"/>
      <c r="BH93" s="49"/>
      <c r="BI93" s="49"/>
      <c r="BJ93" s="737"/>
      <c r="BK93" s="49"/>
      <c r="BL93" s="49"/>
      <c r="BM93" s="737"/>
      <c r="BN93" s="49"/>
      <c r="BO93" s="49"/>
      <c r="BP93" s="737"/>
      <c r="BQ93" s="829"/>
      <c r="BR93" s="829"/>
      <c r="BS93" s="737"/>
      <c r="BT93" s="829"/>
      <c r="BU93" s="829"/>
      <c r="BV93" s="737"/>
      <c r="BW93" s="829"/>
      <c r="BX93" s="829"/>
      <c r="BY93" s="737"/>
      <c r="BZ93" s="829"/>
      <c r="CA93" s="829"/>
      <c r="CB93" s="737"/>
      <c r="CC93" s="829"/>
      <c r="CD93" s="829"/>
      <c r="CE93" s="737"/>
      <c r="CF93" s="49"/>
      <c r="CG93" s="49"/>
      <c r="CH93" s="737"/>
      <c r="CI93" s="49"/>
      <c r="CJ93" s="49"/>
      <c r="CK93" s="737"/>
      <c r="CL93" s="49"/>
      <c r="CM93" s="49"/>
      <c r="CN93" s="737"/>
      <c r="CO93" s="49"/>
      <c r="CP93" s="49"/>
      <c r="CQ93" s="737"/>
      <c r="CR93" s="49"/>
      <c r="CS93" s="49"/>
      <c r="CT93" s="28"/>
      <c r="CW93" s="970" t="s">
        <v>863</v>
      </c>
      <c r="CX93" s="975" t="s">
        <v>821</v>
      </c>
      <c r="CY93" s="979" cm="1">
        <f t="array" ref="CY93">AE93</f>
        <v>0</v>
      </c>
      <c r="CZ93" s="979" cm="1">
        <f t="array" ref="CZ93">AF93</f>
        <v>0</v>
      </c>
    </row>
    <row r="94" spans="5:104" ht="15" hidden="1" customHeight="1">
      <c r="E94" s="676">
        <v>0</v>
      </c>
      <c r="F94" s="779" cm="1">
        <f t="array" aca="1" ref="F94" ca="1">OFFSET(G94,-1,-1)</f>
        <v>0</v>
      </c>
      <c r="L94" s="779" t="b" cm="1">
        <f t="array" aca="1" ref="L94" ca="1">OFFSET(M94,-1,-1)</f>
        <v>0</v>
      </c>
      <c r="S94" s="110" t="b" cm="1">
        <f t="array" aca="1" ref="S94" ca="1">OFFSET(T94,-1,-1)</f>
        <v>0</v>
      </c>
      <c r="U94" s="698" t="b">
        <f t="shared" ca="1" si="35"/>
        <v>0</v>
      </c>
      <c r="X94" s="820" t="str">
        <f>"{                  
         funcDyn: 'msg1',
         blok: 'blok_2',
         wsCross: 'Топливо 4.4',
         linkFormula: 'AE-AE#AF-AF',
         levelDyn: "&amp;Y28&amp;"
}"</f>
        <v>{                  
         funcDyn: 'msg1',
         blok: 'blok_2',
         wsCross: 'Топливо 4.4',
         linkFormula: 'AE-AE#AF-AF',
         levelDyn: 0
}</v>
      </c>
      <c r="Y94" s="1687"/>
      <c r="Z94" s="1687"/>
      <c r="AB94" s="1793"/>
      <c r="AD94" s="823"/>
      <c r="AE94" s="822" t="s">
        <v>238</v>
      </c>
      <c r="AF94" s="745"/>
      <c r="AG94" s="733"/>
      <c r="AH94" s="746"/>
      <c r="AI94" s="50"/>
      <c r="AJ94" s="50"/>
      <c r="AK94" s="50"/>
      <c r="AL94" s="737"/>
      <c r="AM94" s="50"/>
      <c r="AN94" s="50"/>
      <c r="AO94" s="737"/>
      <c r="AP94" s="50"/>
      <c r="AQ94" s="50"/>
      <c r="AR94" s="737"/>
      <c r="AS94" s="50"/>
      <c r="AT94" s="50"/>
      <c r="AU94" s="737"/>
      <c r="AV94" s="50"/>
      <c r="AW94" s="50"/>
      <c r="AX94" s="737"/>
      <c r="AY94" s="50"/>
      <c r="AZ94" s="50"/>
      <c r="BA94" s="737"/>
      <c r="BB94" s="50"/>
      <c r="BC94" s="50"/>
      <c r="BD94" s="737"/>
      <c r="BE94" s="50"/>
      <c r="BF94" s="50"/>
      <c r="BG94" s="737"/>
      <c r="BH94" s="50"/>
      <c r="BI94" s="50"/>
      <c r="BJ94" s="737"/>
      <c r="BK94" s="50"/>
      <c r="BL94" s="50"/>
      <c r="BM94" s="737"/>
      <c r="BN94" s="50"/>
      <c r="BO94" s="50"/>
      <c r="BP94" s="737"/>
      <c r="BQ94" s="50"/>
      <c r="BR94" s="50"/>
      <c r="BS94" s="737"/>
      <c r="BT94" s="50"/>
      <c r="BU94" s="50"/>
      <c r="BV94" s="737"/>
      <c r="BW94" s="50"/>
      <c r="BX94" s="50"/>
      <c r="BY94" s="737"/>
      <c r="BZ94" s="50"/>
      <c r="CA94" s="50"/>
      <c r="CB94" s="737"/>
      <c r="CC94" s="50"/>
      <c r="CD94" s="50"/>
      <c r="CE94" s="737"/>
      <c r="CF94" s="50"/>
      <c r="CG94" s="50"/>
      <c r="CH94" s="737"/>
      <c r="CI94" s="50"/>
      <c r="CJ94" s="50"/>
      <c r="CK94" s="737"/>
      <c r="CL94" s="50"/>
      <c r="CM94" s="50"/>
      <c r="CN94" s="737"/>
      <c r="CO94" s="50"/>
      <c r="CP94" s="50"/>
      <c r="CQ94" s="737"/>
      <c r="CR94" s="50"/>
      <c r="CS94" s="50"/>
      <c r="CT94" s="46"/>
      <c r="CW94" s="970" t="str">
        <f>IF(AND(ISNUMBER(VALUE(TRIM(SUBSTITUTE(AD94,".","")))),TRIM(SUBSTITUTE(AD94,".",""))&lt;&gt;""),"P"&amp;SUBSTITUTE(AD94,".",""),"")</f>
        <v/>
      </c>
    </row>
    <row r="95" spans="5:104" ht="16.7" hidden="1" customHeight="1">
      <c r="E95" s="676">
        <v>17.100000000000001</v>
      </c>
      <c r="F95" s="779" cm="1">
        <f t="array" aca="1" ref="F95" ca="1">OFFSET(G95,-1,-1)</f>
        <v>0</v>
      </c>
      <c r="L95" s="779" t="b" cm="1">
        <f t="array" aca="1" ref="L95" ca="1">OFFSET(M95,-1,-1)</f>
        <v>0</v>
      </c>
      <c r="S95" s="110" t="b" cm="1">
        <f t="array" aca="1" ref="S95" ca="1">OFFSET(T95,-1,-1)</f>
        <v>0</v>
      </c>
      <c r="U95" s="698" t="b">
        <f t="shared" ca="1" si="35"/>
        <v>0</v>
      </c>
      <c r="Y95" s="1687"/>
      <c r="Z95" s="1687"/>
      <c r="AB95" s="1793"/>
      <c r="AD95" s="124" t="s">
        <v>865</v>
      </c>
      <c r="AE95" s="1754" t="s">
        <v>866</v>
      </c>
      <c r="AF95" s="1734"/>
      <c r="AG95" s="849"/>
      <c r="AH95" s="735"/>
      <c r="AI95" s="737"/>
      <c r="AJ95" s="737"/>
      <c r="AK95" s="737"/>
      <c r="AL95" s="737"/>
      <c r="AM95" s="737"/>
      <c r="AN95" s="737"/>
      <c r="AO95" s="737"/>
      <c r="AP95" s="737"/>
      <c r="AQ95" s="737"/>
      <c r="AR95" s="737"/>
      <c r="AS95" s="737"/>
      <c r="AT95" s="737"/>
      <c r="AU95" s="737"/>
      <c r="AV95" s="737"/>
      <c r="AW95" s="737"/>
      <c r="AX95" s="737"/>
      <c r="AY95" s="737"/>
      <c r="AZ95" s="737"/>
      <c r="BA95" s="737"/>
      <c r="BB95" s="737"/>
      <c r="BC95" s="737"/>
      <c r="BD95" s="737"/>
      <c r="BE95" s="737"/>
      <c r="BF95" s="737"/>
      <c r="BG95" s="737"/>
      <c r="BH95" s="737"/>
      <c r="BI95" s="737"/>
      <c r="BJ95" s="737"/>
      <c r="BK95" s="737"/>
      <c r="BL95" s="737"/>
      <c r="BM95" s="737"/>
      <c r="BN95" s="737"/>
      <c r="BO95" s="737"/>
      <c r="BP95" s="737"/>
      <c r="BQ95" s="737"/>
      <c r="BR95" s="737"/>
      <c r="BS95" s="737"/>
      <c r="BT95" s="737"/>
      <c r="BU95" s="737"/>
      <c r="BV95" s="737"/>
      <c r="BW95" s="737"/>
      <c r="BX95" s="737"/>
      <c r="BY95" s="737"/>
      <c r="BZ95" s="737"/>
      <c r="CA95" s="737"/>
      <c r="CB95" s="737"/>
      <c r="CC95" s="737"/>
      <c r="CD95" s="737"/>
      <c r="CE95" s="737"/>
      <c r="CF95" s="737"/>
      <c r="CG95" s="737"/>
      <c r="CH95" s="737"/>
      <c r="CI95" s="737"/>
      <c r="CJ95" s="737"/>
      <c r="CK95" s="737"/>
      <c r="CL95" s="737"/>
      <c r="CM95" s="737"/>
      <c r="CN95" s="737"/>
      <c r="CO95" s="737"/>
      <c r="CP95" s="737"/>
      <c r="CQ95" s="737"/>
      <c r="CR95" s="737"/>
      <c r="CS95" s="737"/>
      <c r="CT95" s="28"/>
      <c r="CW95" s="970" t="s">
        <v>867</v>
      </c>
    </row>
    <row r="96" spans="5:104" ht="16.7" hidden="1" customHeight="1">
      <c r="E96" s="676">
        <v>17.100000000000001</v>
      </c>
      <c r="F96" s="779" cm="1">
        <f t="array" aca="1" ref="F96" ca="1">OFFSET(G96,-1,-1)</f>
        <v>0</v>
      </c>
      <c r="L96" s="779" t="b" cm="1">
        <f t="array" aca="1" ref="L96" ca="1">OFFSET(M96,-1,-1)</f>
        <v>0</v>
      </c>
      <c r="S96" s="110" t="b" cm="1">
        <f t="array" aca="1" ref="S96" ca="1">OFFSET(T96,-1,-1)</f>
        <v>0</v>
      </c>
      <c r="T96" s="110" t="b">
        <f>AD96&lt;&gt;"31.0"</f>
        <v>0</v>
      </c>
      <c r="U96" s="698" t="b">
        <f t="shared" ca="1" si="35"/>
        <v>0</v>
      </c>
      <c r="X96" s="110" t="s">
        <v>236</v>
      </c>
      <c r="Y96" s="1687"/>
      <c r="Z96" s="1687"/>
      <c r="AB96" s="1793"/>
      <c r="AD96" s="111" t="s">
        <v>868</v>
      </c>
      <c r="AE96" s="821"/>
      <c r="AF96" s="524"/>
      <c r="AG96" s="894" t="str">
        <f>"руб./"&amp;IFERROR(INDEX(fuel_ed_izm_list,MATCH(AE96,fuel_list,0)),"")</f>
        <v>руб./</v>
      </c>
      <c r="AH96" s="41">
        <f>IFERROR(AH100/AH64,0)*1000</f>
        <v>0</v>
      </c>
      <c r="AI96" s="41">
        <f>IFERROR(AI100/AI64,0)*1000</f>
        <v>0</v>
      </c>
      <c r="AJ96" s="41">
        <f>IFERROR(AJ100/AJ64,0)*1000</f>
        <v>0</v>
      </c>
      <c r="AK96" s="41">
        <f>IFERROR(AK100/AK64,0)*1000</f>
        <v>0</v>
      </c>
      <c r="AL96" s="736">
        <f ca="1">IFERROR(AL100/AL64,0)*1000</f>
        <v>0</v>
      </c>
      <c r="AM96" s="42"/>
      <c r="AN96" s="42"/>
      <c r="AO96" s="736">
        <f ca="1">IFERROR(AO100/AO64,0)*1000</f>
        <v>0</v>
      </c>
      <c r="AP96" s="826"/>
      <c r="AQ96" s="826"/>
      <c r="AR96" s="736">
        <f ca="1">IFERROR(AR100/AR64,0)*1000</f>
        <v>0</v>
      </c>
      <c r="AS96" s="826"/>
      <c r="AT96" s="826"/>
      <c r="AU96" s="736">
        <f ca="1">IFERROR(AU100/AU64,0)*1000</f>
        <v>0</v>
      </c>
      <c r="AV96" s="826"/>
      <c r="AW96" s="826"/>
      <c r="AX96" s="736">
        <f ca="1">IFERROR(AX100/AX64,0)*1000</f>
        <v>0</v>
      </c>
      <c r="AY96" s="826"/>
      <c r="AZ96" s="826"/>
      <c r="BA96" s="736">
        <f ca="1">IFERROR(BA100/BA64,0)*1000</f>
        <v>0</v>
      </c>
      <c r="BB96" s="42"/>
      <c r="BC96" s="42"/>
      <c r="BD96" s="736">
        <f ca="1">IFERROR(BD100/BD64,0)*1000</f>
        <v>0</v>
      </c>
      <c r="BE96" s="42"/>
      <c r="BF96" s="42"/>
      <c r="BG96" s="736">
        <f ca="1">IFERROR(BG100/BG64,0)*1000</f>
        <v>0</v>
      </c>
      <c r="BH96" s="42"/>
      <c r="BI96" s="42"/>
      <c r="BJ96" s="736">
        <f ca="1">IFERROR(BJ100/BJ64,0)*1000</f>
        <v>0</v>
      </c>
      <c r="BK96" s="42"/>
      <c r="BL96" s="42"/>
      <c r="BM96" s="736">
        <f ca="1">IFERROR(BM100/BM64,0)*1000</f>
        <v>0</v>
      </c>
      <c r="BN96" s="42"/>
      <c r="BO96" s="42"/>
      <c r="BP96" s="736">
        <f ca="1">IFERROR(BP100/BP64,0)*1000</f>
        <v>0</v>
      </c>
      <c r="BQ96" s="826"/>
      <c r="BR96" s="826"/>
      <c r="BS96" s="736">
        <f ca="1">IFERROR(BS100/BS64,0)*1000</f>
        <v>0</v>
      </c>
      <c r="BT96" s="826"/>
      <c r="BU96" s="826"/>
      <c r="BV96" s="736">
        <f ca="1">IFERROR(BV100/BV64,0)*1000</f>
        <v>0</v>
      </c>
      <c r="BW96" s="826"/>
      <c r="BX96" s="826"/>
      <c r="BY96" s="736">
        <f ca="1">IFERROR(BY100/BY64,0)*1000</f>
        <v>0</v>
      </c>
      <c r="BZ96" s="826"/>
      <c r="CA96" s="826"/>
      <c r="CB96" s="736">
        <f ca="1">IFERROR(CB100/CB64,0)*1000</f>
        <v>0</v>
      </c>
      <c r="CC96" s="826"/>
      <c r="CD96" s="826"/>
      <c r="CE96" s="736">
        <f ca="1">IFERROR(CE100/CE64,0)*1000</f>
        <v>0</v>
      </c>
      <c r="CF96" s="42"/>
      <c r="CG96" s="42"/>
      <c r="CH96" s="736">
        <f ca="1">IFERROR(CH100/CH64,0)*1000</f>
        <v>0</v>
      </c>
      <c r="CI96" s="42"/>
      <c r="CJ96" s="42"/>
      <c r="CK96" s="736">
        <f ca="1">IFERROR(CK100/CK64,0)*1000</f>
        <v>0</v>
      </c>
      <c r="CL96" s="42"/>
      <c r="CM96" s="42"/>
      <c r="CN96" s="736">
        <f ca="1">IFERROR(CN100/CN64,0)*1000</f>
        <v>0</v>
      </c>
      <c r="CO96" s="42"/>
      <c r="CP96" s="42"/>
      <c r="CQ96" s="736">
        <f ca="1">IFERROR(CQ100/CQ64,0)*1000</f>
        <v>0</v>
      </c>
      <c r="CR96" s="42"/>
      <c r="CS96" s="42"/>
      <c r="CT96" s="28"/>
      <c r="CW96" s="970" t="s">
        <v>867</v>
      </c>
      <c r="CX96" s="975" t="s">
        <v>821</v>
      </c>
      <c r="CY96" s="979" cm="1">
        <f t="array" ref="CY96">AE96</f>
        <v>0</v>
      </c>
      <c r="CZ96" s="979" cm="1">
        <f t="array" ref="CZ96">AF96</f>
        <v>0</v>
      </c>
    </row>
    <row r="97" spans="5:104" ht="15" hidden="1" customHeight="1">
      <c r="E97" s="676">
        <v>0</v>
      </c>
      <c r="F97" s="779" cm="1">
        <f t="array" aca="1" ref="F97" ca="1">OFFSET(G97,-1,-1)</f>
        <v>0</v>
      </c>
      <c r="L97" s="779" t="b" cm="1">
        <f t="array" aca="1" ref="L97" ca="1">OFFSET(M97,-1,-1)</f>
        <v>0</v>
      </c>
      <c r="S97" s="110" t="b" cm="1">
        <f t="array" aca="1" ref="S97" ca="1">OFFSET(T97,-1,-1)</f>
        <v>0</v>
      </c>
      <c r="U97" s="698" t="b">
        <f t="shared" ca="1" si="35"/>
        <v>0</v>
      </c>
      <c r="X97" s="820" t="str">
        <f>"{                  
         funcDyn: 'msg1',
         blok: 'blok_2',
         wsCross: 'Топливо 4.4',
         linkFormula: 'AE-AE#AF-AF',
         levelDyn: "&amp;Y28&amp;"
}"</f>
        <v>{                  
         funcDyn: 'msg1',
         blok: 'blok_2',
         wsCross: 'Топливо 4.4',
         linkFormula: 'AE-AE#AF-AF',
         levelDyn: 0
}</v>
      </c>
      <c r="Y97" s="1687"/>
      <c r="Z97" s="1687"/>
      <c r="AB97" s="1793"/>
      <c r="AD97" s="823"/>
      <c r="AE97" s="822" t="s">
        <v>238</v>
      </c>
      <c r="AF97" s="745"/>
      <c r="AG97" s="733"/>
      <c r="AH97" s="737"/>
      <c r="AI97" s="737"/>
      <c r="AJ97" s="737"/>
      <c r="AK97" s="737"/>
      <c r="AL97" s="737"/>
      <c r="AM97" s="737"/>
      <c r="AN97" s="737"/>
      <c r="AO97" s="737"/>
      <c r="AP97" s="737"/>
      <c r="AQ97" s="737"/>
      <c r="AR97" s="737"/>
      <c r="AS97" s="737"/>
      <c r="AT97" s="737"/>
      <c r="AU97" s="737"/>
      <c r="AV97" s="737"/>
      <c r="AW97" s="737"/>
      <c r="AX97" s="737"/>
      <c r="AY97" s="737"/>
      <c r="AZ97" s="737"/>
      <c r="BA97" s="737"/>
      <c r="BB97" s="737"/>
      <c r="BC97" s="737"/>
      <c r="BD97" s="737"/>
      <c r="BE97" s="737"/>
      <c r="BF97" s="737"/>
      <c r="BG97" s="737"/>
      <c r="BH97" s="737"/>
      <c r="BI97" s="737"/>
      <c r="BJ97" s="737"/>
      <c r="BK97" s="737"/>
      <c r="BL97" s="737"/>
      <c r="BM97" s="737"/>
      <c r="BN97" s="737"/>
      <c r="BO97" s="737"/>
      <c r="BP97" s="737"/>
      <c r="BQ97" s="737"/>
      <c r="BR97" s="737"/>
      <c r="BS97" s="737"/>
      <c r="BT97" s="737"/>
      <c r="BU97" s="737"/>
      <c r="BV97" s="737"/>
      <c r="BW97" s="737"/>
      <c r="BX97" s="737"/>
      <c r="BY97" s="737"/>
      <c r="BZ97" s="737"/>
      <c r="CA97" s="737"/>
      <c r="CB97" s="737"/>
      <c r="CC97" s="737"/>
      <c r="CD97" s="737"/>
      <c r="CE97" s="737"/>
      <c r="CF97" s="737"/>
      <c r="CG97" s="737"/>
      <c r="CH97" s="737"/>
      <c r="CI97" s="737"/>
      <c r="CJ97" s="737"/>
      <c r="CK97" s="737"/>
      <c r="CL97" s="737"/>
      <c r="CM97" s="737"/>
      <c r="CN97" s="737"/>
      <c r="CO97" s="737"/>
      <c r="CP97" s="737"/>
      <c r="CQ97" s="737"/>
      <c r="CR97" s="737"/>
      <c r="CS97" s="737"/>
      <c r="CT97" s="46"/>
      <c r="CW97" s="970" t="str">
        <f>IF(AND(ISNUMBER(VALUE(TRIM(SUBSTITUTE(AD97,".","")))),TRIM(SUBSTITUTE(AD97,".",""))&lt;&gt;""),"P"&amp;SUBSTITUTE(AD97,".",""),"")</f>
        <v/>
      </c>
    </row>
    <row r="98" spans="5:104" ht="16.7" hidden="1" customHeight="1">
      <c r="E98" s="676">
        <v>17.100000000000001</v>
      </c>
      <c r="F98" s="779" cm="1">
        <f t="array" aca="1" ref="F98" ca="1">OFFSET(G98,-1,-1)</f>
        <v>0</v>
      </c>
      <c r="L98" s="779" t="b" cm="1">
        <f t="array" aca="1" ref="L98" ca="1">OFFSET(M98,-1,-1)</f>
        <v>0</v>
      </c>
      <c r="S98" s="110" t="b" cm="1">
        <f t="array" aca="1" ref="S98" ca="1">OFFSET(T98,-1,-1)</f>
        <v>0</v>
      </c>
      <c r="U98" s="698" t="b">
        <f t="shared" ca="1" si="35"/>
        <v>0</v>
      </c>
      <c r="Y98" s="1687"/>
      <c r="Z98" s="1687"/>
      <c r="AB98" s="1793"/>
      <c r="AD98" s="124" t="s">
        <v>869</v>
      </c>
      <c r="AE98" s="1754" t="s">
        <v>870</v>
      </c>
      <c r="AF98" s="1734"/>
      <c r="AG98" s="733" t="s">
        <v>839</v>
      </c>
      <c r="AH98" s="734">
        <f t="shared" ref="AH98:BM98" si="36">SUM(AH100:AH101)</f>
        <v>0</v>
      </c>
      <c r="AI98" s="734">
        <f t="shared" si="36"/>
        <v>0</v>
      </c>
      <c r="AJ98" s="734">
        <f t="shared" si="36"/>
        <v>0</v>
      </c>
      <c r="AK98" s="734">
        <f t="shared" si="36"/>
        <v>0</v>
      </c>
      <c r="AL98" s="734">
        <f t="shared" ca="1" si="36"/>
        <v>0</v>
      </c>
      <c r="AM98" s="734">
        <f t="shared" si="36"/>
        <v>0</v>
      </c>
      <c r="AN98" s="734">
        <f t="shared" ca="1" si="36"/>
        <v>0</v>
      </c>
      <c r="AO98" s="734">
        <f t="shared" ca="1" si="36"/>
        <v>0</v>
      </c>
      <c r="AP98" s="734">
        <f t="shared" si="36"/>
        <v>0</v>
      </c>
      <c r="AQ98" s="734">
        <f t="shared" ca="1" si="36"/>
        <v>0</v>
      </c>
      <c r="AR98" s="734">
        <f t="shared" ca="1" si="36"/>
        <v>0</v>
      </c>
      <c r="AS98" s="734">
        <f t="shared" si="36"/>
        <v>0</v>
      </c>
      <c r="AT98" s="734">
        <f t="shared" ca="1" si="36"/>
        <v>0</v>
      </c>
      <c r="AU98" s="734">
        <f t="shared" ca="1" si="36"/>
        <v>0</v>
      </c>
      <c r="AV98" s="734">
        <f t="shared" si="36"/>
        <v>0</v>
      </c>
      <c r="AW98" s="734">
        <f t="shared" ca="1" si="36"/>
        <v>0</v>
      </c>
      <c r="AX98" s="734">
        <f t="shared" ca="1" si="36"/>
        <v>0</v>
      </c>
      <c r="AY98" s="734">
        <f t="shared" si="36"/>
        <v>0</v>
      </c>
      <c r="AZ98" s="734">
        <f t="shared" ca="1" si="36"/>
        <v>0</v>
      </c>
      <c r="BA98" s="734">
        <f t="shared" ca="1" si="36"/>
        <v>0</v>
      </c>
      <c r="BB98" s="734">
        <f t="shared" si="36"/>
        <v>0</v>
      </c>
      <c r="BC98" s="734">
        <f t="shared" ca="1" si="36"/>
        <v>0</v>
      </c>
      <c r="BD98" s="734">
        <f t="shared" ca="1" si="36"/>
        <v>0</v>
      </c>
      <c r="BE98" s="734">
        <f t="shared" si="36"/>
        <v>0</v>
      </c>
      <c r="BF98" s="734">
        <f t="shared" ca="1" si="36"/>
        <v>0</v>
      </c>
      <c r="BG98" s="734">
        <f t="shared" ca="1" si="36"/>
        <v>0</v>
      </c>
      <c r="BH98" s="734">
        <f t="shared" si="36"/>
        <v>0</v>
      </c>
      <c r="BI98" s="734">
        <f t="shared" ca="1" si="36"/>
        <v>0</v>
      </c>
      <c r="BJ98" s="734">
        <f t="shared" ca="1" si="36"/>
        <v>0</v>
      </c>
      <c r="BK98" s="734">
        <f t="shared" si="36"/>
        <v>0</v>
      </c>
      <c r="BL98" s="734">
        <f t="shared" ca="1" si="36"/>
        <v>0</v>
      </c>
      <c r="BM98" s="734">
        <f t="shared" ca="1" si="36"/>
        <v>0</v>
      </c>
      <c r="BN98" s="734">
        <f t="shared" ref="BN98:CS98" si="37">SUM(BN100:BN101)</f>
        <v>0</v>
      </c>
      <c r="BO98" s="734">
        <f t="shared" ca="1" si="37"/>
        <v>0</v>
      </c>
      <c r="BP98" s="734">
        <f t="shared" ca="1" si="37"/>
        <v>0</v>
      </c>
      <c r="BQ98" s="734">
        <f t="shared" si="37"/>
        <v>0</v>
      </c>
      <c r="BR98" s="734">
        <f t="shared" ca="1" si="37"/>
        <v>0</v>
      </c>
      <c r="BS98" s="734">
        <f t="shared" ca="1" si="37"/>
        <v>0</v>
      </c>
      <c r="BT98" s="734">
        <f t="shared" si="37"/>
        <v>0</v>
      </c>
      <c r="BU98" s="734">
        <f t="shared" ca="1" si="37"/>
        <v>0</v>
      </c>
      <c r="BV98" s="734">
        <f t="shared" ca="1" si="37"/>
        <v>0</v>
      </c>
      <c r="BW98" s="734">
        <f t="shared" si="37"/>
        <v>0</v>
      </c>
      <c r="BX98" s="734">
        <f t="shared" ca="1" si="37"/>
        <v>0</v>
      </c>
      <c r="BY98" s="734">
        <f t="shared" ca="1" si="37"/>
        <v>0</v>
      </c>
      <c r="BZ98" s="734">
        <f t="shared" si="37"/>
        <v>0</v>
      </c>
      <c r="CA98" s="734">
        <f t="shared" ca="1" si="37"/>
        <v>0</v>
      </c>
      <c r="CB98" s="734">
        <f t="shared" ca="1" si="37"/>
        <v>0</v>
      </c>
      <c r="CC98" s="734">
        <f t="shared" si="37"/>
        <v>0</v>
      </c>
      <c r="CD98" s="734">
        <f t="shared" ca="1" si="37"/>
        <v>0</v>
      </c>
      <c r="CE98" s="734">
        <f t="shared" ca="1" si="37"/>
        <v>0</v>
      </c>
      <c r="CF98" s="734">
        <f t="shared" si="37"/>
        <v>0</v>
      </c>
      <c r="CG98" s="734">
        <f t="shared" ca="1" si="37"/>
        <v>0</v>
      </c>
      <c r="CH98" s="734">
        <f t="shared" ca="1" si="37"/>
        <v>0</v>
      </c>
      <c r="CI98" s="734">
        <f t="shared" si="37"/>
        <v>0</v>
      </c>
      <c r="CJ98" s="734">
        <f t="shared" ca="1" si="37"/>
        <v>0</v>
      </c>
      <c r="CK98" s="734">
        <f t="shared" ca="1" si="37"/>
        <v>0</v>
      </c>
      <c r="CL98" s="734">
        <f t="shared" si="37"/>
        <v>0</v>
      </c>
      <c r="CM98" s="734">
        <f t="shared" ca="1" si="37"/>
        <v>0</v>
      </c>
      <c r="CN98" s="734">
        <f t="shared" ca="1" si="37"/>
        <v>0</v>
      </c>
      <c r="CO98" s="734">
        <f t="shared" si="37"/>
        <v>0</v>
      </c>
      <c r="CP98" s="734">
        <f t="shared" ca="1" si="37"/>
        <v>0</v>
      </c>
      <c r="CQ98" s="734">
        <f t="shared" ca="1" si="37"/>
        <v>0</v>
      </c>
      <c r="CR98" s="734">
        <f t="shared" si="37"/>
        <v>0</v>
      </c>
      <c r="CS98" s="734">
        <f t="shared" ca="1" si="37"/>
        <v>0</v>
      </c>
      <c r="CT98" s="28"/>
      <c r="CW98" s="970" t="s">
        <v>871</v>
      </c>
    </row>
    <row r="99" spans="5:104" ht="16.7" hidden="1" customHeight="1">
      <c r="E99" s="676">
        <v>17.100000000000001</v>
      </c>
      <c r="F99" s="779" cm="1">
        <f t="array" aca="1" ref="F99" ca="1">OFFSET(G99,-1,-1)</f>
        <v>0</v>
      </c>
      <c r="L99" s="779" t="b" cm="1">
        <f t="array" aca="1" ref="L99" ca="1">OFFSET(M99,-1,-1)</f>
        <v>0</v>
      </c>
      <c r="R99" s="779" t="s">
        <v>759</v>
      </c>
      <c r="S99" s="110" t="b" cm="1">
        <f t="array" aca="1" ref="S99" ca="1">OFFSET(T99,-1,-1)</f>
        <v>0</v>
      </c>
      <c r="T99" s="779" t="b">
        <v>0</v>
      </c>
      <c r="U99" s="698" t="b">
        <f t="shared" ca="1" si="35"/>
        <v>0</v>
      </c>
      <c r="Y99" s="1687"/>
      <c r="Z99" s="1687"/>
      <c r="AB99" s="1793"/>
      <c r="AD99" s="111" t="str">
        <f>AD98&amp;".0"</f>
        <v>32.0</v>
      </c>
      <c r="AE99" s="1755" t="s">
        <v>770</v>
      </c>
      <c r="AF99" s="1756"/>
      <c r="AG99" s="733" t="s">
        <v>839</v>
      </c>
      <c r="AH99" s="41">
        <f>AH52*AH98</f>
        <v>0</v>
      </c>
      <c r="AI99" s="42">
        <f>AI$52*AI98</f>
        <v>0</v>
      </c>
      <c r="AJ99" s="42">
        <f>AJ$52*AJ98</f>
        <v>0</v>
      </c>
      <c r="AK99" s="42">
        <f>AK$52*AK98</f>
        <v>0</v>
      </c>
      <c r="AL99" s="736">
        <f ca="1">AM99+AN99</f>
        <v>0</v>
      </c>
      <c r="AM99" s="42">
        <f>AM$52*AM98</f>
        <v>0</v>
      </c>
      <c r="AN99" s="42">
        <f ca="1">AN$52*AN98</f>
        <v>0</v>
      </c>
      <c r="AO99" s="736">
        <f ca="1">AP99+AQ99</f>
        <v>0</v>
      </c>
      <c r="AP99" s="826">
        <f>AP$52*AP98</f>
        <v>0</v>
      </c>
      <c r="AQ99" s="826">
        <f ca="1">AQ$52*AQ98</f>
        <v>0</v>
      </c>
      <c r="AR99" s="736">
        <f ca="1">AS99+AT99</f>
        <v>0</v>
      </c>
      <c r="AS99" s="826">
        <f>AS$52*AS98</f>
        <v>0</v>
      </c>
      <c r="AT99" s="826">
        <f ca="1">AT$52*AT98</f>
        <v>0</v>
      </c>
      <c r="AU99" s="736">
        <f ca="1">AV99+AW99</f>
        <v>0</v>
      </c>
      <c r="AV99" s="826">
        <f>AV$52*AV98</f>
        <v>0</v>
      </c>
      <c r="AW99" s="826">
        <f ca="1">AW$52*AW98</f>
        <v>0</v>
      </c>
      <c r="AX99" s="736">
        <f ca="1">AY99+AZ99</f>
        <v>0</v>
      </c>
      <c r="AY99" s="826">
        <f>AY$52*AY98</f>
        <v>0</v>
      </c>
      <c r="AZ99" s="826">
        <f ca="1">AZ$52*AZ98</f>
        <v>0</v>
      </c>
      <c r="BA99" s="736">
        <f ca="1">BB99+BC99</f>
        <v>0</v>
      </c>
      <c r="BB99" s="42">
        <f>BB$52*BB98</f>
        <v>0</v>
      </c>
      <c r="BC99" s="42">
        <f ca="1">BC$52*BC98</f>
        <v>0</v>
      </c>
      <c r="BD99" s="736">
        <f ca="1">BE99+BF99</f>
        <v>0</v>
      </c>
      <c r="BE99" s="42">
        <f>BE$52*BE98</f>
        <v>0</v>
      </c>
      <c r="BF99" s="42">
        <f ca="1">BF$52*BF98</f>
        <v>0</v>
      </c>
      <c r="BG99" s="736">
        <f ca="1">BH99+BI99</f>
        <v>0</v>
      </c>
      <c r="BH99" s="42">
        <f>BH$52*BH98</f>
        <v>0</v>
      </c>
      <c r="BI99" s="42">
        <f ca="1">BI$52*BI98</f>
        <v>0</v>
      </c>
      <c r="BJ99" s="736">
        <f ca="1">BK99+BL99</f>
        <v>0</v>
      </c>
      <c r="BK99" s="42">
        <f>BK$52*BK98</f>
        <v>0</v>
      </c>
      <c r="BL99" s="42">
        <f ca="1">BL$52*BL98</f>
        <v>0</v>
      </c>
      <c r="BM99" s="736">
        <f ca="1">BN99+BO99</f>
        <v>0</v>
      </c>
      <c r="BN99" s="42">
        <f>BN$52*BN98</f>
        <v>0</v>
      </c>
      <c r="BO99" s="42">
        <f ca="1">BO$52*BO98</f>
        <v>0</v>
      </c>
      <c r="BP99" s="736">
        <f ca="1">BQ99+BR99</f>
        <v>0</v>
      </c>
      <c r="BQ99" s="826">
        <f>BQ$52*BQ98</f>
        <v>0</v>
      </c>
      <c r="BR99" s="826">
        <f ca="1">BR$52*BR98</f>
        <v>0</v>
      </c>
      <c r="BS99" s="736">
        <f ca="1">BT99+BU99</f>
        <v>0</v>
      </c>
      <c r="BT99" s="826">
        <f>BT$52*BT98</f>
        <v>0</v>
      </c>
      <c r="BU99" s="826">
        <f ca="1">BU$52*BU98</f>
        <v>0</v>
      </c>
      <c r="BV99" s="736">
        <f ca="1">BW99+BX99</f>
        <v>0</v>
      </c>
      <c r="BW99" s="826">
        <f>BW$52*BW98</f>
        <v>0</v>
      </c>
      <c r="BX99" s="826">
        <f ca="1">BX$52*BX98</f>
        <v>0</v>
      </c>
      <c r="BY99" s="736">
        <f ca="1">BZ99+CA99</f>
        <v>0</v>
      </c>
      <c r="BZ99" s="826">
        <f>BZ$52*BZ98</f>
        <v>0</v>
      </c>
      <c r="CA99" s="826">
        <f ca="1">CA$52*CA98</f>
        <v>0</v>
      </c>
      <c r="CB99" s="736">
        <f ca="1">CC99+CD99</f>
        <v>0</v>
      </c>
      <c r="CC99" s="826">
        <f>CC$52*CC98</f>
        <v>0</v>
      </c>
      <c r="CD99" s="826">
        <f ca="1">CD$52*CD98</f>
        <v>0</v>
      </c>
      <c r="CE99" s="736">
        <f ca="1">CF99+CG99</f>
        <v>0</v>
      </c>
      <c r="CF99" s="42">
        <f>CF$52*CF98</f>
        <v>0</v>
      </c>
      <c r="CG99" s="42">
        <f ca="1">CG$52*CG98</f>
        <v>0</v>
      </c>
      <c r="CH99" s="736">
        <f ca="1">CI99+CJ99</f>
        <v>0</v>
      </c>
      <c r="CI99" s="42">
        <f>CI$52*CI98</f>
        <v>0</v>
      </c>
      <c r="CJ99" s="42">
        <f ca="1">CJ$52*CJ98</f>
        <v>0</v>
      </c>
      <c r="CK99" s="736">
        <f ca="1">CL99+CM99</f>
        <v>0</v>
      </c>
      <c r="CL99" s="42">
        <f>CL$52*CL98</f>
        <v>0</v>
      </c>
      <c r="CM99" s="42">
        <f ca="1">CM$52*CM98</f>
        <v>0</v>
      </c>
      <c r="CN99" s="736">
        <f ca="1">CO99+CP99</f>
        <v>0</v>
      </c>
      <c r="CO99" s="42">
        <f>CO$52*CO98</f>
        <v>0</v>
      </c>
      <c r="CP99" s="42">
        <f ca="1">CP$52*CP98</f>
        <v>0</v>
      </c>
      <c r="CQ99" s="736">
        <f ca="1">CR99+CS99</f>
        <v>0</v>
      </c>
      <c r="CR99" s="42">
        <f>CR$52*CR98</f>
        <v>0</v>
      </c>
      <c r="CS99" s="42">
        <f ca="1">CS$52*CS98</f>
        <v>0</v>
      </c>
      <c r="CT99" s="28"/>
      <c r="CW99" s="970" t="s">
        <v>872</v>
      </c>
    </row>
    <row r="100" spans="5:104" ht="16.7" hidden="1" customHeight="1">
      <c r="E100" s="676">
        <v>17.100000000000001</v>
      </c>
      <c r="F100" s="779" cm="1">
        <f t="array" aca="1" ref="F100" ca="1">OFFSET(G100,-1,-1)</f>
        <v>0</v>
      </c>
      <c r="L100" s="779" t="b" cm="1">
        <f t="array" aca="1" ref="L100" ca="1">OFFSET(M100,-1,-1)</f>
        <v>0</v>
      </c>
      <c r="S100" s="110" t="b" cm="1">
        <f t="array" aca="1" ref="S100" ca="1">OFFSET(T100,-1,-1)</f>
        <v>0</v>
      </c>
      <c r="T100" s="110" t="b">
        <f>AD100&lt;&gt;"32.0"</f>
        <v>0</v>
      </c>
      <c r="U100" s="698" t="b">
        <f t="shared" ca="1" si="35"/>
        <v>0</v>
      </c>
      <c r="X100" s="110" t="s">
        <v>236</v>
      </c>
      <c r="Y100" s="1687"/>
      <c r="Z100" s="1687"/>
      <c r="AB100" s="1793"/>
      <c r="AD100" s="111" t="s">
        <v>873</v>
      </c>
      <c r="AE100" s="821"/>
      <c r="AF100" s="524"/>
      <c r="AG100" s="733" t="s">
        <v>839</v>
      </c>
      <c r="AH100" s="41"/>
      <c r="AI100" s="42"/>
      <c r="AJ100" s="42"/>
      <c r="AK100" s="42"/>
      <c r="AL100" s="736">
        <f ca="1">AM100+AN100</f>
        <v>0</v>
      </c>
      <c r="AM100" s="42">
        <f>AM96*AM64/1000</f>
        <v>0</v>
      </c>
      <c r="AN100" s="42">
        <f ca="1">AN96*AN64/1000</f>
        <v>0</v>
      </c>
      <c r="AO100" s="736">
        <f ca="1">AP100+AQ100</f>
        <v>0</v>
      </c>
      <c r="AP100" s="826">
        <f>AP96*AP64/1000</f>
        <v>0</v>
      </c>
      <c r="AQ100" s="826">
        <f ca="1">AQ96*AQ64/1000</f>
        <v>0</v>
      </c>
      <c r="AR100" s="736">
        <f ca="1">AS100+AT100</f>
        <v>0</v>
      </c>
      <c r="AS100" s="826">
        <f>AS96*AS64/1000</f>
        <v>0</v>
      </c>
      <c r="AT100" s="826">
        <f ca="1">AT96*AT64/1000</f>
        <v>0</v>
      </c>
      <c r="AU100" s="736">
        <f ca="1">AV100+AW100</f>
        <v>0</v>
      </c>
      <c r="AV100" s="826">
        <f>AV96*AV64/1000</f>
        <v>0</v>
      </c>
      <c r="AW100" s="826">
        <f ca="1">AW96*AW64/1000</f>
        <v>0</v>
      </c>
      <c r="AX100" s="736">
        <f ca="1">AY100+AZ100</f>
        <v>0</v>
      </c>
      <c r="AY100" s="826">
        <f>AY96*AY64/1000</f>
        <v>0</v>
      </c>
      <c r="AZ100" s="826">
        <f ca="1">AZ96*AZ64/1000</f>
        <v>0</v>
      </c>
      <c r="BA100" s="736">
        <f ca="1">BB100+BC100</f>
        <v>0</v>
      </c>
      <c r="BB100" s="42">
        <f>BB96*BB64/1000</f>
        <v>0</v>
      </c>
      <c r="BC100" s="42">
        <f ca="1">BC96*BC64/1000</f>
        <v>0</v>
      </c>
      <c r="BD100" s="736">
        <f ca="1">BE100+BF100</f>
        <v>0</v>
      </c>
      <c r="BE100" s="42">
        <f>BE96*BE64/1000</f>
        <v>0</v>
      </c>
      <c r="BF100" s="42">
        <f ca="1">BF96*BF64/1000</f>
        <v>0</v>
      </c>
      <c r="BG100" s="736">
        <f ca="1">BH100+BI100</f>
        <v>0</v>
      </c>
      <c r="BH100" s="42">
        <f>BH96*BH64/1000</f>
        <v>0</v>
      </c>
      <c r="BI100" s="42">
        <f ca="1">BI96*BI64/1000</f>
        <v>0</v>
      </c>
      <c r="BJ100" s="736">
        <f ca="1">BK100+BL100</f>
        <v>0</v>
      </c>
      <c r="BK100" s="42">
        <f>BK96*BK64/1000</f>
        <v>0</v>
      </c>
      <c r="BL100" s="42">
        <f ca="1">BL96*BL64/1000</f>
        <v>0</v>
      </c>
      <c r="BM100" s="736">
        <f ca="1">BN100+BO100</f>
        <v>0</v>
      </c>
      <c r="BN100" s="42">
        <f>BN96*BN64/1000</f>
        <v>0</v>
      </c>
      <c r="BO100" s="42">
        <f ca="1">BO96*BO64/1000</f>
        <v>0</v>
      </c>
      <c r="BP100" s="736">
        <f ca="1">BQ100+BR100</f>
        <v>0</v>
      </c>
      <c r="BQ100" s="826">
        <f>BQ96*BQ64/1000</f>
        <v>0</v>
      </c>
      <c r="BR100" s="826">
        <f ca="1">BR96*BR64/1000</f>
        <v>0</v>
      </c>
      <c r="BS100" s="736">
        <f ca="1">BT100+BU100</f>
        <v>0</v>
      </c>
      <c r="BT100" s="826">
        <f>BT96*BT64/1000</f>
        <v>0</v>
      </c>
      <c r="BU100" s="826">
        <f ca="1">BU96*BU64/1000</f>
        <v>0</v>
      </c>
      <c r="BV100" s="736">
        <f ca="1">BW100+BX100</f>
        <v>0</v>
      </c>
      <c r="BW100" s="826">
        <f>BW96*BW64/1000</f>
        <v>0</v>
      </c>
      <c r="BX100" s="826">
        <f ca="1">BX96*BX64/1000</f>
        <v>0</v>
      </c>
      <c r="BY100" s="736">
        <f ca="1">BZ100+CA100</f>
        <v>0</v>
      </c>
      <c r="BZ100" s="826">
        <f>BZ96*BZ64/1000</f>
        <v>0</v>
      </c>
      <c r="CA100" s="826">
        <f ca="1">CA96*CA64/1000</f>
        <v>0</v>
      </c>
      <c r="CB100" s="736">
        <f ca="1">CC100+CD100</f>
        <v>0</v>
      </c>
      <c r="CC100" s="826">
        <f>CC96*CC64/1000</f>
        <v>0</v>
      </c>
      <c r="CD100" s="826">
        <f ca="1">CD96*CD64/1000</f>
        <v>0</v>
      </c>
      <c r="CE100" s="736">
        <f ca="1">CF100+CG100</f>
        <v>0</v>
      </c>
      <c r="CF100" s="42">
        <f>CF96*CF64/1000</f>
        <v>0</v>
      </c>
      <c r="CG100" s="42">
        <f ca="1">CG96*CG64/1000</f>
        <v>0</v>
      </c>
      <c r="CH100" s="736">
        <f ca="1">CI100+CJ100</f>
        <v>0</v>
      </c>
      <c r="CI100" s="42">
        <f>CI96*CI64/1000</f>
        <v>0</v>
      </c>
      <c r="CJ100" s="42">
        <f ca="1">CJ96*CJ64/1000</f>
        <v>0</v>
      </c>
      <c r="CK100" s="736">
        <f ca="1">CL100+CM100</f>
        <v>0</v>
      </c>
      <c r="CL100" s="42">
        <f>CL96*CL64/1000</f>
        <v>0</v>
      </c>
      <c r="CM100" s="42">
        <f ca="1">CM96*CM64/1000</f>
        <v>0</v>
      </c>
      <c r="CN100" s="736">
        <f ca="1">CO100+CP100</f>
        <v>0</v>
      </c>
      <c r="CO100" s="42">
        <f>CO96*CO64/1000</f>
        <v>0</v>
      </c>
      <c r="CP100" s="42">
        <f ca="1">CP96*CP64/1000</f>
        <v>0</v>
      </c>
      <c r="CQ100" s="736">
        <f ca="1">CR100+CS100</f>
        <v>0</v>
      </c>
      <c r="CR100" s="42">
        <f>CR96*CR64/1000</f>
        <v>0</v>
      </c>
      <c r="CS100" s="42">
        <f ca="1">CS96*CS64/1000</f>
        <v>0</v>
      </c>
      <c r="CT100" s="28"/>
      <c r="CW100" s="970" t="s">
        <v>872</v>
      </c>
      <c r="CX100" s="975" t="s">
        <v>821</v>
      </c>
      <c r="CY100" s="979" cm="1">
        <f t="array" ref="CY100">AE100</f>
        <v>0</v>
      </c>
      <c r="CZ100" s="979" cm="1">
        <f t="array" ref="CZ100">AF100</f>
        <v>0</v>
      </c>
    </row>
    <row r="101" spans="5:104" ht="15" hidden="1" customHeight="1">
      <c r="E101" s="676">
        <v>0</v>
      </c>
      <c r="F101" s="779" cm="1">
        <f t="array" aca="1" ref="F101" ca="1">OFFSET(G101,-1,-1)</f>
        <v>0</v>
      </c>
      <c r="L101" s="779" t="b" cm="1">
        <f t="array" aca="1" ref="L101" ca="1">OFFSET(M101,-1,-1)</f>
        <v>0</v>
      </c>
      <c r="S101" s="110" t="b" cm="1">
        <f t="array" aca="1" ref="S101" ca="1">OFFSET(T101,-1,-1)</f>
        <v>0</v>
      </c>
      <c r="U101" s="698" t="b">
        <f t="shared" ca="1" si="35"/>
        <v>0</v>
      </c>
      <c r="X101" s="820" t="str">
        <f>"{                  
         funcDyn: 'msg1',
         blok: 'blok_2',
         wsCross: 'Топливо 4.4',
         linkFormula: 'AE-AE#AF-AF',
         levelDyn: "&amp;Y28&amp;"
}"</f>
        <v>{                  
         funcDyn: 'msg1',
         blok: 'blok_2',
         wsCross: 'Топливо 4.4',
         linkFormula: 'AE-AE#AF-AF',
         levelDyn: 0
}</v>
      </c>
      <c r="Y101" s="1687"/>
      <c r="Z101" s="1687"/>
      <c r="AB101" s="1793"/>
      <c r="AD101" s="823"/>
      <c r="AE101" s="822" t="s">
        <v>238</v>
      </c>
      <c r="AF101" s="745"/>
      <c r="AG101" s="733"/>
      <c r="AH101" s="735"/>
      <c r="AI101" s="737"/>
      <c r="AJ101" s="737"/>
      <c r="AK101" s="737"/>
      <c r="AL101" s="737"/>
      <c r="AM101" s="737"/>
      <c r="AN101" s="737"/>
      <c r="AO101" s="737"/>
      <c r="AP101" s="737"/>
      <c r="AQ101" s="737"/>
      <c r="AR101" s="737"/>
      <c r="AS101" s="737"/>
      <c r="AT101" s="737"/>
      <c r="AU101" s="737"/>
      <c r="AV101" s="737"/>
      <c r="AW101" s="737"/>
      <c r="AX101" s="737"/>
      <c r="AY101" s="737"/>
      <c r="AZ101" s="737"/>
      <c r="BA101" s="737"/>
      <c r="BB101" s="737"/>
      <c r="BC101" s="737"/>
      <c r="BD101" s="737"/>
      <c r="BE101" s="737"/>
      <c r="BF101" s="737"/>
      <c r="BG101" s="737"/>
      <c r="BH101" s="737"/>
      <c r="BI101" s="737"/>
      <c r="BJ101" s="737"/>
      <c r="BK101" s="737"/>
      <c r="BL101" s="737"/>
      <c r="BM101" s="737"/>
      <c r="BN101" s="737"/>
      <c r="BO101" s="737"/>
      <c r="BP101" s="737"/>
      <c r="BQ101" s="737"/>
      <c r="BR101" s="737"/>
      <c r="BS101" s="737"/>
      <c r="BT101" s="737"/>
      <c r="BU101" s="737"/>
      <c r="BV101" s="737"/>
      <c r="BW101" s="737"/>
      <c r="BX101" s="737"/>
      <c r="BY101" s="737"/>
      <c r="BZ101" s="737"/>
      <c r="CA101" s="737"/>
      <c r="CB101" s="737"/>
      <c r="CC101" s="737"/>
      <c r="CD101" s="737"/>
      <c r="CE101" s="737"/>
      <c r="CF101" s="737"/>
      <c r="CG101" s="737"/>
      <c r="CH101" s="737"/>
      <c r="CI101" s="737"/>
      <c r="CJ101" s="737"/>
      <c r="CK101" s="737"/>
      <c r="CL101" s="737"/>
      <c r="CM101" s="737"/>
      <c r="CN101" s="737"/>
      <c r="CO101" s="737"/>
      <c r="CP101" s="737"/>
      <c r="CQ101" s="737"/>
      <c r="CR101" s="737"/>
      <c r="CS101" s="737"/>
      <c r="CT101" s="46"/>
      <c r="CW101" s="970" t="str">
        <f>IF(AND(ISNUMBER(VALUE(TRIM(SUBSTITUTE(AD101,".","")))),TRIM(SUBSTITUTE(AD101,".",""))&lt;&gt;""),"P"&amp;SUBSTITUTE(AD101,".",""),"")</f>
        <v/>
      </c>
    </row>
    <row r="102" spans="5:104" ht="29.25" hidden="1" customHeight="1">
      <c r="E102" s="676">
        <v>30</v>
      </c>
      <c r="F102" s="779" cm="1">
        <f t="array" aca="1" ref="F102" ca="1">OFFSET(G102,-1,-1)</f>
        <v>0</v>
      </c>
      <c r="L102" s="779" t="b" cm="1">
        <f t="array" aca="1" ref="L102" ca="1">OFFSET(M102,-1,-1)</f>
        <v>0</v>
      </c>
      <c r="R102" s="779" t="s">
        <v>759</v>
      </c>
      <c r="S102" s="110" t="b" cm="1">
        <f t="array" aca="1" ref="S102" ca="1">OFFSET(T102,-1,-1)</f>
        <v>0</v>
      </c>
      <c r="T102" s="110" t="b" cm="1">
        <f t="array" aca="1" ref="T102" ca="1">L102</f>
        <v>0</v>
      </c>
      <c r="U102" s="698" t="b">
        <f t="shared" ca="1" si="35"/>
        <v>0</v>
      </c>
      <c r="Y102" s="1687"/>
      <c r="Z102" s="1687"/>
      <c r="AB102" s="1793"/>
      <c r="AD102" s="124" t="s">
        <v>874</v>
      </c>
      <c r="AE102" s="1757" t="s">
        <v>875</v>
      </c>
      <c r="AF102" s="1758"/>
      <c r="AG102" s="733" t="s">
        <v>839</v>
      </c>
      <c r="AH102" s="734">
        <f t="shared" ref="AH102:BM102" si="38">SUM(AH103:AH104)</f>
        <v>0</v>
      </c>
      <c r="AI102" s="734">
        <f t="shared" si="38"/>
        <v>0</v>
      </c>
      <c r="AJ102" s="734">
        <f t="shared" si="38"/>
        <v>0</v>
      </c>
      <c r="AK102" s="734">
        <f t="shared" si="38"/>
        <v>0</v>
      </c>
      <c r="AL102" s="734">
        <f t="shared" ca="1" si="38"/>
        <v>0</v>
      </c>
      <c r="AM102" s="734">
        <f t="shared" si="38"/>
        <v>0</v>
      </c>
      <c r="AN102" s="734">
        <f t="shared" ca="1" si="38"/>
        <v>0</v>
      </c>
      <c r="AO102" s="734">
        <f t="shared" ca="1" si="38"/>
        <v>0</v>
      </c>
      <c r="AP102" s="734">
        <f t="shared" si="38"/>
        <v>0</v>
      </c>
      <c r="AQ102" s="734">
        <f t="shared" ca="1" si="38"/>
        <v>0</v>
      </c>
      <c r="AR102" s="734">
        <f t="shared" ca="1" si="38"/>
        <v>0</v>
      </c>
      <c r="AS102" s="734">
        <f t="shared" si="38"/>
        <v>0</v>
      </c>
      <c r="AT102" s="734">
        <f t="shared" ca="1" si="38"/>
        <v>0</v>
      </c>
      <c r="AU102" s="734">
        <f t="shared" ca="1" si="38"/>
        <v>0</v>
      </c>
      <c r="AV102" s="734">
        <f t="shared" si="38"/>
        <v>0</v>
      </c>
      <c r="AW102" s="734">
        <f t="shared" ca="1" si="38"/>
        <v>0</v>
      </c>
      <c r="AX102" s="734">
        <f t="shared" ca="1" si="38"/>
        <v>0</v>
      </c>
      <c r="AY102" s="734">
        <f t="shared" si="38"/>
        <v>0</v>
      </c>
      <c r="AZ102" s="734">
        <f t="shared" ca="1" si="38"/>
        <v>0</v>
      </c>
      <c r="BA102" s="734">
        <f t="shared" ca="1" si="38"/>
        <v>0</v>
      </c>
      <c r="BB102" s="734">
        <f t="shared" si="38"/>
        <v>0</v>
      </c>
      <c r="BC102" s="734">
        <f t="shared" ca="1" si="38"/>
        <v>0</v>
      </c>
      <c r="BD102" s="734">
        <f t="shared" ca="1" si="38"/>
        <v>0</v>
      </c>
      <c r="BE102" s="734">
        <f t="shared" si="38"/>
        <v>0</v>
      </c>
      <c r="BF102" s="734">
        <f t="shared" ca="1" si="38"/>
        <v>0</v>
      </c>
      <c r="BG102" s="734">
        <f t="shared" ca="1" si="38"/>
        <v>0</v>
      </c>
      <c r="BH102" s="734">
        <f t="shared" si="38"/>
        <v>0</v>
      </c>
      <c r="BI102" s="734">
        <f t="shared" ca="1" si="38"/>
        <v>0</v>
      </c>
      <c r="BJ102" s="734">
        <f t="shared" ca="1" si="38"/>
        <v>0</v>
      </c>
      <c r="BK102" s="734">
        <f t="shared" si="38"/>
        <v>0</v>
      </c>
      <c r="BL102" s="734">
        <f t="shared" ca="1" si="38"/>
        <v>0</v>
      </c>
      <c r="BM102" s="734">
        <f t="shared" ca="1" si="38"/>
        <v>0</v>
      </c>
      <c r="BN102" s="734">
        <f t="shared" ref="BN102:CS102" si="39">SUM(BN103:BN104)</f>
        <v>0</v>
      </c>
      <c r="BO102" s="734">
        <f t="shared" ca="1" si="39"/>
        <v>0</v>
      </c>
      <c r="BP102" s="734">
        <f t="shared" ca="1" si="39"/>
        <v>0</v>
      </c>
      <c r="BQ102" s="734">
        <f t="shared" si="39"/>
        <v>0</v>
      </c>
      <c r="BR102" s="734">
        <f t="shared" ca="1" si="39"/>
        <v>0</v>
      </c>
      <c r="BS102" s="734">
        <f t="shared" ca="1" si="39"/>
        <v>0</v>
      </c>
      <c r="BT102" s="734">
        <f t="shared" si="39"/>
        <v>0</v>
      </c>
      <c r="BU102" s="734">
        <f t="shared" ca="1" si="39"/>
        <v>0</v>
      </c>
      <c r="BV102" s="734">
        <f t="shared" ca="1" si="39"/>
        <v>0</v>
      </c>
      <c r="BW102" s="734">
        <f t="shared" si="39"/>
        <v>0</v>
      </c>
      <c r="BX102" s="734">
        <f t="shared" ca="1" si="39"/>
        <v>0</v>
      </c>
      <c r="BY102" s="734">
        <f t="shared" ca="1" si="39"/>
        <v>0</v>
      </c>
      <c r="BZ102" s="734">
        <f t="shared" si="39"/>
        <v>0</v>
      </c>
      <c r="CA102" s="734">
        <f t="shared" ca="1" si="39"/>
        <v>0</v>
      </c>
      <c r="CB102" s="734">
        <f t="shared" ca="1" si="39"/>
        <v>0</v>
      </c>
      <c r="CC102" s="734">
        <f t="shared" si="39"/>
        <v>0</v>
      </c>
      <c r="CD102" s="734">
        <f t="shared" ca="1" si="39"/>
        <v>0</v>
      </c>
      <c r="CE102" s="734">
        <f t="shared" ca="1" si="39"/>
        <v>0</v>
      </c>
      <c r="CF102" s="734">
        <f t="shared" si="39"/>
        <v>0</v>
      </c>
      <c r="CG102" s="734">
        <f t="shared" ca="1" si="39"/>
        <v>0</v>
      </c>
      <c r="CH102" s="734">
        <f t="shared" ca="1" si="39"/>
        <v>0</v>
      </c>
      <c r="CI102" s="734">
        <f t="shared" si="39"/>
        <v>0</v>
      </c>
      <c r="CJ102" s="734">
        <f t="shared" ca="1" si="39"/>
        <v>0</v>
      </c>
      <c r="CK102" s="734">
        <f t="shared" ca="1" si="39"/>
        <v>0</v>
      </c>
      <c r="CL102" s="734">
        <f t="shared" si="39"/>
        <v>0</v>
      </c>
      <c r="CM102" s="734">
        <f t="shared" ca="1" si="39"/>
        <v>0</v>
      </c>
      <c r="CN102" s="734">
        <f t="shared" ca="1" si="39"/>
        <v>0</v>
      </c>
      <c r="CO102" s="734">
        <f t="shared" si="39"/>
        <v>0</v>
      </c>
      <c r="CP102" s="734">
        <f t="shared" ca="1" si="39"/>
        <v>0</v>
      </c>
      <c r="CQ102" s="734">
        <f t="shared" ca="1" si="39"/>
        <v>0</v>
      </c>
      <c r="CR102" s="734">
        <f t="shared" si="39"/>
        <v>0</v>
      </c>
      <c r="CS102" s="734">
        <f t="shared" ca="1" si="39"/>
        <v>0</v>
      </c>
      <c r="CT102" s="28"/>
      <c r="CW102" s="970" t="s">
        <v>876</v>
      </c>
    </row>
    <row r="103" spans="5:104" ht="16.7" hidden="1" customHeight="1">
      <c r="E103" s="676">
        <v>17.100000000000001</v>
      </c>
      <c r="F103" s="779" cm="1">
        <f t="array" aca="1" ref="F103" ca="1">OFFSET(G103,-1,-1)</f>
        <v>0</v>
      </c>
      <c r="L103" s="779" t="b" cm="1">
        <f t="array" aca="1" ref="L103" ca="1">OFFSET(M103,-1,-1)</f>
        <v>0</v>
      </c>
      <c r="R103" s="779" t="s">
        <v>759</v>
      </c>
      <c r="S103" s="110" t="b" cm="1">
        <f t="array" aca="1" ref="S103" ca="1">OFFSET(T103,-1,-1)</f>
        <v>0</v>
      </c>
      <c r="T103" s="110" t="b">
        <f ca="1">AND(L103,AD103&lt;&gt;"33.0")</f>
        <v>0</v>
      </c>
      <c r="U103" s="698" t="b">
        <f t="shared" ca="1" si="35"/>
        <v>0</v>
      </c>
      <c r="X103" s="110" t="s">
        <v>236</v>
      </c>
      <c r="Y103" s="1687"/>
      <c r="Z103" s="1687"/>
      <c r="AB103" s="1793"/>
      <c r="AD103" s="111" t="s">
        <v>877</v>
      </c>
      <c r="AE103" s="821"/>
      <c r="AF103" s="524"/>
      <c r="AG103" s="733" t="s">
        <v>839</v>
      </c>
      <c r="AH103" s="41">
        <f>AH$52*AH100</f>
        <v>0</v>
      </c>
      <c r="AI103" s="42">
        <f>AI$52*AI100</f>
        <v>0</v>
      </c>
      <c r="AJ103" s="42">
        <f>AJ$52*AJ100</f>
        <v>0</v>
      </c>
      <c r="AK103" s="42">
        <f>AK$52*AK100</f>
        <v>0</v>
      </c>
      <c r="AL103" s="736">
        <f ca="1">AM103+AN103</f>
        <v>0</v>
      </c>
      <c r="AM103" s="42">
        <f>AM$52*AM100</f>
        <v>0</v>
      </c>
      <c r="AN103" s="42">
        <f ca="1">AN$52*AN100</f>
        <v>0</v>
      </c>
      <c r="AO103" s="736">
        <f ca="1">AP103+AQ103</f>
        <v>0</v>
      </c>
      <c r="AP103" s="826">
        <f>AP$52*AP100</f>
        <v>0</v>
      </c>
      <c r="AQ103" s="826">
        <f ca="1">AQ$52*AQ100</f>
        <v>0</v>
      </c>
      <c r="AR103" s="736">
        <f ca="1">AS103+AT103</f>
        <v>0</v>
      </c>
      <c r="AS103" s="826">
        <f>AS$52*AS100</f>
        <v>0</v>
      </c>
      <c r="AT103" s="826">
        <f ca="1">AT$52*AT100</f>
        <v>0</v>
      </c>
      <c r="AU103" s="736">
        <f ca="1">AV103+AW103</f>
        <v>0</v>
      </c>
      <c r="AV103" s="826">
        <f>AV$52*AV100</f>
        <v>0</v>
      </c>
      <c r="AW103" s="826">
        <f ca="1">AW$52*AW100</f>
        <v>0</v>
      </c>
      <c r="AX103" s="736">
        <f ca="1">AY103+AZ103</f>
        <v>0</v>
      </c>
      <c r="AY103" s="826">
        <f>AY$52*AY100</f>
        <v>0</v>
      </c>
      <c r="AZ103" s="826">
        <f ca="1">AZ$52*AZ100</f>
        <v>0</v>
      </c>
      <c r="BA103" s="736">
        <f ca="1">BB103+BC103</f>
        <v>0</v>
      </c>
      <c r="BB103" s="42">
        <f>BB$52*BB100</f>
        <v>0</v>
      </c>
      <c r="BC103" s="42">
        <f ca="1">BC$52*BC100</f>
        <v>0</v>
      </c>
      <c r="BD103" s="736">
        <f ca="1">BE103+BF103</f>
        <v>0</v>
      </c>
      <c r="BE103" s="42">
        <f>BE$52*BE100</f>
        <v>0</v>
      </c>
      <c r="BF103" s="42">
        <f ca="1">BF$52*BF100</f>
        <v>0</v>
      </c>
      <c r="BG103" s="736">
        <f ca="1">BH103+BI103</f>
        <v>0</v>
      </c>
      <c r="BH103" s="42">
        <f>BH$52*BH100</f>
        <v>0</v>
      </c>
      <c r="BI103" s="42">
        <f ca="1">BI$52*BI100</f>
        <v>0</v>
      </c>
      <c r="BJ103" s="736">
        <f ca="1">BK103+BL103</f>
        <v>0</v>
      </c>
      <c r="BK103" s="42">
        <f>BK$52*BK100</f>
        <v>0</v>
      </c>
      <c r="BL103" s="42">
        <f ca="1">BL$52*BL100</f>
        <v>0</v>
      </c>
      <c r="BM103" s="736">
        <f ca="1">BN103+BO103</f>
        <v>0</v>
      </c>
      <c r="BN103" s="42">
        <f>BN$52*BN100</f>
        <v>0</v>
      </c>
      <c r="BO103" s="42">
        <f ca="1">BO$52*BO100</f>
        <v>0</v>
      </c>
      <c r="BP103" s="736">
        <f ca="1">BQ103+BR103</f>
        <v>0</v>
      </c>
      <c r="BQ103" s="826">
        <f>BQ$52*BQ100</f>
        <v>0</v>
      </c>
      <c r="BR103" s="826">
        <f ca="1">BR$52*BR100</f>
        <v>0</v>
      </c>
      <c r="BS103" s="736">
        <f ca="1">BT103+BU103</f>
        <v>0</v>
      </c>
      <c r="BT103" s="826">
        <f>BT$52*BT100</f>
        <v>0</v>
      </c>
      <c r="BU103" s="826">
        <f ca="1">BU$52*BU100</f>
        <v>0</v>
      </c>
      <c r="BV103" s="736">
        <f ca="1">BW103+BX103</f>
        <v>0</v>
      </c>
      <c r="BW103" s="826">
        <f>BW$52*BW100</f>
        <v>0</v>
      </c>
      <c r="BX103" s="826">
        <f ca="1">BX$52*BX100</f>
        <v>0</v>
      </c>
      <c r="BY103" s="736">
        <f ca="1">BZ103+CA103</f>
        <v>0</v>
      </c>
      <c r="BZ103" s="826">
        <f>BZ$52*BZ100</f>
        <v>0</v>
      </c>
      <c r="CA103" s="826">
        <f ca="1">CA$52*CA100</f>
        <v>0</v>
      </c>
      <c r="CB103" s="736">
        <f ca="1">CC103+CD103</f>
        <v>0</v>
      </c>
      <c r="CC103" s="826">
        <f>CC$52*CC100</f>
        <v>0</v>
      </c>
      <c r="CD103" s="826">
        <f ca="1">CD$52*CD100</f>
        <v>0</v>
      </c>
      <c r="CE103" s="736">
        <f ca="1">CF103+CG103</f>
        <v>0</v>
      </c>
      <c r="CF103" s="42">
        <f>CF$52*CF100</f>
        <v>0</v>
      </c>
      <c r="CG103" s="42">
        <f ca="1">CG$52*CG100</f>
        <v>0</v>
      </c>
      <c r="CH103" s="736">
        <f ca="1">CI103+CJ103</f>
        <v>0</v>
      </c>
      <c r="CI103" s="42">
        <f>CI$52*CI100</f>
        <v>0</v>
      </c>
      <c r="CJ103" s="42">
        <f ca="1">CJ$52*CJ100</f>
        <v>0</v>
      </c>
      <c r="CK103" s="736">
        <f ca="1">CL103+CM103</f>
        <v>0</v>
      </c>
      <c r="CL103" s="42">
        <f>CL$52*CL100</f>
        <v>0</v>
      </c>
      <c r="CM103" s="42">
        <f ca="1">CM$52*CM100</f>
        <v>0</v>
      </c>
      <c r="CN103" s="736">
        <f ca="1">CO103+CP103</f>
        <v>0</v>
      </c>
      <c r="CO103" s="42">
        <f>CO$52*CO100</f>
        <v>0</v>
      </c>
      <c r="CP103" s="42">
        <f ca="1">CP$52*CP100</f>
        <v>0</v>
      </c>
      <c r="CQ103" s="736">
        <f ca="1">CR103+CS103</f>
        <v>0</v>
      </c>
      <c r="CR103" s="42">
        <f>CR$52*CR100</f>
        <v>0</v>
      </c>
      <c r="CS103" s="42">
        <f ca="1">CS$52*CS100</f>
        <v>0</v>
      </c>
      <c r="CT103" s="28"/>
      <c r="CW103" s="970" t="s">
        <v>876</v>
      </c>
      <c r="CX103" s="975" t="s">
        <v>821</v>
      </c>
      <c r="CY103" s="979" cm="1">
        <f t="array" ref="CY103">AE103</f>
        <v>0</v>
      </c>
      <c r="CZ103" s="979" cm="1">
        <f t="array" ref="CZ103">AF103</f>
        <v>0</v>
      </c>
    </row>
    <row r="104" spans="5:104" ht="15" hidden="1" customHeight="1">
      <c r="E104" s="676">
        <v>0</v>
      </c>
      <c r="F104" s="779" cm="1">
        <f t="array" aca="1" ref="F104" ca="1">OFFSET(G104,-1,-1)</f>
        <v>0</v>
      </c>
      <c r="L104" s="779" t="b" cm="1">
        <f t="array" aca="1" ref="L104" ca="1">OFFSET(M104,-1,-1)</f>
        <v>0</v>
      </c>
      <c r="S104" s="110" t="b" cm="1">
        <f t="array" aca="1" ref="S104" ca="1">OFFSET(T104,-1,-1)</f>
        <v>0</v>
      </c>
      <c r="U104" s="698" t="b">
        <f t="shared" ca="1" si="35"/>
        <v>0</v>
      </c>
      <c r="X104" s="820" t="str">
        <f>"{                  
         funcDyn: 'msg1',
         blok: 'blok_2',
         wsCross: 'Топливо 4.4',
         linkFormula: 'AE-AE#AF-AF',
         levelDyn: "&amp;Y28&amp;"
}"</f>
        <v>{                  
         funcDyn: 'msg1',
         blok: 'blok_2',
         wsCross: 'Топливо 4.4',
         linkFormula: 'AE-AE#AF-AF',
         levelDyn: 0
}</v>
      </c>
      <c r="Y104" s="1687"/>
      <c r="Z104" s="1687"/>
      <c r="AB104" s="1794"/>
      <c r="AD104" s="823"/>
      <c r="AE104" s="822" t="s">
        <v>238</v>
      </c>
      <c r="AF104" s="745"/>
      <c r="AG104" s="733"/>
      <c r="AH104" s="735"/>
      <c r="AI104" s="737"/>
      <c r="AJ104" s="737"/>
      <c r="AK104" s="737"/>
      <c r="AL104" s="737"/>
      <c r="AM104" s="737"/>
      <c r="AN104" s="737"/>
      <c r="AO104" s="737"/>
      <c r="AP104" s="737"/>
      <c r="AQ104" s="737"/>
      <c r="AR104" s="737"/>
      <c r="AS104" s="737"/>
      <c r="AT104" s="737"/>
      <c r="AU104" s="737"/>
      <c r="AV104" s="737"/>
      <c r="AW104" s="737"/>
      <c r="AX104" s="737"/>
      <c r="AY104" s="737"/>
      <c r="AZ104" s="737"/>
      <c r="BA104" s="737"/>
      <c r="BB104" s="737"/>
      <c r="BC104" s="737"/>
      <c r="BD104" s="737"/>
      <c r="BE104" s="737"/>
      <c r="BF104" s="737"/>
      <c r="BG104" s="737"/>
      <c r="BH104" s="737"/>
      <c r="BI104" s="737"/>
      <c r="BJ104" s="737"/>
      <c r="BK104" s="737"/>
      <c r="BL104" s="737"/>
      <c r="BM104" s="737"/>
      <c r="BN104" s="737"/>
      <c r="BO104" s="737"/>
      <c r="BP104" s="737"/>
      <c r="BQ104" s="737"/>
      <c r="BR104" s="737"/>
      <c r="BS104" s="737"/>
      <c r="BT104" s="737"/>
      <c r="BU104" s="737"/>
      <c r="BV104" s="737"/>
      <c r="BW104" s="737"/>
      <c r="BX104" s="737"/>
      <c r="BY104" s="737"/>
      <c r="BZ104" s="737"/>
      <c r="CA104" s="737"/>
      <c r="CB104" s="737"/>
      <c r="CC104" s="737"/>
      <c r="CD104" s="737"/>
      <c r="CE104" s="737"/>
      <c r="CF104" s="737"/>
      <c r="CG104" s="737"/>
      <c r="CH104" s="737"/>
      <c r="CI104" s="737"/>
      <c r="CJ104" s="737"/>
      <c r="CK104" s="737"/>
      <c r="CL104" s="737"/>
      <c r="CM104" s="737"/>
      <c r="CN104" s="737"/>
      <c r="CO104" s="737"/>
      <c r="CP104" s="737"/>
      <c r="CQ104" s="737"/>
      <c r="CR104" s="737"/>
      <c r="CS104" s="737"/>
      <c r="CT104" s="46"/>
      <c r="CW104" s="970" t="str">
        <f>IF(AND(ISNUMBER(VALUE(TRIM(SUBSTITUTE(AD104,".","")))),TRIM(SUBSTITUTE(AD104,".",""))&lt;&gt;""),"P"&amp;SUBSTITUTE(AD104,".",""),"")</f>
        <v/>
      </c>
    </row>
    <row r="105" spans="5:104" ht="16.7" hidden="1" customHeight="1">
      <c r="E105" s="676">
        <v>17.100000000000001</v>
      </c>
      <c r="F105" s="779" cm="1">
        <f t="array" aca="1" ref="F105" ca="1">OFFSET(G105,-1,-1)</f>
        <v>0</v>
      </c>
      <c r="L105" s="779" t="b" cm="1">
        <f t="array" aca="1" ref="L105" ca="1">OFFSET(M105,-1,-1)</f>
        <v>0</v>
      </c>
      <c r="S105" s="110" t="b" cm="1">
        <f t="array" aca="1" ref="S105" ca="1">OFFSET(T105,-1,-1)</f>
        <v>0</v>
      </c>
      <c r="U105" s="698" t="b">
        <f t="shared" ca="1" si="35"/>
        <v>0</v>
      </c>
      <c r="Y105" s="1687"/>
      <c r="Z105" s="1687"/>
      <c r="AB105" s="1783" t="s">
        <v>878</v>
      </c>
      <c r="AD105" s="124" t="s">
        <v>879</v>
      </c>
      <c r="AE105" s="1754" t="s">
        <v>880</v>
      </c>
      <c r="AF105" s="1734"/>
      <c r="AG105" s="849"/>
      <c r="AH105" s="735"/>
      <c r="AI105" s="737"/>
      <c r="AJ105" s="737"/>
      <c r="AK105" s="737"/>
      <c r="AL105" s="737"/>
      <c r="AM105" s="737"/>
      <c r="AN105" s="737"/>
      <c r="AO105" s="737"/>
      <c r="AP105" s="737"/>
      <c r="AQ105" s="737"/>
      <c r="AR105" s="737"/>
      <c r="AS105" s="737"/>
      <c r="AT105" s="737"/>
      <c r="AU105" s="737"/>
      <c r="AV105" s="737"/>
      <c r="AW105" s="737"/>
      <c r="AX105" s="737"/>
      <c r="AY105" s="737"/>
      <c r="AZ105" s="737"/>
      <c r="BA105" s="737"/>
      <c r="BB105" s="737"/>
      <c r="BC105" s="737"/>
      <c r="BD105" s="737"/>
      <c r="BE105" s="737"/>
      <c r="BF105" s="737"/>
      <c r="BG105" s="737"/>
      <c r="BH105" s="737"/>
      <c r="BI105" s="737"/>
      <c r="BJ105" s="737"/>
      <c r="BK105" s="737"/>
      <c r="BL105" s="737"/>
      <c r="BM105" s="737"/>
      <c r="BN105" s="737"/>
      <c r="BO105" s="737"/>
      <c r="BP105" s="737"/>
      <c r="BQ105" s="737"/>
      <c r="BR105" s="737"/>
      <c r="BS105" s="737"/>
      <c r="BT105" s="737"/>
      <c r="BU105" s="737"/>
      <c r="BV105" s="737"/>
      <c r="BW105" s="737"/>
      <c r="BX105" s="737"/>
      <c r="BY105" s="737"/>
      <c r="BZ105" s="737"/>
      <c r="CA105" s="737"/>
      <c r="CB105" s="737"/>
      <c r="CC105" s="737"/>
      <c r="CD105" s="737"/>
      <c r="CE105" s="737"/>
      <c r="CF105" s="737"/>
      <c r="CG105" s="737"/>
      <c r="CH105" s="737"/>
      <c r="CI105" s="737"/>
      <c r="CJ105" s="737"/>
      <c r="CK105" s="737"/>
      <c r="CL105" s="737"/>
      <c r="CM105" s="737"/>
      <c r="CN105" s="737"/>
      <c r="CO105" s="737"/>
      <c r="CP105" s="737"/>
      <c r="CQ105" s="737"/>
      <c r="CR105" s="737"/>
      <c r="CS105" s="737"/>
      <c r="CT105" s="28"/>
      <c r="CW105" s="970" t="s">
        <v>881</v>
      </c>
    </row>
    <row r="106" spans="5:104" ht="16.7" hidden="1" customHeight="1">
      <c r="E106" s="676">
        <v>17.100000000000001</v>
      </c>
      <c r="F106" s="779" cm="1">
        <f t="array" aca="1" ref="F106" ca="1">OFFSET(G106,-1,-1)</f>
        <v>0</v>
      </c>
      <c r="L106" s="779" t="b" cm="1">
        <f t="array" aca="1" ref="L106" ca="1">OFFSET(M106,-1,-1)</f>
        <v>0</v>
      </c>
      <c r="S106" s="110" t="b" cm="1">
        <f t="array" aca="1" ref="S106" ca="1">OFFSET(T106,-1,-1)</f>
        <v>0</v>
      </c>
      <c r="T106" s="110" t="b">
        <f>AD106&lt;&gt;"34.0"</f>
        <v>0</v>
      </c>
      <c r="U106" s="698" t="b">
        <f t="shared" ca="1" si="35"/>
        <v>0</v>
      </c>
      <c r="X106" s="110" t="s">
        <v>236</v>
      </c>
      <c r="Y106" s="1687"/>
      <c r="Z106" s="1687"/>
      <c r="AB106" s="1784"/>
      <c r="AD106" s="111" t="s">
        <v>882</v>
      </c>
      <c r="AE106" s="821"/>
      <c r="AF106" s="524"/>
      <c r="AG106" s="733" t="s">
        <v>533</v>
      </c>
      <c r="AH106" s="45"/>
      <c r="AI106" s="49"/>
      <c r="AJ106" s="49"/>
      <c r="AK106" s="49"/>
      <c r="AL106" s="737"/>
      <c r="AM106" s="49"/>
      <c r="AN106" s="49"/>
      <c r="AO106" s="737"/>
      <c r="AP106" s="829"/>
      <c r="AQ106" s="829"/>
      <c r="AR106" s="737"/>
      <c r="AS106" s="829"/>
      <c r="AT106" s="829"/>
      <c r="AU106" s="737"/>
      <c r="AV106" s="829"/>
      <c r="AW106" s="829"/>
      <c r="AX106" s="737"/>
      <c r="AY106" s="829"/>
      <c r="AZ106" s="829"/>
      <c r="BA106" s="737"/>
      <c r="BB106" s="49"/>
      <c r="BC106" s="49"/>
      <c r="BD106" s="737"/>
      <c r="BE106" s="49"/>
      <c r="BF106" s="49"/>
      <c r="BG106" s="737"/>
      <c r="BH106" s="49"/>
      <c r="BI106" s="49"/>
      <c r="BJ106" s="737"/>
      <c r="BK106" s="49"/>
      <c r="BL106" s="49"/>
      <c r="BM106" s="737"/>
      <c r="BN106" s="49"/>
      <c r="BO106" s="49"/>
      <c r="BP106" s="737"/>
      <c r="BQ106" s="829"/>
      <c r="BR106" s="829"/>
      <c r="BS106" s="737"/>
      <c r="BT106" s="829"/>
      <c r="BU106" s="829"/>
      <c r="BV106" s="737"/>
      <c r="BW106" s="829"/>
      <c r="BX106" s="829"/>
      <c r="BY106" s="737"/>
      <c r="BZ106" s="829"/>
      <c r="CA106" s="829"/>
      <c r="CB106" s="737"/>
      <c r="CC106" s="829"/>
      <c r="CD106" s="829"/>
      <c r="CE106" s="737"/>
      <c r="CF106" s="49"/>
      <c r="CG106" s="49"/>
      <c r="CH106" s="737"/>
      <c r="CI106" s="49"/>
      <c r="CJ106" s="49"/>
      <c r="CK106" s="737"/>
      <c r="CL106" s="49"/>
      <c r="CM106" s="49"/>
      <c r="CN106" s="737"/>
      <c r="CO106" s="49"/>
      <c r="CP106" s="49"/>
      <c r="CQ106" s="737"/>
      <c r="CR106" s="49"/>
      <c r="CS106" s="49"/>
      <c r="CT106" s="28"/>
      <c r="CW106" s="970" t="s">
        <v>881</v>
      </c>
      <c r="CX106" s="975" t="s">
        <v>821</v>
      </c>
      <c r="CY106" s="979" cm="1">
        <f t="array" ref="CY106">AE106</f>
        <v>0</v>
      </c>
      <c r="CZ106" s="979" cm="1">
        <f t="array" ref="CZ106">AF106</f>
        <v>0</v>
      </c>
    </row>
    <row r="107" spans="5:104" ht="15" hidden="1" customHeight="1">
      <c r="E107" s="676">
        <v>0</v>
      </c>
      <c r="F107" s="779" cm="1">
        <f t="array" aca="1" ref="F107" ca="1">OFFSET(G107,-1,-1)</f>
        <v>0</v>
      </c>
      <c r="L107" s="779" t="b" cm="1">
        <f t="array" aca="1" ref="L107" ca="1">OFFSET(M107,-1,-1)</f>
        <v>0</v>
      </c>
      <c r="S107" s="110" t="b" cm="1">
        <f t="array" aca="1" ref="S107" ca="1">OFFSET(T107,-1,-1)</f>
        <v>0</v>
      </c>
      <c r="U107" s="698" t="b">
        <f t="shared" ca="1" si="35"/>
        <v>0</v>
      </c>
      <c r="X107" s="820" t="str">
        <f>"{                  
         funcDyn: 'msg1',
         blok: 'blok_2',
         wsCross: 'Топливо 4.4',
         linkFormula: 'AE-AE#AF-AF',
         levelDyn: "&amp;Y28&amp;"
}"</f>
        <v>{                  
         funcDyn: 'msg1',
         blok: 'blok_2',
         wsCross: 'Топливо 4.4',
         linkFormula: 'AE-AE#AF-AF',
         levelDyn: 0
}</v>
      </c>
      <c r="Y107" s="1687"/>
      <c r="Z107" s="1687"/>
      <c r="AB107" s="1784"/>
      <c r="AD107" s="823"/>
      <c r="AE107" s="822" t="s">
        <v>238</v>
      </c>
      <c r="AF107" s="745"/>
      <c r="AG107" s="733"/>
      <c r="AH107" s="746"/>
      <c r="AI107" s="50"/>
      <c r="AJ107" s="50"/>
      <c r="AK107" s="50"/>
      <c r="AL107" s="737"/>
      <c r="AM107" s="50"/>
      <c r="AN107" s="50"/>
      <c r="AO107" s="737"/>
      <c r="AP107" s="50"/>
      <c r="AQ107" s="50"/>
      <c r="AR107" s="737"/>
      <c r="AS107" s="50"/>
      <c r="AT107" s="50"/>
      <c r="AU107" s="737"/>
      <c r="AV107" s="50"/>
      <c r="AW107" s="50"/>
      <c r="AX107" s="737"/>
      <c r="AY107" s="50"/>
      <c r="AZ107" s="50"/>
      <c r="BA107" s="737"/>
      <c r="BB107" s="50"/>
      <c r="BC107" s="50"/>
      <c r="BD107" s="737"/>
      <c r="BE107" s="50"/>
      <c r="BF107" s="50"/>
      <c r="BG107" s="737"/>
      <c r="BH107" s="50"/>
      <c r="BI107" s="50"/>
      <c r="BJ107" s="737"/>
      <c r="BK107" s="50"/>
      <c r="BL107" s="50"/>
      <c r="BM107" s="737"/>
      <c r="BN107" s="50"/>
      <c r="BO107" s="50"/>
      <c r="BP107" s="737"/>
      <c r="BQ107" s="50"/>
      <c r="BR107" s="50"/>
      <c r="BS107" s="737"/>
      <c r="BT107" s="50"/>
      <c r="BU107" s="50"/>
      <c r="BV107" s="737"/>
      <c r="BW107" s="50"/>
      <c r="BX107" s="50"/>
      <c r="BY107" s="737"/>
      <c r="BZ107" s="50"/>
      <c r="CA107" s="50"/>
      <c r="CB107" s="737"/>
      <c r="CC107" s="50"/>
      <c r="CD107" s="50"/>
      <c r="CE107" s="737"/>
      <c r="CF107" s="50"/>
      <c r="CG107" s="50"/>
      <c r="CH107" s="737"/>
      <c r="CI107" s="50"/>
      <c r="CJ107" s="50"/>
      <c r="CK107" s="737"/>
      <c r="CL107" s="50"/>
      <c r="CM107" s="50"/>
      <c r="CN107" s="737"/>
      <c r="CO107" s="50"/>
      <c r="CP107" s="50"/>
      <c r="CQ107" s="737"/>
      <c r="CR107" s="50"/>
      <c r="CS107" s="50"/>
      <c r="CT107" s="46"/>
      <c r="CW107" s="970" t="str">
        <f>IF(AND(ISNUMBER(VALUE(TRIM(SUBSTITUTE(AD107,".","")))),TRIM(SUBSTITUTE(AD107,".",""))&lt;&gt;""),"P"&amp;SUBSTITUTE(AD107,".",""),"")</f>
        <v/>
      </c>
    </row>
    <row r="108" spans="5:104" ht="16.7" hidden="1" customHeight="1">
      <c r="E108" s="676">
        <v>17.100000000000001</v>
      </c>
      <c r="F108" s="779" cm="1">
        <f t="array" aca="1" ref="F108" ca="1">OFFSET(G108,-1,-1)</f>
        <v>0</v>
      </c>
      <c r="L108" s="779" t="b" cm="1">
        <f t="array" aca="1" ref="L108" ca="1">OFFSET(M108,-1,-1)</f>
        <v>0</v>
      </c>
      <c r="S108" s="110" t="b" cm="1">
        <f t="array" aca="1" ref="S108" ca="1">OFFSET(T108,-1,-1)</f>
        <v>0</v>
      </c>
      <c r="U108" s="698" t="b">
        <f t="shared" ca="1" si="35"/>
        <v>0</v>
      </c>
      <c r="Y108" s="1687"/>
      <c r="Z108" s="1687"/>
      <c r="AB108" s="1784"/>
      <c r="AD108" s="124" t="s">
        <v>883</v>
      </c>
      <c r="AE108" s="1754" t="s">
        <v>884</v>
      </c>
      <c r="AF108" s="1734"/>
      <c r="AG108" s="849"/>
      <c r="AH108" s="735"/>
      <c r="AI108" s="737"/>
      <c r="AJ108" s="737"/>
      <c r="AK108" s="737"/>
      <c r="AL108" s="737"/>
      <c r="AM108" s="737"/>
      <c r="AN108" s="737"/>
      <c r="AO108" s="737"/>
      <c r="AP108" s="737"/>
      <c r="AQ108" s="737"/>
      <c r="AR108" s="737"/>
      <c r="AS108" s="737"/>
      <c r="AT108" s="737"/>
      <c r="AU108" s="737"/>
      <c r="AV108" s="737"/>
      <c r="AW108" s="737"/>
      <c r="AX108" s="737"/>
      <c r="AY108" s="737"/>
      <c r="AZ108" s="737"/>
      <c r="BA108" s="737"/>
      <c r="BB108" s="737"/>
      <c r="BC108" s="737"/>
      <c r="BD108" s="737"/>
      <c r="BE108" s="737"/>
      <c r="BF108" s="737"/>
      <c r="BG108" s="737"/>
      <c r="BH108" s="737"/>
      <c r="BI108" s="737"/>
      <c r="BJ108" s="737"/>
      <c r="BK108" s="737"/>
      <c r="BL108" s="737"/>
      <c r="BM108" s="737"/>
      <c r="BN108" s="737"/>
      <c r="BO108" s="737"/>
      <c r="BP108" s="737"/>
      <c r="BQ108" s="737"/>
      <c r="BR108" s="737"/>
      <c r="BS108" s="737"/>
      <c r="BT108" s="737"/>
      <c r="BU108" s="737"/>
      <c r="BV108" s="737"/>
      <c r="BW108" s="737"/>
      <c r="BX108" s="737"/>
      <c r="BY108" s="737"/>
      <c r="BZ108" s="737"/>
      <c r="CA108" s="737"/>
      <c r="CB108" s="737"/>
      <c r="CC108" s="737"/>
      <c r="CD108" s="737"/>
      <c r="CE108" s="737"/>
      <c r="CF108" s="737"/>
      <c r="CG108" s="737"/>
      <c r="CH108" s="737"/>
      <c r="CI108" s="737"/>
      <c r="CJ108" s="737"/>
      <c r="CK108" s="737"/>
      <c r="CL108" s="737"/>
      <c r="CM108" s="737"/>
      <c r="CN108" s="737"/>
      <c r="CO108" s="737"/>
      <c r="CP108" s="737"/>
      <c r="CQ108" s="737"/>
      <c r="CR108" s="737"/>
      <c r="CS108" s="737"/>
      <c r="CT108" s="28"/>
      <c r="CW108" s="970" t="s">
        <v>885</v>
      </c>
    </row>
    <row r="109" spans="5:104" ht="16.7" hidden="1" customHeight="1">
      <c r="E109" s="676">
        <v>17.100000000000001</v>
      </c>
      <c r="F109" s="779" cm="1">
        <f t="array" aca="1" ref="F109" ca="1">OFFSET(G109,-1,-1)</f>
        <v>0</v>
      </c>
      <c r="L109" s="779" t="b" cm="1">
        <f t="array" aca="1" ref="L109" ca="1">OFFSET(M109,-1,-1)</f>
        <v>0</v>
      </c>
      <c r="S109" s="110" t="b" cm="1">
        <f t="array" aca="1" ref="S109" ca="1">OFFSET(T109,-1,-1)</f>
        <v>0</v>
      </c>
      <c r="T109" s="110" t="b">
        <f>AD109&lt;&gt;"35.0"</f>
        <v>0</v>
      </c>
      <c r="U109" s="698" t="b">
        <f t="shared" ca="1" si="35"/>
        <v>0</v>
      </c>
      <c r="X109" s="110" t="s">
        <v>236</v>
      </c>
      <c r="Y109" s="1687"/>
      <c r="Z109" s="1687"/>
      <c r="AB109" s="1784"/>
      <c r="AD109" s="111" t="s">
        <v>886</v>
      </c>
      <c r="AE109" s="821"/>
      <c r="AF109" s="524"/>
      <c r="AG109" s="894" t="str">
        <f>"руб./"&amp;IFERROR(INDEX(fuel_ed_izm_list,MATCH(AE109,fuel_list,0)),"")</f>
        <v>руб./</v>
      </c>
      <c r="AH109" s="41">
        <f>IFERROR(AH113/AH64,0)*1000</f>
        <v>0</v>
      </c>
      <c r="AI109" s="41">
        <f>IFERROR(AI113/AI64,0)*1000</f>
        <v>0</v>
      </c>
      <c r="AJ109" s="41">
        <f>IFERROR(AJ113/AJ64,0)*1000</f>
        <v>0</v>
      </c>
      <c r="AK109" s="41">
        <f>IFERROR(AK113/AK64,0)*1000</f>
        <v>0</v>
      </c>
      <c r="AL109" s="736">
        <f ca="1">IFERROR(AL113/AL64,0)*1000</f>
        <v>0</v>
      </c>
      <c r="AM109" s="42"/>
      <c r="AN109" s="42"/>
      <c r="AO109" s="736">
        <f ca="1">IFERROR(AO113/AO64,0)*1000</f>
        <v>0</v>
      </c>
      <c r="AP109" s="826"/>
      <c r="AQ109" s="826"/>
      <c r="AR109" s="736">
        <f ca="1">IFERROR(AR113/AR64,0)*1000</f>
        <v>0</v>
      </c>
      <c r="AS109" s="826"/>
      <c r="AT109" s="826"/>
      <c r="AU109" s="736">
        <f ca="1">IFERROR(AU113/AU64,0)*1000</f>
        <v>0</v>
      </c>
      <c r="AV109" s="826"/>
      <c r="AW109" s="826"/>
      <c r="AX109" s="736">
        <f ca="1">IFERROR(AX113/AX64,0)*1000</f>
        <v>0</v>
      </c>
      <c r="AY109" s="826"/>
      <c r="AZ109" s="826"/>
      <c r="BA109" s="736">
        <f ca="1">IFERROR(BA113/BA64,0)*1000</f>
        <v>0</v>
      </c>
      <c r="BB109" s="42"/>
      <c r="BC109" s="42"/>
      <c r="BD109" s="736">
        <f ca="1">IFERROR(BD113/BD64,0)*1000</f>
        <v>0</v>
      </c>
      <c r="BE109" s="42"/>
      <c r="BF109" s="42"/>
      <c r="BG109" s="736">
        <f ca="1">IFERROR(BG113/BG64,0)*1000</f>
        <v>0</v>
      </c>
      <c r="BH109" s="42"/>
      <c r="BI109" s="42"/>
      <c r="BJ109" s="736">
        <f ca="1">IFERROR(BJ113/BJ64,0)*1000</f>
        <v>0</v>
      </c>
      <c r="BK109" s="42"/>
      <c r="BL109" s="42"/>
      <c r="BM109" s="736">
        <f ca="1">IFERROR(BM113/BM64,0)*1000</f>
        <v>0</v>
      </c>
      <c r="BN109" s="42"/>
      <c r="BO109" s="42"/>
      <c r="BP109" s="736">
        <f ca="1">IFERROR(BP113/BP64,0)*1000</f>
        <v>0</v>
      </c>
      <c r="BQ109" s="826"/>
      <c r="BR109" s="826"/>
      <c r="BS109" s="736">
        <f ca="1">IFERROR(BS113/BS64,0)*1000</f>
        <v>0</v>
      </c>
      <c r="BT109" s="826"/>
      <c r="BU109" s="826"/>
      <c r="BV109" s="736">
        <f ca="1">IFERROR(BV113/BV64,0)*1000</f>
        <v>0</v>
      </c>
      <c r="BW109" s="826"/>
      <c r="BX109" s="826"/>
      <c r="BY109" s="736">
        <f ca="1">IFERROR(BY113/BY64,0)*1000</f>
        <v>0</v>
      </c>
      <c r="BZ109" s="826"/>
      <c r="CA109" s="826"/>
      <c r="CB109" s="736">
        <f ca="1">IFERROR(CB113/CB64,0)*1000</f>
        <v>0</v>
      </c>
      <c r="CC109" s="826"/>
      <c r="CD109" s="826"/>
      <c r="CE109" s="736">
        <f ca="1">IFERROR(CE113/CE64,0)*1000</f>
        <v>0</v>
      </c>
      <c r="CF109" s="42"/>
      <c r="CG109" s="42"/>
      <c r="CH109" s="736">
        <f ca="1">IFERROR(CH113/CH64,0)*1000</f>
        <v>0</v>
      </c>
      <c r="CI109" s="42"/>
      <c r="CJ109" s="42"/>
      <c r="CK109" s="736">
        <f ca="1">IFERROR(CK113/CK64,0)*1000</f>
        <v>0</v>
      </c>
      <c r="CL109" s="42"/>
      <c r="CM109" s="42"/>
      <c r="CN109" s="736">
        <f ca="1">IFERROR(CN113/CN64,0)*1000</f>
        <v>0</v>
      </c>
      <c r="CO109" s="42"/>
      <c r="CP109" s="42"/>
      <c r="CQ109" s="736">
        <f ca="1">IFERROR(CQ113/CQ64,0)*1000</f>
        <v>0</v>
      </c>
      <c r="CR109" s="42"/>
      <c r="CS109" s="42"/>
      <c r="CT109" s="28"/>
      <c r="CW109" s="970" t="s">
        <v>885</v>
      </c>
      <c r="CX109" s="975" t="s">
        <v>821</v>
      </c>
      <c r="CY109" s="979" cm="1">
        <f t="array" ref="CY109">AE109</f>
        <v>0</v>
      </c>
      <c r="CZ109" s="979" cm="1">
        <f t="array" ref="CZ109">AF109</f>
        <v>0</v>
      </c>
    </row>
    <row r="110" spans="5:104" ht="15" hidden="1" customHeight="1">
      <c r="E110" s="676">
        <v>0</v>
      </c>
      <c r="F110" s="779" cm="1">
        <f t="array" aca="1" ref="F110" ca="1">OFFSET(G110,-1,-1)</f>
        <v>0</v>
      </c>
      <c r="L110" s="779" t="b" cm="1">
        <f t="array" aca="1" ref="L110" ca="1">OFFSET(M110,-1,-1)</f>
        <v>0</v>
      </c>
      <c r="S110" s="110" t="b" cm="1">
        <f t="array" aca="1" ref="S110" ca="1">OFFSET(T110,-1,-1)</f>
        <v>0</v>
      </c>
      <c r="U110" s="698" t="b">
        <f t="shared" ca="1" si="35"/>
        <v>0</v>
      </c>
      <c r="X110" s="820" t="str">
        <f>"{                  
         funcDyn: 'msg1',
         blok: 'blok_2',
         wsCross: 'Топливо 4.4',
         linkFormula: 'AE-AE#AF-AF',
         levelDyn: "&amp;Y28&amp;"
}"</f>
        <v>{                  
         funcDyn: 'msg1',
         blok: 'blok_2',
         wsCross: 'Топливо 4.4',
         linkFormula: 'AE-AE#AF-AF',
         levelDyn: 0
}</v>
      </c>
      <c r="Y110" s="1687"/>
      <c r="Z110" s="1687"/>
      <c r="AB110" s="1784"/>
      <c r="AD110" s="823"/>
      <c r="AE110" s="822" t="s">
        <v>238</v>
      </c>
      <c r="AF110" s="745"/>
      <c r="AG110" s="733"/>
      <c r="AH110" s="735"/>
      <c r="AI110" s="737"/>
      <c r="AJ110" s="737"/>
      <c r="AK110" s="737"/>
      <c r="AL110" s="737"/>
      <c r="AM110" s="737"/>
      <c r="AN110" s="737"/>
      <c r="AO110" s="737"/>
      <c r="AP110" s="737"/>
      <c r="AQ110" s="737"/>
      <c r="AR110" s="737"/>
      <c r="AS110" s="737"/>
      <c r="AT110" s="737"/>
      <c r="AU110" s="737"/>
      <c r="AV110" s="737"/>
      <c r="AW110" s="737"/>
      <c r="AX110" s="737"/>
      <c r="AY110" s="737"/>
      <c r="AZ110" s="737"/>
      <c r="BA110" s="737"/>
      <c r="BB110" s="737"/>
      <c r="BC110" s="737"/>
      <c r="BD110" s="737"/>
      <c r="BE110" s="737"/>
      <c r="BF110" s="737"/>
      <c r="BG110" s="737"/>
      <c r="BH110" s="737"/>
      <c r="BI110" s="737"/>
      <c r="BJ110" s="737"/>
      <c r="BK110" s="737"/>
      <c r="BL110" s="737"/>
      <c r="BM110" s="737"/>
      <c r="BN110" s="737"/>
      <c r="BO110" s="737"/>
      <c r="BP110" s="737"/>
      <c r="BQ110" s="737"/>
      <c r="BR110" s="737"/>
      <c r="BS110" s="737"/>
      <c r="BT110" s="737"/>
      <c r="BU110" s="737"/>
      <c r="BV110" s="737"/>
      <c r="BW110" s="737"/>
      <c r="BX110" s="737"/>
      <c r="BY110" s="737"/>
      <c r="BZ110" s="737"/>
      <c r="CA110" s="737"/>
      <c r="CB110" s="737"/>
      <c r="CC110" s="737"/>
      <c r="CD110" s="737"/>
      <c r="CE110" s="737"/>
      <c r="CF110" s="737"/>
      <c r="CG110" s="737"/>
      <c r="CH110" s="737"/>
      <c r="CI110" s="737"/>
      <c r="CJ110" s="737"/>
      <c r="CK110" s="737"/>
      <c r="CL110" s="737"/>
      <c r="CM110" s="737"/>
      <c r="CN110" s="737"/>
      <c r="CO110" s="737"/>
      <c r="CP110" s="737"/>
      <c r="CQ110" s="737"/>
      <c r="CR110" s="737"/>
      <c r="CS110" s="737"/>
      <c r="CT110" s="46"/>
      <c r="CW110" s="970" t="str">
        <f>IF(AND(ISNUMBER(VALUE(TRIM(SUBSTITUTE(AD110,".","")))),TRIM(SUBSTITUTE(AD110,".",""))&lt;&gt;""),"P"&amp;SUBSTITUTE(AD110,".",""),"")</f>
        <v/>
      </c>
    </row>
    <row r="111" spans="5:104" ht="16.7" hidden="1" customHeight="1">
      <c r="E111" s="676">
        <v>17.100000000000001</v>
      </c>
      <c r="F111" s="779" cm="1">
        <f t="array" aca="1" ref="F111" ca="1">OFFSET(G111,-1,-1)</f>
        <v>0</v>
      </c>
      <c r="L111" s="779" t="b" cm="1">
        <f t="array" aca="1" ref="L111" ca="1">OFFSET(M111,-1,-1)</f>
        <v>0</v>
      </c>
      <c r="S111" s="110" t="b" cm="1">
        <f t="array" aca="1" ref="S111" ca="1">OFFSET(T111,-1,-1)</f>
        <v>0</v>
      </c>
      <c r="U111" s="698" t="b">
        <f t="shared" ca="1" si="35"/>
        <v>0</v>
      </c>
      <c r="Y111" s="1687"/>
      <c r="Z111" s="1687"/>
      <c r="AB111" s="1784"/>
      <c r="AD111" s="124" t="s">
        <v>887</v>
      </c>
      <c r="AE111" s="1754" t="s">
        <v>888</v>
      </c>
      <c r="AF111" s="1734"/>
      <c r="AG111" s="733" t="s">
        <v>839</v>
      </c>
      <c r="AH111" s="734">
        <f t="shared" ref="AH111:BM111" si="40">SUM(AH113:AH114)</f>
        <v>0</v>
      </c>
      <c r="AI111" s="734">
        <f t="shared" si="40"/>
        <v>0</v>
      </c>
      <c r="AJ111" s="734">
        <f t="shared" si="40"/>
        <v>0</v>
      </c>
      <c r="AK111" s="734">
        <f t="shared" si="40"/>
        <v>0</v>
      </c>
      <c r="AL111" s="734">
        <f t="shared" ca="1" si="40"/>
        <v>0</v>
      </c>
      <c r="AM111" s="734">
        <f t="shared" si="40"/>
        <v>0</v>
      </c>
      <c r="AN111" s="734">
        <f t="shared" ca="1" si="40"/>
        <v>0</v>
      </c>
      <c r="AO111" s="734">
        <f t="shared" ca="1" si="40"/>
        <v>0</v>
      </c>
      <c r="AP111" s="734">
        <f t="shared" si="40"/>
        <v>0</v>
      </c>
      <c r="AQ111" s="734">
        <f t="shared" ca="1" si="40"/>
        <v>0</v>
      </c>
      <c r="AR111" s="734">
        <f t="shared" ca="1" si="40"/>
        <v>0</v>
      </c>
      <c r="AS111" s="734">
        <f t="shared" si="40"/>
        <v>0</v>
      </c>
      <c r="AT111" s="734">
        <f t="shared" ca="1" si="40"/>
        <v>0</v>
      </c>
      <c r="AU111" s="734">
        <f t="shared" ca="1" si="40"/>
        <v>0</v>
      </c>
      <c r="AV111" s="734">
        <f t="shared" si="40"/>
        <v>0</v>
      </c>
      <c r="AW111" s="734">
        <f t="shared" ca="1" si="40"/>
        <v>0</v>
      </c>
      <c r="AX111" s="734">
        <f t="shared" ca="1" si="40"/>
        <v>0</v>
      </c>
      <c r="AY111" s="734">
        <f t="shared" si="40"/>
        <v>0</v>
      </c>
      <c r="AZ111" s="734">
        <f t="shared" ca="1" si="40"/>
        <v>0</v>
      </c>
      <c r="BA111" s="734">
        <f t="shared" ca="1" si="40"/>
        <v>0</v>
      </c>
      <c r="BB111" s="734">
        <f t="shared" si="40"/>
        <v>0</v>
      </c>
      <c r="BC111" s="734">
        <f t="shared" ca="1" si="40"/>
        <v>0</v>
      </c>
      <c r="BD111" s="734">
        <f t="shared" ca="1" si="40"/>
        <v>0</v>
      </c>
      <c r="BE111" s="734">
        <f t="shared" si="40"/>
        <v>0</v>
      </c>
      <c r="BF111" s="734">
        <f t="shared" ca="1" si="40"/>
        <v>0</v>
      </c>
      <c r="BG111" s="734">
        <f t="shared" ca="1" si="40"/>
        <v>0</v>
      </c>
      <c r="BH111" s="734">
        <f t="shared" si="40"/>
        <v>0</v>
      </c>
      <c r="BI111" s="734">
        <f t="shared" ca="1" si="40"/>
        <v>0</v>
      </c>
      <c r="BJ111" s="734">
        <f t="shared" ca="1" si="40"/>
        <v>0</v>
      </c>
      <c r="BK111" s="734">
        <f t="shared" si="40"/>
        <v>0</v>
      </c>
      <c r="BL111" s="734">
        <f t="shared" ca="1" si="40"/>
        <v>0</v>
      </c>
      <c r="BM111" s="734">
        <f t="shared" ca="1" si="40"/>
        <v>0</v>
      </c>
      <c r="BN111" s="734">
        <f t="shared" ref="BN111:CS111" si="41">SUM(BN113:BN114)</f>
        <v>0</v>
      </c>
      <c r="BO111" s="734">
        <f t="shared" ca="1" si="41"/>
        <v>0</v>
      </c>
      <c r="BP111" s="734">
        <f t="shared" ca="1" si="41"/>
        <v>0</v>
      </c>
      <c r="BQ111" s="734">
        <f t="shared" si="41"/>
        <v>0</v>
      </c>
      <c r="BR111" s="734">
        <f t="shared" ca="1" si="41"/>
        <v>0</v>
      </c>
      <c r="BS111" s="734">
        <f t="shared" ca="1" si="41"/>
        <v>0</v>
      </c>
      <c r="BT111" s="734">
        <f t="shared" si="41"/>
        <v>0</v>
      </c>
      <c r="BU111" s="734">
        <f t="shared" ca="1" si="41"/>
        <v>0</v>
      </c>
      <c r="BV111" s="734">
        <f t="shared" ca="1" si="41"/>
        <v>0</v>
      </c>
      <c r="BW111" s="734">
        <f t="shared" si="41"/>
        <v>0</v>
      </c>
      <c r="BX111" s="734">
        <f t="shared" ca="1" si="41"/>
        <v>0</v>
      </c>
      <c r="BY111" s="734">
        <f t="shared" ca="1" si="41"/>
        <v>0</v>
      </c>
      <c r="BZ111" s="734">
        <f t="shared" si="41"/>
        <v>0</v>
      </c>
      <c r="CA111" s="734">
        <f t="shared" ca="1" si="41"/>
        <v>0</v>
      </c>
      <c r="CB111" s="734">
        <f t="shared" ca="1" si="41"/>
        <v>0</v>
      </c>
      <c r="CC111" s="734">
        <f t="shared" si="41"/>
        <v>0</v>
      </c>
      <c r="CD111" s="734">
        <f t="shared" ca="1" si="41"/>
        <v>0</v>
      </c>
      <c r="CE111" s="734">
        <f t="shared" ca="1" si="41"/>
        <v>0</v>
      </c>
      <c r="CF111" s="734">
        <f t="shared" si="41"/>
        <v>0</v>
      </c>
      <c r="CG111" s="734">
        <f t="shared" ca="1" si="41"/>
        <v>0</v>
      </c>
      <c r="CH111" s="734">
        <f t="shared" ca="1" si="41"/>
        <v>0</v>
      </c>
      <c r="CI111" s="734">
        <f t="shared" si="41"/>
        <v>0</v>
      </c>
      <c r="CJ111" s="734">
        <f t="shared" ca="1" si="41"/>
        <v>0</v>
      </c>
      <c r="CK111" s="734">
        <f t="shared" ca="1" si="41"/>
        <v>0</v>
      </c>
      <c r="CL111" s="734">
        <f t="shared" si="41"/>
        <v>0</v>
      </c>
      <c r="CM111" s="734">
        <f t="shared" ca="1" si="41"/>
        <v>0</v>
      </c>
      <c r="CN111" s="734">
        <f t="shared" ca="1" si="41"/>
        <v>0</v>
      </c>
      <c r="CO111" s="734">
        <f t="shared" si="41"/>
        <v>0</v>
      </c>
      <c r="CP111" s="734">
        <f t="shared" ca="1" si="41"/>
        <v>0</v>
      </c>
      <c r="CQ111" s="734">
        <f t="shared" ca="1" si="41"/>
        <v>0</v>
      </c>
      <c r="CR111" s="734">
        <f t="shared" si="41"/>
        <v>0</v>
      </c>
      <c r="CS111" s="734">
        <f t="shared" ca="1" si="41"/>
        <v>0</v>
      </c>
      <c r="CT111" s="28"/>
      <c r="CW111" s="970" t="s">
        <v>889</v>
      </c>
    </row>
    <row r="112" spans="5:104" ht="16.7" hidden="1" customHeight="1">
      <c r="E112" s="676">
        <v>17.100000000000001</v>
      </c>
      <c r="F112" s="779" cm="1">
        <f t="array" aca="1" ref="F112" ca="1">OFFSET(G112,-1,-1)</f>
        <v>0</v>
      </c>
      <c r="L112" s="779" t="b" cm="1">
        <f t="array" aca="1" ref="L112" ca="1">OFFSET(M112,-1,-1)</f>
        <v>0</v>
      </c>
      <c r="R112" s="779" t="s">
        <v>759</v>
      </c>
      <c r="S112" s="110" t="b" cm="1">
        <f t="array" aca="1" ref="S112" ca="1">OFFSET(T112,-1,-1)</f>
        <v>0</v>
      </c>
      <c r="T112" s="779" t="b">
        <v>0</v>
      </c>
      <c r="U112" s="698" t="b">
        <f t="shared" ca="1" si="35"/>
        <v>0</v>
      </c>
      <c r="Y112" s="1687"/>
      <c r="Z112" s="1687"/>
      <c r="AB112" s="1784"/>
      <c r="AD112" s="111" t="str">
        <f>AD111&amp;".0"</f>
        <v>36.0</v>
      </c>
      <c r="AE112" s="1755" t="s">
        <v>770</v>
      </c>
      <c r="AF112" s="1756"/>
      <c r="AG112" s="733" t="s">
        <v>839</v>
      </c>
      <c r="AH112" s="41">
        <f>AH$52*AH111</f>
        <v>0</v>
      </c>
      <c r="AI112" s="42">
        <f>AI$52*AI111</f>
        <v>0</v>
      </c>
      <c r="AJ112" s="42">
        <f>AJ$52*AJ111</f>
        <v>0</v>
      </c>
      <c r="AK112" s="42">
        <f>AK$52*AK111</f>
        <v>0</v>
      </c>
      <c r="AL112" s="736">
        <f ca="1">AM112+AN112</f>
        <v>0</v>
      </c>
      <c r="AM112" s="42">
        <f>AM$52*AM111</f>
        <v>0</v>
      </c>
      <c r="AN112" s="42">
        <f ca="1">AN$52*AN111</f>
        <v>0</v>
      </c>
      <c r="AO112" s="736">
        <f ca="1">AP112+AQ112</f>
        <v>0</v>
      </c>
      <c r="AP112" s="826">
        <f>AP$52*AP111</f>
        <v>0</v>
      </c>
      <c r="AQ112" s="826">
        <f ca="1">AQ$52*AQ111</f>
        <v>0</v>
      </c>
      <c r="AR112" s="736">
        <f ca="1">AS112+AT112</f>
        <v>0</v>
      </c>
      <c r="AS112" s="826">
        <f>AS$52*AS111</f>
        <v>0</v>
      </c>
      <c r="AT112" s="826">
        <f ca="1">AT$52*AT111</f>
        <v>0</v>
      </c>
      <c r="AU112" s="736">
        <f ca="1">AV112+AW112</f>
        <v>0</v>
      </c>
      <c r="AV112" s="826">
        <f>AV$52*AV111</f>
        <v>0</v>
      </c>
      <c r="AW112" s="826">
        <f ca="1">AW$52*AW111</f>
        <v>0</v>
      </c>
      <c r="AX112" s="736">
        <f ca="1">AY112+AZ112</f>
        <v>0</v>
      </c>
      <c r="AY112" s="826">
        <f>AY$52*AY111</f>
        <v>0</v>
      </c>
      <c r="AZ112" s="826">
        <f ca="1">AZ$52*AZ111</f>
        <v>0</v>
      </c>
      <c r="BA112" s="736">
        <f ca="1">BB112+BC112</f>
        <v>0</v>
      </c>
      <c r="BB112" s="42">
        <f>BB$52*BB111</f>
        <v>0</v>
      </c>
      <c r="BC112" s="42">
        <f ca="1">BC$52*BC111</f>
        <v>0</v>
      </c>
      <c r="BD112" s="736">
        <f ca="1">BE112+BF112</f>
        <v>0</v>
      </c>
      <c r="BE112" s="42">
        <f>BE$52*BE111</f>
        <v>0</v>
      </c>
      <c r="BF112" s="42">
        <f ca="1">BF$52*BF111</f>
        <v>0</v>
      </c>
      <c r="BG112" s="736">
        <f ca="1">BH112+BI112</f>
        <v>0</v>
      </c>
      <c r="BH112" s="42">
        <f>BH$52*BH111</f>
        <v>0</v>
      </c>
      <c r="BI112" s="42">
        <f ca="1">BI$52*BI111</f>
        <v>0</v>
      </c>
      <c r="BJ112" s="736">
        <f ca="1">BK112+BL112</f>
        <v>0</v>
      </c>
      <c r="BK112" s="42">
        <f>BK$52*BK111</f>
        <v>0</v>
      </c>
      <c r="BL112" s="42">
        <f ca="1">BL$52*BL111</f>
        <v>0</v>
      </c>
      <c r="BM112" s="736">
        <f ca="1">BN112+BO112</f>
        <v>0</v>
      </c>
      <c r="BN112" s="42">
        <f>BN$52*BN111</f>
        <v>0</v>
      </c>
      <c r="BO112" s="42">
        <f ca="1">BO$52*BO111</f>
        <v>0</v>
      </c>
      <c r="BP112" s="736">
        <f ca="1">BQ112+BR112</f>
        <v>0</v>
      </c>
      <c r="BQ112" s="826">
        <f>BQ$52*BQ111</f>
        <v>0</v>
      </c>
      <c r="BR112" s="826">
        <f ca="1">BR$52*BR111</f>
        <v>0</v>
      </c>
      <c r="BS112" s="736">
        <f ca="1">BT112+BU112</f>
        <v>0</v>
      </c>
      <c r="BT112" s="826">
        <f>BT$52*BT111</f>
        <v>0</v>
      </c>
      <c r="BU112" s="826">
        <f ca="1">BU$52*BU111</f>
        <v>0</v>
      </c>
      <c r="BV112" s="736">
        <f ca="1">BW112+BX112</f>
        <v>0</v>
      </c>
      <c r="BW112" s="826">
        <f>BW$52*BW111</f>
        <v>0</v>
      </c>
      <c r="BX112" s="826">
        <f ca="1">BX$52*BX111</f>
        <v>0</v>
      </c>
      <c r="BY112" s="736">
        <f ca="1">BZ112+CA112</f>
        <v>0</v>
      </c>
      <c r="BZ112" s="826">
        <f>BZ$52*BZ111</f>
        <v>0</v>
      </c>
      <c r="CA112" s="826">
        <f ca="1">CA$52*CA111</f>
        <v>0</v>
      </c>
      <c r="CB112" s="736">
        <f ca="1">CC112+CD112</f>
        <v>0</v>
      </c>
      <c r="CC112" s="826">
        <f>CC$52*CC111</f>
        <v>0</v>
      </c>
      <c r="CD112" s="826">
        <f ca="1">CD$52*CD111</f>
        <v>0</v>
      </c>
      <c r="CE112" s="736">
        <f ca="1">CF112+CG112</f>
        <v>0</v>
      </c>
      <c r="CF112" s="42">
        <f>CF$52*CF111</f>
        <v>0</v>
      </c>
      <c r="CG112" s="42">
        <f ca="1">CG$52*CG111</f>
        <v>0</v>
      </c>
      <c r="CH112" s="736">
        <f ca="1">CI112+CJ112</f>
        <v>0</v>
      </c>
      <c r="CI112" s="42">
        <f>CI$52*CI111</f>
        <v>0</v>
      </c>
      <c r="CJ112" s="42">
        <f ca="1">CJ$52*CJ111</f>
        <v>0</v>
      </c>
      <c r="CK112" s="736">
        <f ca="1">CL112+CM112</f>
        <v>0</v>
      </c>
      <c r="CL112" s="42">
        <f>CL$52*CL111</f>
        <v>0</v>
      </c>
      <c r="CM112" s="42">
        <f ca="1">CM$52*CM111</f>
        <v>0</v>
      </c>
      <c r="CN112" s="736">
        <f ca="1">CO112+CP112</f>
        <v>0</v>
      </c>
      <c r="CO112" s="42">
        <f>CO$52*CO111</f>
        <v>0</v>
      </c>
      <c r="CP112" s="42">
        <f ca="1">CP$52*CP111</f>
        <v>0</v>
      </c>
      <c r="CQ112" s="736">
        <f ca="1">CR112+CS112</f>
        <v>0</v>
      </c>
      <c r="CR112" s="42">
        <f>CR$52*CR111</f>
        <v>0</v>
      </c>
      <c r="CS112" s="42">
        <f ca="1">CS$52*CS111</f>
        <v>0</v>
      </c>
      <c r="CT112" s="28"/>
      <c r="CW112" s="970" t="s">
        <v>890</v>
      </c>
    </row>
    <row r="113" spans="5:104" ht="16.7" hidden="1" customHeight="1">
      <c r="E113" s="676">
        <v>17.100000000000001</v>
      </c>
      <c r="F113" s="779" cm="1">
        <f t="array" aca="1" ref="F113" ca="1">OFFSET(G113,-1,-1)</f>
        <v>0</v>
      </c>
      <c r="L113" s="779" t="b" cm="1">
        <f t="array" aca="1" ref="L113" ca="1">OFFSET(M113,-1,-1)</f>
        <v>0</v>
      </c>
      <c r="S113" s="110" t="b" cm="1">
        <f t="array" aca="1" ref="S113" ca="1">OFFSET(T113,-1,-1)</f>
        <v>0</v>
      </c>
      <c r="T113" s="110" t="b">
        <f>AD113&lt;&gt;"36.0"</f>
        <v>0</v>
      </c>
      <c r="U113" s="698" t="b">
        <f t="shared" ca="1" si="35"/>
        <v>0</v>
      </c>
      <c r="X113" s="110" t="s">
        <v>236</v>
      </c>
      <c r="Y113" s="1687"/>
      <c r="Z113" s="1687"/>
      <c r="AB113" s="1784"/>
      <c r="AD113" s="111" t="s">
        <v>891</v>
      </c>
      <c r="AE113" s="821"/>
      <c r="AF113" s="524"/>
      <c r="AG113" s="733" t="s">
        <v>839</v>
      </c>
      <c r="AH113" s="41"/>
      <c r="AI113" s="42"/>
      <c r="AJ113" s="42"/>
      <c r="AK113" s="42"/>
      <c r="AL113" s="736">
        <f ca="1">AM113+AN113</f>
        <v>0</v>
      </c>
      <c r="AM113" s="42">
        <f>AM109*AM64/1000</f>
        <v>0</v>
      </c>
      <c r="AN113" s="42">
        <f ca="1">AN109*AN64/1000</f>
        <v>0</v>
      </c>
      <c r="AO113" s="736">
        <f ca="1">AP113+AQ113</f>
        <v>0</v>
      </c>
      <c r="AP113" s="826">
        <f>AP109*AP64/1000</f>
        <v>0</v>
      </c>
      <c r="AQ113" s="826">
        <f ca="1">AQ109*AQ64/1000</f>
        <v>0</v>
      </c>
      <c r="AR113" s="736">
        <f ca="1">AS113+AT113</f>
        <v>0</v>
      </c>
      <c r="AS113" s="826">
        <f>AS109*AS64/1000</f>
        <v>0</v>
      </c>
      <c r="AT113" s="826">
        <f ca="1">AT109*AT64/1000</f>
        <v>0</v>
      </c>
      <c r="AU113" s="736">
        <f ca="1">AV113+AW113</f>
        <v>0</v>
      </c>
      <c r="AV113" s="826">
        <f>AV109*AV64/1000</f>
        <v>0</v>
      </c>
      <c r="AW113" s="826">
        <f ca="1">AW109*AW64/1000</f>
        <v>0</v>
      </c>
      <c r="AX113" s="736">
        <f ca="1">AY113+AZ113</f>
        <v>0</v>
      </c>
      <c r="AY113" s="826">
        <f>AY109*AY64/1000</f>
        <v>0</v>
      </c>
      <c r="AZ113" s="826">
        <f ca="1">AZ109*AZ64/1000</f>
        <v>0</v>
      </c>
      <c r="BA113" s="736">
        <f ca="1">BB113+BC113</f>
        <v>0</v>
      </c>
      <c r="BB113" s="42">
        <f>BB109*BB64/1000</f>
        <v>0</v>
      </c>
      <c r="BC113" s="42">
        <f ca="1">BC109*BC64/1000</f>
        <v>0</v>
      </c>
      <c r="BD113" s="736">
        <f ca="1">BE113+BF113</f>
        <v>0</v>
      </c>
      <c r="BE113" s="42">
        <f>BE109*BE64/1000</f>
        <v>0</v>
      </c>
      <c r="BF113" s="42">
        <f ca="1">BF109*BF64/1000</f>
        <v>0</v>
      </c>
      <c r="BG113" s="736">
        <f ca="1">BH113+BI113</f>
        <v>0</v>
      </c>
      <c r="BH113" s="42">
        <f>BH109*BH64/1000</f>
        <v>0</v>
      </c>
      <c r="BI113" s="42">
        <f ca="1">BI109*BI64/1000</f>
        <v>0</v>
      </c>
      <c r="BJ113" s="736">
        <f ca="1">BK113+BL113</f>
        <v>0</v>
      </c>
      <c r="BK113" s="42">
        <f>BK109*BK64/1000</f>
        <v>0</v>
      </c>
      <c r="BL113" s="42">
        <f ca="1">BL109*BL64/1000</f>
        <v>0</v>
      </c>
      <c r="BM113" s="736">
        <f ca="1">BN113+BO113</f>
        <v>0</v>
      </c>
      <c r="BN113" s="42">
        <f>BN109*BN64/1000</f>
        <v>0</v>
      </c>
      <c r="BO113" s="42">
        <f ca="1">BO109*BO64/1000</f>
        <v>0</v>
      </c>
      <c r="BP113" s="736">
        <f ca="1">BQ113+BR113</f>
        <v>0</v>
      </c>
      <c r="BQ113" s="826">
        <f>BQ109*BQ64/1000</f>
        <v>0</v>
      </c>
      <c r="BR113" s="826">
        <f ca="1">BR109*BR64/1000</f>
        <v>0</v>
      </c>
      <c r="BS113" s="736">
        <f ca="1">BT113+BU113</f>
        <v>0</v>
      </c>
      <c r="BT113" s="826">
        <f>BT109*BT64/1000</f>
        <v>0</v>
      </c>
      <c r="BU113" s="826">
        <f ca="1">BU109*BU64/1000</f>
        <v>0</v>
      </c>
      <c r="BV113" s="736">
        <f ca="1">BW113+BX113</f>
        <v>0</v>
      </c>
      <c r="BW113" s="826">
        <f>BW109*BW64/1000</f>
        <v>0</v>
      </c>
      <c r="BX113" s="826">
        <f ca="1">BX109*BX64/1000</f>
        <v>0</v>
      </c>
      <c r="BY113" s="736">
        <f ca="1">BZ113+CA113</f>
        <v>0</v>
      </c>
      <c r="BZ113" s="826">
        <f>BZ109*BZ64/1000</f>
        <v>0</v>
      </c>
      <c r="CA113" s="826">
        <f ca="1">CA109*CA64/1000</f>
        <v>0</v>
      </c>
      <c r="CB113" s="736">
        <f ca="1">CC113+CD113</f>
        <v>0</v>
      </c>
      <c r="CC113" s="826">
        <f>CC109*CC64/1000</f>
        <v>0</v>
      </c>
      <c r="CD113" s="826">
        <f ca="1">CD109*CD64/1000</f>
        <v>0</v>
      </c>
      <c r="CE113" s="736">
        <f ca="1">CF113+CG113</f>
        <v>0</v>
      </c>
      <c r="CF113" s="42">
        <f>CF109*CF64/1000</f>
        <v>0</v>
      </c>
      <c r="CG113" s="42">
        <f ca="1">CG109*CG64/1000</f>
        <v>0</v>
      </c>
      <c r="CH113" s="736">
        <f ca="1">CI113+CJ113</f>
        <v>0</v>
      </c>
      <c r="CI113" s="42">
        <f>CI109*CI64/1000</f>
        <v>0</v>
      </c>
      <c r="CJ113" s="42">
        <f ca="1">CJ109*CJ64/1000</f>
        <v>0</v>
      </c>
      <c r="CK113" s="736">
        <f ca="1">CL113+CM113</f>
        <v>0</v>
      </c>
      <c r="CL113" s="42">
        <f>CL109*CL64/1000</f>
        <v>0</v>
      </c>
      <c r="CM113" s="42">
        <f ca="1">CM109*CM64/1000</f>
        <v>0</v>
      </c>
      <c r="CN113" s="736">
        <f ca="1">CO113+CP113</f>
        <v>0</v>
      </c>
      <c r="CO113" s="42">
        <f>CO109*CO64/1000</f>
        <v>0</v>
      </c>
      <c r="CP113" s="42">
        <f ca="1">CP109*CP64/1000</f>
        <v>0</v>
      </c>
      <c r="CQ113" s="736">
        <f ca="1">CR113+CS113</f>
        <v>0</v>
      </c>
      <c r="CR113" s="42">
        <f>CR109*CR64/1000</f>
        <v>0</v>
      </c>
      <c r="CS113" s="42">
        <f ca="1">CS109*CS64/1000</f>
        <v>0</v>
      </c>
      <c r="CT113" s="28"/>
      <c r="CW113" s="970" t="s">
        <v>890</v>
      </c>
      <c r="CX113" s="975" t="s">
        <v>821</v>
      </c>
      <c r="CY113" s="979" cm="1">
        <f t="array" ref="CY113">AE113</f>
        <v>0</v>
      </c>
      <c r="CZ113" s="979" cm="1">
        <f t="array" ref="CZ113">AF113</f>
        <v>0</v>
      </c>
    </row>
    <row r="114" spans="5:104" ht="15" hidden="1" customHeight="1">
      <c r="E114" s="676">
        <v>0</v>
      </c>
      <c r="F114" s="779" cm="1">
        <f t="array" aca="1" ref="F114" ca="1">OFFSET(G114,-1,-1)</f>
        <v>0</v>
      </c>
      <c r="L114" s="779" t="b" cm="1">
        <f t="array" aca="1" ref="L114" ca="1">OFFSET(M114,-1,-1)</f>
        <v>0</v>
      </c>
      <c r="S114" s="110" t="b" cm="1">
        <f t="array" aca="1" ref="S114" ca="1">OFFSET(T114,-1,-1)</f>
        <v>0</v>
      </c>
      <c r="U114" s="698" t="b">
        <f t="shared" ca="1" si="35"/>
        <v>0</v>
      </c>
      <c r="X114" s="820" t="str">
        <f>"{                  
         funcDyn: 'msg1',
         blok: 'blok_2',
         wsCross: 'Топливо 4.4',
         linkFormula: 'AE-AE#AF-AF',
         levelDyn: "&amp;Y28&amp;"
}"</f>
        <v>{                  
         funcDyn: 'msg1',
         blok: 'blok_2',
         wsCross: 'Топливо 4.4',
         linkFormula: 'AE-AE#AF-AF',
         levelDyn: 0
}</v>
      </c>
      <c r="Y114" s="1687"/>
      <c r="Z114" s="1687"/>
      <c r="AB114" s="1784"/>
      <c r="AD114" s="823"/>
      <c r="AE114" s="822" t="s">
        <v>238</v>
      </c>
      <c r="AF114" s="745"/>
      <c r="AG114" s="733"/>
      <c r="AH114" s="735"/>
      <c r="AI114" s="737"/>
      <c r="AJ114" s="737"/>
      <c r="AK114" s="737"/>
      <c r="AL114" s="737"/>
      <c r="AM114" s="737"/>
      <c r="AN114" s="737"/>
      <c r="AO114" s="737"/>
      <c r="AP114" s="737"/>
      <c r="AQ114" s="737"/>
      <c r="AR114" s="737"/>
      <c r="AS114" s="737"/>
      <c r="AT114" s="737"/>
      <c r="AU114" s="737"/>
      <c r="AV114" s="737"/>
      <c r="AW114" s="737"/>
      <c r="AX114" s="737"/>
      <c r="AY114" s="737"/>
      <c r="AZ114" s="737"/>
      <c r="BA114" s="737"/>
      <c r="BB114" s="737"/>
      <c r="BC114" s="737"/>
      <c r="BD114" s="737"/>
      <c r="BE114" s="737"/>
      <c r="BF114" s="737"/>
      <c r="BG114" s="737"/>
      <c r="BH114" s="737"/>
      <c r="BI114" s="737"/>
      <c r="BJ114" s="737"/>
      <c r="BK114" s="737"/>
      <c r="BL114" s="737"/>
      <c r="BM114" s="737"/>
      <c r="BN114" s="737"/>
      <c r="BO114" s="737"/>
      <c r="BP114" s="737"/>
      <c r="BQ114" s="737"/>
      <c r="BR114" s="737"/>
      <c r="BS114" s="737"/>
      <c r="BT114" s="737"/>
      <c r="BU114" s="737"/>
      <c r="BV114" s="737"/>
      <c r="BW114" s="737"/>
      <c r="BX114" s="737"/>
      <c r="BY114" s="737"/>
      <c r="BZ114" s="737"/>
      <c r="CA114" s="737"/>
      <c r="CB114" s="737"/>
      <c r="CC114" s="737"/>
      <c r="CD114" s="737"/>
      <c r="CE114" s="737"/>
      <c r="CF114" s="737"/>
      <c r="CG114" s="737"/>
      <c r="CH114" s="737"/>
      <c r="CI114" s="737"/>
      <c r="CJ114" s="737"/>
      <c r="CK114" s="737"/>
      <c r="CL114" s="737"/>
      <c r="CM114" s="737"/>
      <c r="CN114" s="737"/>
      <c r="CO114" s="737"/>
      <c r="CP114" s="737"/>
      <c r="CQ114" s="737"/>
      <c r="CR114" s="737"/>
      <c r="CS114" s="737"/>
      <c r="CT114" s="46"/>
      <c r="CW114" s="970" t="str">
        <f>IF(AND(ISNUMBER(VALUE(TRIM(SUBSTITUTE(AD114,".","")))),TRIM(SUBSTITUTE(AD114,".",""))&lt;&gt;""),"P"&amp;SUBSTITUTE(AD114,".",""),"")</f>
        <v/>
      </c>
    </row>
    <row r="115" spans="5:104" ht="29.25" hidden="1" customHeight="1">
      <c r="E115" s="676">
        <v>30</v>
      </c>
      <c r="F115" s="779" cm="1">
        <f t="array" aca="1" ref="F115" ca="1">OFFSET(G115,-1,-1)</f>
        <v>0</v>
      </c>
      <c r="L115" s="779" t="b" cm="1">
        <f t="array" aca="1" ref="L115" ca="1">OFFSET(M115,-1,-1)</f>
        <v>0</v>
      </c>
      <c r="R115" s="779" t="s">
        <v>759</v>
      </c>
      <c r="S115" s="110" t="b" cm="1">
        <f t="array" aca="1" ref="S115" ca="1">OFFSET(T115,-1,-1)</f>
        <v>0</v>
      </c>
      <c r="T115" s="110" t="b" cm="1">
        <f t="array" aca="1" ref="T115" ca="1">L115</f>
        <v>0</v>
      </c>
      <c r="U115" s="698" t="b">
        <f t="shared" ca="1" si="35"/>
        <v>0</v>
      </c>
      <c r="Y115" s="1687"/>
      <c r="Z115" s="1687"/>
      <c r="AB115" s="1784"/>
      <c r="AD115" s="124" t="s">
        <v>892</v>
      </c>
      <c r="AE115" s="1757" t="s">
        <v>893</v>
      </c>
      <c r="AF115" s="1758"/>
      <c r="AG115" s="733" t="s">
        <v>839</v>
      </c>
      <c r="AH115" s="734">
        <f t="shared" ref="AH115:BM115" si="42">SUM(AH116:AH117)</f>
        <v>0</v>
      </c>
      <c r="AI115" s="734">
        <f t="shared" si="42"/>
        <v>0</v>
      </c>
      <c r="AJ115" s="734">
        <f t="shared" si="42"/>
        <v>0</v>
      </c>
      <c r="AK115" s="734">
        <f t="shared" si="42"/>
        <v>0</v>
      </c>
      <c r="AL115" s="734">
        <f t="shared" ca="1" si="42"/>
        <v>0</v>
      </c>
      <c r="AM115" s="734">
        <f t="shared" si="42"/>
        <v>0</v>
      </c>
      <c r="AN115" s="734">
        <f t="shared" ca="1" si="42"/>
        <v>0</v>
      </c>
      <c r="AO115" s="734">
        <f t="shared" ca="1" si="42"/>
        <v>0</v>
      </c>
      <c r="AP115" s="734">
        <f t="shared" si="42"/>
        <v>0</v>
      </c>
      <c r="AQ115" s="734">
        <f t="shared" ca="1" si="42"/>
        <v>0</v>
      </c>
      <c r="AR115" s="734">
        <f t="shared" ca="1" si="42"/>
        <v>0</v>
      </c>
      <c r="AS115" s="734">
        <f t="shared" si="42"/>
        <v>0</v>
      </c>
      <c r="AT115" s="734">
        <f t="shared" ca="1" si="42"/>
        <v>0</v>
      </c>
      <c r="AU115" s="734">
        <f t="shared" ca="1" si="42"/>
        <v>0</v>
      </c>
      <c r="AV115" s="734">
        <f t="shared" si="42"/>
        <v>0</v>
      </c>
      <c r="AW115" s="734">
        <f t="shared" ca="1" si="42"/>
        <v>0</v>
      </c>
      <c r="AX115" s="734">
        <f t="shared" ca="1" si="42"/>
        <v>0</v>
      </c>
      <c r="AY115" s="734">
        <f t="shared" si="42"/>
        <v>0</v>
      </c>
      <c r="AZ115" s="734">
        <f t="shared" ca="1" si="42"/>
        <v>0</v>
      </c>
      <c r="BA115" s="734">
        <f t="shared" ca="1" si="42"/>
        <v>0</v>
      </c>
      <c r="BB115" s="734">
        <f t="shared" si="42"/>
        <v>0</v>
      </c>
      <c r="BC115" s="734">
        <f t="shared" ca="1" si="42"/>
        <v>0</v>
      </c>
      <c r="BD115" s="734">
        <f t="shared" ca="1" si="42"/>
        <v>0</v>
      </c>
      <c r="BE115" s="734">
        <f t="shared" si="42"/>
        <v>0</v>
      </c>
      <c r="BF115" s="734">
        <f t="shared" ca="1" si="42"/>
        <v>0</v>
      </c>
      <c r="BG115" s="734">
        <f t="shared" ca="1" si="42"/>
        <v>0</v>
      </c>
      <c r="BH115" s="734">
        <f t="shared" si="42"/>
        <v>0</v>
      </c>
      <c r="BI115" s="734">
        <f t="shared" ca="1" si="42"/>
        <v>0</v>
      </c>
      <c r="BJ115" s="734">
        <f t="shared" ca="1" si="42"/>
        <v>0</v>
      </c>
      <c r="BK115" s="734">
        <f t="shared" si="42"/>
        <v>0</v>
      </c>
      <c r="BL115" s="734">
        <f t="shared" ca="1" si="42"/>
        <v>0</v>
      </c>
      <c r="BM115" s="734">
        <f t="shared" ca="1" si="42"/>
        <v>0</v>
      </c>
      <c r="BN115" s="734">
        <f t="shared" ref="BN115:CS115" si="43">SUM(BN116:BN117)</f>
        <v>0</v>
      </c>
      <c r="BO115" s="734">
        <f t="shared" ca="1" si="43"/>
        <v>0</v>
      </c>
      <c r="BP115" s="734">
        <f t="shared" ca="1" si="43"/>
        <v>0</v>
      </c>
      <c r="BQ115" s="734">
        <f t="shared" si="43"/>
        <v>0</v>
      </c>
      <c r="BR115" s="734">
        <f t="shared" ca="1" si="43"/>
        <v>0</v>
      </c>
      <c r="BS115" s="734">
        <f t="shared" ca="1" si="43"/>
        <v>0</v>
      </c>
      <c r="BT115" s="734">
        <f t="shared" si="43"/>
        <v>0</v>
      </c>
      <c r="BU115" s="734">
        <f t="shared" ca="1" si="43"/>
        <v>0</v>
      </c>
      <c r="BV115" s="734">
        <f t="shared" ca="1" si="43"/>
        <v>0</v>
      </c>
      <c r="BW115" s="734">
        <f t="shared" si="43"/>
        <v>0</v>
      </c>
      <c r="BX115" s="734">
        <f t="shared" ca="1" si="43"/>
        <v>0</v>
      </c>
      <c r="BY115" s="734">
        <f t="shared" ca="1" si="43"/>
        <v>0</v>
      </c>
      <c r="BZ115" s="734">
        <f t="shared" si="43"/>
        <v>0</v>
      </c>
      <c r="CA115" s="734">
        <f t="shared" ca="1" si="43"/>
        <v>0</v>
      </c>
      <c r="CB115" s="734">
        <f t="shared" ca="1" si="43"/>
        <v>0</v>
      </c>
      <c r="CC115" s="734">
        <f t="shared" si="43"/>
        <v>0</v>
      </c>
      <c r="CD115" s="734">
        <f t="shared" ca="1" si="43"/>
        <v>0</v>
      </c>
      <c r="CE115" s="734">
        <f t="shared" ca="1" si="43"/>
        <v>0</v>
      </c>
      <c r="CF115" s="734">
        <f t="shared" si="43"/>
        <v>0</v>
      </c>
      <c r="CG115" s="734">
        <f t="shared" ca="1" si="43"/>
        <v>0</v>
      </c>
      <c r="CH115" s="734">
        <f t="shared" ca="1" si="43"/>
        <v>0</v>
      </c>
      <c r="CI115" s="734">
        <f t="shared" si="43"/>
        <v>0</v>
      </c>
      <c r="CJ115" s="734">
        <f t="shared" ca="1" si="43"/>
        <v>0</v>
      </c>
      <c r="CK115" s="734">
        <f t="shared" ca="1" si="43"/>
        <v>0</v>
      </c>
      <c r="CL115" s="734">
        <f t="shared" si="43"/>
        <v>0</v>
      </c>
      <c r="CM115" s="734">
        <f t="shared" ca="1" si="43"/>
        <v>0</v>
      </c>
      <c r="CN115" s="734">
        <f t="shared" ca="1" si="43"/>
        <v>0</v>
      </c>
      <c r="CO115" s="734">
        <f t="shared" si="43"/>
        <v>0</v>
      </c>
      <c r="CP115" s="734">
        <f t="shared" ca="1" si="43"/>
        <v>0</v>
      </c>
      <c r="CQ115" s="734">
        <f t="shared" ca="1" si="43"/>
        <v>0</v>
      </c>
      <c r="CR115" s="734">
        <f t="shared" si="43"/>
        <v>0</v>
      </c>
      <c r="CS115" s="734">
        <f t="shared" ca="1" si="43"/>
        <v>0</v>
      </c>
      <c r="CT115" s="28"/>
      <c r="CW115" s="970" t="s">
        <v>894</v>
      </c>
    </row>
    <row r="116" spans="5:104" ht="16.7" hidden="1" customHeight="1">
      <c r="E116" s="676">
        <v>17.100000000000001</v>
      </c>
      <c r="F116" s="779" cm="1">
        <f t="array" aca="1" ref="F116" ca="1">OFFSET(G116,-1,-1)</f>
        <v>0</v>
      </c>
      <c r="L116" s="779" t="b" cm="1">
        <f t="array" aca="1" ref="L116" ca="1">OFFSET(M116,-1,-1)</f>
        <v>0</v>
      </c>
      <c r="R116" s="779" t="s">
        <v>759</v>
      </c>
      <c r="S116" s="110" t="b" cm="1">
        <f t="array" aca="1" ref="S116" ca="1">OFFSET(T116,-1,-1)</f>
        <v>0</v>
      </c>
      <c r="T116" s="110" t="b">
        <f ca="1">AND(L116,AD116&lt;&gt;"37.0")</f>
        <v>0</v>
      </c>
      <c r="U116" s="698" t="b">
        <f t="shared" ca="1" si="35"/>
        <v>0</v>
      </c>
      <c r="X116" s="110" t="s">
        <v>236</v>
      </c>
      <c r="Y116" s="1687"/>
      <c r="Z116" s="1687"/>
      <c r="AB116" s="1784"/>
      <c r="AD116" s="111" t="s">
        <v>895</v>
      </c>
      <c r="AE116" s="821"/>
      <c r="AF116" s="524"/>
      <c r="AG116" s="733" t="s">
        <v>839</v>
      </c>
      <c r="AH116" s="41">
        <f>AH$52*AH113</f>
        <v>0</v>
      </c>
      <c r="AI116" s="42">
        <f>AI$52*AI113</f>
        <v>0</v>
      </c>
      <c r="AJ116" s="42">
        <f>AJ$52*AJ113</f>
        <v>0</v>
      </c>
      <c r="AK116" s="42">
        <f>AK$52*AK113</f>
        <v>0</v>
      </c>
      <c r="AL116" s="736">
        <f ca="1">AM116+AN116</f>
        <v>0</v>
      </c>
      <c r="AM116" s="42">
        <f>AM$52*AM113</f>
        <v>0</v>
      </c>
      <c r="AN116" s="42">
        <f ca="1">AN$52*AN113</f>
        <v>0</v>
      </c>
      <c r="AO116" s="736">
        <f ca="1">AP116+AQ116</f>
        <v>0</v>
      </c>
      <c r="AP116" s="826">
        <f>AP$52*AP113</f>
        <v>0</v>
      </c>
      <c r="AQ116" s="826">
        <f ca="1">AQ$52*AQ113</f>
        <v>0</v>
      </c>
      <c r="AR116" s="736">
        <f ca="1">AS116+AT116</f>
        <v>0</v>
      </c>
      <c r="AS116" s="826">
        <f>AS$52*AS113</f>
        <v>0</v>
      </c>
      <c r="AT116" s="826">
        <f ca="1">AT$52*AT113</f>
        <v>0</v>
      </c>
      <c r="AU116" s="736">
        <f ca="1">AV116+AW116</f>
        <v>0</v>
      </c>
      <c r="AV116" s="826">
        <f>AV$52*AV113</f>
        <v>0</v>
      </c>
      <c r="AW116" s="826">
        <f ca="1">AW$52*AW113</f>
        <v>0</v>
      </c>
      <c r="AX116" s="736">
        <f ca="1">AY116+AZ116</f>
        <v>0</v>
      </c>
      <c r="AY116" s="826">
        <f>AY$52*AY113</f>
        <v>0</v>
      </c>
      <c r="AZ116" s="826">
        <f ca="1">AZ$52*AZ113</f>
        <v>0</v>
      </c>
      <c r="BA116" s="736">
        <f ca="1">BB116+BC116</f>
        <v>0</v>
      </c>
      <c r="BB116" s="42">
        <f>BB$52*BB113</f>
        <v>0</v>
      </c>
      <c r="BC116" s="42">
        <f ca="1">BC$52*BC113</f>
        <v>0</v>
      </c>
      <c r="BD116" s="736">
        <f ca="1">BE116+BF116</f>
        <v>0</v>
      </c>
      <c r="BE116" s="42">
        <f>BE$52*BE113</f>
        <v>0</v>
      </c>
      <c r="BF116" s="42">
        <f ca="1">BF$52*BF113</f>
        <v>0</v>
      </c>
      <c r="BG116" s="736">
        <f ca="1">BH116+BI116</f>
        <v>0</v>
      </c>
      <c r="BH116" s="42">
        <f>BH$52*BH113</f>
        <v>0</v>
      </c>
      <c r="BI116" s="42">
        <f ca="1">BI$52*BI113</f>
        <v>0</v>
      </c>
      <c r="BJ116" s="736">
        <f ca="1">BK116+BL116</f>
        <v>0</v>
      </c>
      <c r="BK116" s="42">
        <f>BK$52*BK113</f>
        <v>0</v>
      </c>
      <c r="BL116" s="42">
        <f ca="1">BL$52*BL113</f>
        <v>0</v>
      </c>
      <c r="BM116" s="736">
        <f ca="1">BN116+BO116</f>
        <v>0</v>
      </c>
      <c r="BN116" s="42">
        <f>BN$52*BN113</f>
        <v>0</v>
      </c>
      <c r="BO116" s="42">
        <f ca="1">BO$52*BO113</f>
        <v>0</v>
      </c>
      <c r="BP116" s="736">
        <f ca="1">BQ116+BR116</f>
        <v>0</v>
      </c>
      <c r="BQ116" s="826">
        <f>BQ$52*BQ113</f>
        <v>0</v>
      </c>
      <c r="BR116" s="826">
        <f ca="1">BR$52*BR113</f>
        <v>0</v>
      </c>
      <c r="BS116" s="736">
        <f ca="1">BT116+BU116</f>
        <v>0</v>
      </c>
      <c r="BT116" s="826">
        <f>BT$52*BT113</f>
        <v>0</v>
      </c>
      <c r="BU116" s="826">
        <f ca="1">BU$52*BU113</f>
        <v>0</v>
      </c>
      <c r="BV116" s="736">
        <f ca="1">BW116+BX116</f>
        <v>0</v>
      </c>
      <c r="BW116" s="826">
        <f>BW$52*BW113</f>
        <v>0</v>
      </c>
      <c r="BX116" s="826">
        <f ca="1">BX$52*BX113</f>
        <v>0</v>
      </c>
      <c r="BY116" s="736">
        <f ca="1">BZ116+CA116</f>
        <v>0</v>
      </c>
      <c r="BZ116" s="826">
        <f>BZ$52*BZ113</f>
        <v>0</v>
      </c>
      <c r="CA116" s="826">
        <f ca="1">CA$52*CA113</f>
        <v>0</v>
      </c>
      <c r="CB116" s="736">
        <f ca="1">CC116+CD116</f>
        <v>0</v>
      </c>
      <c r="CC116" s="826">
        <f>CC$52*CC113</f>
        <v>0</v>
      </c>
      <c r="CD116" s="826">
        <f ca="1">CD$52*CD113</f>
        <v>0</v>
      </c>
      <c r="CE116" s="736">
        <f ca="1">CF116+CG116</f>
        <v>0</v>
      </c>
      <c r="CF116" s="42">
        <f>CF$52*CF113</f>
        <v>0</v>
      </c>
      <c r="CG116" s="42">
        <f ca="1">CG$52*CG113</f>
        <v>0</v>
      </c>
      <c r="CH116" s="736">
        <f ca="1">CI116+CJ116</f>
        <v>0</v>
      </c>
      <c r="CI116" s="42">
        <f>CI$52*CI113</f>
        <v>0</v>
      </c>
      <c r="CJ116" s="42">
        <f ca="1">CJ$52*CJ113</f>
        <v>0</v>
      </c>
      <c r="CK116" s="736">
        <f ca="1">CL116+CM116</f>
        <v>0</v>
      </c>
      <c r="CL116" s="42">
        <f>CL$52*CL113</f>
        <v>0</v>
      </c>
      <c r="CM116" s="42">
        <f ca="1">CM$52*CM113</f>
        <v>0</v>
      </c>
      <c r="CN116" s="736">
        <f ca="1">CO116+CP116</f>
        <v>0</v>
      </c>
      <c r="CO116" s="42">
        <f>CO$52*CO113</f>
        <v>0</v>
      </c>
      <c r="CP116" s="42">
        <f ca="1">CP$52*CP113</f>
        <v>0</v>
      </c>
      <c r="CQ116" s="736">
        <f ca="1">CR116+CS116</f>
        <v>0</v>
      </c>
      <c r="CR116" s="42">
        <f>CR$52*CR113</f>
        <v>0</v>
      </c>
      <c r="CS116" s="42">
        <f ca="1">CS$52*CS113</f>
        <v>0</v>
      </c>
      <c r="CT116" s="28"/>
      <c r="CW116" s="970" t="s">
        <v>894</v>
      </c>
      <c r="CX116" s="975" t="s">
        <v>821</v>
      </c>
      <c r="CY116" s="979" cm="1">
        <f t="array" ref="CY116">AE116</f>
        <v>0</v>
      </c>
      <c r="CZ116" s="979" cm="1">
        <f t="array" ref="CZ116">AF116</f>
        <v>0</v>
      </c>
    </row>
    <row r="117" spans="5:104" ht="15" hidden="1" customHeight="1">
      <c r="E117" s="676">
        <v>0</v>
      </c>
      <c r="F117" s="779" cm="1">
        <f t="array" aca="1" ref="F117" ca="1">OFFSET(G117,-1,-1)</f>
        <v>0</v>
      </c>
      <c r="L117" s="779" t="b" cm="1">
        <f t="array" aca="1" ref="L117" ca="1">OFFSET(M117,-1,-1)</f>
        <v>0</v>
      </c>
      <c r="S117" s="110" t="b" cm="1">
        <f t="array" aca="1" ref="S117" ca="1">OFFSET(T117,-1,-1)</f>
        <v>0</v>
      </c>
      <c r="U117" s="698" t="b">
        <f t="shared" ca="1" si="35"/>
        <v>0</v>
      </c>
      <c r="X117" s="820" t="str">
        <f>"{                  
         funcDyn: 'msg1',
         blok: 'blok_2',
         wsCross: 'Топливо 4.4',
         linkFormula: 'AE-AE#AF-AF',
         levelDyn: "&amp;Y28&amp;"
}"</f>
        <v>{                  
         funcDyn: 'msg1',
         blok: 'blok_2',
         wsCross: 'Топливо 4.4',
         linkFormula: 'AE-AE#AF-AF',
         levelDyn: 0
}</v>
      </c>
      <c r="Y117" s="1687"/>
      <c r="Z117" s="1687"/>
      <c r="AB117" s="1785"/>
      <c r="AD117" s="823"/>
      <c r="AE117" s="822" t="s">
        <v>238</v>
      </c>
      <c r="AF117" s="745"/>
      <c r="AG117" s="733"/>
      <c r="AH117" s="735"/>
      <c r="AI117" s="737"/>
      <c r="AJ117" s="737"/>
      <c r="AK117" s="737"/>
      <c r="AL117" s="737"/>
      <c r="AM117" s="737"/>
      <c r="AN117" s="737"/>
      <c r="AO117" s="737"/>
      <c r="AP117" s="737"/>
      <c r="AQ117" s="737"/>
      <c r="AR117" s="737"/>
      <c r="AS117" s="737"/>
      <c r="AT117" s="737"/>
      <c r="AU117" s="737"/>
      <c r="AV117" s="737"/>
      <c r="AW117" s="737"/>
      <c r="AX117" s="737"/>
      <c r="AY117" s="737"/>
      <c r="AZ117" s="737"/>
      <c r="BA117" s="737"/>
      <c r="BB117" s="737"/>
      <c r="BC117" s="737"/>
      <c r="BD117" s="737"/>
      <c r="BE117" s="737"/>
      <c r="BF117" s="737"/>
      <c r="BG117" s="737"/>
      <c r="BH117" s="737"/>
      <c r="BI117" s="737"/>
      <c r="BJ117" s="737"/>
      <c r="BK117" s="737"/>
      <c r="BL117" s="737"/>
      <c r="BM117" s="737"/>
      <c r="BN117" s="737"/>
      <c r="BO117" s="737"/>
      <c r="BP117" s="737"/>
      <c r="BQ117" s="737"/>
      <c r="BR117" s="737"/>
      <c r="BS117" s="737"/>
      <c r="BT117" s="737"/>
      <c r="BU117" s="737"/>
      <c r="BV117" s="737"/>
      <c r="BW117" s="737"/>
      <c r="BX117" s="737"/>
      <c r="BY117" s="737"/>
      <c r="BZ117" s="737"/>
      <c r="CA117" s="737"/>
      <c r="CB117" s="737"/>
      <c r="CC117" s="737"/>
      <c r="CD117" s="737"/>
      <c r="CE117" s="737"/>
      <c r="CF117" s="737"/>
      <c r="CG117" s="737"/>
      <c r="CH117" s="737"/>
      <c r="CI117" s="737"/>
      <c r="CJ117" s="737"/>
      <c r="CK117" s="737"/>
      <c r="CL117" s="737"/>
      <c r="CM117" s="737"/>
      <c r="CN117" s="737"/>
      <c r="CO117" s="737"/>
      <c r="CP117" s="737"/>
      <c r="CQ117" s="737"/>
      <c r="CR117" s="737"/>
      <c r="CS117" s="737"/>
      <c r="CT117" s="46"/>
      <c r="CW117" s="970" t="str">
        <f>IF(AND(ISNUMBER(VALUE(TRIM(SUBSTITUTE(AD117,".","")))),TRIM(SUBSTITUTE(AD117,".",""))&lt;&gt;""),"P"&amp;SUBSTITUTE(AD117,".",""),"")</f>
        <v/>
      </c>
    </row>
    <row r="118" spans="5:104" ht="16.7" hidden="1" customHeight="1">
      <c r="E118" s="676">
        <v>17.100000000000001</v>
      </c>
      <c r="F118" s="779" cm="1">
        <f t="array" aca="1" ref="F118" ca="1">OFFSET(G118,-1,-1)</f>
        <v>0</v>
      </c>
      <c r="L118" s="779" t="b" cm="1">
        <f t="array" aca="1" ref="L118" ca="1">OFFSET(M118,-1,-1)</f>
        <v>0</v>
      </c>
      <c r="S118" s="110" t="b" cm="1">
        <f t="array" aca="1" ref="S118" ca="1">OFFSET(T118,-1,-1)</f>
        <v>0</v>
      </c>
      <c r="U118" s="698" t="b">
        <f t="shared" ca="1" si="35"/>
        <v>0</v>
      </c>
      <c r="Y118" s="1687"/>
      <c r="Z118" s="1687"/>
      <c r="AB118" s="1783" t="s">
        <v>896</v>
      </c>
      <c r="AD118" s="124" t="s">
        <v>897</v>
      </c>
      <c r="AE118" s="1754" t="s">
        <v>898</v>
      </c>
      <c r="AF118" s="1734"/>
      <c r="AG118" s="733" t="s">
        <v>839</v>
      </c>
      <c r="AH118" s="734">
        <f t="shared" ref="AH118:BM118" si="44">SUM(AH120:AH121)</f>
        <v>0</v>
      </c>
      <c r="AI118" s="734">
        <f t="shared" si="44"/>
        <v>0</v>
      </c>
      <c r="AJ118" s="734">
        <f t="shared" si="44"/>
        <v>0</v>
      </c>
      <c r="AK118" s="734">
        <f t="shared" si="44"/>
        <v>0</v>
      </c>
      <c r="AL118" s="734">
        <f t="shared" si="44"/>
        <v>0</v>
      </c>
      <c r="AM118" s="734">
        <f t="shared" si="44"/>
        <v>0</v>
      </c>
      <c r="AN118" s="734">
        <f t="shared" si="44"/>
        <v>0</v>
      </c>
      <c r="AO118" s="734">
        <f t="shared" si="44"/>
        <v>0</v>
      </c>
      <c r="AP118" s="734">
        <f t="shared" si="44"/>
        <v>0</v>
      </c>
      <c r="AQ118" s="734">
        <f t="shared" si="44"/>
        <v>0</v>
      </c>
      <c r="AR118" s="734">
        <f t="shared" si="44"/>
        <v>0</v>
      </c>
      <c r="AS118" s="734">
        <f t="shared" si="44"/>
        <v>0</v>
      </c>
      <c r="AT118" s="734">
        <f t="shared" si="44"/>
        <v>0</v>
      </c>
      <c r="AU118" s="734">
        <f t="shared" si="44"/>
        <v>0</v>
      </c>
      <c r="AV118" s="734">
        <f t="shared" si="44"/>
        <v>0</v>
      </c>
      <c r="AW118" s="734">
        <f t="shared" si="44"/>
        <v>0</v>
      </c>
      <c r="AX118" s="734">
        <f t="shared" si="44"/>
        <v>0</v>
      </c>
      <c r="AY118" s="734">
        <f t="shared" si="44"/>
        <v>0</v>
      </c>
      <c r="AZ118" s="734">
        <f t="shared" si="44"/>
        <v>0</v>
      </c>
      <c r="BA118" s="734">
        <f t="shared" si="44"/>
        <v>0</v>
      </c>
      <c r="BB118" s="734">
        <f t="shared" si="44"/>
        <v>0</v>
      </c>
      <c r="BC118" s="734">
        <f t="shared" si="44"/>
        <v>0</v>
      </c>
      <c r="BD118" s="734">
        <f t="shared" si="44"/>
        <v>0</v>
      </c>
      <c r="BE118" s="734">
        <f t="shared" si="44"/>
        <v>0</v>
      </c>
      <c r="BF118" s="734">
        <f t="shared" si="44"/>
        <v>0</v>
      </c>
      <c r="BG118" s="734">
        <f t="shared" si="44"/>
        <v>0</v>
      </c>
      <c r="BH118" s="734">
        <f t="shared" si="44"/>
        <v>0</v>
      </c>
      <c r="BI118" s="734">
        <f t="shared" si="44"/>
        <v>0</v>
      </c>
      <c r="BJ118" s="734">
        <f t="shared" si="44"/>
        <v>0</v>
      </c>
      <c r="BK118" s="734">
        <f t="shared" si="44"/>
        <v>0</v>
      </c>
      <c r="BL118" s="734">
        <f t="shared" si="44"/>
        <v>0</v>
      </c>
      <c r="BM118" s="734">
        <f t="shared" si="44"/>
        <v>0</v>
      </c>
      <c r="BN118" s="734">
        <f t="shared" ref="BN118:CS118" si="45">SUM(BN120:BN121)</f>
        <v>0</v>
      </c>
      <c r="BO118" s="734">
        <f t="shared" si="45"/>
        <v>0</v>
      </c>
      <c r="BP118" s="734">
        <f t="shared" si="45"/>
        <v>0</v>
      </c>
      <c r="BQ118" s="734">
        <f t="shared" si="45"/>
        <v>0</v>
      </c>
      <c r="BR118" s="734">
        <f t="shared" si="45"/>
        <v>0</v>
      </c>
      <c r="BS118" s="734">
        <f t="shared" si="45"/>
        <v>0</v>
      </c>
      <c r="BT118" s="734">
        <f t="shared" si="45"/>
        <v>0</v>
      </c>
      <c r="BU118" s="734">
        <f t="shared" si="45"/>
        <v>0</v>
      </c>
      <c r="BV118" s="734">
        <f t="shared" si="45"/>
        <v>0</v>
      </c>
      <c r="BW118" s="734">
        <f t="shared" si="45"/>
        <v>0</v>
      </c>
      <c r="BX118" s="734">
        <f t="shared" si="45"/>
        <v>0</v>
      </c>
      <c r="BY118" s="734">
        <f t="shared" si="45"/>
        <v>0</v>
      </c>
      <c r="BZ118" s="734">
        <f t="shared" si="45"/>
        <v>0</v>
      </c>
      <c r="CA118" s="734">
        <f t="shared" si="45"/>
        <v>0</v>
      </c>
      <c r="CB118" s="734">
        <f t="shared" si="45"/>
        <v>0</v>
      </c>
      <c r="CC118" s="734">
        <f t="shared" si="45"/>
        <v>0</v>
      </c>
      <c r="CD118" s="734">
        <f t="shared" si="45"/>
        <v>0</v>
      </c>
      <c r="CE118" s="734">
        <f t="shared" si="45"/>
        <v>0</v>
      </c>
      <c r="CF118" s="734">
        <f t="shared" si="45"/>
        <v>0</v>
      </c>
      <c r="CG118" s="734">
        <f t="shared" si="45"/>
        <v>0</v>
      </c>
      <c r="CH118" s="734">
        <f t="shared" si="45"/>
        <v>0</v>
      </c>
      <c r="CI118" s="734">
        <f t="shared" si="45"/>
        <v>0</v>
      </c>
      <c r="CJ118" s="734">
        <f t="shared" si="45"/>
        <v>0</v>
      </c>
      <c r="CK118" s="734">
        <f t="shared" si="45"/>
        <v>0</v>
      </c>
      <c r="CL118" s="734">
        <f t="shared" si="45"/>
        <v>0</v>
      </c>
      <c r="CM118" s="734">
        <f t="shared" si="45"/>
        <v>0</v>
      </c>
      <c r="CN118" s="734">
        <f t="shared" si="45"/>
        <v>0</v>
      </c>
      <c r="CO118" s="734">
        <f t="shared" si="45"/>
        <v>0</v>
      </c>
      <c r="CP118" s="734">
        <f t="shared" si="45"/>
        <v>0</v>
      </c>
      <c r="CQ118" s="734">
        <f t="shared" si="45"/>
        <v>0</v>
      </c>
      <c r="CR118" s="734">
        <f t="shared" si="45"/>
        <v>0</v>
      </c>
      <c r="CS118" s="734">
        <f t="shared" si="45"/>
        <v>0</v>
      </c>
      <c r="CT118" s="28"/>
      <c r="CW118" s="970" t="s">
        <v>899</v>
      </c>
    </row>
    <row r="119" spans="5:104" ht="16.7" hidden="1" customHeight="1">
      <c r="E119" s="676">
        <v>17.100000000000001</v>
      </c>
      <c r="F119" s="779" cm="1">
        <f t="array" aca="1" ref="F119" ca="1">OFFSET(G119,-1,-1)</f>
        <v>0</v>
      </c>
      <c r="L119" s="779" t="b" cm="1">
        <f t="array" aca="1" ref="L119" ca="1">OFFSET(M119,-1,-1)</f>
        <v>0</v>
      </c>
      <c r="R119" s="779" t="s">
        <v>759</v>
      </c>
      <c r="S119" s="110" t="b" cm="1">
        <f t="array" aca="1" ref="S119" ca="1">OFFSET(T119,-1,-1)</f>
        <v>0</v>
      </c>
      <c r="T119" s="779" t="b">
        <v>0</v>
      </c>
      <c r="U119" s="698" t="b">
        <f t="shared" ca="1" si="35"/>
        <v>0</v>
      </c>
      <c r="Y119" s="1687"/>
      <c r="Z119" s="1687"/>
      <c r="AB119" s="1784"/>
      <c r="AD119" s="111" t="str">
        <f>AD118&amp;".0"</f>
        <v>38.0</v>
      </c>
      <c r="AE119" s="1755" t="s">
        <v>770</v>
      </c>
      <c r="AF119" s="1756"/>
      <c r="AG119" s="733" t="s">
        <v>839</v>
      </c>
      <c r="AH119" s="41">
        <f>AH$52*AH118</f>
        <v>0</v>
      </c>
      <c r="AI119" s="42">
        <f>AI$52*AI118</f>
        <v>0</v>
      </c>
      <c r="AJ119" s="42">
        <f>AJ$52*AJ118</f>
        <v>0</v>
      </c>
      <c r="AK119" s="42">
        <f>AK$52*AK118</f>
        <v>0</v>
      </c>
      <c r="AL119" s="736">
        <f ca="1">AM119+AN119</f>
        <v>0</v>
      </c>
      <c r="AM119" s="42">
        <f>AM$52*AM118</f>
        <v>0</v>
      </c>
      <c r="AN119" s="42">
        <f ca="1">AN$52*AN118</f>
        <v>0</v>
      </c>
      <c r="AO119" s="736">
        <f ca="1">AP119+AQ119</f>
        <v>0</v>
      </c>
      <c r="AP119" s="826">
        <f>AP$52*AP118</f>
        <v>0</v>
      </c>
      <c r="AQ119" s="826">
        <f ca="1">AQ$52*AQ118</f>
        <v>0</v>
      </c>
      <c r="AR119" s="736">
        <f ca="1">AS119+AT119</f>
        <v>0</v>
      </c>
      <c r="AS119" s="826">
        <f>AS$52*AS118</f>
        <v>0</v>
      </c>
      <c r="AT119" s="826">
        <f ca="1">AT$52*AT118</f>
        <v>0</v>
      </c>
      <c r="AU119" s="736">
        <f ca="1">AV119+AW119</f>
        <v>0</v>
      </c>
      <c r="AV119" s="826">
        <f>AV$52*AV118</f>
        <v>0</v>
      </c>
      <c r="AW119" s="826">
        <f ca="1">AW$52*AW118</f>
        <v>0</v>
      </c>
      <c r="AX119" s="736">
        <f ca="1">AY119+AZ119</f>
        <v>0</v>
      </c>
      <c r="AY119" s="826">
        <f>AY$52*AY118</f>
        <v>0</v>
      </c>
      <c r="AZ119" s="826">
        <f ca="1">AZ$52*AZ118</f>
        <v>0</v>
      </c>
      <c r="BA119" s="736">
        <f ca="1">BB119+BC119</f>
        <v>0</v>
      </c>
      <c r="BB119" s="42">
        <f>BB$52*BB118</f>
        <v>0</v>
      </c>
      <c r="BC119" s="42">
        <f ca="1">BC$52*BC118</f>
        <v>0</v>
      </c>
      <c r="BD119" s="736">
        <f ca="1">BE119+BF119</f>
        <v>0</v>
      </c>
      <c r="BE119" s="42">
        <f>BE$52*BE118</f>
        <v>0</v>
      </c>
      <c r="BF119" s="42">
        <f ca="1">BF$52*BF118</f>
        <v>0</v>
      </c>
      <c r="BG119" s="736">
        <f ca="1">BH119+BI119</f>
        <v>0</v>
      </c>
      <c r="BH119" s="42">
        <f>BH$52*BH118</f>
        <v>0</v>
      </c>
      <c r="BI119" s="42">
        <f ca="1">BI$52*BI118</f>
        <v>0</v>
      </c>
      <c r="BJ119" s="736">
        <f ca="1">BK119+BL119</f>
        <v>0</v>
      </c>
      <c r="BK119" s="42">
        <f>BK$52*BK118</f>
        <v>0</v>
      </c>
      <c r="BL119" s="42">
        <f ca="1">BL$52*BL118</f>
        <v>0</v>
      </c>
      <c r="BM119" s="736">
        <f ca="1">BN119+BO119</f>
        <v>0</v>
      </c>
      <c r="BN119" s="42">
        <f>BN$52*BN118</f>
        <v>0</v>
      </c>
      <c r="BO119" s="42">
        <f ca="1">BO$52*BO118</f>
        <v>0</v>
      </c>
      <c r="BP119" s="736">
        <f ca="1">BQ119+BR119</f>
        <v>0</v>
      </c>
      <c r="BQ119" s="826">
        <f>BQ$52*BQ118</f>
        <v>0</v>
      </c>
      <c r="BR119" s="826">
        <f ca="1">BR$52*BR118</f>
        <v>0</v>
      </c>
      <c r="BS119" s="736">
        <f ca="1">BT119+BU119</f>
        <v>0</v>
      </c>
      <c r="BT119" s="826">
        <f>BT$52*BT118</f>
        <v>0</v>
      </c>
      <c r="BU119" s="826">
        <f ca="1">BU$52*BU118</f>
        <v>0</v>
      </c>
      <c r="BV119" s="736">
        <f ca="1">BW119+BX119</f>
        <v>0</v>
      </c>
      <c r="BW119" s="826">
        <f>BW$52*BW118</f>
        <v>0</v>
      </c>
      <c r="BX119" s="826">
        <f ca="1">BX$52*BX118</f>
        <v>0</v>
      </c>
      <c r="BY119" s="736">
        <f ca="1">BZ119+CA119</f>
        <v>0</v>
      </c>
      <c r="BZ119" s="826">
        <f>BZ$52*BZ118</f>
        <v>0</v>
      </c>
      <c r="CA119" s="826">
        <f ca="1">CA$52*CA118</f>
        <v>0</v>
      </c>
      <c r="CB119" s="736">
        <f ca="1">CC119+CD119</f>
        <v>0</v>
      </c>
      <c r="CC119" s="826">
        <f>CC$52*CC118</f>
        <v>0</v>
      </c>
      <c r="CD119" s="826">
        <f ca="1">CD$52*CD118</f>
        <v>0</v>
      </c>
      <c r="CE119" s="736">
        <f ca="1">CF119+CG119</f>
        <v>0</v>
      </c>
      <c r="CF119" s="42">
        <f>CF$52*CF118</f>
        <v>0</v>
      </c>
      <c r="CG119" s="42">
        <f ca="1">CG$52*CG118</f>
        <v>0</v>
      </c>
      <c r="CH119" s="736">
        <f ca="1">CI119+CJ119</f>
        <v>0</v>
      </c>
      <c r="CI119" s="42">
        <f>CI$52*CI118</f>
        <v>0</v>
      </c>
      <c r="CJ119" s="42">
        <f ca="1">CJ$52*CJ118</f>
        <v>0</v>
      </c>
      <c r="CK119" s="736">
        <f ca="1">CL119+CM119</f>
        <v>0</v>
      </c>
      <c r="CL119" s="42">
        <f>CL$52*CL118</f>
        <v>0</v>
      </c>
      <c r="CM119" s="42">
        <f ca="1">CM$52*CM118</f>
        <v>0</v>
      </c>
      <c r="CN119" s="736">
        <f ca="1">CO119+CP119</f>
        <v>0</v>
      </c>
      <c r="CO119" s="42">
        <f>CO$52*CO118</f>
        <v>0</v>
      </c>
      <c r="CP119" s="42">
        <f ca="1">CP$52*CP118</f>
        <v>0</v>
      </c>
      <c r="CQ119" s="736">
        <f ca="1">CR119+CS119</f>
        <v>0</v>
      </c>
      <c r="CR119" s="42">
        <f>CR$52*CR118</f>
        <v>0</v>
      </c>
      <c r="CS119" s="42">
        <f ca="1">CS$52*CS118</f>
        <v>0</v>
      </c>
      <c r="CT119" s="28"/>
      <c r="CW119" s="970" t="s">
        <v>900</v>
      </c>
    </row>
    <row r="120" spans="5:104" ht="16.7" hidden="1" customHeight="1">
      <c r="E120" s="676">
        <v>17.100000000000001</v>
      </c>
      <c r="F120" s="779" cm="1">
        <f t="array" aca="1" ref="F120" ca="1">OFFSET(G120,-1,-1)</f>
        <v>0</v>
      </c>
      <c r="L120" s="779" t="b" cm="1">
        <f t="array" aca="1" ref="L120" ca="1">OFFSET(M120,-1,-1)</f>
        <v>0</v>
      </c>
      <c r="S120" s="110" t="b" cm="1">
        <f t="array" aca="1" ref="S120" ca="1">OFFSET(T120,-1,-1)</f>
        <v>0</v>
      </c>
      <c r="T120" s="110" t="b">
        <f>AD120&lt;&gt;"38.0"</f>
        <v>0</v>
      </c>
      <c r="U120" s="698" t="b">
        <f t="shared" ca="1" si="35"/>
        <v>0</v>
      </c>
      <c r="X120" s="110" t="s">
        <v>236</v>
      </c>
      <c r="Y120" s="1687"/>
      <c r="Z120" s="1687"/>
      <c r="AB120" s="1784"/>
      <c r="AD120" s="111" t="s">
        <v>901</v>
      </c>
      <c r="AE120" s="821"/>
      <c r="AF120" s="524"/>
      <c r="AG120" s="733" t="s">
        <v>839</v>
      </c>
      <c r="AH120" s="41"/>
      <c r="AI120" s="42"/>
      <c r="AJ120" s="42"/>
      <c r="AK120" s="42"/>
      <c r="AL120" s="736">
        <f>AM120+AN120</f>
        <v>0</v>
      </c>
      <c r="AM120" s="42"/>
      <c r="AN120" s="42"/>
      <c r="AO120" s="736">
        <f>AP120+AQ120</f>
        <v>0</v>
      </c>
      <c r="AP120" s="826"/>
      <c r="AQ120" s="826"/>
      <c r="AR120" s="736">
        <f>AS120+AT120</f>
        <v>0</v>
      </c>
      <c r="AS120" s="826"/>
      <c r="AT120" s="826"/>
      <c r="AU120" s="736">
        <f>AV120+AW120</f>
        <v>0</v>
      </c>
      <c r="AV120" s="826"/>
      <c r="AW120" s="826"/>
      <c r="AX120" s="736">
        <f>AY120+AZ120</f>
        <v>0</v>
      </c>
      <c r="AY120" s="826"/>
      <c r="AZ120" s="826"/>
      <c r="BA120" s="736">
        <f>BB120+BC120</f>
        <v>0</v>
      </c>
      <c r="BB120" s="42"/>
      <c r="BC120" s="42"/>
      <c r="BD120" s="736">
        <f>BE120+BF120</f>
        <v>0</v>
      </c>
      <c r="BE120" s="42"/>
      <c r="BF120" s="42"/>
      <c r="BG120" s="736">
        <f>BH120+BI120</f>
        <v>0</v>
      </c>
      <c r="BH120" s="42"/>
      <c r="BI120" s="42"/>
      <c r="BJ120" s="736">
        <f>BK120+BL120</f>
        <v>0</v>
      </c>
      <c r="BK120" s="42"/>
      <c r="BL120" s="42"/>
      <c r="BM120" s="736">
        <f>BN120+BO120</f>
        <v>0</v>
      </c>
      <c r="BN120" s="42"/>
      <c r="BO120" s="42"/>
      <c r="BP120" s="736">
        <f>BQ120+BR120</f>
        <v>0</v>
      </c>
      <c r="BQ120" s="826"/>
      <c r="BR120" s="826"/>
      <c r="BS120" s="736">
        <f>BT120+BU120</f>
        <v>0</v>
      </c>
      <c r="BT120" s="826"/>
      <c r="BU120" s="826"/>
      <c r="BV120" s="736">
        <f>BW120+BX120</f>
        <v>0</v>
      </c>
      <c r="BW120" s="826"/>
      <c r="BX120" s="826"/>
      <c r="BY120" s="736">
        <f>BZ120+CA120</f>
        <v>0</v>
      </c>
      <c r="BZ120" s="826"/>
      <c r="CA120" s="826"/>
      <c r="CB120" s="736">
        <f>CC120+CD120</f>
        <v>0</v>
      </c>
      <c r="CC120" s="826"/>
      <c r="CD120" s="826"/>
      <c r="CE120" s="736">
        <f>CF120+CG120</f>
        <v>0</v>
      </c>
      <c r="CF120" s="42"/>
      <c r="CG120" s="42"/>
      <c r="CH120" s="736">
        <f>CI120+CJ120</f>
        <v>0</v>
      </c>
      <c r="CI120" s="42"/>
      <c r="CJ120" s="42"/>
      <c r="CK120" s="736">
        <f>CL120+CM120</f>
        <v>0</v>
      </c>
      <c r="CL120" s="42"/>
      <c r="CM120" s="42"/>
      <c r="CN120" s="736">
        <f>CO120+CP120</f>
        <v>0</v>
      </c>
      <c r="CO120" s="42"/>
      <c r="CP120" s="42"/>
      <c r="CQ120" s="736">
        <f>CR120+CS120</f>
        <v>0</v>
      </c>
      <c r="CR120" s="42"/>
      <c r="CS120" s="42"/>
      <c r="CT120" s="28"/>
      <c r="CW120" s="970" t="s">
        <v>900</v>
      </c>
      <c r="CX120" s="975" t="s">
        <v>821</v>
      </c>
      <c r="CY120" s="979" cm="1">
        <f t="array" ref="CY120">AE120</f>
        <v>0</v>
      </c>
      <c r="CZ120" s="979" cm="1">
        <f t="array" ref="CZ120">AF120</f>
        <v>0</v>
      </c>
    </row>
    <row r="121" spans="5:104" ht="15" hidden="1" customHeight="1">
      <c r="E121" s="676">
        <v>0</v>
      </c>
      <c r="F121" s="779" cm="1">
        <f t="array" aca="1" ref="F121" ca="1">OFFSET(G121,-1,-1)</f>
        <v>0</v>
      </c>
      <c r="L121" s="779" t="b" cm="1">
        <f t="array" aca="1" ref="L121" ca="1">OFFSET(M121,-1,-1)</f>
        <v>0</v>
      </c>
      <c r="S121" s="110" t="b" cm="1">
        <f t="array" aca="1" ref="S121" ca="1">OFFSET(T121,-1,-1)</f>
        <v>0</v>
      </c>
      <c r="U121" s="698" t="b">
        <f t="shared" ca="1" si="35"/>
        <v>0</v>
      </c>
      <c r="X121" s="820" t="str">
        <f>"{                  
         funcDyn: 'msg1',
         blok: 'blok_2',
         wsCross: 'Топливо 4.4',
         linkFormula: 'AE-AE#AF-AF',
         levelDyn: "&amp;Y28&amp;"
}"</f>
        <v>{                  
         funcDyn: 'msg1',
         blok: 'blok_2',
         wsCross: 'Топливо 4.4',
         linkFormula: 'AE-AE#AF-AF',
         levelDyn: 0
}</v>
      </c>
      <c r="Y121" s="1687"/>
      <c r="Z121" s="1687"/>
      <c r="AB121" s="1784"/>
      <c r="AD121" s="823"/>
      <c r="AE121" s="822" t="s">
        <v>238</v>
      </c>
      <c r="AF121" s="745"/>
      <c r="AG121" s="733"/>
      <c r="AH121" s="735"/>
      <c r="AI121" s="737"/>
      <c r="AJ121" s="737"/>
      <c r="AK121" s="737"/>
      <c r="AL121" s="737"/>
      <c r="AM121" s="737"/>
      <c r="AN121" s="737"/>
      <c r="AO121" s="737"/>
      <c r="AP121" s="737"/>
      <c r="AQ121" s="737"/>
      <c r="AR121" s="737"/>
      <c r="AS121" s="737"/>
      <c r="AT121" s="737"/>
      <c r="AU121" s="737"/>
      <c r="AV121" s="737"/>
      <c r="AW121" s="737"/>
      <c r="AX121" s="737"/>
      <c r="AY121" s="737"/>
      <c r="AZ121" s="737"/>
      <c r="BA121" s="737"/>
      <c r="BB121" s="737"/>
      <c r="BC121" s="737"/>
      <c r="BD121" s="737"/>
      <c r="BE121" s="737"/>
      <c r="BF121" s="737"/>
      <c r="BG121" s="737"/>
      <c r="BH121" s="737"/>
      <c r="BI121" s="737"/>
      <c r="BJ121" s="737"/>
      <c r="BK121" s="737"/>
      <c r="BL121" s="737"/>
      <c r="BM121" s="737"/>
      <c r="BN121" s="737"/>
      <c r="BO121" s="737"/>
      <c r="BP121" s="737"/>
      <c r="BQ121" s="737"/>
      <c r="BR121" s="737"/>
      <c r="BS121" s="737"/>
      <c r="BT121" s="737"/>
      <c r="BU121" s="737"/>
      <c r="BV121" s="737"/>
      <c r="BW121" s="737"/>
      <c r="BX121" s="737"/>
      <c r="BY121" s="737"/>
      <c r="BZ121" s="737"/>
      <c r="CA121" s="737"/>
      <c r="CB121" s="737"/>
      <c r="CC121" s="737"/>
      <c r="CD121" s="737"/>
      <c r="CE121" s="737"/>
      <c r="CF121" s="737"/>
      <c r="CG121" s="737"/>
      <c r="CH121" s="737"/>
      <c r="CI121" s="737"/>
      <c r="CJ121" s="737"/>
      <c r="CK121" s="737"/>
      <c r="CL121" s="737"/>
      <c r="CM121" s="737"/>
      <c r="CN121" s="737"/>
      <c r="CO121" s="737"/>
      <c r="CP121" s="737"/>
      <c r="CQ121" s="737"/>
      <c r="CR121" s="737"/>
      <c r="CS121" s="737"/>
      <c r="CT121" s="46"/>
      <c r="CW121" s="970" t="str">
        <f>IF(AND(ISNUMBER(VALUE(TRIM(SUBSTITUTE(AD121,".","")))),TRIM(SUBSTITUTE(AD121,".",""))&lt;&gt;""),"P"&amp;SUBSTITUTE(AD121,".",""),"")</f>
        <v/>
      </c>
    </row>
    <row r="122" spans="5:104" ht="29.25" hidden="1" customHeight="1">
      <c r="E122" s="676">
        <v>30</v>
      </c>
      <c r="F122" s="779" cm="1">
        <f t="array" aca="1" ref="F122" ca="1">OFFSET(G122,-1,-1)</f>
        <v>0</v>
      </c>
      <c r="L122" s="779" t="b" cm="1">
        <f t="array" aca="1" ref="L122" ca="1">OFFSET(M122,-1,-1)</f>
        <v>0</v>
      </c>
      <c r="R122" s="779" t="s">
        <v>759</v>
      </c>
      <c r="S122" s="110" t="b" cm="1">
        <f t="array" aca="1" ref="S122" ca="1">OFFSET(T122,-1,-1)</f>
        <v>0</v>
      </c>
      <c r="T122" s="110" t="b" cm="1">
        <f t="array" aca="1" ref="T122" ca="1">L122</f>
        <v>0</v>
      </c>
      <c r="U122" s="698" t="b">
        <f t="shared" ca="1" si="35"/>
        <v>0</v>
      </c>
      <c r="Y122" s="1687"/>
      <c r="Z122" s="1687"/>
      <c r="AB122" s="1784"/>
      <c r="AD122" s="124" t="s">
        <v>902</v>
      </c>
      <c r="AE122" s="1757" t="s">
        <v>903</v>
      </c>
      <c r="AF122" s="1758"/>
      <c r="AG122" s="733" t="s">
        <v>839</v>
      </c>
      <c r="AH122" s="734">
        <f t="shared" ref="AH122:BM122" si="46">SUM(AH123:AH124)</f>
        <v>0</v>
      </c>
      <c r="AI122" s="734">
        <f t="shared" si="46"/>
        <v>0</v>
      </c>
      <c r="AJ122" s="734">
        <f t="shared" si="46"/>
        <v>0</v>
      </c>
      <c r="AK122" s="734">
        <f t="shared" si="46"/>
        <v>0</v>
      </c>
      <c r="AL122" s="734">
        <f t="shared" ca="1" si="46"/>
        <v>0</v>
      </c>
      <c r="AM122" s="734">
        <f t="shared" si="46"/>
        <v>0</v>
      </c>
      <c r="AN122" s="734">
        <f t="shared" ca="1" si="46"/>
        <v>0</v>
      </c>
      <c r="AO122" s="734">
        <f t="shared" ca="1" si="46"/>
        <v>0</v>
      </c>
      <c r="AP122" s="734">
        <f t="shared" si="46"/>
        <v>0</v>
      </c>
      <c r="AQ122" s="734">
        <f t="shared" ca="1" si="46"/>
        <v>0</v>
      </c>
      <c r="AR122" s="734">
        <f t="shared" ca="1" si="46"/>
        <v>0</v>
      </c>
      <c r="AS122" s="734">
        <f t="shared" si="46"/>
        <v>0</v>
      </c>
      <c r="AT122" s="734">
        <f t="shared" ca="1" si="46"/>
        <v>0</v>
      </c>
      <c r="AU122" s="734">
        <f t="shared" ca="1" si="46"/>
        <v>0</v>
      </c>
      <c r="AV122" s="734">
        <f t="shared" si="46"/>
        <v>0</v>
      </c>
      <c r="AW122" s="734">
        <f t="shared" ca="1" si="46"/>
        <v>0</v>
      </c>
      <c r="AX122" s="734">
        <f t="shared" ca="1" si="46"/>
        <v>0</v>
      </c>
      <c r="AY122" s="734">
        <f t="shared" si="46"/>
        <v>0</v>
      </c>
      <c r="AZ122" s="734">
        <f t="shared" ca="1" si="46"/>
        <v>0</v>
      </c>
      <c r="BA122" s="734">
        <f t="shared" ca="1" si="46"/>
        <v>0</v>
      </c>
      <c r="BB122" s="734">
        <f t="shared" si="46"/>
        <v>0</v>
      </c>
      <c r="BC122" s="734">
        <f t="shared" ca="1" si="46"/>
        <v>0</v>
      </c>
      <c r="BD122" s="734">
        <f t="shared" ca="1" si="46"/>
        <v>0</v>
      </c>
      <c r="BE122" s="734">
        <f t="shared" si="46"/>
        <v>0</v>
      </c>
      <c r="BF122" s="734">
        <f t="shared" ca="1" si="46"/>
        <v>0</v>
      </c>
      <c r="BG122" s="734">
        <f t="shared" ca="1" si="46"/>
        <v>0</v>
      </c>
      <c r="BH122" s="734">
        <f t="shared" si="46"/>
        <v>0</v>
      </c>
      <c r="BI122" s="734">
        <f t="shared" ca="1" si="46"/>
        <v>0</v>
      </c>
      <c r="BJ122" s="734">
        <f t="shared" ca="1" si="46"/>
        <v>0</v>
      </c>
      <c r="BK122" s="734">
        <f t="shared" si="46"/>
        <v>0</v>
      </c>
      <c r="BL122" s="734">
        <f t="shared" ca="1" si="46"/>
        <v>0</v>
      </c>
      <c r="BM122" s="734">
        <f t="shared" ca="1" si="46"/>
        <v>0</v>
      </c>
      <c r="BN122" s="734">
        <f t="shared" ref="BN122:CS122" si="47">SUM(BN123:BN124)</f>
        <v>0</v>
      </c>
      <c r="BO122" s="734">
        <f t="shared" ca="1" si="47"/>
        <v>0</v>
      </c>
      <c r="BP122" s="734">
        <f t="shared" ca="1" si="47"/>
        <v>0</v>
      </c>
      <c r="BQ122" s="734">
        <f t="shared" si="47"/>
        <v>0</v>
      </c>
      <c r="BR122" s="734">
        <f t="shared" ca="1" si="47"/>
        <v>0</v>
      </c>
      <c r="BS122" s="734">
        <f t="shared" ca="1" si="47"/>
        <v>0</v>
      </c>
      <c r="BT122" s="734">
        <f t="shared" si="47"/>
        <v>0</v>
      </c>
      <c r="BU122" s="734">
        <f t="shared" ca="1" si="47"/>
        <v>0</v>
      </c>
      <c r="BV122" s="734">
        <f t="shared" ca="1" si="47"/>
        <v>0</v>
      </c>
      <c r="BW122" s="734">
        <f t="shared" si="47"/>
        <v>0</v>
      </c>
      <c r="BX122" s="734">
        <f t="shared" ca="1" si="47"/>
        <v>0</v>
      </c>
      <c r="BY122" s="734">
        <f t="shared" ca="1" si="47"/>
        <v>0</v>
      </c>
      <c r="BZ122" s="734">
        <f t="shared" si="47"/>
        <v>0</v>
      </c>
      <c r="CA122" s="734">
        <f t="shared" ca="1" si="47"/>
        <v>0</v>
      </c>
      <c r="CB122" s="734">
        <f t="shared" ca="1" si="47"/>
        <v>0</v>
      </c>
      <c r="CC122" s="734">
        <f t="shared" si="47"/>
        <v>0</v>
      </c>
      <c r="CD122" s="734">
        <f t="shared" ca="1" si="47"/>
        <v>0</v>
      </c>
      <c r="CE122" s="734">
        <f t="shared" ca="1" si="47"/>
        <v>0</v>
      </c>
      <c r="CF122" s="734">
        <f t="shared" si="47"/>
        <v>0</v>
      </c>
      <c r="CG122" s="734">
        <f t="shared" ca="1" si="47"/>
        <v>0</v>
      </c>
      <c r="CH122" s="734">
        <f t="shared" ca="1" si="47"/>
        <v>0</v>
      </c>
      <c r="CI122" s="734">
        <f t="shared" si="47"/>
        <v>0</v>
      </c>
      <c r="CJ122" s="734">
        <f t="shared" ca="1" si="47"/>
        <v>0</v>
      </c>
      <c r="CK122" s="734">
        <f t="shared" ca="1" si="47"/>
        <v>0</v>
      </c>
      <c r="CL122" s="734">
        <f t="shared" si="47"/>
        <v>0</v>
      </c>
      <c r="CM122" s="734">
        <f t="shared" ca="1" si="47"/>
        <v>0</v>
      </c>
      <c r="CN122" s="734">
        <f t="shared" ca="1" si="47"/>
        <v>0</v>
      </c>
      <c r="CO122" s="734">
        <f t="shared" si="47"/>
        <v>0</v>
      </c>
      <c r="CP122" s="734">
        <f t="shared" ca="1" si="47"/>
        <v>0</v>
      </c>
      <c r="CQ122" s="734">
        <f t="shared" ca="1" si="47"/>
        <v>0</v>
      </c>
      <c r="CR122" s="734">
        <f t="shared" si="47"/>
        <v>0</v>
      </c>
      <c r="CS122" s="734">
        <f t="shared" ca="1" si="47"/>
        <v>0</v>
      </c>
      <c r="CT122" s="28"/>
      <c r="CW122" s="970" t="s">
        <v>904</v>
      </c>
    </row>
    <row r="123" spans="5:104" ht="16.7" hidden="1" customHeight="1">
      <c r="E123" s="676">
        <v>17.100000000000001</v>
      </c>
      <c r="F123" s="779" cm="1">
        <f t="array" aca="1" ref="F123" ca="1">OFFSET(G123,-1,-1)</f>
        <v>0</v>
      </c>
      <c r="L123" s="779" t="b" cm="1">
        <f t="array" aca="1" ref="L123" ca="1">OFFSET(M123,-1,-1)</f>
        <v>0</v>
      </c>
      <c r="R123" s="779" t="s">
        <v>759</v>
      </c>
      <c r="S123" s="110" t="b" cm="1">
        <f t="array" aca="1" ref="S123" ca="1">OFFSET(T123,-1,-1)</f>
        <v>0</v>
      </c>
      <c r="T123" s="110" t="b">
        <f ca="1">AND(L123,AD123&lt;&gt;"39.0")</f>
        <v>0</v>
      </c>
      <c r="U123" s="698" t="b">
        <f t="shared" ca="1" si="35"/>
        <v>0</v>
      </c>
      <c r="X123" s="110" t="s">
        <v>236</v>
      </c>
      <c r="Y123" s="1687"/>
      <c r="Z123" s="1687"/>
      <c r="AB123" s="1784"/>
      <c r="AD123" s="111" t="s">
        <v>905</v>
      </c>
      <c r="AE123" s="821"/>
      <c r="AF123" s="524"/>
      <c r="AG123" s="733" t="s">
        <v>839</v>
      </c>
      <c r="AH123" s="41">
        <f>AH$52*AH120</f>
        <v>0</v>
      </c>
      <c r="AI123" s="42">
        <f>AI$52*AI120</f>
        <v>0</v>
      </c>
      <c r="AJ123" s="42">
        <f>AJ$52*AJ120</f>
        <v>0</v>
      </c>
      <c r="AK123" s="42">
        <f>AK$52*AK120</f>
        <v>0</v>
      </c>
      <c r="AL123" s="736">
        <f ca="1">AM123+AN123</f>
        <v>0</v>
      </c>
      <c r="AM123" s="42">
        <f>AM$52*AM120</f>
        <v>0</v>
      </c>
      <c r="AN123" s="42">
        <f ca="1">AN$52*AN120</f>
        <v>0</v>
      </c>
      <c r="AO123" s="736">
        <f ca="1">AP123+AQ123</f>
        <v>0</v>
      </c>
      <c r="AP123" s="826">
        <f>AP$52*AP120</f>
        <v>0</v>
      </c>
      <c r="AQ123" s="826">
        <f ca="1">AQ$52*AQ120</f>
        <v>0</v>
      </c>
      <c r="AR123" s="736">
        <f ca="1">AS123+AT123</f>
        <v>0</v>
      </c>
      <c r="AS123" s="826">
        <f>AS$52*AS120</f>
        <v>0</v>
      </c>
      <c r="AT123" s="826">
        <f ca="1">AT$52*AT120</f>
        <v>0</v>
      </c>
      <c r="AU123" s="736">
        <f ca="1">AV123+AW123</f>
        <v>0</v>
      </c>
      <c r="AV123" s="826">
        <f>AV$52*AV120</f>
        <v>0</v>
      </c>
      <c r="AW123" s="826">
        <f ca="1">AW$52*AW120</f>
        <v>0</v>
      </c>
      <c r="AX123" s="736">
        <f ca="1">AY123+AZ123</f>
        <v>0</v>
      </c>
      <c r="AY123" s="826">
        <f>AY$52*AY120</f>
        <v>0</v>
      </c>
      <c r="AZ123" s="826">
        <f ca="1">AZ$52*AZ120</f>
        <v>0</v>
      </c>
      <c r="BA123" s="736">
        <f ca="1">BB123+BC123</f>
        <v>0</v>
      </c>
      <c r="BB123" s="42">
        <f>BB$52*BB120</f>
        <v>0</v>
      </c>
      <c r="BC123" s="42">
        <f ca="1">BC$52*BC120</f>
        <v>0</v>
      </c>
      <c r="BD123" s="736">
        <f ca="1">BE123+BF123</f>
        <v>0</v>
      </c>
      <c r="BE123" s="42">
        <f>BE$52*BE120</f>
        <v>0</v>
      </c>
      <c r="BF123" s="42">
        <f ca="1">BF$52*BF120</f>
        <v>0</v>
      </c>
      <c r="BG123" s="736">
        <f ca="1">BH123+BI123</f>
        <v>0</v>
      </c>
      <c r="BH123" s="42">
        <f>BH$52*BH120</f>
        <v>0</v>
      </c>
      <c r="BI123" s="42">
        <f ca="1">BI$52*BI120</f>
        <v>0</v>
      </c>
      <c r="BJ123" s="736">
        <f ca="1">BK123+BL123</f>
        <v>0</v>
      </c>
      <c r="BK123" s="42">
        <f>BK$52*BK120</f>
        <v>0</v>
      </c>
      <c r="BL123" s="42">
        <f ca="1">BL$52*BL120</f>
        <v>0</v>
      </c>
      <c r="BM123" s="736">
        <f ca="1">BN123+BO123</f>
        <v>0</v>
      </c>
      <c r="BN123" s="42">
        <f>BN$52*BN120</f>
        <v>0</v>
      </c>
      <c r="BO123" s="42">
        <f ca="1">BO$52*BO120</f>
        <v>0</v>
      </c>
      <c r="BP123" s="736">
        <f ca="1">BQ123+BR123</f>
        <v>0</v>
      </c>
      <c r="BQ123" s="826">
        <f>BQ$52*BQ120</f>
        <v>0</v>
      </c>
      <c r="BR123" s="826">
        <f ca="1">BR$52*BR120</f>
        <v>0</v>
      </c>
      <c r="BS123" s="736">
        <f ca="1">BT123+BU123</f>
        <v>0</v>
      </c>
      <c r="BT123" s="826">
        <f>BT$52*BT120</f>
        <v>0</v>
      </c>
      <c r="BU123" s="826">
        <f ca="1">BU$52*BU120</f>
        <v>0</v>
      </c>
      <c r="BV123" s="736">
        <f ca="1">BW123+BX123</f>
        <v>0</v>
      </c>
      <c r="BW123" s="826">
        <f>BW$52*BW120</f>
        <v>0</v>
      </c>
      <c r="BX123" s="826">
        <f ca="1">BX$52*BX120</f>
        <v>0</v>
      </c>
      <c r="BY123" s="736">
        <f ca="1">BZ123+CA123</f>
        <v>0</v>
      </c>
      <c r="BZ123" s="826">
        <f>BZ$52*BZ120</f>
        <v>0</v>
      </c>
      <c r="CA123" s="826">
        <f ca="1">CA$52*CA120</f>
        <v>0</v>
      </c>
      <c r="CB123" s="736">
        <f ca="1">CC123+CD123</f>
        <v>0</v>
      </c>
      <c r="CC123" s="826">
        <f>CC$52*CC120</f>
        <v>0</v>
      </c>
      <c r="CD123" s="826">
        <f ca="1">CD$52*CD120</f>
        <v>0</v>
      </c>
      <c r="CE123" s="736">
        <f ca="1">CF123+CG123</f>
        <v>0</v>
      </c>
      <c r="CF123" s="42">
        <f>CF$52*CF120</f>
        <v>0</v>
      </c>
      <c r="CG123" s="42">
        <f ca="1">CG$52*CG120</f>
        <v>0</v>
      </c>
      <c r="CH123" s="736">
        <f ca="1">CI123+CJ123</f>
        <v>0</v>
      </c>
      <c r="CI123" s="42">
        <f>CI$52*CI120</f>
        <v>0</v>
      </c>
      <c r="CJ123" s="42">
        <f ca="1">CJ$52*CJ120</f>
        <v>0</v>
      </c>
      <c r="CK123" s="736">
        <f ca="1">CL123+CM123</f>
        <v>0</v>
      </c>
      <c r="CL123" s="42">
        <f>CL$52*CL120</f>
        <v>0</v>
      </c>
      <c r="CM123" s="42">
        <f ca="1">CM$52*CM120</f>
        <v>0</v>
      </c>
      <c r="CN123" s="736">
        <f ca="1">CO123+CP123</f>
        <v>0</v>
      </c>
      <c r="CO123" s="42">
        <f>CO$52*CO120</f>
        <v>0</v>
      </c>
      <c r="CP123" s="42">
        <f ca="1">CP$52*CP120</f>
        <v>0</v>
      </c>
      <c r="CQ123" s="736">
        <f ca="1">CR123+CS123</f>
        <v>0</v>
      </c>
      <c r="CR123" s="42">
        <f>CR$52*CR120</f>
        <v>0</v>
      </c>
      <c r="CS123" s="42">
        <f ca="1">CS$52*CS120</f>
        <v>0</v>
      </c>
      <c r="CT123" s="28"/>
      <c r="CW123" s="970" t="s">
        <v>904</v>
      </c>
      <c r="CX123" s="975" t="s">
        <v>821</v>
      </c>
      <c r="CY123" s="979" cm="1">
        <f t="array" ref="CY123">AE123</f>
        <v>0</v>
      </c>
      <c r="CZ123" s="979" cm="1">
        <f t="array" ref="CZ123">AF123</f>
        <v>0</v>
      </c>
    </row>
    <row r="124" spans="5:104" ht="15" hidden="1" customHeight="1">
      <c r="E124" s="676">
        <v>0</v>
      </c>
      <c r="F124" s="779" cm="1">
        <f t="array" aca="1" ref="F124" ca="1">OFFSET(G124,-1,-1)</f>
        <v>0</v>
      </c>
      <c r="L124" s="779" t="b" cm="1">
        <f t="array" aca="1" ref="L124" ca="1">OFFSET(M124,-1,-1)</f>
        <v>0</v>
      </c>
      <c r="S124" s="110" t="b" cm="1">
        <f t="array" aca="1" ref="S124" ca="1">OFFSET(T124,-1,-1)</f>
        <v>0</v>
      </c>
      <c r="U124" s="698" t="b">
        <f t="shared" ca="1" si="35"/>
        <v>0</v>
      </c>
      <c r="X124" s="820" t="str">
        <f>"{                  
         funcDyn: 'msg1',
         blok: 'blok_2',
         wsCross: 'Топливо 4.4',
         linkFormula: 'AE-AE#AF-AF',
         levelDyn: "&amp;Y28&amp;"
}"</f>
        <v>{                  
         funcDyn: 'msg1',
         blok: 'blok_2',
         wsCross: 'Топливо 4.4',
         linkFormula: 'AE-AE#AF-AF',
         levelDyn: 0
}</v>
      </c>
      <c r="Y124" s="1687"/>
      <c r="Z124" s="1687"/>
      <c r="AB124" s="1785"/>
      <c r="AD124" s="823"/>
      <c r="AE124" s="822" t="s">
        <v>238</v>
      </c>
      <c r="AF124" s="745"/>
      <c r="AG124" s="733"/>
      <c r="AH124" s="735"/>
      <c r="AI124" s="737"/>
      <c r="AJ124" s="737"/>
      <c r="AK124" s="737"/>
      <c r="AL124" s="737"/>
      <c r="AM124" s="737"/>
      <c r="AN124" s="737"/>
      <c r="AO124" s="737"/>
      <c r="AP124" s="737"/>
      <c r="AQ124" s="737"/>
      <c r="AR124" s="737"/>
      <c r="AS124" s="737"/>
      <c r="AT124" s="737"/>
      <c r="AU124" s="737"/>
      <c r="AV124" s="737"/>
      <c r="AW124" s="737"/>
      <c r="AX124" s="737"/>
      <c r="AY124" s="737"/>
      <c r="AZ124" s="737"/>
      <c r="BA124" s="737"/>
      <c r="BB124" s="737"/>
      <c r="BC124" s="737"/>
      <c r="BD124" s="737"/>
      <c r="BE124" s="737"/>
      <c r="BF124" s="737"/>
      <c r="BG124" s="737"/>
      <c r="BH124" s="737"/>
      <c r="BI124" s="737"/>
      <c r="BJ124" s="737"/>
      <c r="BK124" s="737"/>
      <c r="BL124" s="737"/>
      <c r="BM124" s="737"/>
      <c r="BN124" s="737"/>
      <c r="BO124" s="737"/>
      <c r="BP124" s="737"/>
      <c r="BQ124" s="737"/>
      <c r="BR124" s="737"/>
      <c r="BS124" s="737"/>
      <c r="BT124" s="737"/>
      <c r="BU124" s="737"/>
      <c r="BV124" s="737"/>
      <c r="BW124" s="737"/>
      <c r="BX124" s="737"/>
      <c r="BY124" s="737"/>
      <c r="BZ124" s="737"/>
      <c r="CA124" s="737"/>
      <c r="CB124" s="737"/>
      <c r="CC124" s="737"/>
      <c r="CD124" s="737"/>
      <c r="CE124" s="737"/>
      <c r="CF124" s="737"/>
      <c r="CG124" s="737"/>
      <c r="CH124" s="737"/>
      <c r="CI124" s="737"/>
      <c r="CJ124" s="737"/>
      <c r="CK124" s="737"/>
      <c r="CL124" s="737"/>
      <c r="CM124" s="737"/>
      <c r="CN124" s="737"/>
      <c r="CO124" s="737"/>
      <c r="CP124" s="737"/>
      <c r="CQ124" s="737"/>
      <c r="CR124" s="737"/>
      <c r="CS124" s="737"/>
      <c r="CT124" s="46"/>
      <c r="CW124" s="970" t="str">
        <f>IF(AND(ISNUMBER(VALUE(TRIM(SUBSTITUTE(AD124,".","")))),TRIM(SUBSTITUTE(AD124,".",""))&lt;&gt;""),"P"&amp;SUBSTITUTE(AD124,".",""),"")</f>
        <v/>
      </c>
    </row>
    <row r="125" spans="5:104" ht="16.7" hidden="1" customHeight="1">
      <c r="E125" s="676">
        <v>17.100000000000001</v>
      </c>
      <c r="F125" s="779" cm="1">
        <f t="array" aca="1" ref="F125" ca="1">OFFSET(G125,-1,-1)</f>
        <v>0</v>
      </c>
      <c r="L125" s="779" t="b" cm="1">
        <f t="array" aca="1" ref="L125" ca="1">OFFSET(M125,-1,-1)</f>
        <v>0</v>
      </c>
      <c r="S125" s="110" t="b" cm="1">
        <f t="array" aca="1" ref="S125" ca="1">OFFSET(T125,-1,-1)</f>
        <v>0</v>
      </c>
      <c r="U125" s="698" t="b">
        <f t="shared" ca="1" si="35"/>
        <v>0</v>
      </c>
      <c r="Y125" s="1687"/>
      <c r="Z125" s="1687"/>
      <c r="AB125" s="1763" t="s">
        <v>906</v>
      </c>
      <c r="AD125" s="124" t="s">
        <v>907</v>
      </c>
      <c r="AE125" s="1757" t="s">
        <v>908</v>
      </c>
      <c r="AF125" s="1758"/>
      <c r="AG125" s="733" t="s">
        <v>839</v>
      </c>
      <c r="AH125" s="734">
        <f t="shared" ref="AH125:BM125" si="48">SUM(AH129:AH130)</f>
        <v>0</v>
      </c>
      <c r="AI125" s="734">
        <f t="shared" si="48"/>
        <v>0</v>
      </c>
      <c r="AJ125" s="734">
        <f t="shared" si="48"/>
        <v>0</v>
      </c>
      <c r="AK125" s="734">
        <f t="shared" si="48"/>
        <v>0</v>
      </c>
      <c r="AL125" s="734">
        <f t="shared" ca="1" si="48"/>
        <v>0</v>
      </c>
      <c r="AM125" s="734">
        <f t="shared" si="48"/>
        <v>0</v>
      </c>
      <c r="AN125" s="734">
        <f t="shared" ca="1" si="48"/>
        <v>0</v>
      </c>
      <c r="AO125" s="734">
        <f t="shared" ca="1" si="48"/>
        <v>0</v>
      </c>
      <c r="AP125" s="734">
        <f t="shared" si="48"/>
        <v>0</v>
      </c>
      <c r="AQ125" s="734">
        <f t="shared" ca="1" si="48"/>
        <v>0</v>
      </c>
      <c r="AR125" s="734">
        <f t="shared" ca="1" si="48"/>
        <v>0</v>
      </c>
      <c r="AS125" s="734">
        <f t="shared" si="48"/>
        <v>0</v>
      </c>
      <c r="AT125" s="734">
        <f t="shared" ca="1" si="48"/>
        <v>0</v>
      </c>
      <c r="AU125" s="734">
        <f t="shared" ca="1" si="48"/>
        <v>0</v>
      </c>
      <c r="AV125" s="734">
        <f t="shared" si="48"/>
        <v>0</v>
      </c>
      <c r="AW125" s="734">
        <f t="shared" ca="1" si="48"/>
        <v>0</v>
      </c>
      <c r="AX125" s="734">
        <f t="shared" ca="1" si="48"/>
        <v>0</v>
      </c>
      <c r="AY125" s="734">
        <f t="shared" si="48"/>
        <v>0</v>
      </c>
      <c r="AZ125" s="734">
        <f t="shared" ca="1" si="48"/>
        <v>0</v>
      </c>
      <c r="BA125" s="734">
        <f t="shared" ca="1" si="48"/>
        <v>0</v>
      </c>
      <c r="BB125" s="734">
        <f t="shared" si="48"/>
        <v>0</v>
      </c>
      <c r="BC125" s="734">
        <f t="shared" ca="1" si="48"/>
        <v>0</v>
      </c>
      <c r="BD125" s="734">
        <f t="shared" ca="1" si="48"/>
        <v>0</v>
      </c>
      <c r="BE125" s="734">
        <f t="shared" si="48"/>
        <v>0</v>
      </c>
      <c r="BF125" s="734">
        <f t="shared" ca="1" si="48"/>
        <v>0</v>
      </c>
      <c r="BG125" s="734">
        <f t="shared" ca="1" si="48"/>
        <v>0</v>
      </c>
      <c r="BH125" s="734">
        <f t="shared" si="48"/>
        <v>0</v>
      </c>
      <c r="BI125" s="734">
        <f t="shared" ca="1" si="48"/>
        <v>0</v>
      </c>
      <c r="BJ125" s="734">
        <f t="shared" ca="1" si="48"/>
        <v>0</v>
      </c>
      <c r="BK125" s="734">
        <f t="shared" si="48"/>
        <v>0</v>
      </c>
      <c r="BL125" s="734">
        <f t="shared" ca="1" si="48"/>
        <v>0</v>
      </c>
      <c r="BM125" s="734">
        <f t="shared" ca="1" si="48"/>
        <v>0</v>
      </c>
      <c r="BN125" s="734">
        <f t="shared" ref="BN125:CS125" si="49">SUM(BN129:BN130)</f>
        <v>0</v>
      </c>
      <c r="BO125" s="734">
        <f t="shared" ca="1" si="49"/>
        <v>0</v>
      </c>
      <c r="BP125" s="734">
        <f t="shared" ca="1" si="49"/>
        <v>0</v>
      </c>
      <c r="BQ125" s="734">
        <f t="shared" si="49"/>
        <v>0</v>
      </c>
      <c r="BR125" s="734">
        <f t="shared" ca="1" si="49"/>
        <v>0</v>
      </c>
      <c r="BS125" s="734">
        <f t="shared" ca="1" si="49"/>
        <v>0</v>
      </c>
      <c r="BT125" s="734">
        <f t="shared" si="49"/>
        <v>0</v>
      </c>
      <c r="BU125" s="734">
        <f t="shared" ca="1" si="49"/>
        <v>0</v>
      </c>
      <c r="BV125" s="734">
        <f t="shared" ca="1" si="49"/>
        <v>0</v>
      </c>
      <c r="BW125" s="734">
        <f t="shared" si="49"/>
        <v>0</v>
      </c>
      <c r="BX125" s="734">
        <f t="shared" ca="1" si="49"/>
        <v>0</v>
      </c>
      <c r="BY125" s="734">
        <f t="shared" ca="1" si="49"/>
        <v>0</v>
      </c>
      <c r="BZ125" s="734">
        <f t="shared" si="49"/>
        <v>0</v>
      </c>
      <c r="CA125" s="734">
        <f t="shared" ca="1" si="49"/>
        <v>0</v>
      </c>
      <c r="CB125" s="734">
        <f t="shared" ca="1" si="49"/>
        <v>0</v>
      </c>
      <c r="CC125" s="734">
        <f t="shared" si="49"/>
        <v>0</v>
      </c>
      <c r="CD125" s="734">
        <f t="shared" ca="1" si="49"/>
        <v>0</v>
      </c>
      <c r="CE125" s="734">
        <f t="shared" ca="1" si="49"/>
        <v>0</v>
      </c>
      <c r="CF125" s="734">
        <f t="shared" si="49"/>
        <v>0</v>
      </c>
      <c r="CG125" s="734">
        <f t="shared" ca="1" si="49"/>
        <v>0</v>
      </c>
      <c r="CH125" s="734">
        <f t="shared" ca="1" si="49"/>
        <v>0</v>
      </c>
      <c r="CI125" s="734">
        <f t="shared" si="49"/>
        <v>0</v>
      </c>
      <c r="CJ125" s="734">
        <f t="shared" ca="1" si="49"/>
        <v>0</v>
      </c>
      <c r="CK125" s="734">
        <f t="shared" ca="1" si="49"/>
        <v>0</v>
      </c>
      <c r="CL125" s="734">
        <f t="shared" si="49"/>
        <v>0</v>
      </c>
      <c r="CM125" s="734">
        <f t="shared" ca="1" si="49"/>
        <v>0</v>
      </c>
      <c r="CN125" s="734">
        <f t="shared" ca="1" si="49"/>
        <v>0</v>
      </c>
      <c r="CO125" s="734">
        <f t="shared" si="49"/>
        <v>0</v>
      </c>
      <c r="CP125" s="734">
        <f t="shared" ca="1" si="49"/>
        <v>0</v>
      </c>
      <c r="CQ125" s="734">
        <f t="shared" ca="1" si="49"/>
        <v>0</v>
      </c>
      <c r="CR125" s="734">
        <f t="shared" si="49"/>
        <v>0</v>
      </c>
      <c r="CS125" s="734">
        <f t="shared" ca="1" si="49"/>
        <v>0</v>
      </c>
      <c r="CT125" s="28"/>
      <c r="CW125" s="970" t="s">
        <v>909</v>
      </c>
    </row>
    <row r="126" spans="5:104" ht="16.7" hidden="1" customHeight="1">
      <c r="E126" s="676">
        <v>17.100000000000001</v>
      </c>
      <c r="F126" s="779" cm="1">
        <f t="array" aca="1" ref="F126" ca="1">OFFSET(G126,-1,-1)</f>
        <v>0</v>
      </c>
      <c r="G126" s="620" t="str">
        <f>IF(J28="вода+пар","топливо","")</f>
        <v/>
      </c>
      <c r="L126" s="779" t="b" cm="1">
        <f t="array" aca="1" ref="L126" ca="1">OFFSET(M126,-1,-1)</f>
        <v>0</v>
      </c>
      <c r="R126" s="779" t="s">
        <v>759</v>
      </c>
      <c r="S126" s="110" t="b" cm="1">
        <f t="array" aca="1" ref="S126" ca="1">OFFSET(T126,-1,-1)</f>
        <v>0</v>
      </c>
      <c r="T126" s="110" t="b" cm="1">
        <f t="array" aca="1" ref="T126" ca="1">L126</f>
        <v>0</v>
      </c>
      <c r="U126" s="698" t="b">
        <f t="shared" ca="1" si="35"/>
        <v>0</v>
      </c>
      <c r="Y126" s="1687"/>
      <c r="Z126" s="1687"/>
      <c r="AB126" s="1764"/>
      <c r="AD126" s="111" t="str">
        <f>AD125&amp;".0"</f>
        <v>40.0</v>
      </c>
      <c r="AE126" s="1779" t="s">
        <v>770</v>
      </c>
      <c r="AF126" s="1780"/>
      <c r="AG126" s="733" t="s">
        <v>839</v>
      </c>
      <c r="AH126" s="41">
        <f>AH$52*AH125</f>
        <v>0</v>
      </c>
      <c r="AI126" s="42">
        <f>AI$52*AI125</f>
        <v>0</v>
      </c>
      <c r="AJ126" s="42">
        <f>AJ$52*AJ125</f>
        <v>0</v>
      </c>
      <c r="AK126" s="42">
        <f>AK$52*AK125</f>
        <v>0</v>
      </c>
      <c r="AL126" s="736">
        <f ca="1">AM126+AN126</f>
        <v>0</v>
      </c>
      <c r="AM126" s="42">
        <f>AM$52*AM125</f>
        <v>0</v>
      </c>
      <c r="AN126" s="42">
        <f ca="1">AN$52*AN125</f>
        <v>0</v>
      </c>
      <c r="AO126" s="736">
        <f ca="1">AP126+AQ126</f>
        <v>0</v>
      </c>
      <c r="AP126" s="826">
        <f>AP$52*AP125</f>
        <v>0</v>
      </c>
      <c r="AQ126" s="826">
        <f ca="1">AQ$52*AQ125</f>
        <v>0</v>
      </c>
      <c r="AR126" s="736">
        <f ca="1">AS126+AT126</f>
        <v>0</v>
      </c>
      <c r="AS126" s="826">
        <f>AS$52*AS125</f>
        <v>0</v>
      </c>
      <c r="AT126" s="826">
        <f ca="1">AT$52*AT125</f>
        <v>0</v>
      </c>
      <c r="AU126" s="736">
        <f ca="1">AV126+AW126</f>
        <v>0</v>
      </c>
      <c r="AV126" s="826">
        <f>AV$52*AV125</f>
        <v>0</v>
      </c>
      <c r="AW126" s="826">
        <f ca="1">AW$52*AW125</f>
        <v>0</v>
      </c>
      <c r="AX126" s="736">
        <f ca="1">AY126+AZ126</f>
        <v>0</v>
      </c>
      <c r="AY126" s="826">
        <f>AY$52*AY125</f>
        <v>0</v>
      </c>
      <c r="AZ126" s="826">
        <f ca="1">AZ$52*AZ125</f>
        <v>0</v>
      </c>
      <c r="BA126" s="736">
        <f ca="1">BB126+BC126</f>
        <v>0</v>
      </c>
      <c r="BB126" s="42">
        <f>BB$52*BB125</f>
        <v>0</v>
      </c>
      <c r="BC126" s="42">
        <f ca="1">BC$52*BC125</f>
        <v>0</v>
      </c>
      <c r="BD126" s="736">
        <f ca="1">BE126+BF126</f>
        <v>0</v>
      </c>
      <c r="BE126" s="42">
        <f>BE$52*BE125</f>
        <v>0</v>
      </c>
      <c r="BF126" s="42">
        <f ca="1">BF$52*BF125</f>
        <v>0</v>
      </c>
      <c r="BG126" s="736">
        <f ca="1">BH126+BI126</f>
        <v>0</v>
      </c>
      <c r="BH126" s="42">
        <f>BH$52*BH125</f>
        <v>0</v>
      </c>
      <c r="BI126" s="42">
        <f ca="1">BI$52*BI125</f>
        <v>0</v>
      </c>
      <c r="BJ126" s="736">
        <f ca="1">BK126+BL126</f>
        <v>0</v>
      </c>
      <c r="BK126" s="42">
        <f>BK$52*BK125</f>
        <v>0</v>
      </c>
      <c r="BL126" s="42">
        <f ca="1">BL$52*BL125</f>
        <v>0</v>
      </c>
      <c r="BM126" s="736">
        <f ca="1">BN126+BO126</f>
        <v>0</v>
      </c>
      <c r="BN126" s="42">
        <f>BN$52*BN125</f>
        <v>0</v>
      </c>
      <c r="BO126" s="42">
        <f ca="1">BO$52*BO125</f>
        <v>0</v>
      </c>
      <c r="BP126" s="736">
        <f ca="1">BQ126+BR126</f>
        <v>0</v>
      </c>
      <c r="BQ126" s="826">
        <f>BQ$52*BQ125</f>
        <v>0</v>
      </c>
      <c r="BR126" s="826">
        <f ca="1">BR$52*BR125</f>
        <v>0</v>
      </c>
      <c r="BS126" s="736">
        <f ca="1">BT126+BU126</f>
        <v>0</v>
      </c>
      <c r="BT126" s="826">
        <f>BT$52*BT125</f>
        <v>0</v>
      </c>
      <c r="BU126" s="826">
        <f ca="1">BU$52*BU125</f>
        <v>0</v>
      </c>
      <c r="BV126" s="736">
        <f ca="1">BW126+BX126</f>
        <v>0</v>
      </c>
      <c r="BW126" s="826">
        <f>BW$52*BW125</f>
        <v>0</v>
      </c>
      <c r="BX126" s="826">
        <f ca="1">BX$52*BX125</f>
        <v>0</v>
      </c>
      <c r="BY126" s="736">
        <f ca="1">BZ126+CA126</f>
        <v>0</v>
      </c>
      <c r="BZ126" s="826">
        <f>BZ$52*BZ125</f>
        <v>0</v>
      </c>
      <c r="CA126" s="826">
        <f ca="1">CA$52*CA125</f>
        <v>0</v>
      </c>
      <c r="CB126" s="736">
        <f ca="1">CC126+CD126</f>
        <v>0</v>
      </c>
      <c r="CC126" s="826">
        <f>CC$52*CC125</f>
        <v>0</v>
      </c>
      <c r="CD126" s="826">
        <f ca="1">CD$52*CD125</f>
        <v>0</v>
      </c>
      <c r="CE126" s="736">
        <f ca="1">CF126+CG126</f>
        <v>0</v>
      </c>
      <c r="CF126" s="42">
        <f>CF$52*CF125</f>
        <v>0</v>
      </c>
      <c r="CG126" s="42">
        <f ca="1">CG$52*CG125</f>
        <v>0</v>
      </c>
      <c r="CH126" s="736">
        <f ca="1">CI126+CJ126</f>
        <v>0</v>
      </c>
      <c r="CI126" s="42">
        <f>CI$52*CI125</f>
        <v>0</v>
      </c>
      <c r="CJ126" s="42">
        <f ca="1">CJ$52*CJ125</f>
        <v>0</v>
      </c>
      <c r="CK126" s="736">
        <f ca="1">CL126+CM126</f>
        <v>0</v>
      </c>
      <c r="CL126" s="42">
        <f>CL$52*CL125</f>
        <v>0</v>
      </c>
      <c r="CM126" s="42">
        <f ca="1">CM$52*CM125</f>
        <v>0</v>
      </c>
      <c r="CN126" s="736">
        <f ca="1">CO126+CP126</f>
        <v>0</v>
      </c>
      <c r="CO126" s="42">
        <f>CO$52*CO125</f>
        <v>0</v>
      </c>
      <c r="CP126" s="42">
        <f ca="1">CP$52*CP125</f>
        <v>0</v>
      </c>
      <c r="CQ126" s="736">
        <f ca="1">CR126+CS126</f>
        <v>0</v>
      </c>
      <c r="CR126" s="42">
        <f>CR$52*CR125</f>
        <v>0</v>
      </c>
      <c r="CS126" s="42">
        <f ca="1">CS$52*CS125</f>
        <v>0</v>
      </c>
      <c r="CT126" s="28"/>
      <c r="CW126" s="970" t="s">
        <v>910</v>
      </c>
    </row>
    <row r="127" spans="5:104" ht="16.7" hidden="1" customHeight="1">
      <c r="E127" s="676">
        <v>17.100000000000001</v>
      </c>
      <c r="F127" s="779" cm="1">
        <f t="array" aca="1" ref="F127" ca="1">OFFSET(G127,-1,-1)</f>
        <v>0</v>
      </c>
      <c r="G127" s="620" t="str">
        <f>IF(J28="вода","топливо","")</f>
        <v/>
      </c>
      <c r="L127" s="779" t="b" cm="1">
        <f t="array" aca="1" ref="L127" ca="1">OFFSET(M127,-1,-1)</f>
        <v>0</v>
      </c>
      <c r="S127" s="110" t="b" cm="1">
        <f t="array" aca="1" ref="S127" ca="1">OFFSET(T127,-1,-1)</f>
        <v>0</v>
      </c>
      <c r="U127" s="698" t="b">
        <f t="shared" ca="1" si="35"/>
        <v>0</v>
      </c>
      <c r="Y127" s="1687"/>
      <c r="Z127" s="1687"/>
      <c r="AB127" s="1764"/>
      <c r="AD127" s="824" t="s">
        <v>911</v>
      </c>
      <c r="AE127" s="1781" t="s">
        <v>638</v>
      </c>
      <c r="AF127" s="1782"/>
      <c r="AG127" s="852" t="s">
        <v>839</v>
      </c>
      <c r="AH127" s="738">
        <f t="shared" ref="AH127:BM127" si="50">AH126-AH128</f>
        <v>0</v>
      </c>
      <c r="AI127" s="738">
        <f t="shared" si="50"/>
        <v>0</v>
      </c>
      <c r="AJ127" s="738">
        <f t="shared" si="50"/>
        <v>0</v>
      </c>
      <c r="AK127" s="738">
        <f t="shared" si="50"/>
        <v>0</v>
      </c>
      <c r="AL127" s="738">
        <f t="shared" ca="1" si="50"/>
        <v>0</v>
      </c>
      <c r="AM127" s="738">
        <f t="shared" si="50"/>
        <v>0</v>
      </c>
      <c r="AN127" s="738">
        <f t="shared" ca="1" si="50"/>
        <v>0</v>
      </c>
      <c r="AO127" s="738">
        <f t="shared" ca="1" si="50"/>
        <v>0</v>
      </c>
      <c r="AP127" s="738">
        <f t="shared" si="50"/>
        <v>0</v>
      </c>
      <c r="AQ127" s="738">
        <f t="shared" ca="1" si="50"/>
        <v>0</v>
      </c>
      <c r="AR127" s="738">
        <f t="shared" ca="1" si="50"/>
        <v>0</v>
      </c>
      <c r="AS127" s="738">
        <f t="shared" si="50"/>
        <v>0</v>
      </c>
      <c r="AT127" s="738">
        <f t="shared" ca="1" si="50"/>
        <v>0</v>
      </c>
      <c r="AU127" s="738">
        <f t="shared" ca="1" si="50"/>
        <v>0</v>
      </c>
      <c r="AV127" s="738">
        <f t="shared" si="50"/>
        <v>0</v>
      </c>
      <c r="AW127" s="738">
        <f t="shared" ca="1" si="50"/>
        <v>0</v>
      </c>
      <c r="AX127" s="738">
        <f t="shared" ca="1" si="50"/>
        <v>0</v>
      </c>
      <c r="AY127" s="738">
        <f t="shared" si="50"/>
        <v>0</v>
      </c>
      <c r="AZ127" s="738">
        <f t="shared" ca="1" si="50"/>
        <v>0</v>
      </c>
      <c r="BA127" s="738">
        <f t="shared" ca="1" si="50"/>
        <v>0</v>
      </c>
      <c r="BB127" s="738">
        <f t="shared" si="50"/>
        <v>0</v>
      </c>
      <c r="BC127" s="738">
        <f t="shared" ca="1" si="50"/>
        <v>0</v>
      </c>
      <c r="BD127" s="738">
        <f t="shared" ca="1" si="50"/>
        <v>0</v>
      </c>
      <c r="BE127" s="738">
        <f t="shared" si="50"/>
        <v>0</v>
      </c>
      <c r="BF127" s="738">
        <f t="shared" ca="1" si="50"/>
        <v>0</v>
      </c>
      <c r="BG127" s="738">
        <f t="shared" ca="1" si="50"/>
        <v>0</v>
      </c>
      <c r="BH127" s="738">
        <f t="shared" si="50"/>
        <v>0</v>
      </c>
      <c r="BI127" s="738">
        <f t="shared" ca="1" si="50"/>
        <v>0</v>
      </c>
      <c r="BJ127" s="738">
        <f t="shared" ca="1" si="50"/>
        <v>0</v>
      </c>
      <c r="BK127" s="738">
        <f t="shared" si="50"/>
        <v>0</v>
      </c>
      <c r="BL127" s="738">
        <f t="shared" ca="1" si="50"/>
        <v>0</v>
      </c>
      <c r="BM127" s="738">
        <f t="shared" ca="1" si="50"/>
        <v>0</v>
      </c>
      <c r="BN127" s="738">
        <f t="shared" ref="BN127:CS127" si="51">BN126-BN128</f>
        <v>0</v>
      </c>
      <c r="BO127" s="738">
        <f t="shared" ca="1" si="51"/>
        <v>0</v>
      </c>
      <c r="BP127" s="738">
        <f t="shared" ca="1" si="51"/>
        <v>0</v>
      </c>
      <c r="BQ127" s="738">
        <f t="shared" si="51"/>
        <v>0</v>
      </c>
      <c r="BR127" s="738">
        <f t="shared" ca="1" si="51"/>
        <v>0</v>
      </c>
      <c r="BS127" s="738">
        <f t="shared" ca="1" si="51"/>
        <v>0</v>
      </c>
      <c r="BT127" s="738">
        <f t="shared" si="51"/>
        <v>0</v>
      </c>
      <c r="BU127" s="738">
        <f t="shared" ca="1" si="51"/>
        <v>0</v>
      </c>
      <c r="BV127" s="738">
        <f t="shared" ca="1" si="51"/>
        <v>0</v>
      </c>
      <c r="BW127" s="738">
        <f t="shared" si="51"/>
        <v>0</v>
      </c>
      <c r="BX127" s="738">
        <f t="shared" ca="1" si="51"/>
        <v>0</v>
      </c>
      <c r="BY127" s="738">
        <f t="shared" ca="1" si="51"/>
        <v>0</v>
      </c>
      <c r="BZ127" s="738">
        <f t="shared" si="51"/>
        <v>0</v>
      </c>
      <c r="CA127" s="738">
        <f t="shared" ca="1" si="51"/>
        <v>0</v>
      </c>
      <c r="CB127" s="738">
        <f t="shared" ca="1" si="51"/>
        <v>0</v>
      </c>
      <c r="CC127" s="738">
        <f t="shared" si="51"/>
        <v>0</v>
      </c>
      <c r="CD127" s="738">
        <f t="shared" ca="1" si="51"/>
        <v>0</v>
      </c>
      <c r="CE127" s="738">
        <f t="shared" ca="1" si="51"/>
        <v>0</v>
      </c>
      <c r="CF127" s="738">
        <f t="shared" si="51"/>
        <v>0</v>
      </c>
      <c r="CG127" s="738">
        <f t="shared" ca="1" si="51"/>
        <v>0</v>
      </c>
      <c r="CH127" s="738">
        <f t="shared" ca="1" si="51"/>
        <v>0</v>
      </c>
      <c r="CI127" s="738">
        <f t="shared" si="51"/>
        <v>0</v>
      </c>
      <c r="CJ127" s="738">
        <f t="shared" ca="1" si="51"/>
        <v>0</v>
      </c>
      <c r="CK127" s="738">
        <f t="shared" ca="1" si="51"/>
        <v>0</v>
      </c>
      <c r="CL127" s="738">
        <f t="shared" si="51"/>
        <v>0</v>
      </c>
      <c r="CM127" s="738">
        <f t="shared" ca="1" si="51"/>
        <v>0</v>
      </c>
      <c r="CN127" s="738">
        <f t="shared" ca="1" si="51"/>
        <v>0</v>
      </c>
      <c r="CO127" s="738">
        <f t="shared" si="51"/>
        <v>0</v>
      </c>
      <c r="CP127" s="738">
        <f t="shared" ca="1" si="51"/>
        <v>0</v>
      </c>
      <c r="CQ127" s="738">
        <f t="shared" ca="1" si="51"/>
        <v>0</v>
      </c>
      <c r="CR127" s="738">
        <f t="shared" si="51"/>
        <v>0</v>
      </c>
      <c r="CS127" s="738">
        <f t="shared" ca="1" si="51"/>
        <v>0</v>
      </c>
      <c r="CT127" s="28"/>
      <c r="CW127" s="970" t="s">
        <v>912</v>
      </c>
    </row>
    <row r="128" spans="5:104" ht="16.7" hidden="1" customHeight="1">
      <c r="E128" s="676">
        <v>17.100000000000001</v>
      </c>
      <c r="F128" s="779" cm="1">
        <f t="array" aca="1" ref="F128" ca="1">OFFSET(G128,-1,-1)</f>
        <v>0</v>
      </c>
      <c r="G128" s="620" t="str">
        <f>IF(J28="пар","топливо","")</f>
        <v/>
      </c>
      <c r="L128" s="779" t="b" cm="1">
        <f t="array" aca="1" ref="L128" ca="1">OFFSET(M128,-1,-1)</f>
        <v>0</v>
      </c>
      <c r="S128" s="110" t="b" cm="1">
        <f t="array" aca="1" ref="S128" ca="1">OFFSET(T128,-1,-1)</f>
        <v>0</v>
      </c>
      <c r="U128" s="698" t="b">
        <f t="shared" ca="1" si="35"/>
        <v>0</v>
      </c>
      <c r="Y128" s="1687"/>
      <c r="Z128" s="1687"/>
      <c r="AB128" s="1764"/>
      <c r="AD128" s="824" t="s">
        <v>913</v>
      </c>
      <c r="AE128" s="1781" t="s">
        <v>640</v>
      </c>
      <c r="AF128" s="1782"/>
      <c r="AG128" s="852" t="s">
        <v>839</v>
      </c>
      <c r="AH128" s="51"/>
      <c r="AI128" s="51"/>
      <c r="AJ128" s="51"/>
      <c r="AK128" s="51"/>
      <c r="AL128" s="51"/>
      <c r="AM128" s="51"/>
      <c r="AN128" s="51"/>
      <c r="AO128" s="830"/>
      <c r="AP128" s="830"/>
      <c r="AQ128" s="830"/>
      <c r="AR128" s="830"/>
      <c r="AS128" s="830"/>
      <c r="AT128" s="830"/>
      <c r="AU128" s="830"/>
      <c r="AV128" s="830"/>
      <c r="AW128" s="830"/>
      <c r="AX128" s="830"/>
      <c r="AY128" s="830"/>
      <c r="AZ128" s="830"/>
      <c r="BA128" s="51"/>
      <c r="BB128" s="51"/>
      <c r="BC128" s="51"/>
      <c r="BD128" s="51"/>
      <c r="BE128" s="51"/>
      <c r="BF128" s="51"/>
      <c r="BG128" s="51"/>
      <c r="BH128" s="51"/>
      <c r="BI128" s="51"/>
      <c r="BJ128" s="51"/>
      <c r="BK128" s="51"/>
      <c r="BL128" s="51"/>
      <c r="BM128" s="51"/>
      <c r="BN128" s="51"/>
      <c r="BO128" s="51"/>
      <c r="BP128" s="830"/>
      <c r="BQ128" s="830"/>
      <c r="BR128" s="830"/>
      <c r="BS128" s="830"/>
      <c r="BT128" s="830"/>
      <c r="BU128" s="830"/>
      <c r="BV128" s="830"/>
      <c r="BW128" s="830"/>
      <c r="BX128" s="830"/>
      <c r="BY128" s="830"/>
      <c r="BZ128" s="830"/>
      <c r="CA128" s="830"/>
      <c r="CB128" s="830"/>
      <c r="CC128" s="830"/>
      <c r="CD128" s="830"/>
      <c r="CE128" s="51"/>
      <c r="CF128" s="51"/>
      <c r="CG128" s="51"/>
      <c r="CH128" s="51"/>
      <c r="CI128" s="51"/>
      <c r="CJ128" s="51"/>
      <c r="CK128" s="51"/>
      <c r="CL128" s="51"/>
      <c r="CM128" s="51"/>
      <c r="CN128" s="51"/>
      <c r="CO128" s="51"/>
      <c r="CP128" s="51"/>
      <c r="CQ128" s="51"/>
      <c r="CR128" s="51"/>
      <c r="CS128" s="51"/>
      <c r="CT128" s="28"/>
      <c r="CW128" s="970" t="s">
        <v>914</v>
      </c>
    </row>
    <row r="129" spans="1:106" ht="16.7" hidden="1" customHeight="1">
      <c r="E129" s="676">
        <v>17.100000000000001</v>
      </c>
      <c r="F129" s="779" cm="1">
        <f t="array" aca="1" ref="F129" ca="1">OFFSET(G129,-1,-1)</f>
        <v>0</v>
      </c>
      <c r="L129" s="779" t="b" cm="1">
        <f t="array" aca="1" ref="L129" ca="1">OFFSET(M129,-1,-1)</f>
        <v>0</v>
      </c>
      <c r="S129" s="110" t="b" cm="1">
        <f t="array" aca="1" ref="S129" ca="1">OFFSET(T129,-1,-1)</f>
        <v>0</v>
      </c>
      <c r="T129" s="110" t="b">
        <f>AD129&lt;&gt;"40.0"</f>
        <v>0</v>
      </c>
      <c r="U129" s="698" t="b">
        <f t="shared" ca="1" si="35"/>
        <v>0</v>
      </c>
      <c r="X129" s="110" t="s">
        <v>236</v>
      </c>
      <c r="Y129" s="1687"/>
      <c r="Z129" s="1687"/>
      <c r="AB129" s="1764"/>
      <c r="AD129" s="111" t="s">
        <v>915</v>
      </c>
      <c r="AE129" s="821"/>
      <c r="AF129" s="524"/>
      <c r="AG129" s="733" t="s">
        <v>839</v>
      </c>
      <c r="AH129" s="734">
        <f t="shared" ref="AH129:BM129" si="52">AH74+AH87+AH100+AH113+AH120</f>
        <v>0</v>
      </c>
      <c r="AI129" s="734">
        <f t="shared" si="52"/>
        <v>0</v>
      </c>
      <c r="AJ129" s="734">
        <f t="shared" si="52"/>
        <v>0</v>
      </c>
      <c r="AK129" s="734">
        <f t="shared" si="52"/>
        <v>0</v>
      </c>
      <c r="AL129" s="734">
        <f t="shared" ca="1" si="52"/>
        <v>0</v>
      </c>
      <c r="AM129" s="734">
        <f t="shared" si="52"/>
        <v>0</v>
      </c>
      <c r="AN129" s="734">
        <f t="shared" ca="1" si="52"/>
        <v>0</v>
      </c>
      <c r="AO129" s="734">
        <f t="shared" ca="1" si="52"/>
        <v>0</v>
      </c>
      <c r="AP129" s="734">
        <f t="shared" si="52"/>
        <v>0</v>
      </c>
      <c r="AQ129" s="734">
        <f t="shared" ca="1" si="52"/>
        <v>0</v>
      </c>
      <c r="AR129" s="734">
        <f t="shared" ca="1" si="52"/>
        <v>0</v>
      </c>
      <c r="AS129" s="734">
        <f t="shared" si="52"/>
        <v>0</v>
      </c>
      <c r="AT129" s="734">
        <f t="shared" ca="1" si="52"/>
        <v>0</v>
      </c>
      <c r="AU129" s="734">
        <f t="shared" ca="1" si="52"/>
        <v>0</v>
      </c>
      <c r="AV129" s="734">
        <f t="shared" si="52"/>
        <v>0</v>
      </c>
      <c r="AW129" s="734">
        <f t="shared" ca="1" si="52"/>
        <v>0</v>
      </c>
      <c r="AX129" s="734">
        <f t="shared" ca="1" si="52"/>
        <v>0</v>
      </c>
      <c r="AY129" s="734">
        <f t="shared" si="52"/>
        <v>0</v>
      </c>
      <c r="AZ129" s="734">
        <f t="shared" ca="1" si="52"/>
        <v>0</v>
      </c>
      <c r="BA129" s="734">
        <f t="shared" ca="1" si="52"/>
        <v>0</v>
      </c>
      <c r="BB129" s="734">
        <f t="shared" si="52"/>
        <v>0</v>
      </c>
      <c r="BC129" s="734">
        <f t="shared" ca="1" si="52"/>
        <v>0</v>
      </c>
      <c r="BD129" s="734">
        <f t="shared" ca="1" si="52"/>
        <v>0</v>
      </c>
      <c r="BE129" s="734">
        <f t="shared" si="52"/>
        <v>0</v>
      </c>
      <c r="BF129" s="734">
        <f t="shared" ca="1" si="52"/>
        <v>0</v>
      </c>
      <c r="BG129" s="734">
        <f t="shared" ca="1" si="52"/>
        <v>0</v>
      </c>
      <c r="BH129" s="734">
        <f t="shared" si="52"/>
        <v>0</v>
      </c>
      <c r="BI129" s="734">
        <f t="shared" ca="1" si="52"/>
        <v>0</v>
      </c>
      <c r="BJ129" s="734">
        <f t="shared" ca="1" si="52"/>
        <v>0</v>
      </c>
      <c r="BK129" s="734">
        <f t="shared" si="52"/>
        <v>0</v>
      </c>
      <c r="BL129" s="734">
        <f t="shared" ca="1" si="52"/>
        <v>0</v>
      </c>
      <c r="BM129" s="734">
        <f t="shared" ca="1" si="52"/>
        <v>0</v>
      </c>
      <c r="BN129" s="734">
        <f t="shared" ref="BN129:CS129" si="53">BN74+BN87+BN100+BN113+BN120</f>
        <v>0</v>
      </c>
      <c r="BO129" s="734">
        <f t="shared" ca="1" si="53"/>
        <v>0</v>
      </c>
      <c r="BP129" s="734">
        <f t="shared" ca="1" si="53"/>
        <v>0</v>
      </c>
      <c r="BQ129" s="734">
        <f t="shared" si="53"/>
        <v>0</v>
      </c>
      <c r="BR129" s="734">
        <f t="shared" ca="1" si="53"/>
        <v>0</v>
      </c>
      <c r="BS129" s="734">
        <f t="shared" ca="1" si="53"/>
        <v>0</v>
      </c>
      <c r="BT129" s="734">
        <f t="shared" si="53"/>
        <v>0</v>
      </c>
      <c r="BU129" s="734">
        <f t="shared" ca="1" si="53"/>
        <v>0</v>
      </c>
      <c r="BV129" s="734">
        <f t="shared" ca="1" si="53"/>
        <v>0</v>
      </c>
      <c r="BW129" s="734">
        <f t="shared" si="53"/>
        <v>0</v>
      </c>
      <c r="BX129" s="734">
        <f t="shared" ca="1" si="53"/>
        <v>0</v>
      </c>
      <c r="BY129" s="734">
        <f t="shared" ca="1" si="53"/>
        <v>0</v>
      </c>
      <c r="BZ129" s="734">
        <f t="shared" si="53"/>
        <v>0</v>
      </c>
      <c r="CA129" s="734">
        <f t="shared" ca="1" si="53"/>
        <v>0</v>
      </c>
      <c r="CB129" s="734">
        <f t="shared" ca="1" si="53"/>
        <v>0</v>
      </c>
      <c r="CC129" s="734">
        <f t="shared" si="53"/>
        <v>0</v>
      </c>
      <c r="CD129" s="734">
        <f t="shared" ca="1" si="53"/>
        <v>0</v>
      </c>
      <c r="CE129" s="734">
        <f t="shared" ca="1" si="53"/>
        <v>0</v>
      </c>
      <c r="CF129" s="734">
        <f t="shared" si="53"/>
        <v>0</v>
      </c>
      <c r="CG129" s="734">
        <f t="shared" ca="1" si="53"/>
        <v>0</v>
      </c>
      <c r="CH129" s="734">
        <f t="shared" ca="1" si="53"/>
        <v>0</v>
      </c>
      <c r="CI129" s="734">
        <f t="shared" si="53"/>
        <v>0</v>
      </c>
      <c r="CJ129" s="734">
        <f t="shared" ca="1" si="53"/>
        <v>0</v>
      </c>
      <c r="CK129" s="734">
        <f t="shared" ca="1" si="53"/>
        <v>0</v>
      </c>
      <c r="CL129" s="734">
        <f t="shared" si="53"/>
        <v>0</v>
      </c>
      <c r="CM129" s="734">
        <f t="shared" ca="1" si="53"/>
        <v>0</v>
      </c>
      <c r="CN129" s="734">
        <f t="shared" ca="1" si="53"/>
        <v>0</v>
      </c>
      <c r="CO129" s="734">
        <f t="shared" si="53"/>
        <v>0</v>
      </c>
      <c r="CP129" s="734">
        <f t="shared" ca="1" si="53"/>
        <v>0</v>
      </c>
      <c r="CQ129" s="734">
        <f t="shared" ca="1" si="53"/>
        <v>0</v>
      </c>
      <c r="CR129" s="734">
        <f t="shared" si="53"/>
        <v>0</v>
      </c>
      <c r="CS129" s="734">
        <f t="shared" ca="1" si="53"/>
        <v>0</v>
      </c>
      <c r="CT129" s="28"/>
      <c r="CW129" s="970" t="s">
        <v>916</v>
      </c>
      <c r="CX129" s="975" t="s">
        <v>821</v>
      </c>
      <c r="CY129" s="979" cm="1">
        <f t="array" ref="CY129">AE129</f>
        <v>0</v>
      </c>
      <c r="CZ129" s="979" cm="1">
        <f t="array" ref="CZ129">AF129</f>
        <v>0</v>
      </c>
    </row>
    <row r="130" spans="1:106" ht="15" hidden="1" customHeight="1">
      <c r="E130" s="676">
        <v>0</v>
      </c>
      <c r="F130" s="779" cm="1">
        <f t="array" aca="1" ref="F130" ca="1">OFFSET(G130,-1,-1)</f>
        <v>0</v>
      </c>
      <c r="L130" s="779" t="b" cm="1">
        <f t="array" aca="1" ref="L130" ca="1">OFFSET(M130,-1,-1)</f>
        <v>0</v>
      </c>
      <c r="S130" s="110" t="b" cm="1">
        <f t="array" aca="1" ref="S130" ca="1">OFFSET(T130,-1,-1)</f>
        <v>0</v>
      </c>
      <c r="U130" s="698" t="b">
        <f t="shared" ca="1" si="35"/>
        <v>0</v>
      </c>
      <c r="X130" s="820" t="str">
        <f>"{                  
         funcDyn: 'msg1',
         blok: 'blok_2',
         wsCross: 'Топливо 4.4',
         linkFormula: 'AE-AE#AF-AF',
         levelDyn: "&amp;Y28&amp;"
}"</f>
        <v>{                  
         funcDyn: 'msg1',
         blok: 'blok_2',
         wsCross: 'Топливо 4.4',
         linkFormula: 'AE-AE#AF-AF',
         levelDyn: 0
}</v>
      </c>
      <c r="Y130" s="1687"/>
      <c r="Z130" s="1687"/>
      <c r="AB130" s="1764"/>
      <c r="AD130" s="823"/>
      <c r="AE130" s="822" t="s">
        <v>238</v>
      </c>
      <c r="AF130" s="745"/>
      <c r="AG130" s="733"/>
      <c r="AH130" s="735"/>
      <c r="AI130" s="737"/>
      <c r="AJ130" s="737"/>
      <c r="AK130" s="737"/>
      <c r="AL130" s="737"/>
      <c r="AM130" s="737"/>
      <c r="AN130" s="737"/>
      <c r="AO130" s="737"/>
      <c r="AP130" s="737"/>
      <c r="AQ130" s="737"/>
      <c r="AR130" s="737"/>
      <c r="AS130" s="737"/>
      <c r="AT130" s="737"/>
      <c r="AU130" s="737"/>
      <c r="AV130" s="737"/>
      <c r="AW130" s="737"/>
      <c r="AX130" s="737"/>
      <c r="AY130" s="737"/>
      <c r="AZ130" s="737"/>
      <c r="BA130" s="737"/>
      <c r="BB130" s="737"/>
      <c r="BC130" s="737"/>
      <c r="BD130" s="737"/>
      <c r="BE130" s="737"/>
      <c r="BF130" s="737"/>
      <c r="BG130" s="737"/>
      <c r="BH130" s="737"/>
      <c r="BI130" s="737"/>
      <c r="BJ130" s="737"/>
      <c r="BK130" s="737"/>
      <c r="BL130" s="737"/>
      <c r="BM130" s="737"/>
      <c r="BN130" s="737"/>
      <c r="BO130" s="737"/>
      <c r="BP130" s="737"/>
      <c r="BQ130" s="737"/>
      <c r="BR130" s="737"/>
      <c r="BS130" s="737"/>
      <c r="BT130" s="737"/>
      <c r="BU130" s="737"/>
      <c r="BV130" s="737"/>
      <c r="BW130" s="737"/>
      <c r="BX130" s="737"/>
      <c r="BY130" s="737"/>
      <c r="BZ130" s="737"/>
      <c r="CA130" s="737"/>
      <c r="CB130" s="737"/>
      <c r="CC130" s="737"/>
      <c r="CD130" s="737"/>
      <c r="CE130" s="737"/>
      <c r="CF130" s="737"/>
      <c r="CG130" s="737"/>
      <c r="CH130" s="737"/>
      <c r="CI130" s="737"/>
      <c r="CJ130" s="737"/>
      <c r="CK130" s="737"/>
      <c r="CL130" s="737"/>
      <c r="CM130" s="737"/>
      <c r="CN130" s="737"/>
      <c r="CO130" s="737"/>
      <c r="CP130" s="737"/>
      <c r="CQ130" s="737"/>
      <c r="CR130" s="737"/>
      <c r="CS130" s="737"/>
      <c r="CT130" s="46"/>
      <c r="CW130" s="970" t="str">
        <f>IF(AND(ISNUMBER(VALUE(TRIM(SUBSTITUTE(AD130,".","")))),TRIM(SUBSTITUTE(AD130,".",""))&lt;&gt;""),"P"&amp;SUBSTITUTE(AD130,".",""),"")</f>
        <v/>
      </c>
    </row>
    <row r="131" spans="1:106" ht="16.7" hidden="1" customHeight="1">
      <c r="E131" s="676">
        <v>17.100000000000001</v>
      </c>
      <c r="F131" s="779" cm="1">
        <f t="array" aca="1" ref="F131" ca="1">OFFSET(G131,-1,-1)</f>
        <v>0</v>
      </c>
      <c r="L131" s="779" t="b" cm="1">
        <f t="array" aca="1" ref="L131" ca="1">OFFSET(M131,-1,-1)</f>
        <v>0</v>
      </c>
      <c r="S131" s="110" t="b" cm="1">
        <f t="array" aca="1" ref="S131" ca="1">OFFSET(T131,-1,-1)</f>
        <v>0</v>
      </c>
      <c r="U131" s="698" t="b">
        <f t="shared" ca="1" si="35"/>
        <v>0</v>
      </c>
      <c r="Y131" s="1687"/>
      <c r="Z131" s="1687"/>
      <c r="AB131" s="1764"/>
      <c r="AD131" s="124" t="s">
        <v>917</v>
      </c>
      <c r="AE131" s="1754" t="s">
        <v>918</v>
      </c>
      <c r="AF131" s="1734"/>
      <c r="AG131" s="733" t="s">
        <v>919</v>
      </c>
      <c r="AH131" s="734">
        <f t="shared" ref="AH131:BM131" si="54">IFERROR(AH125/AH53,0)*1000</f>
        <v>0</v>
      </c>
      <c r="AI131" s="734">
        <f t="shared" si="54"/>
        <v>0</v>
      </c>
      <c r="AJ131" s="734">
        <f t="shared" si="54"/>
        <v>0</v>
      </c>
      <c r="AK131" s="734">
        <f t="shared" si="54"/>
        <v>0</v>
      </c>
      <c r="AL131" s="734">
        <f t="shared" ca="1" si="54"/>
        <v>0</v>
      </c>
      <c r="AM131" s="734">
        <f t="shared" si="54"/>
        <v>0</v>
      </c>
      <c r="AN131" s="734">
        <f t="shared" ca="1" si="54"/>
        <v>0</v>
      </c>
      <c r="AO131" s="734">
        <f t="shared" ca="1" si="54"/>
        <v>0</v>
      </c>
      <c r="AP131" s="734">
        <f t="shared" si="54"/>
        <v>0</v>
      </c>
      <c r="AQ131" s="734">
        <f t="shared" ca="1" si="54"/>
        <v>0</v>
      </c>
      <c r="AR131" s="734">
        <f t="shared" ca="1" si="54"/>
        <v>0</v>
      </c>
      <c r="AS131" s="734">
        <f t="shared" si="54"/>
        <v>0</v>
      </c>
      <c r="AT131" s="734">
        <f t="shared" ca="1" si="54"/>
        <v>0</v>
      </c>
      <c r="AU131" s="734">
        <f t="shared" ca="1" si="54"/>
        <v>0</v>
      </c>
      <c r="AV131" s="734">
        <f t="shared" si="54"/>
        <v>0</v>
      </c>
      <c r="AW131" s="734">
        <f t="shared" ca="1" si="54"/>
        <v>0</v>
      </c>
      <c r="AX131" s="734">
        <f t="shared" ca="1" si="54"/>
        <v>0</v>
      </c>
      <c r="AY131" s="734">
        <f t="shared" si="54"/>
        <v>0</v>
      </c>
      <c r="AZ131" s="734">
        <f t="shared" ca="1" si="54"/>
        <v>0</v>
      </c>
      <c r="BA131" s="734">
        <f t="shared" ca="1" si="54"/>
        <v>0</v>
      </c>
      <c r="BB131" s="734">
        <f t="shared" si="54"/>
        <v>0</v>
      </c>
      <c r="BC131" s="734">
        <f t="shared" ca="1" si="54"/>
        <v>0</v>
      </c>
      <c r="BD131" s="734">
        <f t="shared" ca="1" si="54"/>
        <v>0</v>
      </c>
      <c r="BE131" s="734">
        <f t="shared" si="54"/>
        <v>0</v>
      </c>
      <c r="BF131" s="734">
        <f t="shared" ca="1" si="54"/>
        <v>0</v>
      </c>
      <c r="BG131" s="734">
        <f t="shared" ca="1" si="54"/>
        <v>0</v>
      </c>
      <c r="BH131" s="734">
        <f t="shared" si="54"/>
        <v>0</v>
      </c>
      <c r="BI131" s="734">
        <f t="shared" ca="1" si="54"/>
        <v>0</v>
      </c>
      <c r="BJ131" s="734">
        <f t="shared" ca="1" si="54"/>
        <v>0</v>
      </c>
      <c r="BK131" s="734">
        <f t="shared" si="54"/>
        <v>0</v>
      </c>
      <c r="BL131" s="734">
        <f t="shared" ca="1" si="54"/>
        <v>0</v>
      </c>
      <c r="BM131" s="734">
        <f t="shared" ca="1" si="54"/>
        <v>0</v>
      </c>
      <c r="BN131" s="734">
        <f t="shared" ref="BN131:CS131" si="55">IFERROR(BN125/BN53,0)*1000</f>
        <v>0</v>
      </c>
      <c r="BO131" s="734">
        <f t="shared" ca="1" si="55"/>
        <v>0</v>
      </c>
      <c r="BP131" s="734">
        <f t="shared" ca="1" si="55"/>
        <v>0</v>
      </c>
      <c r="BQ131" s="734">
        <f t="shared" si="55"/>
        <v>0</v>
      </c>
      <c r="BR131" s="734">
        <f t="shared" ca="1" si="55"/>
        <v>0</v>
      </c>
      <c r="BS131" s="734">
        <f t="shared" ca="1" si="55"/>
        <v>0</v>
      </c>
      <c r="BT131" s="734">
        <f t="shared" si="55"/>
        <v>0</v>
      </c>
      <c r="BU131" s="734">
        <f t="shared" ca="1" si="55"/>
        <v>0</v>
      </c>
      <c r="BV131" s="734">
        <f t="shared" ca="1" si="55"/>
        <v>0</v>
      </c>
      <c r="BW131" s="734">
        <f t="shared" si="55"/>
        <v>0</v>
      </c>
      <c r="BX131" s="734">
        <f t="shared" ca="1" si="55"/>
        <v>0</v>
      </c>
      <c r="BY131" s="734">
        <f t="shared" ca="1" si="55"/>
        <v>0</v>
      </c>
      <c r="BZ131" s="734">
        <f t="shared" si="55"/>
        <v>0</v>
      </c>
      <c r="CA131" s="734">
        <f t="shared" ca="1" si="55"/>
        <v>0</v>
      </c>
      <c r="CB131" s="734">
        <f t="shared" ca="1" si="55"/>
        <v>0</v>
      </c>
      <c r="CC131" s="734">
        <f t="shared" si="55"/>
        <v>0</v>
      </c>
      <c r="CD131" s="734">
        <f t="shared" ca="1" si="55"/>
        <v>0</v>
      </c>
      <c r="CE131" s="734">
        <f t="shared" ca="1" si="55"/>
        <v>0</v>
      </c>
      <c r="CF131" s="734">
        <f t="shared" si="55"/>
        <v>0</v>
      </c>
      <c r="CG131" s="734">
        <f t="shared" ca="1" si="55"/>
        <v>0</v>
      </c>
      <c r="CH131" s="734">
        <f t="shared" ca="1" si="55"/>
        <v>0</v>
      </c>
      <c r="CI131" s="734">
        <f t="shared" si="55"/>
        <v>0</v>
      </c>
      <c r="CJ131" s="734">
        <f t="shared" ca="1" si="55"/>
        <v>0</v>
      </c>
      <c r="CK131" s="734">
        <f t="shared" ca="1" si="55"/>
        <v>0</v>
      </c>
      <c r="CL131" s="734">
        <f t="shared" si="55"/>
        <v>0</v>
      </c>
      <c r="CM131" s="734">
        <f t="shared" ca="1" si="55"/>
        <v>0</v>
      </c>
      <c r="CN131" s="734">
        <f t="shared" ca="1" si="55"/>
        <v>0</v>
      </c>
      <c r="CO131" s="734">
        <f t="shared" si="55"/>
        <v>0</v>
      </c>
      <c r="CP131" s="734">
        <f t="shared" ca="1" si="55"/>
        <v>0</v>
      </c>
      <c r="CQ131" s="734">
        <f t="shared" ca="1" si="55"/>
        <v>0</v>
      </c>
      <c r="CR131" s="734">
        <f t="shared" si="55"/>
        <v>0</v>
      </c>
      <c r="CS131" s="734">
        <f t="shared" ca="1" si="55"/>
        <v>0</v>
      </c>
      <c r="CT131" s="28"/>
      <c r="CW131" s="970" t="s">
        <v>920</v>
      </c>
    </row>
    <row r="132" spans="1:106" ht="16.7" hidden="1" customHeight="1">
      <c r="E132" s="676">
        <v>17.100000000000001</v>
      </c>
      <c r="F132" s="779" cm="1">
        <f t="array" aca="1" ref="F132" ca="1">OFFSET(G132,-1,-1)</f>
        <v>0</v>
      </c>
      <c r="L132" s="779" t="b" cm="1">
        <f t="array" aca="1" ref="L132" ca="1">OFFSET(M132,-1,-1)</f>
        <v>0</v>
      </c>
      <c r="R132" s="779" t="s">
        <v>759</v>
      </c>
      <c r="S132" s="110" t="b" cm="1">
        <f t="array" aca="1" ref="S132" ca="1">OFFSET(T132,-1,-1)</f>
        <v>0</v>
      </c>
      <c r="T132" s="110" t="b" cm="1">
        <f t="array" aca="1" ref="T132" ca="1">L132</f>
        <v>0</v>
      </c>
      <c r="U132" s="698" t="b">
        <f t="shared" ca="1" si="35"/>
        <v>0</v>
      </c>
      <c r="Y132" s="1687"/>
      <c r="Z132" s="1687"/>
      <c r="AB132" s="1764"/>
      <c r="AD132" s="111" t="str">
        <f>AD131&amp;".0"</f>
        <v>41.0</v>
      </c>
      <c r="AE132" s="1755" t="s">
        <v>770</v>
      </c>
      <c r="AF132" s="1756"/>
      <c r="AG132" s="733" t="s">
        <v>919</v>
      </c>
      <c r="AH132" s="734">
        <f t="shared" ref="AH132:BM132" si="56">IFERROR(AH126/AH54,0)*1000</f>
        <v>0</v>
      </c>
      <c r="AI132" s="734">
        <f t="shared" si="56"/>
        <v>0</v>
      </c>
      <c r="AJ132" s="734">
        <f t="shared" si="56"/>
        <v>0</v>
      </c>
      <c r="AK132" s="734">
        <f t="shared" si="56"/>
        <v>0</v>
      </c>
      <c r="AL132" s="734">
        <f t="shared" ca="1" si="56"/>
        <v>0</v>
      </c>
      <c r="AM132" s="734">
        <f t="shared" si="56"/>
        <v>0</v>
      </c>
      <c r="AN132" s="734">
        <f t="shared" ca="1" si="56"/>
        <v>0</v>
      </c>
      <c r="AO132" s="734">
        <f t="shared" ca="1" si="56"/>
        <v>0</v>
      </c>
      <c r="AP132" s="734">
        <f t="shared" si="56"/>
        <v>0</v>
      </c>
      <c r="AQ132" s="734">
        <f t="shared" ca="1" si="56"/>
        <v>0</v>
      </c>
      <c r="AR132" s="734">
        <f t="shared" ca="1" si="56"/>
        <v>0</v>
      </c>
      <c r="AS132" s="734">
        <f t="shared" si="56"/>
        <v>0</v>
      </c>
      <c r="AT132" s="734">
        <f t="shared" ca="1" si="56"/>
        <v>0</v>
      </c>
      <c r="AU132" s="734">
        <f t="shared" ca="1" si="56"/>
        <v>0</v>
      </c>
      <c r="AV132" s="734">
        <f t="shared" si="56"/>
        <v>0</v>
      </c>
      <c r="AW132" s="734">
        <f t="shared" ca="1" si="56"/>
        <v>0</v>
      </c>
      <c r="AX132" s="734">
        <f t="shared" ca="1" si="56"/>
        <v>0</v>
      </c>
      <c r="AY132" s="734">
        <f t="shared" si="56"/>
        <v>0</v>
      </c>
      <c r="AZ132" s="734">
        <f t="shared" ca="1" si="56"/>
        <v>0</v>
      </c>
      <c r="BA132" s="734">
        <f t="shared" ca="1" si="56"/>
        <v>0</v>
      </c>
      <c r="BB132" s="734">
        <f t="shared" si="56"/>
        <v>0</v>
      </c>
      <c r="BC132" s="734">
        <f t="shared" ca="1" si="56"/>
        <v>0</v>
      </c>
      <c r="BD132" s="734">
        <f t="shared" ca="1" si="56"/>
        <v>0</v>
      </c>
      <c r="BE132" s="734">
        <f t="shared" si="56"/>
        <v>0</v>
      </c>
      <c r="BF132" s="734">
        <f t="shared" ca="1" si="56"/>
        <v>0</v>
      </c>
      <c r="BG132" s="734">
        <f t="shared" ca="1" si="56"/>
        <v>0</v>
      </c>
      <c r="BH132" s="734">
        <f t="shared" si="56"/>
        <v>0</v>
      </c>
      <c r="BI132" s="734">
        <f t="shared" ca="1" si="56"/>
        <v>0</v>
      </c>
      <c r="BJ132" s="734">
        <f t="shared" ca="1" si="56"/>
        <v>0</v>
      </c>
      <c r="BK132" s="734">
        <f t="shared" si="56"/>
        <v>0</v>
      </c>
      <c r="BL132" s="734">
        <f t="shared" ca="1" si="56"/>
        <v>0</v>
      </c>
      <c r="BM132" s="734">
        <f t="shared" ca="1" si="56"/>
        <v>0</v>
      </c>
      <c r="BN132" s="734">
        <f t="shared" ref="BN132:CS132" si="57">IFERROR(BN126/BN54,0)*1000</f>
        <v>0</v>
      </c>
      <c r="BO132" s="734">
        <f t="shared" ca="1" si="57"/>
        <v>0</v>
      </c>
      <c r="BP132" s="734">
        <f t="shared" ca="1" si="57"/>
        <v>0</v>
      </c>
      <c r="BQ132" s="734">
        <f t="shared" si="57"/>
        <v>0</v>
      </c>
      <c r="BR132" s="734">
        <f t="shared" ca="1" si="57"/>
        <v>0</v>
      </c>
      <c r="BS132" s="734">
        <f t="shared" ca="1" si="57"/>
        <v>0</v>
      </c>
      <c r="BT132" s="734">
        <f t="shared" si="57"/>
        <v>0</v>
      </c>
      <c r="BU132" s="734">
        <f t="shared" ca="1" si="57"/>
        <v>0</v>
      </c>
      <c r="BV132" s="734">
        <f t="shared" ca="1" si="57"/>
        <v>0</v>
      </c>
      <c r="BW132" s="734">
        <f t="shared" si="57"/>
        <v>0</v>
      </c>
      <c r="BX132" s="734">
        <f t="shared" ca="1" si="57"/>
        <v>0</v>
      </c>
      <c r="BY132" s="734">
        <f t="shared" ca="1" si="57"/>
        <v>0</v>
      </c>
      <c r="BZ132" s="734">
        <f t="shared" si="57"/>
        <v>0</v>
      </c>
      <c r="CA132" s="734">
        <f t="shared" ca="1" si="57"/>
        <v>0</v>
      </c>
      <c r="CB132" s="734">
        <f t="shared" ca="1" si="57"/>
        <v>0</v>
      </c>
      <c r="CC132" s="734">
        <f t="shared" si="57"/>
        <v>0</v>
      </c>
      <c r="CD132" s="734">
        <f t="shared" ca="1" si="57"/>
        <v>0</v>
      </c>
      <c r="CE132" s="734">
        <f t="shared" ca="1" si="57"/>
        <v>0</v>
      </c>
      <c r="CF132" s="734">
        <f t="shared" si="57"/>
        <v>0</v>
      </c>
      <c r="CG132" s="734">
        <f t="shared" ca="1" si="57"/>
        <v>0</v>
      </c>
      <c r="CH132" s="734">
        <f t="shared" ca="1" si="57"/>
        <v>0</v>
      </c>
      <c r="CI132" s="734">
        <f t="shared" si="57"/>
        <v>0</v>
      </c>
      <c r="CJ132" s="734">
        <f t="shared" ca="1" si="57"/>
        <v>0</v>
      </c>
      <c r="CK132" s="734">
        <f t="shared" ca="1" si="57"/>
        <v>0</v>
      </c>
      <c r="CL132" s="734">
        <f t="shared" si="57"/>
        <v>0</v>
      </c>
      <c r="CM132" s="734">
        <f t="shared" ca="1" si="57"/>
        <v>0</v>
      </c>
      <c r="CN132" s="734">
        <f t="shared" ca="1" si="57"/>
        <v>0</v>
      </c>
      <c r="CO132" s="734">
        <f t="shared" si="57"/>
        <v>0</v>
      </c>
      <c r="CP132" s="734">
        <f t="shared" ca="1" si="57"/>
        <v>0</v>
      </c>
      <c r="CQ132" s="734">
        <f t="shared" ca="1" si="57"/>
        <v>0</v>
      </c>
      <c r="CR132" s="734">
        <f t="shared" si="57"/>
        <v>0</v>
      </c>
      <c r="CS132" s="734">
        <f t="shared" ca="1" si="57"/>
        <v>0</v>
      </c>
      <c r="CT132" s="28"/>
      <c r="CW132" s="970" t="s">
        <v>921</v>
      </c>
    </row>
    <row r="133" spans="1:106" ht="16.7" hidden="1" customHeight="1">
      <c r="E133" s="676">
        <v>17.100000000000001</v>
      </c>
      <c r="F133" s="779" cm="1">
        <f t="array" aca="1" ref="F133" ca="1">OFFSET(G133,-1,-1)</f>
        <v>0</v>
      </c>
      <c r="L133" s="779" t="b" cm="1">
        <f t="array" aca="1" ref="L133" ca="1">OFFSET(M133,-1,-1)</f>
        <v>0</v>
      </c>
      <c r="S133" s="110" t="b" cm="1">
        <f t="array" aca="1" ref="S133" ca="1">OFFSET(T133,-1,-1)</f>
        <v>0</v>
      </c>
      <c r="T133" s="110" t="b">
        <f>AD133&lt;&gt;"41.0"</f>
        <v>0</v>
      </c>
      <c r="U133" s="698" t="b">
        <f t="shared" ca="1" si="35"/>
        <v>0</v>
      </c>
      <c r="X133" s="110" t="s">
        <v>236</v>
      </c>
      <c r="Y133" s="1687"/>
      <c r="Z133" s="1687"/>
      <c r="AB133" s="1764"/>
      <c r="AD133" s="111" t="s">
        <v>922</v>
      </c>
      <c r="AE133" s="821"/>
      <c r="AF133" s="524"/>
      <c r="AG133" s="733" t="s">
        <v>919</v>
      </c>
      <c r="AH133" s="734">
        <f t="shared" ref="AH133:BM133" si="58">IFERROR(AH129/AH55,0)*1000</f>
        <v>0</v>
      </c>
      <c r="AI133" s="734">
        <f t="shared" si="58"/>
        <v>0</v>
      </c>
      <c r="AJ133" s="734">
        <f t="shared" si="58"/>
        <v>0</v>
      </c>
      <c r="AK133" s="734">
        <f t="shared" si="58"/>
        <v>0</v>
      </c>
      <c r="AL133" s="734">
        <f t="shared" ca="1" si="58"/>
        <v>0</v>
      </c>
      <c r="AM133" s="734">
        <f t="shared" si="58"/>
        <v>0</v>
      </c>
      <c r="AN133" s="734">
        <f t="shared" ca="1" si="58"/>
        <v>0</v>
      </c>
      <c r="AO133" s="734">
        <f t="shared" ca="1" si="58"/>
        <v>0</v>
      </c>
      <c r="AP133" s="734">
        <f t="shared" si="58"/>
        <v>0</v>
      </c>
      <c r="AQ133" s="734">
        <f t="shared" ca="1" si="58"/>
        <v>0</v>
      </c>
      <c r="AR133" s="734">
        <f t="shared" ca="1" si="58"/>
        <v>0</v>
      </c>
      <c r="AS133" s="734">
        <f t="shared" si="58"/>
        <v>0</v>
      </c>
      <c r="AT133" s="734">
        <f t="shared" ca="1" si="58"/>
        <v>0</v>
      </c>
      <c r="AU133" s="734">
        <f t="shared" ca="1" si="58"/>
        <v>0</v>
      </c>
      <c r="AV133" s="734">
        <f t="shared" si="58"/>
        <v>0</v>
      </c>
      <c r="AW133" s="734">
        <f t="shared" ca="1" si="58"/>
        <v>0</v>
      </c>
      <c r="AX133" s="734">
        <f t="shared" ca="1" si="58"/>
        <v>0</v>
      </c>
      <c r="AY133" s="734">
        <f t="shared" si="58"/>
        <v>0</v>
      </c>
      <c r="AZ133" s="734">
        <f t="shared" ca="1" si="58"/>
        <v>0</v>
      </c>
      <c r="BA133" s="734">
        <f t="shared" ca="1" si="58"/>
        <v>0</v>
      </c>
      <c r="BB133" s="734">
        <f t="shared" si="58"/>
        <v>0</v>
      </c>
      <c r="BC133" s="734">
        <f t="shared" ca="1" si="58"/>
        <v>0</v>
      </c>
      <c r="BD133" s="734">
        <f t="shared" ca="1" si="58"/>
        <v>0</v>
      </c>
      <c r="BE133" s="734">
        <f t="shared" si="58"/>
        <v>0</v>
      </c>
      <c r="BF133" s="734">
        <f t="shared" ca="1" si="58"/>
        <v>0</v>
      </c>
      <c r="BG133" s="734">
        <f t="shared" ca="1" si="58"/>
        <v>0</v>
      </c>
      <c r="BH133" s="734">
        <f t="shared" si="58"/>
        <v>0</v>
      </c>
      <c r="BI133" s="734">
        <f t="shared" ca="1" si="58"/>
        <v>0</v>
      </c>
      <c r="BJ133" s="734">
        <f t="shared" ca="1" si="58"/>
        <v>0</v>
      </c>
      <c r="BK133" s="734">
        <f t="shared" si="58"/>
        <v>0</v>
      </c>
      <c r="BL133" s="734">
        <f t="shared" ca="1" si="58"/>
        <v>0</v>
      </c>
      <c r="BM133" s="734">
        <f t="shared" ca="1" si="58"/>
        <v>0</v>
      </c>
      <c r="BN133" s="734">
        <f t="shared" ref="BN133:CS133" si="59">IFERROR(BN129/BN55,0)*1000</f>
        <v>0</v>
      </c>
      <c r="BO133" s="734">
        <f t="shared" ca="1" si="59"/>
        <v>0</v>
      </c>
      <c r="BP133" s="734">
        <f t="shared" ca="1" si="59"/>
        <v>0</v>
      </c>
      <c r="BQ133" s="734">
        <f t="shared" si="59"/>
        <v>0</v>
      </c>
      <c r="BR133" s="734">
        <f t="shared" ca="1" si="59"/>
        <v>0</v>
      </c>
      <c r="BS133" s="734">
        <f t="shared" ca="1" si="59"/>
        <v>0</v>
      </c>
      <c r="BT133" s="734">
        <f t="shared" si="59"/>
        <v>0</v>
      </c>
      <c r="BU133" s="734">
        <f t="shared" ca="1" si="59"/>
        <v>0</v>
      </c>
      <c r="BV133" s="734">
        <f t="shared" ca="1" si="59"/>
        <v>0</v>
      </c>
      <c r="BW133" s="734">
        <f t="shared" si="59"/>
        <v>0</v>
      </c>
      <c r="BX133" s="734">
        <f t="shared" ca="1" si="59"/>
        <v>0</v>
      </c>
      <c r="BY133" s="734">
        <f t="shared" ca="1" si="59"/>
        <v>0</v>
      </c>
      <c r="BZ133" s="734">
        <f t="shared" si="59"/>
        <v>0</v>
      </c>
      <c r="CA133" s="734">
        <f t="shared" ca="1" si="59"/>
        <v>0</v>
      </c>
      <c r="CB133" s="734">
        <f t="shared" ca="1" si="59"/>
        <v>0</v>
      </c>
      <c r="CC133" s="734">
        <f t="shared" si="59"/>
        <v>0</v>
      </c>
      <c r="CD133" s="734">
        <f t="shared" ca="1" si="59"/>
        <v>0</v>
      </c>
      <c r="CE133" s="734">
        <f t="shared" ca="1" si="59"/>
        <v>0</v>
      </c>
      <c r="CF133" s="734">
        <f t="shared" si="59"/>
        <v>0</v>
      </c>
      <c r="CG133" s="734">
        <f t="shared" ca="1" si="59"/>
        <v>0</v>
      </c>
      <c r="CH133" s="734">
        <f t="shared" ca="1" si="59"/>
        <v>0</v>
      </c>
      <c r="CI133" s="734">
        <f t="shared" si="59"/>
        <v>0</v>
      </c>
      <c r="CJ133" s="734">
        <f t="shared" ca="1" si="59"/>
        <v>0</v>
      </c>
      <c r="CK133" s="734">
        <f t="shared" ca="1" si="59"/>
        <v>0</v>
      </c>
      <c r="CL133" s="734">
        <f t="shared" si="59"/>
        <v>0</v>
      </c>
      <c r="CM133" s="734">
        <f t="shared" ca="1" si="59"/>
        <v>0</v>
      </c>
      <c r="CN133" s="734">
        <f t="shared" ca="1" si="59"/>
        <v>0</v>
      </c>
      <c r="CO133" s="734">
        <f t="shared" si="59"/>
        <v>0</v>
      </c>
      <c r="CP133" s="734">
        <f t="shared" ca="1" si="59"/>
        <v>0</v>
      </c>
      <c r="CQ133" s="734">
        <f t="shared" ca="1" si="59"/>
        <v>0</v>
      </c>
      <c r="CR133" s="734">
        <f t="shared" si="59"/>
        <v>0</v>
      </c>
      <c r="CS133" s="734">
        <f t="shared" ca="1" si="59"/>
        <v>0</v>
      </c>
      <c r="CT133" s="28"/>
      <c r="CW133" s="970" t="s">
        <v>921</v>
      </c>
      <c r="CX133" s="975" t="s">
        <v>821</v>
      </c>
      <c r="CY133" s="979" cm="1">
        <f t="array" ref="CY133">AE133</f>
        <v>0</v>
      </c>
      <c r="CZ133" s="979" cm="1">
        <f t="array" ref="CZ133">AF133</f>
        <v>0</v>
      </c>
    </row>
    <row r="134" spans="1:106" ht="15" hidden="1" customHeight="1">
      <c r="E134" s="676">
        <v>0</v>
      </c>
      <c r="F134" s="779" cm="1">
        <f t="array" aca="1" ref="F134" ca="1">OFFSET(G134,-1,-1)</f>
        <v>0</v>
      </c>
      <c r="L134" s="779" t="b" cm="1">
        <f t="array" aca="1" ref="L134" ca="1">OFFSET(M134,-1,-1)</f>
        <v>0</v>
      </c>
      <c r="S134" s="110" t="b" cm="1">
        <f t="array" aca="1" ref="S134" ca="1">OFFSET(T134,-1,-1)</f>
        <v>0</v>
      </c>
      <c r="U134" s="698" t="b">
        <f t="shared" ca="1" si="35"/>
        <v>0</v>
      </c>
      <c r="X134" s="820" t="str">
        <f>"{                  
         funcDyn: 'msg1',
         blok: 'blok_2',
         wsCross: 'Топливо 4.4',
         linkFormula: 'AE-AE#AF-AF',
         levelDyn: "&amp;Y28&amp;"
}"</f>
        <v>{                  
         funcDyn: 'msg1',
         blok: 'blok_2',
         wsCross: 'Топливо 4.4',
         linkFormula: 'AE-AE#AF-AF',
         levelDyn: 0
}</v>
      </c>
      <c r="Y134" s="1687"/>
      <c r="Z134" s="1687"/>
      <c r="AB134" s="1764"/>
      <c r="AD134" s="823"/>
      <c r="AE134" s="822" t="s">
        <v>238</v>
      </c>
      <c r="AF134" s="745"/>
      <c r="AG134" s="733"/>
      <c r="AH134" s="735"/>
      <c r="AI134" s="737"/>
      <c r="AJ134" s="737"/>
      <c r="AK134" s="737"/>
      <c r="AL134" s="737"/>
      <c r="AM134" s="737"/>
      <c r="AN134" s="737"/>
      <c r="AO134" s="737"/>
      <c r="AP134" s="737"/>
      <c r="AQ134" s="737"/>
      <c r="AR134" s="737"/>
      <c r="AS134" s="737"/>
      <c r="AT134" s="737"/>
      <c r="AU134" s="737"/>
      <c r="AV134" s="737"/>
      <c r="AW134" s="737"/>
      <c r="AX134" s="737"/>
      <c r="AY134" s="737"/>
      <c r="AZ134" s="737"/>
      <c r="BA134" s="737"/>
      <c r="BB134" s="737"/>
      <c r="BC134" s="737"/>
      <c r="BD134" s="737"/>
      <c r="BE134" s="737"/>
      <c r="BF134" s="737"/>
      <c r="BG134" s="737"/>
      <c r="BH134" s="737"/>
      <c r="BI134" s="737"/>
      <c r="BJ134" s="737"/>
      <c r="BK134" s="737"/>
      <c r="BL134" s="737"/>
      <c r="BM134" s="737"/>
      <c r="BN134" s="737"/>
      <c r="BO134" s="737"/>
      <c r="BP134" s="737"/>
      <c r="BQ134" s="737"/>
      <c r="BR134" s="737"/>
      <c r="BS134" s="737"/>
      <c r="BT134" s="737"/>
      <c r="BU134" s="737"/>
      <c r="BV134" s="737"/>
      <c r="BW134" s="737"/>
      <c r="BX134" s="737"/>
      <c r="BY134" s="737"/>
      <c r="BZ134" s="737"/>
      <c r="CA134" s="737"/>
      <c r="CB134" s="737"/>
      <c r="CC134" s="737"/>
      <c r="CD134" s="737"/>
      <c r="CE134" s="737"/>
      <c r="CF134" s="737"/>
      <c r="CG134" s="737"/>
      <c r="CH134" s="737"/>
      <c r="CI134" s="737"/>
      <c r="CJ134" s="737"/>
      <c r="CK134" s="737"/>
      <c r="CL134" s="737"/>
      <c r="CM134" s="737"/>
      <c r="CN134" s="737"/>
      <c r="CO134" s="737"/>
      <c r="CP134" s="737"/>
      <c r="CQ134" s="737"/>
      <c r="CR134" s="737"/>
      <c r="CS134" s="737"/>
      <c r="CT134" s="46"/>
      <c r="CW134" s="970" t="str">
        <f>IF(AND(ISNUMBER(VALUE(TRIM(SUBSTITUTE(AD134,".","")))),TRIM(SUBSTITUTE(AD134,".",""))&lt;&gt;""),"P"&amp;SUBSTITUTE(AD134,".",""),"")</f>
        <v/>
      </c>
    </row>
    <row r="135" spans="1:106" ht="16.7" hidden="1" customHeight="1">
      <c r="E135" s="676">
        <v>17.100000000000001</v>
      </c>
      <c r="F135" s="779" cm="1">
        <f t="array" aca="1" ref="F135" ca="1">OFFSET(G135,-1,-1)</f>
        <v>0</v>
      </c>
      <c r="L135" s="779" t="b" cm="1">
        <f t="array" aca="1" ref="L135" ca="1">OFFSET(M135,-1,-1)</f>
        <v>0</v>
      </c>
      <c r="S135" s="110" t="b" cm="1">
        <f t="array" aca="1" ref="S135" ca="1">OFFSET(T135,-1,-1)</f>
        <v>0</v>
      </c>
      <c r="U135" s="698" t="b">
        <f t="shared" ca="1" si="35"/>
        <v>0</v>
      </c>
      <c r="Y135" s="1687"/>
      <c r="Z135" s="1687"/>
      <c r="AB135" s="1764"/>
      <c r="AD135" s="124" t="s">
        <v>923</v>
      </c>
      <c r="AE135" s="1754" t="s">
        <v>924</v>
      </c>
      <c r="AF135" s="1734"/>
      <c r="AG135" s="849"/>
      <c r="AH135" s="735"/>
      <c r="AI135" s="737"/>
      <c r="AJ135" s="737"/>
      <c r="AK135" s="737"/>
      <c r="AL135" s="737"/>
      <c r="AM135" s="737"/>
      <c r="AN135" s="737"/>
      <c r="AO135" s="737"/>
      <c r="AP135" s="737"/>
      <c r="AQ135" s="737"/>
      <c r="AR135" s="737"/>
      <c r="AS135" s="737"/>
      <c r="AT135" s="737"/>
      <c r="AU135" s="737"/>
      <c r="AV135" s="737"/>
      <c r="AW135" s="737"/>
      <c r="AX135" s="737"/>
      <c r="AY135" s="737"/>
      <c r="AZ135" s="737"/>
      <c r="BA135" s="737"/>
      <c r="BB135" s="737"/>
      <c r="BC135" s="737"/>
      <c r="BD135" s="737"/>
      <c r="BE135" s="737"/>
      <c r="BF135" s="737"/>
      <c r="BG135" s="737"/>
      <c r="BH135" s="737"/>
      <c r="BI135" s="737"/>
      <c r="BJ135" s="737"/>
      <c r="BK135" s="737"/>
      <c r="BL135" s="737"/>
      <c r="BM135" s="737"/>
      <c r="BN135" s="737"/>
      <c r="BO135" s="737"/>
      <c r="BP135" s="737"/>
      <c r="BQ135" s="737"/>
      <c r="BR135" s="737"/>
      <c r="BS135" s="737"/>
      <c r="BT135" s="737"/>
      <c r="BU135" s="737"/>
      <c r="BV135" s="737"/>
      <c r="BW135" s="737"/>
      <c r="BX135" s="737"/>
      <c r="BY135" s="737"/>
      <c r="BZ135" s="737"/>
      <c r="CA135" s="737"/>
      <c r="CB135" s="737"/>
      <c r="CC135" s="737"/>
      <c r="CD135" s="737"/>
      <c r="CE135" s="737"/>
      <c r="CF135" s="737"/>
      <c r="CG135" s="737"/>
      <c r="CH135" s="737"/>
      <c r="CI135" s="737"/>
      <c r="CJ135" s="737"/>
      <c r="CK135" s="737"/>
      <c r="CL135" s="737"/>
      <c r="CM135" s="737"/>
      <c r="CN135" s="737"/>
      <c r="CO135" s="737"/>
      <c r="CP135" s="737"/>
      <c r="CQ135" s="737"/>
      <c r="CR135" s="737"/>
      <c r="CS135" s="737"/>
      <c r="CT135" s="28"/>
      <c r="CW135" s="970" t="s">
        <v>925</v>
      </c>
    </row>
    <row r="136" spans="1:106" ht="16.7" hidden="1" customHeight="1">
      <c r="E136" s="676">
        <v>17.100000000000001</v>
      </c>
      <c r="F136" s="779" cm="1">
        <f t="array" aca="1" ref="F136" ca="1">OFFSET(G136,-1,-1)</f>
        <v>0</v>
      </c>
      <c r="L136" s="779" t="b" cm="1">
        <f t="array" aca="1" ref="L136" ca="1">OFFSET(M136,-1,-1)</f>
        <v>0</v>
      </c>
      <c r="S136" s="110" t="b" cm="1">
        <f t="array" aca="1" ref="S136" ca="1">OFFSET(T136,-1,-1)</f>
        <v>0</v>
      </c>
      <c r="T136" s="110" t="b">
        <f>AD136&lt;&gt;"42.0"</f>
        <v>0</v>
      </c>
      <c r="U136" s="698" t="b">
        <f t="shared" ca="1" si="35"/>
        <v>0</v>
      </c>
      <c r="X136" s="110" t="s">
        <v>236</v>
      </c>
      <c r="Y136" s="1687"/>
      <c r="Z136" s="1687"/>
      <c r="AB136" s="1764"/>
      <c r="AD136" s="111" t="s">
        <v>926</v>
      </c>
      <c r="AE136" s="821"/>
      <c r="AF136" s="524"/>
      <c r="AG136" s="894" t="str">
        <f>"руб./"&amp;IFERROR(INDEX(fuel_ed_izm_list,MATCH(AE136,fuel_list,0)),"")</f>
        <v>руб./</v>
      </c>
      <c r="AH136" s="942">
        <f t="shared" ref="AH136:BM136" si="60">IFERROR(AH129/AH64,0)*1000</f>
        <v>0</v>
      </c>
      <c r="AI136" s="942">
        <f t="shared" si="60"/>
        <v>0</v>
      </c>
      <c r="AJ136" s="942">
        <f t="shared" si="60"/>
        <v>0</v>
      </c>
      <c r="AK136" s="942">
        <f t="shared" si="60"/>
        <v>0</v>
      </c>
      <c r="AL136" s="942">
        <f t="shared" ca="1" si="60"/>
        <v>0</v>
      </c>
      <c r="AM136" s="942">
        <f t="shared" si="60"/>
        <v>0</v>
      </c>
      <c r="AN136" s="942">
        <f t="shared" ca="1" si="60"/>
        <v>0</v>
      </c>
      <c r="AO136" s="942">
        <f t="shared" ca="1" si="60"/>
        <v>0</v>
      </c>
      <c r="AP136" s="942">
        <f t="shared" si="60"/>
        <v>0</v>
      </c>
      <c r="AQ136" s="942">
        <f t="shared" ca="1" si="60"/>
        <v>0</v>
      </c>
      <c r="AR136" s="942">
        <f t="shared" ca="1" si="60"/>
        <v>0</v>
      </c>
      <c r="AS136" s="942">
        <f t="shared" si="60"/>
        <v>0</v>
      </c>
      <c r="AT136" s="942">
        <f t="shared" ca="1" si="60"/>
        <v>0</v>
      </c>
      <c r="AU136" s="942">
        <f t="shared" ca="1" si="60"/>
        <v>0</v>
      </c>
      <c r="AV136" s="942">
        <f t="shared" si="60"/>
        <v>0</v>
      </c>
      <c r="AW136" s="942">
        <f t="shared" ca="1" si="60"/>
        <v>0</v>
      </c>
      <c r="AX136" s="942">
        <f t="shared" ca="1" si="60"/>
        <v>0</v>
      </c>
      <c r="AY136" s="942">
        <f t="shared" si="60"/>
        <v>0</v>
      </c>
      <c r="AZ136" s="942">
        <f t="shared" ca="1" si="60"/>
        <v>0</v>
      </c>
      <c r="BA136" s="942">
        <f t="shared" ca="1" si="60"/>
        <v>0</v>
      </c>
      <c r="BB136" s="942">
        <f t="shared" si="60"/>
        <v>0</v>
      </c>
      <c r="BC136" s="942">
        <f t="shared" ca="1" si="60"/>
        <v>0</v>
      </c>
      <c r="BD136" s="942">
        <f t="shared" ca="1" si="60"/>
        <v>0</v>
      </c>
      <c r="BE136" s="942">
        <f t="shared" si="60"/>
        <v>0</v>
      </c>
      <c r="BF136" s="942">
        <f t="shared" ca="1" si="60"/>
        <v>0</v>
      </c>
      <c r="BG136" s="942">
        <f t="shared" ca="1" si="60"/>
        <v>0</v>
      </c>
      <c r="BH136" s="942">
        <f t="shared" si="60"/>
        <v>0</v>
      </c>
      <c r="BI136" s="942">
        <f t="shared" ca="1" si="60"/>
        <v>0</v>
      </c>
      <c r="BJ136" s="942">
        <f t="shared" ca="1" si="60"/>
        <v>0</v>
      </c>
      <c r="BK136" s="942">
        <f t="shared" si="60"/>
        <v>0</v>
      </c>
      <c r="BL136" s="942">
        <f t="shared" ca="1" si="60"/>
        <v>0</v>
      </c>
      <c r="BM136" s="942">
        <f t="shared" ca="1" si="60"/>
        <v>0</v>
      </c>
      <c r="BN136" s="942">
        <f t="shared" ref="BN136:CS136" si="61">IFERROR(BN129/BN64,0)*1000</f>
        <v>0</v>
      </c>
      <c r="BO136" s="942">
        <f t="shared" ca="1" si="61"/>
        <v>0</v>
      </c>
      <c r="BP136" s="942">
        <f t="shared" ca="1" si="61"/>
        <v>0</v>
      </c>
      <c r="BQ136" s="942">
        <f t="shared" si="61"/>
        <v>0</v>
      </c>
      <c r="BR136" s="942">
        <f t="shared" ca="1" si="61"/>
        <v>0</v>
      </c>
      <c r="BS136" s="942">
        <f t="shared" ca="1" si="61"/>
        <v>0</v>
      </c>
      <c r="BT136" s="942">
        <f t="shared" si="61"/>
        <v>0</v>
      </c>
      <c r="BU136" s="942">
        <f t="shared" ca="1" si="61"/>
        <v>0</v>
      </c>
      <c r="BV136" s="942">
        <f t="shared" ca="1" si="61"/>
        <v>0</v>
      </c>
      <c r="BW136" s="942">
        <f t="shared" si="61"/>
        <v>0</v>
      </c>
      <c r="BX136" s="942">
        <f t="shared" ca="1" si="61"/>
        <v>0</v>
      </c>
      <c r="BY136" s="942">
        <f t="shared" ca="1" si="61"/>
        <v>0</v>
      </c>
      <c r="BZ136" s="942">
        <f t="shared" si="61"/>
        <v>0</v>
      </c>
      <c r="CA136" s="942">
        <f t="shared" ca="1" si="61"/>
        <v>0</v>
      </c>
      <c r="CB136" s="942">
        <f t="shared" ca="1" si="61"/>
        <v>0</v>
      </c>
      <c r="CC136" s="942">
        <f t="shared" si="61"/>
        <v>0</v>
      </c>
      <c r="CD136" s="942">
        <f t="shared" ca="1" si="61"/>
        <v>0</v>
      </c>
      <c r="CE136" s="942">
        <f t="shared" ca="1" si="61"/>
        <v>0</v>
      </c>
      <c r="CF136" s="942">
        <f t="shared" si="61"/>
        <v>0</v>
      </c>
      <c r="CG136" s="942">
        <f t="shared" ca="1" si="61"/>
        <v>0</v>
      </c>
      <c r="CH136" s="942">
        <f t="shared" ca="1" si="61"/>
        <v>0</v>
      </c>
      <c r="CI136" s="942">
        <f t="shared" si="61"/>
        <v>0</v>
      </c>
      <c r="CJ136" s="942">
        <f t="shared" ca="1" si="61"/>
        <v>0</v>
      </c>
      <c r="CK136" s="942">
        <f t="shared" ca="1" si="61"/>
        <v>0</v>
      </c>
      <c r="CL136" s="942">
        <f t="shared" si="61"/>
        <v>0</v>
      </c>
      <c r="CM136" s="942">
        <f t="shared" ca="1" si="61"/>
        <v>0</v>
      </c>
      <c r="CN136" s="942">
        <f t="shared" ca="1" si="61"/>
        <v>0</v>
      </c>
      <c r="CO136" s="942">
        <f t="shared" si="61"/>
        <v>0</v>
      </c>
      <c r="CP136" s="942">
        <f t="shared" ca="1" si="61"/>
        <v>0</v>
      </c>
      <c r="CQ136" s="942">
        <f t="shared" ca="1" si="61"/>
        <v>0</v>
      </c>
      <c r="CR136" s="942">
        <f t="shared" si="61"/>
        <v>0</v>
      </c>
      <c r="CS136" s="942">
        <f t="shared" ca="1" si="61"/>
        <v>0</v>
      </c>
      <c r="CT136" s="28"/>
      <c r="CW136" s="970" t="s">
        <v>925</v>
      </c>
      <c r="CX136" s="975" t="s">
        <v>821</v>
      </c>
      <c r="CY136" s="979" cm="1">
        <f t="array" ref="CY136">AE136</f>
        <v>0</v>
      </c>
      <c r="CZ136" s="979" cm="1">
        <f t="array" ref="CZ136">AF136</f>
        <v>0</v>
      </c>
    </row>
    <row r="137" spans="1:106" ht="15" hidden="1" customHeight="1">
      <c r="E137" s="676">
        <v>0</v>
      </c>
      <c r="F137" s="779" cm="1">
        <f t="array" aca="1" ref="F137" ca="1">OFFSET(G137,-1,-1)</f>
        <v>0</v>
      </c>
      <c r="L137" s="779" t="b" cm="1">
        <f t="array" aca="1" ref="L137" ca="1">OFFSET(M137,-1,-1)</f>
        <v>0</v>
      </c>
      <c r="S137" s="110" t="b" cm="1">
        <f t="array" aca="1" ref="S137" ca="1">OFFSET(T137,-1,-1)</f>
        <v>0</v>
      </c>
      <c r="U137" s="698" t="b">
        <f t="shared" ca="1" si="35"/>
        <v>0</v>
      </c>
      <c r="X137" s="820" t="str">
        <f>"{                  
         funcDyn: 'msg1',
         blok: '',
         wsCross: '',
         linkFormula: '',
         levelDyn: "&amp;Y28&amp;"
}"</f>
        <v>{                  
         funcDyn: 'msg1',
         blok: '',
         wsCross: '',
         linkFormula: '',
         levelDyn: 0
}</v>
      </c>
      <c r="Y137" s="1687"/>
      <c r="Z137" s="1687"/>
      <c r="AB137" s="1764"/>
      <c r="AD137" s="823"/>
      <c r="AE137" s="822" t="s">
        <v>238</v>
      </c>
      <c r="AF137" s="745"/>
      <c r="AG137" s="733"/>
      <c r="AH137" s="747"/>
      <c r="AI137" s="748"/>
      <c r="AJ137" s="748"/>
      <c r="AK137" s="748"/>
      <c r="AL137" s="748"/>
      <c r="AM137" s="748"/>
      <c r="AN137" s="748"/>
      <c r="AO137" s="748"/>
      <c r="AP137" s="748"/>
      <c r="AQ137" s="748"/>
      <c r="AR137" s="748"/>
      <c r="AS137" s="748"/>
      <c r="AT137" s="748"/>
      <c r="AU137" s="748"/>
      <c r="AV137" s="748"/>
      <c r="AW137" s="748"/>
      <c r="AX137" s="748"/>
      <c r="AY137" s="748"/>
      <c r="AZ137" s="748"/>
      <c r="BA137" s="748"/>
      <c r="BB137" s="748"/>
      <c r="BC137" s="748"/>
      <c r="BD137" s="748"/>
      <c r="BE137" s="748"/>
      <c r="BF137" s="748"/>
      <c r="BG137" s="748"/>
      <c r="BH137" s="748"/>
      <c r="BI137" s="748"/>
      <c r="BJ137" s="748"/>
      <c r="BK137" s="748"/>
      <c r="BL137" s="748"/>
      <c r="BM137" s="748"/>
      <c r="BN137" s="748"/>
      <c r="BO137" s="748"/>
      <c r="BP137" s="748"/>
      <c r="BQ137" s="748"/>
      <c r="BR137" s="748"/>
      <c r="BS137" s="748"/>
      <c r="BT137" s="748"/>
      <c r="BU137" s="748"/>
      <c r="BV137" s="748"/>
      <c r="BW137" s="748"/>
      <c r="BX137" s="748"/>
      <c r="BY137" s="748"/>
      <c r="BZ137" s="748"/>
      <c r="CA137" s="748"/>
      <c r="CB137" s="748"/>
      <c r="CC137" s="748"/>
      <c r="CD137" s="748"/>
      <c r="CE137" s="748"/>
      <c r="CF137" s="748"/>
      <c r="CG137" s="748"/>
      <c r="CH137" s="748"/>
      <c r="CI137" s="748"/>
      <c r="CJ137" s="748"/>
      <c r="CK137" s="748"/>
      <c r="CL137" s="748"/>
      <c r="CM137" s="748"/>
      <c r="CN137" s="748"/>
      <c r="CO137" s="748"/>
      <c r="CP137" s="748"/>
      <c r="CQ137" s="748"/>
      <c r="CR137" s="748"/>
      <c r="CS137" s="748"/>
      <c r="CT137" s="46"/>
      <c r="CW137" s="970" t="str">
        <f>IF(AND(ISNUMBER(VALUE(TRIM(SUBSTITUTE(AD137,".","")))),TRIM(SUBSTITUTE(AD137,".",""))&lt;&gt;""),"P"&amp;SUBSTITUTE(AD137,".",""),"")</f>
        <v/>
      </c>
    </row>
    <row r="138" spans="1:106" ht="16.7" hidden="1" customHeight="1">
      <c r="E138" s="676">
        <v>17.100000000000001</v>
      </c>
      <c r="F138" s="779" cm="1">
        <f t="array" aca="1" ref="F138" ca="1">OFFSET(G138,-1,-1)</f>
        <v>0</v>
      </c>
      <c r="L138" s="779" t="b" cm="1">
        <f t="array" aca="1" ref="L138" ca="1">OFFSET(M138,-1,-1)</f>
        <v>0</v>
      </c>
      <c r="S138" s="110" t="b" cm="1">
        <f t="array" aca="1" ref="S138" ca="1">OFFSET(T138,-1,-1)</f>
        <v>0</v>
      </c>
      <c r="U138" s="698" t="b">
        <f t="shared" ca="1" si="35"/>
        <v>0</v>
      </c>
      <c r="Y138" s="1687"/>
      <c r="Z138" s="1687"/>
      <c r="AB138" s="1765"/>
      <c r="AC138" s="825"/>
      <c r="AD138" s="124" t="s">
        <v>927</v>
      </c>
      <c r="AE138" s="1754" t="s">
        <v>928</v>
      </c>
      <c r="AF138" s="1734"/>
      <c r="AG138" s="733" t="s">
        <v>929</v>
      </c>
      <c r="AH138" s="734">
        <f t="shared" ref="AH138:BM138" ca="1" si="62">IFERROR(AH126/AH44*1000,0)</f>
        <v>0</v>
      </c>
      <c r="AI138" s="734">
        <f t="shared" ca="1" si="62"/>
        <v>0</v>
      </c>
      <c r="AJ138" s="734">
        <f t="shared" ca="1" si="62"/>
        <v>0</v>
      </c>
      <c r="AK138" s="734">
        <f t="shared" ca="1" si="62"/>
        <v>0</v>
      </c>
      <c r="AL138" s="734">
        <f t="shared" ca="1" si="62"/>
        <v>0</v>
      </c>
      <c r="AM138" s="734">
        <f t="shared" si="62"/>
        <v>0</v>
      </c>
      <c r="AN138" s="734">
        <f t="shared" ca="1" si="62"/>
        <v>0</v>
      </c>
      <c r="AO138" s="734">
        <f t="shared" ca="1" si="62"/>
        <v>0</v>
      </c>
      <c r="AP138" s="734">
        <f t="shared" si="62"/>
        <v>0</v>
      </c>
      <c r="AQ138" s="734">
        <f t="shared" ca="1" si="62"/>
        <v>0</v>
      </c>
      <c r="AR138" s="734">
        <f t="shared" ca="1" si="62"/>
        <v>0</v>
      </c>
      <c r="AS138" s="734">
        <f t="shared" si="62"/>
        <v>0</v>
      </c>
      <c r="AT138" s="734">
        <f t="shared" ca="1" si="62"/>
        <v>0</v>
      </c>
      <c r="AU138" s="734">
        <f t="shared" ca="1" si="62"/>
        <v>0</v>
      </c>
      <c r="AV138" s="734">
        <f t="shared" si="62"/>
        <v>0</v>
      </c>
      <c r="AW138" s="734">
        <f t="shared" ca="1" si="62"/>
        <v>0</v>
      </c>
      <c r="AX138" s="734">
        <f t="shared" ca="1" si="62"/>
        <v>0</v>
      </c>
      <c r="AY138" s="734">
        <f t="shared" si="62"/>
        <v>0</v>
      </c>
      <c r="AZ138" s="734">
        <f t="shared" ca="1" si="62"/>
        <v>0</v>
      </c>
      <c r="BA138" s="734">
        <f t="shared" ca="1" si="62"/>
        <v>0</v>
      </c>
      <c r="BB138" s="734">
        <f t="shared" si="62"/>
        <v>0</v>
      </c>
      <c r="BC138" s="734">
        <f t="shared" ca="1" si="62"/>
        <v>0</v>
      </c>
      <c r="BD138" s="734">
        <f t="shared" ca="1" si="62"/>
        <v>0</v>
      </c>
      <c r="BE138" s="734">
        <f t="shared" si="62"/>
        <v>0</v>
      </c>
      <c r="BF138" s="734">
        <f t="shared" ca="1" si="62"/>
        <v>0</v>
      </c>
      <c r="BG138" s="734">
        <f t="shared" ca="1" si="62"/>
        <v>0</v>
      </c>
      <c r="BH138" s="734">
        <f t="shared" si="62"/>
        <v>0</v>
      </c>
      <c r="BI138" s="734">
        <f t="shared" ca="1" si="62"/>
        <v>0</v>
      </c>
      <c r="BJ138" s="734">
        <f t="shared" ca="1" si="62"/>
        <v>0</v>
      </c>
      <c r="BK138" s="734">
        <f t="shared" si="62"/>
        <v>0</v>
      </c>
      <c r="BL138" s="734">
        <f t="shared" ca="1" si="62"/>
        <v>0</v>
      </c>
      <c r="BM138" s="734">
        <f t="shared" ca="1" si="62"/>
        <v>0</v>
      </c>
      <c r="BN138" s="734">
        <f t="shared" ref="BN138:CS138" si="63">IFERROR(BN126/BN44*1000,0)</f>
        <v>0</v>
      </c>
      <c r="BO138" s="734">
        <f t="shared" ca="1" si="63"/>
        <v>0</v>
      </c>
      <c r="BP138" s="734">
        <f t="shared" ca="1" si="63"/>
        <v>0</v>
      </c>
      <c r="BQ138" s="734">
        <f t="shared" si="63"/>
        <v>0</v>
      </c>
      <c r="BR138" s="734">
        <f t="shared" ca="1" si="63"/>
        <v>0</v>
      </c>
      <c r="BS138" s="734">
        <f t="shared" ca="1" si="63"/>
        <v>0</v>
      </c>
      <c r="BT138" s="734">
        <f t="shared" si="63"/>
        <v>0</v>
      </c>
      <c r="BU138" s="734">
        <f t="shared" ca="1" si="63"/>
        <v>0</v>
      </c>
      <c r="BV138" s="734">
        <f t="shared" ca="1" si="63"/>
        <v>0</v>
      </c>
      <c r="BW138" s="734">
        <f t="shared" si="63"/>
        <v>0</v>
      </c>
      <c r="BX138" s="734">
        <f t="shared" ca="1" si="63"/>
        <v>0</v>
      </c>
      <c r="BY138" s="734">
        <f t="shared" ca="1" si="63"/>
        <v>0</v>
      </c>
      <c r="BZ138" s="734">
        <f t="shared" si="63"/>
        <v>0</v>
      </c>
      <c r="CA138" s="734">
        <f t="shared" ca="1" si="63"/>
        <v>0</v>
      </c>
      <c r="CB138" s="734">
        <f t="shared" ca="1" si="63"/>
        <v>0</v>
      </c>
      <c r="CC138" s="734">
        <f t="shared" si="63"/>
        <v>0</v>
      </c>
      <c r="CD138" s="734">
        <f t="shared" ca="1" si="63"/>
        <v>0</v>
      </c>
      <c r="CE138" s="734">
        <f t="shared" ca="1" si="63"/>
        <v>0</v>
      </c>
      <c r="CF138" s="734">
        <f t="shared" si="63"/>
        <v>0</v>
      </c>
      <c r="CG138" s="734">
        <f t="shared" ca="1" si="63"/>
        <v>0</v>
      </c>
      <c r="CH138" s="734">
        <f t="shared" ca="1" si="63"/>
        <v>0</v>
      </c>
      <c r="CI138" s="734">
        <f t="shared" si="63"/>
        <v>0</v>
      </c>
      <c r="CJ138" s="734">
        <f t="shared" ca="1" si="63"/>
        <v>0</v>
      </c>
      <c r="CK138" s="734">
        <f t="shared" ca="1" si="63"/>
        <v>0</v>
      </c>
      <c r="CL138" s="734">
        <f t="shared" si="63"/>
        <v>0</v>
      </c>
      <c r="CM138" s="734">
        <f t="shared" ca="1" si="63"/>
        <v>0</v>
      </c>
      <c r="CN138" s="734">
        <f t="shared" ca="1" si="63"/>
        <v>0</v>
      </c>
      <c r="CO138" s="734">
        <f t="shared" si="63"/>
        <v>0</v>
      </c>
      <c r="CP138" s="734">
        <f t="shared" ca="1" si="63"/>
        <v>0</v>
      </c>
      <c r="CQ138" s="734">
        <f t="shared" ca="1" si="63"/>
        <v>0</v>
      </c>
      <c r="CR138" s="734">
        <f t="shared" si="63"/>
        <v>0</v>
      </c>
      <c r="CS138" s="734">
        <f t="shared" ca="1" si="63"/>
        <v>0</v>
      </c>
      <c r="CT138" s="28"/>
      <c r="CW138" s="970" t="s">
        <v>930</v>
      </c>
    </row>
    <row r="139" spans="1:106" s="1229" customFormat="1" ht="16.5" customHeight="1">
      <c r="A139" s="1155"/>
      <c r="B139" s="783"/>
      <c r="C139" s="1155"/>
      <c r="D139" s="1155"/>
      <c r="E139" s="676">
        <v>17.100000000000001</v>
      </c>
      <c r="F139" s="779" t="str" cm="1">
        <f t="array" ref="F139">Y139</f>
        <v>1</v>
      </c>
      <c r="G139" s="163" t="str" cm="1">
        <f t="array" ref="G139">INDEX('Общие сведения'!$AE$187:$AE$236,MATCH($F139,'Общие сведения'!$Z$187:$Z$236,0))</f>
        <v>Теплоснабжение</v>
      </c>
      <c r="H139" s="163" t="str" cm="1">
        <f t="array" ref="H139">INDEX('Общие сведения'!$AK$187:$AK$236,MATCH($F139,'Общие сведения'!$Z$187:$Z$236,0))</f>
        <v>одноставочный</v>
      </c>
      <c r="I139" s="163" cm="1">
        <f t="array" ref="I139">INDEX('Общие сведения'!$AH$187:$AH$236,MATCH($F139,'Общие сведения'!$Z$187:$Z$236,0))</f>
        <v>0</v>
      </c>
      <c r="J139" s="163" t="str" cm="1">
        <f t="array" ref="J139">INDEX('Общие сведения'!$AI$187:$AI$236,MATCH($F139,'Общие сведения'!$Z$187:$Z$236,0))</f>
        <v>вода</v>
      </c>
      <c r="K139" s="163" t="str" cm="1">
        <f t="array" ref="K139">INDEX('Общие сведения'!$AJ$187:$AJ$236,MATCH($F139,'Общие сведения'!$Z$187:$Z$236,0))</f>
        <v>Не определено</v>
      </c>
      <c r="L139" s="164" t="b" cm="1">
        <f t="array" ref="L139">INDEX('Общие сведения'!$AN$187:$AN$236,MATCH($F139,'Общие сведения'!$Z$187:$Z$236,0))</f>
        <v>0</v>
      </c>
      <c r="M139" s="814"/>
      <c r="N139" s="814"/>
      <c r="O139" s="814"/>
      <c r="P139" s="814"/>
      <c r="Q139" s="814"/>
      <c r="R139" s="1155"/>
      <c r="S139" s="110" t="b">
        <f>Y139&gt;0</f>
        <v>1</v>
      </c>
      <c r="T139" s="1155"/>
      <c r="U139" s="698" t="b">
        <f t="shared" si="35"/>
        <v>1</v>
      </c>
      <c r="V139" s="1155"/>
      <c r="W139" s="126" t="str" cm="1">
        <f t="array" ref="W139">'Баланс Тр'!$AB$35</f>
        <v>Тариф 1 (Теплоснабжение) - Тариф на тепловую энергию (мощность), поставляемую потребителям (Не определено)</v>
      </c>
      <c r="X139" s="1155"/>
      <c r="Y139" s="1751" t="s">
        <v>341</v>
      </c>
      <c r="Z139" s="1687"/>
      <c r="AA139" s="699"/>
      <c r="AB139" s="398" t="str" cm="1">
        <f t="array" ref="AB139">IF(ISBLANK('Баланс Тр'!$AB$35),"",'Баланс Тр'!$AB$35)</f>
        <v>Тариф 1 (Теплоснабжение) - Тариф на тепловую энергию (мощность), поставляемую потребителям (Не определено)</v>
      </c>
      <c r="AC139" s="398"/>
      <c r="AD139" s="213"/>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c r="BZ139" s="210"/>
      <c r="CA139" s="210"/>
      <c r="CB139" s="210"/>
      <c r="CC139" s="210"/>
      <c r="CD139" s="267"/>
      <c r="CE139" s="267"/>
      <c r="CF139" s="210"/>
      <c r="CG139" s="210"/>
      <c r="CH139" s="210"/>
      <c r="CI139" s="210"/>
      <c r="CJ139" s="210"/>
      <c r="CK139" s="210"/>
      <c r="CL139" s="210"/>
      <c r="CM139" s="210"/>
      <c r="CN139" s="210"/>
      <c r="CO139" s="210"/>
      <c r="CP139" s="210"/>
      <c r="CQ139" s="210"/>
      <c r="CR139" s="210"/>
      <c r="CS139" s="210"/>
      <c r="CT139" s="210"/>
      <c r="CW139" s="970" t="str">
        <f>IF(AND(ISNUMBER(VALUE(TRIM(SUBSTITUTE(AD139,".","")))),TRIM(SUBSTITUTE(AD139,".",""))&lt;&gt;""),"P"&amp;SUBSTITUTE(AD139,".",""),"")</f>
        <v/>
      </c>
      <c r="CX139" s="975"/>
      <c r="CY139" s="975"/>
      <c r="CZ139" s="975"/>
      <c r="DA139" s="976"/>
      <c r="DB139" s="976"/>
    </row>
    <row r="140" spans="1:106" s="1229" customFormat="1" ht="16.5" hidden="1" customHeight="1">
      <c r="A140" s="1155"/>
      <c r="B140" s="783"/>
      <c r="C140" s="1155"/>
      <c r="D140" s="1155"/>
      <c r="E140" s="676">
        <v>17.100000000000001</v>
      </c>
      <c r="F140" s="779" t="str" cm="1">
        <f t="array" aca="1" ref="F140" ca="1">OFFSET(G140,-1,-1)</f>
        <v>1</v>
      </c>
      <c r="G140" s="814"/>
      <c r="H140" s="814"/>
      <c r="I140" s="814"/>
      <c r="J140" s="814"/>
      <c r="K140" s="814"/>
      <c r="L140" s="779" t="b" cm="1">
        <f t="array" aca="1" ref="L140" ca="1">OFFSET(M140,-1,-1)</f>
        <v>0</v>
      </c>
      <c r="M140" s="814"/>
      <c r="N140" s="814"/>
      <c r="O140" s="814"/>
      <c r="P140" s="814"/>
      <c r="Q140" s="814"/>
      <c r="R140" s="779" t="s">
        <v>759</v>
      </c>
      <c r="S140" s="110" t="b" cm="1">
        <f t="array" aca="1" ref="S140" ca="1">OFFSET(T140,-1,-1)</f>
        <v>1</v>
      </c>
      <c r="T140" s="110" t="b" cm="1">
        <f t="array" aca="1" ref="T140" ca="1">L140</f>
        <v>0</v>
      </c>
      <c r="U140" s="698" t="b">
        <f t="shared" ca="1" si="35"/>
        <v>0</v>
      </c>
      <c r="V140" s="1155"/>
      <c r="W140" s="1155"/>
      <c r="X140" s="1155"/>
      <c r="Y140" s="1687"/>
      <c r="Z140" s="1687"/>
      <c r="AA140" s="699"/>
      <c r="AB140" s="1752" t="s">
        <v>760</v>
      </c>
      <c r="AD140" s="111">
        <v>1</v>
      </c>
      <c r="AE140" s="1759" t="s">
        <v>761</v>
      </c>
      <c r="AF140" s="1760"/>
      <c r="AG140" s="111" t="s">
        <v>762</v>
      </c>
      <c r="AH140" s="41"/>
      <c r="AI140" s="42"/>
      <c r="AJ140" s="42"/>
      <c r="AK140" s="42"/>
      <c r="AL140" s="736">
        <f>AM140+AN140</f>
        <v>0</v>
      </c>
      <c r="AM140" s="42"/>
      <c r="AN140" s="42"/>
      <c r="AO140" s="736">
        <f>AP140+AQ140</f>
        <v>0</v>
      </c>
      <c r="AP140" s="826"/>
      <c r="AQ140" s="826"/>
      <c r="AR140" s="736">
        <f>AS140+AT140</f>
        <v>0</v>
      </c>
      <c r="AS140" s="826"/>
      <c r="AT140" s="826"/>
      <c r="AU140" s="736">
        <f>AV140+AW140</f>
        <v>0</v>
      </c>
      <c r="AV140" s="826"/>
      <c r="AW140" s="826"/>
      <c r="AX140" s="736">
        <f>AY140+AZ140</f>
        <v>0</v>
      </c>
      <c r="AY140" s="826"/>
      <c r="AZ140" s="826"/>
      <c r="BA140" s="736">
        <f>BB140+BC140</f>
        <v>0</v>
      </c>
      <c r="BB140" s="42"/>
      <c r="BC140" s="42"/>
      <c r="BD140" s="736">
        <f>BE140+BF140</f>
        <v>0</v>
      </c>
      <c r="BE140" s="42"/>
      <c r="BF140" s="42"/>
      <c r="BG140" s="736">
        <f>BH140+BI140</f>
        <v>0</v>
      </c>
      <c r="BH140" s="42"/>
      <c r="BI140" s="42"/>
      <c r="BJ140" s="736">
        <f>BK140+BL140</f>
        <v>0</v>
      </c>
      <c r="BK140" s="42"/>
      <c r="BL140" s="42"/>
      <c r="BM140" s="736">
        <f>BN140+BO140</f>
        <v>0</v>
      </c>
      <c r="BN140" s="42"/>
      <c r="BO140" s="42"/>
      <c r="BP140" s="736">
        <f>BQ140+BR140</f>
        <v>0</v>
      </c>
      <c r="BQ140" s="826"/>
      <c r="BR140" s="826"/>
      <c r="BS140" s="736">
        <f>BT140+BU140</f>
        <v>0</v>
      </c>
      <c r="BT140" s="826"/>
      <c r="BU140" s="826"/>
      <c r="BV140" s="736">
        <f>BW140+BX140</f>
        <v>0</v>
      </c>
      <c r="BW140" s="826"/>
      <c r="BX140" s="826"/>
      <c r="BY140" s="736">
        <f>BZ140+CA140</f>
        <v>0</v>
      </c>
      <c r="BZ140" s="826"/>
      <c r="CA140" s="826"/>
      <c r="CB140" s="736">
        <f>CC140+CD140</f>
        <v>0</v>
      </c>
      <c r="CC140" s="826"/>
      <c r="CD140" s="826"/>
      <c r="CE140" s="736">
        <f>CF140+CG140</f>
        <v>0</v>
      </c>
      <c r="CF140" s="42"/>
      <c r="CG140" s="42"/>
      <c r="CH140" s="736">
        <f>CI140+CJ140</f>
        <v>0</v>
      </c>
      <c r="CI140" s="42"/>
      <c r="CJ140" s="42"/>
      <c r="CK140" s="736">
        <f>CL140+CM140</f>
        <v>0</v>
      </c>
      <c r="CL140" s="42"/>
      <c r="CM140" s="42"/>
      <c r="CN140" s="736">
        <f>CO140+CP140</f>
        <v>0</v>
      </c>
      <c r="CO140" s="42"/>
      <c r="CP140" s="42"/>
      <c r="CQ140" s="736">
        <f>CR140+CS140</f>
        <v>0</v>
      </c>
      <c r="CR140" s="42"/>
      <c r="CS140" s="42"/>
      <c r="CT140" s="28"/>
      <c r="CW140" s="970" t="s">
        <v>763</v>
      </c>
      <c r="CX140" s="975"/>
      <c r="CY140" s="975"/>
      <c r="CZ140" s="975"/>
      <c r="DA140" s="976"/>
      <c r="DB140" s="976"/>
    </row>
    <row r="141" spans="1:106" s="1229" customFormat="1" ht="16.5" hidden="1" customHeight="1">
      <c r="A141" s="1155"/>
      <c r="B141" s="783"/>
      <c r="C141" s="1155"/>
      <c r="D141" s="1155"/>
      <c r="E141" s="676">
        <v>17.100000000000001</v>
      </c>
      <c r="F141" s="779" t="str" cm="1">
        <f t="array" aca="1" ref="F141" ca="1">OFFSET(G141,-1,-1)</f>
        <v>1</v>
      </c>
      <c r="G141" s="814"/>
      <c r="H141" s="814"/>
      <c r="I141" s="814"/>
      <c r="J141" s="814"/>
      <c r="K141" s="814"/>
      <c r="L141" s="779" t="b" cm="1">
        <f t="array" aca="1" ref="L141" ca="1">OFFSET(M141,-1,-1)</f>
        <v>0</v>
      </c>
      <c r="M141" s="814"/>
      <c r="N141" s="814"/>
      <c r="O141" s="814"/>
      <c r="P141" s="814"/>
      <c r="Q141" s="814"/>
      <c r="R141" s="779" t="s">
        <v>759</v>
      </c>
      <c r="S141" s="110" t="b" cm="1">
        <f t="array" aca="1" ref="S141" ca="1">OFFSET(T141,-1,-1)</f>
        <v>1</v>
      </c>
      <c r="T141" s="110" t="b" cm="1">
        <f t="array" aca="1" ref="T141" ca="1">T140</f>
        <v>0</v>
      </c>
      <c r="U141" s="698" t="b">
        <f t="shared" ca="1" si="35"/>
        <v>0</v>
      </c>
      <c r="V141" s="1155"/>
      <c r="W141" s="1155"/>
      <c r="X141" s="1155"/>
      <c r="Y141" s="1687"/>
      <c r="Z141" s="1687"/>
      <c r="AA141" s="699"/>
      <c r="AB141" s="1753"/>
      <c r="AD141" s="111">
        <v>2</v>
      </c>
      <c r="AE141" s="1759" t="s">
        <v>764</v>
      </c>
      <c r="AF141" s="1760"/>
      <c r="AG141" s="111" t="s">
        <v>762</v>
      </c>
      <c r="AH141" s="734">
        <f t="shared" ref="AH141:BM141" si="64">AH142+AH144</f>
        <v>0</v>
      </c>
      <c r="AI141" s="736">
        <f t="shared" si="64"/>
        <v>0</v>
      </c>
      <c r="AJ141" s="736">
        <f t="shared" si="64"/>
        <v>0</v>
      </c>
      <c r="AK141" s="736">
        <f t="shared" si="64"/>
        <v>0</v>
      </c>
      <c r="AL141" s="736">
        <f t="shared" si="64"/>
        <v>0</v>
      </c>
      <c r="AM141" s="736">
        <f t="shared" si="64"/>
        <v>0</v>
      </c>
      <c r="AN141" s="736">
        <f t="shared" si="64"/>
        <v>0</v>
      </c>
      <c r="AO141" s="736">
        <f t="shared" si="64"/>
        <v>0</v>
      </c>
      <c r="AP141" s="736">
        <f t="shared" si="64"/>
        <v>0</v>
      </c>
      <c r="AQ141" s="736">
        <f t="shared" si="64"/>
        <v>0</v>
      </c>
      <c r="AR141" s="736">
        <f t="shared" si="64"/>
        <v>0</v>
      </c>
      <c r="AS141" s="736">
        <f t="shared" si="64"/>
        <v>0</v>
      </c>
      <c r="AT141" s="736">
        <f t="shared" si="64"/>
        <v>0</v>
      </c>
      <c r="AU141" s="736">
        <f t="shared" si="64"/>
        <v>0</v>
      </c>
      <c r="AV141" s="736">
        <f t="shared" si="64"/>
        <v>0</v>
      </c>
      <c r="AW141" s="736">
        <f t="shared" si="64"/>
        <v>0</v>
      </c>
      <c r="AX141" s="736">
        <f t="shared" si="64"/>
        <v>0</v>
      </c>
      <c r="AY141" s="736">
        <f t="shared" si="64"/>
        <v>0</v>
      </c>
      <c r="AZ141" s="736">
        <f t="shared" si="64"/>
        <v>0</v>
      </c>
      <c r="BA141" s="736">
        <f t="shared" si="64"/>
        <v>0</v>
      </c>
      <c r="BB141" s="736">
        <f t="shared" si="64"/>
        <v>0</v>
      </c>
      <c r="BC141" s="736">
        <f t="shared" si="64"/>
        <v>0</v>
      </c>
      <c r="BD141" s="736">
        <f t="shared" si="64"/>
        <v>0</v>
      </c>
      <c r="BE141" s="736">
        <f t="shared" si="64"/>
        <v>0</v>
      </c>
      <c r="BF141" s="736">
        <f t="shared" si="64"/>
        <v>0</v>
      </c>
      <c r="BG141" s="736">
        <f t="shared" si="64"/>
        <v>0</v>
      </c>
      <c r="BH141" s="736">
        <f t="shared" si="64"/>
        <v>0</v>
      </c>
      <c r="BI141" s="736">
        <f t="shared" si="64"/>
        <v>0</v>
      </c>
      <c r="BJ141" s="736">
        <f t="shared" si="64"/>
        <v>0</v>
      </c>
      <c r="BK141" s="736">
        <f t="shared" si="64"/>
        <v>0</v>
      </c>
      <c r="BL141" s="736">
        <f t="shared" si="64"/>
        <v>0</v>
      </c>
      <c r="BM141" s="736">
        <f t="shared" si="64"/>
        <v>0</v>
      </c>
      <c r="BN141" s="736">
        <f t="shared" ref="BN141:CS141" si="65">BN142+BN144</f>
        <v>0</v>
      </c>
      <c r="BO141" s="736">
        <f t="shared" si="65"/>
        <v>0</v>
      </c>
      <c r="BP141" s="736">
        <f t="shared" si="65"/>
        <v>0</v>
      </c>
      <c r="BQ141" s="736">
        <f t="shared" si="65"/>
        <v>0</v>
      </c>
      <c r="BR141" s="736">
        <f t="shared" si="65"/>
        <v>0</v>
      </c>
      <c r="BS141" s="736">
        <f t="shared" si="65"/>
        <v>0</v>
      </c>
      <c r="BT141" s="736">
        <f t="shared" si="65"/>
        <v>0</v>
      </c>
      <c r="BU141" s="736">
        <f t="shared" si="65"/>
        <v>0</v>
      </c>
      <c r="BV141" s="736">
        <f t="shared" si="65"/>
        <v>0</v>
      </c>
      <c r="BW141" s="736">
        <f t="shared" si="65"/>
        <v>0</v>
      </c>
      <c r="BX141" s="736">
        <f t="shared" si="65"/>
        <v>0</v>
      </c>
      <c r="BY141" s="736">
        <f t="shared" si="65"/>
        <v>0</v>
      </c>
      <c r="BZ141" s="736">
        <f t="shared" si="65"/>
        <v>0</v>
      </c>
      <c r="CA141" s="736">
        <f t="shared" si="65"/>
        <v>0</v>
      </c>
      <c r="CB141" s="736">
        <f t="shared" si="65"/>
        <v>0</v>
      </c>
      <c r="CC141" s="736">
        <f t="shared" si="65"/>
        <v>0</v>
      </c>
      <c r="CD141" s="736">
        <f t="shared" si="65"/>
        <v>0</v>
      </c>
      <c r="CE141" s="736">
        <f t="shared" si="65"/>
        <v>0</v>
      </c>
      <c r="CF141" s="736">
        <f t="shared" si="65"/>
        <v>0</v>
      </c>
      <c r="CG141" s="736">
        <f t="shared" si="65"/>
        <v>0</v>
      </c>
      <c r="CH141" s="736">
        <f t="shared" si="65"/>
        <v>0</v>
      </c>
      <c r="CI141" s="736">
        <f t="shared" si="65"/>
        <v>0</v>
      </c>
      <c r="CJ141" s="736">
        <f t="shared" si="65"/>
        <v>0</v>
      </c>
      <c r="CK141" s="736">
        <f t="shared" si="65"/>
        <v>0</v>
      </c>
      <c r="CL141" s="736">
        <f t="shared" si="65"/>
        <v>0</v>
      </c>
      <c r="CM141" s="736">
        <f t="shared" si="65"/>
        <v>0</v>
      </c>
      <c r="CN141" s="736">
        <f t="shared" si="65"/>
        <v>0</v>
      </c>
      <c r="CO141" s="736">
        <f t="shared" si="65"/>
        <v>0</v>
      </c>
      <c r="CP141" s="736">
        <f t="shared" si="65"/>
        <v>0</v>
      </c>
      <c r="CQ141" s="736">
        <f t="shared" si="65"/>
        <v>0</v>
      </c>
      <c r="CR141" s="736">
        <f t="shared" si="65"/>
        <v>0</v>
      </c>
      <c r="CS141" s="736">
        <f t="shared" si="65"/>
        <v>0</v>
      </c>
      <c r="CT141" s="28"/>
      <c r="CW141" s="970" t="s">
        <v>765</v>
      </c>
      <c r="CX141" s="975"/>
      <c r="CY141" s="975"/>
      <c r="CZ141" s="975"/>
      <c r="DA141" s="976"/>
      <c r="DB141" s="976"/>
    </row>
    <row r="142" spans="1:106" s="1229" customFormat="1" ht="16.5" hidden="1" customHeight="1">
      <c r="A142" s="1155"/>
      <c r="B142" s="783"/>
      <c r="C142" s="1155"/>
      <c r="D142" s="1155"/>
      <c r="E142" s="676">
        <v>17.100000000000001</v>
      </c>
      <c r="F142" s="779" t="str" cm="1">
        <f t="array" aca="1" ref="F142" ca="1">OFFSET(G142,-1,-1)</f>
        <v>1</v>
      </c>
      <c r="G142" s="814"/>
      <c r="H142" s="814"/>
      <c r="I142" s="814"/>
      <c r="J142" s="814"/>
      <c r="K142" s="814"/>
      <c r="L142" s="779" t="b" cm="1">
        <f t="array" aca="1" ref="L142" ca="1">OFFSET(M142,-1,-1)</f>
        <v>0</v>
      </c>
      <c r="M142" s="814"/>
      <c r="N142" s="814"/>
      <c r="O142" s="814"/>
      <c r="P142" s="814"/>
      <c r="Q142" s="814"/>
      <c r="R142" s="779" t="s">
        <v>759</v>
      </c>
      <c r="S142" s="110" t="b" cm="1">
        <f t="array" aca="1" ref="S142" ca="1">OFFSET(T142,-1,-1)</f>
        <v>1</v>
      </c>
      <c r="T142" s="110" t="b" cm="1">
        <f t="array" aca="1" ref="T142" ca="1">T141</f>
        <v>0</v>
      </c>
      <c r="U142" s="698" t="b">
        <f t="shared" ca="1" si="35"/>
        <v>0</v>
      </c>
      <c r="V142" s="1155"/>
      <c r="W142" s="1155"/>
      <c r="X142" s="1155"/>
      <c r="Y142" s="1687"/>
      <c r="Z142" s="1687"/>
      <c r="AA142" s="699"/>
      <c r="AB142" s="1753"/>
      <c r="AD142" s="111" t="s">
        <v>491</v>
      </c>
      <c r="AE142" s="1770" t="s">
        <v>766</v>
      </c>
      <c r="AF142" s="1771"/>
      <c r="AG142" s="111" t="s">
        <v>762</v>
      </c>
      <c r="AH142" s="41"/>
      <c r="AI142" s="42"/>
      <c r="AJ142" s="42"/>
      <c r="AK142" s="42"/>
      <c r="AL142" s="736">
        <f>AM142+AN142</f>
        <v>0</v>
      </c>
      <c r="AM142" s="42"/>
      <c r="AN142" s="42"/>
      <c r="AO142" s="736">
        <f>AP142+AQ142</f>
        <v>0</v>
      </c>
      <c r="AP142" s="826"/>
      <c r="AQ142" s="826"/>
      <c r="AR142" s="736">
        <f>AS142+AT142</f>
        <v>0</v>
      </c>
      <c r="AS142" s="826"/>
      <c r="AT142" s="826"/>
      <c r="AU142" s="736">
        <f>AV142+AW142</f>
        <v>0</v>
      </c>
      <c r="AV142" s="826"/>
      <c r="AW142" s="826"/>
      <c r="AX142" s="736">
        <f>AY142+AZ142</f>
        <v>0</v>
      </c>
      <c r="AY142" s="826"/>
      <c r="AZ142" s="826"/>
      <c r="BA142" s="736">
        <f>BB142+BC142</f>
        <v>0</v>
      </c>
      <c r="BB142" s="42"/>
      <c r="BC142" s="42"/>
      <c r="BD142" s="736">
        <f>BE142+BF142</f>
        <v>0</v>
      </c>
      <c r="BE142" s="42"/>
      <c r="BF142" s="42"/>
      <c r="BG142" s="736">
        <f>BH142+BI142</f>
        <v>0</v>
      </c>
      <c r="BH142" s="42"/>
      <c r="BI142" s="42"/>
      <c r="BJ142" s="736">
        <f>BK142+BL142</f>
        <v>0</v>
      </c>
      <c r="BK142" s="42"/>
      <c r="BL142" s="42"/>
      <c r="BM142" s="736">
        <f>BN142+BO142</f>
        <v>0</v>
      </c>
      <c r="BN142" s="42"/>
      <c r="BO142" s="42"/>
      <c r="BP142" s="736">
        <f>BQ142+BR142</f>
        <v>0</v>
      </c>
      <c r="BQ142" s="826"/>
      <c r="BR142" s="826"/>
      <c r="BS142" s="736">
        <f>BT142+BU142</f>
        <v>0</v>
      </c>
      <c r="BT142" s="826"/>
      <c r="BU142" s="826"/>
      <c r="BV142" s="736">
        <f>BW142+BX142</f>
        <v>0</v>
      </c>
      <c r="BW142" s="826"/>
      <c r="BX142" s="826"/>
      <c r="BY142" s="736">
        <f>BZ142+CA142</f>
        <v>0</v>
      </c>
      <c r="BZ142" s="826"/>
      <c r="CA142" s="826"/>
      <c r="CB142" s="736">
        <f>CC142+CD142</f>
        <v>0</v>
      </c>
      <c r="CC142" s="826"/>
      <c r="CD142" s="826"/>
      <c r="CE142" s="736">
        <f>CF142+CG142</f>
        <v>0</v>
      </c>
      <c r="CF142" s="42"/>
      <c r="CG142" s="42"/>
      <c r="CH142" s="736">
        <f>CI142+CJ142</f>
        <v>0</v>
      </c>
      <c r="CI142" s="42"/>
      <c r="CJ142" s="42"/>
      <c r="CK142" s="736">
        <f>CL142+CM142</f>
        <v>0</v>
      </c>
      <c r="CL142" s="42"/>
      <c r="CM142" s="42"/>
      <c r="CN142" s="736">
        <f>CO142+CP142</f>
        <v>0</v>
      </c>
      <c r="CO142" s="42"/>
      <c r="CP142" s="42"/>
      <c r="CQ142" s="736">
        <f>CR142+CS142</f>
        <v>0</v>
      </c>
      <c r="CR142" s="42"/>
      <c r="CS142" s="42"/>
      <c r="CT142" s="28"/>
      <c r="CW142" s="970" t="s">
        <v>767</v>
      </c>
      <c r="CX142" s="975"/>
      <c r="CY142" s="975"/>
      <c r="CZ142" s="975"/>
      <c r="DA142" s="976"/>
      <c r="DB142" s="976"/>
    </row>
    <row r="143" spans="1:106" s="1229" customFormat="1" ht="16.5" hidden="1" customHeight="1">
      <c r="A143" s="1155"/>
      <c r="B143" s="783"/>
      <c r="C143" s="1155"/>
      <c r="D143" s="1155"/>
      <c r="E143" s="676">
        <v>17.100000000000001</v>
      </c>
      <c r="F143" s="779" t="str" cm="1">
        <f t="array" aca="1" ref="F143" ca="1">OFFSET(G143,-1,-1)</f>
        <v>1</v>
      </c>
      <c r="G143" s="814"/>
      <c r="H143" s="814"/>
      <c r="I143" s="814"/>
      <c r="J143" s="814"/>
      <c r="K143" s="814"/>
      <c r="L143" s="779" t="b" cm="1">
        <f t="array" aca="1" ref="L143" ca="1">OFFSET(M143,-1,-1)</f>
        <v>0</v>
      </c>
      <c r="M143" s="814"/>
      <c r="N143" s="814"/>
      <c r="O143" s="814"/>
      <c r="P143" s="814"/>
      <c r="Q143" s="814"/>
      <c r="R143" s="779" t="s">
        <v>759</v>
      </c>
      <c r="S143" s="110" t="b" cm="1">
        <f t="array" aca="1" ref="S143" ca="1">OFFSET(T143,-1,-1)</f>
        <v>1</v>
      </c>
      <c r="T143" s="110" t="b" cm="1">
        <f t="array" aca="1" ref="T143" ca="1">T142</f>
        <v>0</v>
      </c>
      <c r="U143" s="698" t="b">
        <f t="shared" ca="1" si="35"/>
        <v>0</v>
      </c>
      <c r="V143" s="1155"/>
      <c r="W143" s="1155"/>
      <c r="X143" s="1155"/>
      <c r="Y143" s="1687"/>
      <c r="Z143" s="1687"/>
      <c r="AA143" s="699"/>
      <c r="AB143" s="1753"/>
      <c r="AD143" s="111" t="s">
        <v>494</v>
      </c>
      <c r="AE143" s="1772" t="s">
        <v>768</v>
      </c>
      <c r="AF143" s="1773"/>
      <c r="AG143" s="111" t="s">
        <v>533</v>
      </c>
      <c r="AH143" s="740">
        <f t="shared" ref="AH143:BM143" si="66">IFERROR(AH142/AH140,0)</f>
        <v>0</v>
      </c>
      <c r="AI143" s="741">
        <f t="shared" si="66"/>
        <v>0</v>
      </c>
      <c r="AJ143" s="741">
        <f t="shared" si="66"/>
        <v>0</v>
      </c>
      <c r="AK143" s="741">
        <f t="shared" si="66"/>
        <v>0</v>
      </c>
      <c r="AL143" s="741">
        <f t="shared" si="66"/>
        <v>0</v>
      </c>
      <c r="AM143" s="741">
        <f t="shared" si="66"/>
        <v>0</v>
      </c>
      <c r="AN143" s="741">
        <f t="shared" si="66"/>
        <v>0</v>
      </c>
      <c r="AO143" s="741">
        <f t="shared" si="66"/>
        <v>0</v>
      </c>
      <c r="AP143" s="741">
        <f t="shared" si="66"/>
        <v>0</v>
      </c>
      <c r="AQ143" s="741">
        <f t="shared" si="66"/>
        <v>0</v>
      </c>
      <c r="AR143" s="741">
        <f t="shared" si="66"/>
        <v>0</v>
      </c>
      <c r="AS143" s="741">
        <f t="shared" si="66"/>
        <v>0</v>
      </c>
      <c r="AT143" s="741">
        <f t="shared" si="66"/>
        <v>0</v>
      </c>
      <c r="AU143" s="741">
        <f t="shared" si="66"/>
        <v>0</v>
      </c>
      <c r="AV143" s="741">
        <f t="shared" si="66"/>
        <v>0</v>
      </c>
      <c r="AW143" s="741">
        <f t="shared" si="66"/>
        <v>0</v>
      </c>
      <c r="AX143" s="741">
        <f t="shared" si="66"/>
        <v>0</v>
      </c>
      <c r="AY143" s="741">
        <f t="shared" si="66"/>
        <v>0</v>
      </c>
      <c r="AZ143" s="741">
        <f t="shared" si="66"/>
        <v>0</v>
      </c>
      <c r="BA143" s="741">
        <f t="shared" si="66"/>
        <v>0</v>
      </c>
      <c r="BB143" s="741">
        <f t="shared" si="66"/>
        <v>0</v>
      </c>
      <c r="BC143" s="741">
        <f t="shared" si="66"/>
        <v>0</v>
      </c>
      <c r="BD143" s="741">
        <f t="shared" si="66"/>
        <v>0</v>
      </c>
      <c r="BE143" s="741">
        <f t="shared" si="66"/>
        <v>0</v>
      </c>
      <c r="BF143" s="741">
        <f t="shared" si="66"/>
        <v>0</v>
      </c>
      <c r="BG143" s="741">
        <f t="shared" si="66"/>
        <v>0</v>
      </c>
      <c r="BH143" s="741">
        <f t="shared" si="66"/>
        <v>0</v>
      </c>
      <c r="BI143" s="741">
        <f t="shared" si="66"/>
        <v>0</v>
      </c>
      <c r="BJ143" s="741">
        <f t="shared" si="66"/>
        <v>0</v>
      </c>
      <c r="BK143" s="741">
        <f t="shared" si="66"/>
        <v>0</v>
      </c>
      <c r="BL143" s="741">
        <f t="shared" si="66"/>
        <v>0</v>
      </c>
      <c r="BM143" s="741">
        <f t="shared" si="66"/>
        <v>0</v>
      </c>
      <c r="BN143" s="741">
        <f t="shared" ref="BN143:CS143" si="67">IFERROR(BN142/BN140,0)</f>
        <v>0</v>
      </c>
      <c r="BO143" s="741">
        <f t="shared" si="67"/>
        <v>0</v>
      </c>
      <c r="BP143" s="741">
        <f t="shared" si="67"/>
        <v>0</v>
      </c>
      <c r="BQ143" s="741">
        <f t="shared" si="67"/>
        <v>0</v>
      </c>
      <c r="BR143" s="741">
        <f t="shared" si="67"/>
        <v>0</v>
      </c>
      <c r="BS143" s="741">
        <f t="shared" si="67"/>
        <v>0</v>
      </c>
      <c r="BT143" s="741">
        <f t="shared" si="67"/>
        <v>0</v>
      </c>
      <c r="BU143" s="741">
        <f t="shared" si="67"/>
        <v>0</v>
      </c>
      <c r="BV143" s="741">
        <f t="shared" si="67"/>
        <v>0</v>
      </c>
      <c r="BW143" s="741">
        <f t="shared" si="67"/>
        <v>0</v>
      </c>
      <c r="BX143" s="741">
        <f t="shared" si="67"/>
        <v>0</v>
      </c>
      <c r="BY143" s="741">
        <f t="shared" si="67"/>
        <v>0</v>
      </c>
      <c r="BZ143" s="741">
        <f t="shared" si="67"/>
        <v>0</v>
      </c>
      <c r="CA143" s="741">
        <f t="shared" si="67"/>
        <v>0</v>
      </c>
      <c r="CB143" s="741">
        <f t="shared" si="67"/>
        <v>0</v>
      </c>
      <c r="CC143" s="741">
        <f t="shared" si="67"/>
        <v>0</v>
      </c>
      <c r="CD143" s="741">
        <f t="shared" si="67"/>
        <v>0</v>
      </c>
      <c r="CE143" s="741">
        <f t="shared" si="67"/>
        <v>0</v>
      </c>
      <c r="CF143" s="741">
        <f t="shared" si="67"/>
        <v>0</v>
      </c>
      <c r="CG143" s="741">
        <f t="shared" si="67"/>
        <v>0</v>
      </c>
      <c r="CH143" s="741">
        <f t="shared" si="67"/>
        <v>0</v>
      </c>
      <c r="CI143" s="741">
        <f t="shared" si="67"/>
        <v>0</v>
      </c>
      <c r="CJ143" s="741">
        <f t="shared" si="67"/>
        <v>0</v>
      </c>
      <c r="CK143" s="741">
        <f t="shared" si="67"/>
        <v>0</v>
      </c>
      <c r="CL143" s="741">
        <f t="shared" si="67"/>
        <v>0</v>
      </c>
      <c r="CM143" s="741">
        <f t="shared" si="67"/>
        <v>0</v>
      </c>
      <c r="CN143" s="741">
        <f t="shared" si="67"/>
        <v>0</v>
      </c>
      <c r="CO143" s="741">
        <f t="shared" si="67"/>
        <v>0</v>
      </c>
      <c r="CP143" s="741">
        <f t="shared" si="67"/>
        <v>0</v>
      </c>
      <c r="CQ143" s="741">
        <f t="shared" si="67"/>
        <v>0</v>
      </c>
      <c r="CR143" s="741">
        <f t="shared" si="67"/>
        <v>0</v>
      </c>
      <c r="CS143" s="741">
        <f t="shared" si="67"/>
        <v>0</v>
      </c>
      <c r="CT143" s="28"/>
      <c r="CW143" s="970" t="s">
        <v>769</v>
      </c>
      <c r="CX143" s="975"/>
      <c r="CY143" s="975"/>
      <c r="CZ143" s="975"/>
      <c r="DA143" s="976"/>
      <c r="DB143" s="976"/>
    </row>
    <row r="144" spans="1:106" s="1229" customFormat="1" ht="16.5" hidden="1" customHeight="1">
      <c r="A144" s="1155"/>
      <c r="B144" s="783"/>
      <c r="C144" s="1155"/>
      <c r="D144" s="1155"/>
      <c r="E144" s="676">
        <v>17.100000000000001</v>
      </c>
      <c r="F144" s="779" t="str" cm="1">
        <f t="array" aca="1" ref="F144" ca="1">OFFSET(G144,-1,-1)</f>
        <v>1</v>
      </c>
      <c r="G144" s="814"/>
      <c r="H144" s="814"/>
      <c r="I144" s="814"/>
      <c r="J144" s="814"/>
      <c r="K144" s="814"/>
      <c r="L144" s="779" t="b" cm="1">
        <f t="array" aca="1" ref="L144" ca="1">OFFSET(M144,-1,-1)</f>
        <v>0</v>
      </c>
      <c r="M144" s="814"/>
      <c r="N144" s="814"/>
      <c r="O144" s="814"/>
      <c r="P144" s="814"/>
      <c r="Q144" s="814"/>
      <c r="R144" s="779" t="s">
        <v>759</v>
      </c>
      <c r="S144" s="110" t="b" cm="1">
        <f t="array" aca="1" ref="S144" ca="1">OFFSET(T144,-1,-1)</f>
        <v>1</v>
      </c>
      <c r="T144" s="110" t="b" cm="1">
        <f t="array" aca="1" ref="T144" ca="1">T143</f>
        <v>0</v>
      </c>
      <c r="U144" s="698" t="b">
        <f t="shared" ca="1" si="35"/>
        <v>0</v>
      </c>
      <c r="V144" s="1155"/>
      <c r="W144" s="1155"/>
      <c r="X144" s="1155"/>
      <c r="Y144" s="1687"/>
      <c r="Z144" s="1687"/>
      <c r="AA144" s="699"/>
      <c r="AB144" s="1753"/>
      <c r="AD144" s="111" t="s">
        <v>518</v>
      </c>
      <c r="AE144" s="1770" t="s">
        <v>770</v>
      </c>
      <c r="AF144" s="1771"/>
      <c r="AG144" s="111" t="s">
        <v>762</v>
      </c>
      <c r="AH144" s="41"/>
      <c r="AI144" s="42"/>
      <c r="AJ144" s="42"/>
      <c r="AK144" s="42"/>
      <c r="AL144" s="736">
        <f>AM144+AN144</f>
        <v>0</v>
      </c>
      <c r="AM144" s="42"/>
      <c r="AN144" s="42"/>
      <c r="AO144" s="736">
        <f>AP144+AQ144</f>
        <v>0</v>
      </c>
      <c r="AP144" s="826"/>
      <c r="AQ144" s="826"/>
      <c r="AR144" s="736">
        <f>AS144+AT144</f>
        <v>0</v>
      </c>
      <c r="AS144" s="826"/>
      <c r="AT144" s="826"/>
      <c r="AU144" s="736">
        <f>AV144+AW144</f>
        <v>0</v>
      </c>
      <c r="AV144" s="826"/>
      <c r="AW144" s="826"/>
      <c r="AX144" s="736">
        <f>AY144+AZ144</f>
        <v>0</v>
      </c>
      <c r="AY144" s="826"/>
      <c r="AZ144" s="826"/>
      <c r="BA144" s="736">
        <f>BB144+BC144</f>
        <v>0</v>
      </c>
      <c r="BB144" s="42"/>
      <c r="BC144" s="42"/>
      <c r="BD144" s="736">
        <f>BE144+BF144</f>
        <v>0</v>
      </c>
      <c r="BE144" s="42"/>
      <c r="BF144" s="42"/>
      <c r="BG144" s="736">
        <f>BH144+BI144</f>
        <v>0</v>
      </c>
      <c r="BH144" s="42"/>
      <c r="BI144" s="42"/>
      <c r="BJ144" s="736">
        <f>BK144+BL144</f>
        <v>0</v>
      </c>
      <c r="BK144" s="42"/>
      <c r="BL144" s="42"/>
      <c r="BM144" s="736">
        <f>BN144+BO144</f>
        <v>0</v>
      </c>
      <c r="BN144" s="42"/>
      <c r="BO144" s="42"/>
      <c r="BP144" s="736">
        <f>BQ144+BR144</f>
        <v>0</v>
      </c>
      <c r="BQ144" s="826"/>
      <c r="BR144" s="826"/>
      <c r="BS144" s="736">
        <f>BT144+BU144</f>
        <v>0</v>
      </c>
      <c r="BT144" s="826"/>
      <c r="BU144" s="826"/>
      <c r="BV144" s="736">
        <f>BW144+BX144</f>
        <v>0</v>
      </c>
      <c r="BW144" s="826"/>
      <c r="BX144" s="826"/>
      <c r="BY144" s="736">
        <f>BZ144+CA144</f>
        <v>0</v>
      </c>
      <c r="BZ144" s="826"/>
      <c r="CA144" s="826"/>
      <c r="CB144" s="736">
        <f>CC144+CD144</f>
        <v>0</v>
      </c>
      <c r="CC144" s="826"/>
      <c r="CD144" s="826"/>
      <c r="CE144" s="736">
        <f>CF144+CG144</f>
        <v>0</v>
      </c>
      <c r="CF144" s="42"/>
      <c r="CG144" s="42"/>
      <c r="CH144" s="736">
        <f>CI144+CJ144</f>
        <v>0</v>
      </c>
      <c r="CI144" s="42"/>
      <c r="CJ144" s="42"/>
      <c r="CK144" s="736">
        <f>CL144+CM144</f>
        <v>0</v>
      </c>
      <c r="CL144" s="42"/>
      <c r="CM144" s="42"/>
      <c r="CN144" s="736">
        <f>CO144+CP144</f>
        <v>0</v>
      </c>
      <c r="CO144" s="42"/>
      <c r="CP144" s="42"/>
      <c r="CQ144" s="736">
        <f>CR144+CS144</f>
        <v>0</v>
      </c>
      <c r="CR144" s="42"/>
      <c r="CS144" s="42"/>
      <c r="CT144" s="28"/>
      <c r="CW144" s="970" t="s">
        <v>771</v>
      </c>
      <c r="CX144" s="975"/>
      <c r="CY144" s="975"/>
      <c r="CZ144" s="975"/>
      <c r="DA144" s="976"/>
      <c r="DB144" s="976"/>
    </row>
    <row r="145" spans="1:106" s="1229" customFormat="1" ht="16.5" hidden="1" customHeight="1">
      <c r="A145" s="1155"/>
      <c r="B145" s="783"/>
      <c r="C145" s="1155"/>
      <c r="D145" s="1155"/>
      <c r="E145" s="676">
        <v>17.100000000000001</v>
      </c>
      <c r="F145" s="779" t="str" cm="1">
        <f t="array" aca="1" ref="F145" ca="1">OFFSET(G145,-1,-1)</f>
        <v>1</v>
      </c>
      <c r="G145" s="814"/>
      <c r="H145" s="814"/>
      <c r="I145" s="814"/>
      <c r="J145" s="814"/>
      <c r="K145" s="814"/>
      <c r="L145" s="779" t="b" cm="1">
        <f t="array" aca="1" ref="L145" ca="1">OFFSET(M145,-1,-1)</f>
        <v>0</v>
      </c>
      <c r="M145" s="814"/>
      <c r="N145" s="814"/>
      <c r="O145" s="814"/>
      <c r="P145" s="814"/>
      <c r="Q145" s="814"/>
      <c r="R145" s="779" t="s">
        <v>759</v>
      </c>
      <c r="S145" s="110" t="b" cm="1">
        <f t="array" aca="1" ref="S145" ca="1">OFFSET(T145,-1,-1)</f>
        <v>1</v>
      </c>
      <c r="T145" s="110" t="b" cm="1">
        <f t="array" aca="1" ref="T145" ca="1">T144</f>
        <v>0</v>
      </c>
      <c r="U145" s="698" t="b">
        <f t="shared" ca="1" si="35"/>
        <v>0</v>
      </c>
      <c r="V145" s="1155"/>
      <c r="W145" s="1155"/>
      <c r="X145" s="1155"/>
      <c r="Y145" s="1687"/>
      <c r="Z145" s="1687"/>
      <c r="AA145" s="699"/>
      <c r="AB145" s="1753"/>
      <c r="AD145" s="111" t="s">
        <v>772</v>
      </c>
      <c r="AE145" s="1772" t="s">
        <v>773</v>
      </c>
      <c r="AF145" s="1773"/>
      <c r="AG145" s="111" t="s">
        <v>774</v>
      </c>
      <c r="AH145" s="41"/>
      <c r="AI145" s="42"/>
      <c r="AJ145" s="42"/>
      <c r="AK145" s="42"/>
      <c r="AL145" s="42"/>
      <c r="AM145" s="42"/>
      <c r="AN145" s="42"/>
      <c r="AO145" s="826"/>
      <c r="AP145" s="826"/>
      <c r="AQ145" s="826"/>
      <c r="AR145" s="826"/>
      <c r="AS145" s="826"/>
      <c r="AT145" s="826"/>
      <c r="AU145" s="826"/>
      <c r="AV145" s="826"/>
      <c r="AW145" s="826"/>
      <c r="AX145" s="826"/>
      <c r="AY145" s="826"/>
      <c r="AZ145" s="826"/>
      <c r="BA145" s="42"/>
      <c r="BB145" s="42"/>
      <c r="BC145" s="42"/>
      <c r="BD145" s="42"/>
      <c r="BE145" s="42"/>
      <c r="BF145" s="42"/>
      <c r="BG145" s="42"/>
      <c r="BH145" s="42"/>
      <c r="BI145" s="42"/>
      <c r="BJ145" s="42"/>
      <c r="BK145" s="42"/>
      <c r="BL145" s="42"/>
      <c r="BM145" s="42"/>
      <c r="BN145" s="42"/>
      <c r="BO145" s="42"/>
      <c r="BP145" s="826"/>
      <c r="BQ145" s="826"/>
      <c r="BR145" s="826"/>
      <c r="BS145" s="826"/>
      <c r="BT145" s="826"/>
      <c r="BU145" s="826"/>
      <c r="BV145" s="826"/>
      <c r="BW145" s="826"/>
      <c r="BX145" s="826"/>
      <c r="BY145" s="826"/>
      <c r="BZ145" s="826"/>
      <c r="CA145" s="826"/>
      <c r="CB145" s="826"/>
      <c r="CC145" s="826"/>
      <c r="CD145" s="826"/>
      <c r="CE145" s="42"/>
      <c r="CF145" s="42"/>
      <c r="CG145" s="42"/>
      <c r="CH145" s="42"/>
      <c r="CI145" s="42"/>
      <c r="CJ145" s="42"/>
      <c r="CK145" s="42"/>
      <c r="CL145" s="42"/>
      <c r="CM145" s="42"/>
      <c r="CN145" s="42"/>
      <c r="CO145" s="42"/>
      <c r="CP145" s="42"/>
      <c r="CQ145" s="42"/>
      <c r="CR145" s="42"/>
      <c r="CS145" s="42"/>
      <c r="CT145" s="28"/>
      <c r="CW145" s="970" t="s">
        <v>775</v>
      </c>
      <c r="CX145" s="975"/>
      <c r="CY145" s="975"/>
      <c r="CZ145" s="975"/>
      <c r="DA145" s="976"/>
      <c r="DB145" s="976"/>
    </row>
    <row r="146" spans="1:106" s="1229" customFormat="1" ht="16.5" hidden="1" customHeight="1">
      <c r="A146" s="1155"/>
      <c r="B146" s="783"/>
      <c r="C146" s="1155"/>
      <c r="D146" s="1155"/>
      <c r="E146" s="676">
        <v>17.100000000000001</v>
      </c>
      <c r="F146" s="779" t="str" cm="1">
        <f t="array" aca="1" ref="F146" ca="1">OFFSET(G146,-1,-1)</f>
        <v>1</v>
      </c>
      <c r="G146" s="814"/>
      <c r="H146" s="814"/>
      <c r="I146" s="814"/>
      <c r="J146" s="814"/>
      <c r="K146" s="814"/>
      <c r="L146" s="779" t="b" cm="1">
        <f t="array" aca="1" ref="L146" ca="1">OFFSET(M146,-1,-1)</f>
        <v>0</v>
      </c>
      <c r="M146" s="814"/>
      <c r="N146" s="814"/>
      <c r="O146" s="814"/>
      <c r="P146" s="814"/>
      <c r="Q146" s="814"/>
      <c r="R146" s="779" t="s">
        <v>759</v>
      </c>
      <c r="S146" s="110" t="b" cm="1">
        <f t="array" aca="1" ref="S146" ca="1">OFFSET(T146,-1,-1)</f>
        <v>1</v>
      </c>
      <c r="T146" s="110" t="b" cm="1">
        <f t="array" aca="1" ref="T146" ca="1">T145</f>
        <v>0</v>
      </c>
      <c r="U146" s="698" t="b">
        <f t="shared" ca="1" si="35"/>
        <v>0</v>
      </c>
      <c r="V146" s="1155"/>
      <c r="W146" s="1155"/>
      <c r="X146" s="1155"/>
      <c r="Y146" s="1687"/>
      <c r="Z146" s="1687"/>
      <c r="AA146" s="699"/>
      <c r="AB146" s="1753"/>
      <c r="AD146" s="111">
        <v>3</v>
      </c>
      <c r="AE146" s="1759" t="s">
        <v>776</v>
      </c>
      <c r="AF146" s="1760"/>
      <c r="AG146" s="111" t="s">
        <v>762</v>
      </c>
      <c r="AH146" s="734">
        <f t="shared" ref="AH146:BM146" si="68">AH140-AH141</f>
        <v>0</v>
      </c>
      <c r="AI146" s="736">
        <f t="shared" si="68"/>
        <v>0</v>
      </c>
      <c r="AJ146" s="736">
        <f t="shared" si="68"/>
        <v>0</v>
      </c>
      <c r="AK146" s="736">
        <f t="shared" si="68"/>
        <v>0</v>
      </c>
      <c r="AL146" s="736">
        <f t="shared" si="68"/>
        <v>0</v>
      </c>
      <c r="AM146" s="736">
        <f t="shared" si="68"/>
        <v>0</v>
      </c>
      <c r="AN146" s="736">
        <f t="shared" si="68"/>
        <v>0</v>
      </c>
      <c r="AO146" s="736">
        <f t="shared" si="68"/>
        <v>0</v>
      </c>
      <c r="AP146" s="736">
        <f t="shared" si="68"/>
        <v>0</v>
      </c>
      <c r="AQ146" s="736">
        <f t="shared" si="68"/>
        <v>0</v>
      </c>
      <c r="AR146" s="736">
        <f t="shared" si="68"/>
        <v>0</v>
      </c>
      <c r="AS146" s="736">
        <f t="shared" si="68"/>
        <v>0</v>
      </c>
      <c r="AT146" s="736">
        <f t="shared" si="68"/>
        <v>0</v>
      </c>
      <c r="AU146" s="736">
        <f t="shared" si="68"/>
        <v>0</v>
      </c>
      <c r="AV146" s="736">
        <f t="shared" si="68"/>
        <v>0</v>
      </c>
      <c r="AW146" s="736">
        <f t="shared" si="68"/>
        <v>0</v>
      </c>
      <c r="AX146" s="736">
        <f t="shared" si="68"/>
        <v>0</v>
      </c>
      <c r="AY146" s="736">
        <f t="shared" si="68"/>
        <v>0</v>
      </c>
      <c r="AZ146" s="736">
        <f t="shared" si="68"/>
        <v>0</v>
      </c>
      <c r="BA146" s="736">
        <f t="shared" si="68"/>
        <v>0</v>
      </c>
      <c r="BB146" s="736">
        <f t="shared" si="68"/>
        <v>0</v>
      </c>
      <c r="BC146" s="736">
        <f t="shared" si="68"/>
        <v>0</v>
      </c>
      <c r="BD146" s="736">
        <f t="shared" si="68"/>
        <v>0</v>
      </c>
      <c r="BE146" s="736">
        <f t="shared" si="68"/>
        <v>0</v>
      </c>
      <c r="BF146" s="736">
        <f t="shared" si="68"/>
        <v>0</v>
      </c>
      <c r="BG146" s="736">
        <f t="shared" si="68"/>
        <v>0</v>
      </c>
      <c r="BH146" s="736">
        <f t="shared" si="68"/>
        <v>0</v>
      </c>
      <c r="BI146" s="736">
        <f t="shared" si="68"/>
        <v>0</v>
      </c>
      <c r="BJ146" s="736">
        <f t="shared" si="68"/>
        <v>0</v>
      </c>
      <c r="BK146" s="736">
        <f t="shared" si="68"/>
        <v>0</v>
      </c>
      <c r="BL146" s="736">
        <f t="shared" si="68"/>
        <v>0</v>
      </c>
      <c r="BM146" s="736">
        <f t="shared" si="68"/>
        <v>0</v>
      </c>
      <c r="BN146" s="736">
        <f t="shared" ref="BN146:CS146" si="69">BN140-BN141</f>
        <v>0</v>
      </c>
      <c r="BO146" s="736">
        <f t="shared" si="69"/>
        <v>0</v>
      </c>
      <c r="BP146" s="736">
        <f t="shared" si="69"/>
        <v>0</v>
      </c>
      <c r="BQ146" s="736">
        <f t="shared" si="69"/>
        <v>0</v>
      </c>
      <c r="BR146" s="736">
        <f t="shared" si="69"/>
        <v>0</v>
      </c>
      <c r="BS146" s="736">
        <f t="shared" si="69"/>
        <v>0</v>
      </c>
      <c r="BT146" s="736">
        <f t="shared" si="69"/>
        <v>0</v>
      </c>
      <c r="BU146" s="736">
        <f t="shared" si="69"/>
        <v>0</v>
      </c>
      <c r="BV146" s="736">
        <f t="shared" si="69"/>
        <v>0</v>
      </c>
      <c r="BW146" s="736">
        <f t="shared" si="69"/>
        <v>0</v>
      </c>
      <c r="BX146" s="736">
        <f t="shared" si="69"/>
        <v>0</v>
      </c>
      <c r="BY146" s="736">
        <f t="shared" si="69"/>
        <v>0</v>
      </c>
      <c r="BZ146" s="736">
        <f t="shared" si="69"/>
        <v>0</v>
      </c>
      <c r="CA146" s="736">
        <f t="shared" si="69"/>
        <v>0</v>
      </c>
      <c r="CB146" s="736">
        <f t="shared" si="69"/>
        <v>0</v>
      </c>
      <c r="CC146" s="736">
        <f t="shared" si="69"/>
        <v>0</v>
      </c>
      <c r="CD146" s="736">
        <f t="shared" si="69"/>
        <v>0</v>
      </c>
      <c r="CE146" s="736">
        <f t="shared" si="69"/>
        <v>0</v>
      </c>
      <c r="CF146" s="736">
        <f t="shared" si="69"/>
        <v>0</v>
      </c>
      <c r="CG146" s="736">
        <f t="shared" si="69"/>
        <v>0</v>
      </c>
      <c r="CH146" s="736">
        <f t="shared" si="69"/>
        <v>0</v>
      </c>
      <c r="CI146" s="736">
        <f t="shared" si="69"/>
        <v>0</v>
      </c>
      <c r="CJ146" s="736">
        <f t="shared" si="69"/>
        <v>0</v>
      </c>
      <c r="CK146" s="736">
        <f t="shared" si="69"/>
        <v>0</v>
      </c>
      <c r="CL146" s="736">
        <f t="shared" si="69"/>
        <v>0</v>
      </c>
      <c r="CM146" s="736">
        <f t="shared" si="69"/>
        <v>0</v>
      </c>
      <c r="CN146" s="736">
        <f t="shared" si="69"/>
        <v>0</v>
      </c>
      <c r="CO146" s="736">
        <f t="shared" si="69"/>
        <v>0</v>
      </c>
      <c r="CP146" s="736">
        <f t="shared" si="69"/>
        <v>0</v>
      </c>
      <c r="CQ146" s="736">
        <f t="shared" si="69"/>
        <v>0</v>
      </c>
      <c r="CR146" s="736">
        <f t="shared" si="69"/>
        <v>0</v>
      </c>
      <c r="CS146" s="736">
        <f t="shared" si="69"/>
        <v>0</v>
      </c>
      <c r="CT146" s="28"/>
      <c r="CW146" s="970" t="s">
        <v>777</v>
      </c>
      <c r="CX146" s="975"/>
      <c r="CY146" s="975"/>
      <c r="CZ146" s="975"/>
      <c r="DA146" s="976"/>
      <c r="DB146" s="976"/>
    </row>
    <row r="147" spans="1:106" s="1229" customFormat="1" ht="16.5" hidden="1" customHeight="1">
      <c r="A147" s="1155"/>
      <c r="B147" s="783"/>
      <c r="C147" s="1155"/>
      <c r="D147" s="1155"/>
      <c r="E147" s="676">
        <v>17.100000000000001</v>
      </c>
      <c r="F147" s="779" t="str" cm="1">
        <f t="array" aca="1" ref="F147" ca="1">OFFSET(G147,-1,-1)</f>
        <v>1</v>
      </c>
      <c r="G147" s="814"/>
      <c r="H147" s="814"/>
      <c r="I147" s="814"/>
      <c r="J147" s="814"/>
      <c r="K147" s="814"/>
      <c r="L147" s="779" t="b" cm="1">
        <f t="array" aca="1" ref="L147" ca="1">OFFSET(M147,-1,-1)</f>
        <v>0</v>
      </c>
      <c r="M147" s="814"/>
      <c r="N147" s="814"/>
      <c r="O147" s="814"/>
      <c r="P147" s="814"/>
      <c r="Q147" s="814"/>
      <c r="R147" s="779" t="s">
        <v>759</v>
      </c>
      <c r="S147" s="110" t="b" cm="1">
        <f t="array" aca="1" ref="S147" ca="1">OFFSET(T147,-1,-1)</f>
        <v>1</v>
      </c>
      <c r="T147" s="110" t="b" cm="1">
        <f t="array" aca="1" ref="T147" ca="1">T146</f>
        <v>0</v>
      </c>
      <c r="U147" s="698" t="b">
        <f t="shared" ca="1" si="35"/>
        <v>0</v>
      </c>
      <c r="V147" s="1155"/>
      <c r="W147" s="1155"/>
      <c r="X147" s="1155"/>
      <c r="Y147" s="1687"/>
      <c r="Z147" s="1687"/>
      <c r="AA147" s="699"/>
      <c r="AB147" s="1753"/>
      <c r="AD147" s="111">
        <v>4</v>
      </c>
      <c r="AE147" s="1759" t="s">
        <v>778</v>
      </c>
      <c r="AF147" s="1760"/>
      <c r="AG147" s="111" t="s">
        <v>762</v>
      </c>
      <c r="AH147" s="41"/>
      <c r="AI147" s="42"/>
      <c r="AJ147" s="42"/>
      <c r="AK147" s="42"/>
      <c r="AL147" s="736">
        <f>AM147+AN147</f>
        <v>0</v>
      </c>
      <c r="AM147" s="42"/>
      <c r="AN147" s="42"/>
      <c r="AO147" s="736">
        <f>AP147+AQ147</f>
        <v>0</v>
      </c>
      <c r="AP147" s="826"/>
      <c r="AQ147" s="826"/>
      <c r="AR147" s="736">
        <f>AS147+AT147</f>
        <v>0</v>
      </c>
      <c r="AS147" s="826"/>
      <c r="AT147" s="826"/>
      <c r="AU147" s="736">
        <f>AV147+AW147</f>
        <v>0</v>
      </c>
      <c r="AV147" s="826"/>
      <c r="AW147" s="826"/>
      <c r="AX147" s="736">
        <f>AY147+AZ147</f>
        <v>0</v>
      </c>
      <c r="AY147" s="826"/>
      <c r="AZ147" s="826"/>
      <c r="BA147" s="736">
        <f>BB147+BC147</f>
        <v>0</v>
      </c>
      <c r="BB147" s="42"/>
      <c r="BC147" s="42"/>
      <c r="BD147" s="736">
        <f>BE147+BF147</f>
        <v>0</v>
      </c>
      <c r="BE147" s="42"/>
      <c r="BF147" s="42"/>
      <c r="BG147" s="736">
        <f>BH147+BI147</f>
        <v>0</v>
      </c>
      <c r="BH147" s="42"/>
      <c r="BI147" s="42"/>
      <c r="BJ147" s="736">
        <f>BK147+BL147</f>
        <v>0</v>
      </c>
      <c r="BK147" s="42"/>
      <c r="BL147" s="42"/>
      <c r="BM147" s="736">
        <f>BN147+BO147</f>
        <v>0</v>
      </c>
      <c r="BN147" s="42"/>
      <c r="BO147" s="42"/>
      <c r="BP147" s="736">
        <f>BQ147+BR147</f>
        <v>0</v>
      </c>
      <c r="BQ147" s="826"/>
      <c r="BR147" s="826"/>
      <c r="BS147" s="736">
        <f>BT147+BU147</f>
        <v>0</v>
      </c>
      <c r="BT147" s="826"/>
      <c r="BU147" s="826"/>
      <c r="BV147" s="736">
        <f>BW147+BX147</f>
        <v>0</v>
      </c>
      <c r="BW147" s="826"/>
      <c r="BX147" s="826"/>
      <c r="BY147" s="736">
        <f>BZ147+CA147</f>
        <v>0</v>
      </c>
      <c r="BZ147" s="826"/>
      <c r="CA147" s="826"/>
      <c r="CB147" s="736">
        <f>CC147+CD147</f>
        <v>0</v>
      </c>
      <c r="CC147" s="826"/>
      <c r="CD147" s="826"/>
      <c r="CE147" s="736">
        <f>CF147+CG147</f>
        <v>0</v>
      </c>
      <c r="CF147" s="42"/>
      <c r="CG147" s="42"/>
      <c r="CH147" s="736">
        <f>CI147+CJ147</f>
        <v>0</v>
      </c>
      <c r="CI147" s="42"/>
      <c r="CJ147" s="42"/>
      <c r="CK147" s="736">
        <f>CL147+CM147</f>
        <v>0</v>
      </c>
      <c r="CL147" s="42"/>
      <c r="CM147" s="42"/>
      <c r="CN147" s="736">
        <f>CO147+CP147</f>
        <v>0</v>
      </c>
      <c r="CO147" s="42"/>
      <c r="CP147" s="42"/>
      <c r="CQ147" s="736">
        <f>CR147+CS147</f>
        <v>0</v>
      </c>
      <c r="CR147" s="42"/>
      <c r="CS147" s="42"/>
      <c r="CT147" s="28"/>
      <c r="CW147" s="970" t="s">
        <v>779</v>
      </c>
      <c r="CX147" s="975"/>
      <c r="CY147" s="975"/>
      <c r="CZ147" s="975"/>
      <c r="DA147" s="976"/>
      <c r="DB147" s="976"/>
    </row>
    <row r="148" spans="1:106" s="1229" customFormat="1" ht="16.5" hidden="1" customHeight="1">
      <c r="A148" s="1155"/>
      <c r="B148" s="783"/>
      <c r="C148" s="1155"/>
      <c r="D148" s="1155"/>
      <c r="E148" s="676">
        <v>17.100000000000001</v>
      </c>
      <c r="F148" s="779" t="str" cm="1">
        <f t="array" aca="1" ref="F148" ca="1">OFFSET(G148,-1,-1)</f>
        <v>1</v>
      </c>
      <c r="G148" s="814"/>
      <c r="H148" s="814"/>
      <c r="I148" s="814"/>
      <c r="J148" s="814"/>
      <c r="K148" s="814"/>
      <c r="L148" s="779" t="b" cm="1">
        <f t="array" aca="1" ref="L148" ca="1">OFFSET(M148,-1,-1)</f>
        <v>0</v>
      </c>
      <c r="M148" s="814"/>
      <c r="N148" s="814"/>
      <c r="O148" s="814"/>
      <c r="P148" s="814"/>
      <c r="Q148" s="814"/>
      <c r="R148" s="779" t="s">
        <v>759</v>
      </c>
      <c r="S148" s="110" t="b" cm="1">
        <f t="array" aca="1" ref="S148" ca="1">OFFSET(T148,-1,-1)</f>
        <v>1</v>
      </c>
      <c r="T148" s="110" t="b" cm="1">
        <f t="array" aca="1" ref="T148" ca="1">T147</f>
        <v>0</v>
      </c>
      <c r="U148" s="698" t="b">
        <f t="shared" ca="1" si="35"/>
        <v>0</v>
      </c>
      <c r="V148" s="1155"/>
      <c r="W148" s="1155"/>
      <c r="X148" s="1155"/>
      <c r="Y148" s="1687"/>
      <c r="Z148" s="1687"/>
      <c r="AA148" s="699"/>
      <c r="AB148" s="1753"/>
      <c r="AD148" s="111" t="s">
        <v>780</v>
      </c>
      <c r="AE148" s="1770" t="s">
        <v>781</v>
      </c>
      <c r="AF148" s="1771"/>
      <c r="AG148" s="111" t="s">
        <v>533</v>
      </c>
      <c r="AH148" s="740">
        <f t="shared" ref="AH148:BM148" si="70">IFERROR(AH147/AH146,0)</f>
        <v>0</v>
      </c>
      <c r="AI148" s="741">
        <f t="shared" si="70"/>
        <v>0</v>
      </c>
      <c r="AJ148" s="741">
        <f t="shared" si="70"/>
        <v>0</v>
      </c>
      <c r="AK148" s="741">
        <f t="shared" si="70"/>
        <v>0</v>
      </c>
      <c r="AL148" s="741">
        <f t="shared" si="70"/>
        <v>0</v>
      </c>
      <c r="AM148" s="741">
        <f t="shared" si="70"/>
        <v>0</v>
      </c>
      <c r="AN148" s="741">
        <f t="shared" si="70"/>
        <v>0</v>
      </c>
      <c r="AO148" s="741">
        <f t="shared" si="70"/>
        <v>0</v>
      </c>
      <c r="AP148" s="741">
        <f t="shared" si="70"/>
        <v>0</v>
      </c>
      <c r="AQ148" s="741">
        <f t="shared" si="70"/>
        <v>0</v>
      </c>
      <c r="AR148" s="741">
        <f t="shared" si="70"/>
        <v>0</v>
      </c>
      <c r="AS148" s="741">
        <f t="shared" si="70"/>
        <v>0</v>
      </c>
      <c r="AT148" s="741">
        <f t="shared" si="70"/>
        <v>0</v>
      </c>
      <c r="AU148" s="741">
        <f t="shared" si="70"/>
        <v>0</v>
      </c>
      <c r="AV148" s="741">
        <f t="shared" si="70"/>
        <v>0</v>
      </c>
      <c r="AW148" s="741">
        <f t="shared" si="70"/>
        <v>0</v>
      </c>
      <c r="AX148" s="741">
        <f t="shared" si="70"/>
        <v>0</v>
      </c>
      <c r="AY148" s="741">
        <f t="shared" si="70"/>
        <v>0</v>
      </c>
      <c r="AZ148" s="741">
        <f t="shared" si="70"/>
        <v>0</v>
      </c>
      <c r="BA148" s="741">
        <f t="shared" si="70"/>
        <v>0</v>
      </c>
      <c r="BB148" s="741">
        <f t="shared" si="70"/>
        <v>0</v>
      </c>
      <c r="BC148" s="741">
        <f t="shared" si="70"/>
        <v>0</v>
      </c>
      <c r="BD148" s="741">
        <f t="shared" si="70"/>
        <v>0</v>
      </c>
      <c r="BE148" s="741">
        <f t="shared" si="70"/>
        <v>0</v>
      </c>
      <c r="BF148" s="741">
        <f t="shared" si="70"/>
        <v>0</v>
      </c>
      <c r="BG148" s="741">
        <f t="shared" si="70"/>
        <v>0</v>
      </c>
      <c r="BH148" s="741">
        <f t="shared" si="70"/>
        <v>0</v>
      </c>
      <c r="BI148" s="741">
        <f t="shared" si="70"/>
        <v>0</v>
      </c>
      <c r="BJ148" s="741">
        <f t="shared" si="70"/>
        <v>0</v>
      </c>
      <c r="BK148" s="741">
        <f t="shared" si="70"/>
        <v>0</v>
      </c>
      <c r="BL148" s="741">
        <f t="shared" si="70"/>
        <v>0</v>
      </c>
      <c r="BM148" s="741">
        <f t="shared" si="70"/>
        <v>0</v>
      </c>
      <c r="BN148" s="741">
        <f t="shared" ref="BN148:CS148" si="71">IFERROR(BN147/BN146,0)</f>
        <v>0</v>
      </c>
      <c r="BO148" s="741">
        <f t="shared" si="71"/>
        <v>0</v>
      </c>
      <c r="BP148" s="741">
        <f t="shared" si="71"/>
        <v>0</v>
      </c>
      <c r="BQ148" s="741">
        <f t="shared" si="71"/>
        <v>0</v>
      </c>
      <c r="BR148" s="741">
        <f t="shared" si="71"/>
        <v>0</v>
      </c>
      <c r="BS148" s="741">
        <f t="shared" si="71"/>
        <v>0</v>
      </c>
      <c r="BT148" s="741">
        <f t="shared" si="71"/>
        <v>0</v>
      </c>
      <c r="BU148" s="741">
        <f t="shared" si="71"/>
        <v>0</v>
      </c>
      <c r="BV148" s="741">
        <f t="shared" si="71"/>
        <v>0</v>
      </c>
      <c r="BW148" s="741">
        <f t="shared" si="71"/>
        <v>0</v>
      </c>
      <c r="BX148" s="741">
        <f t="shared" si="71"/>
        <v>0</v>
      </c>
      <c r="BY148" s="741">
        <f t="shared" si="71"/>
        <v>0</v>
      </c>
      <c r="BZ148" s="741">
        <f t="shared" si="71"/>
        <v>0</v>
      </c>
      <c r="CA148" s="741">
        <f t="shared" si="71"/>
        <v>0</v>
      </c>
      <c r="CB148" s="741">
        <f t="shared" si="71"/>
        <v>0</v>
      </c>
      <c r="CC148" s="741">
        <f t="shared" si="71"/>
        <v>0</v>
      </c>
      <c r="CD148" s="741">
        <f t="shared" si="71"/>
        <v>0</v>
      </c>
      <c r="CE148" s="741">
        <f t="shared" si="71"/>
        <v>0</v>
      </c>
      <c r="CF148" s="741">
        <f t="shared" si="71"/>
        <v>0</v>
      </c>
      <c r="CG148" s="741">
        <f t="shared" si="71"/>
        <v>0</v>
      </c>
      <c r="CH148" s="741">
        <f t="shared" si="71"/>
        <v>0</v>
      </c>
      <c r="CI148" s="741">
        <f t="shared" si="71"/>
        <v>0</v>
      </c>
      <c r="CJ148" s="741">
        <f t="shared" si="71"/>
        <v>0</v>
      </c>
      <c r="CK148" s="741">
        <f t="shared" si="71"/>
        <v>0</v>
      </c>
      <c r="CL148" s="741">
        <f t="shared" si="71"/>
        <v>0</v>
      </c>
      <c r="CM148" s="741">
        <f t="shared" si="71"/>
        <v>0</v>
      </c>
      <c r="CN148" s="741">
        <f t="shared" si="71"/>
        <v>0</v>
      </c>
      <c r="CO148" s="741">
        <f t="shared" si="71"/>
        <v>0</v>
      </c>
      <c r="CP148" s="741">
        <f t="shared" si="71"/>
        <v>0</v>
      </c>
      <c r="CQ148" s="741">
        <f t="shared" si="71"/>
        <v>0</v>
      </c>
      <c r="CR148" s="741">
        <f t="shared" si="71"/>
        <v>0</v>
      </c>
      <c r="CS148" s="741">
        <f t="shared" si="71"/>
        <v>0</v>
      </c>
      <c r="CT148" s="28"/>
      <c r="CW148" s="970" t="s">
        <v>782</v>
      </c>
      <c r="CX148" s="975"/>
      <c r="CY148" s="975"/>
      <c r="CZ148" s="975"/>
      <c r="DA148" s="976"/>
      <c r="DB148" s="976"/>
    </row>
    <row r="149" spans="1:106" s="1229" customFormat="1" ht="16.5" hidden="1" customHeight="1">
      <c r="A149" s="1155"/>
      <c r="B149" s="783"/>
      <c r="C149" s="1155"/>
      <c r="D149" s="1155"/>
      <c r="E149" s="676">
        <v>17.100000000000001</v>
      </c>
      <c r="F149" s="779" t="str" cm="1">
        <f t="array" aca="1" ref="F149" ca="1">OFFSET(G149,-1,-1)</f>
        <v>1</v>
      </c>
      <c r="G149" s="814"/>
      <c r="H149" s="814"/>
      <c r="I149" s="814"/>
      <c r="J149" s="814"/>
      <c r="K149" s="814"/>
      <c r="L149" s="779" t="b" cm="1">
        <f t="array" aca="1" ref="L149" ca="1">OFFSET(M149,-1,-1)</f>
        <v>0</v>
      </c>
      <c r="M149" s="814"/>
      <c r="N149" s="814"/>
      <c r="O149" s="814"/>
      <c r="P149" s="814"/>
      <c r="Q149" s="814"/>
      <c r="R149" s="779" t="s">
        <v>759</v>
      </c>
      <c r="S149" s="110" t="b" cm="1">
        <f t="array" aca="1" ref="S149" ca="1">OFFSET(T149,-1,-1)</f>
        <v>1</v>
      </c>
      <c r="T149" s="110" t="b" cm="1">
        <f t="array" aca="1" ref="T149" ca="1">T148</f>
        <v>0</v>
      </c>
      <c r="U149" s="698" t="b">
        <f t="shared" ca="1" si="35"/>
        <v>0</v>
      </c>
      <c r="V149" s="1155"/>
      <c r="W149" s="1155"/>
      <c r="X149" s="1155"/>
      <c r="Y149" s="1687"/>
      <c r="Z149" s="1687"/>
      <c r="AA149" s="699"/>
      <c r="AB149" s="1753"/>
      <c r="AD149" s="111">
        <v>5</v>
      </c>
      <c r="AE149" s="1777" t="s">
        <v>783</v>
      </c>
      <c r="AF149" s="1778"/>
      <c r="AG149" s="111" t="s">
        <v>762</v>
      </c>
      <c r="AH149" s="41"/>
      <c r="AI149" s="42"/>
      <c r="AJ149" s="42"/>
      <c r="AK149" s="42"/>
      <c r="AL149" s="736">
        <f>AM149+AN149</f>
        <v>0</v>
      </c>
      <c r="AM149" s="42"/>
      <c r="AN149" s="42"/>
      <c r="AO149" s="736">
        <f>AP149+AQ149</f>
        <v>0</v>
      </c>
      <c r="AP149" s="826"/>
      <c r="AQ149" s="826"/>
      <c r="AR149" s="736">
        <f>AS149+AT149</f>
        <v>0</v>
      </c>
      <c r="AS149" s="826"/>
      <c r="AT149" s="826"/>
      <c r="AU149" s="736">
        <f>AV149+AW149</f>
        <v>0</v>
      </c>
      <c r="AV149" s="826"/>
      <c r="AW149" s="826"/>
      <c r="AX149" s="736">
        <f>AY149+AZ149</f>
        <v>0</v>
      </c>
      <c r="AY149" s="826"/>
      <c r="AZ149" s="826"/>
      <c r="BA149" s="736">
        <f>BB149+BC149</f>
        <v>0</v>
      </c>
      <c r="BB149" s="42"/>
      <c r="BC149" s="42"/>
      <c r="BD149" s="736">
        <f>BE149+BF149</f>
        <v>0</v>
      </c>
      <c r="BE149" s="42"/>
      <c r="BF149" s="42"/>
      <c r="BG149" s="736">
        <f>BH149+BI149</f>
        <v>0</v>
      </c>
      <c r="BH149" s="42"/>
      <c r="BI149" s="42"/>
      <c r="BJ149" s="736">
        <f>BK149+BL149</f>
        <v>0</v>
      </c>
      <c r="BK149" s="42"/>
      <c r="BL149" s="42"/>
      <c r="BM149" s="736">
        <f>BN149+BO149</f>
        <v>0</v>
      </c>
      <c r="BN149" s="42"/>
      <c r="BO149" s="42"/>
      <c r="BP149" s="736">
        <f>BQ149+BR149</f>
        <v>0</v>
      </c>
      <c r="BQ149" s="826"/>
      <c r="BR149" s="826"/>
      <c r="BS149" s="736">
        <f>BT149+BU149</f>
        <v>0</v>
      </c>
      <c r="BT149" s="826"/>
      <c r="BU149" s="826"/>
      <c r="BV149" s="736">
        <f>BW149+BX149</f>
        <v>0</v>
      </c>
      <c r="BW149" s="826"/>
      <c r="BX149" s="826"/>
      <c r="BY149" s="736">
        <f>BZ149+CA149</f>
        <v>0</v>
      </c>
      <c r="BZ149" s="826"/>
      <c r="CA149" s="826"/>
      <c r="CB149" s="736">
        <f>CC149+CD149</f>
        <v>0</v>
      </c>
      <c r="CC149" s="826"/>
      <c r="CD149" s="826"/>
      <c r="CE149" s="736">
        <f>CF149+CG149</f>
        <v>0</v>
      </c>
      <c r="CF149" s="42"/>
      <c r="CG149" s="42"/>
      <c r="CH149" s="736">
        <f>CI149+CJ149</f>
        <v>0</v>
      </c>
      <c r="CI149" s="42"/>
      <c r="CJ149" s="42"/>
      <c r="CK149" s="736">
        <f>CL149+CM149</f>
        <v>0</v>
      </c>
      <c r="CL149" s="42"/>
      <c r="CM149" s="42"/>
      <c r="CN149" s="736">
        <f>CO149+CP149</f>
        <v>0</v>
      </c>
      <c r="CO149" s="42"/>
      <c r="CP149" s="42"/>
      <c r="CQ149" s="736">
        <f>CR149+CS149</f>
        <v>0</v>
      </c>
      <c r="CR149" s="42"/>
      <c r="CS149" s="42"/>
      <c r="CT149" s="28"/>
      <c r="CW149" s="970" t="s">
        <v>784</v>
      </c>
      <c r="CX149" s="975"/>
      <c r="CY149" s="975"/>
      <c r="CZ149" s="975"/>
      <c r="DA149" s="976"/>
      <c r="DB149" s="976"/>
    </row>
    <row r="150" spans="1:106" s="1229" customFormat="1" ht="16.5" hidden="1" customHeight="1">
      <c r="A150" s="1155"/>
      <c r="B150" s="783"/>
      <c r="C150" s="1155"/>
      <c r="D150" s="1155"/>
      <c r="E150" s="676">
        <v>17.100000000000001</v>
      </c>
      <c r="F150" s="779" t="str" cm="1">
        <f t="array" aca="1" ref="F150" ca="1">OFFSET(G150,-1,-1)</f>
        <v>1</v>
      </c>
      <c r="G150" s="814"/>
      <c r="H150" s="814"/>
      <c r="I150" s="814"/>
      <c r="J150" s="814"/>
      <c r="K150" s="814"/>
      <c r="L150" s="779" t="b" cm="1">
        <f t="array" aca="1" ref="L150" ca="1">OFFSET(M150,-1,-1)</f>
        <v>0</v>
      </c>
      <c r="M150" s="814"/>
      <c r="N150" s="814"/>
      <c r="O150" s="814"/>
      <c r="P150" s="814"/>
      <c r="Q150" s="814"/>
      <c r="R150" s="779" t="s">
        <v>759</v>
      </c>
      <c r="S150" s="110" t="b" cm="1">
        <f t="array" aca="1" ref="S150" ca="1">OFFSET(T150,-1,-1)</f>
        <v>1</v>
      </c>
      <c r="T150" s="110" t="b" cm="1">
        <f t="array" aca="1" ref="T150" ca="1">T149</f>
        <v>0</v>
      </c>
      <c r="U150" s="698" t="b">
        <f t="shared" ca="1" si="35"/>
        <v>0</v>
      </c>
      <c r="V150" s="1155"/>
      <c r="W150" s="1155"/>
      <c r="X150" s="1155"/>
      <c r="Y150" s="1687"/>
      <c r="Z150" s="1687"/>
      <c r="AA150" s="699"/>
      <c r="AB150" s="1753"/>
      <c r="AD150" s="111" t="s">
        <v>785</v>
      </c>
      <c r="AE150" s="1770" t="s">
        <v>781</v>
      </c>
      <c r="AF150" s="1771"/>
      <c r="AG150" s="111" t="s">
        <v>533</v>
      </c>
      <c r="AH150" s="740">
        <f t="shared" ref="AH150:BM150" si="72">IFERROR(AH149/AH146,0)</f>
        <v>0</v>
      </c>
      <c r="AI150" s="741">
        <f t="shared" si="72"/>
        <v>0</v>
      </c>
      <c r="AJ150" s="741">
        <f t="shared" si="72"/>
        <v>0</v>
      </c>
      <c r="AK150" s="741">
        <f t="shared" si="72"/>
        <v>0</v>
      </c>
      <c r="AL150" s="741">
        <f t="shared" si="72"/>
        <v>0</v>
      </c>
      <c r="AM150" s="741">
        <f t="shared" si="72"/>
        <v>0</v>
      </c>
      <c r="AN150" s="741">
        <f t="shared" si="72"/>
        <v>0</v>
      </c>
      <c r="AO150" s="741">
        <f t="shared" si="72"/>
        <v>0</v>
      </c>
      <c r="AP150" s="741">
        <f t="shared" si="72"/>
        <v>0</v>
      </c>
      <c r="AQ150" s="741">
        <f t="shared" si="72"/>
        <v>0</v>
      </c>
      <c r="AR150" s="741">
        <f t="shared" si="72"/>
        <v>0</v>
      </c>
      <c r="AS150" s="741">
        <f t="shared" si="72"/>
        <v>0</v>
      </c>
      <c r="AT150" s="741">
        <f t="shared" si="72"/>
        <v>0</v>
      </c>
      <c r="AU150" s="741">
        <f t="shared" si="72"/>
        <v>0</v>
      </c>
      <c r="AV150" s="741">
        <f t="shared" si="72"/>
        <v>0</v>
      </c>
      <c r="AW150" s="741">
        <f t="shared" si="72"/>
        <v>0</v>
      </c>
      <c r="AX150" s="741">
        <f t="shared" si="72"/>
        <v>0</v>
      </c>
      <c r="AY150" s="741">
        <f t="shared" si="72"/>
        <v>0</v>
      </c>
      <c r="AZ150" s="741">
        <f t="shared" si="72"/>
        <v>0</v>
      </c>
      <c r="BA150" s="741">
        <f t="shared" si="72"/>
        <v>0</v>
      </c>
      <c r="BB150" s="741">
        <f t="shared" si="72"/>
        <v>0</v>
      </c>
      <c r="BC150" s="741">
        <f t="shared" si="72"/>
        <v>0</v>
      </c>
      <c r="BD150" s="741">
        <f t="shared" si="72"/>
        <v>0</v>
      </c>
      <c r="BE150" s="741">
        <f t="shared" si="72"/>
        <v>0</v>
      </c>
      <c r="BF150" s="741">
        <f t="shared" si="72"/>
        <v>0</v>
      </c>
      <c r="BG150" s="741">
        <f t="shared" si="72"/>
        <v>0</v>
      </c>
      <c r="BH150" s="741">
        <f t="shared" si="72"/>
        <v>0</v>
      </c>
      <c r="BI150" s="741">
        <f t="shared" si="72"/>
        <v>0</v>
      </c>
      <c r="BJ150" s="741">
        <f t="shared" si="72"/>
        <v>0</v>
      </c>
      <c r="BK150" s="741">
        <f t="shared" si="72"/>
        <v>0</v>
      </c>
      <c r="BL150" s="741">
        <f t="shared" si="72"/>
        <v>0</v>
      </c>
      <c r="BM150" s="741">
        <f t="shared" si="72"/>
        <v>0</v>
      </c>
      <c r="BN150" s="741">
        <f t="shared" ref="BN150:CS150" si="73">IFERROR(BN149/BN146,0)</f>
        <v>0</v>
      </c>
      <c r="BO150" s="741">
        <f t="shared" si="73"/>
        <v>0</v>
      </c>
      <c r="BP150" s="741">
        <f t="shared" si="73"/>
        <v>0</v>
      </c>
      <c r="BQ150" s="741">
        <f t="shared" si="73"/>
        <v>0</v>
      </c>
      <c r="BR150" s="741">
        <f t="shared" si="73"/>
        <v>0</v>
      </c>
      <c r="BS150" s="741">
        <f t="shared" si="73"/>
        <v>0</v>
      </c>
      <c r="BT150" s="741">
        <f t="shared" si="73"/>
        <v>0</v>
      </c>
      <c r="BU150" s="741">
        <f t="shared" si="73"/>
        <v>0</v>
      </c>
      <c r="BV150" s="741">
        <f t="shared" si="73"/>
        <v>0</v>
      </c>
      <c r="BW150" s="741">
        <f t="shared" si="73"/>
        <v>0</v>
      </c>
      <c r="BX150" s="741">
        <f t="shared" si="73"/>
        <v>0</v>
      </c>
      <c r="BY150" s="741">
        <f t="shared" si="73"/>
        <v>0</v>
      </c>
      <c r="BZ150" s="741">
        <f t="shared" si="73"/>
        <v>0</v>
      </c>
      <c r="CA150" s="741">
        <f t="shared" si="73"/>
        <v>0</v>
      </c>
      <c r="CB150" s="741">
        <f t="shared" si="73"/>
        <v>0</v>
      </c>
      <c r="CC150" s="741">
        <f t="shared" si="73"/>
        <v>0</v>
      </c>
      <c r="CD150" s="741">
        <f t="shared" si="73"/>
        <v>0</v>
      </c>
      <c r="CE150" s="741">
        <f t="shared" si="73"/>
        <v>0</v>
      </c>
      <c r="CF150" s="741">
        <f t="shared" si="73"/>
        <v>0</v>
      </c>
      <c r="CG150" s="741">
        <f t="shared" si="73"/>
        <v>0</v>
      </c>
      <c r="CH150" s="741">
        <f t="shared" si="73"/>
        <v>0</v>
      </c>
      <c r="CI150" s="741">
        <f t="shared" si="73"/>
        <v>0</v>
      </c>
      <c r="CJ150" s="741">
        <f t="shared" si="73"/>
        <v>0</v>
      </c>
      <c r="CK150" s="741">
        <f t="shared" si="73"/>
        <v>0</v>
      </c>
      <c r="CL150" s="741">
        <f t="shared" si="73"/>
        <v>0</v>
      </c>
      <c r="CM150" s="741">
        <f t="shared" si="73"/>
        <v>0</v>
      </c>
      <c r="CN150" s="741">
        <f t="shared" si="73"/>
        <v>0</v>
      </c>
      <c r="CO150" s="741">
        <f t="shared" si="73"/>
        <v>0</v>
      </c>
      <c r="CP150" s="741">
        <f t="shared" si="73"/>
        <v>0</v>
      </c>
      <c r="CQ150" s="741">
        <f t="shared" si="73"/>
        <v>0</v>
      </c>
      <c r="CR150" s="741">
        <f t="shared" si="73"/>
        <v>0</v>
      </c>
      <c r="CS150" s="741">
        <f t="shared" si="73"/>
        <v>0</v>
      </c>
      <c r="CT150" s="28"/>
      <c r="CW150" s="970" t="s">
        <v>786</v>
      </c>
      <c r="CX150" s="975"/>
      <c r="CY150" s="975"/>
      <c r="CZ150" s="975"/>
      <c r="DA150" s="976"/>
      <c r="DB150" s="976"/>
    </row>
    <row r="151" spans="1:106" s="1229" customFormat="1" ht="16.5" hidden="1" customHeight="1">
      <c r="A151" s="1155"/>
      <c r="B151" s="783"/>
      <c r="C151" s="1155"/>
      <c r="D151" s="1155"/>
      <c r="E151" s="676">
        <v>17.100000000000001</v>
      </c>
      <c r="F151" s="779" t="str" cm="1">
        <f t="array" aca="1" ref="F151" ca="1">OFFSET(G151,-1,-1)</f>
        <v>1</v>
      </c>
      <c r="G151" s="814"/>
      <c r="H151" s="814"/>
      <c r="I151" s="814"/>
      <c r="J151" s="814"/>
      <c r="K151" s="814"/>
      <c r="L151" s="779" t="b" cm="1">
        <f t="array" aca="1" ref="L151" ca="1">OFFSET(M151,-1,-1)</f>
        <v>0</v>
      </c>
      <c r="M151" s="814"/>
      <c r="N151" s="814"/>
      <c r="O151" s="814"/>
      <c r="P151" s="814"/>
      <c r="Q151" s="814"/>
      <c r="R151" s="779" t="s">
        <v>759</v>
      </c>
      <c r="S151" s="110" t="b" cm="1">
        <f t="array" aca="1" ref="S151" ca="1">OFFSET(T151,-1,-1)</f>
        <v>1</v>
      </c>
      <c r="T151" s="110" t="b" cm="1">
        <f t="array" aca="1" ref="T151" ca="1">T150</f>
        <v>0</v>
      </c>
      <c r="U151" s="698" t="b">
        <f t="shared" ca="1" si="35"/>
        <v>0</v>
      </c>
      <c r="V151" s="1155"/>
      <c r="W151" s="1155"/>
      <c r="X151" s="1155"/>
      <c r="Y151" s="1687"/>
      <c r="Z151" s="1687"/>
      <c r="AA151" s="699"/>
      <c r="AB151" s="1753"/>
      <c r="AD151" s="111">
        <v>6</v>
      </c>
      <c r="AE151" s="1777" t="s">
        <v>787</v>
      </c>
      <c r="AF151" s="1778"/>
      <c r="AG151" s="111" t="s">
        <v>762</v>
      </c>
      <c r="AH151" s="734">
        <f t="shared" ref="AH151:BM151" si="74">AH146-AH147-AH149</f>
        <v>0</v>
      </c>
      <c r="AI151" s="736">
        <f t="shared" si="74"/>
        <v>0</v>
      </c>
      <c r="AJ151" s="736">
        <f t="shared" si="74"/>
        <v>0</v>
      </c>
      <c r="AK151" s="736">
        <f t="shared" si="74"/>
        <v>0</v>
      </c>
      <c r="AL151" s="736">
        <f t="shared" si="74"/>
        <v>0</v>
      </c>
      <c r="AM151" s="736">
        <f t="shared" si="74"/>
        <v>0</v>
      </c>
      <c r="AN151" s="736">
        <f t="shared" si="74"/>
        <v>0</v>
      </c>
      <c r="AO151" s="736">
        <f t="shared" si="74"/>
        <v>0</v>
      </c>
      <c r="AP151" s="736">
        <f t="shared" si="74"/>
        <v>0</v>
      </c>
      <c r="AQ151" s="736">
        <f t="shared" si="74"/>
        <v>0</v>
      </c>
      <c r="AR151" s="736">
        <f t="shared" si="74"/>
        <v>0</v>
      </c>
      <c r="AS151" s="736">
        <f t="shared" si="74"/>
        <v>0</v>
      </c>
      <c r="AT151" s="736">
        <f t="shared" si="74"/>
        <v>0</v>
      </c>
      <c r="AU151" s="736">
        <f t="shared" si="74"/>
        <v>0</v>
      </c>
      <c r="AV151" s="736">
        <f t="shared" si="74"/>
        <v>0</v>
      </c>
      <c r="AW151" s="736">
        <f t="shared" si="74"/>
        <v>0</v>
      </c>
      <c r="AX151" s="736">
        <f t="shared" si="74"/>
        <v>0</v>
      </c>
      <c r="AY151" s="736">
        <f t="shared" si="74"/>
        <v>0</v>
      </c>
      <c r="AZ151" s="736">
        <f t="shared" si="74"/>
        <v>0</v>
      </c>
      <c r="BA151" s="736">
        <f t="shared" si="74"/>
        <v>0</v>
      </c>
      <c r="BB151" s="736">
        <f t="shared" si="74"/>
        <v>0</v>
      </c>
      <c r="BC151" s="736">
        <f t="shared" si="74"/>
        <v>0</v>
      </c>
      <c r="BD151" s="736">
        <f t="shared" si="74"/>
        <v>0</v>
      </c>
      <c r="BE151" s="736">
        <f t="shared" si="74"/>
        <v>0</v>
      </c>
      <c r="BF151" s="736">
        <f t="shared" si="74"/>
        <v>0</v>
      </c>
      <c r="BG151" s="736">
        <f t="shared" si="74"/>
        <v>0</v>
      </c>
      <c r="BH151" s="736">
        <f t="shared" si="74"/>
        <v>0</v>
      </c>
      <c r="BI151" s="736">
        <f t="shared" si="74"/>
        <v>0</v>
      </c>
      <c r="BJ151" s="736">
        <f t="shared" si="74"/>
        <v>0</v>
      </c>
      <c r="BK151" s="736">
        <f t="shared" si="74"/>
        <v>0</v>
      </c>
      <c r="BL151" s="736">
        <f t="shared" si="74"/>
        <v>0</v>
      </c>
      <c r="BM151" s="736">
        <f t="shared" si="74"/>
        <v>0</v>
      </c>
      <c r="BN151" s="736">
        <f t="shared" ref="BN151:CS151" si="75">BN146-BN147-BN149</f>
        <v>0</v>
      </c>
      <c r="BO151" s="736">
        <f t="shared" si="75"/>
        <v>0</v>
      </c>
      <c r="BP151" s="736">
        <f t="shared" si="75"/>
        <v>0</v>
      </c>
      <c r="BQ151" s="736">
        <f t="shared" si="75"/>
        <v>0</v>
      </c>
      <c r="BR151" s="736">
        <f t="shared" si="75"/>
        <v>0</v>
      </c>
      <c r="BS151" s="736">
        <f t="shared" si="75"/>
        <v>0</v>
      </c>
      <c r="BT151" s="736">
        <f t="shared" si="75"/>
        <v>0</v>
      </c>
      <c r="BU151" s="736">
        <f t="shared" si="75"/>
        <v>0</v>
      </c>
      <c r="BV151" s="736">
        <f t="shared" si="75"/>
        <v>0</v>
      </c>
      <c r="BW151" s="736">
        <f t="shared" si="75"/>
        <v>0</v>
      </c>
      <c r="BX151" s="736">
        <f t="shared" si="75"/>
        <v>0</v>
      </c>
      <c r="BY151" s="736">
        <f t="shared" si="75"/>
        <v>0</v>
      </c>
      <c r="BZ151" s="736">
        <f t="shared" si="75"/>
        <v>0</v>
      </c>
      <c r="CA151" s="736">
        <f t="shared" si="75"/>
        <v>0</v>
      </c>
      <c r="CB151" s="736">
        <f t="shared" si="75"/>
        <v>0</v>
      </c>
      <c r="CC151" s="736">
        <f t="shared" si="75"/>
        <v>0</v>
      </c>
      <c r="CD151" s="736">
        <f t="shared" si="75"/>
        <v>0</v>
      </c>
      <c r="CE151" s="736">
        <f t="shared" si="75"/>
        <v>0</v>
      </c>
      <c r="CF151" s="736">
        <f t="shared" si="75"/>
        <v>0</v>
      </c>
      <c r="CG151" s="736">
        <f t="shared" si="75"/>
        <v>0</v>
      </c>
      <c r="CH151" s="736">
        <f t="shared" si="75"/>
        <v>0</v>
      </c>
      <c r="CI151" s="736">
        <f t="shared" si="75"/>
        <v>0</v>
      </c>
      <c r="CJ151" s="736">
        <f t="shared" si="75"/>
        <v>0</v>
      </c>
      <c r="CK151" s="736">
        <f t="shared" si="75"/>
        <v>0</v>
      </c>
      <c r="CL151" s="736">
        <f t="shared" si="75"/>
        <v>0</v>
      </c>
      <c r="CM151" s="736">
        <f t="shared" si="75"/>
        <v>0</v>
      </c>
      <c r="CN151" s="736">
        <f t="shared" si="75"/>
        <v>0</v>
      </c>
      <c r="CO151" s="736">
        <f t="shared" si="75"/>
        <v>0</v>
      </c>
      <c r="CP151" s="736">
        <f t="shared" si="75"/>
        <v>0</v>
      </c>
      <c r="CQ151" s="736">
        <f t="shared" si="75"/>
        <v>0</v>
      </c>
      <c r="CR151" s="736">
        <f t="shared" si="75"/>
        <v>0</v>
      </c>
      <c r="CS151" s="736">
        <f t="shared" si="75"/>
        <v>0</v>
      </c>
      <c r="CT151" s="28"/>
      <c r="CW151" s="970" t="s">
        <v>788</v>
      </c>
      <c r="CX151" s="975"/>
      <c r="CY151" s="975"/>
      <c r="CZ151" s="975"/>
      <c r="DA151" s="976"/>
      <c r="DB151" s="976"/>
    </row>
    <row r="152" spans="1:106" s="1229" customFormat="1" ht="29.25" customHeight="1">
      <c r="A152" s="1155"/>
      <c r="B152" s="783"/>
      <c r="C152" s="1155"/>
      <c r="D152" s="1155"/>
      <c r="E152" s="676">
        <v>30</v>
      </c>
      <c r="F152" s="779" t="str" cm="1">
        <f t="array" aca="1" ref="F152" ca="1">OFFSET(G152,-1,-1)</f>
        <v>1</v>
      </c>
      <c r="G152" s="814"/>
      <c r="H152" s="814"/>
      <c r="I152" s="814"/>
      <c r="J152" s="814"/>
      <c r="K152" s="814"/>
      <c r="L152" s="779" t="b" cm="1">
        <f t="array" aca="1" ref="L152" ca="1">OFFSET(M152,-1,-1)</f>
        <v>0</v>
      </c>
      <c r="M152" s="814"/>
      <c r="N152" s="814"/>
      <c r="O152" s="814"/>
      <c r="P152" s="814"/>
      <c r="Q152" s="814"/>
      <c r="R152" s="1155"/>
      <c r="S152" s="110" t="b" cm="1">
        <f t="array" aca="1" ref="S152" ca="1">OFFSET(T152,-1,-1)</f>
        <v>1</v>
      </c>
      <c r="T152" s="1155"/>
      <c r="U152" s="698" t="b">
        <f t="shared" ca="1" si="35"/>
        <v>1</v>
      </c>
      <c r="V152" s="1155"/>
      <c r="W152" s="1155"/>
      <c r="X152" s="1155"/>
      <c r="Y152" s="1687"/>
      <c r="Z152" s="1687"/>
      <c r="AA152" s="699"/>
      <c r="AB152" s="1753"/>
      <c r="AD152" s="111">
        <v>7</v>
      </c>
      <c r="AE152" s="1766" t="s">
        <v>789</v>
      </c>
      <c r="AF152" s="1767"/>
      <c r="AG152" s="744" t="s">
        <v>634</v>
      </c>
      <c r="AH152" s="734">
        <f ca="1">SUMIFS('Баланс Пр'!AE$27:AE$233,'Баланс Пр'!$AB$27:$AB$233,"3.1",'Баланс Пр'!$F$27:$F$233,$F152)+SUMIFS('Баланс Пр'!AE$27:AE$233,'Баланс Пр'!$AB$27:$AB$233,"3.2",'Баланс Пр'!$F$27:$F$233,$F152)</f>
        <v>0</v>
      </c>
      <c r="AI152" s="734">
        <f ca="1">SUMIFS('Баланс Пр'!AF$27:AF$233,'Баланс Пр'!$AB$27:$AB$233,"3.1",'Баланс Пр'!$F$27:$F$233,$F152)+SUMIFS('Баланс Пр'!AF$27:AF$233,'Баланс Пр'!$AB$27:$AB$233,"3.2",'Баланс Пр'!$F$27:$F$233,$F152)</f>
        <v>0</v>
      </c>
      <c r="AJ152" s="734">
        <f ca="1">SUMIFS('Баланс Пр'!AG$27:AG$233,'Баланс Пр'!$AB$27:$AB$233,"3.1",'Баланс Пр'!$F$27:$F$233,$F152)+SUMIFS('Баланс Пр'!AG$27:AG$233,'Баланс Пр'!$AB$27:$AB$233,"3.2",'Баланс Пр'!$F$27:$F$233,$F152)</f>
        <v>0</v>
      </c>
      <c r="AK152" s="734">
        <f ca="1">SUMIFS('Баланс Пр'!AH$27:AH$233,'Баланс Пр'!$AB$27:$AB$233,"3.1",'Баланс Пр'!$F$27:$F$233,$F152)+SUMIFS('Баланс Пр'!AH$27:AH$233,'Баланс Пр'!$AB$27:$AB$233,"3.2",'Баланс Пр'!$F$27:$F$233,$F152)</f>
        <v>153087</v>
      </c>
      <c r="AL152" s="734">
        <f ca="1">SUMIFS('Баланс Пр'!AI$27:AI$233,'Баланс Пр'!$AB$27:$AB$233,"3.1",'Баланс Пр'!$F$27:$F$233,$F152)+SUMIFS('Баланс Пр'!AI$27:AI$233,'Баланс Пр'!$AB$27:$AB$233,"3.2",'Баланс Пр'!$F$27:$F$233,$F152)</f>
        <v>0</v>
      </c>
      <c r="AM152" s="1302"/>
      <c r="AN152" s="736">
        <f ca="1">AL152-AM152</f>
        <v>0</v>
      </c>
      <c r="AO152" s="734">
        <f ca="1">SUMIFS('Баланс Пр'!AJ$27:AJ$233,'Баланс Пр'!$AB$27:$AB$233,"3.1",'Баланс Пр'!$F$27:$F$233,$F152)+SUMIFS('Баланс Пр'!AJ$27:AJ$233,'Баланс Пр'!$AB$27:$AB$233,"3.2",'Баланс Пр'!$F$27:$F$233,$F152)</f>
        <v>0</v>
      </c>
      <c r="AP152" s="826"/>
      <c r="AQ152" s="736">
        <f ca="1">AO152-AP152</f>
        <v>0</v>
      </c>
      <c r="AR152" s="734">
        <f ca="1">SUMIFS('Баланс Пр'!AK$27:AK$233,'Баланс Пр'!$AB$27:$AB$233,"3.1",'Баланс Пр'!$F$27:$F$233,$F152)+SUMIFS('Баланс Пр'!AK$27:AK$233,'Баланс Пр'!$AB$27:$AB$233,"3.2",'Баланс Пр'!$F$27:$F$233,$F152)</f>
        <v>0</v>
      </c>
      <c r="AS152" s="826"/>
      <c r="AT152" s="736">
        <f ca="1">AR152-AS152</f>
        <v>0</v>
      </c>
      <c r="AU152" s="734">
        <f ca="1">SUMIFS('Баланс Пр'!AL$27:AL$233,'Баланс Пр'!$AB$27:$AB$233,"3.1",'Баланс Пр'!$F$27:$F$233,$F152)+SUMIFS('Баланс Пр'!AL$27:AL$233,'Баланс Пр'!$AB$27:$AB$233,"3.2",'Баланс Пр'!$F$27:$F$233,$F152)</f>
        <v>0</v>
      </c>
      <c r="AV152" s="826"/>
      <c r="AW152" s="736">
        <f ca="1">AU152-AV152</f>
        <v>0</v>
      </c>
      <c r="AX152" s="734">
        <f ca="1">SUMIFS('Баланс Пр'!AM$27:AM$233,'Баланс Пр'!$AB$27:$AB$233,"3.1",'Баланс Пр'!$F$27:$F$233,$F152)+SUMIFS('Баланс Пр'!AM$27:AM$233,'Баланс Пр'!$AB$27:$AB$233,"3.2",'Баланс Пр'!$F$27:$F$233,$F152)</f>
        <v>0</v>
      </c>
      <c r="AY152" s="826"/>
      <c r="AZ152" s="736">
        <f ca="1">AX152-AY152</f>
        <v>0</v>
      </c>
      <c r="BA152" s="734">
        <f ca="1">SUMIFS('Баланс Пр'!AN$27:AN$233,'Баланс Пр'!$AB$27:$AB$233,"3.1",'Баланс Пр'!$F$27:$F$233,$F152)+SUMIFS('Баланс Пр'!AN$27:AN$233,'Баланс Пр'!$AB$27:$AB$233,"3.2",'Баланс Пр'!$F$27:$F$233,$F152)</f>
        <v>0</v>
      </c>
      <c r="BB152" s="1302"/>
      <c r="BC152" s="736">
        <f ca="1">BA152-BB152</f>
        <v>0</v>
      </c>
      <c r="BD152" s="734">
        <f ca="1">SUMIFS('Баланс Пр'!AO$27:AO$233,'Баланс Пр'!$AB$27:$AB$233,"3.1",'Баланс Пр'!$F$27:$F$233,$F152)+SUMIFS('Баланс Пр'!AO$27:AO$233,'Баланс Пр'!$AB$27:$AB$233,"3.2",'Баланс Пр'!$F$27:$F$233,$F152)</f>
        <v>0</v>
      </c>
      <c r="BE152" s="1302"/>
      <c r="BF152" s="736">
        <f ca="1">BD152-BE152</f>
        <v>0</v>
      </c>
      <c r="BG152" s="734">
        <f ca="1">SUMIFS('Баланс Пр'!AP$27:AP$233,'Баланс Пр'!$AB$27:$AB$233,"3.1",'Баланс Пр'!$F$27:$F$233,$F152)+SUMIFS('Баланс Пр'!AP$27:AP$233,'Баланс Пр'!$AB$27:$AB$233,"3.2",'Баланс Пр'!$F$27:$F$233,$F152)</f>
        <v>0</v>
      </c>
      <c r="BH152" s="1302"/>
      <c r="BI152" s="736">
        <f ca="1">BG152-BH152</f>
        <v>0</v>
      </c>
      <c r="BJ152" s="734">
        <f ca="1">SUMIFS('Баланс Пр'!AQ$27:AQ$233,'Баланс Пр'!$AB$27:$AB$233,"3.1",'Баланс Пр'!$F$27:$F$233,$F152)+SUMIFS('Баланс Пр'!AQ$27:AQ$233,'Баланс Пр'!$AB$27:$AB$233,"3.2",'Баланс Пр'!$F$27:$F$233,$F152)</f>
        <v>0</v>
      </c>
      <c r="BK152" s="1302"/>
      <c r="BL152" s="736">
        <f ca="1">BJ152-BK152</f>
        <v>0</v>
      </c>
      <c r="BM152" s="734">
        <f ca="1">SUMIFS('Баланс Пр'!AR$27:AR$233,'Баланс Пр'!$AB$27:$AB$233,"3.1",'Баланс Пр'!$F$27:$F$233,$F152)+SUMIFS('Баланс Пр'!AR$27:AR$233,'Баланс Пр'!$AB$27:$AB$233,"3.2",'Баланс Пр'!$F$27:$F$233,$F152)</f>
        <v>0</v>
      </c>
      <c r="BN152" s="1302"/>
      <c r="BO152" s="736">
        <f ca="1">BM152-BN152</f>
        <v>0</v>
      </c>
      <c r="BP152" s="734">
        <f ca="1">SUMIFS('Баланс Пр'!AS$27:AS$233,'Баланс Пр'!$AB$27:$AB$233,"3.1",'Баланс Пр'!$F$27:$F$233,$F152)+SUMIFS('Баланс Пр'!AS$27:AS$233,'Баланс Пр'!$AB$27:$AB$233,"3.2",'Баланс Пр'!$F$27:$F$233,$F152)</f>
        <v>153301.70000000001</v>
      </c>
      <c r="BQ152" s="826">
        <v>109666.25363987</v>
      </c>
      <c r="BR152" s="736">
        <f ca="1">BP152-BQ152</f>
        <v>43635.446360130009</v>
      </c>
      <c r="BS152" s="734">
        <f ca="1">SUMIFS('Баланс Пр'!AT$27:AT$233,'Баланс Пр'!$AB$27:$AB$233,"3.1",'Баланс Пр'!$F$27:$F$233,$F152)+SUMIFS('Баланс Пр'!AT$27:AT$233,'Баланс Пр'!$AB$27:$AB$233,"3.2",'Баланс Пр'!$F$27:$F$233,$F152)</f>
        <v>0</v>
      </c>
      <c r="BT152" s="826"/>
      <c r="BU152" s="736">
        <f ca="1">BS152-BT152</f>
        <v>0</v>
      </c>
      <c r="BV152" s="734">
        <f ca="1">SUMIFS('Баланс Пр'!AU$27:AU$233,'Баланс Пр'!$AB$27:$AB$233,"3.1",'Баланс Пр'!$F$27:$F$233,$F152)+SUMIFS('Баланс Пр'!AU$27:AU$233,'Баланс Пр'!$AB$27:$AB$233,"3.2",'Баланс Пр'!$F$27:$F$233,$F152)</f>
        <v>0</v>
      </c>
      <c r="BW152" s="826"/>
      <c r="BX152" s="736">
        <f ca="1">BV152-BW152</f>
        <v>0</v>
      </c>
      <c r="BY152" s="734">
        <f ca="1">SUMIFS('Баланс Пр'!AV$27:AV$233,'Баланс Пр'!$AB$27:$AB$233,"3.1",'Баланс Пр'!$F$27:$F$233,$F152)+SUMIFS('Баланс Пр'!AV$27:AV$233,'Баланс Пр'!$AB$27:$AB$233,"3.2",'Баланс Пр'!$F$27:$F$233,$F152)</f>
        <v>0</v>
      </c>
      <c r="BZ152" s="826"/>
      <c r="CA152" s="736">
        <f ca="1">BY152-BZ152</f>
        <v>0</v>
      </c>
      <c r="CB152" s="734">
        <f ca="1">SUMIFS('Баланс Пр'!AW$27:AW$233,'Баланс Пр'!$AB$27:$AB$233,"3.1",'Баланс Пр'!$F$27:$F$233,$F152)+SUMIFS('Баланс Пр'!AW$27:AW$233,'Баланс Пр'!$AB$27:$AB$233,"3.2",'Баланс Пр'!$F$27:$F$233,$F152)</f>
        <v>0</v>
      </c>
      <c r="CC152" s="826"/>
      <c r="CD152" s="736">
        <f ca="1">CB152-CC152</f>
        <v>0</v>
      </c>
      <c r="CE152" s="734">
        <f ca="1">SUMIFS('Баланс Пр'!AX$27:AX$233,'Баланс Пр'!$AB$27:$AB$233,"3.1",'Баланс Пр'!$F$27:$F$233,$F152)+SUMIFS('Баланс Пр'!AX$27:AX$233,'Баланс Пр'!$AB$27:$AB$233,"3.2",'Баланс Пр'!$F$27:$F$233,$F152)</f>
        <v>0</v>
      </c>
      <c r="CF152" s="1302"/>
      <c r="CG152" s="736">
        <f ca="1">CE152-CF152</f>
        <v>0</v>
      </c>
      <c r="CH152" s="734">
        <f ca="1">SUMIFS('Баланс Пр'!AY$27:AY$233,'Баланс Пр'!$AB$27:$AB$233,"3.1",'Баланс Пр'!$F$27:$F$233,$F152)+SUMIFS('Баланс Пр'!AY$27:AY$233,'Баланс Пр'!$AB$27:$AB$233,"3.2",'Баланс Пр'!$F$27:$F$233,$F152)</f>
        <v>0</v>
      </c>
      <c r="CI152" s="1302"/>
      <c r="CJ152" s="736">
        <f ca="1">CH152-CI152</f>
        <v>0</v>
      </c>
      <c r="CK152" s="734">
        <f ca="1">SUMIFS('Баланс Пр'!AZ$27:AZ$233,'Баланс Пр'!$AB$27:$AB$233,"3.1",'Баланс Пр'!$F$27:$F$233,$F152)+SUMIFS('Баланс Пр'!AZ$27:AZ$233,'Баланс Пр'!$AB$27:$AB$233,"3.2",'Баланс Пр'!$F$27:$F$233,$F152)</f>
        <v>0</v>
      </c>
      <c r="CL152" s="1302"/>
      <c r="CM152" s="736">
        <f ca="1">CK152-CL152</f>
        <v>0</v>
      </c>
      <c r="CN152" s="734">
        <f ca="1">SUMIFS('Баланс Пр'!BA$27:BA$233,'Баланс Пр'!$AB$27:$AB$233,"3.1",'Баланс Пр'!$F$27:$F$233,$F152)+SUMIFS('Баланс Пр'!BA$27:BA$233,'Баланс Пр'!$AB$27:$AB$233,"3.2",'Баланс Пр'!$F$27:$F$233,$F152)</f>
        <v>0</v>
      </c>
      <c r="CO152" s="1302"/>
      <c r="CP152" s="736">
        <f ca="1">CN152-CO152</f>
        <v>0</v>
      </c>
      <c r="CQ152" s="734">
        <f ca="1">SUMIFS('Баланс Пр'!BB$27:BB$233,'Баланс Пр'!$AB$27:$AB$233,"3.1",'Баланс Пр'!$F$27:$F$233,$F152)+SUMIFS('Баланс Пр'!BB$27:BB$233,'Баланс Пр'!$AB$27:$AB$233,"3.2",'Баланс Пр'!$F$27:$F$233,$F152)</f>
        <v>0</v>
      </c>
      <c r="CR152" s="1302"/>
      <c r="CS152" s="736">
        <f ca="1">CQ152-CR152</f>
        <v>0</v>
      </c>
      <c r="CT152" s="1290"/>
      <c r="CW152" s="970" t="s">
        <v>790</v>
      </c>
      <c r="CX152" s="975"/>
      <c r="CY152" s="975"/>
      <c r="CZ152" s="975"/>
      <c r="DA152" s="976"/>
      <c r="DB152" s="976"/>
    </row>
    <row r="153" spans="1:106" s="1229" customFormat="1" ht="16.5" customHeight="1">
      <c r="A153" s="1155"/>
      <c r="B153" s="783"/>
      <c r="C153" s="1155"/>
      <c r="D153" s="1155"/>
      <c r="E153" s="676">
        <v>17.100000000000001</v>
      </c>
      <c r="F153" s="779" t="str" cm="1">
        <f t="array" aca="1" ref="F153" ca="1">OFFSET(G153,-1,-1)</f>
        <v>1</v>
      </c>
      <c r="G153" s="814"/>
      <c r="H153" s="814"/>
      <c r="I153" s="814"/>
      <c r="J153" s="814"/>
      <c r="K153" s="814"/>
      <c r="L153" s="779" t="b" cm="1">
        <f t="array" aca="1" ref="L153" ca="1">OFFSET(M153,-1,-1)</f>
        <v>0</v>
      </c>
      <c r="M153" s="814"/>
      <c r="N153" s="814"/>
      <c r="O153" s="814"/>
      <c r="P153" s="814"/>
      <c r="Q153" s="814"/>
      <c r="R153" s="1155"/>
      <c r="S153" s="110" t="b" cm="1">
        <f t="array" aca="1" ref="S153" ca="1">OFFSET(T153,-1,-1)</f>
        <v>1</v>
      </c>
      <c r="T153" s="1155"/>
      <c r="U153" s="698" t="b">
        <f t="shared" ca="1" si="35"/>
        <v>1</v>
      </c>
      <c r="V153" s="1155"/>
      <c r="W153" s="1155"/>
      <c r="X153" s="1155"/>
      <c r="Y153" s="1687"/>
      <c r="Z153" s="1687"/>
      <c r="AA153" s="699"/>
      <c r="AB153" s="1753"/>
      <c r="AD153" s="111">
        <v>8</v>
      </c>
      <c r="AE153" s="1766" t="s">
        <v>791</v>
      </c>
      <c r="AF153" s="1767"/>
      <c r="AG153" s="744" t="s">
        <v>634</v>
      </c>
      <c r="AH153" s="734">
        <f ca="1">SUMIFS('Баланс Пр'!AE$27:AE$233,'Баланс Пр'!$AB$27:$AB$233,"5",'Баланс Пр'!$F$27:$F$233,$F152)</f>
        <v>0</v>
      </c>
      <c r="AI153" s="734">
        <f ca="1">SUMIFS('Баланс Пр'!AF$27:AF$233,'Баланс Пр'!$AB$27:$AB$233,"5",'Баланс Пр'!$F$27:$F$233,$F152)</f>
        <v>0</v>
      </c>
      <c r="AJ153" s="734">
        <f ca="1">SUMIFS('Баланс Пр'!AG$27:AG$233,'Баланс Пр'!$AB$27:$AB$233,"5",'Баланс Пр'!$F$27:$F$233,$F152)</f>
        <v>0</v>
      </c>
      <c r="AK153" s="734">
        <f ca="1">SUMIFS('Баланс Пр'!AH$27:AH$233,'Баланс Пр'!$AB$27:$AB$233,"5",'Баланс Пр'!$F$27:$F$233,$F152)</f>
        <v>0</v>
      </c>
      <c r="AL153" s="734">
        <f ca="1">SUMIFS('Баланс Пр'!AI$27:AI$233,'Баланс Пр'!$AB$27:$AB$233,"5",'Баланс Пр'!$F$27:$F$233,$F152)</f>
        <v>0</v>
      </c>
      <c r="AM153" s="1302"/>
      <c r="AN153" s="736">
        <f ca="1">AL153-AM153</f>
        <v>0</v>
      </c>
      <c r="AO153" s="734">
        <f ca="1">SUMIFS('Баланс Пр'!AJ$27:AJ$233,'Баланс Пр'!$AB$27:$AB$233,"5",'Баланс Пр'!$F$27:$F$233,$F152)</f>
        <v>0</v>
      </c>
      <c r="AP153" s="826"/>
      <c r="AQ153" s="736">
        <f ca="1">AO153-AP153</f>
        <v>0</v>
      </c>
      <c r="AR153" s="734">
        <f ca="1">SUMIFS('Баланс Пр'!AK$27:AK$233,'Баланс Пр'!$AB$27:$AB$233,"5",'Баланс Пр'!$F$27:$F$233,$F152)</f>
        <v>0</v>
      </c>
      <c r="AS153" s="826"/>
      <c r="AT153" s="736">
        <f ca="1">AR153-AS153</f>
        <v>0</v>
      </c>
      <c r="AU153" s="734">
        <f ca="1">SUMIFS('Баланс Пр'!AL$27:AL$233,'Баланс Пр'!$AB$27:$AB$233,"5",'Баланс Пр'!$F$27:$F$233,$F152)</f>
        <v>0</v>
      </c>
      <c r="AV153" s="826"/>
      <c r="AW153" s="736">
        <f ca="1">AU153-AV153</f>
        <v>0</v>
      </c>
      <c r="AX153" s="734">
        <f ca="1">SUMIFS('Баланс Пр'!AM$27:AM$233,'Баланс Пр'!$AB$27:$AB$233,"5",'Баланс Пр'!$F$27:$F$233,$F152)</f>
        <v>0</v>
      </c>
      <c r="AY153" s="826"/>
      <c r="AZ153" s="736">
        <f ca="1">AX153-AY153</f>
        <v>0</v>
      </c>
      <c r="BA153" s="734">
        <f ca="1">SUMIFS('Баланс Пр'!AN$27:AN$233,'Баланс Пр'!$AB$27:$AB$233,"5",'Баланс Пр'!$F$27:$F$233,$F152)</f>
        <v>0</v>
      </c>
      <c r="BB153" s="1302"/>
      <c r="BC153" s="736">
        <f ca="1">BA153-BB153</f>
        <v>0</v>
      </c>
      <c r="BD153" s="734">
        <f ca="1">SUMIFS('Баланс Пр'!AO$27:AO$233,'Баланс Пр'!$AB$27:$AB$233,"5",'Баланс Пр'!$F$27:$F$233,$F152)</f>
        <v>0</v>
      </c>
      <c r="BE153" s="1302"/>
      <c r="BF153" s="736">
        <f ca="1">BD153-BE153</f>
        <v>0</v>
      </c>
      <c r="BG153" s="734">
        <f ca="1">SUMIFS('Баланс Пр'!AP$27:AP$233,'Баланс Пр'!$AB$27:$AB$233,"5",'Баланс Пр'!$F$27:$F$233,$F152)</f>
        <v>0</v>
      </c>
      <c r="BH153" s="1302"/>
      <c r="BI153" s="736">
        <f ca="1">BG153-BH153</f>
        <v>0</v>
      </c>
      <c r="BJ153" s="734">
        <f ca="1">SUMIFS('Баланс Пр'!AQ$27:AQ$233,'Баланс Пр'!$AB$27:$AB$233,"5",'Баланс Пр'!$F$27:$F$233,$F152)</f>
        <v>0</v>
      </c>
      <c r="BK153" s="1302"/>
      <c r="BL153" s="736">
        <f ca="1">BJ153-BK153</f>
        <v>0</v>
      </c>
      <c r="BM153" s="734">
        <f ca="1">SUMIFS('Баланс Пр'!AR$27:AR$233,'Баланс Пр'!$AB$27:$AB$233,"5",'Баланс Пр'!$F$27:$F$233,$F152)</f>
        <v>0</v>
      </c>
      <c r="BN153" s="1302"/>
      <c r="BO153" s="736">
        <f ca="1">BM153-BN153</f>
        <v>0</v>
      </c>
      <c r="BP153" s="734">
        <f ca="1">SUMIFS('Баланс Пр'!AS$27:AS$233,'Баланс Пр'!$AB$27:$AB$233,"5",'Баланс Пр'!$F$27:$F$233,$F152)</f>
        <v>0</v>
      </c>
      <c r="BQ153" s="826"/>
      <c r="BR153" s="736">
        <f ca="1">BP153-BQ153</f>
        <v>0</v>
      </c>
      <c r="BS153" s="734">
        <f ca="1">SUMIFS('Баланс Пр'!AT$27:AT$233,'Баланс Пр'!$AB$27:$AB$233,"5",'Баланс Пр'!$F$27:$F$233,$F152)</f>
        <v>0</v>
      </c>
      <c r="BT153" s="826"/>
      <c r="BU153" s="736">
        <f ca="1">BS153-BT153</f>
        <v>0</v>
      </c>
      <c r="BV153" s="734">
        <f ca="1">SUMIFS('Баланс Пр'!AU$27:AU$233,'Баланс Пр'!$AB$27:$AB$233,"5",'Баланс Пр'!$F$27:$F$233,$F152)</f>
        <v>0</v>
      </c>
      <c r="BW153" s="826"/>
      <c r="BX153" s="736">
        <f ca="1">BV153-BW153</f>
        <v>0</v>
      </c>
      <c r="BY153" s="734">
        <f ca="1">SUMIFS('Баланс Пр'!AV$27:AV$233,'Баланс Пр'!$AB$27:$AB$233,"5",'Баланс Пр'!$F$27:$F$233,$F152)</f>
        <v>0</v>
      </c>
      <c r="BZ153" s="826"/>
      <c r="CA153" s="736">
        <f ca="1">BY153-BZ153</f>
        <v>0</v>
      </c>
      <c r="CB153" s="734">
        <f ca="1">SUMIFS('Баланс Пр'!AW$27:AW$233,'Баланс Пр'!$AB$27:$AB$233,"5",'Баланс Пр'!$F$27:$F$233,$F152)</f>
        <v>0</v>
      </c>
      <c r="CC153" s="826"/>
      <c r="CD153" s="736">
        <f ca="1">CB153-CC153</f>
        <v>0</v>
      </c>
      <c r="CE153" s="734">
        <f ca="1">SUMIFS('Баланс Пр'!AX$27:AX$233,'Баланс Пр'!$AB$27:$AB$233,"5",'Баланс Пр'!$F$27:$F$233,$F152)</f>
        <v>0</v>
      </c>
      <c r="CF153" s="1302"/>
      <c r="CG153" s="736">
        <f ca="1">CE153-CF153</f>
        <v>0</v>
      </c>
      <c r="CH153" s="734">
        <f ca="1">SUMIFS('Баланс Пр'!AY$27:AY$233,'Баланс Пр'!$AB$27:$AB$233,"5",'Баланс Пр'!$F$27:$F$233,$F152)</f>
        <v>0</v>
      </c>
      <c r="CI153" s="1302"/>
      <c r="CJ153" s="736">
        <f ca="1">CH153-CI153</f>
        <v>0</v>
      </c>
      <c r="CK153" s="734">
        <f ca="1">SUMIFS('Баланс Пр'!AZ$27:AZ$233,'Баланс Пр'!$AB$27:$AB$233,"5",'Баланс Пр'!$F$27:$F$233,$F152)</f>
        <v>0</v>
      </c>
      <c r="CL153" s="1302"/>
      <c r="CM153" s="736">
        <f ca="1">CK153-CL153</f>
        <v>0</v>
      </c>
      <c r="CN153" s="734">
        <f ca="1">SUMIFS('Баланс Пр'!BA$27:BA$233,'Баланс Пр'!$AB$27:$AB$233,"5",'Баланс Пр'!$F$27:$F$233,$F152)</f>
        <v>0</v>
      </c>
      <c r="CO153" s="1302"/>
      <c r="CP153" s="736">
        <f ca="1">CN153-CO153</f>
        <v>0</v>
      </c>
      <c r="CQ153" s="734">
        <f ca="1">SUMIFS('Баланс Пр'!BB$27:BB$233,'Баланс Пр'!$AB$27:$AB$233,"5",'Баланс Пр'!$F$27:$F$233,$F152)</f>
        <v>0</v>
      </c>
      <c r="CR153" s="1302"/>
      <c r="CS153" s="736">
        <f ca="1">CQ153-CR153</f>
        <v>0</v>
      </c>
      <c r="CT153" s="1290"/>
      <c r="CW153" s="970" t="s">
        <v>792</v>
      </c>
      <c r="CX153" s="975"/>
      <c r="CY153" s="975"/>
      <c r="CZ153" s="975"/>
      <c r="DA153" s="976"/>
      <c r="DB153" s="976"/>
    </row>
    <row r="154" spans="1:106" s="1229" customFormat="1" ht="16.5" customHeight="1">
      <c r="A154" s="1155"/>
      <c r="B154" s="783"/>
      <c r="C154" s="1155"/>
      <c r="D154" s="1155"/>
      <c r="E154" s="676">
        <v>17.100000000000001</v>
      </c>
      <c r="F154" s="779" t="str" cm="1">
        <f t="array" aca="1" ref="F154" ca="1">OFFSET(G154,-1,-1)</f>
        <v>1</v>
      </c>
      <c r="G154" s="814"/>
      <c r="H154" s="814"/>
      <c r="I154" s="814"/>
      <c r="J154" s="814"/>
      <c r="K154" s="814"/>
      <c r="L154" s="779" t="b" cm="1">
        <f t="array" aca="1" ref="L154" ca="1">OFFSET(M154,-1,-1)</f>
        <v>0</v>
      </c>
      <c r="M154" s="814"/>
      <c r="N154" s="814"/>
      <c r="O154" s="814"/>
      <c r="P154" s="814"/>
      <c r="Q154" s="814"/>
      <c r="R154" s="1155"/>
      <c r="S154" s="110" t="b" cm="1">
        <f t="array" aca="1" ref="S154" ca="1">OFFSET(T154,-1,-1)</f>
        <v>1</v>
      </c>
      <c r="T154" s="1155"/>
      <c r="U154" s="698" t="b">
        <f t="shared" ca="1" si="35"/>
        <v>1</v>
      </c>
      <c r="V154" s="1155"/>
      <c r="W154" s="1155"/>
      <c r="X154" s="1155"/>
      <c r="Y154" s="1687"/>
      <c r="Z154" s="1687"/>
      <c r="AA154" s="699"/>
      <c r="AB154" s="1753"/>
      <c r="AD154" s="111" t="s">
        <v>793</v>
      </c>
      <c r="AE154" s="1768" t="s">
        <v>794</v>
      </c>
      <c r="AF154" s="1769"/>
      <c r="AG154" s="547" t="s">
        <v>533</v>
      </c>
      <c r="AH154" s="740">
        <f t="shared" ref="AH154:BM154" ca="1" si="76">IFERROR(AH153/AH152,0)</f>
        <v>0</v>
      </c>
      <c r="AI154" s="741">
        <f t="shared" ca="1" si="76"/>
        <v>0</v>
      </c>
      <c r="AJ154" s="741">
        <f t="shared" ca="1" si="76"/>
        <v>0</v>
      </c>
      <c r="AK154" s="741">
        <f t="shared" ca="1" si="76"/>
        <v>0</v>
      </c>
      <c r="AL154" s="741">
        <f t="shared" ca="1" si="76"/>
        <v>0</v>
      </c>
      <c r="AM154" s="741">
        <f t="shared" si="76"/>
        <v>0</v>
      </c>
      <c r="AN154" s="741">
        <f t="shared" ca="1" si="76"/>
        <v>0</v>
      </c>
      <c r="AO154" s="741">
        <f t="shared" ca="1" si="76"/>
        <v>0</v>
      </c>
      <c r="AP154" s="741">
        <f t="shared" si="76"/>
        <v>0</v>
      </c>
      <c r="AQ154" s="741">
        <f t="shared" ca="1" si="76"/>
        <v>0</v>
      </c>
      <c r="AR154" s="741">
        <f t="shared" ca="1" si="76"/>
        <v>0</v>
      </c>
      <c r="AS154" s="741">
        <f t="shared" si="76"/>
        <v>0</v>
      </c>
      <c r="AT154" s="741">
        <f t="shared" ca="1" si="76"/>
        <v>0</v>
      </c>
      <c r="AU154" s="741">
        <f t="shared" ca="1" si="76"/>
        <v>0</v>
      </c>
      <c r="AV154" s="741">
        <f t="shared" si="76"/>
        <v>0</v>
      </c>
      <c r="AW154" s="741">
        <f t="shared" ca="1" si="76"/>
        <v>0</v>
      </c>
      <c r="AX154" s="741">
        <f t="shared" ca="1" si="76"/>
        <v>0</v>
      </c>
      <c r="AY154" s="741">
        <f t="shared" si="76"/>
        <v>0</v>
      </c>
      <c r="AZ154" s="741">
        <f t="shared" ca="1" si="76"/>
        <v>0</v>
      </c>
      <c r="BA154" s="741">
        <f t="shared" ca="1" si="76"/>
        <v>0</v>
      </c>
      <c r="BB154" s="741">
        <f t="shared" si="76"/>
        <v>0</v>
      </c>
      <c r="BC154" s="741">
        <f t="shared" ca="1" si="76"/>
        <v>0</v>
      </c>
      <c r="BD154" s="741">
        <f t="shared" ca="1" si="76"/>
        <v>0</v>
      </c>
      <c r="BE154" s="741">
        <f t="shared" si="76"/>
        <v>0</v>
      </c>
      <c r="BF154" s="741">
        <f t="shared" ca="1" si="76"/>
        <v>0</v>
      </c>
      <c r="BG154" s="741">
        <f t="shared" ca="1" si="76"/>
        <v>0</v>
      </c>
      <c r="BH154" s="741">
        <f t="shared" si="76"/>
        <v>0</v>
      </c>
      <c r="BI154" s="741">
        <f t="shared" ca="1" si="76"/>
        <v>0</v>
      </c>
      <c r="BJ154" s="741">
        <f t="shared" ca="1" si="76"/>
        <v>0</v>
      </c>
      <c r="BK154" s="741">
        <f t="shared" si="76"/>
        <v>0</v>
      </c>
      <c r="BL154" s="741">
        <f t="shared" ca="1" si="76"/>
        <v>0</v>
      </c>
      <c r="BM154" s="741">
        <f t="shared" ca="1" si="76"/>
        <v>0</v>
      </c>
      <c r="BN154" s="741">
        <f t="shared" ref="BN154:CS154" si="77">IFERROR(BN153/BN152,0)</f>
        <v>0</v>
      </c>
      <c r="BO154" s="741">
        <f t="shared" ca="1" si="77"/>
        <v>0</v>
      </c>
      <c r="BP154" s="741">
        <f t="shared" ca="1" si="77"/>
        <v>0</v>
      </c>
      <c r="BQ154" s="741">
        <f t="shared" si="77"/>
        <v>0</v>
      </c>
      <c r="BR154" s="741">
        <f t="shared" ca="1" si="77"/>
        <v>0</v>
      </c>
      <c r="BS154" s="741">
        <f t="shared" ca="1" si="77"/>
        <v>0</v>
      </c>
      <c r="BT154" s="741">
        <f t="shared" si="77"/>
        <v>0</v>
      </c>
      <c r="BU154" s="741">
        <f t="shared" ca="1" si="77"/>
        <v>0</v>
      </c>
      <c r="BV154" s="741">
        <f t="shared" ca="1" si="77"/>
        <v>0</v>
      </c>
      <c r="BW154" s="741">
        <f t="shared" si="77"/>
        <v>0</v>
      </c>
      <c r="BX154" s="741">
        <f t="shared" ca="1" si="77"/>
        <v>0</v>
      </c>
      <c r="BY154" s="741">
        <f t="shared" ca="1" si="77"/>
        <v>0</v>
      </c>
      <c r="BZ154" s="741">
        <f t="shared" si="77"/>
        <v>0</v>
      </c>
      <c r="CA154" s="741">
        <f t="shared" ca="1" si="77"/>
        <v>0</v>
      </c>
      <c r="CB154" s="741">
        <f t="shared" ca="1" si="77"/>
        <v>0</v>
      </c>
      <c r="CC154" s="741">
        <f t="shared" si="77"/>
        <v>0</v>
      </c>
      <c r="CD154" s="741">
        <f t="shared" ca="1" si="77"/>
        <v>0</v>
      </c>
      <c r="CE154" s="741">
        <f t="shared" ca="1" si="77"/>
        <v>0</v>
      </c>
      <c r="CF154" s="741">
        <f t="shared" si="77"/>
        <v>0</v>
      </c>
      <c r="CG154" s="741">
        <f t="shared" ca="1" si="77"/>
        <v>0</v>
      </c>
      <c r="CH154" s="741">
        <f t="shared" ca="1" si="77"/>
        <v>0</v>
      </c>
      <c r="CI154" s="741">
        <f t="shared" si="77"/>
        <v>0</v>
      </c>
      <c r="CJ154" s="741">
        <f t="shared" ca="1" si="77"/>
        <v>0</v>
      </c>
      <c r="CK154" s="741">
        <f t="shared" ca="1" si="77"/>
        <v>0</v>
      </c>
      <c r="CL154" s="741">
        <f t="shared" si="77"/>
        <v>0</v>
      </c>
      <c r="CM154" s="741">
        <f t="shared" ca="1" si="77"/>
        <v>0</v>
      </c>
      <c r="CN154" s="741">
        <f t="shared" ca="1" si="77"/>
        <v>0</v>
      </c>
      <c r="CO154" s="741">
        <f t="shared" si="77"/>
        <v>0</v>
      </c>
      <c r="CP154" s="741">
        <f t="shared" ca="1" si="77"/>
        <v>0</v>
      </c>
      <c r="CQ154" s="741">
        <f t="shared" ca="1" si="77"/>
        <v>0</v>
      </c>
      <c r="CR154" s="741">
        <f t="shared" si="77"/>
        <v>0</v>
      </c>
      <c r="CS154" s="741">
        <f t="shared" ca="1" si="77"/>
        <v>0</v>
      </c>
      <c r="CT154" s="1290"/>
      <c r="CW154" s="970" t="s">
        <v>795</v>
      </c>
      <c r="CX154" s="975"/>
      <c r="CY154" s="975"/>
      <c r="CZ154" s="975"/>
      <c r="DA154" s="976"/>
      <c r="DB154" s="976"/>
    </row>
    <row r="155" spans="1:106" s="1229" customFormat="1" ht="29.25" customHeight="1">
      <c r="A155" s="1155"/>
      <c r="B155" s="783"/>
      <c r="C155" s="1155"/>
      <c r="D155" s="1155"/>
      <c r="E155" s="676">
        <v>30</v>
      </c>
      <c r="F155" s="779" t="str" cm="1">
        <f t="array" aca="1" ref="F155" ca="1">OFFSET(G155,-1,-1)</f>
        <v>1</v>
      </c>
      <c r="G155" s="814"/>
      <c r="H155" s="814"/>
      <c r="I155" s="814"/>
      <c r="J155" s="814"/>
      <c r="K155" s="814"/>
      <c r="L155" s="779" t="b" cm="1">
        <f t="array" aca="1" ref="L155" ca="1">OFFSET(M155,-1,-1)</f>
        <v>0</v>
      </c>
      <c r="M155" s="814"/>
      <c r="N155" s="814"/>
      <c r="O155" s="814"/>
      <c r="P155" s="814"/>
      <c r="Q155" s="814"/>
      <c r="R155" s="1155"/>
      <c r="S155" s="110" t="b" cm="1">
        <f t="array" aca="1" ref="S155" ca="1">OFFSET(T155,-1,-1)</f>
        <v>1</v>
      </c>
      <c r="T155" s="1155"/>
      <c r="U155" s="698" t="b">
        <f t="shared" ca="1" si="35"/>
        <v>1</v>
      </c>
      <c r="V155" s="1155"/>
      <c r="W155" s="1155"/>
      <c r="X155" s="1155"/>
      <c r="Y155" s="1687"/>
      <c r="Z155" s="1687"/>
      <c r="AA155" s="699"/>
      <c r="AB155" s="1753"/>
      <c r="AD155" s="111">
        <v>9</v>
      </c>
      <c r="AE155" s="1759" t="s">
        <v>796</v>
      </c>
      <c r="AF155" s="1760"/>
      <c r="AG155" s="744" t="s">
        <v>634</v>
      </c>
      <c r="AH155" s="734">
        <f t="shared" ref="AH155:BM155" ca="1" si="78">AH152-AH153</f>
        <v>0</v>
      </c>
      <c r="AI155" s="736">
        <f t="shared" ca="1" si="78"/>
        <v>0</v>
      </c>
      <c r="AJ155" s="736">
        <f t="shared" ca="1" si="78"/>
        <v>0</v>
      </c>
      <c r="AK155" s="736">
        <f t="shared" ca="1" si="78"/>
        <v>153087</v>
      </c>
      <c r="AL155" s="736">
        <f t="shared" ca="1" si="78"/>
        <v>0</v>
      </c>
      <c r="AM155" s="736">
        <f t="shared" si="78"/>
        <v>0</v>
      </c>
      <c r="AN155" s="736">
        <f t="shared" ca="1" si="78"/>
        <v>0</v>
      </c>
      <c r="AO155" s="736">
        <f t="shared" ca="1" si="78"/>
        <v>0</v>
      </c>
      <c r="AP155" s="736">
        <f t="shared" si="78"/>
        <v>0</v>
      </c>
      <c r="AQ155" s="736">
        <f t="shared" ca="1" si="78"/>
        <v>0</v>
      </c>
      <c r="AR155" s="736">
        <f t="shared" ca="1" si="78"/>
        <v>0</v>
      </c>
      <c r="AS155" s="736">
        <f t="shared" si="78"/>
        <v>0</v>
      </c>
      <c r="AT155" s="736">
        <f t="shared" ca="1" si="78"/>
        <v>0</v>
      </c>
      <c r="AU155" s="736">
        <f t="shared" ca="1" si="78"/>
        <v>0</v>
      </c>
      <c r="AV155" s="736">
        <f t="shared" si="78"/>
        <v>0</v>
      </c>
      <c r="AW155" s="736">
        <f t="shared" ca="1" si="78"/>
        <v>0</v>
      </c>
      <c r="AX155" s="736">
        <f t="shared" ca="1" si="78"/>
        <v>0</v>
      </c>
      <c r="AY155" s="736">
        <f t="shared" si="78"/>
        <v>0</v>
      </c>
      <c r="AZ155" s="736">
        <f t="shared" ca="1" si="78"/>
        <v>0</v>
      </c>
      <c r="BA155" s="736">
        <f t="shared" ca="1" si="78"/>
        <v>0</v>
      </c>
      <c r="BB155" s="736">
        <f t="shared" si="78"/>
        <v>0</v>
      </c>
      <c r="BC155" s="736">
        <f t="shared" ca="1" si="78"/>
        <v>0</v>
      </c>
      <c r="BD155" s="736">
        <f t="shared" ca="1" si="78"/>
        <v>0</v>
      </c>
      <c r="BE155" s="736">
        <f t="shared" si="78"/>
        <v>0</v>
      </c>
      <c r="BF155" s="736">
        <f t="shared" ca="1" si="78"/>
        <v>0</v>
      </c>
      <c r="BG155" s="736">
        <f t="shared" ca="1" si="78"/>
        <v>0</v>
      </c>
      <c r="BH155" s="736">
        <f t="shared" si="78"/>
        <v>0</v>
      </c>
      <c r="BI155" s="736">
        <f t="shared" ca="1" si="78"/>
        <v>0</v>
      </c>
      <c r="BJ155" s="736">
        <f t="shared" ca="1" si="78"/>
        <v>0</v>
      </c>
      <c r="BK155" s="736">
        <f t="shared" si="78"/>
        <v>0</v>
      </c>
      <c r="BL155" s="736">
        <f t="shared" ca="1" si="78"/>
        <v>0</v>
      </c>
      <c r="BM155" s="736">
        <f t="shared" ca="1" si="78"/>
        <v>0</v>
      </c>
      <c r="BN155" s="736">
        <f t="shared" ref="BN155:CS155" si="79">BN152-BN153</f>
        <v>0</v>
      </c>
      <c r="BO155" s="736">
        <f t="shared" ca="1" si="79"/>
        <v>0</v>
      </c>
      <c r="BP155" s="736">
        <f t="shared" ca="1" si="79"/>
        <v>153301.70000000001</v>
      </c>
      <c r="BQ155" s="736">
        <f t="shared" si="79"/>
        <v>109666.25363987</v>
      </c>
      <c r="BR155" s="736">
        <f t="shared" ca="1" si="79"/>
        <v>43635.446360130009</v>
      </c>
      <c r="BS155" s="736">
        <f t="shared" ca="1" si="79"/>
        <v>0</v>
      </c>
      <c r="BT155" s="736">
        <f t="shared" si="79"/>
        <v>0</v>
      </c>
      <c r="BU155" s="736">
        <f t="shared" ca="1" si="79"/>
        <v>0</v>
      </c>
      <c r="BV155" s="736">
        <f t="shared" ca="1" si="79"/>
        <v>0</v>
      </c>
      <c r="BW155" s="736">
        <f t="shared" si="79"/>
        <v>0</v>
      </c>
      <c r="BX155" s="736">
        <f t="shared" ca="1" si="79"/>
        <v>0</v>
      </c>
      <c r="BY155" s="736">
        <f t="shared" ca="1" si="79"/>
        <v>0</v>
      </c>
      <c r="BZ155" s="736">
        <f t="shared" si="79"/>
        <v>0</v>
      </c>
      <c r="CA155" s="736">
        <f t="shared" ca="1" si="79"/>
        <v>0</v>
      </c>
      <c r="CB155" s="736">
        <f t="shared" ca="1" si="79"/>
        <v>0</v>
      </c>
      <c r="CC155" s="736">
        <f t="shared" si="79"/>
        <v>0</v>
      </c>
      <c r="CD155" s="736">
        <f t="shared" ca="1" si="79"/>
        <v>0</v>
      </c>
      <c r="CE155" s="736">
        <f t="shared" ca="1" si="79"/>
        <v>0</v>
      </c>
      <c r="CF155" s="736">
        <f t="shared" si="79"/>
        <v>0</v>
      </c>
      <c r="CG155" s="736">
        <f t="shared" ca="1" si="79"/>
        <v>0</v>
      </c>
      <c r="CH155" s="736">
        <f t="shared" ca="1" si="79"/>
        <v>0</v>
      </c>
      <c r="CI155" s="736">
        <f t="shared" si="79"/>
        <v>0</v>
      </c>
      <c r="CJ155" s="736">
        <f t="shared" ca="1" si="79"/>
        <v>0</v>
      </c>
      <c r="CK155" s="736">
        <f t="shared" ca="1" si="79"/>
        <v>0</v>
      </c>
      <c r="CL155" s="736">
        <f t="shared" si="79"/>
        <v>0</v>
      </c>
      <c r="CM155" s="736">
        <f t="shared" ca="1" si="79"/>
        <v>0</v>
      </c>
      <c r="CN155" s="736">
        <f t="shared" ca="1" si="79"/>
        <v>0</v>
      </c>
      <c r="CO155" s="736">
        <f t="shared" si="79"/>
        <v>0</v>
      </c>
      <c r="CP155" s="736">
        <f t="shared" ca="1" si="79"/>
        <v>0</v>
      </c>
      <c r="CQ155" s="736">
        <f t="shared" ca="1" si="79"/>
        <v>0</v>
      </c>
      <c r="CR155" s="736">
        <f t="shared" si="79"/>
        <v>0</v>
      </c>
      <c r="CS155" s="736">
        <f t="shared" ca="1" si="79"/>
        <v>0</v>
      </c>
      <c r="CT155" s="1290"/>
      <c r="CW155" s="970" t="s">
        <v>797</v>
      </c>
      <c r="CX155" s="975"/>
      <c r="CY155" s="975"/>
      <c r="CZ155" s="975"/>
      <c r="DA155" s="976"/>
      <c r="DB155" s="976"/>
    </row>
    <row r="156" spans="1:106" s="1229" customFormat="1" ht="16.5" hidden="1" customHeight="1">
      <c r="A156" s="1155"/>
      <c r="B156" s="783"/>
      <c r="C156" s="1155"/>
      <c r="D156" s="1155"/>
      <c r="E156" s="676">
        <v>17.100000000000001</v>
      </c>
      <c r="F156" s="779" t="str" cm="1">
        <f t="array" aca="1" ref="F156" ca="1">OFFSET(G156,-1,-1)</f>
        <v>1</v>
      </c>
      <c r="G156" s="814"/>
      <c r="H156" s="814"/>
      <c r="I156" s="814"/>
      <c r="J156" s="814"/>
      <c r="K156" s="814"/>
      <c r="L156" s="779" t="b" cm="1">
        <f t="array" aca="1" ref="L156" ca="1">OFFSET(M156,-1,-1)</f>
        <v>0</v>
      </c>
      <c r="M156" s="814"/>
      <c r="N156" s="814"/>
      <c r="O156" s="814"/>
      <c r="P156" s="814"/>
      <c r="Q156" s="814"/>
      <c r="R156" s="779" t="s">
        <v>759</v>
      </c>
      <c r="S156" s="110" t="b" cm="1">
        <f t="array" aca="1" ref="S156" ca="1">OFFSET(T156,-1,-1)</f>
        <v>1</v>
      </c>
      <c r="T156" s="110" t="b" cm="1">
        <f t="array" aca="1" ref="T156" ca="1">L156</f>
        <v>0</v>
      </c>
      <c r="U156" s="698" t="b">
        <f t="shared" ref="U156:U219" ca="1" si="80">AND(S156,IF(ISBLANK(T156),TRUE,T156))</f>
        <v>0</v>
      </c>
      <c r="V156" s="1155"/>
      <c r="W156" s="1155"/>
      <c r="X156" s="1155"/>
      <c r="Y156" s="1687"/>
      <c r="Z156" s="1687"/>
      <c r="AA156" s="699"/>
      <c r="AB156" s="1753"/>
      <c r="AD156" s="111">
        <v>10</v>
      </c>
      <c r="AE156" s="1759" t="s">
        <v>776</v>
      </c>
      <c r="AF156" s="1760"/>
      <c r="AG156" s="547" t="s">
        <v>762</v>
      </c>
      <c r="AH156" s="41"/>
      <c r="AI156" s="42"/>
      <c r="AJ156" s="42"/>
      <c r="AK156" s="42"/>
      <c r="AL156" s="736">
        <f>AM156+AN156</f>
        <v>0</v>
      </c>
      <c r="AM156" s="42"/>
      <c r="AN156" s="42"/>
      <c r="AO156" s="736">
        <f>AP156+AQ156</f>
        <v>0</v>
      </c>
      <c r="AP156" s="826"/>
      <c r="AQ156" s="826"/>
      <c r="AR156" s="736">
        <f>AS156+AT156</f>
        <v>0</v>
      </c>
      <c r="AS156" s="826"/>
      <c r="AT156" s="826"/>
      <c r="AU156" s="736">
        <f>AV156+AW156</f>
        <v>0</v>
      </c>
      <c r="AV156" s="826"/>
      <c r="AW156" s="826"/>
      <c r="AX156" s="736">
        <f>AY156+AZ156</f>
        <v>0</v>
      </c>
      <c r="AY156" s="826"/>
      <c r="AZ156" s="826"/>
      <c r="BA156" s="736">
        <f>BB156+BC156</f>
        <v>0</v>
      </c>
      <c r="BB156" s="42"/>
      <c r="BC156" s="42"/>
      <c r="BD156" s="736">
        <f>BE156+BF156</f>
        <v>0</v>
      </c>
      <c r="BE156" s="42"/>
      <c r="BF156" s="42"/>
      <c r="BG156" s="736">
        <f>BH156+BI156</f>
        <v>0</v>
      </c>
      <c r="BH156" s="42"/>
      <c r="BI156" s="42"/>
      <c r="BJ156" s="736">
        <f>BK156+BL156</f>
        <v>0</v>
      </c>
      <c r="BK156" s="42"/>
      <c r="BL156" s="42"/>
      <c r="BM156" s="736">
        <f>BN156+BO156</f>
        <v>0</v>
      </c>
      <c r="BN156" s="42"/>
      <c r="BO156" s="42"/>
      <c r="BP156" s="736">
        <f>BQ156+BR156</f>
        <v>0</v>
      </c>
      <c r="BQ156" s="826"/>
      <c r="BR156" s="826"/>
      <c r="BS156" s="736">
        <f>BT156+BU156</f>
        <v>0</v>
      </c>
      <c r="BT156" s="826"/>
      <c r="BU156" s="826"/>
      <c r="BV156" s="736">
        <f>BW156+BX156</f>
        <v>0</v>
      </c>
      <c r="BW156" s="826"/>
      <c r="BX156" s="826"/>
      <c r="BY156" s="736">
        <f>BZ156+CA156</f>
        <v>0</v>
      </c>
      <c r="BZ156" s="826"/>
      <c r="CA156" s="826"/>
      <c r="CB156" s="736">
        <f>CC156+CD156</f>
        <v>0</v>
      </c>
      <c r="CC156" s="826"/>
      <c r="CD156" s="826"/>
      <c r="CE156" s="736">
        <f>CF156+CG156</f>
        <v>0</v>
      </c>
      <c r="CF156" s="42"/>
      <c r="CG156" s="42"/>
      <c r="CH156" s="736">
        <f>CI156+CJ156</f>
        <v>0</v>
      </c>
      <c r="CI156" s="42"/>
      <c r="CJ156" s="42"/>
      <c r="CK156" s="736">
        <f>CL156+CM156</f>
        <v>0</v>
      </c>
      <c r="CL156" s="42"/>
      <c r="CM156" s="42"/>
      <c r="CN156" s="736">
        <f>CO156+CP156</f>
        <v>0</v>
      </c>
      <c r="CO156" s="42"/>
      <c r="CP156" s="42"/>
      <c r="CQ156" s="736">
        <f>CR156+CS156</f>
        <v>0</v>
      </c>
      <c r="CR156" s="42"/>
      <c r="CS156" s="42"/>
      <c r="CT156" s="28"/>
      <c r="CW156" s="970" t="s">
        <v>798</v>
      </c>
      <c r="CX156" s="975"/>
      <c r="CY156" s="975"/>
      <c r="CZ156" s="975"/>
      <c r="DA156" s="976"/>
      <c r="DB156" s="976"/>
    </row>
    <row r="157" spans="1:106" s="1229" customFormat="1" ht="29.25" hidden="1" customHeight="1">
      <c r="A157" s="1155"/>
      <c r="B157" s="783"/>
      <c r="C157" s="1155"/>
      <c r="D157" s="1155"/>
      <c r="E157" s="676">
        <v>30</v>
      </c>
      <c r="F157" s="779" t="str" cm="1">
        <f t="array" aca="1" ref="F157" ca="1">OFFSET(G157,-1,-1)</f>
        <v>1</v>
      </c>
      <c r="G157" s="814"/>
      <c r="H157" s="814"/>
      <c r="I157" s="814"/>
      <c r="J157" s="814"/>
      <c r="K157" s="814"/>
      <c r="L157" s="779" t="b" cm="1">
        <f t="array" aca="1" ref="L157" ca="1">OFFSET(M157,-1,-1)</f>
        <v>0</v>
      </c>
      <c r="M157" s="814"/>
      <c r="N157" s="814"/>
      <c r="O157" s="814"/>
      <c r="P157" s="814"/>
      <c r="Q157" s="814"/>
      <c r="R157" s="779" t="s">
        <v>759</v>
      </c>
      <c r="S157" s="110" t="b" cm="1">
        <f t="array" aca="1" ref="S157" ca="1">OFFSET(T157,-1,-1)</f>
        <v>1</v>
      </c>
      <c r="T157" s="110" t="b" cm="1">
        <f t="array" aca="1" ref="T157" ca="1">L157</f>
        <v>0</v>
      </c>
      <c r="U157" s="698" t="b">
        <f t="shared" ca="1" si="80"/>
        <v>0</v>
      </c>
      <c r="V157" s="1155"/>
      <c r="W157" s="1155"/>
      <c r="X157" s="1155"/>
      <c r="Y157" s="1687"/>
      <c r="Z157" s="1687"/>
      <c r="AA157" s="699"/>
      <c r="AB157" s="1753"/>
      <c r="AD157" s="111">
        <v>11</v>
      </c>
      <c r="AE157" s="1759" t="s">
        <v>799</v>
      </c>
      <c r="AF157" s="1760"/>
      <c r="AG157" s="547" t="s">
        <v>800</v>
      </c>
      <c r="AH157" s="41"/>
      <c r="AI157" s="42"/>
      <c r="AJ157" s="42"/>
      <c r="AK157" s="42"/>
      <c r="AL157" s="736">
        <f>IFERROR(AL158*1000/AL156,0)</f>
        <v>0</v>
      </c>
      <c r="AM157" s="42"/>
      <c r="AN157" s="42" cm="1">
        <f t="array" ref="AN157">AM157</f>
        <v>0</v>
      </c>
      <c r="AO157" s="736">
        <f>IFERROR(AO158*1000/AO156,0)</f>
        <v>0</v>
      </c>
      <c r="AP157" s="826"/>
      <c r="AQ157" s="826" cm="1">
        <f t="array" ref="AQ157">AP157</f>
        <v>0</v>
      </c>
      <c r="AR157" s="736">
        <f>IFERROR(AR158*1000/AR156,0)</f>
        <v>0</v>
      </c>
      <c r="AS157" s="826"/>
      <c r="AT157" s="826" cm="1">
        <f t="array" ref="AT157">AS157</f>
        <v>0</v>
      </c>
      <c r="AU157" s="736">
        <f>IFERROR(AU158*1000/AU156,0)</f>
        <v>0</v>
      </c>
      <c r="AV157" s="826"/>
      <c r="AW157" s="826" cm="1">
        <f t="array" ref="AW157">AV157</f>
        <v>0</v>
      </c>
      <c r="AX157" s="736">
        <f>IFERROR(AX158*1000/AX156,0)</f>
        <v>0</v>
      </c>
      <c r="AY157" s="826"/>
      <c r="AZ157" s="826" cm="1">
        <f t="array" ref="AZ157">AY157</f>
        <v>0</v>
      </c>
      <c r="BA157" s="736">
        <f>IFERROR(BA158*1000/BA156,0)</f>
        <v>0</v>
      </c>
      <c r="BB157" s="42"/>
      <c r="BC157" s="42" cm="1">
        <f t="array" ref="BC157">BB157</f>
        <v>0</v>
      </c>
      <c r="BD157" s="736">
        <f>IFERROR(BD158*1000/BD156,0)</f>
        <v>0</v>
      </c>
      <c r="BE157" s="42"/>
      <c r="BF157" s="42" cm="1">
        <f t="array" ref="BF157">BE157</f>
        <v>0</v>
      </c>
      <c r="BG157" s="736">
        <f>IFERROR(BG158*1000/BG156,0)</f>
        <v>0</v>
      </c>
      <c r="BH157" s="42"/>
      <c r="BI157" s="42" cm="1">
        <f t="array" ref="BI157">BH157</f>
        <v>0</v>
      </c>
      <c r="BJ157" s="736">
        <f>IFERROR(BJ158*1000/BJ156,0)</f>
        <v>0</v>
      </c>
      <c r="BK157" s="42"/>
      <c r="BL157" s="42" cm="1">
        <f t="array" ref="BL157">BK157</f>
        <v>0</v>
      </c>
      <c r="BM157" s="736">
        <f>IFERROR(BM158*1000/BM156,0)</f>
        <v>0</v>
      </c>
      <c r="BN157" s="42"/>
      <c r="BO157" s="42" cm="1">
        <f t="array" ref="BO157">BN157</f>
        <v>0</v>
      </c>
      <c r="BP157" s="736">
        <f>IFERROR(BP158*1000/BP156,0)</f>
        <v>0</v>
      </c>
      <c r="BQ157" s="826"/>
      <c r="BR157" s="826" cm="1">
        <f t="array" ref="BR157">BQ157</f>
        <v>0</v>
      </c>
      <c r="BS157" s="736">
        <f>IFERROR(BS158*1000/BS156,0)</f>
        <v>0</v>
      </c>
      <c r="BT157" s="826"/>
      <c r="BU157" s="826" cm="1">
        <f t="array" ref="BU157">BT157</f>
        <v>0</v>
      </c>
      <c r="BV157" s="736">
        <f>IFERROR(BV158*1000/BV156,0)</f>
        <v>0</v>
      </c>
      <c r="BW157" s="826"/>
      <c r="BX157" s="826" cm="1">
        <f t="array" ref="BX157">BW157</f>
        <v>0</v>
      </c>
      <c r="BY157" s="736">
        <f>IFERROR(BY158*1000/BY156,0)</f>
        <v>0</v>
      </c>
      <c r="BZ157" s="826"/>
      <c r="CA157" s="826" cm="1">
        <f t="array" ref="CA157">BZ157</f>
        <v>0</v>
      </c>
      <c r="CB157" s="736">
        <f>IFERROR(CB158*1000/CB156,0)</f>
        <v>0</v>
      </c>
      <c r="CC157" s="826"/>
      <c r="CD157" s="826" cm="1">
        <f t="array" ref="CD157">CC157</f>
        <v>0</v>
      </c>
      <c r="CE157" s="736">
        <f>IFERROR(CE158*1000/CE156,0)</f>
        <v>0</v>
      </c>
      <c r="CF157" s="42"/>
      <c r="CG157" s="42" cm="1">
        <f t="array" ref="CG157">CF157</f>
        <v>0</v>
      </c>
      <c r="CH157" s="736">
        <f>IFERROR(CH158*1000/CH156,0)</f>
        <v>0</v>
      </c>
      <c r="CI157" s="42"/>
      <c r="CJ157" s="42" cm="1">
        <f t="array" ref="CJ157">CI157</f>
        <v>0</v>
      </c>
      <c r="CK157" s="736">
        <f>IFERROR(CK158*1000/CK156,0)</f>
        <v>0</v>
      </c>
      <c r="CL157" s="42"/>
      <c r="CM157" s="42" cm="1">
        <f t="array" ref="CM157">CL157</f>
        <v>0</v>
      </c>
      <c r="CN157" s="736">
        <f>IFERROR(CN158*1000/CN156,0)</f>
        <v>0</v>
      </c>
      <c r="CO157" s="42"/>
      <c r="CP157" s="42" cm="1">
        <f t="array" ref="CP157">CO157</f>
        <v>0</v>
      </c>
      <c r="CQ157" s="736">
        <f>IFERROR(CQ158*1000/CQ156,0)</f>
        <v>0</v>
      </c>
      <c r="CR157" s="42"/>
      <c r="CS157" s="42" cm="1">
        <f t="array" ref="CS157">CR157</f>
        <v>0</v>
      </c>
      <c r="CT157" s="28"/>
      <c r="CW157" s="970" t="s">
        <v>801</v>
      </c>
      <c r="CX157" s="975"/>
      <c r="CY157" s="975"/>
      <c r="CZ157" s="975"/>
      <c r="DA157" s="976"/>
      <c r="DB157" s="976"/>
    </row>
    <row r="158" spans="1:106" s="1229" customFormat="1" ht="16.5" hidden="1" customHeight="1">
      <c r="A158" s="1155"/>
      <c r="B158" s="783"/>
      <c r="C158" s="1155"/>
      <c r="D158" s="1155"/>
      <c r="E158" s="676">
        <v>17.100000000000001</v>
      </c>
      <c r="F158" s="779" t="str" cm="1">
        <f t="array" aca="1" ref="F158" ca="1">OFFSET(G158,-1,-1)</f>
        <v>1</v>
      </c>
      <c r="G158" s="814"/>
      <c r="H158" s="814"/>
      <c r="I158" s="814"/>
      <c r="J158" s="814"/>
      <c r="K158" s="814"/>
      <c r="L158" s="779" t="b" cm="1">
        <f t="array" aca="1" ref="L158" ca="1">OFFSET(M158,-1,-1)</f>
        <v>0</v>
      </c>
      <c r="M158" s="814"/>
      <c r="N158" s="814"/>
      <c r="O158" s="814"/>
      <c r="P158" s="814"/>
      <c r="Q158" s="814"/>
      <c r="R158" s="779" t="s">
        <v>759</v>
      </c>
      <c r="S158" s="110" t="b" cm="1">
        <f t="array" aca="1" ref="S158" ca="1">OFFSET(T158,-1,-1)</f>
        <v>1</v>
      </c>
      <c r="T158" s="110" t="b" cm="1">
        <f t="array" aca="1" ref="T158" ca="1">L158</f>
        <v>0</v>
      </c>
      <c r="U158" s="698" t="b">
        <f t="shared" ca="1" si="80"/>
        <v>0</v>
      </c>
      <c r="V158" s="1155"/>
      <c r="W158" s="1155"/>
      <c r="X158" s="1155"/>
      <c r="Y158" s="1687"/>
      <c r="Z158" s="1687"/>
      <c r="AA158" s="699"/>
      <c r="AB158" s="1753"/>
      <c r="AD158" s="111">
        <v>12</v>
      </c>
      <c r="AE158" s="1759" t="s">
        <v>802</v>
      </c>
      <c r="AF158" s="1760"/>
      <c r="AG158" s="547" t="s">
        <v>803</v>
      </c>
      <c r="AH158" s="467">
        <f>AH156*AH157/1000</f>
        <v>0</v>
      </c>
      <c r="AI158" s="311">
        <f>AI156*AI157/1000</f>
        <v>0</v>
      </c>
      <c r="AJ158" s="311">
        <f>AJ156*AJ157/1000</f>
        <v>0</v>
      </c>
      <c r="AK158" s="311">
        <f>AK156*AK157/1000</f>
        <v>0</v>
      </c>
      <c r="AL158" s="736">
        <f>AM158+AN158</f>
        <v>0</v>
      </c>
      <c r="AM158" s="311">
        <f>AM156*AM157/1000</f>
        <v>0</v>
      </c>
      <c r="AN158" s="311">
        <f>AN156*AN157/1000</f>
        <v>0</v>
      </c>
      <c r="AO158" s="736">
        <f>AP158+AQ158</f>
        <v>0</v>
      </c>
      <c r="AP158" s="311">
        <f>AP156*AP157/1000</f>
        <v>0</v>
      </c>
      <c r="AQ158" s="311">
        <f>AQ156*AQ157/1000</f>
        <v>0</v>
      </c>
      <c r="AR158" s="736">
        <f>AS158+AT158</f>
        <v>0</v>
      </c>
      <c r="AS158" s="311">
        <f>AS156*AS157/1000</f>
        <v>0</v>
      </c>
      <c r="AT158" s="311">
        <f>AT156*AT157/1000</f>
        <v>0</v>
      </c>
      <c r="AU158" s="736">
        <f>AV158+AW158</f>
        <v>0</v>
      </c>
      <c r="AV158" s="311">
        <f>AV156*AV157/1000</f>
        <v>0</v>
      </c>
      <c r="AW158" s="311">
        <f>AW156*AW157/1000</f>
        <v>0</v>
      </c>
      <c r="AX158" s="736">
        <f>AY158+AZ158</f>
        <v>0</v>
      </c>
      <c r="AY158" s="311">
        <f>AY156*AY157/1000</f>
        <v>0</v>
      </c>
      <c r="AZ158" s="311">
        <f>AZ156*AZ157/1000</f>
        <v>0</v>
      </c>
      <c r="BA158" s="736">
        <f>BB158+BC158</f>
        <v>0</v>
      </c>
      <c r="BB158" s="311">
        <f>BB156*BB157/1000</f>
        <v>0</v>
      </c>
      <c r="BC158" s="311">
        <f>BC156*BC157/1000</f>
        <v>0</v>
      </c>
      <c r="BD158" s="736">
        <f>BE158+BF158</f>
        <v>0</v>
      </c>
      <c r="BE158" s="311">
        <f>BE156*BE157/1000</f>
        <v>0</v>
      </c>
      <c r="BF158" s="311">
        <f>BF156*BF157/1000</f>
        <v>0</v>
      </c>
      <c r="BG158" s="736">
        <f>BH158+BI158</f>
        <v>0</v>
      </c>
      <c r="BH158" s="311">
        <f>BH156*BH157/1000</f>
        <v>0</v>
      </c>
      <c r="BI158" s="311">
        <f>BI156*BI157/1000</f>
        <v>0</v>
      </c>
      <c r="BJ158" s="736">
        <f>BK158+BL158</f>
        <v>0</v>
      </c>
      <c r="BK158" s="311">
        <f>BK156*BK157/1000</f>
        <v>0</v>
      </c>
      <c r="BL158" s="311">
        <f>BL156*BL157/1000</f>
        <v>0</v>
      </c>
      <c r="BM158" s="736">
        <f>BN158+BO158</f>
        <v>0</v>
      </c>
      <c r="BN158" s="311">
        <f>BN156*BN157/1000</f>
        <v>0</v>
      </c>
      <c r="BO158" s="311">
        <f>BO156*BO157/1000</f>
        <v>0</v>
      </c>
      <c r="BP158" s="736">
        <f>BQ158+BR158</f>
        <v>0</v>
      </c>
      <c r="BQ158" s="311">
        <f>BQ156*BQ157/1000</f>
        <v>0</v>
      </c>
      <c r="BR158" s="311">
        <f>BR156*BR157/1000</f>
        <v>0</v>
      </c>
      <c r="BS158" s="736">
        <f>BT158+BU158</f>
        <v>0</v>
      </c>
      <c r="BT158" s="311">
        <f>BT156*BT157/1000</f>
        <v>0</v>
      </c>
      <c r="BU158" s="311">
        <f>BU156*BU157/1000</f>
        <v>0</v>
      </c>
      <c r="BV158" s="736">
        <f>BW158+BX158</f>
        <v>0</v>
      </c>
      <c r="BW158" s="311">
        <f>BW156*BW157/1000</f>
        <v>0</v>
      </c>
      <c r="BX158" s="311">
        <f>BX156*BX157/1000</f>
        <v>0</v>
      </c>
      <c r="BY158" s="736">
        <f>BZ158+CA158</f>
        <v>0</v>
      </c>
      <c r="BZ158" s="311">
        <f>BZ156*BZ157/1000</f>
        <v>0</v>
      </c>
      <c r="CA158" s="311">
        <f>CA156*CA157/1000</f>
        <v>0</v>
      </c>
      <c r="CB158" s="736">
        <f>CC158+CD158</f>
        <v>0</v>
      </c>
      <c r="CC158" s="311">
        <f>CC156*CC157/1000</f>
        <v>0</v>
      </c>
      <c r="CD158" s="311">
        <f>CD156*CD157/1000</f>
        <v>0</v>
      </c>
      <c r="CE158" s="736">
        <f>CF158+CG158</f>
        <v>0</v>
      </c>
      <c r="CF158" s="311">
        <f>CF156*CF157/1000</f>
        <v>0</v>
      </c>
      <c r="CG158" s="311">
        <f>CG156*CG157/1000</f>
        <v>0</v>
      </c>
      <c r="CH158" s="736">
        <f>CI158+CJ158</f>
        <v>0</v>
      </c>
      <c r="CI158" s="311">
        <f>CI156*CI157/1000</f>
        <v>0</v>
      </c>
      <c r="CJ158" s="311">
        <f>CJ156*CJ157/1000</f>
        <v>0</v>
      </c>
      <c r="CK158" s="736">
        <f>CL158+CM158</f>
        <v>0</v>
      </c>
      <c r="CL158" s="311">
        <f>CL156*CL157/1000</f>
        <v>0</v>
      </c>
      <c r="CM158" s="311">
        <f>CM156*CM157/1000</f>
        <v>0</v>
      </c>
      <c r="CN158" s="736">
        <f>CO158+CP158</f>
        <v>0</v>
      </c>
      <c r="CO158" s="311">
        <f>CO156*CO157/1000</f>
        <v>0</v>
      </c>
      <c r="CP158" s="311">
        <f>CP156*CP157/1000</f>
        <v>0</v>
      </c>
      <c r="CQ158" s="736">
        <f>CR158+CS158</f>
        <v>0</v>
      </c>
      <c r="CR158" s="311">
        <f>CR156*CR157/1000</f>
        <v>0</v>
      </c>
      <c r="CS158" s="311">
        <f>CS156*CS157/1000</f>
        <v>0</v>
      </c>
      <c r="CT158" s="28"/>
      <c r="CW158" s="970" t="s">
        <v>804</v>
      </c>
      <c r="CX158" s="975"/>
      <c r="CY158" s="975"/>
      <c r="CZ158" s="975"/>
      <c r="DA158" s="976"/>
      <c r="DB158" s="976"/>
    </row>
    <row r="159" spans="1:106" s="1229" customFormat="1" ht="29.25" customHeight="1">
      <c r="A159" s="1155"/>
      <c r="B159" s="783"/>
      <c r="C159" s="1155"/>
      <c r="D159" s="1155"/>
      <c r="E159" s="676">
        <v>30</v>
      </c>
      <c r="F159" s="779" t="str" cm="1">
        <f t="array" aca="1" ref="F159" ca="1">OFFSET(G159,-1,-1)</f>
        <v>1</v>
      </c>
      <c r="G159" s="814"/>
      <c r="H159" s="814"/>
      <c r="I159" s="814"/>
      <c r="J159" s="814"/>
      <c r="K159" s="814"/>
      <c r="L159" s="779" t="b" cm="1">
        <f t="array" aca="1" ref="L159" ca="1">OFFSET(M159,-1,-1)</f>
        <v>0</v>
      </c>
      <c r="M159" s="814"/>
      <c r="N159" s="814"/>
      <c r="O159" s="814"/>
      <c r="P159" s="814"/>
      <c r="Q159" s="814"/>
      <c r="R159" s="1155"/>
      <c r="S159" s="110" t="b" cm="1">
        <f t="array" aca="1" ref="S159" ca="1">OFFSET(T159,-1,-1)</f>
        <v>1</v>
      </c>
      <c r="T159" s="1155"/>
      <c r="U159" s="698" t="b">
        <f t="shared" ca="1" si="80"/>
        <v>1</v>
      </c>
      <c r="V159" s="1155"/>
      <c r="W159" s="1155"/>
      <c r="X159" s="1155"/>
      <c r="Y159" s="1687"/>
      <c r="Z159" s="1687"/>
      <c r="AA159" s="699"/>
      <c r="AB159" s="1753"/>
      <c r="AD159" s="111">
        <v>13</v>
      </c>
      <c r="AE159" s="1759" t="s">
        <v>789</v>
      </c>
      <c r="AF159" s="1760"/>
      <c r="AG159" s="547" t="s">
        <v>634</v>
      </c>
      <c r="AH159" s="1303" cm="1">
        <f t="array" aca="1" ref="AH159" ca="1">AH152</f>
        <v>0</v>
      </c>
      <c r="AI159" s="1303" cm="1">
        <f t="array" aca="1" ref="AI159" ca="1">AI152</f>
        <v>0</v>
      </c>
      <c r="AJ159" s="1303" cm="1">
        <f t="array" aca="1" ref="AJ159" ca="1">AJ152</f>
        <v>0</v>
      </c>
      <c r="AK159" s="1303" cm="1">
        <f t="array" aca="1" ref="AK159" ca="1">AK152</f>
        <v>153087</v>
      </c>
      <c r="AL159" s="1303" cm="1">
        <f t="array" aca="1" ref="AL159" ca="1">AL152</f>
        <v>0</v>
      </c>
      <c r="AM159" s="1303" cm="1">
        <f t="array" ref="AM159">AM152</f>
        <v>0</v>
      </c>
      <c r="AN159" s="1303" cm="1">
        <f t="array" aca="1" ref="AN159" ca="1">AN152</f>
        <v>0</v>
      </c>
      <c r="AO159" s="827" cm="1">
        <f t="array" aca="1" ref="AO159" ca="1">AO152</f>
        <v>0</v>
      </c>
      <c r="AP159" s="827" cm="1">
        <f t="array" ref="AP159">AP152</f>
        <v>0</v>
      </c>
      <c r="AQ159" s="827" cm="1">
        <f t="array" aca="1" ref="AQ159" ca="1">AQ152</f>
        <v>0</v>
      </c>
      <c r="AR159" s="827" cm="1">
        <f t="array" aca="1" ref="AR159" ca="1">AR152</f>
        <v>0</v>
      </c>
      <c r="AS159" s="827" cm="1">
        <f t="array" ref="AS159">AS152</f>
        <v>0</v>
      </c>
      <c r="AT159" s="827" cm="1">
        <f t="array" aca="1" ref="AT159" ca="1">AT152</f>
        <v>0</v>
      </c>
      <c r="AU159" s="827" cm="1">
        <f t="array" aca="1" ref="AU159" ca="1">AU152</f>
        <v>0</v>
      </c>
      <c r="AV159" s="827" cm="1">
        <f t="array" ref="AV159">AV152</f>
        <v>0</v>
      </c>
      <c r="AW159" s="827" cm="1">
        <f t="array" aca="1" ref="AW159" ca="1">AW152</f>
        <v>0</v>
      </c>
      <c r="AX159" s="827" cm="1">
        <f t="array" aca="1" ref="AX159" ca="1">AX152</f>
        <v>0</v>
      </c>
      <c r="AY159" s="827" cm="1">
        <f t="array" ref="AY159">AY152</f>
        <v>0</v>
      </c>
      <c r="AZ159" s="827" cm="1">
        <f t="array" aca="1" ref="AZ159" ca="1">AZ152</f>
        <v>0</v>
      </c>
      <c r="BA159" s="1303" cm="1">
        <f t="array" aca="1" ref="BA159" ca="1">BA152</f>
        <v>0</v>
      </c>
      <c r="BB159" s="1303" cm="1">
        <f t="array" ref="BB159">BB152</f>
        <v>0</v>
      </c>
      <c r="BC159" s="1303" cm="1">
        <f t="array" aca="1" ref="BC159" ca="1">BC152</f>
        <v>0</v>
      </c>
      <c r="BD159" s="1303" cm="1">
        <f t="array" aca="1" ref="BD159" ca="1">BD152</f>
        <v>0</v>
      </c>
      <c r="BE159" s="1303" cm="1">
        <f t="array" ref="BE159">BE152</f>
        <v>0</v>
      </c>
      <c r="BF159" s="1303" cm="1">
        <f t="array" aca="1" ref="BF159" ca="1">BF152</f>
        <v>0</v>
      </c>
      <c r="BG159" s="1303" cm="1">
        <f t="array" aca="1" ref="BG159" ca="1">BG152</f>
        <v>0</v>
      </c>
      <c r="BH159" s="1303" cm="1">
        <f t="array" ref="BH159">BH152</f>
        <v>0</v>
      </c>
      <c r="BI159" s="1303" cm="1">
        <f t="array" aca="1" ref="BI159" ca="1">BI152</f>
        <v>0</v>
      </c>
      <c r="BJ159" s="1303" cm="1">
        <f t="array" aca="1" ref="BJ159" ca="1">BJ152</f>
        <v>0</v>
      </c>
      <c r="BK159" s="1303" cm="1">
        <f t="array" ref="BK159">BK152</f>
        <v>0</v>
      </c>
      <c r="BL159" s="1303" cm="1">
        <f t="array" aca="1" ref="BL159" ca="1">BL152</f>
        <v>0</v>
      </c>
      <c r="BM159" s="1303" cm="1">
        <f t="array" aca="1" ref="BM159" ca="1">BM152</f>
        <v>0</v>
      </c>
      <c r="BN159" s="1303" cm="1">
        <f t="array" ref="BN159">BN152</f>
        <v>0</v>
      </c>
      <c r="BO159" s="1303" cm="1">
        <f t="array" aca="1" ref="BO159" ca="1">BO152</f>
        <v>0</v>
      </c>
      <c r="BP159" s="827" cm="1">
        <f t="array" aca="1" ref="BP159" ca="1">BP152</f>
        <v>153301.70000000001</v>
      </c>
      <c r="BQ159" s="827" cm="1">
        <f t="array" ref="BQ159">BQ152</f>
        <v>109666.25363987</v>
      </c>
      <c r="BR159" s="827" cm="1">
        <f t="array" aca="1" ref="BR159" ca="1">BR152</f>
        <v>43635.446360130009</v>
      </c>
      <c r="BS159" s="827" cm="1">
        <f t="array" aca="1" ref="BS159" ca="1">BS152</f>
        <v>0</v>
      </c>
      <c r="BT159" s="827" cm="1">
        <f t="array" ref="BT159">BT152</f>
        <v>0</v>
      </c>
      <c r="BU159" s="827" cm="1">
        <f t="array" aca="1" ref="BU159" ca="1">BU152</f>
        <v>0</v>
      </c>
      <c r="BV159" s="827" cm="1">
        <f t="array" aca="1" ref="BV159" ca="1">BV152</f>
        <v>0</v>
      </c>
      <c r="BW159" s="827" cm="1">
        <f t="array" ref="BW159">BW152</f>
        <v>0</v>
      </c>
      <c r="BX159" s="827" cm="1">
        <f t="array" aca="1" ref="BX159" ca="1">BX152</f>
        <v>0</v>
      </c>
      <c r="BY159" s="827" cm="1">
        <f t="array" aca="1" ref="BY159" ca="1">BY152</f>
        <v>0</v>
      </c>
      <c r="BZ159" s="827" cm="1">
        <f t="array" ref="BZ159">BZ152</f>
        <v>0</v>
      </c>
      <c r="CA159" s="827" cm="1">
        <f t="array" aca="1" ref="CA159" ca="1">CA152</f>
        <v>0</v>
      </c>
      <c r="CB159" s="827" cm="1">
        <f t="array" aca="1" ref="CB159" ca="1">CB152</f>
        <v>0</v>
      </c>
      <c r="CC159" s="827" cm="1">
        <f t="array" ref="CC159">CC152</f>
        <v>0</v>
      </c>
      <c r="CD159" s="827" cm="1">
        <f t="array" aca="1" ref="CD159" ca="1">CD152</f>
        <v>0</v>
      </c>
      <c r="CE159" s="1303" cm="1">
        <f t="array" aca="1" ref="CE159" ca="1">CE152</f>
        <v>0</v>
      </c>
      <c r="CF159" s="1303" cm="1">
        <f t="array" ref="CF159">CF152</f>
        <v>0</v>
      </c>
      <c r="CG159" s="1303" cm="1">
        <f t="array" aca="1" ref="CG159" ca="1">CG152</f>
        <v>0</v>
      </c>
      <c r="CH159" s="1303" cm="1">
        <f t="array" aca="1" ref="CH159" ca="1">CH152</f>
        <v>0</v>
      </c>
      <c r="CI159" s="1303" cm="1">
        <f t="array" ref="CI159">CI152</f>
        <v>0</v>
      </c>
      <c r="CJ159" s="1303" cm="1">
        <f t="array" aca="1" ref="CJ159" ca="1">CJ152</f>
        <v>0</v>
      </c>
      <c r="CK159" s="1303" cm="1">
        <f t="array" aca="1" ref="CK159" ca="1">CK152</f>
        <v>0</v>
      </c>
      <c r="CL159" s="1303" cm="1">
        <f t="array" ref="CL159">CL152</f>
        <v>0</v>
      </c>
      <c r="CM159" s="1303" cm="1">
        <f t="array" aca="1" ref="CM159" ca="1">CM152</f>
        <v>0</v>
      </c>
      <c r="CN159" s="1303" cm="1">
        <f t="array" aca="1" ref="CN159" ca="1">CN152</f>
        <v>0</v>
      </c>
      <c r="CO159" s="1303" cm="1">
        <f t="array" ref="CO159">CO152</f>
        <v>0</v>
      </c>
      <c r="CP159" s="1303" cm="1">
        <f t="array" aca="1" ref="CP159" ca="1">CP152</f>
        <v>0</v>
      </c>
      <c r="CQ159" s="1303" cm="1">
        <f t="array" aca="1" ref="CQ159" ca="1">CQ152</f>
        <v>0</v>
      </c>
      <c r="CR159" s="1303" cm="1">
        <f t="array" ref="CR159">CR152</f>
        <v>0</v>
      </c>
      <c r="CS159" s="1303" cm="1">
        <f t="array" aca="1" ref="CS159" ca="1">CS152</f>
        <v>0</v>
      </c>
      <c r="CT159" s="1290"/>
      <c r="CW159" s="970" t="s">
        <v>805</v>
      </c>
      <c r="CX159" s="975"/>
      <c r="CY159" s="975"/>
      <c r="CZ159" s="975"/>
      <c r="DA159" s="976"/>
      <c r="DB159" s="976"/>
    </row>
    <row r="160" spans="1:106" s="1229" customFormat="1" ht="29.25" customHeight="1">
      <c r="A160" s="1155"/>
      <c r="B160" s="783"/>
      <c r="C160" s="1155"/>
      <c r="D160" s="1155"/>
      <c r="E160" s="676">
        <v>30</v>
      </c>
      <c r="F160" s="779" t="str" cm="1">
        <f t="array" aca="1" ref="F160" ca="1">OFFSET(G160,-1,-1)</f>
        <v>1</v>
      </c>
      <c r="G160" s="814"/>
      <c r="H160" s="814"/>
      <c r="I160" s="814"/>
      <c r="J160" s="814"/>
      <c r="K160" s="814"/>
      <c r="L160" s="779" t="b" cm="1">
        <f t="array" aca="1" ref="L160" ca="1">OFFSET(M160,-1,-1)</f>
        <v>0</v>
      </c>
      <c r="M160" s="814"/>
      <c r="N160" s="814"/>
      <c r="O160" s="814"/>
      <c r="P160" s="814"/>
      <c r="Q160" s="814"/>
      <c r="R160" s="1155"/>
      <c r="S160" s="110" t="b" cm="1">
        <f t="array" aca="1" ref="S160" ca="1">OFFSET(T160,-1,-1)</f>
        <v>1</v>
      </c>
      <c r="T160" s="1155"/>
      <c r="U160" s="698" t="b">
        <f t="shared" ca="1" si="80"/>
        <v>1</v>
      </c>
      <c r="V160" s="1155"/>
      <c r="W160" s="1155"/>
      <c r="X160" s="1155"/>
      <c r="Y160" s="1687"/>
      <c r="Z160" s="1687"/>
      <c r="AA160" s="699"/>
      <c r="AB160" s="1753"/>
      <c r="AD160" s="111">
        <v>14</v>
      </c>
      <c r="AE160" s="1759" t="s">
        <v>806</v>
      </c>
      <c r="AF160" s="1760"/>
      <c r="AG160" s="111" t="s">
        <v>807</v>
      </c>
      <c r="AH160" s="1303">
        <f ca="1">IFERROR(AH161/AH159*1000,0)</f>
        <v>0</v>
      </c>
      <c r="AI160" s="1303">
        <f ca="1">IFERROR(AI161/AI159*1000,0)</f>
        <v>0</v>
      </c>
      <c r="AJ160" s="1303">
        <f ca="1">IFERROR(AJ161/AJ159*1000,0)</f>
        <v>0</v>
      </c>
      <c r="AK160" s="1303">
        <f ca="1">IFERROR(AK161/AK159*1000,0)</f>
        <v>188.86913977019603</v>
      </c>
      <c r="AL160" s="1303"/>
      <c r="AM160" s="1303" cm="1">
        <f t="array" ref="AM160">AL160</f>
        <v>0</v>
      </c>
      <c r="AN160" s="1303" cm="1">
        <f t="array" ref="AN160">AL160</f>
        <v>0</v>
      </c>
      <c r="AO160" s="827"/>
      <c r="AP160" s="827" cm="1">
        <f t="array" ref="AP160">AO160</f>
        <v>0</v>
      </c>
      <c r="AQ160" s="827" cm="1">
        <f t="array" ref="AQ160">AO160</f>
        <v>0</v>
      </c>
      <c r="AR160" s="827"/>
      <c r="AS160" s="827" cm="1">
        <f t="array" ref="AS160">AR160</f>
        <v>0</v>
      </c>
      <c r="AT160" s="827" cm="1">
        <f t="array" ref="AT160">AR160</f>
        <v>0</v>
      </c>
      <c r="AU160" s="827"/>
      <c r="AV160" s="827" cm="1">
        <f t="array" ref="AV160">AU160</f>
        <v>0</v>
      </c>
      <c r="AW160" s="827" cm="1">
        <f t="array" ref="AW160">AU160</f>
        <v>0</v>
      </c>
      <c r="AX160" s="827"/>
      <c r="AY160" s="827" cm="1">
        <f t="array" ref="AY160">AX160</f>
        <v>0</v>
      </c>
      <c r="AZ160" s="827" cm="1">
        <f t="array" ref="AZ160">AX160</f>
        <v>0</v>
      </c>
      <c r="BA160" s="1303"/>
      <c r="BB160" s="1303" cm="1">
        <f t="array" ref="BB160">BA160</f>
        <v>0</v>
      </c>
      <c r="BC160" s="1303" cm="1">
        <f t="array" ref="BC160">BA160</f>
        <v>0</v>
      </c>
      <c r="BD160" s="1303"/>
      <c r="BE160" s="1303" cm="1">
        <f t="array" ref="BE160">BD160</f>
        <v>0</v>
      </c>
      <c r="BF160" s="1303" cm="1">
        <f t="array" ref="BF160">BD160</f>
        <v>0</v>
      </c>
      <c r="BG160" s="1303"/>
      <c r="BH160" s="1303" cm="1">
        <f t="array" ref="BH160">BG160</f>
        <v>0</v>
      </c>
      <c r="BI160" s="1303" cm="1">
        <f t="array" ref="BI160">BG160</f>
        <v>0</v>
      </c>
      <c r="BJ160" s="1303"/>
      <c r="BK160" s="1303" cm="1">
        <f t="array" ref="BK160">BJ160</f>
        <v>0</v>
      </c>
      <c r="BL160" s="1303" cm="1">
        <f t="array" ref="BL160">BJ160</f>
        <v>0</v>
      </c>
      <c r="BM160" s="1303"/>
      <c r="BN160" s="1303" cm="1">
        <f t="array" ref="BN160">BM160</f>
        <v>0</v>
      </c>
      <c r="BO160" s="1303" cm="1">
        <f t="array" ref="BO160">BM160</f>
        <v>0</v>
      </c>
      <c r="BP160" s="827">
        <v>188.50117611220199</v>
      </c>
      <c r="BQ160" s="827" cm="1">
        <f t="array" ref="BQ160">BP160</f>
        <v>188.50117611220199</v>
      </c>
      <c r="BR160" s="827" cm="1">
        <f t="array" ref="BR160">BP160</f>
        <v>188.50117611220199</v>
      </c>
      <c r="BS160" s="827"/>
      <c r="BT160" s="827" cm="1">
        <f t="array" ref="BT160">BS160</f>
        <v>0</v>
      </c>
      <c r="BU160" s="827" cm="1">
        <f t="array" ref="BU160">BS160</f>
        <v>0</v>
      </c>
      <c r="BV160" s="827"/>
      <c r="BW160" s="827" cm="1">
        <f t="array" ref="BW160">BV160</f>
        <v>0</v>
      </c>
      <c r="BX160" s="827" cm="1">
        <f t="array" ref="BX160">BV160</f>
        <v>0</v>
      </c>
      <c r="BY160" s="827"/>
      <c r="BZ160" s="827" cm="1">
        <f t="array" ref="BZ160">BY160</f>
        <v>0</v>
      </c>
      <c r="CA160" s="827" cm="1">
        <f t="array" ref="CA160">BY160</f>
        <v>0</v>
      </c>
      <c r="CB160" s="827"/>
      <c r="CC160" s="827" cm="1">
        <f t="array" ref="CC160">CB160</f>
        <v>0</v>
      </c>
      <c r="CD160" s="827" cm="1">
        <f t="array" ref="CD160">CB160</f>
        <v>0</v>
      </c>
      <c r="CE160" s="1303"/>
      <c r="CF160" s="1303" cm="1">
        <f t="array" ref="CF160">CE160</f>
        <v>0</v>
      </c>
      <c r="CG160" s="1303" cm="1">
        <f t="array" ref="CG160">CE160</f>
        <v>0</v>
      </c>
      <c r="CH160" s="1303"/>
      <c r="CI160" s="1303" cm="1">
        <f t="array" ref="CI160">CH160</f>
        <v>0</v>
      </c>
      <c r="CJ160" s="1303" cm="1">
        <f t="array" ref="CJ160">CH160</f>
        <v>0</v>
      </c>
      <c r="CK160" s="1303"/>
      <c r="CL160" s="1303" cm="1">
        <f t="array" ref="CL160">CK160</f>
        <v>0</v>
      </c>
      <c r="CM160" s="1303" cm="1">
        <f t="array" ref="CM160">CK160</f>
        <v>0</v>
      </c>
      <c r="CN160" s="1303"/>
      <c r="CO160" s="1303" cm="1">
        <f t="array" ref="CO160">CN160</f>
        <v>0</v>
      </c>
      <c r="CP160" s="1303" cm="1">
        <f t="array" ref="CP160">CN160</f>
        <v>0</v>
      </c>
      <c r="CQ160" s="1303"/>
      <c r="CR160" s="1303" cm="1">
        <f t="array" ref="CR160">CQ160</f>
        <v>0</v>
      </c>
      <c r="CS160" s="1303" cm="1">
        <f t="array" ref="CS160">CQ160</f>
        <v>0</v>
      </c>
      <c r="CT160" s="1290"/>
      <c r="CW160" s="970" t="s">
        <v>808</v>
      </c>
      <c r="CX160" s="975"/>
      <c r="CY160" s="975"/>
      <c r="CZ160" s="975"/>
      <c r="DA160" s="976"/>
      <c r="DB160" s="976"/>
    </row>
    <row r="161" spans="1:106" s="1229" customFormat="1" ht="16.5" customHeight="1">
      <c r="A161" s="1155"/>
      <c r="B161" s="783"/>
      <c r="C161" s="1155"/>
      <c r="D161" s="1155"/>
      <c r="E161" s="676">
        <v>17.100000000000001</v>
      </c>
      <c r="F161" s="779" t="str" cm="1">
        <f t="array" aca="1" ref="F161" ca="1">OFFSET(G161,-1,-1)</f>
        <v>1</v>
      </c>
      <c r="G161" s="814"/>
      <c r="H161" s="814"/>
      <c r="I161" s="814"/>
      <c r="J161" s="814"/>
      <c r="K161" s="814"/>
      <c r="L161" s="779" t="b" cm="1">
        <f t="array" aca="1" ref="L161" ca="1">OFFSET(M161,-1,-1)</f>
        <v>0</v>
      </c>
      <c r="M161" s="814"/>
      <c r="N161" s="814"/>
      <c r="O161" s="814"/>
      <c r="P161" s="814"/>
      <c r="Q161" s="814"/>
      <c r="R161" s="1155"/>
      <c r="S161" s="110" t="b" cm="1">
        <f t="array" aca="1" ref="S161" ca="1">OFFSET(T161,-1,-1)</f>
        <v>1</v>
      </c>
      <c r="T161" s="1155"/>
      <c r="U161" s="698" t="b">
        <f t="shared" ca="1" si="80"/>
        <v>1</v>
      </c>
      <c r="V161" s="1155"/>
      <c r="W161" s="1155"/>
      <c r="X161" s="1155"/>
      <c r="Y161" s="1687"/>
      <c r="Z161" s="1687"/>
      <c r="AA161" s="699"/>
      <c r="AB161" s="1786" t="s">
        <v>809</v>
      </c>
      <c r="AD161" s="111">
        <v>15</v>
      </c>
      <c r="AE161" s="1759" t="s">
        <v>810</v>
      </c>
      <c r="AF161" s="1760"/>
      <c r="AG161" s="111" t="s">
        <v>803</v>
      </c>
      <c r="AH161" s="1303"/>
      <c r="AI161" s="1303"/>
      <c r="AJ161" s="1303"/>
      <c r="AK161" s="1303">
        <v>28913.41</v>
      </c>
      <c r="AL161" s="734">
        <f ca="1">AM161+AN161</f>
        <v>0</v>
      </c>
      <c r="AM161" s="1303">
        <f>AM160*AM159/1000</f>
        <v>0</v>
      </c>
      <c r="AN161" s="1303">
        <f ca="1">AN160*AN159/1000</f>
        <v>0</v>
      </c>
      <c r="AO161" s="734">
        <f ca="1">AP161+AQ161</f>
        <v>0</v>
      </c>
      <c r="AP161" s="827">
        <f>AP160*AP159/1000</f>
        <v>0</v>
      </c>
      <c r="AQ161" s="827">
        <f ca="1">AQ160*AQ159/1000</f>
        <v>0</v>
      </c>
      <c r="AR161" s="734">
        <f ca="1">AS161+AT161</f>
        <v>0</v>
      </c>
      <c r="AS161" s="827">
        <f>AS160*AS159/1000</f>
        <v>0</v>
      </c>
      <c r="AT161" s="827">
        <f ca="1">AT160*AT159/1000</f>
        <v>0</v>
      </c>
      <c r="AU161" s="734">
        <f ca="1">AV161+AW161</f>
        <v>0</v>
      </c>
      <c r="AV161" s="827">
        <f>AV160*AV159/1000</f>
        <v>0</v>
      </c>
      <c r="AW161" s="827">
        <f ca="1">AW160*AW159/1000</f>
        <v>0</v>
      </c>
      <c r="AX161" s="734">
        <f ca="1">AY161+AZ161</f>
        <v>0</v>
      </c>
      <c r="AY161" s="827">
        <f>AY160*AY159/1000</f>
        <v>0</v>
      </c>
      <c r="AZ161" s="827">
        <f ca="1">AZ160*AZ159/1000</f>
        <v>0</v>
      </c>
      <c r="BA161" s="734">
        <f ca="1">BB161+BC161</f>
        <v>0</v>
      </c>
      <c r="BB161" s="1303">
        <f>BB160*BB159/1000</f>
        <v>0</v>
      </c>
      <c r="BC161" s="1303">
        <f ca="1">BC160*BC159/1000</f>
        <v>0</v>
      </c>
      <c r="BD161" s="734">
        <f ca="1">BE161+BF161</f>
        <v>0</v>
      </c>
      <c r="BE161" s="1303">
        <f>BE160*BE159/1000</f>
        <v>0</v>
      </c>
      <c r="BF161" s="1303">
        <f ca="1">BF160*BF159/1000</f>
        <v>0</v>
      </c>
      <c r="BG161" s="734">
        <f ca="1">BH161+BI161</f>
        <v>0</v>
      </c>
      <c r="BH161" s="1303">
        <f>BH160*BH159/1000</f>
        <v>0</v>
      </c>
      <c r="BI161" s="1303">
        <f ca="1">BI160*BI159/1000</f>
        <v>0</v>
      </c>
      <c r="BJ161" s="734">
        <f ca="1">BK161+BL161</f>
        <v>0</v>
      </c>
      <c r="BK161" s="1303">
        <f>BK160*BK159/1000</f>
        <v>0</v>
      </c>
      <c r="BL161" s="1303">
        <f ca="1">BL160*BL159/1000</f>
        <v>0</v>
      </c>
      <c r="BM161" s="734">
        <f ca="1">BN161+BO161</f>
        <v>0</v>
      </c>
      <c r="BN161" s="1303">
        <f>BN160*BN159/1000</f>
        <v>0</v>
      </c>
      <c r="BO161" s="1303">
        <f ca="1">BO160*BO159/1000</f>
        <v>0</v>
      </c>
      <c r="BP161" s="734">
        <f ca="1">BQ161+BR161</f>
        <v>28897.550749999958</v>
      </c>
      <c r="BQ161" s="827">
        <f>BQ160*BQ159/1000</f>
        <v>20672.217790934548</v>
      </c>
      <c r="BR161" s="827">
        <f ca="1">BR160*BR159/1000</f>
        <v>8225.3329590654103</v>
      </c>
      <c r="BS161" s="734">
        <f ca="1">BT161+BU161</f>
        <v>0</v>
      </c>
      <c r="BT161" s="827">
        <f>BT160*BT159/1000</f>
        <v>0</v>
      </c>
      <c r="BU161" s="827">
        <f ca="1">BU160*BU159/1000</f>
        <v>0</v>
      </c>
      <c r="BV161" s="734">
        <f ca="1">BW161+BX161</f>
        <v>0</v>
      </c>
      <c r="BW161" s="827">
        <f>BW160*BW159/1000</f>
        <v>0</v>
      </c>
      <c r="BX161" s="827">
        <f ca="1">BX160*BX159/1000</f>
        <v>0</v>
      </c>
      <c r="BY161" s="734">
        <f ca="1">BZ161+CA161</f>
        <v>0</v>
      </c>
      <c r="BZ161" s="827">
        <f>BZ160*BZ159/1000</f>
        <v>0</v>
      </c>
      <c r="CA161" s="827">
        <f ca="1">CA160*CA159/1000</f>
        <v>0</v>
      </c>
      <c r="CB161" s="734">
        <f ca="1">CC161+CD161</f>
        <v>0</v>
      </c>
      <c r="CC161" s="827">
        <f>CC160*CC159/1000</f>
        <v>0</v>
      </c>
      <c r="CD161" s="827">
        <f ca="1">CD160*CD159/1000</f>
        <v>0</v>
      </c>
      <c r="CE161" s="734">
        <f ca="1">CF161+CG161</f>
        <v>0</v>
      </c>
      <c r="CF161" s="1303">
        <f>CF160*CF159/1000</f>
        <v>0</v>
      </c>
      <c r="CG161" s="1303">
        <f ca="1">CG160*CG159/1000</f>
        <v>0</v>
      </c>
      <c r="CH161" s="734">
        <f ca="1">CI161+CJ161</f>
        <v>0</v>
      </c>
      <c r="CI161" s="1303">
        <f>CI160*CI159/1000</f>
        <v>0</v>
      </c>
      <c r="CJ161" s="1303">
        <f ca="1">CJ160*CJ159/1000</f>
        <v>0</v>
      </c>
      <c r="CK161" s="734">
        <f ca="1">CL161+CM161</f>
        <v>0</v>
      </c>
      <c r="CL161" s="1303">
        <f>CL160*CL159/1000</f>
        <v>0</v>
      </c>
      <c r="CM161" s="1303">
        <f ca="1">CM160*CM159/1000</f>
        <v>0</v>
      </c>
      <c r="CN161" s="734">
        <f ca="1">CO161+CP161</f>
        <v>0</v>
      </c>
      <c r="CO161" s="1303">
        <f>CO160*CO159/1000</f>
        <v>0</v>
      </c>
      <c r="CP161" s="1303">
        <f ca="1">CP160*CP159/1000</f>
        <v>0</v>
      </c>
      <c r="CQ161" s="734">
        <f ca="1">CR161+CS161</f>
        <v>0</v>
      </c>
      <c r="CR161" s="1303">
        <f>CR160*CR159/1000</f>
        <v>0</v>
      </c>
      <c r="CS161" s="1303">
        <f ca="1">CS160*CS159/1000</f>
        <v>0</v>
      </c>
      <c r="CT161" s="1290"/>
      <c r="CW161" s="970" t="s">
        <v>811</v>
      </c>
      <c r="CX161" s="975"/>
      <c r="CY161" s="975"/>
      <c r="CZ161" s="975"/>
      <c r="DA161" s="976"/>
      <c r="DB161" s="976"/>
    </row>
    <row r="162" spans="1:106" s="1229" customFormat="1" ht="16.5" customHeight="1">
      <c r="A162" s="1155"/>
      <c r="B162" s="783"/>
      <c r="C162" s="1155"/>
      <c r="D162" s="1155"/>
      <c r="E162" s="676">
        <v>17.100000000000001</v>
      </c>
      <c r="F162" s="779" t="str" cm="1">
        <f t="array" aca="1" ref="F162" ca="1">OFFSET(G162,-1,-1)</f>
        <v>1</v>
      </c>
      <c r="G162" s="814"/>
      <c r="H162" s="814"/>
      <c r="I162" s="814"/>
      <c r="J162" s="814"/>
      <c r="K162" s="814"/>
      <c r="L162" s="779" t="b" cm="1">
        <f t="array" aca="1" ref="L162" ca="1">OFFSET(M162,-1,-1)</f>
        <v>0</v>
      </c>
      <c r="M162" s="814"/>
      <c r="N162" s="814"/>
      <c r="O162" s="814"/>
      <c r="P162" s="814"/>
      <c r="Q162" s="814"/>
      <c r="R162" s="1155"/>
      <c r="S162" s="110" t="b" cm="1">
        <f t="array" aca="1" ref="S162" ca="1">OFFSET(T162,-1,-1)</f>
        <v>1</v>
      </c>
      <c r="T162" s="1155"/>
      <c r="U162" s="698" t="b">
        <f t="shared" ca="1" si="80"/>
        <v>1</v>
      </c>
      <c r="V162" s="1155"/>
      <c r="W162" s="1155"/>
      <c r="X162" s="1155"/>
      <c r="Y162" s="1687"/>
      <c r="Z162" s="1687"/>
      <c r="AA162" s="699"/>
      <c r="AB162" s="1787"/>
      <c r="AD162" s="111">
        <v>16</v>
      </c>
      <c r="AE162" s="1759" t="s">
        <v>812</v>
      </c>
      <c r="AF162" s="1760"/>
      <c r="AG162" s="111" t="s">
        <v>803</v>
      </c>
      <c r="AH162" s="734">
        <f>AH161+AH158</f>
        <v>0</v>
      </c>
      <c r="AI162" s="734">
        <f>AI161+AI158</f>
        <v>0</v>
      </c>
      <c r="AJ162" s="734">
        <f>AJ161+AJ158</f>
        <v>0</v>
      </c>
      <c r="AK162" s="734">
        <f>AK161+AK158</f>
        <v>28913.41</v>
      </c>
      <c r="AL162" s="734">
        <f ca="1">AM162+AN162</f>
        <v>0</v>
      </c>
      <c r="AM162" s="734">
        <f>AM161+AM158</f>
        <v>0</v>
      </c>
      <c r="AN162" s="734">
        <f ca="1">AN161+AN158</f>
        <v>0</v>
      </c>
      <c r="AO162" s="734">
        <f ca="1">AP162+AQ162</f>
        <v>0</v>
      </c>
      <c r="AP162" s="734">
        <f>AP161+AP158</f>
        <v>0</v>
      </c>
      <c r="AQ162" s="734">
        <f ca="1">AQ161+AQ158</f>
        <v>0</v>
      </c>
      <c r="AR162" s="734">
        <f ca="1">AS162+AT162</f>
        <v>0</v>
      </c>
      <c r="AS162" s="734">
        <f>AS161+AS158</f>
        <v>0</v>
      </c>
      <c r="AT162" s="734">
        <f ca="1">AT161+AT158</f>
        <v>0</v>
      </c>
      <c r="AU162" s="734">
        <f ca="1">AV162+AW162</f>
        <v>0</v>
      </c>
      <c r="AV162" s="734">
        <f>AV161+AV158</f>
        <v>0</v>
      </c>
      <c r="AW162" s="734">
        <f ca="1">AW161+AW158</f>
        <v>0</v>
      </c>
      <c r="AX162" s="734">
        <f ca="1">AY162+AZ162</f>
        <v>0</v>
      </c>
      <c r="AY162" s="734">
        <f>AY161+AY158</f>
        <v>0</v>
      </c>
      <c r="AZ162" s="734">
        <f ca="1">AZ161+AZ158</f>
        <v>0</v>
      </c>
      <c r="BA162" s="734">
        <f ca="1">BB162+BC162</f>
        <v>0</v>
      </c>
      <c r="BB162" s="734">
        <f>BB161+BB158</f>
        <v>0</v>
      </c>
      <c r="BC162" s="734">
        <f ca="1">BC161+BC158</f>
        <v>0</v>
      </c>
      <c r="BD162" s="734">
        <f ca="1">BE162+BF162</f>
        <v>0</v>
      </c>
      <c r="BE162" s="734">
        <f>BE161+BE158</f>
        <v>0</v>
      </c>
      <c r="BF162" s="734">
        <f ca="1">BF161+BF158</f>
        <v>0</v>
      </c>
      <c r="BG162" s="734">
        <f ca="1">BH162+BI162</f>
        <v>0</v>
      </c>
      <c r="BH162" s="734">
        <f>BH161+BH158</f>
        <v>0</v>
      </c>
      <c r="BI162" s="734">
        <f ca="1">BI161+BI158</f>
        <v>0</v>
      </c>
      <c r="BJ162" s="734">
        <f ca="1">BK162+BL162</f>
        <v>0</v>
      </c>
      <c r="BK162" s="734">
        <f>BK161+BK158</f>
        <v>0</v>
      </c>
      <c r="BL162" s="734">
        <f ca="1">BL161+BL158</f>
        <v>0</v>
      </c>
      <c r="BM162" s="734">
        <f ca="1">BN162+BO162</f>
        <v>0</v>
      </c>
      <c r="BN162" s="734">
        <f>BN161+BN158</f>
        <v>0</v>
      </c>
      <c r="BO162" s="734">
        <f ca="1">BO161+BO158</f>
        <v>0</v>
      </c>
      <c r="BP162" s="734">
        <f ca="1">BQ162+BR162</f>
        <v>28897.550749999958</v>
      </c>
      <c r="BQ162" s="734">
        <f>BQ161+BQ158</f>
        <v>20672.217790934548</v>
      </c>
      <c r="BR162" s="734">
        <f ca="1">BR161+BR158</f>
        <v>8225.3329590654103</v>
      </c>
      <c r="BS162" s="734">
        <f ca="1">BT162+BU162</f>
        <v>0</v>
      </c>
      <c r="BT162" s="734">
        <f>BT161+BT158</f>
        <v>0</v>
      </c>
      <c r="BU162" s="734">
        <f ca="1">BU161+BU158</f>
        <v>0</v>
      </c>
      <c r="BV162" s="734">
        <f ca="1">BW162+BX162</f>
        <v>0</v>
      </c>
      <c r="BW162" s="734">
        <f>BW161+BW158</f>
        <v>0</v>
      </c>
      <c r="BX162" s="734">
        <f ca="1">BX161+BX158</f>
        <v>0</v>
      </c>
      <c r="BY162" s="734">
        <f ca="1">BZ162+CA162</f>
        <v>0</v>
      </c>
      <c r="BZ162" s="734">
        <f>BZ161+BZ158</f>
        <v>0</v>
      </c>
      <c r="CA162" s="734">
        <f ca="1">CA161+CA158</f>
        <v>0</v>
      </c>
      <c r="CB162" s="734">
        <f ca="1">CC162+CD162</f>
        <v>0</v>
      </c>
      <c r="CC162" s="734">
        <f>CC161+CC158</f>
        <v>0</v>
      </c>
      <c r="CD162" s="734">
        <f ca="1">CD161+CD158</f>
        <v>0</v>
      </c>
      <c r="CE162" s="734">
        <f ca="1">CF162+CG162</f>
        <v>0</v>
      </c>
      <c r="CF162" s="734">
        <f>CF161+CF158</f>
        <v>0</v>
      </c>
      <c r="CG162" s="734">
        <f ca="1">CG161+CG158</f>
        <v>0</v>
      </c>
      <c r="CH162" s="734">
        <f ca="1">CI162+CJ162</f>
        <v>0</v>
      </c>
      <c r="CI162" s="734">
        <f>CI161+CI158</f>
        <v>0</v>
      </c>
      <c r="CJ162" s="734">
        <f ca="1">CJ161+CJ158</f>
        <v>0</v>
      </c>
      <c r="CK162" s="734">
        <f ca="1">CL162+CM162</f>
        <v>0</v>
      </c>
      <c r="CL162" s="734">
        <f>CL161+CL158</f>
        <v>0</v>
      </c>
      <c r="CM162" s="734">
        <f ca="1">CM161+CM158</f>
        <v>0</v>
      </c>
      <c r="CN162" s="734">
        <f ca="1">CO162+CP162</f>
        <v>0</v>
      </c>
      <c r="CO162" s="734">
        <f>CO161+CO158</f>
        <v>0</v>
      </c>
      <c r="CP162" s="734">
        <f ca="1">CP161+CP158</f>
        <v>0</v>
      </c>
      <c r="CQ162" s="734">
        <f ca="1">CR162+CS162</f>
        <v>0</v>
      </c>
      <c r="CR162" s="734">
        <f>CR161+CR158</f>
        <v>0</v>
      </c>
      <c r="CS162" s="734">
        <f ca="1">CS161+CS158</f>
        <v>0</v>
      </c>
      <c r="CT162" s="1290"/>
      <c r="CW162" s="970" t="s">
        <v>813</v>
      </c>
      <c r="CX162" s="975"/>
      <c r="CY162" s="975"/>
      <c r="CZ162" s="975"/>
      <c r="DA162" s="976"/>
      <c r="DB162" s="976"/>
    </row>
    <row r="163" spans="1:106" s="1229" customFormat="1" ht="16.5" hidden="1" customHeight="1">
      <c r="A163" s="1155"/>
      <c r="B163" s="783"/>
      <c r="C163" s="1155"/>
      <c r="D163" s="1155"/>
      <c r="E163" s="676">
        <v>17.100000000000001</v>
      </c>
      <c r="F163" s="779" t="str" cm="1">
        <f t="array" aca="1" ref="F163" ca="1">OFFSET(G163,-1,-1)</f>
        <v>1</v>
      </c>
      <c r="G163" s="814"/>
      <c r="H163" s="814"/>
      <c r="I163" s="814"/>
      <c r="J163" s="814"/>
      <c r="K163" s="814"/>
      <c r="L163" s="779" t="b" cm="1">
        <f t="array" aca="1" ref="L163" ca="1">OFFSET(M163,-1,-1)</f>
        <v>0</v>
      </c>
      <c r="M163" s="814"/>
      <c r="N163" s="814"/>
      <c r="O163" s="814"/>
      <c r="P163" s="814"/>
      <c r="Q163" s="814"/>
      <c r="R163" s="779" t="s">
        <v>759</v>
      </c>
      <c r="S163" s="110" t="b" cm="1">
        <f t="array" aca="1" ref="S163" ca="1">OFFSET(T163,-1,-1)</f>
        <v>1</v>
      </c>
      <c r="T163" s="110" t="b" cm="1">
        <f t="array" aca="1" ref="T163" ca="1">L163</f>
        <v>0</v>
      </c>
      <c r="U163" s="698" t="b">
        <f t="shared" ca="1" si="80"/>
        <v>0</v>
      </c>
      <c r="V163" s="1155"/>
      <c r="W163" s="1155"/>
      <c r="X163" s="1155"/>
      <c r="Y163" s="1687"/>
      <c r="Z163" s="1687"/>
      <c r="AA163" s="699"/>
      <c r="AB163" s="1787"/>
      <c r="AD163" s="111">
        <v>17</v>
      </c>
      <c r="AE163" s="1759" t="s">
        <v>814</v>
      </c>
      <c r="AF163" s="1760"/>
      <c r="AG163" s="111" t="s">
        <v>533</v>
      </c>
      <c r="AH163" s="740">
        <f t="shared" ref="AH163:BM163" si="81">IFERROR(AH161/AH162,0)</f>
        <v>0</v>
      </c>
      <c r="AI163" s="741">
        <f t="shared" si="81"/>
        <v>0</v>
      </c>
      <c r="AJ163" s="741">
        <f t="shared" si="81"/>
        <v>0</v>
      </c>
      <c r="AK163" s="741">
        <f t="shared" si="81"/>
        <v>1</v>
      </c>
      <c r="AL163" s="741">
        <f t="shared" ca="1" si="81"/>
        <v>0</v>
      </c>
      <c r="AM163" s="741">
        <f t="shared" si="81"/>
        <v>0</v>
      </c>
      <c r="AN163" s="741">
        <f t="shared" ca="1" si="81"/>
        <v>0</v>
      </c>
      <c r="AO163" s="741">
        <f t="shared" ca="1" si="81"/>
        <v>0</v>
      </c>
      <c r="AP163" s="741">
        <f t="shared" si="81"/>
        <v>0</v>
      </c>
      <c r="AQ163" s="741">
        <f t="shared" ca="1" si="81"/>
        <v>0</v>
      </c>
      <c r="AR163" s="741">
        <f t="shared" ca="1" si="81"/>
        <v>0</v>
      </c>
      <c r="AS163" s="741">
        <f t="shared" si="81"/>
        <v>0</v>
      </c>
      <c r="AT163" s="741">
        <f t="shared" ca="1" si="81"/>
        <v>0</v>
      </c>
      <c r="AU163" s="741">
        <f t="shared" ca="1" si="81"/>
        <v>0</v>
      </c>
      <c r="AV163" s="741">
        <f t="shared" si="81"/>
        <v>0</v>
      </c>
      <c r="AW163" s="741">
        <f t="shared" ca="1" si="81"/>
        <v>0</v>
      </c>
      <c r="AX163" s="741">
        <f t="shared" ca="1" si="81"/>
        <v>0</v>
      </c>
      <c r="AY163" s="741">
        <f t="shared" si="81"/>
        <v>0</v>
      </c>
      <c r="AZ163" s="741">
        <f t="shared" ca="1" si="81"/>
        <v>0</v>
      </c>
      <c r="BA163" s="741">
        <f t="shared" ca="1" si="81"/>
        <v>0</v>
      </c>
      <c r="BB163" s="741">
        <f t="shared" si="81"/>
        <v>0</v>
      </c>
      <c r="BC163" s="741">
        <f t="shared" ca="1" si="81"/>
        <v>0</v>
      </c>
      <c r="BD163" s="741">
        <f t="shared" ca="1" si="81"/>
        <v>0</v>
      </c>
      <c r="BE163" s="741">
        <f t="shared" si="81"/>
        <v>0</v>
      </c>
      <c r="BF163" s="741">
        <f t="shared" ca="1" si="81"/>
        <v>0</v>
      </c>
      <c r="BG163" s="741">
        <f t="shared" ca="1" si="81"/>
        <v>0</v>
      </c>
      <c r="BH163" s="741">
        <f t="shared" si="81"/>
        <v>0</v>
      </c>
      <c r="BI163" s="741">
        <f t="shared" ca="1" si="81"/>
        <v>0</v>
      </c>
      <c r="BJ163" s="741">
        <f t="shared" ca="1" si="81"/>
        <v>0</v>
      </c>
      <c r="BK163" s="741">
        <f t="shared" si="81"/>
        <v>0</v>
      </c>
      <c r="BL163" s="741">
        <f t="shared" ca="1" si="81"/>
        <v>0</v>
      </c>
      <c r="BM163" s="741">
        <f t="shared" ca="1" si="81"/>
        <v>0</v>
      </c>
      <c r="BN163" s="741">
        <f t="shared" ref="BN163:CS163" si="82">IFERROR(BN161/BN162,0)</f>
        <v>0</v>
      </c>
      <c r="BO163" s="741">
        <f t="shared" ca="1" si="82"/>
        <v>0</v>
      </c>
      <c r="BP163" s="741">
        <f t="shared" ca="1" si="82"/>
        <v>1</v>
      </c>
      <c r="BQ163" s="741">
        <f t="shared" si="82"/>
        <v>1</v>
      </c>
      <c r="BR163" s="741">
        <f t="shared" ca="1" si="82"/>
        <v>1</v>
      </c>
      <c r="BS163" s="741">
        <f t="shared" ca="1" si="82"/>
        <v>0</v>
      </c>
      <c r="BT163" s="741">
        <f t="shared" si="82"/>
        <v>0</v>
      </c>
      <c r="BU163" s="741">
        <f t="shared" ca="1" si="82"/>
        <v>0</v>
      </c>
      <c r="BV163" s="741">
        <f t="shared" ca="1" si="82"/>
        <v>0</v>
      </c>
      <c r="BW163" s="741">
        <f t="shared" si="82"/>
        <v>0</v>
      </c>
      <c r="BX163" s="741">
        <f t="shared" ca="1" si="82"/>
        <v>0</v>
      </c>
      <c r="BY163" s="741">
        <f t="shared" ca="1" si="82"/>
        <v>0</v>
      </c>
      <c r="BZ163" s="741">
        <f t="shared" si="82"/>
        <v>0</v>
      </c>
      <c r="CA163" s="741">
        <f t="shared" ca="1" si="82"/>
        <v>0</v>
      </c>
      <c r="CB163" s="741">
        <f t="shared" ca="1" si="82"/>
        <v>0</v>
      </c>
      <c r="CC163" s="741">
        <f t="shared" si="82"/>
        <v>0</v>
      </c>
      <c r="CD163" s="741">
        <f t="shared" ca="1" si="82"/>
        <v>0</v>
      </c>
      <c r="CE163" s="741">
        <f t="shared" ca="1" si="82"/>
        <v>0</v>
      </c>
      <c r="CF163" s="741">
        <f t="shared" si="82"/>
        <v>0</v>
      </c>
      <c r="CG163" s="741">
        <f t="shared" ca="1" si="82"/>
        <v>0</v>
      </c>
      <c r="CH163" s="741">
        <f t="shared" ca="1" si="82"/>
        <v>0</v>
      </c>
      <c r="CI163" s="741">
        <f t="shared" si="82"/>
        <v>0</v>
      </c>
      <c r="CJ163" s="741">
        <f t="shared" ca="1" si="82"/>
        <v>0</v>
      </c>
      <c r="CK163" s="741">
        <f t="shared" ca="1" si="82"/>
        <v>0</v>
      </c>
      <c r="CL163" s="741">
        <f t="shared" si="82"/>
        <v>0</v>
      </c>
      <c r="CM163" s="741">
        <f t="shared" ca="1" si="82"/>
        <v>0</v>
      </c>
      <c r="CN163" s="741">
        <f t="shared" ca="1" si="82"/>
        <v>0</v>
      </c>
      <c r="CO163" s="741">
        <f t="shared" si="82"/>
        <v>0</v>
      </c>
      <c r="CP163" s="741">
        <f t="shared" ca="1" si="82"/>
        <v>0</v>
      </c>
      <c r="CQ163" s="741">
        <f t="shared" ca="1" si="82"/>
        <v>0</v>
      </c>
      <c r="CR163" s="741">
        <f t="shared" si="82"/>
        <v>0</v>
      </c>
      <c r="CS163" s="741">
        <f t="shared" ca="1" si="82"/>
        <v>0</v>
      </c>
      <c r="CT163" s="28"/>
      <c r="CW163" s="970" t="s">
        <v>815</v>
      </c>
      <c r="CX163" s="975"/>
      <c r="CY163" s="975"/>
      <c r="CZ163" s="975"/>
      <c r="DA163" s="976"/>
      <c r="DB163" s="976"/>
    </row>
    <row r="164" spans="1:106" s="1229" customFormat="1" ht="16.5" customHeight="1">
      <c r="A164" s="1155"/>
      <c r="B164" s="783"/>
      <c r="C164" s="1155"/>
      <c r="D164" s="1155"/>
      <c r="E164" s="676">
        <v>17.100000000000001</v>
      </c>
      <c r="F164" s="779" t="str" cm="1">
        <f t="array" aca="1" ref="F164" ca="1">OFFSET(G164,-1,-1)</f>
        <v>1</v>
      </c>
      <c r="G164" s="814"/>
      <c r="H164" s="814"/>
      <c r="I164" s="814"/>
      <c r="J164" s="814"/>
      <c r="K164" s="814"/>
      <c r="L164" s="779" t="b" cm="1">
        <f t="array" aca="1" ref="L164" ca="1">OFFSET(M164,-1,-1)</f>
        <v>0</v>
      </c>
      <c r="M164" s="814"/>
      <c r="N164" s="814"/>
      <c r="O164" s="814"/>
      <c r="P164" s="814"/>
      <c r="Q164" s="814"/>
      <c r="R164" s="1155"/>
      <c r="S164" s="110" t="b" cm="1">
        <f t="array" aca="1" ref="S164" ca="1">OFFSET(T164,-1,-1)</f>
        <v>1</v>
      </c>
      <c r="T164" s="1155"/>
      <c r="U164" s="698" t="b">
        <f t="shared" ca="1" si="80"/>
        <v>1</v>
      </c>
      <c r="V164" s="1155"/>
      <c r="W164" s="1155"/>
      <c r="X164" s="1155"/>
      <c r="Y164" s="1687"/>
      <c r="Z164" s="1687"/>
      <c r="AA164" s="699"/>
      <c r="AB164" s="1787"/>
      <c r="AD164" s="111">
        <v>18</v>
      </c>
      <c r="AE164" s="1759" t="s">
        <v>816</v>
      </c>
      <c r="AF164" s="1760"/>
      <c r="AG164" s="111" t="s">
        <v>803</v>
      </c>
      <c r="AH164" s="734">
        <f t="shared" ref="AH164:BM164" si="83">SUM(AH166:AH169)</f>
        <v>0</v>
      </c>
      <c r="AI164" s="734">
        <f t="shared" si="83"/>
        <v>0</v>
      </c>
      <c r="AJ164" s="734">
        <f t="shared" si="83"/>
        <v>0</v>
      </c>
      <c r="AK164" s="734">
        <f t="shared" si="83"/>
        <v>28913.406799728</v>
      </c>
      <c r="AL164" s="734">
        <f t="shared" ca="1" si="83"/>
        <v>0</v>
      </c>
      <c r="AM164" s="734">
        <f t="shared" si="83"/>
        <v>0</v>
      </c>
      <c r="AN164" s="734">
        <f t="shared" ca="1" si="83"/>
        <v>0</v>
      </c>
      <c r="AO164" s="734">
        <f t="shared" ca="1" si="83"/>
        <v>0</v>
      </c>
      <c r="AP164" s="734">
        <f t="shared" si="83"/>
        <v>0</v>
      </c>
      <c r="AQ164" s="734">
        <f t="shared" ca="1" si="83"/>
        <v>0</v>
      </c>
      <c r="AR164" s="734">
        <f t="shared" ca="1" si="83"/>
        <v>0</v>
      </c>
      <c r="AS164" s="734">
        <f t="shared" si="83"/>
        <v>0</v>
      </c>
      <c r="AT164" s="734">
        <f t="shared" ca="1" si="83"/>
        <v>0</v>
      </c>
      <c r="AU164" s="734">
        <f t="shared" ca="1" si="83"/>
        <v>0</v>
      </c>
      <c r="AV164" s="734">
        <f t="shared" si="83"/>
        <v>0</v>
      </c>
      <c r="AW164" s="734">
        <f t="shared" ca="1" si="83"/>
        <v>0</v>
      </c>
      <c r="AX164" s="734">
        <f t="shared" ca="1" si="83"/>
        <v>0</v>
      </c>
      <c r="AY164" s="734">
        <f t="shared" si="83"/>
        <v>0</v>
      </c>
      <c r="AZ164" s="734">
        <f t="shared" ca="1" si="83"/>
        <v>0</v>
      </c>
      <c r="BA164" s="734">
        <f t="shared" ca="1" si="83"/>
        <v>0</v>
      </c>
      <c r="BB164" s="734">
        <f t="shared" si="83"/>
        <v>0</v>
      </c>
      <c r="BC164" s="734">
        <f t="shared" ca="1" si="83"/>
        <v>0</v>
      </c>
      <c r="BD164" s="734">
        <f t="shared" ca="1" si="83"/>
        <v>0</v>
      </c>
      <c r="BE164" s="734">
        <f t="shared" si="83"/>
        <v>0</v>
      </c>
      <c r="BF164" s="734">
        <f t="shared" ca="1" si="83"/>
        <v>0</v>
      </c>
      <c r="BG164" s="734">
        <f t="shared" ca="1" si="83"/>
        <v>0</v>
      </c>
      <c r="BH164" s="734">
        <f t="shared" si="83"/>
        <v>0</v>
      </c>
      <c r="BI164" s="734">
        <f t="shared" ca="1" si="83"/>
        <v>0</v>
      </c>
      <c r="BJ164" s="734">
        <f t="shared" ca="1" si="83"/>
        <v>0</v>
      </c>
      <c r="BK164" s="734">
        <f t="shared" si="83"/>
        <v>0</v>
      </c>
      <c r="BL164" s="734">
        <f t="shared" ca="1" si="83"/>
        <v>0</v>
      </c>
      <c r="BM164" s="734">
        <f t="shared" ca="1" si="83"/>
        <v>0</v>
      </c>
      <c r="BN164" s="734">
        <f t="shared" ref="BN164:CS164" si="84">SUM(BN166:BN169)</f>
        <v>0</v>
      </c>
      <c r="BO164" s="734">
        <f t="shared" ca="1" si="84"/>
        <v>0</v>
      </c>
      <c r="BP164" s="734">
        <f t="shared" ca="1" si="84"/>
        <v>28897.550749999958</v>
      </c>
      <c r="BQ164" s="734">
        <f t="shared" si="84"/>
        <v>20672.217790934548</v>
      </c>
      <c r="BR164" s="734">
        <f t="shared" ca="1" si="84"/>
        <v>8225.3329590654103</v>
      </c>
      <c r="BS164" s="734">
        <f t="shared" ca="1" si="84"/>
        <v>0</v>
      </c>
      <c r="BT164" s="734">
        <f t="shared" si="84"/>
        <v>0</v>
      </c>
      <c r="BU164" s="734">
        <f t="shared" ca="1" si="84"/>
        <v>0</v>
      </c>
      <c r="BV164" s="734">
        <f t="shared" ca="1" si="84"/>
        <v>0</v>
      </c>
      <c r="BW164" s="734">
        <f t="shared" si="84"/>
        <v>0</v>
      </c>
      <c r="BX164" s="734">
        <f t="shared" ca="1" si="84"/>
        <v>0</v>
      </c>
      <c r="BY164" s="734">
        <f t="shared" ca="1" si="84"/>
        <v>0</v>
      </c>
      <c r="BZ164" s="734">
        <f t="shared" si="84"/>
        <v>0</v>
      </c>
      <c r="CA164" s="734">
        <f t="shared" ca="1" si="84"/>
        <v>0</v>
      </c>
      <c r="CB164" s="734">
        <f t="shared" ca="1" si="84"/>
        <v>0</v>
      </c>
      <c r="CC164" s="734">
        <f t="shared" si="84"/>
        <v>0</v>
      </c>
      <c r="CD164" s="734">
        <f t="shared" ca="1" si="84"/>
        <v>0</v>
      </c>
      <c r="CE164" s="734">
        <f t="shared" ca="1" si="84"/>
        <v>0</v>
      </c>
      <c r="CF164" s="734">
        <f t="shared" si="84"/>
        <v>0</v>
      </c>
      <c r="CG164" s="734">
        <f t="shared" ca="1" si="84"/>
        <v>0</v>
      </c>
      <c r="CH164" s="734">
        <f t="shared" ca="1" si="84"/>
        <v>0</v>
      </c>
      <c r="CI164" s="734">
        <f t="shared" si="84"/>
        <v>0</v>
      </c>
      <c r="CJ164" s="734">
        <f t="shared" ca="1" si="84"/>
        <v>0</v>
      </c>
      <c r="CK164" s="734">
        <f t="shared" ca="1" si="84"/>
        <v>0</v>
      </c>
      <c r="CL164" s="734">
        <f t="shared" si="84"/>
        <v>0</v>
      </c>
      <c r="CM164" s="734">
        <f t="shared" ca="1" si="84"/>
        <v>0</v>
      </c>
      <c r="CN164" s="734">
        <f t="shared" ca="1" si="84"/>
        <v>0</v>
      </c>
      <c r="CO164" s="734">
        <f t="shared" si="84"/>
        <v>0</v>
      </c>
      <c r="CP164" s="734">
        <f t="shared" ca="1" si="84"/>
        <v>0</v>
      </c>
      <c r="CQ164" s="734">
        <f t="shared" ca="1" si="84"/>
        <v>0</v>
      </c>
      <c r="CR164" s="734">
        <f t="shared" si="84"/>
        <v>0</v>
      </c>
      <c r="CS164" s="734">
        <f t="shared" ca="1" si="84"/>
        <v>0</v>
      </c>
      <c r="CT164" s="1290"/>
      <c r="CW164" s="970" t="s">
        <v>817</v>
      </c>
      <c r="CX164" s="975"/>
      <c r="CY164" s="975"/>
      <c r="CZ164" s="975"/>
      <c r="DA164" s="976"/>
      <c r="DB164" s="976"/>
    </row>
    <row r="165" spans="1:106" s="1229" customFormat="1" ht="16.5" hidden="1" customHeight="1">
      <c r="A165" s="1155"/>
      <c r="B165" s="783"/>
      <c r="C165" s="1155"/>
      <c r="D165" s="1155"/>
      <c r="E165" s="676">
        <v>17.100000000000001</v>
      </c>
      <c r="F165" s="779" t="str" cm="1">
        <f t="array" aca="1" ref="F165" ca="1">OFFSET(G165,-1,-1)</f>
        <v>1</v>
      </c>
      <c r="G165" s="814"/>
      <c r="H165" s="814"/>
      <c r="I165" s="814"/>
      <c r="J165" s="814"/>
      <c r="K165" s="814"/>
      <c r="L165" s="779" t="b" cm="1">
        <f t="array" aca="1" ref="L165" ca="1">OFFSET(M165,-1,-1)</f>
        <v>0</v>
      </c>
      <c r="M165" s="814"/>
      <c r="N165" s="814"/>
      <c r="O165" s="814"/>
      <c r="P165" s="814"/>
      <c r="Q165" s="814"/>
      <c r="R165" s="779" t="s">
        <v>759</v>
      </c>
      <c r="S165" s="110" t="b" cm="1">
        <f t="array" aca="1" ref="S165" ca="1">OFFSET(T165,-1,-1)</f>
        <v>1</v>
      </c>
      <c r="T165" s="110" t="b" cm="1">
        <f t="array" aca="1" ref="T165" ca="1">L165</f>
        <v>0</v>
      </c>
      <c r="U165" s="698" t="b">
        <f t="shared" ca="1" si="80"/>
        <v>0</v>
      </c>
      <c r="V165" s="1155"/>
      <c r="W165" s="1155"/>
      <c r="X165" s="1155"/>
      <c r="Y165" s="1687"/>
      <c r="Z165" s="1687"/>
      <c r="AA165" s="699"/>
      <c r="AB165" s="1787"/>
      <c r="AD165" s="111" t="s">
        <v>818</v>
      </c>
      <c r="AE165" s="1759" t="s">
        <v>770</v>
      </c>
      <c r="AF165" s="1760"/>
      <c r="AG165" s="111" t="s">
        <v>803</v>
      </c>
      <c r="AH165" s="41">
        <f>AH$163*AH164</f>
        <v>0</v>
      </c>
      <c r="AI165" s="42">
        <f>AI$163*AI164</f>
        <v>0</v>
      </c>
      <c r="AJ165" s="42">
        <f>AJ$163*AJ164</f>
        <v>0</v>
      </c>
      <c r="AK165" s="42">
        <f>AK$163*AK164</f>
        <v>28913.406799728</v>
      </c>
      <c r="AL165" s="734">
        <f ca="1">AM165+AN165</f>
        <v>0</v>
      </c>
      <c r="AM165" s="42">
        <f>AM$163*AM164</f>
        <v>0</v>
      </c>
      <c r="AN165" s="42">
        <f ca="1">AN$163*AN164</f>
        <v>0</v>
      </c>
      <c r="AO165" s="734">
        <f ca="1">AP165+AQ165</f>
        <v>0</v>
      </c>
      <c r="AP165" s="826">
        <f>AP$163*AP164</f>
        <v>0</v>
      </c>
      <c r="AQ165" s="826">
        <f ca="1">AQ$163*AQ164</f>
        <v>0</v>
      </c>
      <c r="AR165" s="734">
        <f ca="1">AS165+AT165</f>
        <v>0</v>
      </c>
      <c r="AS165" s="826">
        <f>AS$163*AS164</f>
        <v>0</v>
      </c>
      <c r="AT165" s="826">
        <f ca="1">AT$163*AT164</f>
        <v>0</v>
      </c>
      <c r="AU165" s="734">
        <f ca="1">AV165+AW165</f>
        <v>0</v>
      </c>
      <c r="AV165" s="826">
        <f>AV$163*AV164</f>
        <v>0</v>
      </c>
      <c r="AW165" s="826">
        <f ca="1">AW$163*AW164</f>
        <v>0</v>
      </c>
      <c r="AX165" s="734">
        <f ca="1">AY165+AZ165</f>
        <v>0</v>
      </c>
      <c r="AY165" s="826">
        <f>AY$163*AY164</f>
        <v>0</v>
      </c>
      <c r="AZ165" s="826">
        <f ca="1">AZ$163*AZ164</f>
        <v>0</v>
      </c>
      <c r="BA165" s="734">
        <f ca="1">BB165+BC165</f>
        <v>0</v>
      </c>
      <c r="BB165" s="42">
        <f>BB$163*BB164</f>
        <v>0</v>
      </c>
      <c r="BC165" s="42">
        <f ca="1">BC$163*BC164</f>
        <v>0</v>
      </c>
      <c r="BD165" s="734">
        <f ca="1">BE165+BF165</f>
        <v>0</v>
      </c>
      <c r="BE165" s="42">
        <f>BE$163*BE164</f>
        <v>0</v>
      </c>
      <c r="BF165" s="42">
        <f ca="1">BF$163*BF164</f>
        <v>0</v>
      </c>
      <c r="BG165" s="734">
        <f ca="1">BH165+BI165</f>
        <v>0</v>
      </c>
      <c r="BH165" s="42">
        <f>BH$163*BH164</f>
        <v>0</v>
      </c>
      <c r="BI165" s="42">
        <f ca="1">BI$163*BI164</f>
        <v>0</v>
      </c>
      <c r="BJ165" s="734">
        <f ca="1">BK165+BL165</f>
        <v>0</v>
      </c>
      <c r="BK165" s="42">
        <f>BK$163*BK164</f>
        <v>0</v>
      </c>
      <c r="BL165" s="42">
        <f ca="1">BL$163*BL164</f>
        <v>0</v>
      </c>
      <c r="BM165" s="734">
        <f ca="1">BN165+BO165</f>
        <v>0</v>
      </c>
      <c r="BN165" s="42">
        <f>BN$163*BN164</f>
        <v>0</v>
      </c>
      <c r="BO165" s="42">
        <f ca="1">BO$163*BO164</f>
        <v>0</v>
      </c>
      <c r="BP165" s="734">
        <f ca="1">BQ165+BR165</f>
        <v>28897.550749999958</v>
      </c>
      <c r="BQ165" s="826">
        <f>BQ$163*BQ164</f>
        <v>20672.217790934548</v>
      </c>
      <c r="BR165" s="826">
        <f ca="1">BR$163*BR164</f>
        <v>8225.3329590654103</v>
      </c>
      <c r="BS165" s="734">
        <f ca="1">BT165+BU165</f>
        <v>0</v>
      </c>
      <c r="BT165" s="826">
        <f>BT$163*BT164</f>
        <v>0</v>
      </c>
      <c r="BU165" s="826">
        <f ca="1">BU$163*BU164</f>
        <v>0</v>
      </c>
      <c r="BV165" s="734">
        <f ca="1">BW165+BX165</f>
        <v>0</v>
      </c>
      <c r="BW165" s="826">
        <f>BW$163*BW164</f>
        <v>0</v>
      </c>
      <c r="BX165" s="826">
        <f ca="1">BX$163*BX164</f>
        <v>0</v>
      </c>
      <c r="BY165" s="734">
        <f ca="1">BZ165+CA165</f>
        <v>0</v>
      </c>
      <c r="BZ165" s="826">
        <f>BZ$163*BZ164</f>
        <v>0</v>
      </c>
      <c r="CA165" s="826">
        <f ca="1">CA$163*CA164</f>
        <v>0</v>
      </c>
      <c r="CB165" s="734">
        <f ca="1">CC165+CD165</f>
        <v>0</v>
      </c>
      <c r="CC165" s="826">
        <f>CC$163*CC164</f>
        <v>0</v>
      </c>
      <c r="CD165" s="826">
        <f ca="1">CD$163*CD164</f>
        <v>0</v>
      </c>
      <c r="CE165" s="734">
        <f ca="1">CF165+CG165</f>
        <v>0</v>
      </c>
      <c r="CF165" s="42">
        <f>CF$163*CF164</f>
        <v>0</v>
      </c>
      <c r="CG165" s="42">
        <f ca="1">CG$163*CG164</f>
        <v>0</v>
      </c>
      <c r="CH165" s="734">
        <f ca="1">CI165+CJ165</f>
        <v>0</v>
      </c>
      <c r="CI165" s="42">
        <f>CI$163*CI164</f>
        <v>0</v>
      </c>
      <c r="CJ165" s="42">
        <f ca="1">CJ$163*CJ164</f>
        <v>0</v>
      </c>
      <c r="CK165" s="734">
        <f ca="1">CL165+CM165</f>
        <v>0</v>
      </c>
      <c r="CL165" s="42">
        <f>CL$163*CL164</f>
        <v>0</v>
      </c>
      <c r="CM165" s="42">
        <f ca="1">CM$163*CM164</f>
        <v>0</v>
      </c>
      <c r="CN165" s="734">
        <f ca="1">CO165+CP165</f>
        <v>0</v>
      </c>
      <c r="CO165" s="42">
        <f>CO$163*CO164</f>
        <v>0</v>
      </c>
      <c r="CP165" s="42">
        <f ca="1">CP$163*CP164</f>
        <v>0</v>
      </c>
      <c r="CQ165" s="734">
        <f ca="1">CR165+CS165</f>
        <v>0</v>
      </c>
      <c r="CR165" s="42">
        <f>CR$163*CR164</f>
        <v>0</v>
      </c>
      <c r="CS165" s="42">
        <f ca="1">CS$163*CS164</f>
        <v>0</v>
      </c>
      <c r="CT165" s="28"/>
      <c r="CW165" s="970" t="s">
        <v>819</v>
      </c>
      <c r="CX165" s="975"/>
      <c r="CY165" s="975"/>
      <c r="CZ165" s="975"/>
      <c r="DA165" s="976"/>
      <c r="DB165" s="976"/>
    </row>
    <row r="166" spans="1:106" s="1229" customFormat="1" ht="16.5" hidden="1" customHeight="1">
      <c r="E166" s="676">
        <v>17.100000000000001</v>
      </c>
      <c r="F166" s="779" t="str" cm="1">
        <f t="array" aca="1" ref="F166" ca="1">OFFSET(G166,-1,-1)</f>
        <v>1</v>
      </c>
      <c r="L166" s="779" t="b" cm="1">
        <f t="array" aca="1" ref="L166" ca="1">OFFSET(M166,-1,-1)</f>
        <v>0</v>
      </c>
      <c r="S166" s="110" t="b" cm="1">
        <f t="array" aca="1" ref="S166" ca="1">OFFSET(T166,-1,-1)</f>
        <v>1</v>
      </c>
      <c r="T166" s="110" t="b">
        <f>AD166&lt;&gt;"18.0"</f>
        <v>0</v>
      </c>
      <c r="U166" s="698" t="b">
        <f t="shared" ca="1" si="80"/>
        <v>0</v>
      </c>
      <c r="X166" s="110" t="s">
        <v>236</v>
      </c>
      <c r="Y166" s="1722"/>
      <c r="Z166" s="1722"/>
      <c r="AB166" s="1787"/>
      <c r="AC166" s="11" t="s">
        <v>218</v>
      </c>
      <c r="AD166" s="111" t="s">
        <v>818</v>
      </c>
      <c r="AE166" s="43"/>
      <c r="AF166" s="44"/>
      <c r="AG166" s="111" t="s">
        <v>803</v>
      </c>
      <c r="AH166" s="41">
        <f>AH$162*AH171</f>
        <v>0</v>
      </c>
      <c r="AI166" s="41">
        <f t="shared" ref="AI166:AJ168" si="85">AI181*AI176</f>
        <v>0</v>
      </c>
      <c r="AJ166" s="41">
        <f t="shared" si="85"/>
        <v>0</v>
      </c>
      <c r="AK166" s="41">
        <f>AK$162*AK171</f>
        <v>0</v>
      </c>
      <c r="AL166" s="734">
        <f ca="1">AM166+AN166</f>
        <v>0</v>
      </c>
      <c r="AM166" s="41">
        <f t="shared" ref="AM166:AN168" si="86">AM$162*AM171</f>
        <v>0</v>
      </c>
      <c r="AN166" s="41">
        <f t="shared" ca="1" si="86"/>
        <v>0</v>
      </c>
      <c r="AO166" s="734">
        <f ca="1">AP166+AQ166</f>
        <v>0</v>
      </c>
      <c r="AP166" s="827">
        <f t="shared" ref="AP166:AQ168" si="87">AP$162*AP171</f>
        <v>0</v>
      </c>
      <c r="AQ166" s="827">
        <f t="shared" ca="1" si="87"/>
        <v>0</v>
      </c>
      <c r="AR166" s="734">
        <f ca="1">AS166+AT166</f>
        <v>0</v>
      </c>
      <c r="AS166" s="827">
        <f t="shared" ref="AS166:AT168" si="88">AS$162*AS171</f>
        <v>0</v>
      </c>
      <c r="AT166" s="827">
        <f t="shared" ca="1" si="88"/>
        <v>0</v>
      </c>
      <c r="AU166" s="734">
        <f ca="1">AV166+AW166</f>
        <v>0</v>
      </c>
      <c r="AV166" s="827">
        <f t="shared" ref="AV166:AW168" si="89">AV$162*AV171</f>
        <v>0</v>
      </c>
      <c r="AW166" s="827">
        <f t="shared" ca="1" si="89"/>
        <v>0</v>
      </c>
      <c r="AX166" s="734">
        <f ca="1">AY166+AZ166</f>
        <v>0</v>
      </c>
      <c r="AY166" s="827">
        <f t="shared" ref="AY166:AZ168" si="90">AY$162*AY171</f>
        <v>0</v>
      </c>
      <c r="AZ166" s="827">
        <f t="shared" ca="1" si="90"/>
        <v>0</v>
      </c>
      <c r="BA166" s="734">
        <f ca="1">BB166+BC166</f>
        <v>0</v>
      </c>
      <c r="BB166" s="41">
        <f t="shared" ref="BB166:BC168" si="91">BB$162*BB171</f>
        <v>0</v>
      </c>
      <c r="BC166" s="41">
        <f t="shared" ca="1" si="91"/>
        <v>0</v>
      </c>
      <c r="BD166" s="734">
        <f ca="1">BE166+BF166</f>
        <v>0</v>
      </c>
      <c r="BE166" s="41">
        <f t="shared" ref="BE166:BF168" si="92">BE$162*BE171</f>
        <v>0</v>
      </c>
      <c r="BF166" s="41">
        <f t="shared" ca="1" si="92"/>
        <v>0</v>
      </c>
      <c r="BG166" s="734">
        <f ca="1">BH166+BI166</f>
        <v>0</v>
      </c>
      <c r="BH166" s="41">
        <f t="shared" ref="BH166:BI168" si="93">BH$162*BH171</f>
        <v>0</v>
      </c>
      <c r="BI166" s="41">
        <f t="shared" ca="1" si="93"/>
        <v>0</v>
      </c>
      <c r="BJ166" s="734">
        <f ca="1">BK166+BL166</f>
        <v>0</v>
      </c>
      <c r="BK166" s="41">
        <f t="shared" ref="BK166:BL168" si="94">BK$162*BK171</f>
        <v>0</v>
      </c>
      <c r="BL166" s="41">
        <f t="shared" ca="1" si="94"/>
        <v>0</v>
      </c>
      <c r="BM166" s="734">
        <f ca="1">BN166+BO166</f>
        <v>0</v>
      </c>
      <c r="BN166" s="41">
        <f t="shared" ref="BN166:BO168" si="95">BN$162*BN171</f>
        <v>0</v>
      </c>
      <c r="BO166" s="41">
        <f t="shared" ca="1" si="95"/>
        <v>0</v>
      </c>
      <c r="BP166" s="734">
        <f ca="1">BQ166+BR166</f>
        <v>0</v>
      </c>
      <c r="BQ166" s="827">
        <f t="shared" ref="BQ166:BR168" si="96">BQ$162*BQ171</f>
        <v>0</v>
      </c>
      <c r="BR166" s="827">
        <f t="shared" ca="1" si="96"/>
        <v>0</v>
      </c>
      <c r="BS166" s="734">
        <f ca="1">BT166+BU166</f>
        <v>0</v>
      </c>
      <c r="BT166" s="827">
        <f t="shared" ref="BT166:BU168" si="97">BT$162*BT171</f>
        <v>0</v>
      </c>
      <c r="BU166" s="827">
        <f t="shared" ca="1" si="97"/>
        <v>0</v>
      </c>
      <c r="BV166" s="734">
        <f ca="1">BW166+BX166</f>
        <v>0</v>
      </c>
      <c r="BW166" s="827">
        <f t="shared" ref="BW166:BX168" si="98">BW$162*BW171</f>
        <v>0</v>
      </c>
      <c r="BX166" s="827">
        <f t="shared" ca="1" si="98"/>
        <v>0</v>
      </c>
      <c r="BY166" s="734">
        <f ca="1">BZ166+CA166</f>
        <v>0</v>
      </c>
      <c r="BZ166" s="827">
        <f t="shared" ref="BZ166:CA168" si="99">BZ$162*BZ171</f>
        <v>0</v>
      </c>
      <c r="CA166" s="827">
        <f t="shared" ca="1" si="99"/>
        <v>0</v>
      </c>
      <c r="CB166" s="734">
        <f ca="1">CC166+CD166</f>
        <v>0</v>
      </c>
      <c r="CC166" s="827">
        <f t="shared" ref="CC166:CD168" si="100">CC$162*CC171</f>
        <v>0</v>
      </c>
      <c r="CD166" s="827">
        <f t="shared" ca="1" si="100"/>
        <v>0</v>
      </c>
      <c r="CE166" s="734">
        <f ca="1">CF166+CG166</f>
        <v>0</v>
      </c>
      <c r="CF166" s="41">
        <f t="shared" ref="CF166:CG168" si="101">CF$162*CF171</f>
        <v>0</v>
      </c>
      <c r="CG166" s="41">
        <f t="shared" ca="1" si="101"/>
        <v>0</v>
      </c>
      <c r="CH166" s="734">
        <f ca="1">CI166+CJ166</f>
        <v>0</v>
      </c>
      <c r="CI166" s="41">
        <f t="shared" ref="CI166:CJ168" si="102">CI$162*CI171</f>
        <v>0</v>
      </c>
      <c r="CJ166" s="41">
        <f t="shared" ca="1" si="102"/>
        <v>0</v>
      </c>
      <c r="CK166" s="734">
        <f ca="1">CL166+CM166</f>
        <v>0</v>
      </c>
      <c r="CL166" s="41">
        <f t="shared" ref="CL166:CM168" si="103">CL$162*CL171</f>
        <v>0</v>
      </c>
      <c r="CM166" s="41">
        <f t="shared" ca="1" si="103"/>
        <v>0</v>
      </c>
      <c r="CN166" s="734">
        <f ca="1">CO166+CP166</f>
        <v>0</v>
      </c>
      <c r="CO166" s="41">
        <f t="shared" ref="CO166:CP168" si="104">CO$162*CO171</f>
        <v>0</v>
      </c>
      <c r="CP166" s="41">
        <f t="shared" ca="1" si="104"/>
        <v>0</v>
      </c>
      <c r="CQ166" s="734">
        <f ca="1">CR166+CS166</f>
        <v>0</v>
      </c>
      <c r="CR166" s="41">
        <f t="shared" ref="CR166:CS168" si="105">CR$162*CR171</f>
        <v>0</v>
      </c>
      <c r="CS166" s="41">
        <f t="shared" ca="1" si="105"/>
        <v>0</v>
      </c>
      <c r="CT166" s="28"/>
      <c r="CW166" s="970" t="s">
        <v>820</v>
      </c>
      <c r="CX166" s="975" t="s">
        <v>821</v>
      </c>
      <c r="CY166" s="979" cm="1">
        <f t="array" ref="CY166">AE166</f>
        <v>0</v>
      </c>
      <c r="CZ166" s="979" cm="1">
        <f t="array" ref="CZ166">AF166</f>
        <v>0</v>
      </c>
      <c r="DA166" s="976"/>
      <c r="DB166" s="976" t="b">
        <v>1</v>
      </c>
    </row>
    <row r="167" spans="1:106" s="1229" customFormat="1" ht="16.5" customHeight="1">
      <c r="E167" s="676">
        <v>17.100000000000001</v>
      </c>
      <c r="F167" s="779" t="str" cm="1">
        <f t="array" aca="1" ref="F167" ca="1">OFFSET(G167,-1,-1)</f>
        <v>1</v>
      </c>
      <c r="L167" s="779" t="b" cm="1">
        <f t="array" aca="1" ref="L167" ca="1">OFFSET(M167,-1,-1)</f>
        <v>0</v>
      </c>
      <c r="S167" s="110" t="b" cm="1">
        <f t="array" aca="1" ref="S167" ca="1">OFFSET(T167,-1,-1)</f>
        <v>1</v>
      </c>
      <c r="T167" s="110" t="b">
        <f>AD167&lt;&gt;"18.0"</f>
        <v>1</v>
      </c>
      <c r="U167" s="698" t="b">
        <f t="shared" ca="1" si="80"/>
        <v>1</v>
      </c>
      <c r="X167" s="110"/>
      <c r="Y167" s="1722"/>
      <c r="Z167" s="1722"/>
      <c r="AB167" s="1787"/>
      <c r="AC167" s="11" t="s">
        <v>218</v>
      </c>
      <c r="AD167" s="111" t="s">
        <v>600</v>
      </c>
      <c r="AE167" s="1304" t="s">
        <v>931</v>
      </c>
      <c r="AF167" s="1305"/>
      <c r="AG167" s="111" t="s">
        <v>803</v>
      </c>
      <c r="AH167" s="1303">
        <f>AH$162*AH172</f>
        <v>0</v>
      </c>
      <c r="AI167" s="1303">
        <f t="shared" si="85"/>
        <v>0</v>
      </c>
      <c r="AJ167" s="1303">
        <f t="shared" si="85"/>
        <v>0</v>
      </c>
      <c r="AK167" s="1303">
        <v>28270.785724566002</v>
      </c>
      <c r="AL167" s="734">
        <f ca="1">AM167+AN167</f>
        <v>0</v>
      </c>
      <c r="AM167" s="1303">
        <f t="shared" si="86"/>
        <v>0</v>
      </c>
      <c r="AN167" s="1303">
        <f t="shared" ca="1" si="86"/>
        <v>0</v>
      </c>
      <c r="AO167" s="734">
        <f ca="1">AP167+AQ167</f>
        <v>0</v>
      </c>
      <c r="AP167" s="827">
        <f t="shared" si="87"/>
        <v>0</v>
      </c>
      <c r="AQ167" s="827">
        <f t="shared" ca="1" si="87"/>
        <v>0</v>
      </c>
      <c r="AR167" s="734">
        <f ca="1">AS167+AT167</f>
        <v>0</v>
      </c>
      <c r="AS167" s="827">
        <f t="shared" si="88"/>
        <v>0</v>
      </c>
      <c r="AT167" s="827">
        <f t="shared" ca="1" si="88"/>
        <v>0</v>
      </c>
      <c r="AU167" s="734">
        <f ca="1">AV167+AW167</f>
        <v>0</v>
      </c>
      <c r="AV167" s="827">
        <f t="shared" si="89"/>
        <v>0</v>
      </c>
      <c r="AW167" s="827">
        <f t="shared" ca="1" si="89"/>
        <v>0</v>
      </c>
      <c r="AX167" s="734">
        <f ca="1">AY167+AZ167</f>
        <v>0</v>
      </c>
      <c r="AY167" s="827">
        <f t="shared" si="90"/>
        <v>0</v>
      </c>
      <c r="AZ167" s="827">
        <f t="shared" ca="1" si="90"/>
        <v>0</v>
      </c>
      <c r="BA167" s="734">
        <f ca="1">BB167+BC167</f>
        <v>0</v>
      </c>
      <c r="BB167" s="1303">
        <f t="shared" si="91"/>
        <v>0</v>
      </c>
      <c r="BC167" s="1303">
        <f t="shared" ca="1" si="91"/>
        <v>0</v>
      </c>
      <c r="BD167" s="734">
        <f ca="1">BE167+BF167</f>
        <v>0</v>
      </c>
      <c r="BE167" s="1303">
        <f t="shared" si="92"/>
        <v>0</v>
      </c>
      <c r="BF167" s="1303">
        <f t="shared" ca="1" si="92"/>
        <v>0</v>
      </c>
      <c r="BG167" s="734">
        <f ca="1">BH167+BI167</f>
        <v>0</v>
      </c>
      <c r="BH167" s="1303">
        <f t="shared" si="93"/>
        <v>0</v>
      </c>
      <c r="BI167" s="1303">
        <f t="shared" ca="1" si="93"/>
        <v>0</v>
      </c>
      <c r="BJ167" s="734">
        <f ca="1">BK167+BL167</f>
        <v>0</v>
      </c>
      <c r="BK167" s="1303">
        <f t="shared" si="94"/>
        <v>0</v>
      </c>
      <c r="BL167" s="1303">
        <f t="shared" ca="1" si="94"/>
        <v>0</v>
      </c>
      <c r="BM167" s="734">
        <f ca="1">BN167+BO167</f>
        <v>0</v>
      </c>
      <c r="BN167" s="1303">
        <f t="shared" si="95"/>
        <v>0</v>
      </c>
      <c r="BO167" s="1303">
        <f t="shared" ca="1" si="95"/>
        <v>0</v>
      </c>
      <c r="BP167" s="734">
        <f ca="1">BQ167+BR167</f>
        <v>28897.550749999958</v>
      </c>
      <c r="BQ167" s="827">
        <f t="shared" si="96"/>
        <v>20672.217790934548</v>
      </c>
      <c r="BR167" s="827">
        <f t="shared" ca="1" si="96"/>
        <v>8225.3329590654103</v>
      </c>
      <c r="BS167" s="734">
        <f ca="1">BT167+BU167</f>
        <v>0</v>
      </c>
      <c r="BT167" s="827">
        <f t="shared" si="97"/>
        <v>0</v>
      </c>
      <c r="BU167" s="827">
        <f t="shared" ca="1" si="97"/>
        <v>0</v>
      </c>
      <c r="BV167" s="734">
        <f ca="1">BW167+BX167</f>
        <v>0</v>
      </c>
      <c r="BW167" s="827">
        <f t="shared" si="98"/>
        <v>0</v>
      </c>
      <c r="BX167" s="827">
        <f t="shared" ca="1" si="98"/>
        <v>0</v>
      </c>
      <c r="BY167" s="734">
        <f ca="1">BZ167+CA167</f>
        <v>0</v>
      </c>
      <c r="BZ167" s="827">
        <f t="shared" si="99"/>
        <v>0</v>
      </c>
      <c r="CA167" s="827">
        <f t="shared" ca="1" si="99"/>
        <v>0</v>
      </c>
      <c r="CB167" s="734">
        <f ca="1">CC167+CD167</f>
        <v>0</v>
      </c>
      <c r="CC167" s="827">
        <f t="shared" si="100"/>
        <v>0</v>
      </c>
      <c r="CD167" s="827">
        <f t="shared" ca="1" si="100"/>
        <v>0</v>
      </c>
      <c r="CE167" s="734">
        <f ca="1">CF167+CG167</f>
        <v>0</v>
      </c>
      <c r="CF167" s="1303">
        <f t="shared" si="101"/>
        <v>0</v>
      </c>
      <c r="CG167" s="1303">
        <f t="shared" ca="1" si="101"/>
        <v>0</v>
      </c>
      <c r="CH167" s="734">
        <f ca="1">CI167+CJ167</f>
        <v>0</v>
      </c>
      <c r="CI167" s="1303">
        <f t="shared" si="102"/>
        <v>0</v>
      </c>
      <c r="CJ167" s="1303">
        <f t="shared" ca="1" si="102"/>
        <v>0</v>
      </c>
      <c r="CK167" s="734">
        <f ca="1">CL167+CM167</f>
        <v>0</v>
      </c>
      <c r="CL167" s="1303">
        <f t="shared" si="103"/>
        <v>0</v>
      </c>
      <c r="CM167" s="1303">
        <f t="shared" ca="1" si="103"/>
        <v>0</v>
      </c>
      <c r="CN167" s="734">
        <f ca="1">CO167+CP167</f>
        <v>0</v>
      </c>
      <c r="CO167" s="1303">
        <f t="shared" si="104"/>
        <v>0</v>
      </c>
      <c r="CP167" s="1303">
        <f t="shared" ca="1" si="104"/>
        <v>0</v>
      </c>
      <c r="CQ167" s="734">
        <f ca="1">CR167+CS167</f>
        <v>0</v>
      </c>
      <c r="CR167" s="1303">
        <f t="shared" si="105"/>
        <v>0</v>
      </c>
      <c r="CS167" s="1303">
        <f t="shared" ca="1" si="105"/>
        <v>0</v>
      </c>
      <c r="CT167" s="1290"/>
      <c r="CW167" s="970" t="s">
        <v>820</v>
      </c>
      <c r="CX167" s="975" t="s">
        <v>821</v>
      </c>
      <c r="CY167" s="979" t="str" cm="1">
        <f t="array" ref="CY167">AE167</f>
        <v>Уголь длиннопламенный</v>
      </c>
      <c r="CZ167" s="979" cm="1">
        <f t="array" ref="CZ167">AF167</f>
        <v>0</v>
      </c>
      <c r="DA167" s="976"/>
      <c r="DB167" s="976" t="b">
        <v>1</v>
      </c>
    </row>
    <row r="168" spans="1:106" s="1229" customFormat="1" ht="16.5" customHeight="1">
      <c r="E168" s="676">
        <v>17.100000000000001</v>
      </c>
      <c r="F168" s="779" t="str" cm="1">
        <f t="array" aca="1" ref="F168" ca="1">OFFSET(G168,-1,-1)</f>
        <v>1</v>
      </c>
      <c r="L168" s="779" t="b" cm="1">
        <f t="array" aca="1" ref="L168" ca="1">OFFSET(M168,-1,-1)</f>
        <v>0</v>
      </c>
      <c r="S168" s="110" t="b" cm="1">
        <f t="array" aca="1" ref="S168" ca="1">OFFSET(T168,-1,-1)</f>
        <v>1</v>
      </c>
      <c r="T168" s="110" t="b">
        <f>AD168&lt;&gt;"18.0"</f>
        <v>1</v>
      </c>
      <c r="U168" s="698" t="b">
        <f t="shared" ca="1" si="80"/>
        <v>1</v>
      </c>
      <c r="X168" s="110"/>
      <c r="Y168" s="1722"/>
      <c r="Z168" s="1722"/>
      <c r="AB168" s="1787"/>
      <c r="AC168" s="11" t="s">
        <v>218</v>
      </c>
      <c r="AD168" s="111" t="s">
        <v>604</v>
      </c>
      <c r="AE168" s="1304" t="s">
        <v>932</v>
      </c>
      <c r="AF168" s="1305"/>
      <c r="AG168" s="111" t="s">
        <v>803</v>
      </c>
      <c r="AH168" s="1303">
        <f>AH$162*AH173</f>
        <v>0</v>
      </c>
      <c r="AI168" s="1303">
        <f t="shared" si="85"/>
        <v>0</v>
      </c>
      <c r="AJ168" s="1303">
        <f t="shared" si="85"/>
        <v>0</v>
      </c>
      <c r="AK168" s="1303">
        <v>642.62107516200001</v>
      </c>
      <c r="AL168" s="734">
        <f ca="1">AM168+AN168</f>
        <v>0</v>
      </c>
      <c r="AM168" s="1303">
        <f t="shared" si="86"/>
        <v>0</v>
      </c>
      <c r="AN168" s="1303">
        <f t="shared" ca="1" si="86"/>
        <v>0</v>
      </c>
      <c r="AO168" s="734">
        <f ca="1">AP168+AQ168</f>
        <v>0</v>
      </c>
      <c r="AP168" s="827">
        <f t="shared" si="87"/>
        <v>0</v>
      </c>
      <c r="AQ168" s="827">
        <f t="shared" ca="1" si="87"/>
        <v>0</v>
      </c>
      <c r="AR168" s="734">
        <f ca="1">AS168+AT168</f>
        <v>0</v>
      </c>
      <c r="AS168" s="827">
        <f t="shared" si="88"/>
        <v>0</v>
      </c>
      <c r="AT168" s="827">
        <f t="shared" ca="1" si="88"/>
        <v>0</v>
      </c>
      <c r="AU168" s="734">
        <f ca="1">AV168+AW168</f>
        <v>0</v>
      </c>
      <c r="AV168" s="827">
        <f t="shared" si="89"/>
        <v>0</v>
      </c>
      <c r="AW168" s="827">
        <f t="shared" ca="1" si="89"/>
        <v>0</v>
      </c>
      <c r="AX168" s="734">
        <f ca="1">AY168+AZ168</f>
        <v>0</v>
      </c>
      <c r="AY168" s="827">
        <f t="shared" si="90"/>
        <v>0</v>
      </c>
      <c r="AZ168" s="827">
        <f t="shared" ca="1" si="90"/>
        <v>0</v>
      </c>
      <c r="BA168" s="734">
        <f ca="1">BB168+BC168</f>
        <v>0</v>
      </c>
      <c r="BB168" s="1303">
        <f t="shared" si="91"/>
        <v>0</v>
      </c>
      <c r="BC168" s="1303">
        <f t="shared" ca="1" si="91"/>
        <v>0</v>
      </c>
      <c r="BD168" s="734">
        <f ca="1">BE168+BF168</f>
        <v>0</v>
      </c>
      <c r="BE168" s="1303">
        <f t="shared" si="92"/>
        <v>0</v>
      </c>
      <c r="BF168" s="1303">
        <f t="shared" ca="1" si="92"/>
        <v>0</v>
      </c>
      <c r="BG168" s="734">
        <f ca="1">BH168+BI168</f>
        <v>0</v>
      </c>
      <c r="BH168" s="1303">
        <f t="shared" si="93"/>
        <v>0</v>
      </c>
      <c r="BI168" s="1303">
        <f t="shared" ca="1" si="93"/>
        <v>0</v>
      </c>
      <c r="BJ168" s="734">
        <f ca="1">BK168+BL168</f>
        <v>0</v>
      </c>
      <c r="BK168" s="1303">
        <f t="shared" si="94"/>
        <v>0</v>
      </c>
      <c r="BL168" s="1303">
        <f t="shared" ca="1" si="94"/>
        <v>0</v>
      </c>
      <c r="BM168" s="734">
        <f ca="1">BN168+BO168</f>
        <v>0</v>
      </c>
      <c r="BN168" s="1303">
        <f t="shared" si="95"/>
        <v>0</v>
      </c>
      <c r="BO168" s="1303">
        <f t="shared" ca="1" si="95"/>
        <v>0</v>
      </c>
      <c r="BP168" s="734">
        <f ca="1">BQ168+BR168</f>
        <v>0</v>
      </c>
      <c r="BQ168" s="827">
        <f t="shared" si="96"/>
        <v>0</v>
      </c>
      <c r="BR168" s="827">
        <f t="shared" ca="1" si="96"/>
        <v>0</v>
      </c>
      <c r="BS168" s="734">
        <f ca="1">BT168+BU168</f>
        <v>0</v>
      </c>
      <c r="BT168" s="827">
        <f t="shared" si="97"/>
        <v>0</v>
      </c>
      <c r="BU168" s="827">
        <f t="shared" ca="1" si="97"/>
        <v>0</v>
      </c>
      <c r="BV168" s="734">
        <f ca="1">BW168+BX168</f>
        <v>0</v>
      </c>
      <c r="BW168" s="827">
        <f t="shared" si="98"/>
        <v>0</v>
      </c>
      <c r="BX168" s="827">
        <f t="shared" ca="1" si="98"/>
        <v>0</v>
      </c>
      <c r="BY168" s="734">
        <f ca="1">BZ168+CA168</f>
        <v>0</v>
      </c>
      <c r="BZ168" s="827">
        <f t="shared" si="99"/>
        <v>0</v>
      </c>
      <c r="CA168" s="827">
        <f t="shared" ca="1" si="99"/>
        <v>0</v>
      </c>
      <c r="CB168" s="734">
        <f ca="1">CC168+CD168</f>
        <v>0</v>
      </c>
      <c r="CC168" s="827">
        <f t="shared" si="100"/>
        <v>0</v>
      </c>
      <c r="CD168" s="827">
        <f t="shared" ca="1" si="100"/>
        <v>0</v>
      </c>
      <c r="CE168" s="734">
        <f ca="1">CF168+CG168</f>
        <v>0</v>
      </c>
      <c r="CF168" s="1303">
        <f t="shared" si="101"/>
        <v>0</v>
      </c>
      <c r="CG168" s="1303">
        <f t="shared" ca="1" si="101"/>
        <v>0</v>
      </c>
      <c r="CH168" s="734">
        <f ca="1">CI168+CJ168</f>
        <v>0</v>
      </c>
      <c r="CI168" s="1303">
        <f t="shared" si="102"/>
        <v>0</v>
      </c>
      <c r="CJ168" s="1303">
        <f t="shared" ca="1" si="102"/>
        <v>0</v>
      </c>
      <c r="CK168" s="734">
        <f ca="1">CL168+CM168</f>
        <v>0</v>
      </c>
      <c r="CL168" s="1303">
        <f t="shared" si="103"/>
        <v>0</v>
      </c>
      <c r="CM168" s="1303">
        <f t="shared" ca="1" si="103"/>
        <v>0</v>
      </c>
      <c r="CN168" s="734">
        <f ca="1">CO168+CP168</f>
        <v>0</v>
      </c>
      <c r="CO168" s="1303">
        <f t="shared" si="104"/>
        <v>0</v>
      </c>
      <c r="CP168" s="1303">
        <f t="shared" ca="1" si="104"/>
        <v>0</v>
      </c>
      <c r="CQ168" s="734">
        <f ca="1">CR168+CS168</f>
        <v>0</v>
      </c>
      <c r="CR168" s="1303">
        <f t="shared" si="105"/>
        <v>0</v>
      </c>
      <c r="CS168" s="1303">
        <f t="shared" ca="1" si="105"/>
        <v>0</v>
      </c>
      <c r="CT168" s="1290"/>
      <c r="CW168" s="970" t="s">
        <v>820</v>
      </c>
      <c r="CX168" s="975" t="s">
        <v>821</v>
      </c>
      <c r="CY168" s="979" t="str" cm="1">
        <f t="array" ref="CY168">AE168</f>
        <v>Уголь бурый</v>
      </c>
      <c r="CZ168" s="979" cm="1">
        <f t="array" ref="CZ168">AF168</f>
        <v>0</v>
      </c>
      <c r="DA168" s="976"/>
      <c r="DB168" s="976" t="b">
        <v>1</v>
      </c>
    </row>
    <row r="169" spans="1:106" s="1229" customFormat="1" ht="16.5" customHeight="1">
      <c r="A169" s="1155"/>
      <c r="B169" s="783"/>
      <c r="C169" s="1155"/>
      <c r="D169" s="1155"/>
      <c r="E169" s="676">
        <v>17.100000000000001</v>
      </c>
      <c r="F169" s="779" t="str" cm="1">
        <f t="array" aca="1" ref="F169" ca="1">OFFSET(G169,-1,-1)</f>
        <v>1</v>
      </c>
      <c r="G169" s="814"/>
      <c r="H169" s="814"/>
      <c r="I169" s="814"/>
      <c r="J169" s="814"/>
      <c r="K169" s="814"/>
      <c r="L169" s="779" t="b" cm="1">
        <f t="array" aca="1" ref="L169" ca="1">OFFSET(M169,-1,-1)</f>
        <v>0</v>
      </c>
      <c r="M169" s="814"/>
      <c r="N169" s="814"/>
      <c r="O169" s="814"/>
      <c r="P169" s="814"/>
      <c r="Q169" s="814"/>
      <c r="R169" s="1155"/>
      <c r="S169" s="110" t="b" cm="1">
        <f t="array" aca="1" ref="S169" ca="1">OFFSET(T169,-1,-1)</f>
        <v>1</v>
      </c>
      <c r="T169" s="1155"/>
      <c r="U169" s="698" t="b">
        <f t="shared" ca="1" si="80"/>
        <v>1</v>
      </c>
      <c r="V169" s="1155"/>
      <c r="W169" s="1155"/>
      <c r="X169" s="820" t="str">
        <f>"{                  
         funcDyn: 'msg',
         blok: 'blok_2',
         wsCross: 'Топливо 4.4',
         linkFormula: 'AE-AE#AF-AF',
         levelDyn: "&amp;Y139&amp;"
}"</f>
        <v>{                  
         funcDyn: 'msg',
         blok: 'blok_2',
         wsCross: 'Топливо 4.4',
         linkFormula: 'AE-AE#AF-AF',
         levelDyn: 1
}</v>
      </c>
      <c r="Y169" s="1687"/>
      <c r="Z169" s="1687"/>
      <c r="AA169" s="699"/>
      <c r="AB169" s="1787"/>
      <c r="AD169" s="249"/>
      <c r="AE169" s="763" t="s">
        <v>238</v>
      </c>
      <c r="AF169" s="763"/>
      <c r="AG169" s="763"/>
      <c r="AH169" s="763"/>
      <c r="AI169" s="763"/>
      <c r="AJ169" s="763"/>
      <c r="AK169" s="763"/>
      <c r="AL169" s="763"/>
      <c r="AM169" s="763"/>
      <c r="AN169" s="763"/>
      <c r="AO169" s="763"/>
      <c r="AP169" s="763"/>
      <c r="AQ169" s="763"/>
      <c r="AR169" s="763"/>
      <c r="AS169" s="763"/>
      <c r="AT169" s="763"/>
      <c r="AU169" s="763"/>
      <c r="AV169" s="763"/>
      <c r="AW169" s="763"/>
      <c r="AX169" s="763"/>
      <c r="AY169" s="763"/>
      <c r="AZ169" s="763"/>
      <c r="BA169" s="763"/>
      <c r="BB169" s="763"/>
      <c r="BC169" s="763"/>
      <c r="BD169" s="763"/>
      <c r="BE169" s="763"/>
      <c r="BF169" s="763"/>
      <c r="BG169" s="763"/>
      <c r="BH169" s="763"/>
      <c r="BI169" s="763"/>
      <c r="BJ169" s="763"/>
      <c r="BK169" s="763"/>
      <c r="BL169" s="763"/>
      <c r="BM169" s="763"/>
      <c r="BN169" s="763"/>
      <c r="BO169" s="763"/>
      <c r="BP169" s="763"/>
      <c r="BQ169" s="763"/>
      <c r="BR169" s="763"/>
      <c r="BS169" s="763"/>
      <c r="BT169" s="763"/>
      <c r="BU169" s="763"/>
      <c r="BV169" s="763"/>
      <c r="BW169" s="763"/>
      <c r="BX169" s="763"/>
      <c r="BY169" s="763"/>
      <c r="BZ169" s="763"/>
      <c r="CA169" s="763"/>
      <c r="CB169" s="763"/>
      <c r="CC169" s="763"/>
      <c r="CD169" s="763"/>
      <c r="CE169" s="763"/>
      <c r="CF169" s="763"/>
      <c r="CG169" s="763"/>
      <c r="CH169" s="763"/>
      <c r="CI169" s="763"/>
      <c r="CJ169" s="763"/>
      <c r="CK169" s="763"/>
      <c r="CL169" s="763"/>
      <c r="CM169" s="763"/>
      <c r="CN169" s="763"/>
      <c r="CO169" s="763"/>
      <c r="CP169" s="763"/>
      <c r="CQ169" s="763"/>
      <c r="CR169" s="763"/>
      <c r="CS169" s="763"/>
      <c r="CT169" s="904"/>
      <c r="CW169" s="970" t="str">
        <f>IF(AND(ISNUMBER(VALUE(TRIM(SUBSTITUTE(AD169,".","")))),TRIM(SUBSTITUTE(AD169,".",""))&lt;&gt;""),"P"&amp;SUBSTITUTE(AD169,".",""),"")</f>
        <v/>
      </c>
      <c r="CX169" s="975"/>
      <c r="CY169" s="975"/>
      <c r="CZ169" s="975"/>
      <c r="DA169" s="976" t="s">
        <v>821</v>
      </c>
      <c r="DB169" s="976"/>
    </row>
    <row r="170" spans="1:106" s="1229" customFormat="1" ht="16.5" customHeight="1">
      <c r="A170" s="1155"/>
      <c r="B170" s="783"/>
      <c r="C170" s="1155"/>
      <c r="D170" s="1155"/>
      <c r="E170" s="676">
        <v>17.100000000000001</v>
      </c>
      <c r="F170" s="779" t="str" cm="1">
        <f t="array" aca="1" ref="F170" ca="1">OFFSET(G170,-1,-1)</f>
        <v>1</v>
      </c>
      <c r="G170" s="814"/>
      <c r="H170" s="814"/>
      <c r="I170" s="814"/>
      <c r="J170" s="814"/>
      <c r="K170" s="814"/>
      <c r="L170" s="779" t="b" cm="1">
        <f t="array" aca="1" ref="L170" ca="1">OFFSET(M170,-1,-1)</f>
        <v>0</v>
      </c>
      <c r="M170" s="814"/>
      <c r="N170" s="814"/>
      <c r="O170" s="814"/>
      <c r="P170" s="814"/>
      <c r="Q170" s="814"/>
      <c r="R170" s="1155"/>
      <c r="S170" s="110" t="b" cm="1">
        <f t="array" aca="1" ref="S170" ca="1">OFFSET(T170,-1,-1)</f>
        <v>1</v>
      </c>
      <c r="T170" s="1155"/>
      <c r="U170" s="698" t="b">
        <f t="shared" ca="1" si="80"/>
        <v>1</v>
      </c>
      <c r="V170" s="1155"/>
      <c r="W170" s="1155"/>
      <c r="X170" s="1155"/>
      <c r="Y170" s="1687"/>
      <c r="Z170" s="1687"/>
      <c r="AA170" s="699"/>
      <c r="AB170" s="1787"/>
      <c r="AD170" s="111">
        <v>19</v>
      </c>
      <c r="AE170" s="1761" t="s">
        <v>822</v>
      </c>
      <c r="AF170" s="1762"/>
      <c r="AG170" s="540" t="s">
        <v>533</v>
      </c>
      <c r="AH170" s="762">
        <f t="shared" ref="AH170:BM170" si="106">SUM(AH171:AH174)</f>
        <v>0</v>
      </c>
      <c r="AI170" s="762">
        <f t="shared" si="106"/>
        <v>0</v>
      </c>
      <c r="AJ170" s="762">
        <f t="shared" si="106"/>
        <v>0</v>
      </c>
      <c r="AK170" s="762">
        <f t="shared" si="106"/>
        <v>1</v>
      </c>
      <c r="AL170" s="762">
        <f t="shared" ca="1" si="106"/>
        <v>0</v>
      </c>
      <c r="AM170" s="762">
        <f t="shared" si="106"/>
        <v>0</v>
      </c>
      <c r="AN170" s="762">
        <f t="shared" si="106"/>
        <v>0</v>
      </c>
      <c r="AO170" s="762">
        <f t="shared" ca="1" si="106"/>
        <v>0</v>
      </c>
      <c r="AP170" s="762">
        <f t="shared" si="106"/>
        <v>0</v>
      </c>
      <c r="AQ170" s="762">
        <f t="shared" si="106"/>
        <v>0</v>
      </c>
      <c r="AR170" s="762">
        <f t="shared" ca="1" si="106"/>
        <v>0</v>
      </c>
      <c r="AS170" s="762">
        <f t="shared" si="106"/>
        <v>0</v>
      </c>
      <c r="AT170" s="762">
        <f t="shared" si="106"/>
        <v>0</v>
      </c>
      <c r="AU170" s="762">
        <f t="shared" ca="1" si="106"/>
        <v>0</v>
      </c>
      <c r="AV170" s="762">
        <f t="shared" si="106"/>
        <v>0</v>
      </c>
      <c r="AW170" s="762">
        <f t="shared" si="106"/>
        <v>0</v>
      </c>
      <c r="AX170" s="762">
        <f t="shared" ca="1" si="106"/>
        <v>0</v>
      </c>
      <c r="AY170" s="762">
        <f t="shared" si="106"/>
        <v>0</v>
      </c>
      <c r="AZ170" s="762">
        <f t="shared" si="106"/>
        <v>0</v>
      </c>
      <c r="BA170" s="762">
        <f t="shared" ca="1" si="106"/>
        <v>0</v>
      </c>
      <c r="BB170" s="762">
        <f t="shared" si="106"/>
        <v>0</v>
      </c>
      <c r="BC170" s="762">
        <f t="shared" si="106"/>
        <v>0</v>
      </c>
      <c r="BD170" s="762">
        <f t="shared" ca="1" si="106"/>
        <v>0</v>
      </c>
      <c r="BE170" s="762">
        <f t="shared" si="106"/>
        <v>0</v>
      </c>
      <c r="BF170" s="762">
        <f t="shared" si="106"/>
        <v>0</v>
      </c>
      <c r="BG170" s="762">
        <f t="shared" ca="1" si="106"/>
        <v>0</v>
      </c>
      <c r="BH170" s="762">
        <f t="shared" si="106"/>
        <v>0</v>
      </c>
      <c r="BI170" s="762">
        <f t="shared" si="106"/>
        <v>0</v>
      </c>
      <c r="BJ170" s="762">
        <f t="shared" ca="1" si="106"/>
        <v>0</v>
      </c>
      <c r="BK170" s="762">
        <f t="shared" si="106"/>
        <v>0</v>
      </c>
      <c r="BL170" s="762">
        <f t="shared" si="106"/>
        <v>0</v>
      </c>
      <c r="BM170" s="762">
        <f t="shared" ca="1" si="106"/>
        <v>0</v>
      </c>
      <c r="BN170" s="762">
        <f t="shared" ref="BN170:CS170" si="107">SUM(BN171:BN174)</f>
        <v>0</v>
      </c>
      <c r="BO170" s="762">
        <f t="shared" si="107"/>
        <v>0</v>
      </c>
      <c r="BP170" s="762">
        <f t="shared" ca="1" si="107"/>
        <v>1</v>
      </c>
      <c r="BQ170" s="762">
        <f t="shared" si="107"/>
        <v>1</v>
      </c>
      <c r="BR170" s="762">
        <f t="shared" si="107"/>
        <v>1</v>
      </c>
      <c r="BS170" s="762">
        <f t="shared" ca="1" si="107"/>
        <v>0</v>
      </c>
      <c r="BT170" s="762">
        <f t="shared" si="107"/>
        <v>0</v>
      </c>
      <c r="BU170" s="762">
        <f t="shared" si="107"/>
        <v>0</v>
      </c>
      <c r="BV170" s="762">
        <f t="shared" ca="1" si="107"/>
        <v>0</v>
      </c>
      <c r="BW170" s="762">
        <f t="shared" si="107"/>
        <v>0</v>
      </c>
      <c r="BX170" s="762">
        <f t="shared" si="107"/>
        <v>0</v>
      </c>
      <c r="BY170" s="762">
        <f t="shared" ca="1" si="107"/>
        <v>0</v>
      </c>
      <c r="BZ170" s="762">
        <f t="shared" si="107"/>
        <v>0</v>
      </c>
      <c r="CA170" s="762">
        <f t="shared" si="107"/>
        <v>0</v>
      </c>
      <c r="CB170" s="762">
        <f t="shared" ca="1" si="107"/>
        <v>0</v>
      </c>
      <c r="CC170" s="762">
        <f t="shared" si="107"/>
        <v>0</v>
      </c>
      <c r="CD170" s="762">
        <f t="shared" si="107"/>
        <v>0</v>
      </c>
      <c r="CE170" s="762">
        <f t="shared" ca="1" si="107"/>
        <v>0</v>
      </c>
      <c r="CF170" s="762">
        <f t="shared" si="107"/>
        <v>0</v>
      </c>
      <c r="CG170" s="762">
        <f t="shared" si="107"/>
        <v>0</v>
      </c>
      <c r="CH170" s="762">
        <f t="shared" ca="1" si="107"/>
        <v>0</v>
      </c>
      <c r="CI170" s="762">
        <f t="shared" si="107"/>
        <v>0</v>
      </c>
      <c r="CJ170" s="762">
        <f t="shared" si="107"/>
        <v>0</v>
      </c>
      <c r="CK170" s="762">
        <f t="shared" ca="1" si="107"/>
        <v>0</v>
      </c>
      <c r="CL170" s="762">
        <f t="shared" si="107"/>
        <v>0</v>
      </c>
      <c r="CM170" s="762">
        <f t="shared" si="107"/>
        <v>0</v>
      </c>
      <c r="CN170" s="762">
        <f t="shared" ca="1" si="107"/>
        <v>0</v>
      </c>
      <c r="CO170" s="762">
        <f t="shared" si="107"/>
        <v>0</v>
      </c>
      <c r="CP170" s="762">
        <f t="shared" si="107"/>
        <v>0</v>
      </c>
      <c r="CQ170" s="762">
        <f t="shared" ca="1" si="107"/>
        <v>0</v>
      </c>
      <c r="CR170" s="762">
        <f t="shared" si="107"/>
        <v>0</v>
      </c>
      <c r="CS170" s="762">
        <f t="shared" si="107"/>
        <v>0</v>
      </c>
      <c r="CT170" s="1298"/>
      <c r="CW170" s="970" t="s">
        <v>823</v>
      </c>
      <c r="CX170" s="975"/>
      <c r="CY170" s="975"/>
      <c r="CZ170" s="975"/>
      <c r="DA170" s="976"/>
      <c r="DB170" s="976"/>
    </row>
    <row r="171" spans="1:106" s="1229" customFormat="1" ht="16.5" hidden="1" customHeight="1">
      <c r="E171" s="676">
        <v>17.100000000000001</v>
      </c>
      <c r="F171" s="779" t="str" cm="1">
        <f t="array" aca="1" ref="F171" ca="1">OFFSET(G171,-1,-1)</f>
        <v>1</v>
      </c>
      <c r="L171" s="779" t="b" cm="1">
        <f t="array" aca="1" ref="L171" ca="1">OFFSET(M171,-1,-1)</f>
        <v>0</v>
      </c>
      <c r="S171" s="110" t="b" cm="1">
        <f t="array" aca="1" ref="S171" ca="1">OFFSET(T171,-1,-1)</f>
        <v>1</v>
      </c>
      <c r="T171" s="110" t="b">
        <f>AD171&lt;&gt;"19.0"</f>
        <v>0</v>
      </c>
      <c r="U171" s="698" t="b">
        <f t="shared" ca="1" si="80"/>
        <v>0</v>
      </c>
      <c r="X171" s="110" t="s">
        <v>236</v>
      </c>
      <c r="Y171" s="1722"/>
      <c r="Z171" s="1722"/>
      <c r="AB171" s="1787"/>
      <c r="AD171" s="111" t="s">
        <v>824</v>
      </c>
      <c r="AE171" s="821"/>
      <c r="AF171" s="524"/>
      <c r="AG171" s="111" t="s">
        <v>533</v>
      </c>
      <c r="AH171" s="45"/>
      <c r="AI171" s="45">
        <f t="shared" ref="AI171:AJ173" si="108">IFERROR(AI166/AI$164,0)</f>
        <v>0</v>
      </c>
      <c r="AJ171" s="45">
        <f t="shared" si="108"/>
        <v>0</v>
      </c>
      <c r="AK171" s="45"/>
      <c r="AL171" s="740">
        <f ca="1">IFERROR(AL166/AL$162,0)</f>
        <v>0</v>
      </c>
      <c r="AM171" s="45"/>
      <c r="AN171" s="45"/>
      <c r="AO171" s="740">
        <f ca="1">IFERROR(AO166/AO$162,0)</f>
        <v>0</v>
      </c>
      <c r="AP171" s="828"/>
      <c r="AQ171" s="828"/>
      <c r="AR171" s="740">
        <f ca="1">IFERROR(AR166/AR$162,0)</f>
        <v>0</v>
      </c>
      <c r="AS171" s="828"/>
      <c r="AT171" s="828"/>
      <c r="AU171" s="740">
        <f ca="1">IFERROR(AU166/AU$162,0)</f>
        <v>0</v>
      </c>
      <c r="AV171" s="828"/>
      <c r="AW171" s="828"/>
      <c r="AX171" s="740">
        <f ca="1">IFERROR(AX166/AX$162,0)</f>
        <v>0</v>
      </c>
      <c r="AY171" s="828"/>
      <c r="AZ171" s="828"/>
      <c r="BA171" s="740">
        <f ca="1">IFERROR(BA166/BA$162,0)</f>
        <v>0</v>
      </c>
      <c r="BB171" s="45"/>
      <c r="BC171" s="45"/>
      <c r="BD171" s="740">
        <f ca="1">IFERROR(BD166/BD$162,0)</f>
        <v>0</v>
      </c>
      <c r="BE171" s="45"/>
      <c r="BF171" s="45"/>
      <c r="BG171" s="740">
        <f ca="1">IFERROR(BG166/BG$162,0)</f>
        <v>0</v>
      </c>
      <c r="BH171" s="45"/>
      <c r="BI171" s="45"/>
      <c r="BJ171" s="740">
        <f ca="1">IFERROR(BJ166/BJ$162,0)</f>
        <v>0</v>
      </c>
      <c r="BK171" s="45"/>
      <c r="BL171" s="45"/>
      <c r="BM171" s="740">
        <f ca="1">IFERROR(BM166/BM$162,0)</f>
        <v>0</v>
      </c>
      <c r="BN171" s="45"/>
      <c r="BO171" s="45"/>
      <c r="BP171" s="740">
        <f ca="1">IFERROR(BP166/BP$162,0)</f>
        <v>0</v>
      </c>
      <c r="BQ171" s="828"/>
      <c r="BR171" s="828"/>
      <c r="BS171" s="740">
        <f ca="1">IFERROR(BS166/BS$162,0)</f>
        <v>0</v>
      </c>
      <c r="BT171" s="828"/>
      <c r="BU171" s="828"/>
      <c r="BV171" s="740">
        <f ca="1">IFERROR(BV166/BV$162,0)</f>
        <v>0</v>
      </c>
      <c r="BW171" s="828"/>
      <c r="BX171" s="828"/>
      <c r="BY171" s="740">
        <f ca="1">IFERROR(BY166/BY$162,0)</f>
        <v>0</v>
      </c>
      <c r="BZ171" s="828"/>
      <c r="CA171" s="828"/>
      <c r="CB171" s="740">
        <f ca="1">IFERROR(CB166/CB$162,0)</f>
        <v>0</v>
      </c>
      <c r="CC171" s="828"/>
      <c r="CD171" s="828"/>
      <c r="CE171" s="740">
        <f ca="1">IFERROR(CE166/CE$162,0)</f>
        <v>0</v>
      </c>
      <c r="CF171" s="45"/>
      <c r="CG171" s="45"/>
      <c r="CH171" s="740">
        <f ca="1">IFERROR(CH166/CH$162,0)</f>
        <v>0</v>
      </c>
      <c r="CI171" s="45"/>
      <c r="CJ171" s="45"/>
      <c r="CK171" s="740">
        <f ca="1">IFERROR(CK166/CK$162,0)</f>
        <v>0</v>
      </c>
      <c r="CL171" s="45"/>
      <c r="CM171" s="45"/>
      <c r="CN171" s="740">
        <f ca="1">IFERROR(CN166/CN$162,0)</f>
        <v>0</v>
      </c>
      <c r="CO171" s="45"/>
      <c r="CP171" s="45"/>
      <c r="CQ171" s="740">
        <f ca="1">IFERROR(CQ166/CQ$162,0)</f>
        <v>0</v>
      </c>
      <c r="CR171" s="45"/>
      <c r="CS171" s="45"/>
      <c r="CT171" s="28"/>
      <c r="CW171" s="970" t="s">
        <v>823</v>
      </c>
      <c r="CX171" s="975" t="s">
        <v>821</v>
      </c>
      <c r="CY171" s="979" cm="1">
        <f t="array" ref="CY171">AE171</f>
        <v>0</v>
      </c>
      <c r="CZ171" s="979" cm="1">
        <f t="array" ref="CZ171">AF171</f>
        <v>0</v>
      </c>
      <c r="DA171" s="976"/>
      <c r="DB171" s="976"/>
    </row>
    <row r="172" spans="1:106" s="1229" customFormat="1" ht="16.5" customHeight="1">
      <c r="E172" s="676">
        <v>17.100000000000001</v>
      </c>
      <c r="F172" s="779" t="str" cm="1">
        <f t="array" aca="1" ref="F172" ca="1">OFFSET(G172,-1,-1)</f>
        <v>1</v>
      </c>
      <c r="L172" s="779" t="b" cm="1">
        <f t="array" aca="1" ref="L172" ca="1">OFFSET(M172,-1,-1)</f>
        <v>0</v>
      </c>
      <c r="S172" s="110" t="b" cm="1">
        <f t="array" aca="1" ref="S172" ca="1">OFFSET(T172,-1,-1)</f>
        <v>1</v>
      </c>
      <c r="T172" s="110" t="b">
        <f>AD172&lt;&gt;"19.0"</f>
        <v>1</v>
      </c>
      <c r="U172" s="698" t="b">
        <f t="shared" ca="1" si="80"/>
        <v>1</v>
      </c>
      <c r="X172" s="110" t="str">
        <f>'Топливо 4.4'!$AE$167&amp;'Топливо 4.4'!$AF$167</f>
        <v>Уголь длиннопламенный</v>
      </c>
      <c r="Y172" s="1722"/>
      <c r="Z172" s="1722"/>
      <c r="AB172" s="1787"/>
      <c r="AD172" s="111" t="s">
        <v>933</v>
      </c>
      <c r="AE172" s="821" t="str" cm="1">
        <f t="array" ref="AE172">IF(ISBLANK('Топливо 4.4'!$AE$167),"",'Топливо 4.4'!$AE$167)</f>
        <v>Уголь длиннопламенный</v>
      </c>
      <c r="AF172" s="524" t="str">
        <f>IF(ISBLANK('Топливо 4.4'!$AF$167),"",'Топливо 4.4'!$AF$167)</f>
        <v/>
      </c>
      <c r="AG172" s="111" t="s">
        <v>533</v>
      </c>
      <c r="AH172" s="1306"/>
      <c r="AI172" s="1306">
        <f t="shared" si="108"/>
        <v>0</v>
      </c>
      <c r="AJ172" s="1306">
        <f t="shared" si="108"/>
        <v>0</v>
      </c>
      <c r="AK172" s="1306">
        <v>0.97235400000000005</v>
      </c>
      <c r="AL172" s="740">
        <f ca="1">IFERROR(AL167/AL$162,0)</f>
        <v>0</v>
      </c>
      <c r="AM172" s="1306"/>
      <c r="AN172" s="1306"/>
      <c r="AO172" s="740">
        <f ca="1">IFERROR(AO167/AO$162,0)</f>
        <v>0</v>
      </c>
      <c r="AP172" s="828"/>
      <c r="AQ172" s="828"/>
      <c r="AR172" s="740">
        <f ca="1">IFERROR(AR167/AR$162,0)</f>
        <v>0</v>
      </c>
      <c r="AS172" s="828"/>
      <c r="AT172" s="828"/>
      <c r="AU172" s="740">
        <f ca="1">IFERROR(AU167/AU$162,0)</f>
        <v>0</v>
      </c>
      <c r="AV172" s="828"/>
      <c r="AW172" s="828"/>
      <c r="AX172" s="740">
        <f ca="1">IFERROR(AX167/AX$162,0)</f>
        <v>0</v>
      </c>
      <c r="AY172" s="828"/>
      <c r="AZ172" s="828"/>
      <c r="BA172" s="740">
        <f ca="1">IFERROR(BA167/BA$162,0)</f>
        <v>0</v>
      </c>
      <c r="BB172" s="1306"/>
      <c r="BC172" s="1306"/>
      <c r="BD172" s="740">
        <f ca="1">IFERROR(BD167/BD$162,0)</f>
        <v>0</v>
      </c>
      <c r="BE172" s="1306"/>
      <c r="BF172" s="1306"/>
      <c r="BG172" s="740">
        <f ca="1">IFERROR(BG167/BG$162,0)</f>
        <v>0</v>
      </c>
      <c r="BH172" s="1306"/>
      <c r="BI172" s="1306"/>
      <c r="BJ172" s="740">
        <f ca="1">IFERROR(BJ167/BJ$162,0)</f>
        <v>0</v>
      </c>
      <c r="BK172" s="1306"/>
      <c r="BL172" s="1306"/>
      <c r="BM172" s="740">
        <f ca="1">IFERROR(BM167/BM$162,0)</f>
        <v>0</v>
      </c>
      <c r="BN172" s="1306"/>
      <c r="BO172" s="1306"/>
      <c r="BP172" s="740">
        <f ca="1">IFERROR(BP167/BP$162,0)</f>
        <v>1</v>
      </c>
      <c r="BQ172" s="828">
        <v>1</v>
      </c>
      <c r="BR172" s="828">
        <v>1</v>
      </c>
      <c r="BS172" s="740">
        <f ca="1">IFERROR(BS167/BS$162,0)</f>
        <v>0</v>
      </c>
      <c r="BT172" s="828"/>
      <c r="BU172" s="828"/>
      <c r="BV172" s="740">
        <f ca="1">IFERROR(BV167/BV$162,0)</f>
        <v>0</v>
      </c>
      <c r="BW172" s="828"/>
      <c r="BX172" s="828"/>
      <c r="BY172" s="740">
        <f ca="1">IFERROR(BY167/BY$162,0)</f>
        <v>0</v>
      </c>
      <c r="BZ172" s="828"/>
      <c r="CA172" s="828"/>
      <c r="CB172" s="740">
        <f ca="1">IFERROR(CB167/CB$162,0)</f>
        <v>0</v>
      </c>
      <c r="CC172" s="828"/>
      <c r="CD172" s="828"/>
      <c r="CE172" s="740">
        <f ca="1">IFERROR(CE167/CE$162,0)</f>
        <v>0</v>
      </c>
      <c r="CF172" s="1306"/>
      <c r="CG172" s="1306"/>
      <c r="CH172" s="740">
        <f ca="1">IFERROR(CH167/CH$162,0)</f>
        <v>0</v>
      </c>
      <c r="CI172" s="1306"/>
      <c r="CJ172" s="1306"/>
      <c r="CK172" s="740">
        <f ca="1">IFERROR(CK167/CK$162,0)</f>
        <v>0</v>
      </c>
      <c r="CL172" s="1306"/>
      <c r="CM172" s="1306"/>
      <c r="CN172" s="740">
        <f ca="1">IFERROR(CN167/CN$162,0)</f>
        <v>0</v>
      </c>
      <c r="CO172" s="1306"/>
      <c r="CP172" s="1306"/>
      <c r="CQ172" s="740">
        <f ca="1">IFERROR(CQ167/CQ$162,0)</f>
        <v>0</v>
      </c>
      <c r="CR172" s="1306"/>
      <c r="CS172" s="1306"/>
      <c r="CT172" s="1290"/>
      <c r="CW172" s="970" t="s">
        <v>823</v>
      </c>
      <c r="CX172" s="975" t="s">
        <v>821</v>
      </c>
      <c r="CY172" s="979" t="str" cm="1">
        <f t="array" ref="CY172">AE172</f>
        <v>Уголь длиннопламенный</v>
      </c>
      <c r="CZ172" s="979" t="str" cm="1">
        <f t="array" ref="CZ172">AF172</f>
        <v/>
      </c>
      <c r="DA172" s="976"/>
      <c r="DB172" s="976"/>
    </row>
    <row r="173" spans="1:106" s="1229" customFormat="1" ht="16.5" customHeight="1">
      <c r="E173" s="676">
        <v>17.100000000000001</v>
      </c>
      <c r="F173" s="779" t="str" cm="1">
        <f t="array" aca="1" ref="F173" ca="1">OFFSET(G173,-1,-1)</f>
        <v>1</v>
      </c>
      <c r="L173" s="779" t="b" cm="1">
        <f t="array" aca="1" ref="L173" ca="1">OFFSET(M173,-1,-1)</f>
        <v>0</v>
      </c>
      <c r="S173" s="110" t="b" cm="1">
        <f t="array" aca="1" ref="S173" ca="1">OFFSET(T173,-1,-1)</f>
        <v>1</v>
      </c>
      <c r="T173" s="110" t="b">
        <f>AD173&lt;&gt;"19.0"</f>
        <v>1</v>
      </c>
      <c r="U173" s="698" t="b">
        <f t="shared" ca="1" si="80"/>
        <v>1</v>
      </c>
      <c r="X173" s="110" t="str">
        <f>'Топливо 4.4'!$AE$168&amp;'Топливо 4.4'!$AF$168</f>
        <v>Уголь бурый</v>
      </c>
      <c r="Y173" s="1722"/>
      <c r="Z173" s="1722"/>
      <c r="AB173" s="1787"/>
      <c r="AD173" s="111" t="s">
        <v>934</v>
      </c>
      <c r="AE173" s="821" t="str" cm="1">
        <f t="array" ref="AE173">IF(ISBLANK('Топливо 4.4'!$AE$168),"",'Топливо 4.4'!$AE$168)</f>
        <v>Уголь бурый</v>
      </c>
      <c r="AF173" s="524" t="str">
        <f>IF(ISBLANK('Топливо 4.4'!$AF$168),"",'Топливо 4.4'!$AF$168)</f>
        <v/>
      </c>
      <c r="AG173" s="111" t="s">
        <v>533</v>
      </c>
      <c r="AH173" s="1306"/>
      <c r="AI173" s="1306">
        <f t="shared" si="108"/>
        <v>0</v>
      </c>
      <c r="AJ173" s="1306">
        <f t="shared" si="108"/>
        <v>0</v>
      </c>
      <c r="AK173" s="1306">
        <v>2.7646E-2</v>
      </c>
      <c r="AL173" s="740">
        <f ca="1">IFERROR(AL168/AL$162,0)</f>
        <v>0</v>
      </c>
      <c r="AM173" s="1306"/>
      <c r="AN173" s="1306"/>
      <c r="AO173" s="740">
        <f ca="1">IFERROR(AO168/AO$162,0)</f>
        <v>0</v>
      </c>
      <c r="AP173" s="828"/>
      <c r="AQ173" s="828"/>
      <c r="AR173" s="740">
        <f ca="1">IFERROR(AR168/AR$162,0)</f>
        <v>0</v>
      </c>
      <c r="AS173" s="828"/>
      <c r="AT173" s="828"/>
      <c r="AU173" s="740">
        <f ca="1">IFERROR(AU168/AU$162,0)</f>
        <v>0</v>
      </c>
      <c r="AV173" s="828"/>
      <c r="AW173" s="828"/>
      <c r="AX173" s="740">
        <f ca="1">IFERROR(AX168/AX$162,0)</f>
        <v>0</v>
      </c>
      <c r="AY173" s="828"/>
      <c r="AZ173" s="828"/>
      <c r="BA173" s="740">
        <f ca="1">IFERROR(BA168/BA$162,0)</f>
        <v>0</v>
      </c>
      <c r="BB173" s="1306"/>
      <c r="BC173" s="1306"/>
      <c r="BD173" s="740">
        <f ca="1">IFERROR(BD168/BD$162,0)</f>
        <v>0</v>
      </c>
      <c r="BE173" s="1306"/>
      <c r="BF173" s="1306"/>
      <c r="BG173" s="740">
        <f ca="1">IFERROR(BG168/BG$162,0)</f>
        <v>0</v>
      </c>
      <c r="BH173" s="1306"/>
      <c r="BI173" s="1306"/>
      <c r="BJ173" s="740">
        <f ca="1">IFERROR(BJ168/BJ$162,0)</f>
        <v>0</v>
      </c>
      <c r="BK173" s="1306"/>
      <c r="BL173" s="1306"/>
      <c r="BM173" s="740">
        <f ca="1">IFERROR(BM168/BM$162,0)</f>
        <v>0</v>
      </c>
      <c r="BN173" s="1306"/>
      <c r="BO173" s="1306"/>
      <c r="BP173" s="740">
        <f ca="1">IFERROR(BP168/BP$162,0)</f>
        <v>0</v>
      </c>
      <c r="BQ173" s="828"/>
      <c r="BR173" s="828"/>
      <c r="BS173" s="740">
        <f ca="1">IFERROR(BS168/BS$162,0)</f>
        <v>0</v>
      </c>
      <c r="BT173" s="828"/>
      <c r="BU173" s="828"/>
      <c r="BV173" s="740">
        <f ca="1">IFERROR(BV168/BV$162,0)</f>
        <v>0</v>
      </c>
      <c r="BW173" s="828"/>
      <c r="BX173" s="828"/>
      <c r="BY173" s="740">
        <f ca="1">IFERROR(BY168/BY$162,0)</f>
        <v>0</v>
      </c>
      <c r="BZ173" s="828"/>
      <c r="CA173" s="828"/>
      <c r="CB173" s="740">
        <f ca="1">IFERROR(CB168/CB$162,0)</f>
        <v>0</v>
      </c>
      <c r="CC173" s="828"/>
      <c r="CD173" s="828"/>
      <c r="CE173" s="740">
        <f ca="1">IFERROR(CE168/CE$162,0)</f>
        <v>0</v>
      </c>
      <c r="CF173" s="1306"/>
      <c r="CG173" s="1306"/>
      <c r="CH173" s="740">
        <f ca="1">IFERROR(CH168/CH$162,0)</f>
        <v>0</v>
      </c>
      <c r="CI173" s="1306"/>
      <c r="CJ173" s="1306"/>
      <c r="CK173" s="740">
        <f ca="1">IFERROR(CK168/CK$162,0)</f>
        <v>0</v>
      </c>
      <c r="CL173" s="1306"/>
      <c r="CM173" s="1306"/>
      <c r="CN173" s="740">
        <f ca="1">IFERROR(CN168/CN$162,0)</f>
        <v>0</v>
      </c>
      <c r="CO173" s="1306"/>
      <c r="CP173" s="1306"/>
      <c r="CQ173" s="740">
        <f ca="1">IFERROR(CQ168/CQ$162,0)</f>
        <v>0</v>
      </c>
      <c r="CR173" s="1306"/>
      <c r="CS173" s="1306"/>
      <c r="CT173" s="1290"/>
      <c r="CW173" s="970" t="s">
        <v>823</v>
      </c>
      <c r="CX173" s="975" t="s">
        <v>821</v>
      </c>
      <c r="CY173" s="979" t="str" cm="1">
        <f t="array" ref="CY173">AE173</f>
        <v>Уголь бурый</v>
      </c>
      <c r="CZ173" s="979" t="str" cm="1">
        <f t="array" ref="CZ173">AF173</f>
        <v/>
      </c>
      <c r="DA173" s="976"/>
      <c r="DB173" s="976"/>
    </row>
    <row r="174" spans="1:106" s="1229" customFormat="1" ht="17.25" hidden="1" customHeight="1">
      <c r="A174" s="1155"/>
      <c r="B174" s="783"/>
      <c r="C174" s="1155"/>
      <c r="D174" s="1155"/>
      <c r="E174" s="676">
        <v>0</v>
      </c>
      <c r="F174" s="779" t="str" cm="1">
        <f t="array" aca="1" ref="F174" ca="1">OFFSET(G174,-1,-1)</f>
        <v>1</v>
      </c>
      <c r="G174" s="814"/>
      <c r="H174" s="814"/>
      <c r="I174" s="814"/>
      <c r="J174" s="814"/>
      <c r="K174" s="814"/>
      <c r="L174" s="779" t="b" cm="1">
        <f t="array" aca="1" ref="L174" ca="1">OFFSET(M174,-1,-1)</f>
        <v>0</v>
      </c>
      <c r="M174" s="814"/>
      <c r="N174" s="814"/>
      <c r="O174" s="814"/>
      <c r="P174" s="814"/>
      <c r="Q174" s="814"/>
      <c r="R174" s="1155"/>
      <c r="S174" s="110" t="b" cm="1">
        <f t="array" aca="1" ref="S174" ca="1">OFFSET(T174,-1,-1)</f>
        <v>1</v>
      </c>
      <c r="T174" s="1155"/>
      <c r="U174" s="698" t="b">
        <f t="shared" ca="1" si="80"/>
        <v>1</v>
      </c>
      <c r="V174" s="1155"/>
      <c r="W174" s="1155"/>
      <c r="X174" s="820" t="str">
        <f>"{                  
         funcDyn: 'msg1',
         blok: 'blok_2',
         wsCross: 'Топливо 4.4',
         linkFormula: 'AE-AE#AF-AF',
         levelDyn: "&amp;Y139&amp;"
}"</f>
        <v>{                  
         funcDyn: 'msg1',
         blok: 'blok_2',
         wsCross: 'Топливо 4.4',
         linkFormula: 'AE-AE#AF-AF',
         levelDyn: 1
}</v>
      </c>
      <c r="Y174" s="1687"/>
      <c r="Z174" s="1687"/>
      <c r="AA174" s="699"/>
      <c r="AB174" s="1787"/>
      <c r="AD174" s="823"/>
      <c r="AE174" s="822" t="s">
        <v>238</v>
      </c>
      <c r="AF174" s="745"/>
      <c r="AG174" s="547"/>
      <c r="AH174" s="746"/>
      <c r="AI174" s="746"/>
      <c r="AJ174" s="746"/>
      <c r="AK174" s="746"/>
      <c r="AL174" s="746"/>
      <c r="AM174" s="746"/>
      <c r="AN174" s="746"/>
      <c r="AO174" s="746"/>
      <c r="AP174" s="746"/>
      <c r="AQ174" s="746"/>
      <c r="AR174" s="746"/>
      <c r="AS174" s="746"/>
      <c r="AT174" s="746"/>
      <c r="AU174" s="746"/>
      <c r="AV174" s="746"/>
      <c r="AW174" s="746"/>
      <c r="AX174" s="746"/>
      <c r="AY174" s="746"/>
      <c r="AZ174" s="746"/>
      <c r="BA174" s="746"/>
      <c r="BB174" s="746"/>
      <c r="BC174" s="746"/>
      <c r="BD174" s="746"/>
      <c r="BE174" s="746"/>
      <c r="BF174" s="746"/>
      <c r="BG174" s="746"/>
      <c r="BH174" s="746"/>
      <c r="BI174" s="746"/>
      <c r="BJ174" s="746"/>
      <c r="BK174" s="746"/>
      <c r="BL174" s="746"/>
      <c r="BM174" s="746"/>
      <c r="BN174" s="746"/>
      <c r="BO174" s="746"/>
      <c r="BP174" s="746"/>
      <c r="BQ174" s="746"/>
      <c r="BR174" s="746"/>
      <c r="BS174" s="746"/>
      <c r="BT174" s="746"/>
      <c r="BU174" s="746"/>
      <c r="BV174" s="746"/>
      <c r="BW174" s="746"/>
      <c r="BX174" s="746"/>
      <c r="BY174" s="746"/>
      <c r="BZ174" s="746"/>
      <c r="CA174" s="746"/>
      <c r="CB174" s="746"/>
      <c r="CC174" s="746"/>
      <c r="CD174" s="746"/>
      <c r="CE174" s="746"/>
      <c r="CF174" s="746"/>
      <c r="CG174" s="746"/>
      <c r="CH174" s="746"/>
      <c r="CI174" s="746"/>
      <c r="CJ174" s="746"/>
      <c r="CK174" s="746"/>
      <c r="CL174" s="746"/>
      <c r="CM174" s="746"/>
      <c r="CN174" s="746"/>
      <c r="CO174" s="746"/>
      <c r="CP174" s="746"/>
      <c r="CQ174" s="746"/>
      <c r="CR174" s="746"/>
      <c r="CS174" s="746"/>
      <c r="CT174" s="46"/>
      <c r="CW174" s="970" t="str">
        <f>IF(AND(ISNUMBER(VALUE(TRIM(SUBSTITUTE(AD174,".","")))),TRIM(SUBSTITUTE(AD174,".",""))&lt;&gt;""),"P"&amp;SUBSTITUTE(AD174,".",""),"")</f>
        <v/>
      </c>
      <c r="CX174" s="975"/>
      <c r="CY174" s="975"/>
      <c r="CZ174" s="975"/>
      <c r="DA174" s="976"/>
      <c r="DB174" s="976"/>
    </row>
    <row r="175" spans="1:106" s="1229" customFormat="1" ht="16.5" customHeight="1">
      <c r="A175" s="1155"/>
      <c r="B175" s="783"/>
      <c r="C175" s="1155"/>
      <c r="D175" s="1155"/>
      <c r="E175" s="676">
        <v>17.100000000000001</v>
      </c>
      <c r="F175" s="779" t="str" cm="1">
        <f t="array" aca="1" ref="F175" ca="1">OFFSET(G175,-1,-1)</f>
        <v>1</v>
      </c>
      <c r="G175" s="814"/>
      <c r="H175" s="814"/>
      <c r="I175" s="814"/>
      <c r="J175" s="814"/>
      <c r="K175" s="814"/>
      <c r="L175" s="779" t="b" cm="1">
        <f t="array" aca="1" ref="L175" ca="1">OFFSET(M175,-1,-1)</f>
        <v>0</v>
      </c>
      <c r="M175" s="814"/>
      <c r="N175" s="814"/>
      <c r="O175" s="814"/>
      <c r="P175" s="814"/>
      <c r="Q175" s="814"/>
      <c r="R175" s="1155"/>
      <c r="S175" s="110" t="b" cm="1">
        <f t="array" aca="1" ref="S175" ca="1">OFFSET(T175,-1,-1)</f>
        <v>1</v>
      </c>
      <c r="T175" s="1155"/>
      <c r="U175" s="698" t="b">
        <f t="shared" ca="1" si="80"/>
        <v>1</v>
      </c>
      <c r="V175" s="1155"/>
      <c r="W175" s="1155"/>
      <c r="X175" s="1155"/>
      <c r="Y175" s="1687"/>
      <c r="Z175" s="1687"/>
      <c r="AA175" s="699"/>
      <c r="AB175" s="1787"/>
      <c r="AD175" s="111">
        <v>20</v>
      </c>
      <c r="AE175" s="1759" t="s">
        <v>825</v>
      </c>
      <c r="AF175" s="1760"/>
      <c r="AG175" s="622"/>
      <c r="AH175" s="735"/>
      <c r="AI175" s="737"/>
      <c r="AJ175" s="737"/>
      <c r="AK175" s="737"/>
      <c r="AL175" s="737"/>
      <c r="AM175" s="737"/>
      <c r="AN175" s="737"/>
      <c r="AO175" s="737"/>
      <c r="AP175" s="737"/>
      <c r="AQ175" s="737"/>
      <c r="AR175" s="737"/>
      <c r="AS175" s="737"/>
      <c r="AT175" s="737"/>
      <c r="AU175" s="737"/>
      <c r="AV175" s="737"/>
      <c r="AW175" s="737"/>
      <c r="AX175" s="737"/>
      <c r="AY175" s="737"/>
      <c r="AZ175" s="737"/>
      <c r="BA175" s="737"/>
      <c r="BB175" s="737"/>
      <c r="BC175" s="737"/>
      <c r="BD175" s="737"/>
      <c r="BE175" s="737"/>
      <c r="BF175" s="737"/>
      <c r="BG175" s="737"/>
      <c r="BH175" s="737"/>
      <c r="BI175" s="737"/>
      <c r="BJ175" s="737"/>
      <c r="BK175" s="737"/>
      <c r="BL175" s="737"/>
      <c r="BM175" s="737"/>
      <c r="BN175" s="737"/>
      <c r="BO175" s="737"/>
      <c r="BP175" s="737"/>
      <c r="BQ175" s="737"/>
      <c r="BR175" s="737"/>
      <c r="BS175" s="737"/>
      <c r="BT175" s="737"/>
      <c r="BU175" s="737"/>
      <c r="BV175" s="737"/>
      <c r="BW175" s="737"/>
      <c r="BX175" s="737"/>
      <c r="BY175" s="737"/>
      <c r="BZ175" s="737"/>
      <c r="CA175" s="737"/>
      <c r="CB175" s="737"/>
      <c r="CC175" s="737"/>
      <c r="CD175" s="737"/>
      <c r="CE175" s="737"/>
      <c r="CF175" s="737"/>
      <c r="CG175" s="737"/>
      <c r="CH175" s="737"/>
      <c r="CI175" s="737"/>
      <c r="CJ175" s="737"/>
      <c r="CK175" s="737"/>
      <c r="CL175" s="737"/>
      <c r="CM175" s="737"/>
      <c r="CN175" s="737"/>
      <c r="CO175" s="737"/>
      <c r="CP175" s="737"/>
      <c r="CQ175" s="737"/>
      <c r="CR175" s="737"/>
      <c r="CS175" s="737"/>
      <c r="CT175" s="1290"/>
      <c r="CW175" s="970" t="s">
        <v>826</v>
      </c>
      <c r="CX175" s="975"/>
      <c r="CY175" s="975"/>
      <c r="CZ175" s="975"/>
      <c r="DA175" s="976"/>
      <c r="DB175" s="976"/>
    </row>
    <row r="176" spans="1:106" s="1229" customFormat="1" ht="16.5" hidden="1" customHeight="1">
      <c r="E176" s="676">
        <v>17.100000000000001</v>
      </c>
      <c r="F176" s="779" t="str" cm="1">
        <f t="array" aca="1" ref="F176" ca="1">OFFSET(G176,-1,-1)</f>
        <v>1</v>
      </c>
      <c r="L176" s="779" t="b" cm="1">
        <f t="array" aca="1" ref="L176" ca="1">OFFSET(M176,-1,-1)</f>
        <v>0</v>
      </c>
      <c r="S176" s="110" t="b" cm="1">
        <f t="array" aca="1" ref="S176" ca="1">OFFSET(T176,-1,-1)</f>
        <v>1</v>
      </c>
      <c r="T176" s="110" t="b">
        <f>AD176&lt;&gt;"20.0"</f>
        <v>0</v>
      </c>
      <c r="U176" s="698" t="b">
        <f t="shared" ca="1" si="80"/>
        <v>0</v>
      </c>
      <c r="X176" s="110" t="s">
        <v>236</v>
      </c>
      <c r="Y176" s="1722"/>
      <c r="Z176" s="1722"/>
      <c r="AB176" s="1787"/>
      <c r="AD176" s="111" t="s">
        <v>827</v>
      </c>
      <c r="AE176" s="821"/>
      <c r="AF176" s="524"/>
      <c r="AG176" s="622"/>
      <c r="AH176" s="41"/>
      <c r="AI176" s="42"/>
      <c r="AJ176" s="42"/>
      <c r="AK176" s="42"/>
      <c r="AL176" s="736">
        <f ca="1">IFERROR(AL166/AL181,0)</f>
        <v>0</v>
      </c>
      <c r="AM176" s="42"/>
      <c r="AN176" s="42" cm="1">
        <f t="array" ref="AN176">AM176</f>
        <v>0</v>
      </c>
      <c r="AO176" s="736">
        <f ca="1">IFERROR(AO166/AO181,0)</f>
        <v>0</v>
      </c>
      <c r="AP176" s="826"/>
      <c r="AQ176" s="826" cm="1">
        <f t="array" ref="AQ176">AP176</f>
        <v>0</v>
      </c>
      <c r="AR176" s="736">
        <f ca="1">IFERROR(AR166/AR181,0)</f>
        <v>0</v>
      </c>
      <c r="AS176" s="826"/>
      <c r="AT176" s="826" cm="1">
        <f t="array" ref="AT176">AS176</f>
        <v>0</v>
      </c>
      <c r="AU176" s="736">
        <f ca="1">IFERROR(AU166/AU181,0)</f>
        <v>0</v>
      </c>
      <c r="AV176" s="826"/>
      <c r="AW176" s="826" cm="1">
        <f t="array" ref="AW176">AV176</f>
        <v>0</v>
      </c>
      <c r="AX176" s="736">
        <f ca="1">IFERROR(AX166/AX181,0)</f>
        <v>0</v>
      </c>
      <c r="AY176" s="826"/>
      <c r="AZ176" s="826" cm="1">
        <f t="array" ref="AZ176">AY176</f>
        <v>0</v>
      </c>
      <c r="BA176" s="736">
        <f ca="1">IFERROR(BA166/BA181,0)</f>
        <v>0</v>
      </c>
      <c r="BB176" s="42"/>
      <c r="BC176" s="42" cm="1">
        <f t="array" ref="BC176">BB176</f>
        <v>0</v>
      </c>
      <c r="BD176" s="736">
        <f ca="1">IFERROR(BD166/BD181,0)</f>
        <v>0</v>
      </c>
      <c r="BE176" s="42"/>
      <c r="BF176" s="42" cm="1">
        <f t="array" ref="BF176">BE176</f>
        <v>0</v>
      </c>
      <c r="BG176" s="736">
        <f ca="1">IFERROR(BG166/BG181,0)</f>
        <v>0</v>
      </c>
      <c r="BH176" s="42"/>
      <c r="BI176" s="42" cm="1">
        <f t="array" ref="BI176">BH176</f>
        <v>0</v>
      </c>
      <c r="BJ176" s="736">
        <f ca="1">IFERROR(BJ166/BJ181,0)</f>
        <v>0</v>
      </c>
      <c r="BK176" s="42"/>
      <c r="BL176" s="42" cm="1">
        <f t="array" ref="BL176">BK176</f>
        <v>0</v>
      </c>
      <c r="BM176" s="736">
        <f ca="1">IFERROR(BM166/BM181,0)</f>
        <v>0</v>
      </c>
      <c r="BN176" s="42"/>
      <c r="BO176" s="42" cm="1">
        <f t="array" ref="BO176">BN176</f>
        <v>0</v>
      </c>
      <c r="BP176" s="736">
        <f ca="1">IFERROR(BP166/BP181,0)</f>
        <v>0</v>
      </c>
      <c r="BQ176" s="826"/>
      <c r="BR176" s="826" cm="1">
        <f t="array" ref="BR176">BQ176</f>
        <v>0</v>
      </c>
      <c r="BS176" s="736">
        <f ca="1">IFERROR(BS166/BS181,0)</f>
        <v>0</v>
      </c>
      <c r="BT176" s="826"/>
      <c r="BU176" s="826" cm="1">
        <f t="array" ref="BU176">BT176</f>
        <v>0</v>
      </c>
      <c r="BV176" s="736">
        <f ca="1">IFERROR(BV166/BV181,0)</f>
        <v>0</v>
      </c>
      <c r="BW176" s="826"/>
      <c r="BX176" s="826" cm="1">
        <f t="array" ref="BX176">BW176</f>
        <v>0</v>
      </c>
      <c r="BY176" s="736">
        <f ca="1">IFERROR(BY166/BY181,0)</f>
        <v>0</v>
      </c>
      <c r="BZ176" s="826"/>
      <c r="CA176" s="826" cm="1">
        <f t="array" ref="CA176">BZ176</f>
        <v>0</v>
      </c>
      <c r="CB176" s="736">
        <f ca="1">IFERROR(CB166/CB181,0)</f>
        <v>0</v>
      </c>
      <c r="CC176" s="826"/>
      <c r="CD176" s="826" cm="1">
        <f t="array" ref="CD176">CC176</f>
        <v>0</v>
      </c>
      <c r="CE176" s="736">
        <f ca="1">IFERROR(CE166/CE181,0)</f>
        <v>0</v>
      </c>
      <c r="CF176" s="42"/>
      <c r="CG176" s="42" cm="1">
        <f t="array" ref="CG176">CF176</f>
        <v>0</v>
      </c>
      <c r="CH176" s="736">
        <f ca="1">IFERROR(CH166/CH181,0)</f>
        <v>0</v>
      </c>
      <c r="CI176" s="42"/>
      <c r="CJ176" s="42" cm="1">
        <f t="array" ref="CJ176">CI176</f>
        <v>0</v>
      </c>
      <c r="CK176" s="736">
        <f ca="1">IFERROR(CK166/CK181,0)</f>
        <v>0</v>
      </c>
      <c r="CL176" s="42"/>
      <c r="CM176" s="42" cm="1">
        <f t="array" ref="CM176">CL176</f>
        <v>0</v>
      </c>
      <c r="CN176" s="736">
        <f ca="1">IFERROR(CN166/CN181,0)</f>
        <v>0</v>
      </c>
      <c r="CO176" s="42"/>
      <c r="CP176" s="42" cm="1">
        <f t="array" ref="CP176">CO176</f>
        <v>0</v>
      </c>
      <c r="CQ176" s="736">
        <f ca="1">IFERROR(CQ166/CQ181,0)</f>
        <v>0</v>
      </c>
      <c r="CR176" s="42"/>
      <c r="CS176" s="42" cm="1">
        <f t="array" ref="CS176">CR176</f>
        <v>0</v>
      </c>
      <c r="CT176" s="28"/>
      <c r="CW176" s="970" t="s">
        <v>826</v>
      </c>
      <c r="CX176" s="975" t="s">
        <v>821</v>
      </c>
      <c r="CY176" s="979" cm="1">
        <f t="array" ref="CY176">AE176</f>
        <v>0</v>
      </c>
      <c r="CZ176" s="979" cm="1">
        <f t="array" ref="CZ176">AF176</f>
        <v>0</v>
      </c>
      <c r="DA176" s="976"/>
      <c r="DB176" s="976"/>
    </row>
    <row r="177" spans="1:106" s="1229" customFormat="1" ht="16.5" customHeight="1">
      <c r="E177" s="676">
        <v>17.100000000000001</v>
      </c>
      <c r="F177" s="779" t="str" cm="1">
        <f t="array" aca="1" ref="F177" ca="1">OFFSET(G177,-1,-1)</f>
        <v>1</v>
      </c>
      <c r="L177" s="779" t="b" cm="1">
        <f t="array" aca="1" ref="L177" ca="1">OFFSET(M177,-1,-1)</f>
        <v>0</v>
      </c>
      <c r="S177" s="110" t="b" cm="1">
        <f t="array" aca="1" ref="S177" ca="1">OFFSET(T177,-1,-1)</f>
        <v>1</v>
      </c>
      <c r="T177" s="110" t="b">
        <f>AD177&lt;&gt;"20.0"</f>
        <v>1</v>
      </c>
      <c r="U177" s="698" t="b">
        <f t="shared" ca="1" si="80"/>
        <v>1</v>
      </c>
      <c r="X177" s="110" t="str">
        <f>'Топливо 4.4'!$AE$172&amp;'Топливо 4.4'!$AF$172</f>
        <v>Уголь длиннопламенный</v>
      </c>
      <c r="Y177" s="1722"/>
      <c r="Z177" s="1722"/>
      <c r="AB177" s="1787"/>
      <c r="AD177" s="111" t="s">
        <v>935</v>
      </c>
      <c r="AE177" s="821" t="str" cm="1">
        <f t="array" ref="AE177">IF(ISBLANK('Топливо 4.4'!$AE$172),"",'Топливо 4.4'!$AE$172)</f>
        <v>Уголь длиннопламенный</v>
      </c>
      <c r="AF177" s="524" t="str" cm="1">
        <f t="array" ref="AF177">IF(ISBLANK('Топливо 4.4'!$AF$172),"",'Топливо 4.4'!$AF$172)</f>
        <v/>
      </c>
      <c r="AG177" s="622"/>
      <c r="AH177" s="1303"/>
      <c r="AI177" s="1302"/>
      <c r="AJ177" s="1302"/>
      <c r="AK177" s="1302">
        <v>0.78571428571428603</v>
      </c>
      <c r="AL177" s="736">
        <f ca="1">IFERROR(AL167/AL182,0)</f>
        <v>0</v>
      </c>
      <c r="AM177" s="1302"/>
      <c r="AN177" s="1302" cm="1">
        <f t="array" ref="AN177">AM177</f>
        <v>0</v>
      </c>
      <c r="AO177" s="736">
        <f ca="1">IFERROR(AO167/AO182,0)</f>
        <v>0</v>
      </c>
      <c r="AP177" s="826"/>
      <c r="AQ177" s="826" cm="1">
        <f t="array" ref="AQ177">AP177</f>
        <v>0</v>
      </c>
      <c r="AR177" s="736">
        <f ca="1">IFERROR(AR167/AR182,0)</f>
        <v>0</v>
      </c>
      <c r="AS177" s="826"/>
      <c r="AT177" s="826" cm="1">
        <f t="array" ref="AT177">AS177</f>
        <v>0</v>
      </c>
      <c r="AU177" s="736">
        <f ca="1">IFERROR(AU167/AU182,0)</f>
        <v>0</v>
      </c>
      <c r="AV177" s="826"/>
      <c r="AW177" s="826" cm="1">
        <f t="array" ref="AW177">AV177</f>
        <v>0</v>
      </c>
      <c r="AX177" s="736">
        <f ca="1">IFERROR(AX167/AX182,0)</f>
        <v>0</v>
      </c>
      <c r="AY177" s="826"/>
      <c r="AZ177" s="826" cm="1">
        <f t="array" ref="AZ177">AY177</f>
        <v>0</v>
      </c>
      <c r="BA177" s="736">
        <f ca="1">IFERROR(BA167/BA182,0)</f>
        <v>0</v>
      </c>
      <c r="BB177" s="1302"/>
      <c r="BC177" s="1302" cm="1">
        <f t="array" ref="BC177">BB177</f>
        <v>0</v>
      </c>
      <c r="BD177" s="736">
        <f ca="1">IFERROR(BD167/BD182,0)</f>
        <v>0</v>
      </c>
      <c r="BE177" s="1302"/>
      <c r="BF177" s="1302" cm="1">
        <f t="array" ref="BF177">BE177</f>
        <v>0</v>
      </c>
      <c r="BG177" s="736">
        <f ca="1">IFERROR(BG167/BG182,0)</f>
        <v>0</v>
      </c>
      <c r="BH177" s="1302"/>
      <c r="BI177" s="1302" cm="1">
        <f t="array" ref="BI177">BH177</f>
        <v>0</v>
      </c>
      <c r="BJ177" s="736">
        <f ca="1">IFERROR(BJ167/BJ182,0)</f>
        <v>0</v>
      </c>
      <c r="BK177" s="1302"/>
      <c r="BL177" s="1302" cm="1">
        <f t="array" ref="BL177">BK177</f>
        <v>0</v>
      </c>
      <c r="BM177" s="736">
        <f ca="1">IFERROR(BM167/BM182,0)</f>
        <v>0</v>
      </c>
      <c r="BN177" s="1302"/>
      <c r="BO177" s="1302" cm="1">
        <f t="array" ref="BO177">BN177</f>
        <v>0</v>
      </c>
      <c r="BP177" s="736">
        <f ca="1">IFERROR(BP167/BP182,0)</f>
        <v>0.73237102397430198</v>
      </c>
      <c r="BQ177" s="826">
        <v>0.73237102397430198</v>
      </c>
      <c r="BR177" s="826" cm="1">
        <f t="array" ref="BR177">BQ177</f>
        <v>0.73237102397430198</v>
      </c>
      <c r="BS177" s="736">
        <f ca="1">IFERROR(BS167/BS182,0)</f>
        <v>0</v>
      </c>
      <c r="BT177" s="826"/>
      <c r="BU177" s="826" cm="1">
        <f t="array" ref="BU177">BT177</f>
        <v>0</v>
      </c>
      <c r="BV177" s="736">
        <f ca="1">IFERROR(BV167/BV182,0)</f>
        <v>0</v>
      </c>
      <c r="BW177" s="826"/>
      <c r="BX177" s="826" cm="1">
        <f t="array" ref="BX177">BW177</f>
        <v>0</v>
      </c>
      <c r="BY177" s="736">
        <f ca="1">IFERROR(BY167/BY182,0)</f>
        <v>0</v>
      </c>
      <c r="BZ177" s="826"/>
      <c r="CA177" s="826" cm="1">
        <f t="array" ref="CA177">BZ177</f>
        <v>0</v>
      </c>
      <c r="CB177" s="736">
        <f ca="1">IFERROR(CB167/CB182,0)</f>
        <v>0</v>
      </c>
      <c r="CC177" s="826"/>
      <c r="CD177" s="826" cm="1">
        <f t="array" ref="CD177">CC177</f>
        <v>0</v>
      </c>
      <c r="CE177" s="736">
        <f ca="1">IFERROR(CE167/CE182,0)</f>
        <v>0</v>
      </c>
      <c r="CF177" s="1302"/>
      <c r="CG177" s="1302" cm="1">
        <f t="array" ref="CG177">CF177</f>
        <v>0</v>
      </c>
      <c r="CH177" s="736">
        <f ca="1">IFERROR(CH167/CH182,0)</f>
        <v>0</v>
      </c>
      <c r="CI177" s="1302"/>
      <c r="CJ177" s="1302" cm="1">
        <f t="array" ref="CJ177">CI177</f>
        <v>0</v>
      </c>
      <c r="CK177" s="736">
        <f ca="1">IFERROR(CK167/CK182,0)</f>
        <v>0</v>
      </c>
      <c r="CL177" s="1302"/>
      <c r="CM177" s="1302" cm="1">
        <f t="array" ref="CM177">CL177</f>
        <v>0</v>
      </c>
      <c r="CN177" s="736">
        <f ca="1">IFERROR(CN167/CN182,0)</f>
        <v>0</v>
      </c>
      <c r="CO177" s="1302"/>
      <c r="CP177" s="1302" cm="1">
        <f t="array" ref="CP177">CO177</f>
        <v>0</v>
      </c>
      <c r="CQ177" s="736">
        <f ca="1">IFERROR(CQ167/CQ182,0)</f>
        <v>0</v>
      </c>
      <c r="CR177" s="1302"/>
      <c r="CS177" s="1302" cm="1">
        <f t="array" ref="CS177">CR177</f>
        <v>0</v>
      </c>
      <c r="CT177" s="1290"/>
      <c r="CW177" s="970" t="s">
        <v>826</v>
      </c>
      <c r="CX177" s="975" t="s">
        <v>821</v>
      </c>
      <c r="CY177" s="979" t="str" cm="1">
        <f t="array" ref="CY177">AE177</f>
        <v>Уголь длиннопламенный</v>
      </c>
      <c r="CZ177" s="979" t="str" cm="1">
        <f t="array" ref="CZ177">AF177</f>
        <v/>
      </c>
      <c r="DA177" s="976"/>
      <c r="DB177" s="976"/>
    </row>
    <row r="178" spans="1:106" s="1229" customFormat="1" ht="16.5" customHeight="1">
      <c r="E178" s="676">
        <v>17.100000000000001</v>
      </c>
      <c r="F178" s="779" t="str" cm="1">
        <f t="array" aca="1" ref="F178" ca="1">OFFSET(G178,-1,-1)</f>
        <v>1</v>
      </c>
      <c r="L178" s="779" t="b" cm="1">
        <f t="array" aca="1" ref="L178" ca="1">OFFSET(M178,-1,-1)</f>
        <v>0</v>
      </c>
      <c r="S178" s="110" t="b" cm="1">
        <f t="array" aca="1" ref="S178" ca="1">OFFSET(T178,-1,-1)</f>
        <v>1</v>
      </c>
      <c r="T178" s="110" t="b">
        <f>AD178&lt;&gt;"20.0"</f>
        <v>1</v>
      </c>
      <c r="U178" s="698" t="b">
        <f t="shared" ca="1" si="80"/>
        <v>1</v>
      </c>
      <c r="X178" s="110" t="str">
        <f>'Топливо 4.4'!$AE$173&amp;'Топливо 4.4'!$AF$173</f>
        <v>Уголь бурый</v>
      </c>
      <c r="Y178" s="1722"/>
      <c r="Z178" s="1722"/>
      <c r="AB178" s="1787"/>
      <c r="AD178" s="111" t="s">
        <v>936</v>
      </c>
      <c r="AE178" s="821" t="str" cm="1">
        <f t="array" ref="AE178">IF(ISBLANK('Топливо 4.4'!$AE$173),"",'Топливо 4.4'!$AE$173)</f>
        <v>Уголь бурый</v>
      </c>
      <c r="AF178" s="524" t="str" cm="1">
        <f t="array" ref="AF178">IF(ISBLANK('Топливо 4.4'!$AF$173),"",'Топливо 4.4'!$AF$173)</f>
        <v/>
      </c>
      <c r="AG178" s="622"/>
      <c r="AH178" s="1303"/>
      <c r="AI178" s="1302"/>
      <c r="AJ178" s="1302"/>
      <c r="AK178" s="1302">
        <v>0.62817309380303099</v>
      </c>
      <c r="AL178" s="736">
        <f ca="1">IFERROR(AL168/AL183,0)</f>
        <v>0</v>
      </c>
      <c r="AM178" s="1302"/>
      <c r="AN178" s="1302" cm="1">
        <f t="array" ref="AN178">AM178</f>
        <v>0</v>
      </c>
      <c r="AO178" s="736">
        <f ca="1">IFERROR(AO168/AO183,0)</f>
        <v>0</v>
      </c>
      <c r="AP178" s="826"/>
      <c r="AQ178" s="826" cm="1">
        <f t="array" ref="AQ178">AP178</f>
        <v>0</v>
      </c>
      <c r="AR178" s="736">
        <f ca="1">IFERROR(AR168/AR183,0)</f>
        <v>0</v>
      </c>
      <c r="AS178" s="826"/>
      <c r="AT178" s="826" cm="1">
        <f t="array" ref="AT178">AS178</f>
        <v>0</v>
      </c>
      <c r="AU178" s="736">
        <f ca="1">IFERROR(AU168/AU183,0)</f>
        <v>0</v>
      </c>
      <c r="AV178" s="826"/>
      <c r="AW178" s="826" cm="1">
        <f t="array" ref="AW178">AV178</f>
        <v>0</v>
      </c>
      <c r="AX178" s="736">
        <f ca="1">IFERROR(AX168/AX183,0)</f>
        <v>0</v>
      </c>
      <c r="AY178" s="826"/>
      <c r="AZ178" s="826" cm="1">
        <f t="array" ref="AZ178">AY178</f>
        <v>0</v>
      </c>
      <c r="BA178" s="736">
        <f ca="1">IFERROR(BA168/BA183,0)</f>
        <v>0</v>
      </c>
      <c r="BB178" s="1302"/>
      <c r="BC178" s="1302" cm="1">
        <f t="array" ref="BC178">BB178</f>
        <v>0</v>
      </c>
      <c r="BD178" s="736">
        <f ca="1">IFERROR(BD168/BD183,0)</f>
        <v>0</v>
      </c>
      <c r="BE178" s="1302"/>
      <c r="BF178" s="1302" cm="1">
        <f t="array" ref="BF178">BE178</f>
        <v>0</v>
      </c>
      <c r="BG178" s="736">
        <f ca="1">IFERROR(BG168/BG183,0)</f>
        <v>0</v>
      </c>
      <c r="BH178" s="1302"/>
      <c r="BI178" s="1302" cm="1">
        <f t="array" ref="BI178">BH178</f>
        <v>0</v>
      </c>
      <c r="BJ178" s="736">
        <f ca="1">IFERROR(BJ168/BJ183,0)</f>
        <v>0</v>
      </c>
      <c r="BK178" s="1302"/>
      <c r="BL178" s="1302" cm="1">
        <f t="array" ref="BL178">BK178</f>
        <v>0</v>
      </c>
      <c r="BM178" s="736">
        <f ca="1">IFERROR(BM168/BM183,0)</f>
        <v>0</v>
      </c>
      <c r="BN178" s="1302"/>
      <c r="BO178" s="1302" cm="1">
        <f t="array" ref="BO178">BN178</f>
        <v>0</v>
      </c>
      <c r="BP178" s="736">
        <f ca="1">IFERROR(BP168/BP183,0)</f>
        <v>0</v>
      </c>
      <c r="BQ178" s="826"/>
      <c r="BR178" s="826" cm="1">
        <f t="array" ref="BR178">BQ178</f>
        <v>0</v>
      </c>
      <c r="BS178" s="736">
        <f ca="1">IFERROR(BS168/BS183,0)</f>
        <v>0</v>
      </c>
      <c r="BT178" s="826"/>
      <c r="BU178" s="826" cm="1">
        <f t="array" ref="BU178">BT178</f>
        <v>0</v>
      </c>
      <c r="BV178" s="736">
        <f ca="1">IFERROR(BV168/BV183,0)</f>
        <v>0</v>
      </c>
      <c r="BW178" s="826"/>
      <c r="BX178" s="826" cm="1">
        <f t="array" ref="BX178">BW178</f>
        <v>0</v>
      </c>
      <c r="BY178" s="736">
        <f ca="1">IFERROR(BY168/BY183,0)</f>
        <v>0</v>
      </c>
      <c r="BZ178" s="826"/>
      <c r="CA178" s="826" cm="1">
        <f t="array" ref="CA178">BZ178</f>
        <v>0</v>
      </c>
      <c r="CB178" s="736">
        <f ca="1">IFERROR(CB168/CB183,0)</f>
        <v>0</v>
      </c>
      <c r="CC178" s="826"/>
      <c r="CD178" s="826" cm="1">
        <f t="array" ref="CD178">CC178</f>
        <v>0</v>
      </c>
      <c r="CE178" s="736">
        <f ca="1">IFERROR(CE168/CE183,0)</f>
        <v>0</v>
      </c>
      <c r="CF178" s="1302"/>
      <c r="CG178" s="1302" cm="1">
        <f t="array" ref="CG178">CF178</f>
        <v>0</v>
      </c>
      <c r="CH178" s="736">
        <f ca="1">IFERROR(CH168/CH183,0)</f>
        <v>0</v>
      </c>
      <c r="CI178" s="1302"/>
      <c r="CJ178" s="1302" cm="1">
        <f t="array" ref="CJ178">CI178</f>
        <v>0</v>
      </c>
      <c r="CK178" s="736">
        <f ca="1">IFERROR(CK168/CK183,0)</f>
        <v>0</v>
      </c>
      <c r="CL178" s="1302"/>
      <c r="CM178" s="1302" cm="1">
        <f t="array" ref="CM178">CL178</f>
        <v>0</v>
      </c>
      <c r="CN178" s="736">
        <f ca="1">IFERROR(CN168/CN183,0)</f>
        <v>0</v>
      </c>
      <c r="CO178" s="1302"/>
      <c r="CP178" s="1302" cm="1">
        <f t="array" ref="CP178">CO178</f>
        <v>0</v>
      </c>
      <c r="CQ178" s="736">
        <f ca="1">IFERROR(CQ168/CQ183,0)</f>
        <v>0</v>
      </c>
      <c r="CR178" s="1302"/>
      <c r="CS178" s="1302" cm="1">
        <f t="array" ref="CS178">CR178</f>
        <v>0</v>
      </c>
      <c r="CT178" s="1290"/>
      <c r="CW178" s="970" t="s">
        <v>826</v>
      </c>
      <c r="CX178" s="975" t="s">
        <v>821</v>
      </c>
      <c r="CY178" s="979" t="str" cm="1">
        <f t="array" ref="CY178">AE178</f>
        <v>Уголь бурый</v>
      </c>
      <c r="CZ178" s="979" t="str" cm="1">
        <f t="array" ref="CZ178">AF178</f>
        <v/>
      </c>
      <c r="DA178" s="976"/>
      <c r="DB178" s="976"/>
    </row>
    <row r="179" spans="1:106" s="1229" customFormat="1" ht="17.25" hidden="1" customHeight="1">
      <c r="A179" s="1155"/>
      <c r="B179" s="783"/>
      <c r="C179" s="1155"/>
      <c r="D179" s="1155"/>
      <c r="E179" s="676">
        <v>0</v>
      </c>
      <c r="F179" s="779" t="str" cm="1">
        <f t="array" aca="1" ref="F179" ca="1">OFFSET(G179,-1,-1)</f>
        <v>1</v>
      </c>
      <c r="G179" s="814"/>
      <c r="H179" s="814"/>
      <c r="I179" s="814"/>
      <c r="J179" s="814"/>
      <c r="K179" s="814"/>
      <c r="L179" s="779" t="b" cm="1">
        <f t="array" aca="1" ref="L179" ca="1">OFFSET(M179,-1,-1)</f>
        <v>0</v>
      </c>
      <c r="M179" s="814"/>
      <c r="N179" s="814"/>
      <c r="O179" s="814"/>
      <c r="P179" s="814"/>
      <c r="Q179" s="814"/>
      <c r="R179" s="1155"/>
      <c r="S179" s="110" t="b" cm="1">
        <f t="array" aca="1" ref="S179" ca="1">OFFSET(T179,-1,-1)</f>
        <v>1</v>
      </c>
      <c r="T179" s="1155"/>
      <c r="U179" s="698" t="b">
        <f t="shared" ca="1" si="80"/>
        <v>1</v>
      </c>
      <c r="V179" s="1155"/>
      <c r="W179" s="1155"/>
      <c r="X179" s="820" t="str">
        <f>"{                  
         funcDyn: 'msg1',
         blok: 'blok_2',
         wsCross: 'Топливо 4.4',
         linkFormula: 'AE-AE#AF-AF',
         levelDyn: "&amp;Y139&amp;"
}"</f>
        <v>{                  
         funcDyn: 'msg1',
         blok: 'blok_2',
         wsCross: 'Топливо 4.4',
         linkFormula: 'AE-AE#AF-AF',
         levelDyn: 1
}</v>
      </c>
      <c r="Y179" s="1687"/>
      <c r="Z179" s="1687"/>
      <c r="AA179" s="699"/>
      <c r="AB179" s="1787"/>
      <c r="AD179" s="823"/>
      <c r="AE179" s="822" t="s">
        <v>238</v>
      </c>
      <c r="AF179" s="745"/>
      <c r="AG179" s="853"/>
      <c r="AH179" s="735"/>
      <c r="AI179" s="737"/>
      <c r="AJ179" s="737"/>
      <c r="AK179" s="737"/>
      <c r="AL179" s="737"/>
      <c r="AM179" s="737"/>
      <c r="AN179" s="737"/>
      <c r="AO179" s="737"/>
      <c r="AP179" s="737"/>
      <c r="AQ179" s="737"/>
      <c r="AR179" s="737"/>
      <c r="AS179" s="737"/>
      <c r="AT179" s="737"/>
      <c r="AU179" s="737"/>
      <c r="AV179" s="737"/>
      <c r="AW179" s="737"/>
      <c r="AX179" s="737"/>
      <c r="AY179" s="737"/>
      <c r="AZ179" s="737"/>
      <c r="BA179" s="737"/>
      <c r="BB179" s="737"/>
      <c r="BC179" s="737"/>
      <c r="BD179" s="737"/>
      <c r="BE179" s="737"/>
      <c r="BF179" s="737"/>
      <c r="BG179" s="737"/>
      <c r="BH179" s="737"/>
      <c r="BI179" s="737"/>
      <c r="BJ179" s="737"/>
      <c r="BK179" s="737"/>
      <c r="BL179" s="737"/>
      <c r="BM179" s="737"/>
      <c r="BN179" s="737"/>
      <c r="BO179" s="737"/>
      <c r="BP179" s="737"/>
      <c r="BQ179" s="737"/>
      <c r="BR179" s="737"/>
      <c r="BS179" s="737"/>
      <c r="BT179" s="737"/>
      <c r="BU179" s="737"/>
      <c r="BV179" s="737"/>
      <c r="BW179" s="737"/>
      <c r="BX179" s="737"/>
      <c r="BY179" s="737"/>
      <c r="BZ179" s="737"/>
      <c r="CA179" s="737"/>
      <c r="CB179" s="737"/>
      <c r="CC179" s="737"/>
      <c r="CD179" s="737"/>
      <c r="CE179" s="737"/>
      <c r="CF179" s="737"/>
      <c r="CG179" s="737"/>
      <c r="CH179" s="737"/>
      <c r="CI179" s="737"/>
      <c r="CJ179" s="737"/>
      <c r="CK179" s="737"/>
      <c r="CL179" s="737"/>
      <c r="CM179" s="737"/>
      <c r="CN179" s="737"/>
      <c r="CO179" s="737"/>
      <c r="CP179" s="737"/>
      <c r="CQ179" s="737"/>
      <c r="CR179" s="737"/>
      <c r="CS179" s="737"/>
      <c r="CT179" s="46"/>
      <c r="CW179" s="970" t="str">
        <f>IF(AND(ISNUMBER(VALUE(TRIM(SUBSTITUTE(AD179,".","")))),TRIM(SUBSTITUTE(AD179,".",""))&lt;&gt;""),"P"&amp;SUBSTITUTE(AD179,".",""),"")</f>
        <v/>
      </c>
      <c r="CX179" s="975"/>
      <c r="CY179" s="975"/>
      <c r="CZ179" s="975"/>
      <c r="DA179" s="976"/>
      <c r="DB179" s="976"/>
    </row>
    <row r="180" spans="1:106" s="1229" customFormat="1" ht="16.5" customHeight="1">
      <c r="A180" s="1155"/>
      <c r="B180" s="783"/>
      <c r="C180" s="1155"/>
      <c r="D180" s="1155"/>
      <c r="E180" s="676">
        <v>17.100000000000001</v>
      </c>
      <c r="F180" s="779" t="str" cm="1">
        <f t="array" aca="1" ref="F180" ca="1">OFFSET(G180,-1,-1)</f>
        <v>1</v>
      </c>
      <c r="G180" s="814"/>
      <c r="H180" s="814"/>
      <c r="I180" s="814"/>
      <c r="J180" s="814"/>
      <c r="K180" s="814"/>
      <c r="L180" s="779" t="b" cm="1">
        <f t="array" aca="1" ref="L180" ca="1">OFFSET(M180,-1,-1)</f>
        <v>0</v>
      </c>
      <c r="M180" s="814"/>
      <c r="N180" s="814"/>
      <c r="O180" s="814"/>
      <c r="P180" s="814"/>
      <c r="Q180" s="814"/>
      <c r="R180" s="1155"/>
      <c r="S180" s="110" t="b" cm="1">
        <f t="array" aca="1" ref="S180" ca="1">OFFSET(T180,-1,-1)</f>
        <v>1</v>
      </c>
      <c r="T180" s="1155"/>
      <c r="U180" s="698" t="b">
        <f t="shared" ca="1" si="80"/>
        <v>1</v>
      </c>
      <c r="V180" s="1155"/>
      <c r="W180" s="1155"/>
      <c r="X180" s="1155"/>
      <c r="Y180" s="1687"/>
      <c r="Z180" s="1687"/>
      <c r="AA180" s="699"/>
      <c r="AB180" s="1787"/>
      <c r="AD180" s="111">
        <v>21</v>
      </c>
      <c r="AE180" s="1775" t="s">
        <v>828</v>
      </c>
      <c r="AF180" s="1776"/>
      <c r="AG180" s="622"/>
      <c r="AH180" s="735"/>
      <c r="AI180" s="737"/>
      <c r="AJ180" s="737"/>
      <c r="AK180" s="737"/>
      <c r="AL180" s="737"/>
      <c r="AM180" s="737"/>
      <c r="AN180" s="737"/>
      <c r="AO180" s="737"/>
      <c r="AP180" s="737"/>
      <c r="AQ180" s="737"/>
      <c r="AR180" s="737"/>
      <c r="AS180" s="737"/>
      <c r="AT180" s="737"/>
      <c r="AU180" s="737"/>
      <c r="AV180" s="737"/>
      <c r="AW180" s="737"/>
      <c r="AX180" s="737"/>
      <c r="AY180" s="737"/>
      <c r="AZ180" s="737"/>
      <c r="BA180" s="737"/>
      <c r="BB180" s="737"/>
      <c r="BC180" s="737"/>
      <c r="BD180" s="737"/>
      <c r="BE180" s="737"/>
      <c r="BF180" s="737"/>
      <c r="BG180" s="737"/>
      <c r="BH180" s="737"/>
      <c r="BI180" s="737"/>
      <c r="BJ180" s="737"/>
      <c r="BK180" s="737"/>
      <c r="BL180" s="737"/>
      <c r="BM180" s="737"/>
      <c r="BN180" s="737"/>
      <c r="BO180" s="737"/>
      <c r="BP180" s="737"/>
      <c r="BQ180" s="737"/>
      <c r="BR180" s="737"/>
      <c r="BS180" s="737"/>
      <c r="BT180" s="737"/>
      <c r="BU180" s="737"/>
      <c r="BV180" s="737"/>
      <c r="BW180" s="737"/>
      <c r="BX180" s="737"/>
      <c r="BY180" s="737"/>
      <c r="BZ180" s="737"/>
      <c r="CA180" s="737"/>
      <c r="CB180" s="737"/>
      <c r="CC180" s="737"/>
      <c r="CD180" s="737"/>
      <c r="CE180" s="737"/>
      <c r="CF180" s="737"/>
      <c r="CG180" s="737"/>
      <c r="CH180" s="737"/>
      <c r="CI180" s="737"/>
      <c r="CJ180" s="737"/>
      <c r="CK180" s="737"/>
      <c r="CL180" s="737"/>
      <c r="CM180" s="737"/>
      <c r="CN180" s="737"/>
      <c r="CO180" s="737"/>
      <c r="CP180" s="737"/>
      <c r="CQ180" s="737"/>
      <c r="CR180" s="737"/>
      <c r="CS180" s="737"/>
      <c r="CT180" s="1290"/>
      <c r="CW180" s="970" t="s">
        <v>829</v>
      </c>
      <c r="CX180" s="975"/>
      <c r="CY180" s="975"/>
      <c r="CZ180" s="975"/>
      <c r="DA180" s="976"/>
      <c r="DB180" s="976"/>
    </row>
    <row r="181" spans="1:106" s="1229" customFormat="1" ht="16.5" hidden="1" customHeight="1">
      <c r="E181" s="676">
        <v>17.100000000000001</v>
      </c>
      <c r="F181" s="779" t="str" cm="1">
        <f t="array" aca="1" ref="F181" ca="1">OFFSET(G181,-1,-1)</f>
        <v>1</v>
      </c>
      <c r="L181" s="779" t="b" cm="1">
        <f t="array" aca="1" ref="L181" ca="1">OFFSET(M181,-1,-1)</f>
        <v>0</v>
      </c>
      <c r="S181" s="110" t="b" cm="1">
        <f t="array" aca="1" ref="S181" ca="1">OFFSET(T181,-1,-1)</f>
        <v>1</v>
      </c>
      <c r="T181" s="110" t="b">
        <f>AD181&lt;&gt;"21.0"</f>
        <v>0</v>
      </c>
      <c r="U181" s="698" t="b">
        <f t="shared" ca="1" si="80"/>
        <v>0</v>
      </c>
      <c r="X181" s="110" t="s">
        <v>236</v>
      </c>
      <c r="Y181" s="1722"/>
      <c r="Z181" s="1722"/>
      <c r="AB181" s="1787"/>
      <c r="AD181" s="111" t="s">
        <v>830</v>
      </c>
      <c r="AE181" s="821"/>
      <c r="AF181" s="524"/>
      <c r="AG181" s="894" t="str">
        <f>IFERROR(INDEX(fuel_ed_izm_list,MATCH(AE181,fuel_list,0)),"тнт")</f>
        <v>тнт</v>
      </c>
      <c r="AH181" s="42">
        <f>IFERROR(AH166/AH176,0)</f>
        <v>0</v>
      </c>
      <c r="AI181" s="42"/>
      <c r="AJ181" s="42"/>
      <c r="AK181" s="42">
        <f>IFERROR(AK166/AK176,0)</f>
        <v>0</v>
      </c>
      <c r="AL181" s="734">
        <f ca="1">AM181+AN181</f>
        <v>0</v>
      </c>
      <c r="AM181" s="42">
        <f t="shared" ref="AM181:AN183" si="109">IFERROR(AM166/AM176,0)</f>
        <v>0</v>
      </c>
      <c r="AN181" s="42">
        <f t="shared" ca="1" si="109"/>
        <v>0</v>
      </c>
      <c r="AO181" s="734">
        <f ca="1">AP181+AQ181</f>
        <v>0</v>
      </c>
      <c r="AP181" s="826">
        <f t="shared" ref="AP181:AQ183" si="110">IFERROR(AP166/AP176,0)</f>
        <v>0</v>
      </c>
      <c r="AQ181" s="826">
        <f t="shared" ca="1" si="110"/>
        <v>0</v>
      </c>
      <c r="AR181" s="734">
        <f ca="1">AS181+AT181</f>
        <v>0</v>
      </c>
      <c r="AS181" s="826">
        <f t="shared" ref="AS181:AT183" si="111">IFERROR(AS166/AS176,0)</f>
        <v>0</v>
      </c>
      <c r="AT181" s="826">
        <f t="shared" ca="1" si="111"/>
        <v>0</v>
      </c>
      <c r="AU181" s="734">
        <f ca="1">AV181+AW181</f>
        <v>0</v>
      </c>
      <c r="AV181" s="826">
        <f t="shared" ref="AV181:AW183" si="112">IFERROR(AV166/AV176,0)</f>
        <v>0</v>
      </c>
      <c r="AW181" s="826">
        <f t="shared" ca="1" si="112"/>
        <v>0</v>
      </c>
      <c r="AX181" s="734">
        <f ca="1">AY181+AZ181</f>
        <v>0</v>
      </c>
      <c r="AY181" s="826">
        <f t="shared" ref="AY181:AZ183" si="113">IFERROR(AY166/AY176,0)</f>
        <v>0</v>
      </c>
      <c r="AZ181" s="826">
        <f t="shared" ca="1" si="113"/>
        <v>0</v>
      </c>
      <c r="BA181" s="734">
        <f ca="1">BB181+BC181</f>
        <v>0</v>
      </c>
      <c r="BB181" s="42">
        <f t="shared" ref="BB181:BC183" si="114">IFERROR(BB166/BB176,0)</f>
        <v>0</v>
      </c>
      <c r="BC181" s="42">
        <f t="shared" ca="1" si="114"/>
        <v>0</v>
      </c>
      <c r="BD181" s="734">
        <f ca="1">BE181+BF181</f>
        <v>0</v>
      </c>
      <c r="BE181" s="42">
        <f t="shared" ref="BE181:BF183" si="115">IFERROR(BE166/BE176,0)</f>
        <v>0</v>
      </c>
      <c r="BF181" s="42">
        <f t="shared" ca="1" si="115"/>
        <v>0</v>
      </c>
      <c r="BG181" s="734">
        <f ca="1">BH181+BI181</f>
        <v>0</v>
      </c>
      <c r="BH181" s="42">
        <f t="shared" ref="BH181:BI183" si="116">IFERROR(BH166/BH176,0)</f>
        <v>0</v>
      </c>
      <c r="BI181" s="42">
        <f t="shared" ca="1" si="116"/>
        <v>0</v>
      </c>
      <c r="BJ181" s="734">
        <f ca="1">BK181+BL181</f>
        <v>0</v>
      </c>
      <c r="BK181" s="42">
        <f t="shared" ref="BK181:BL183" si="117">IFERROR(BK166/BK176,0)</f>
        <v>0</v>
      </c>
      <c r="BL181" s="42">
        <f t="shared" ca="1" si="117"/>
        <v>0</v>
      </c>
      <c r="BM181" s="734">
        <f ca="1">BN181+BO181</f>
        <v>0</v>
      </c>
      <c r="BN181" s="42">
        <f t="shared" ref="BN181:BO183" si="118">IFERROR(BN166/BN176,0)</f>
        <v>0</v>
      </c>
      <c r="BO181" s="42">
        <f t="shared" ca="1" si="118"/>
        <v>0</v>
      </c>
      <c r="BP181" s="734">
        <f ca="1">BQ181+BR181</f>
        <v>0</v>
      </c>
      <c r="BQ181" s="826">
        <f t="shared" ref="BQ181:BR183" si="119">IFERROR(BQ166/BQ176,0)</f>
        <v>0</v>
      </c>
      <c r="BR181" s="826">
        <f t="shared" ca="1" si="119"/>
        <v>0</v>
      </c>
      <c r="BS181" s="734">
        <f ca="1">BT181+BU181</f>
        <v>0</v>
      </c>
      <c r="BT181" s="826">
        <f t="shared" ref="BT181:BU183" si="120">IFERROR(BT166/BT176,0)</f>
        <v>0</v>
      </c>
      <c r="BU181" s="826">
        <f t="shared" ca="1" si="120"/>
        <v>0</v>
      </c>
      <c r="BV181" s="734">
        <f ca="1">BW181+BX181</f>
        <v>0</v>
      </c>
      <c r="BW181" s="826">
        <f t="shared" ref="BW181:BX183" si="121">IFERROR(BW166/BW176,0)</f>
        <v>0</v>
      </c>
      <c r="BX181" s="826">
        <f t="shared" ca="1" si="121"/>
        <v>0</v>
      </c>
      <c r="BY181" s="734">
        <f ca="1">BZ181+CA181</f>
        <v>0</v>
      </c>
      <c r="BZ181" s="826">
        <f t="shared" ref="BZ181:CA183" si="122">IFERROR(BZ166/BZ176,0)</f>
        <v>0</v>
      </c>
      <c r="CA181" s="826">
        <f t="shared" ca="1" si="122"/>
        <v>0</v>
      </c>
      <c r="CB181" s="734">
        <f ca="1">CC181+CD181</f>
        <v>0</v>
      </c>
      <c r="CC181" s="826">
        <f t="shared" ref="CC181:CD183" si="123">IFERROR(CC166/CC176,0)</f>
        <v>0</v>
      </c>
      <c r="CD181" s="826">
        <f t="shared" ca="1" si="123"/>
        <v>0</v>
      </c>
      <c r="CE181" s="734">
        <f ca="1">CF181+CG181</f>
        <v>0</v>
      </c>
      <c r="CF181" s="42">
        <f t="shared" ref="CF181:CG183" si="124">IFERROR(CF166/CF176,0)</f>
        <v>0</v>
      </c>
      <c r="CG181" s="42">
        <f t="shared" ca="1" si="124"/>
        <v>0</v>
      </c>
      <c r="CH181" s="734">
        <f ca="1">CI181+CJ181</f>
        <v>0</v>
      </c>
      <c r="CI181" s="42">
        <f t="shared" ref="CI181:CJ183" si="125">IFERROR(CI166/CI176,0)</f>
        <v>0</v>
      </c>
      <c r="CJ181" s="42">
        <f t="shared" ca="1" si="125"/>
        <v>0</v>
      </c>
      <c r="CK181" s="734">
        <f ca="1">CL181+CM181</f>
        <v>0</v>
      </c>
      <c r="CL181" s="42">
        <f t="shared" ref="CL181:CM183" si="126">IFERROR(CL166/CL176,0)</f>
        <v>0</v>
      </c>
      <c r="CM181" s="42">
        <f t="shared" ca="1" si="126"/>
        <v>0</v>
      </c>
      <c r="CN181" s="734">
        <f ca="1">CO181+CP181</f>
        <v>0</v>
      </c>
      <c r="CO181" s="42">
        <f t="shared" ref="CO181:CP183" si="127">IFERROR(CO166/CO176,0)</f>
        <v>0</v>
      </c>
      <c r="CP181" s="42">
        <f t="shared" ca="1" si="127"/>
        <v>0</v>
      </c>
      <c r="CQ181" s="734">
        <f ca="1">CR181+CS181</f>
        <v>0</v>
      </c>
      <c r="CR181" s="42">
        <f t="shared" ref="CR181:CS183" si="128">IFERROR(CR166/CR176,0)</f>
        <v>0</v>
      </c>
      <c r="CS181" s="42">
        <f t="shared" ca="1" si="128"/>
        <v>0</v>
      </c>
      <c r="CT181" s="28"/>
      <c r="CW181" s="970" t="s">
        <v>829</v>
      </c>
      <c r="CX181" s="975" t="s">
        <v>821</v>
      </c>
      <c r="CY181" s="979" cm="1">
        <f t="array" ref="CY181">AE181</f>
        <v>0</v>
      </c>
      <c r="CZ181" s="979" cm="1">
        <f t="array" ref="CZ181">AF181</f>
        <v>0</v>
      </c>
      <c r="DA181" s="976"/>
      <c r="DB181" s="976"/>
    </row>
    <row r="182" spans="1:106" s="1229" customFormat="1" ht="16.5" customHeight="1">
      <c r="E182" s="676">
        <v>17.100000000000001</v>
      </c>
      <c r="F182" s="779" t="str" cm="1">
        <f t="array" aca="1" ref="F182" ca="1">OFFSET(G182,-1,-1)</f>
        <v>1</v>
      </c>
      <c r="L182" s="779" t="b" cm="1">
        <f t="array" aca="1" ref="L182" ca="1">OFFSET(M182,-1,-1)</f>
        <v>0</v>
      </c>
      <c r="S182" s="110" t="b" cm="1">
        <f t="array" aca="1" ref="S182" ca="1">OFFSET(T182,-1,-1)</f>
        <v>1</v>
      </c>
      <c r="T182" s="110" t="b">
        <f>AD182&lt;&gt;"21.0"</f>
        <v>1</v>
      </c>
      <c r="U182" s="698" t="b">
        <f t="shared" ca="1" si="80"/>
        <v>1</v>
      </c>
      <c r="X182" s="110" t="str">
        <f>'Топливо 4.4'!$AE$177&amp;'Топливо 4.4'!$AF$177</f>
        <v>Уголь длиннопламенный</v>
      </c>
      <c r="Y182" s="1722"/>
      <c r="Z182" s="1722"/>
      <c r="AB182" s="1787"/>
      <c r="AD182" s="111" t="s">
        <v>937</v>
      </c>
      <c r="AE182" s="821" t="str" cm="1">
        <f t="array" ref="AE182">IF(ISBLANK('Топливо 4.4'!$AE$177),"",'Топливо 4.4'!$AE$177)</f>
        <v>Уголь длиннопламенный</v>
      </c>
      <c r="AF182" s="524" t="str" cm="1">
        <f t="array" ref="AF182">IF(ISBLANK('Топливо 4.4'!$AF$177),"",'Топливо 4.4'!$AF$177)</f>
        <v/>
      </c>
      <c r="AG182" s="894" t="str">
        <f>IFERROR(INDEX(fuel_ed_izm_list,MATCH(AE182,fuel_list,0)),"тнт")</f>
        <v>тнт</v>
      </c>
      <c r="AH182" s="1302">
        <f>IFERROR(AH167/AH177,0)</f>
        <v>0</v>
      </c>
      <c r="AI182" s="1302"/>
      <c r="AJ182" s="1302"/>
      <c r="AK182" s="1302">
        <f>IFERROR(AK167/AK177,0)</f>
        <v>35981.000013083991</v>
      </c>
      <c r="AL182" s="734">
        <f ca="1">AM182+AN182</f>
        <v>0</v>
      </c>
      <c r="AM182" s="1302">
        <f t="shared" si="109"/>
        <v>0</v>
      </c>
      <c r="AN182" s="1302">
        <f t="shared" ca="1" si="109"/>
        <v>0</v>
      </c>
      <c r="AO182" s="734">
        <f ca="1">AP182+AQ182</f>
        <v>0</v>
      </c>
      <c r="AP182" s="826">
        <f t="shared" si="110"/>
        <v>0</v>
      </c>
      <c r="AQ182" s="826">
        <f t="shared" ca="1" si="110"/>
        <v>0</v>
      </c>
      <c r="AR182" s="734">
        <f ca="1">AS182+AT182</f>
        <v>0</v>
      </c>
      <c r="AS182" s="826">
        <f t="shared" si="111"/>
        <v>0</v>
      </c>
      <c r="AT182" s="826">
        <f t="shared" ca="1" si="111"/>
        <v>0</v>
      </c>
      <c r="AU182" s="734">
        <f ca="1">AV182+AW182</f>
        <v>0</v>
      </c>
      <c r="AV182" s="826">
        <f t="shared" si="112"/>
        <v>0</v>
      </c>
      <c r="AW182" s="826">
        <f t="shared" ca="1" si="112"/>
        <v>0</v>
      </c>
      <c r="AX182" s="734">
        <f ca="1">AY182+AZ182</f>
        <v>0</v>
      </c>
      <c r="AY182" s="826">
        <f t="shared" si="113"/>
        <v>0</v>
      </c>
      <c r="AZ182" s="826">
        <f t="shared" ca="1" si="113"/>
        <v>0</v>
      </c>
      <c r="BA182" s="734">
        <f ca="1">BB182+BC182</f>
        <v>0</v>
      </c>
      <c r="BB182" s="1302">
        <f t="shared" si="114"/>
        <v>0</v>
      </c>
      <c r="BC182" s="1302">
        <f t="shared" ca="1" si="114"/>
        <v>0</v>
      </c>
      <c r="BD182" s="734">
        <f ca="1">BE182+BF182</f>
        <v>0</v>
      </c>
      <c r="BE182" s="1302">
        <f t="shared" si="115"/>
        <v>0</v>
      </c>
      <c r="BF182" s="1302">
        <f t="shared" ca="1" si="115"/>
        <v>0</v>
      </c>
      <c r="BG182" s="734">
        <f ca="1">BH182+BI182</f>
        <v>0</v>
      </c>
      <c r="BH182" s="1302">
        <f t="shared" si="116"/>
        <v>0</v>
      </c>
      <c r="BI182" s="1302">
        <f t="shared" ca="1" si="116"/>
        <v>0</v>
      </c>
      <c r="BJ182" s="734">
        <f ca="1">BK182+BL182</f>
        <v>0</v>
      </c>
      <c r="BK182" s="1302">
        <f t="shared" si="117"/>
        <v>0</v>
      </c>
      <c r="BL182" s="1302">
        <f t="shared" ca="1" si="117"/>
        <v>0</v>
      </c>
      <c r="BM182" s="734">
        <f ca="1">BN182+BO182</f>
        <v>0</v>
      </c>
      <c r="BN182" s="1302">
        <f t="shared" si="118"/>
        <v>0</v>
      </c>
      <c r="BO182" s="1302">
        <f t="shared" ca="1" si="118"/>
        <v>0</v>
      </c>
      <c r="BP182" s="734">
        <f ca="1">BQ182+BR182</f>
        <v>39457.528771665246</v>
      </c>
      <c r="BQ182" s="826">
        <f t="shared" si="119"/>
        <v>28226.427745262503</v>
      </c>
      <c r="BR182" s="826">
        <f t="shared" ca="1" si="119"/>
        <v>11231.101026402743</v>
      </c>
      <c r="BS182" s="734">
        <f ca="1">BT182+BU182</f>
        <v>0</v>
      </c>
      <c r="BT182" s="826">
        <f t="shared" si="120"/>
        <v>0</v>
      </c>
      <c r="BU182" s="826">
        <f t="shared" ca="1" si="120"/>
        <v>0</v>
      </c>
      <c r="BV182" s="734">
        <f ca="1">BW182+BX182</f>
        <v>0</v>
      </c>
      <c r="BW182" s="826">
        <f t="shared" si="121"/>
        <v>0</v>
      </c>
      <c r="BX182" s="826">
        <f t="shared" ca="1" si="121"/>
        <v>0</v>
      </c>
      <c r="BY182" s="734">
        <f ca="1">BZ182+CA182</f>
        <v>0</v>
      </c>
      <c r="BZ182" s="826">
        <f t="shared" si="122"/>
        <v>0</v>
      </c>
      <c r="CA182" s="826">
        <f t="shared" ca="1" si="122"/>
        <v>0</v>
      </c>
      <c r="CB182" s="734">
        <f ca="1">CC182+CD182</f>
        <v>0</v>
      </c>
      <c r="CC182" s="826">
        <f t="shared" si="123"/>
        <v>0</v>
      </c>
      <c r="CD182" s="826">
        <f t="shared" ca="1" si="123"/>
        <v>0</v>
      </c>
      <c r="CE182" s="734">
        <f ca="1">CF182+CG182</f>
        <v>0</v>
      </c>
      <c r="CF182" s="1302">
        <f t="shared" si="124"/>
        <v>0</v>
      </c>
      <c r="CG182" s="1302">
        <f t="shared" ca="1" si="124"/>
        <v>0</v>
      </c>
      <c r="CH182" s="734">
        <f ca="1">CI182+CJ182</f>
        <v>0</v>
      </c>
      <c r="CI182" s="1302">
        <f t="shared" si="125"/>
        <v>0</v>
      </c>
      <c r="CJ182" s="1302">
        <f t="shared" ca="1" si="125"/>
        <v>0</v>
      </c>
      <c r="CK182" s="734">
        <f ca="1">CL182+CM182</f>
        <v>0</v>
      </c>
      <c r="CL182" s="1302">
        <f t="shared" si="126"/>
        <v>0</v>
      </c>
      <c r="CM182" s="1302">
        <f t="shared" ca="1" si="126"/>
        <v>0</v>
      </c>
      <c r="CN182" s="734">
        <f ca="1">CO182+CP182</f>
        <v>0</v>
      </c>
      <c r="CO182" s="1302">
        <f t="shared" si="127"/>
        <v>0</v>
      </c>
      <c r="CP182" s="1302">
        <f t="shared" ca="1" si="127"/>
        <v>0</v>
      </c>
      <c r="CQ182" s="734">
        <f ca="1">CR182+CS182</f>
        <v>0</v>
      </c>
      <c r="CR182" s="1302">
        <f t="shared" si="128"/>
        <v>0</v>
      </c>
      <c r="CS182" s="1302">
        <f t="shared" ca="1" si="128"/>
        <v>0</v>
      </c>
      <c r="CT182" s="1290"/>
      <c r="CW182" s="970" t="s">
        <v>829</v>
      </c>
      <c r="CX182" s="975" t="s">
        <v>821</v>
      </c>
      <c r="CY182" s="979" t="str" cm="1">
        <f t="array" ref="CY182">AE182</f>
        <v>Уголь длиннопламенный</v>
      </c>
      <c r="CZ182" s="979" t="str" cm="1">
        <f t="array" ref="CZ182">AF182</f>
        <v/>
      </c>
      <c r="DA182" s="976"/>
      <c r="DB182" s="976"/>
    </row>
    <row r="183" spans="1:106" s="1229" customFormat="1" ht="16.5" customHeight="1">
      <c r="E183" s="676">
        <v>17.100000000000001</v>
      </c>
      <c r="F183" s="779" t="str" cm="1">
        <f t="array" aca="1" ref="F183" ca="1">OFFSET(G183,-1,-1)</f>
        <v>1</v>
      </c>
      <c r="L183" s="779" t="b" cm="1">
        <f t="array" aca="1" ref="L183" ca="1">OFFSET(M183,-1,-1)</f>
        <v>0</v>
      </c>
      <c r="S183" s="110" t="b" cm="1">
        <f t="array" aca="1" ref="S183" ca="1">OFFSET(T183,-1,-1)</f>
        <v>1</v>
      </c>
      <c r="T183" s="110" t="b">
        <f>AD183&lt;&gt;"21.0"</f>
        <v>1</v>
      </c>
      <c r="U183" s="698" t="b">
        <f t="shared" ca="1" si="80"/>
        <v>1</v>
      </c>
      <c r="X183" s="110" t="str">
        <f>'Топливо 4.4'!$AE$178&amp;'Топливо 4.4'!$AF$178</f>
        <v>Уголь бурый</v>
      </c>
      <c r="Y183" s="1722"/>
      <c r="Z183" s="1722"/>
      <c r="AB183" s="1787"/>
      <c r="AD183" s="111" t="s">
        <v>938</v>
      </c>
      <c r="AE183" s="821" t="str" cm="1">
        <f t="array" ref="AE183">IF(ISBLANK('Топливо 4.4'!$AE$178),"",'Топливо 4.4'!$AE$178)</f>
        <v>Уголь бурый</v>
      </c>
      <c r="AF183" s="524" t="str" cm="1">
        <f t="array" ref="AF183">IF(ISBLANK('Топливо 4.4'!$AF$178),"",'Топливо 4.4'!$AF$178)</f>
        <v/>
      </c>
      <c r="AG183" s="894" t="str">
        <f>IFERROR(INDEX(fuel_ed_izm_list,MATCH(AE183,fuel_list,0)),"тнт")</f>
        <v>тнт</v>
      </c>
      <c r="AH183" s="1302">
        <f>IFERROR(AH168/AH178,0)</f>
        <v>0</v>
      </c>
      <c r="AI183" s="1302"/>
      <c r="AJ183" s="1302"/>
      <c r="AK183" s="1302">
        <f>IFERROR(AK168/AK178,0)</f>
        <v>1023.0000003207704</v>
      </c>
      <c r="AL183" s="734">
        <f ca="1">AM183+AN183</f>
        <v>0</v>
      </c>
      <c r="AM183" s="1302">
        <f t="shared" si="109"/>
        <v>0</v>
      </c>
      <c r="AN183" s="1302">
        <f t="shared" ca="1" si="109"/>
        <v>0</v>
      </c>
      <c r="AO183" s="734">
        <f ca="1">AP183+AQ183</f>
        <v>0</v>
      </c>
      <c r="AP183" s="826">
        <f t="shared" si="110"/>
        <v>0</v>
      </c>
      <c r="AQ183" s="826">
        <f t="shared" ca="1" si="110"/>
        <v>0</v>
      </c>
      <c r="AR183" s="734">
        <f ca="1">AS183+AT183</f>
        <v>0</v>
      </c>
      <c r="AS183" s="826">
        <f t="shared" si="111"/>
        <v>0</v>
      </c>
      <c r="AT183" s="826">
        <f t="shared" ca="1" si="111"/>
        <v>0</v>
      </c>
      <c r="AU183" s="734">
        <f ca="1">AV183+AW183</f>
        <v>0</v>
      </c>
      <c r="AV183" s="826">
        <f t="shared" si="112"/>
        <v>0</v>
      </c>
      <c r="AW183" s="826">
        <f t="shared" ca="1" si="112"/>
        <v>0</v>
      </c>
      <c r="AX183" s="734">
        <f ca="1">AY183+AZ183</f>
        <v>0</v>
      </c>
      <c r="AY183" s="826">
        <f t="shared" si="113"/>
        <v>0</v>
      </c>
      <c r="AZ183" s="826">
        <f t="shared" ca="1" si="113"/>
        <v>0</v>
      </c>
      <c r="BA183" s="734">
        <f ca="1">BB183+BC183</f>
        <v>0</v>
      </c>
      <c r="BB183" s="1302">
        <f t="shared" si="114"/>
        <v>0</v>
      </c>
      <c r="BC183" s="1302">
        <f t="shared" ca="1" si="114"/>
        <v>0</v>
      </c>
      <c r="BD183" s="734">
        <f ca="1">BE183+BF183</f>
        <v>0</v>
      </c>
      <c r="BE183" s="1302">
        <f t="shared" si="115"/>
        <v>0</v>
      </c>
      <c r="BF183" s="1302">
        <f t="shared" ca="1" si="115"/>
        <v>0</v>
      </c>
      <c r="BG183" s="734">
        <f ca="1">BH183+BI183</f>
        <v>0</v>
      </c>
      <c r="BH183" s="1302">
        <f t="shared" si="116"/>
        <v>0</v>
      </c>
      <c r="BI183" s="1302">
        <f t="shared" ca="1" si="116"/>
        <v>0</v>
      </c>
      <c r="BJ183" s="734">
        <f ca="1">BK183+BL183</f>
        <v>0</v>
      </c>
      <c r="BK183" s="1302">
        <f t="shared" si="117"/>
        <v>0</v>
      </c>
      <c r="BL183" s="1302">
        <f t="shared" ca="1" si="117"/>
        <v>0</v>
      </c>
      <c r="BM183" s="734">
        <f ca="1">BN183+BO183</f>
        <v>0</v>
      </c>
      <c r="BN183" s="1302">
        <f t="shared" si="118"/>
        <v>0</v>
      </c>
      <c r="BO183" s="1302">
        <f t="shared" ca="1" si="118"/>
        <v>0</v>
      </c>
      <c r="BP183" s="734">
        <f ca="1">BQ183+BR183</f>
        <v>0</v>
      </c>
      <c r="BQ183" s="826">
        <f t="shared" si="119"/>
        <v>0</v>
      </c>
      <c r="BR183" s="826">
        <f t="shared" ca="1" si="119"/>
        <v>0</v>
      </c>
      <c r="BS183" s="734">
        <f ca="1">BT183+BU183</f>
        <v>0</v>
      </c>
      <c r="BT183" s="826">
        <f t="shared" si="120"/>
        <v>0</v>
      </c>
      <c r="BU183" s="826">
        <f t="shared" ca="1" si="120"/>
        <v>0</v>
      </c>
      <c r="BV183" s="734">
        <f ca="1">BW183+BX183</f>
        <v>0</v>
      </c>
      <c r="BW183" s="826">
        <f t="shared" si="121"/>
        <v>0</v>
      </c>
      <c r="BX183" s="826">
        <f t="shared" ca="1" si="121"/>
        <v>0</v>
      </c>
      <c r="BY183" s="734">
        <f ca="1">BZ183+CA183</f>
        <v>0</v>
      </c>
      <c r="BZ183" s="826">
        <f t="shared" si="122"/>
        <v>0</v>
      </c>
      <c r="CA183" s="826">
        <f t="shared" ca="1" si="122"/>
        <v>0</v>
      </c>
      <c r="CB183" s="734">
        <f ca="1">CC183+CD183</f>
        <v>0</v>
      </c>
      <c r="CC183" s="826">
        <f t="shared" si="123"/>
        <v>0</v>
      </c>
      <c r="CD183" s="826">
        <f t="shared" ca="1" si="123"/>
        <v>0</v>
      </c>
      <c r="CE183" s="734">
        <f ca="1">CF183+CG183</f>
        <v>0</v>
      </c>
      <c r="CF183" s="1302">
        <f t="shared" si="124"/>
        <v>0</v>
      </c>
      <c r="CG183" s="1302">
        <f t="shared" ca="1" si="124"/>
        <v>0</v>
      </c>
      <c r="CH183" s="734">
        <f ca="1">CI183+CJ183</f>
        <v>0</v>
      </c>
      <c r="CI183" s="1302">
        <f t="shared" si="125"/>
        <v>0</v>
      </c>
      <c r="CJ183" s="1302">
        <f t="shared" ca="1" si="125"/>
        <v>0</v>
      </c>
      <c r="CK183" s="734">
        <f ca="1">CL183+CM183</f>
        <v>0</v>
      </c>
      <c r="CL183" s="1302">
        <f t="shared" si="126"/>
        <v>0</v>
      </c>
      <c r="CM183" s="1302">
        <f t="shared" ca="1" si="126"/>
        <v>0</v>
      </c>
      <c r="CN183" s="734">
        <f ca="1">CO183+CP183</f>
        <v>0</v>
      </c>
      <c r="CO183" s="1302">
        <f t="shared" si="127"/>
        <v>0</v>
      </c>
      <c r="CP183" s="1302">
        <f t="shared" ca="1" si="127"/>
        <v>0</v>
      </c>
      <c r="CQ183" s="734">
        <f ca="1">CR183+CS183</f>
        <v>0</v>
      </c>
      <c r="CR183" s="1302">
        <f t="shared" si="128"/>
        <v>0</v>
      </c>
      <c r="CS183" s="1302">
        <f t="shared" ca="1" si="128"/>
        <v>0</v>
      </c>
      <c r="CT183" s="1290"/>
      <c r="CW183" s="970" t="s">
        <v>829</v>
      </c>
      <c r="CX183" s="975" t="s">
        <v>821</v>
      </c>
      <c r="CY183" s="979" t="str" cm="1">
        <f t="array" ref="CY183">AE183</f>
        <v>Уголь бурый</v>
      </c>
      <c r="CZ183" s="979" t="str" cm="1">
        <f t="array" ref="CZ183">AF183</f>
        <v/>
      </c>
      <c r="DA183" s="976"/>
      <c r="DB183" s="976"/>
    </row>
    <row r="184" spans="1:106" s="1229" customFormat="1" ht="17.25" hidden="1" customHeight="1">
      <c r="A184" s="1155"/>
      <c r="B184" s="783"/>
      <c r="C184" s="1155"/>
      <c r="D184" s="1155"/>
      <c r="E184" s="676">
        <v>0</v>
      </c>
      <c r="F184" s="779" t="str" cm="1">
        <f t="array" aca="1" ref="F184" ca="1">OFFSET(G184,-1,-1)</f>
        <v>1</v>
      </c>
      <c r="G184" s="814"/>
      <c r="H184" s="814"/>
      <c r="I184" s="814"/>
      <c r="J184" s="814"/>
      <c r="K184" s="814"/>
      <c r="L184" s="779" t="b" cm="1">
        <f t="array" aca="1" ref="L184" ca="1">OFFSET(M184,-1,-1)</f>
        <v>0</v>
      </c>
      <c r="M184" s="814"/>
      <c r="N184" s="814"/>
      <c r="O184" s="814"/>
      <c r="P184" s="814"/>
      <c r="Q184" s="814"/>
      <c r="R184" s="1155"/>
      <c r="S184" s="110" t="b" cm="1">
        <f t="array" aca="1" ref="S184" ca="1">OFFSET(T184,-1,-1)</f>
        <v>1</v>
      </c>
      <c r="T184" s="1155"/>
      <c r="U184" s="698" t="b">
        <f t="shared" ca="1" si="80"/>
        <v>1</v>
      </c>
      <c r="V184" s="1155"/>
      <c r="W184" s="1155"/>
      <c r="X184" s="820" t="str">
        <f>"{                  
         funcDyn: 'msg1',
         blok: 'blok_2',
         wsCross: 'Топливо 4.4',
         linkFormula: 'AE-AE#AF-AF',
         levelDyn: "&amp;Y139&amp;"
}"</f>
        <v>{                  
         funcDyn: 'msg1',
         blok: 'blok_2',
         wsCross: 'Топливо 4.4',
         linkFormula: 'AE-AE#AF-AF',
         levelDyn: 1
}</v>
      </c>
      <c r="Y184" s="1687"/>
      <c r="Z184" s="1687"/>
      <c r="AA184" s="699"/>
      <c r="AB184" s="1788"/>
      <c r="AD184" s="823"/>
      <c r="AE184" s="822" t="s">
        <v>238</v>
      </c>
      <c r="AF184" s="745"/>
      <c r="AG184" s="853"/>
      <c r="AH184" s="735"/>
      <c r="AI184" s="737"/>
      <c r="AJ184" s="737"/>
      <c r="AK184" s="737"/>
      <c r="AL184" s="735"/>
      <c r="AM184" s="737"/>
      <c r="AN184" s="737"/>
      <c r="AO184" s="735"/>
      <c r="AP184" s="737"/>
      <c r="AQ184" s="737"/>
      <c r="AR184" s="735"/>
      <c r="AS184" s="737"/>
      <c r="AT184" s="737"/>
      <c r="AU184" s="735"/>
      <c r="AV184" s="737"/>
      <c r="AW184" s="737"/>
      <c r="AX184" s="735"/>
      <c r="AY184" s="737"/>
      <c r="AZ184" s="737"/>
      <c r="BA184" s="735"/>
      <c r="BB184" s="737"/>
      <c r="BC184" s="737"/>
      <c r="BD184" s="735"/>
      <c r="BE184" s="737"/>
      <c r="BF184" s="737"/>
      <c r="BG184" s="735"/>
      <c r="BH184" s="737"/>
      <c r="BI184" s="737"/>
      <c r="BJ184" s="735"/>
      <c r="BK184" s="737"/>
      <c r="BL184" s="737"/>
      <c r="BM184" s="735"/>
      <c r="BN184" s="737"/>
      <c r="BO184" s="737"/>
      <c r="BP184" s="735"/>
      <c r="BQ184" s="737"/>
      <c r="BR184" s="737"/>
      <c r="BS184" s="735"/>
      <c r="BT184" s="737"/>
      <c r="BU184" s="737"/>
      <c r="BV184" s="735"/>
      <c r="BW184" s="737"/>
      <c r="BX184" s="737"/>
      <c r="BY184" s="735"/>
      <c r="BZ184" s="737"/>
      <c r="CA184" s="737"/>
      <c r="CB184" s="735"/>
      <c r="CC184" s="737"/>
      <c r="CD184" s="737"/>
      <c r="CE184" s="735"/>
      <c r="CF184" s="737"/>
      <c r="CG184" s="737"/>
      <c r="CH184" s="735"/>
      <c r="CI184" s="737"/>
      <c r="CJ184" s="737"/>
      <c r="CK184" s="735"/>
      <c r="CL184" s="737"/>
      <c r="CM184" s="737"/>
      <c r="CN184" s="735"/>
      <c r="CO184" s="737"/>
      <c r="CP184" s="737"/>
      <c r="CQ184" s="735"/>
      <c r="CR184" s="737"/>
      <c r="CS184" s="737"/>
      <c r="CT184" s="46"/>
      <c r="CW184" s="970" t="str">
        <f>IF(AND(ISNUMBER(VALUE(TRIM(SUBSTITUTE(AD184,".","")))),TRIM(SUBSTITUTE(AD184,".",""))&lt;&gt;""),"P"&amp;SUBSTITUTE(AD184,".",""),"")</f>
        <v/>
      </c>
      <c r="CX184" s="975"/>
      <c r="CY184" s="975"/>
      <c r="CZ184" s="975"/>
      <c r="DA184" s="976"/>
      <c r="DB184" s="976"/>
    </row>
    <row r="185" spans="1:106" s="1229" customFormat="1" ht="16.5" customHeight="1">
      <c r="A185" s="1155"/>
      <c r="B185" s="783"/>
      <c r="C185" s="1155"/>
      <c r="D185" s="1155"/>
      <c r="E185" s="676">
        <v>17.100000000000001</v>
      </c>
      <c r="F185" s="779" t="str" cm="1">
        <f t="array" aca="1" ref="F185" ca="1">OFFSET(G185,-1,-1)</f>
        <v>1</v>
      </c>
      <c r="G185" s="814"/>
      <c r="H185" s="814"/>
      <c r="I185" s="814"/>
      <c r="J185" s="814"/>
      <c r="K185" s="814"/>
      <c r="L185" s="779" t="b" cm="1">
        <f t="array" aca="1" ref="L185" ca="1">OFFSET(M185,-1,-1)</f>
        <v>0</v>
      </c>
      <c r="M185" s="814"/>
      <c r="N185" s="814"/>
      <c r="O185" s="814"/>
      <c r="P185" s="814"/>
      <c r="Q185" s="814"/>
      <c r="R185" s="1155"/>
      <c r="S185" s="110" t="b" cm="1">
        <f t="array" aca="1" ref="S185" ca="1">OFFSET(T185,-1,-1)</f>
        <v>1</v>
      </c>
      <c r="T185" s="1155"/>
      <c r="U185" s="698" t="b">
        <f t="shared" ca="1" si="80"/>
        <v>1</v>
      </c>
      <c r="V185" s="1155"/>
      <c r="W185" s="1155"/>
      <c r="X185" s="1155"/>
      <c r="Y185" s="1687"/>
      <c r="Z185" s="1687"/>
      <c r="AA185" s="699"/>
      <c r="AB185" s="1783" t="s">
        <v>831</v>
      </c>
      <c r="AD185" s="111">
        <v>22</v>
      </c>
      <c r="AE185" s="1759" t="s">
        <v>832</v>
      </c>
      <c r="AF185" s="1760"/>
      <c r="AG185" s="622"/>
      <c r="AH185" s="735"/>
      <c r="AI185" s="737"/>
      <c r="AJ185" s="737"/>
      <c r="AK185" s="737"/>
      <c r="AL185" s="737"/>
      <c r="AM185" s="737"/>
      <c r="AN185" s="737"/>
      <c r="AO185" s="737"/>
      <c r="AP185" s="737"/>
      <c r="AQ185" s="737"/>
      <c r="AR185" s="737"/>
      <c r="AS185" s="737"/>
      <c r="AT185" s="737"/>
      <c r="AU185" s="737"/>
      <c r="AV185" s="737"/>
      <c r="AW185" s="737"/>
      <c r="AX185" s="737"/>
      <c r="AY185" s="737"/>
      <c r="AZ185" s="737"/>
      <c r="BA185" s="737"/>
      <c r="BB185" s="737"/>
      <c r="BC185" s="737"/>
      <c r="BD185" s="737"/>
      <c r="BE185" s="737"/>
      <c r="BF185" s="737"/>
      <c r="BG185" s="737"/>
      <c r="BH185" s="737"/>
      <c r="BI185" s="737"/>
      <c r="BJ185" s="737"/>
      <c r="BK185" s="737"/>
      <c r="BL185" s="737"/>
      <c r="BM185" s="737"/>
      <c r="BN185" s="737"/>
      <c r="BO185" s="737"/>
      <c r="BP185" s="737"/>
      <c r="BQ185" s="737"/>
      <c r="BR185" s="737"/>
      <c r="BS185" s="737"/>
      <c r="BT185" s="737"/>
      <c r="BU185" s="737"/>
      <c r="BV185" s="737"/>
      <c r="BW185" s="737"/>
      <c r="BX185" s="737"/>
      <c r="BY185" s="737"/>
      <c r="BZ185" s="737"/>
      <c r="CA185" s="737"/>
      <c r="CB185" s="737"/>
      <c r="CC185" s="737"/>
      <c r="CD185" s="737"/>
      <c r="CE185" s="737"/>
      <c r="CF185" s="737"/>
      <c r="CG185" s="737"/>
      <c r="CH185" s="737"/>
      <c r="CI185" s="737"/>
      <c r="CJ185" s="737"/>
      <c r="CK185" s="737"/>
      <c r="CL185" s="737"/>
      <c r="CM185" s="737"/>
      <c r="CN185" s="737"/>
      <c r="CO185" s="737"/>
      <c r="CP185" s="737"/>
      <c r="CQ185" s="737"/>
      <c r="CR185" s="737"/>
      <c r="CS185" s="737"/>
      <c r="CT185" s="1290"/>
      <c r="CW185" s="970" t="s">
        <v>833</v>
      </c>
      <c r="CX185" s="975"/>
      <c r="CY185" s="975"/>
      <c r="CZ185" s="975"/>
      <c r="DA185" s="976"/>
      <c r="DB185" s="976"/>
    </row>
    <row r="186" spans="1:106" s="1229" customFormat="1" ht="16.5" hidden="1" customHeight="1">
      <c r="E186" s="676">
        <v>17.100000000000001</v>
      </c>
      <c r="F186" s="779" t="str" cm="1">
        <f t="array" aca="1" ref="F186" ca="1">OFFSET(G186,-1,-1)</f>
        <v>1</v>
      </c>
      <c r="L186" s="779" t="b" cm="1">
        <f t="array" aca="1" ref="L186" ca="1">OFFSET(M186,-1,-1)</f>
        <v>0</v>
      </c>
      <c r="S186" s="110" t="b" cm="1">
        <f t="array" aca="1" ref="S186" ca="1">OFFSET(T186,-1,-1)</f>
        <v>1</v>
      </c>
      <c r="T186" s="110" t="b">
        <f>AD186&lt;&gt;"22.0"</f>
        <v>0</v>
      </c>
      <c r="U186" s="698" t="b">
        <f t="shared" ca="1" si="80"/>
        <v>0</v>
      </c>
      <c r="X186" s="110" t="s">
        <v>236</v>
      </c>
      <c r="Y186" s="1722"/>
      <c r="Z186" s="1722"/>
      <c r="AB186" s="1784"/>
      <c r="AD186" s="111" t="s">
        <v>834</v>
      </c>
      <c r="AE186" s="821"/>
      <c r="AF186" s="524"/>
      <c r="AG186" s="853" t="s">
        <v>533</v>
      </c>
      <c r="AH186" s="47"/>
      <c r="AI186" s="48"/>
      <c r="AJ186" s="48"/>
      <c r="AK186" s="48"/>
      <c r="AL186" s="873"/>
      <c r="AM186" s="48"/>
      <c r="AN186" s="48"/>
      <c r="AO186" s="873"/>
      <c r="AP186" s="872"/>
      <c r="AQ186" s="872"/>
      <c r="AR186" s="873"/>
      <c r="AS186" s="872"/>
      <c r="AT186" s="872"/>
      <c r="AU186" s="873"/>
      <c r="AV186" s="872"/>
      <c r="AW186" s="872"/>
      <c r="AX186" s="873"/>
      <c r="AY186" s="872"/>
      <c r="AZ186" s="872"/>
      <c r="BA186" s="873"/>
      <c r="BB186" s="48"/>
      <c r="BC186" s="48"/>
      <c r="BD186" s="873"/>
      <c r="BE186" s="48"/>
      <c r="BF186" s="48"/>
      <c r="BG186" s="873"/>
      <c r="BH186" s="48"/>
      <c r="BI186" s="48"/>
      <c r="BJ186" s="873"/>
      <c r="BK186" s="48"/>
      <c r="BL186" s="48"/>
      <c r="BM186" s="873"/>
      <c r="BN186" s="48"/>
      <c r="BO186" s="48"/>
      <c r="BP186" s="873"/>
      <c r="BQ186" s="872"/>
      <c r="BR186" s="872"/>
      <c r="BS186" s="873"/>
      <c r="BT186" s="872"/>
      <c r="BU186" s="872"/>
      <c r="BV186" s="873"/>
      <c r="BW186" s="872"/>
      <c r="BX186" s="872"/>
      <c r="BY186" s="873"/>
      <c r="BZ186" s="872"/>
      <c r="CA186" s="872"/>
      <c r="CB186" s="873"/>
      <c r="CC186" s="872"/>
      <c r="CD186" s="872"/>
      <c r="CE186" s="873"/>
      <c r="CF186" s="48"/>
      <c r="CG186" s="48"/>
      <c r="CH186" s="873"/>
      <c r="CI186" s="48"/>
      <c r="CJ186" s="48"/>
      <c r="CK186" s="873"/>
      <c r="CL186" s="48"/>
      <c r="CM186" s="48"/>
      <c r="CN186" s="873"/>
      <c r="CO186" s="48"/>
      <c r="CP186" s="48"/>
      <c r="CQ186" s="873"/>
      <c r="CR186" s="48"/>
      <c r="CS186" s="48"/>
      <c r="CT186" s="28"/>
      <c r="CW186" s="970" t="s">
        <v>833</v>
      </c>
      <c r="CX186" s="975" t="s">
        <v>821</v>
      </c>
      <c r="CY186" s="979" cm="1">
        <f t="array" ref="CY186">AE186</f>
        <v>0</v>
      </c>
      <c r="CZ186" s="979" cm="1">
        <f t="array" ref="CZ186">AF186</f>
        <v>0</v>
      </c>
      <c r="DA186" s="976"/>
      <c r="DB186" s="976"/>
    </row>
    <row r="187" spans="1:106" s="1229" customFormat="1" ht="16.5" customHeight="1">
      <c r="E187" s="676">
        <v>17.100000000000001</v>
      </c>
      <c r="F187" s="779" t="str" cm="1">
        <f t="array" aca="1" ref="F187" ca="1">OFFSET(G187,-1,-1)</f>
        <v>1</v>
      </c>
      <c r="L187" s="779" t="b" cm="1">
        <f t="array" aca="1" ref="L187" ca="1">OFFSET(M187,-1,-1)</f>
        <v>0</v>
      </c>
      <c r="S187" s="110" t="b" cm="1">
        <f t="array" aca="1" ref="S187" ca="1">OFFSET(T187,-1,-1)</f>
        <v>1</v>
      </c>
      <c r="T187" s="110" t="b">
        <f>AD187&lt;&gt;"22.0"</f>
        <v>1</v>
      </c>
      <c r="U187" s="698" t="b">
        <f t="shared" ca="1" si="80"/>
        <v>1</v>
      </c>
      <c r="X187" s="110" t="str">
        <f>'Топливо 4.4'!$AE$182&amp;'Топливо 4.4'!$AF$182</f>
        <v>Уголь длиннопламенный</v>
      </c>
      <c r="Y187" s="1722"/>
      <c r="Z187" s="1722"/>
      <c r="AB187" s="1784"/>
      <c r="AD187" s="111" t="s">
        <v>939</v>
      </c>
      <c r="AE187" s="821" t="str" cm="1">
        <f t="array" ref="AE187">IF(ISBLANK('Топливо 4.4'!$AE$182),"",'Топливо 4.4'!$AE$182)</f>
        <v>Уголь длиннопламенный</v>
      </c>
      <c r="AF187" s="524" t="str" cm="1">
        <f t="array" ref="AF187">IF(ISBLANK('Топливо 4.4'!$AF$182),"",'Топливо 4.4'!$AF$182)</f>
        <v/>
      </c>
      <c r="AG187" s="853" t="s">
        <v>533</v>
      </c>
      <c r="AH187" s="1307"/>
      <c r="AI187" s="1308"/>
      <c r="AJ187" s="1308"/>
      <c r="AK187" s="1308"/>
      <c r="AL187" s="873"/>
      <c r="AM187" s="1308"/>
      <c r="AN187" s="1308"/>
      <c r="AO187" s="873"/>
      <c r="AP187" s="872"/>
      <c r="AQ187" s="872"/>
      <c r="AR187" s="873"/>
      <c r="AS187" s="872"/>
      <c r="AT187" s="872"/>
      <c r="AU187" s="873"/>
      <c r="AV187" s="872"/>
      <c r="AW187" s="872"/>
      <c r="AX187" s="873"/>
      <c r="AY187" s="872"/>
      <c r="AZ187" s="872"/>
      <c r="BA187" s="873"/>
      <c r="BB187" s="1308"/>
      <c r="BC187" s="1308"/>
      <c r="BD187" s="873"/>
      <c r="BE187" s="1308"/>
      <c r="BF187" s="1308"/>
      <c r="BG187" s="873"/>
      <c r="BH187" s="1308"/>
      <c r="BI187" s="1308"/>
      <c r="BJ187" s="873"/>
      <c r="BK187" s="1308"/>
      <c r="BL187" s="1308"/>
      <c r="BM187" s="873"/>
      <c r="BN187" s="1308"/>
      <c r="BO187" s="1308"/>
      <c r="BP187" s="873"/>
      <c r="BQ187" s="872"/>
      <c r="BR187" s="872"/>
      <c r="BS187" s="873"/>
      <c r="BT187" s="872"/>
      <c r="BU187" s="872"/>
      <c r="BV187" s="873"/>
      <c r="BW187" s="872"/>
      <c r="BX187" s="872"/>
      <c r="BY187" s="873"/>
      <c r="BZ187" s="872"/>
      <c r="CA187" s="872"/>
      <c r="CB187" s="873"/>
      <c r="CC187" s="872"/>
      <c r="CD187" s="872"/>
      <c r="CE187" s="873"/>
      <c r="CF187" s="1308"/>
      <c r="CG187" s="1308"/>
      <c r="CH187" s="873"/>
      <c r="CI187" s="1308"/>
      <c r="CJ187" s="1308"/>
      <c r="CK187" s="873"/>
      <c r="CL187" s="1308"/>
      <c r="CM187" s="1308"/>
      <c r="CN187" s="873"/>
      <c r="CO187" s="1308"/>
      <c r="CP187" s="1308"/>
      <c r="CQ187" s="873"/>
      <c r="CR187" s="1308"/>
      <c r="CS187" s="1308"/>
      <c r="CT187" s="1290"/>
      <c r="CW187" s="970" t="s">
        <v>833</v>
      </c>
      <c r="CX187" s="975" t="s">
        <v>821</v>
      </c>
      <c r="CY187" s="979" t="str" cm="1">
        <f t="array" ref="CY187">AE187</f>
        <v>Уголь длиннопламенный</v>
      </c>
      <c r="CZ187" s="979" t="str" cm="1">
        <f t="array" ref="CZ187">AF187</f>
        <v/>
      </c>
      <c r="DA187" s="976"/>
      <c r="DB187" s="976"/>
    </row>
    <row r="188" spans="1:106" s="1229" customFormat="1" ht="16.5" customHeight="1">
      <c r="E188" s="676">
        <v>17.100000000000001</v>
      </c>
      <c r="F188" s="779" t="str" cm="1">
        <f t="array" aca="1" ref="F188" ca="1">OFFSET(G188,-1,-1)</f>
        <v>1</v>
      </c>
      <c r="L188" s="779" t="b" cm="1">
        <f t="array" aca="1" ref="L188" ca="1">OFFSET(M188,-1,-1)</f>
        <v>0</v>
      </c>
      <c r="S188" s="110" t="b" cm="1">
        <f t="array" aca="1" ref="S188" ca="1">OFFSET(T188,-1,-1)</f>
        <v>1</v>
      </c>
      <c r="T188" s="110" t="b">
        <f>AD188&lt;&gt;"22.0"</f>
        <v>1</v>
      </c>
      <c r="U188" s="698" t="b">
        <f t="shared" ca="1" si="80"/>
        <v>1</v>
      </c>
      <c r="X188" s="110" t="str">
        <f>'Топливо 4.4'!$AE$183&amp;'Топливо 4.4'!$AF$183</f>
        <v>Уголь бурый</v>
      </c>
      <c r="Y188" s="1722"/>
      <c r="Z188" s="1722"/>
      <c r="AB188" s="1784"/>
      <c r="AD188" s="111" t="s">
        <v>940</v>
      </c>
      <c r="AE188" s="821" t="str" cm="1">
        <f t="array" ref="AE188">IF(ISBLANK('Топливо 4.4'!$AE$183),"",'Топливо 4.4'!$AE$183)</f>
        <v>Уголь бурый</v>
      </c>
      <c r="AF188" s="524" t="str" cm="1">
        <f t="array" ref="AF188">IF(ISBLANK('Топливо 4.4'!$AF$183),"",'Топливо 4.4'!$AF$183)</f>
        <v/>
      </c>
      <c r="AG188" s="853" t="s">
        <v>533</v>
      </c>
      <c r="AH188" s="1307"/>
      <c r="AI188" s="1308"/>
      <c r="AJ188" s="1308"/>
      <c r="AK188" s="1308"/>
      <c r="AL188" s="873"/>
      <c r="AM188" s="1308"/>
      <c r="AN188" s="1308"/>
      <c r="AO188" s="873"/>
      <c r="AP188" s="872"/>
      <c r="AQ188" s="872"/>
      <c r="AR188" s="873"/>
      <c r="AS188" s="872"/>
      <c r="AT188" s="872"/>
      <c r="AU188" s="873"/>
      <c r="AV188" s="872"/>
      <c r="AW188" s="872"/>
      <c r="AX188" s="873"/>
      <c r="AY188" s="872"/>
      <c r="AZ188" s="872"/>
      <c r="BA188" s="873"/>
      <c r="BB188" s="1308"/>
      <c r="BC188" s="1308"/>
      <c r="BD188" s="873"/>
      <c r="BE188" s="1308"/>
      <c r="BF188" s="1308"/>
      <c r="BG188" s="873"/>
      <c r="BH188" s="1308"/>
      <c r="BI188" s="1308"/>
      <c r="BJ188" s="873"/>
      <c r="BK188" s="1308"/>
      <c r="BL188" s="1308"/>
      <c r="BM188" s="873"/>
      <c r="BN188" s="1308"/>
      <c r="BO188" s="1308"/>
      <c r="BP188" s="873"/>
      <c r="BQ188" s="872"/>
      <c r="BR188" s="872"/>
      <c r="BS188" s="873"/>
      <c r="BT188" s="872"/>
      <c r="BU188" s="872"/>
      <c r="BV188" s="873"/>
      <c r="BW188" s="872"/>
      <c r="BX188" s="872"/>
      <c r="BY188" s="873"/>
      <c r="BZ188" s="872"/>
      <c r="CA188" s="872"/>
      <c r="CB188" s="873"/>
      <c r="CC188" s="872"/>
      <c r="CD188" s="872"/>
      <c r="CE188" s="873"/>
      <c r="CF188" s="1308"/>
      <c r="CG188" s="1308"/>
      <c r="CH188" s="873"/>
      <c r="CI188" s="1308"/>
      <c r="CJ188" s="1308"/>
      <c r="CK188" s="873"/>
      <c r="CL188" s="1308"/>
      <c r="CM188" s="1308"/>
      <c r="CN188" s="873"/>
      <c r="CO188" s="1308"/>
      <c r="CP188" s="1308"/>
      <c r="CQ188" s="873"/>
      <c r="CR188" s="1308"/>
      <c r="CS188" s="1308"/>
      <c r="CT188" s="1290"/>
      <c r="CW188" s="970" t="s">
        <v>833</v>
      </c>
      <c r="CX188" s="975" t="s">
        <v>821</v>
      </c>
      <c r="CY188" s="979" t="str" cm="1">
        <f t="array" ref="CY188">AE188</f>
        <v>Уголь бурый</v>
      </c>
      <c r="CZ188" s="979" t="str" cm="1">
        <f t="array" ref="CZ188">AF188</f>
        <v/>
      </c>
      <c r="DA188" s="976"/>
      <c r="DB188" s="976"/>
    </row>
    <row r="189" spans="1:106" s="1229" customFormat="1" ht="17.25" hidden="1" customHeight="1">
      <c r="A189" s="1155"/>
      <c r="B189" s="783"/>
      <c r="C189" s="1155"/>
      <c r="D189" s="1155"/>
      <c r="E189" s="676">
        <v>0</v>
      </c>
      <c r="F189" s="779" t="str" cm="1">
        <f t="array" aca="1" ref="F189" ca="1">OFFSET(G189,-1,-1)</f>
        <v>1</v>
      </c>
      <c r="G189" s="814"/>
      <c r="H189" s="814"/>
      <c r="I189" s="814"/>
      <c r="J189" s="814"/>
      <c r="K189" s="814"/>
      <c r="L189" s="779" t="b" cm="1">
        <f t="array" aca="1" ref="L189" ca="1">OFFSET(M189,-1,-1)</f>
        <v>0</v>
      </c>
      <c r="M189" s="814"/>
      <c r="N189" s="814"/>
      <c r="O189" s="814"/>
      <c r="P189" s="814"/>
      <c r="Q189" s="814"/>
      <c r="R189" s="1155"/>
      <c r="S189" s="110" t="b" cm="1">
        <f t="array" aca="1" ref="S189" ca="1">OFFSET(T189,-1,-1)</f>
        <v>1</v>
      </c>
      <c r="T189" s="1155"/>
      <c r="U189" s="698" t="b">
        <f t="shared" ca="1" si="80"/>
        <v>1</v>
      </c>
      <c r="V189" s="1155"/>
      <c r="W189" s="1155"/>
      <c r="X189" s="820" t="str">
        <f>"{                  
         funcDyn: 'msg1',
         blok: 'blok_2',
         wsCross: 'Топливо 4.4',
         linkFormula: 'AE-AE#AF-AF',
         levelDyn: "&amp;Y139&amp;"
}"</f>
        <v>{                  
         funcDyn: 'msg1',
         blok: 'blok_2',
         wsCross: 'Топливо 4.4',
         linkFormula: 'AE-AE#AF-AF',
         levelDyn: 1
}</v>
      </c>
      <c r="Y189" s="1687"/>
      <c r="Z189" s="1687"/>
      <c r="AA189" s="699"/>
      <c r="AB189" s="1784"/>
      <c r="AD189" s="823"/>
      <c r="AE189" s="822" t="s">
        <v>238</v>
      </c>
      <c r="AF189" s="745"/>
      <c r="AG189" s="853"/>
      <c r="AH189" s="735"/>
      <c r="AI189" s="737"/>
      <c r="AJ189" s="737"/>
      <c r="AK189" s="737"/>
      <c r="AL189" s="737"/>
      <c r="AM189" s="737"/>
      <c r="AN189" s="737"/>
      <c r="AO189" s="737"/>
      <c r="AP189" s="737"/>
      <c r="AQ189" s="737"/>
      <c r="AR189" s="737"/>
      <c r="AS189" s="737"/>
      <c r="AT189" s="737"/>
      <c r="AU189" s="737"/>
      <c r="AV189" s="737"/>
      <c r="AW189" s="737"/>
      <c r="AX189" s="737"/>
      <c r="AY189" s="737"/>
      <c r="AZ189" s="737"/>
      <c r="BA189" s="737"/>
      <c r="BB189" s="737"/>
      <c r="BC189" s="737"/>
      <c r="BD189" s="737"/>
      <c r="BE189" s="737"/>
      <c r="BF189" s="737"/>
      <c r="BG189" s="737"/>
      <c r="BH189" s="737"/>
      <c r="BI189" s="737"/>
      <c r="BJ189" s="737"/>
      <c r="BK189" s="737"/>
      <c r="BL189" s="737"/>
      <c r="BM189" s="737"/>
      <c r="BN189" s="737"/>
      <c r="BO189" s="737"/>
      <c r="BP189" s="737"/>
      <c r="BQ189" s="737"/>
      <c r="BR189" s="737"/>
      <c r="BS189" s="737"/>
      <c r="BT189" s="737"/>
      <c r="BU189" s="737"/>
      <c r="BV189" s="737"/>
      <c r="BW189" s="737"/>
      <c r="BX189" s="737"/>
      <c r="BY189" s="737"/>
      <c r="BZ189" s="737"/>
      <c r="CA189" s="737"/>
      <c r="CB189" s="737"/>
      <c r="CC189" s="737"/>
      <c r="CD189" s="737"/>
      <c r="CE189" s="737"/>
      <c r="CF189" s="737"/>
      <c r="CG189" s="737"/>
      <c r="CH189" s="737"/>
      <c r="CI189" s="737"/>
      <c r="CJ189" s="737"/>
      <c r="CK189" s="737"/>
      <c r="CL189" s="737"/>
      <c r="CM189" s="737"/>
      <c r="CN189" s="737"/>
      <c r="CO189" s="737"/>
      <c r="CP189" s="737"/>
      <c r="CQ189" s="737"/>
      <c r="CR189" s="737"/>
      <c r="CS189" s="737"/>
      <c r="CT189" s="46"/>
      <c r="CW189" s="970" t="str">
        <f>IF(AND(ISNUMBER(VALUE(TRIM(SUBSTITUTE(AD189,".","")))),TRIM(SUBSTITUTE(AD189,".",""))&lt;&gt;""),"P"&amp;SUBSTITUTE(AD189,".",""),"")</f>
        <v/>
      </c>
      <c r="CX189" s="975"/>
      <c r="CY189" s="975"/>
      <c r="CZ189" s="975"/>
      <c r="DA189" s="976"/>
      <c r="DB189" s="976"/>
    </row>
    <row r="190" spans="1:106" s="1229" customFormat="1" ht="16.5" customHeight="1">
      <c r="A190" s="1155"/>
      <c r="B190" s="783"/>
      <c r="C190" s="1155"/>
      <c r="D190" s="1155"/>
      <c r="E190" s="676">
        <v>17.100000000000001</v>
      </c>
      <c r="F190" s="779" t="str" cm="1">
        <f t="array" aca="1" ref="F190" ca="1">OFFSET(G190,-1,-1)</f>
        <v>1</v>
      </c>
      <c r="G190" s="814"/>
      <c r="H190" s="814"/>
      <c r="I190" s="814"/>
      <c r="J190" s="814"/>
      <c r="K190" s="814"/>
      <c r="L190" s="779" t="b" cm="1">
        <f t="array" aca="1" ref="L190" ca="1">OFFSET(M190,-1,-1)</f>
        <v>0</v>
      </c>
      <c r="M190" s="814"/>
      <c r="N190" s="814"/>
      <c r="O190" s="814"/>
      <c r="P190" s="814"/>
      <c r="Q190" s="814"/>
      <c r="R190" s="1155"/>
      <c r="S190" s="110" t="b" cm="1">
        <f t="array" aca="1" ref="S190" ca="1">OFFSET(T190,-1,-1)</f>
        <v>1</v>
      </c>
      <c r="T190" s="1155"/>
      <c r="U190" s="698" t="b">
        <f t="shared" ca="1" si="80"/>
        <v>1</v>
      </c>
      <c r="V190" s="1155"/>
      <c r="W190" s="1155"/>
      <c r="X190" s="1155"/>
      <c r="Y190" s="1687"/>
      <c r="Z190" s="1687"/>
      <c r="AA190" s="699"/>
      <c r="AB190" s="1784"/>
      <c r="AD190" s="111">
        <v>23</v>
      </c>
      <c r="AE190" s="1759" t="s">
        <v>835</v>
      </c>
      <c r="AF190" s="1760"/>
      <c r="AG190" s="622"/>
      <c r="AH190" s="735"/>
      <c r="AI190" s="737"/>
      <c r="AJ190" s="737"/>
      <c r="AK190" s="737"/>
      <c r="AL190" s="737"/>
      <c r="AM190" s="737"/>
      <c r="AN190" s="737"/>
      <c r="AO190" s="737"/>
      <c r="AP190" s="737"/>
      <c r="AQ190" s="737"/>
      <c r="AR190" s="737"/>
      <c r="AS190" s="737"/>
      <c r="AT190" s="737"/>
      <c r="AU190" s="737"/>
      <c r="AV190" s="737"/>
      <c r="AW190" s="737"/>
      <c r="AX190" s="737"/>
      <c r="AY190" s="737"/>
      <c r="AZ190" s="737"/>
      <c r="BA190" s="737"/>
      <c r="BB190" s="737"/>
      <c r="BC190" s="737"/>
      <c r="BD190" s="737"/>
      <c r="BE190" s="737"/>
      <c r="BF190" s="737"/>
      <c r="BG190" s="737"/>
      <c r="BH190" s="737"/>
      <c r="BI190" s="737"/>
      <c r="BJ190" s="737"/>
      <c r="BK190" s="737"/>
      <c r="BL190" s="737"/>
      <c r="BM190" s="737"/>
      <c r="BN190" s="737"/>
      <c r="BO190" s="737"/>
      <c r="BP190" s="737"/>
      <c r="BQ190" s="737"/>
      <c r="BR190" s="737"/>
      <c r="BS190" s="737"/>
      <c r="BT190" s="737"/>
      <c r="BU190" s="737"/>
      <c r="BV190" s="737"/>
      <c r="BW190" s="737"/>
      <c r="BX190" s="737"/>
      <c r="BY190" s="737"/>
      <c r="BZ190" s="737"/>
      <c r="CA190" s="737"/>
      <c r="CB190" s="737"/>
      <c r="CC190" s="737"/>
      <c r="CD190" s="737"/>
      <c r="CE190" s="737"/>
      <c r="CF190" s="737"/>
      <c r="CG190" s="737"/>
      <c r="CH190" s="737"/>
      <c r="CI190" s="737"/>
      <c r="CJ190" s="737"/>
      <c r="CK190" s="737"/>
      <c r="CL190" s="737"/>
      <c r="CM190" s="737"/>
      <c r="CN190" s="737"/>
      <c r="CO190" s="737"/>
      <c r="CP190" s="737"/>
      <c r="CQ190" s="737"/>
      <c r="CR190" s="737"/>
      <c r="CS190" s="737"/>
      <c r="CT190" s="1290"/>
      <c r="CW190" s="970" t="s">
        <v>836</v>
      </c>
      <c r="CX190" s="975"/>
      <c r="CY190" s="975"/>
      <c r="CZ190" s="975"/>
      <c r="DA190" s="976"/>
      <c r="DB190" s="976"/>
    </row>
    <row r="191" spans="1:106" s="1229" customFormat="1" ht="16.5" hidden="1" customHeight="1">
      <c r="E191" s="676">
        <v>17.100000000000001</v>
      </c>
      <c r="F191" s="779" t="str" cm="1">
        <f t="array" aca="1" ref="F191" ca="1">OFFSET(G191,-1,-1)</f>
        <v>1</v>
      </c>
      <c r="L191" s="779" t="b" cm="1">
        <f t="array" aca="1" ref="L191" ca="1">OFFSET(M191,-1,-1)</f>
        <v>0</v>
      </c>
      <c r="S191" s="110" t="b" cm="1">
        <f t="array" aca="1" ref="S191" ca="1">OFFSET(T191,-1,-1)</f>
        <v>1</v>
      </c>
      <c r="T191" s="110" t="b">
        <f>AD191&lt;&gt;"23.0"</f>
        <v>0</v>
      </c>
      <c r="U191" s="698" t="b">
        <f t="shared" ca="1" si="80"/>
        <v>0</v>
      </c>
      <c r="X191" s="110" t="s">
        <v>236</v>
      </c>
      <c r="Y191" s="1722"/>
      <c r="Z191" s="1722"/>
      <c r="AB191" s="1784"/>
      <c r="AD191" s="111" t="s">
        <v>837</v>
      </c>
      <c r="AE191" s="821"/>
      <c r="AF191" s="524"/>
      <c r="AG191" s="894" t="str">
        <f>"руб./"&amp;IFERROR(INDEX(fuel_ed_izm_list,MATCH(AE191,fuel_list,0)),"")</f>
        <v>руб./</v>
      </c>
      <c r="AH191" s="41">
        <f t="shared" ref="AH191:AL193" si="129">IFERROR(AH197/AH181,0)*1000</f>
        <v>0</v>
      </c>
      <c r="AI191" s="42">
        <f t="shared" si="129"/>
        <v>0</v>
      </c>
      <c r="AJ191" s="42">
        <f t="shared" si="129"/>
        <v>0</v>
      </c>
      <c r="AK191" s="42">
        <f t="shared" si="129"/>
        <v>0</v>
      </c>
      <c r="AL191" s="736">
        <f t="shared" ca="1" si="129"/>
        <v>0</v>
      </c>
      <c r="AM191" s="42"/>
      <c r="AN191" s="42"/>
      <c r="AO191" s="736">
        <f ca="1">IFERROR(AO197/AO181,0)*1000</f>
        <v>0</v>
      </c>
      <c r="AP191" s="826"/>
      <c r="AQ191" s="826"/>
      <c r="AR191" s="736">
        <f ca="1">IFERROR(AR197/AR181,0)*1000</f>
        <v>0</v>
      </c>
      <c r="AS191" s="826"/>
      <c r="AT191" s="826"/>
      <c r="AU191" s="736">
        <f ca="1">IFERROR(AU197/AU181,0)*1000</f>
        <v>0</v>
      </c>
      <c r="AV191" s="826"/>
      <c r="AW191" s="826"/>
      <c r="AX191" s="736">
        <f ca="1">IFERROR(AX197/AX181,0)*1000</f>
        <v>0</v>
      </c>
      <c r="AY191" s="826"/>
      <c r="AZ191" s="826"/>
      <c r="BA191" s="736">
        <f ca="1">IFERROR(BA197/BA181,0)*1000</f>
        <v>0</v>
      </c>
      <c r="BB191" s="42"/>
      <c r="BC191" s="42"/>
      <c r="BD191" s="736">
        <f ca="1">IFERROR(BD197/BD181,0)*1000</f>
        <v>0</v>
      </c>
      <c r="BE191" s="42"/>
      <c r="BF191" s="42"/>
      <c r="BG191" s="736">
        <f ca="1">IFERROR(BG197/BG181,0)*1000</f>
        <v>0</v>
      </c>
      <c r="BH191" s="42"/>
      <c r="BI191" s="42"/>
      <c r="BJ191" s="736">
        <f ca="1">IFERROR(BJ197/BJ181,0)*1000</f>
        <v>0</v>
      </c>
      <c r="BK191" s="42"/>
      <c r="BL191" s="42"/>
      <c r="BM191" s="736">
        <f ca="1">IFERROR(BM197/BM181,0)*1000</f>
        <v>0</v>
      </c>
      <c r="BN191" s="42"/>
      <c r="BO191" s="42"/>
      <c r="BP191" s="736">
        <f ca="1">IFERROR(BP197/BP181,0)*1000</f>
        <v>0</v>
      </c>
      <c r="BQ191" s="826"/>
      <c r="BR191" s="826"/>
      <c r="BS191" s="736">
        <f ca="1">IFERROR(BS197/BS181,0)*1000</f>
        <v>0</v>
      </c>
      <c r="BT191" s="826"/>
      <c r="BU191" s="826"/>
      <c r="BV191" s="736">
        <f ca="1">IFERROR(BV197/BV181,0)*1000</f>
        <v>0</v>
      </c>
      <c r="BW191" s="826"/>
      <c r="BX191" s="826"/>
      <c r="BY191" s="736">
        <f ca="1">IFERROR(BY197/BY181,0)*1000</f>
        <v>0</v>
      </c>
      <c r="BZ191" s="826"/>
      <c r="CA191" s="826"/>
      <c r="CB191" s="736">
        <f ca="1">IFERROR(CB197/CB181,0)*1000</f>
        <v>0</v>
      </c>
      <c r="CC191" s="826"/>
      <c r="CD191" s="826"/>
      <c r="CE191" s="736">
        <f ca="1">IFERROR(CE197/CE181,0)*1000</f>
        <v>0</v>
      </c>
      <c r="CF191" s="42"/>
      <c r="CG191" s="42"/>
      <c r="CH191" s="736">
        <f ca="1">IFERROR(CH197/CH181,0)*1000</f>
        <v>0</v>
      </c>
      <c r="CI191" s="42"/>
      <c r="CJ191" s="42"/>
      <c r="CK191" s="736">
        <f ca="1">IFERROR(CK197/CK181,0)*1000</f>
        <v>0</v>
      </c>
      <c r="CL191" s="42"/>
      <c r="CM191" s="42"/>
      <c r="CN191" s="736">
        <f ca="1">IFERROR(CN197/CN181,0)*1000</f>
        <v>0</v>
      </c>
      <c r="CO191" s="42"/>
      <c r="CP191" s="42"/>
      <c r="CQ191" s="736">
        <f ca="1">IFERROR(CQ197/CQ181,0)*1000</f>
        <v>0</v>
      </c>
      <c r="CR191" s="42"/>
      <c r="CS191" s="42"/>
      <c r="CT191" s="28"/>
      <c r="CW191" s="970" t="s">
        <v>836</v>
      </c>
      <c r="CX191" s="975" t="s">
        <v>821</v>
      </c>
      <c r="CY191" s="979" cm="1">
        <f t="array" ref="CY191">AE191</f>
        <v>0</v>
      </c>
      <c r="CZ191" s="979" cm="1">
        <f t="array" ref="CZ191">AF191</f>
        <v>0</v>
      </c>
      <c r="DA191" s="976"/>
      <c r="DB191" s="976"/>
    </row>
    <row r="192" spans="1:106" s="1229" customFormat="1" ht="16.5" customHeight="1">
      <c r="E192" s="676">
        <v>17.100000000000001</v>
      </c>
      <c r="F192" s="779" t="str" cm="1">
        <f t="array" aca="1" ref="F192" ca="1">OFFSET(G192,-1,-1)</f>
        <v>1</v>
      </c>
      <c r="L192" s="779" t="b" cm="1">
        <f t="array" aca="1" ref="L192" ca="1">OFFSET(M192,-1,-1)</f>
        <v>0</v>
      </c>
      <c r="S192" s="110" t="b" cm="1">
        <f t="array" aca="1" ref="S192" ca="1">OFFSET(T192,-1,-1)</f>
        <v>1</v>
      </c>
      <c r="T192" s="110" t="b">
        <f>AD192&lt;&gt;"23.0"</f>
        <v>1</v>
      </c>
      <c r="U192" s="698" t="b">
        <f t="shared" ca="1" si="80"/>
        <v>1</v>
      </c>
      <c r="X192" s="110" t="str">
        <f>'Топливо 4.4'!$AE$187&amp;'Топливо 4.4'!$AF$187</f>
        <v>Уголь длиннопламенный</v>
      </c>
      <c r="Y192" s="1722"/>
      <c r="Z192" s="1722"/>
      <c r="AB192" s="1784"/>
      <c r="AD192" s="111" t="s">
        <v>941</v>
      </c>
      <c r="AE192" s="821" t="str" cm="1">
        <f t="array" ref="AE192">IF(ISBLANK('Топливо 4.4'!$AE$187),"",'Топливо 4.4'!$AE$187)</f>
        <v>Уголь длиннопламенный</v>
      </c>
      <c r="AF192" s="524" t="str" cm="1">
        <f t="array" ref="AF192">IF(ISBLANK('Топливо 4.4'!$AF$187),"",'Топливо 4.4'!$AF$187)</f>
        <v/>
      </c>
      <c r="AG192" s="894" t="str">
        <f>"руб./"&amp;IFERROR(INDEX(fuel_ed_izm_list,MATCH(AE192,fuel_list,0)),"")</f>
        <v>руб./тнт</v>
      </c>
      <c r="AH192" s="1303">
        <f t="shared" si="129"/>
        <v>0</v>
      </c>
      <c r="AI192" s="1302">
        <f t="shared" si="129"/>
        <v>0</v>
      </c>
      <c r="AJ192" s="1302">
        <f t="shared" si="129"/>
        <v>0</v>
      </c>
      <c r="AK192" s="1302">
        <f t="shared" si="129"/>
        <v>1975.0497755526103</v>
      </c>
      <c r="AL192" s="736">
        <f t="shared" ca="1" si="129"/>
        <v>0</v>
      </c>
      <c r="AM192" s="1302"/>
      <c r="AN192" s="1302"/>
      <c r="AO192" s="736">
        <f ca="1">IFERROR(AO198/AO182,0)*1000</f>
        <v>0</v>
      </c>
      <c r="AP192" s="826"/>
      <c r="AQ192" s="826"/>
      <c r="AR192" s="736">
        <f ca="1">IFERROR(AR198/AR182,0)*1000</f>
        <v>0</v>
      </c>
      <c r="AS192" s="826"/>
      <c r="AT192" s="826"/>
      <c r="AU192" s="736">
        <f ca="1">IFERROR(AU198/AU182,0)*1000</f>
        <v>0</v>
      </c>
      <c r="AV192" s="826"/>
      <c r="AW192" s="826"/>
      <c r="AX192" s="736">
        <f ca="1">IFERROR(AX198/AX182,0)*1000</f>
        <v>0</v>
      </c>
      <c r="AY192" s="826"/>
      <c r="AZ192" s="826"/>
      <c r="BA192" s="736">
        <f ca="1">IFERROR(BA198/BA182,0)*1000</f>
        <v>0</v>
      </c>
      <c r="BB192" s="1302"/>
      <c r="BC192" s="1302"/>
      <c r="BD192" s="736">
        <f ca="1">IFERROR(BD198/BD182,0)*1000</f>
        <v>0</v>
      </c>
      <c r="BE192" s="1302"/>
      <c r="BF192" s="1302"/>
      <c r="BG192" s="736">
        <f ca="1">IFERROR(BG198/BG182,0)*1000</f>
        <v>0</v>
      </c>
      <c r="BH192" s="1302"/>
      <c r="BI192" s="1302"/>
      <c r="BJ192" s="736">
        <f ca="1">IFERROR(BJ198/BJ182,0)*1000</f>
        <v>0</v>
      </c>
      <c r="BK192" s="1302"/>
      <c r="BL192" s="1302"/>
      <c r="BM192" s="736">
        <f ca="1">IFERROR(BM198/BM182,0)*1000</f>
        <v>0</v>
      </c>
      <c r="BN192" s="1302"/>
      <c r="BO192" s="1302"/>
      <c r="BP192" s="736">
        <f ca="1">IFERROR(BP198/BP182,0)*1000</f>
        <v>1876.6605512306003</v>
      </c>
      <c r="BQ192" s="826">
        <v>1876.6605512306</v>
      </c>
      <c r="BR192" s="826">
        <v>1876.6605512306</v>
      </c>
      <c r="BS192" s="736">
        <f ca="1">IFERROR(BS198/BS182,0)*1000</f>
        <v>0</v>
      </c>
      <c r="BT192" s="826"/>
      <c r="BU192" s="826"/>
      <c r="BV192" s="736">
        <f ca="1">IFERROR(BV198/BV182,0)*1000</f>
        <v>0</v>
      </c>
      <c r="BW192" s="826"/>
      <c r="BX192" s="826"/>
      <c r="BY192" s="736">
        <f ca="1">IFERROR(BY198/BY182,0)*1000</f>
        <v>0</v>
      </c>
      <c r="BZ192" s="826"/>
      <c r="CA192" s="826"/>
      <c r="CB192" s="736">
        <f ca="1">IFERROR(CB198/CB182,0)*1000</f>
        <v>0</v>
      </c>
      <c r="CC192" s="826"/>
      <c r="CD192" s="826"/>
      <c r="CE192" s="736">
        <f ca="1">IFERROR(CE198/CE182,0)*1000</f>
        <v>0</v>
      </c>
      <c r="CF192" s="1302"/>
      <c r="CG192" s="1302"/>
      <c r="CH192" s="736">
        <f ca="1">IFERROR(CH198/CH182,0)*1000</f>
        <v>0</v>
      </c>
      <c r="CI192" s="1302"/>
      <c r="CJ192" s="1302"/>
      <c r="CK192" s="736">
        <f ca="1">IFERROR(CK198/CK182,0)*1000</f>
        <v>0</v>
      </c>
      <c r="CL192" s="1302"/>
      <c r="CM192" s="1302"/>
      <c r="CN192" s="736">
        <f ca="1">IFERROR(CN198/CN182,0)*1000</f>
        <v>0</v>
      </c>
      <c r="CO192" s="1302"/>
      <c r="CP192" s="1302"/>
      <c r="CQ192" s="736">
        <f ca="1">IFERROR(CQ198/CQ182,0)*1000</f>
        <v>0</v>
      </c>
      <c r="CR192" s="1302"/>
      <c r="CS192" s="1302"/>
      <c r="CT192" s="1290"/>
      <c r="CW192" s="970" t="s">
        <v>836</v>
      </c>
      <c r="CX192" s="975" t="s">
        <v>821</v>
      </c>
      <c r="CY192" s="979" t="str" cm="1">
        <f t="array" ref="CY192">AE192</f>
        <v>Уголь длиннопламенный</v>
      </c>
      <c r="CZ192" s="979" t="str" cm="1">
        <f t="array" ref="CZ192">AF192</f>
        <v/>
      </c>
      <c r="DA192" s="976"/>
      <c r="DB192" s="976"/>
    </row>
    <row r="193" spans="1:106" s="1229" customFormat="1" ht="16.5" customHeight="1">
      <c r="E193" s="676">
        <v>17.100000000000001</v>
      </c>
      <c r="F193" s="779" t="str" cm="1">
        <f t="array" aca="1" ref="F193" ca="1">OFFSET(G193,-1,-1)</f>
        <v>1</v>
      </c>
      <c r="L193" s="779" t="b" cm="1">
        <f t="array" aca="1" ref="L193" ca="1">OFFSET(M193,-1,-1)</f>
        <v>0</v>
      </c>
      <c r="S193" s="110" t="b" cm="1">
        <f t="array" aca="1" ref="S193" ca="1">OFFSET(T193,-1,-1)</f>
        <v>1</v>
      </c>
      <c r="T193" s="110" t="b">
        <f>AD193&lt;&gt;"23.0"</f>
        <v>1</v>
      </c>
      <c r="U193" s="698" t="b">
        <f t="shared" ca="1" si="80"/>
        <v>1</v>
      </c>
      <c r="X193" s="110" t="str">
        <f>'Топливо 4.4'!$AE$188&amp;'Топливо 4.4'!$AF$188</f>
        <v>Уголь бурый</v>
      </c>
      <c r="Y193" s="1722"/>
      <c r="Z193" s="1722"/>
      <c r="AB193" s="1784"/>
      <c r="AD193" s="111" t="s">
        <v>942</v>
      </c>
      <c r="AE193" s="821" t="str" cm="1">
        <f t="array" ref="AE193">IF(ISBLANK('Топливо 4.4'!$AE$188),"",'Топливо 4.4'!$AE$188)</f>
        <v>Уголь бурый</v>
      </c>
      <c r="AF193" s="524" t="str" cm="1">
        <f t="array" ref="AF193">IF(ISBLANK('Топливо 4.4'!$AF$188),"",'Топливо 4.4'!$AF$188)</f>
        <v/>
      </c>
      <c r="AG193" s="894" t="str">
        <f>"руб./"&amp;IFERROR(INDEX(fuel_ed_izm_list,MATCH(AE193,fuel_list,0)),"")</f>
        <v>руб./тнт</v>
      </c>
      <c r="AH193" s="1303">
        <f t="shared" si="129"/>
        <v>0</v>
      </c>
      <c r="AI193" s="1302">
        <f t="shared" si="129"/>
        <v>0</v>
      </c>
      <c r="AJ193" s="1302">
        <f t="shared" si="129"/>
        <v>0</v>
      </c>
      <c r="AK193" s="1302">
        <f t="shared" si="129"/>
        <v>3191.3333322984504</v>
      </c>
      <c r="AL193" s="736">
        <f t="shared" ca="1" si="129"/>
        <v>0</v>
      </c>
      <c r="AM193" s="1302"/>
      <c r="AN193" s="1302"/>
      <c r="AO193" s="736">
        <f ca="1">IFERROR(AO199/AO183,0)*1000</f>
        <v>0</v>
      </c>
      <c r="AP193" s="826"/>
      <c r="AQ193" s="826"/>
      <c r="AR193" s="736">
        <f ca="1">IFERROR(AR199/AR183,0)*1000</f>
        <v>0</v>
      </c>
      <c r="AS193" s="826"/>
      <c r="AT193" s="826"/>
      <c r="AU193" s="736">
        <f ca="1">IFERROR(AU199/AU183,0)*1000</f>
        <v>0</v>
      </c>
      <c r="AV193" s="826"/>
      <c r="AW193" s="826"/>
      <c r="AX193" s="736">
        <f ca="1">IFERROR(AX199/AX183,0)*1000</f>
        <v>0</v>
      </c>
      <c r="AY193" s="826"/>
      <c r="AZ193" s="826"/>
      <c r="BA193" s="736">
        <f ca="1">IFERROR(BA199/BA183,0)*1000</f>
        <v>0</v>
      </c>
      <c r="BB193" s="1302"/>
      <c r="BC193" s="1302"/>
      <c r="BD193" s="736">
        <f ca="1">IFERROR(BD199/BD183,0)*1000</f>
        <v>0</v>
      </c>
      <c r="BE193" s="1302"/>
      <c r="BF193" s="1302"/>
      <c r="BG193" s="736">
        <f ca="1">IFERROR(BG199/BG183,0)*1000</f>
        <v>0</v>
      </c>
      <c r="BH193" s="1302"/>
      <c r="BI193" s="1302"/>
      <c r="BJ193" s="736">
        <f ca="1">IFERROR(BJ199/BJ183,0)*1000</f>
        <v>0</v>
      </c>
      <c r="BK193" s="1302"/>
      <c r="BL193" s="1302"/>
      <c r="BM193" s="736">
        <f ca="1">IFERROR(BM199/BM183,0)*1000</f>
        <v>0</v>
      </c>
      <c r="BN193" s="1302"/>
      <c r="BO193" s="1302"/>
      <c r="BP193" s="736">
        <f ca="1">IFERROR(BP199/BP183,0)*1000</f>
        <v>0</v>
      </c>
      <c r="BQ193" s="826"/>
      <c r="BR193" s="826"/>
      <c r="BS193" s="736">
        <f ca="1">IFERROR(BS199/BS183,0)*1000</f>
        <v>0</v>
      </c>
      <c r="BT193" s="826"/>
      <c r="BU193" s="826"/>
      <c r="BV193" s="736">
        <f ca="1">IFERROR(BV199/BV183,0)*1000</f>
        <v>0</v>
      </c>
      <c r="BW193" s="826"/>
      <c r="BX193" s="826"/>
      <c r="BY193" s="736">
        <f ca="1">IFERROR(BY199/BY183,0)*1000</f>
        <v>0</v>
      </c>
      <c r="BZ193" s="826"/>
      <c r="CA193" s="826"/>
      <c r="CB193" s="736">
        <f ca="1">IFERROR(CB199/CB183,0)*1000</f>
        <v>0</v>
      </c>
      <c r="CC193" s="826"/>
      <c r="CD193" s="826"/>
      <c r="CE193" s="736">
        <f ca="1">IFERROR(CE199/CE183,0)*1000</f>
        <v>0</v>
      </c>
      <c r="CF193" s="1302"/>
      <c r="CG193" s="1302"/>
      <c r="CH193" s="736">
        <f ca="1">IFERROR(CH199/CH183,0)*1000</f>
        <v>0</v>
      </c>
      <c r="CI193" s="1302"/>
      <c r="CJ193" s="1302"/>
      <c r="CK193" s="736">
        <f ca="1">IFERROR(CK199/CK183,0)*1000</f>
        <v>0</v>
      </c>
      <c r="CL193" s="1302"/>
      <c r="CM193" s="1302"/>
      <c r="CN193" s="736">
        <f ca="1">IFERROR(CN199/CN183,0)*1000</f>
        <v>0</v>
      </c>
      <c r="CO193" s="1302"/>
      <c r="CP193" s="1302"/>
      <c r="CQ193" s="736">
        <f ca="1">IFERROR(CQ199/CQ183,0)*1000</f>
        <v>0</v>
      </c>
      <c r="CR193" s="1302"/>
      <c r="CS193" s="1302"/>
      <c r="CT193" s="1290"/>
      <c r="CW193" s="970" t="s">
        <v>836</v>
      </c>
      <c r="CX193" s="975" t="s">
        <v>821</v>
      </c>
      <c r="CY193" s="979" t="str" cm="1">
        <f t="array" ref="CY193">AE193</f>
        <v>Уголь бурый</v>
      </c>
      <c r="CZ193" s="979" t="str" cm="1">
        <f t="array" ref="CZ193">AF193</f>
        <v/>
      </c>
      <c r="DA193" s="976"/>
      <c r="DB193" s="976"/>
    </row>
    <row r="194" spans="1:106" s="1229" customFormat="1" ht="17.25" hidden="1" customHeight="1">
      <c r="A194" s="1155"/>
      <c r="B194" s="783"/>
      <c r="C194" s="1155"/>
      <c r="D194" s="1155"/>
      <c r="E194" s="676">
        <v>0</v>
      </c>
      <c r="F194" s="779" t="str" cm="1">
        <f t="array" aca="1" ref="F194" ca="1">OFFSET(G194,-1,-1)</f>
        <v>1</v>
      </c>
      <c r="G194" s="814"/>
      <c r="H194" s="814"/>
      <c r="I194" s="814"/>
      <c r="J194" s="814"/>
      <c r="K194" s="814"/>
      <c r="L194" s="779" t="b" cm="1">
        <f t="array" aca="1" ref="L194" ca="1">OFFSET(M194,-1,-1)</f>
        <v>0</v>
      </c>
      <c r="M194" s="814"/>
      <c r="N194" s="814"/>
      <c r="O194" s="814"/>
      <c r="P194" s="814"/>
      <c r="Q194" s="814"/>
      <c r="R194" s="1155"/>
      <c r="S194" s="110" t="b" cm="1">
        <f t="array" aca="1" ref="S194" ca="1">OFFSET(T194,-1,-1)</f>
        <v>1</v>
      </c>
      <c r="T194" s="1155"/>
      <c r="U194" s="698" t="b">
        <f t="shared" ca="1" si="80"/>
        <v>1</v>
      </c>
      <c r="V194" s="1155"/>
      <c r="W194" s="1155"/>
      <c r="X194" s="820" t="str">
        <f>"{                  
         funcDyn: 'msg1',
         blok: 'blok_2',
         wsCross: 'Топливо 4.4',
         linkFormula: 'AE-AE#AF-AF',
         levelDyn: "&amp;Y139&amp;"
}"</f>
        <v>{                  
         funcDyn: 'msg1',
         blok: 'blok_2',
         wsCross: 'Топливо 4.4',
         linkFormula: 'AE-AE#AF-AF',
         levelDyn: 1
}</v>
      </c>
      <c r="Y194" s="1687"/>
      <c r="Z194" s="1687"/>
      <c r="AA194" s="699"/>
      <c r="AB194" s="1784"/>
      <c r="AD194" s="823"/>
      <c r="AE194" s="822" t="s">
        <v>238</v>
      </c>
      <c r="AF194" s="745"/>
      <c r="AG194" s="853"/>
      <c r="AH194" s="735"/>
      <c r="AI194" s="737"/>
      <c r="AJ194" s="737"/>
      <c r="AK194" s="737"/>
      <c r="AL194" s="737"/>
      <c r="AM194" s="737"/>
      <c r="AN194" s="737"/>
      <c r="AO194" s="737"/>
      <c r="AP194" s="737"/>
      <c r="AQ194" s="737"/>
      <c r="AR194" s="737"/>
      <c r="AS194" s="737"/>
      <c r="AT194" s="737"/>
      <c r="AU194" s="737"/>
      <c r="AV194" s="737"/>
      <c r="AW194" s="737"/>
      <c r="AX194" s="737"/>
      <c r="AY194" s="737"/>
      <c r="AZ194" s="737"/>
      <c r="BA194" s="737"/>
      <c r="BB194" s="737"/>
      <c r="BC194" s="737"/>
      <c r="BD194" s="737"/>
      <c r="BE194" s="737"/>
      <c r="BF194" s="737"/>
      <c r="BG194" s="737"/>
      <c r="BH194" s="737"/>
      <c r="BI194" s="737"/>
      <c r="BJ194" s="737"/>
      <c r="BK194" s="737"/>
      <c r="BL194" s="737"/>
      <c r="BM194" s="737"/>
      <c r="BN194" s="737"/>
      <c r="BO194" s="737"/>
      <c r="BP194" s="737"/>
      <c r="BQ194" s="737"/>
      <c r="BR194" s="737"/>
      <c r="BS194" s="737"/>
      <c r="BT194" s="737"/>
      <c r="BU194" s="737"/>
      <c r="BV194" s="737"/>
      <c r="BW194" s="737"/>
      <c r="BX194" s="737"/>
      <c r="BY194" s="737"/>
      <c r="BZ194" s="737"/>
      <c r="CA194" s="737"/>
      <c r="CB194" s="737"/>
      <c r="CC194" s="737"/>
      <c r="CD194" s="737"/>
      <c r="CE194" s="737"/>
      <c r="CF194" s="737"/>
      <c r="CG194" s="737"/>
      <c r="CH194" s="737"/>
      <c r="CI194" s="737"/>
      <c r="CJ194" s="737"/>
      <c r="CK194" s="737"/>
      <c r="CL194" s="737"/>
      <c r="CM194" s="737"/>
      <c r="CN194" s="737"/>
      <c r="CO194" s="737"/>
      <c r="CP194" s="737"/>
      <c r="CQ194" s="737"/>
      <c r="CR194" s="737"/>
      <c r="CS194" s="737"/>
      <c r="CT194" s="46"/>
      <c r="CW194" s="970" t="str">
        <f>IF(AND(ISNUMBER(VALUE(TRIM(SUBSTITUTE(AD194,".","")))),TRIM(SUBSTITUTE(AD194,".",""))&lt;&gt;""),"P"&amp;SUBSTITUTE(AD194,".",""),"")</f>
        <v/>
      </c>
      <c r="CX194" s="975"/>
      <c r="CY194" s="975"/>
      <c r="CZ194" s="975"/>
      <c r="DA194" s="976"/>
      <c r="DB194" s="976"/>
    </row>
    <row r="195" spans="1:106" s="1229" customFormat="1" ht="16.5" customHeight="1">
      <c r="A195" s="1155"/>
      <c r="B195" s="783"/>
      <c r="C195" s="1155"/>
      <c r="D195" s="1155"/>
      <c r="E195" s="676">
        <v>17.100000000000001</v>
      </c>
      <c r="F195" s="779" t="str" cm="1">
        <f t="array" aca="1" ref="F195" ca="1">OFFSET(G195,-1,-1)</f>
        <v>1</v>
      </c>
      <c r="G195" s="814"/>
      <c r="H195" s="814"/>
      <c r="I195" s="814"/>
      <c r="J195" s="814"/>
      <c r="K195" s="814"/>
      <c r="L195" s="779" t="b" cm="1">
        <f t="array" aca="1" ref="L195" ca="1">OFFSET(M195,-1,-1)</f>
        <v>0</v>
      </c>
      <c r="M195" s="814"/>
      <c r="N195" s="814"/>
      <c r="O195" s="814"/>
      <c r="P195" s="814"/>
      <c r="Q195" s="814"/>
      <c r="R195" s="1155"/>
      <c r="S195" s="110" t="b" cm="1">
        <f t="array" aca="1" ref="S195" ca="1">OFFSET(T195,-1,-1)</f>
        <v>1</v>
      </c>
      <c r="T195" s="1155"/>
      <c r="U195" s="698" t="b">
        <f t="shared" ca="1" si="80"/>
        <v>1</v>
      </c>
      <c r="V195" s="1155"/>
      <c r="W195" s="1155"/>
      <c r="X195" s="1155"/>
      <c r="Y195" s="1687"/>
      <c r="Z195" s="1687"/>
      <c r="AA195" s="699"/>
      <c r="AB195" s="1784"/>
      <c r="AD195" s="111">
        <v>24</v>
      </c>
      <c r="AE195" s="1759" t="s">
        <v>838</v>
      </c>
      <c r="AF195" s="1760"/>
      <c r="AG195" s="853" t="s">
        <v>839</v>
      </c>
      <c r="AH195" s="734">
        <f t="shared" ref="AH195:BM195" si="130">SUM(AH197:AH200)</f>
        <v>0</v>
      </c>
      <c r="AI195" s="734">
        <f t="shared" si="130"/>
        <v>0</v>
      </c>
      <c r="AJ195" s="734">
        <f t="shared" si="130"/>
        <v>0</v>
      </c>
      <c r="AK195" s="734">
        <f t="shared" si="130"/>
        <v>74328.999999965003</v>
      </c>
      <c r="AL195" s="734">
        <f t="shared" ca="1" si="130"/>
        <v>0</v>
      </c>
      <c r="AM195" s="734">
        <f t="shared" si="130"/>
        <v>0</v>
      </c>
      <c r="AN195" s="734">
        <f t="shared" ca="1" si="130"/>
        <v>0</v>
      </c>
      <c r="AO195" s="734">
        <f t="shared" ca="1" si="130"/>
        <v>0</v>
      </c>
      <c r="AP195" s="734">
        <f t="shared" si="130"/>
        <v>0</v>
      </c>
      <c r="AQ195" s="734">
        <f t="shared" ca="1" si="130"/>
        <v>0</v>
      </c>
      <c r="AR195" s="734">
        <f t="shared" ca="1" si="130"/>
        <v>0</v>
      </c>
      <c r="AS195" s="734">
        <f t="shared" si="130"/>
        <v>0</v>
      </c>
      <c r="AT195" s="734">
        <f t="shared" ca="1" si="130"/>
        <v>0</v>
      </c>
      <c r="AU195" s="734">
        <f t="shared" ca="1" si="130"/>
        <v>0</v>
      </c>
      <c r="AV195" s="734">
        <f t="shared" si="130"/>
        <v>0</v>
      </c>
      <c r="AW195" s="734">
        <f t="shared" ca="1" si="130"/>
        <v>0</v>
      </c>
      <c r="AX195" s="734">
        <f t="shared" ca="1" si="130"/>
        <v>0</v>
      </c>
      <c r="AY195" s="734">
        <f t="shared" si="130"/>
        <v>0</v>
      </c>
      <c r="AZ195" s="734">
        <f t="shared" ca="1" si="130"/>
        <v>0</v>
      </c>
      <c r="BA195" s="734">
        <f t="shared" ca="1" si="130"/>
        <v>0</v>
      </c>
      <c r="BB195" s="734">
        <f t="shared" si="130"/>
        <v>0</v>
      </c>
      <c r="BC195" s="734">
        <f t="shared" ca="1" si="130"/>
        <v>0</v>
      </c>
      <c r="BD195" s="734">
        <f t="shared" ca="1" si="130"/>
        <v>0</v>
      </c>
      <c r="BE195" s="734">
        <f t="shared" si="130"/>
        <v>0</v>
      </c>
      <c r="BF195" s="734">
        <f t="shared" ca="1" si="130"/>
        <v>0</v>
      </c>
      <c r="BG195" s="734">
        <f t="shared" ca="1" si="130"/>
        <v>0</v>
      </c>
      <c r="BH195" s="734">
        <f t="shared" si="130"/>
        <v>0</v>
      </c>
      <c r="BI195" s="734">
        <f t="shared" ca="1" si="130"/>
        <v>0</v>
      </c>
      <c r="BJ195" s="734">
        <f t="shared" ca="1" si="130"/>
        <v>0</v>
      </c>
      <c r="BK195" s="734">
        <f t="shared" si="130"/>
        <v>0</v>
      </c>
      <c r="BL195" s="734">
        <f t="shared" ca="1" si="130"/>
        <v>0</v>
      </c>
      <c r="BM195" s="734">
        <f t="shared" ca="1" si="130"/>
        <v>0</v>
      </c>
      <c r="BN195" s="734">
        <f t="shared" ref="BN195:CS195" si="131">SUM(BN197:BN200)</f>
        <v>0</v>
      </c>
      <c r="BO195" s="734">
        <f t="shared" ca="1" si="131"/>
        <v>0</v>
      </c>
      <c r="BP195" s="734">
        <f t="shared" ca="1" si="131"/>
        <v>74048.38769483057</v>
      </c>
      <c r="BQ195" s="734">
        <f t="shared" si="131"/>
        <v>52971.423451695031</v>
      </c>
      <c r="BR195" s="734">
        <f t="shared" ca="1" si="131"/>
        <v>21076.964243135531</v>
      </c>
      <c r="BS195" s="734">
        <f t="shared" ca="1" si="131"/>
        <v>0</v>
      </c>
      <c r="BT195" s="734">
        <f t="shared" si="131"/>
        <v>0</v>
      </c>
      <c r="BU195" s="734">
        <f t="shared" ca="1" si="131"/>
        <v>0</v>
      </c>
      <c r="BV195" s="734">
        <f t="shared" ca="1" si="131"/>
        <v>0</v>
      </c>
      <c r="BW195" s="734">
        <f t="shared" si="131"/>
        <v>0</v>
      </c>
      <c r="BX195" s="734">
        <f t="shared" ca="1" si="131"/>
        <v>0</v>
      </c>
      <c r="BY195" s="734">
        <f t="shared" ca="1" si="131"/>
        <v>0</v>
      </c>
      <c r="BZ195" s="734">
        <f t="shared" si="131"/>
        <v>0</v>
      </c>
      <c r="CA195" s="734">
        <f t="shared" ca="1" si="131"/>
        <v>0</v>
      </c>
      <c r="CB195" s="734">
        <f t="shared" ca="1" si="131"/>
        <v>0</v>
      </c>
      <c r="CC195" s="734">
        <f t="shared" si="131"/>
        <v>0</v>
      </c>
      <c r="CD195" s="734">
        <f t="shared" ca="1" si="131"/>
        <v>0</v>
      </c>
      <c r="CE195" s="734">
        <f t="shared" ca="1" si="131"/>
        <v>0</v>
      </c>
      <c r="CF195" s="734">
        <f t="shared" si="131"/>
        <v>0</v>
      </c>
      <c r="CG195" s="734">
        <f t="shared" ca="1" si="131"/>
        <v>0</v>
      </c>
      <c r="CH195" s="734">
        <f t="shared" ca="1" si="131"/>
        <v>0</v>
      </c>
      <c r="CI195" s="734">
        <f t="shared" si="131"/>
        <v>0</v>
      </c>
      <c r="CJ195" s="734">
        <f t="shared" ca="1" si="131"/>
        <v>0</v>
      </c>
      <c r="CK195" s="734">
        <f t="shared" ca="1" si="131"/>
        <v>0</v>
      </c>
      <c r="CL195" s="734">
        <f t="shared" si="131"/>
        <v>0</v>
      </c>
      <c r="CM195" s="734">
        <f t="shared" ca="1" si="131"/>
        <v>0</v>
      </c>
      <c r="CN195" s="734">
        <f t="shared" ca="1" si="131"/>
        <v>0</v>
      </c>
      <c r="CO195" s="734">
        <f t="shared" si="131"/>
        <v>0</v>
      </c>
      <c r="CP195" s="734">
        <f t="shared" ca="1" si="131"/>
        <v>0</v>
      </c>
      <c r="CQ195" s="734">
        <f t="shared" ca="1" si="131"/>
        <v>0</v>
      </c>
      <c r="CR195" s="734">
        <f t="shared" si="131"/>
        <v>0</v>
      </c>
      <c r="CS195" s="734">
        <f t="shared" ca="1" si="131"/>
        <v>0</v>
      </c>
      <c r="CT195" s="1290"/>
      <c r="CW195" s="970" t="s">
        <v>840</v>
      </c>
      <c r="CX195" s="975"/>
      <c r="CY195" s="975"/>
      <c r="CZ195" s="975"/>
      <c r="DA195" s="976"/>
      <c r="DB195" s="976"/>
    </row>
    <row r="196" spans="1:106" s="1229" customFormat="1" ht="16.5" hidden="1" customHeight="1">
      <c r="A196" s="1155"/>
      <c r="B196" s="783"/>
      <c r="C196" s="1155"/>
      <c r="D196" s="1155"/>
      <c r="E196" s="676">
        <v>17.100000000000001</v>
      </c>
      <c r="F196" s="779" t="str" cm="1">
        <f t="array" aca="1" ref="F196" ca="1">OFFSET(G196,-1,-1)</f>
        <v>1</v>
      </c>
      <c r="G196" s="814"/>
      <c r="H196" s="814"/>
      <c r="I196" s="814"/>
      <c r="J196" s="814"/>
      <c r="K196" s="814"/>
      <c r="L196" s="779" t="b" cm="1">
        <f t="array" aca="1" ref="L196" ca="1">OFFSET(M196,-1,-1)</f>
        <v>0</v>
      </c>
      <c r="M196" s="814"/>
      <c r="N196" s="814"/>
      <c r="O196" s="814"/>
      <c r="P196" s="814"/>
      <c r="Q196" s="814"/>
      <c r="R196" s="779" t="s">
        <v>759</v>
      </c>
      <c r="S196" s="110" t="b" cm="1">
        <f t="array" aca="1" ref="S196" ca="1">OFFSET(T196,-1,-1)</f>
        <v>1</v>
      </c>
      <c r="T196" s="779" t="b">
        <v>0</v>
      </c>
      <c r="U196" s="698" t="b">
        <f t="shared" ca="1" si="80"/>
        <v>0</v>
      </c>
      <c r="V196" s="1155"/>
      <c r="W196" s="1155"/>
      <c r="X196" s="1155"/>
      <c r="Y196" s="1687"/>
      <c r="Z196" s="1687"/>
      <c r="AA196" s="699"/>
      <c r="AB196" s="1784"/>
      <c r="AD196" s="111" t="str">
        <f>AD195&amp;".0"</f>
        <v>24.0</v>
      </c>
      <c r="AE196" s="1770" t="s">
        <v>770</v>
      </c>
      <c r="AF196" s="1771"/>
      <c r="AG196" s="853" t="s">
        <v>839</v>
      </c>
      <c r="AH196" s="41">
        <f>AH$163*AH195/1000</f>
        <v>0</v>
      </c>
      <c r="AI196" s="41">
        <f>AI$163*AI195/1000</f>
        <v>0</v>
      </c>
      <c r="AJ196" s="41">
        <f>AJ$163*AJ195/1000</f>
        <v>0</v>
      </c>
      <c r="AK196" s="41">
        <f>AK$163*AK195/1000</f>
        <v>74.328999999965006</v>
      </c>
      <c r="AL196" s="736">
        <f ca="1">AM196+AN196</f>
        <v>0</v>
      </c>
      <c r="AM196" s="42">
        <f>AM$163*AM195</f>
        <v>0</v>
      </c>
      <c r="AN196" s="42">
        <f ca="1">AN$163*AN195</f>
        <v>0</v>
      </c>
      <c r="AO196" s="736">
        <f ca="1">AP196+AQ196</f>
        <v>0</v>
      </c>
      <c r="AP196" s="826">
        <f>AP$163*AP195</f>
        <v>0</v>
      </c>
      <c r="AQ196" s="826">
        <f ca="1">AQ$163*AQ195</f>
        <v>0</v>
      </c>
      <c r="AR196" s="736">
        <f ca="1">AS196+AT196</f>
        <v>0</v>
      </c>
      <c r="AS196" s="826">
        <f>AS$163*AS195</f>
        <v>0</v>
      </c>
      <c r="AT196" s="826">
        <f ca="1">AT$163*AT195</f>
        <v>0</v>
      </c>
      <c r="AU196" s="736">
        <f ca="1">AV196+AW196</f>
        <v>0</v>
      </c>
      <c r="AV196" s="826">
        <f>AV$163*AV195</f>
        <v>0</v>
      </c>
      <c r="AW196" s="826">
        <f ca="1">AW$163*AW195</f>
        <v>0</v>
      </c>
      <c r="AX196" s="736">
        <f ca="1">AY196+AZ196</f>
        <v>0</v>
      </c>
      <c r="AY196" s="826">
        <f>AY$163*AY195</f>
        <v>0</v>
      </c>
      <c r="AZ196" s="826">
        <f ca="1">AZ$163*AZ195</f>
        <v>0</v>
      </c>
      <c r="BA196" s="736">
        <f ca="1">BB196+BC196</f>
        <v>0</v>
      </c>
      <c r="BB196" s="42">
        <f>BB$163*BB195</f>
        <v>0</v>
      </c>
      <c r="BC196" s="42">
        <f ca="1">BC$163*BC195</f>
        <v>0</v>
      </c>
      <c r="BD196" s="736">
        <f ca="1">BE196+BF196</f>
        <v>0</v>
      </c>
      <c r="BE196" s="42">
        <f>BE$163*BE195</f>
        <v>0</v>
      </c>
      <c r="BF196" s="42">
        <f ca="1">BF$163*BF195</f>
        <v>0</v>
      </c>
      <c r="BG196" s="736">
        <f ca="1">BH196+BI196</f>
        <v>0</v>
      </c>
      <c r="BH196" s="42">
        <f>BH$163*BH195</f>
        <v>0</v>
      </c>
      <c r="BI196" s="42">
        <f ca="1">BI$163*BI195</f>
        <v>0</v>
      </c>
      <c r="BJ196" s="736">
        <f ca="1">BK196+BL196</f>
        <v>0</v>
      </c>
      <c r="BK196" s="42">
        <f>BK$163*BK195</f>
        <v>0</v>
      </c>
      <c r="BL196" s="42">
        <f ca="1">BL$163*BL195</f>
        <v>0</v>
      </c>
      <c r="BM196" s="736">
        <f ca="1">BN196+BO196</f>
        <v>0</v>
      </c>
      <c r="BN196" s="42">
        <f>BN$163*BN195</f>
        <v>0</v>
      </c>
      <c r="BO196" s="42">
        <f ca="1">BO$163*BO195</f>
        <v>0</v>
      </c>
      <c r="BP196" s="736">
        <f ca="1">BQ196+BR196</f>
        <v>74048.38769483057</v>
      </c>
      <c r="BQ196" s="826">
        <f>BQ$163*BQ195</f>
        <v>52971.423451695031</v>
      </c>
      <c r="BR196" s="826">
        <f ca="1">BR$163*BR195</f>
        <v>21076.964243135531</v>
      </c>
      <c r="BS196" s="736">
        <f ca="1">BT196+BU196</f>
        <v>0</v>
      </c>
      <c r="BT196" s="826">
        <f>BT$163*BT195</f>
        <v>0</v>
      </c>
      <c r="BU196" s="826">
        <f ca="1">BU$163*BU195</f>
        <v>0</v>
      </c>
      <c r="BV196" s="736">
        <f ca="1">BW196+BX196</f>
        <v>0</v>
      </c>
      <c r="BW196" s="826">
        <f>BW$163*BW195</f>
        <v>0</v>
      </c>
      <c r="BX196" s="826">
        <f ca="1">BX$163*BX195</f>
        <v>0</v>
      </c>
      <c r="BY196" s="736">
        <f ca="1">BZ196+CA196</f>
        <v>0</v>
      </c>
      <c r="BZ196" s="826">
        <f>BZ$163*BZ195</f>
        <v>0</v>
      </c>
      <c r="CA196" s="826">
        <f ca="1">CA$163*CA195</f>
        <v>0</v>
      </c>
      <c r="CB196" s="736">
        <f ca="1">CC196+CD196</f>
        <v>0</v>
      </c>
      <c r="CC196" s="826">
        <f>CC$163*CC195</f>
        <v>0</v>
      </c>
      <c r="CD196" s="826">
        <f ca="1">CD$163*CD195</f>
        <v>0</v>
      </c>
      <c r="CE196" s="736">
        <f ca="1">CF196+CG196</f>
        <v>0</v>
      </c>
      <c r="CF196" s="42">
        <f>CF$163*CF195</f>
        <v>0</v>
      </c>
      <c r="CG196" s="42">
        <f ca="1">CG$163*CG195</f>
        <v>0</v>
      </c>
      <c r="CH196" s="736">
        <f ca="1">CI196+CJ196</f>
        <v>0</v>
      </c>
      <c r="CI196" s="42">
        <f>CI$163*CI195</f>
        <v>0</v>
      </c>
      <c r="CJ196" s="42">
        <f ca="1">CJ$163*CJ195</f>
        <v>0</v>
      </c>
      <c r="CK196" s="736">
        <f ca="1">CL196+CM196</f>
        <v>0</v>
      </c>
      <c r="CL196" s="42">
        <f>CL$163*CL195</f>
        <v>0</v>
      </c>
      <c r="CM196" s="42">
        <f ca="1">CM$163*CM195</f>
        <v>0</v>
      </c>
      <c r="CN196" s="736">
        <f ca="1">CO196+CP196</f>
        <v>0</v>
      </c>
      <c r="CO196" s="42">
        <f>CO$163*CO195</f>
        <v>0</v>
      </c>
      <c r="CP196" s="42">
        <f ca="1">CP$163*CP195</f>
        <v>0</v>
      </c>
      <c r="CQ196" s="736">
        <f ca="1">CR196+CS196</f>
        <v>0</v>
      </c>
      <c r="CR196" s="42">
        <f>CR$163*CR195</f>
        <v>0</v>
      </c>
      <c r="CS196" s="42">
        <f ca="1">CS$163*CS195</f>
        <v>0</v>
      </c>
      <c r="CT196" s="28"/>
      <c r="CW196" s="970" t="s">
        <v>841</v>
      </c>
      <c r="CX196" s="975"/>
      <c r="CY196" s="975"/>
      <c r="CZ196" s="975"/>
      <c r="DA196" s="976"/>
      <c r="DB196" s="976"/>
    </row>
    <row r="197" spans="1:106" s="1229" customFormat="1" ht="16.5" hidden="1" customHeight="1">
      <c r="E197" s="676">
        <v>17.100000000000001</v>
      </c>
      <c r="F197" s="779" t="str" cm="1">
        <f t="array" aca="1" ref="F197" ca="1">OFFSET(G197,-1,-1)</f>
        <v>1</v>
      </c>
      <c r="L197" s="779" t="b" cm="1">
        <f t="array" aca="1" ref="L197" ca="1">OFFSET(M197,-1,-1)</f>
        <v>0</v>
      </c>
      <c r="S197" s="110" t="b" cm="1">
        <f t="array" aca="1" ref="S197" ca="1">OFFSET(T197,-1,-1)</f>
        <v>1</v>
      </c>
      <c r="T197" s="110" t="b">
        <f>AD197&lt;&gt;"24.0"</f>
        <v>0</v>
      </c>
      <c r="U197" s="698" t="b">
        <f t="shared" ca="1" si="80"/>
        <v>0</v>
      </c>
      <c r="X197" s="110" t="s">
        <v>236</v>
      </c>
      <c r="Y197" s="1722"/>
      <c r="Z197" s="1722"/>
      <c r="AB197" s="1784"/>
      <c r="AD197" s="111" t="s">
        <v>842</v>
      </c>
      <c r="AE197" s="821"/>
      <c r="AF197" s="524"/>
      <c r="AG197" s="853" t="s">
        <v>839</v>
      </c>
      <c r="AH197" s="41"/>
      <c r="AI197" s="42"/>
      <c r="AJ197" s="42"/>
      <c r="AK197" s="42"/>
      <c r="AL197" s="736">
        <f ca="1">AM197+AN197</f>
        <v>0</v>
      </c>
      <c r="AM197" s="42">
        <f t="shared" ref="AM197:AN199" si="132">AM191*AM181/1000</f>
        <v>0</v>
      </c>
      <c r="AN197" s="42">
        <f t="shared" ca="1" si="132"/>
        <v>0</v>
      </c>
      <c r="AO197" s="736">
        <f ca="1">AP197+AQ197</f>
        <v>0</v>
      </c>
      <c r="AP197" s="826">
        <f t="shared" ref="AP197:AQ199" si="133">AP191*AP181/1000</f>
        <v>0</v>
      </c>
      <c r="AQ197" s="826">
        <f t="shared" ca="1" si="133"/>
        <v>0</v>
      </c>
      <c r="AR197" s="736">
        <f ca="1">AS197+AT197</f>
        <v>0</v>
      </c>
      <c r="AS197" s="826">
        <f t="shared" ref="AS197:AT199" si="134">AS191*AS181/1000</f>
        <v>0</v>
      </c>
      <c r="AT197" s="826">
        <f t="shared" ca="1" si="134"/>
        <v>0</v>
      </c>
      <c r="AU197" s="736">
        <f ca="1">AV197+AW197</f>
        <v>0</v>
      </c>
      <c r="AV197" s="826">
        <f t="shared" ref="AV197:AW199" si="135">AV191*AV181/1000</f>
        <v>0</v>
      </c>
      <c r="AW197" s="826">
        <f t="shared" ca="1" si="135"/>
        <v>0</v>
      </c>
      <c r="AX197" s="736">
        <f ca="1">AY197+AZ197</f>
        <v>0</v>
      </c>
      <c r="AY197" s="826">
        <f t="shared" ref="AY197:AZ199" si="136">AY191*AY181/1000</f>
        <v>0</v>
      </c>
      <c r="AZ197" s="826">
        <f t="shared" ca="1" si="136"/>
        <v>0</v>
      </c>
      <c r="BA197" s="736">
        <f ca="1">BB197+BC197</f>
        <v>0</v>
      </c>
      <c r="BB197" s="42">
        <f t="shared" ref="BB197:BC199" si="137">BB191*BB181/1000</f>
        <v>0</v>
      </c>
      <c r="BC197" s="42">
        <f t="shared" ca="1" si="137"/>
        <v>0</v>
      </c>
      <c r="BD197" s="736">
        <f ca="1">BE197+BF197</f>
        <v>0</v>
      </c>
      <c r="BE197" s="42">
        <f t="shared" ref="BE197:BF199" si="138">BE191*BE181/1000</f>
        <v>0</v>
      </c>
      <c r="BF197" s="42">
        <f t="shared" ca="1" si="138"/>
        <v>0</v>
      </c>
      <c r="BG197" s="736">
        <f ca="1">BH197+BI197</f>
        <v>0</v>
      </c>
      <c r="BH197" s="42">
        <f t="shared" ref="BH197:BI199" si="139">BH191*BH181/1000</f>
        <v>0</v>
      </c>
      <c r="BI197" s="42">
        <f t="shared" ca="1" si="139"/>
        <v>0</v>
      </c>
      <c r="BJ197" s="736">
        <f ca="1">BK197+BL197</f>
        <v>0</v>
      </c>
      <c r="BK197" s="42">
        <f t="shared" ref="BK197:BL199" si="140">BK191*BK181/1000</f>
        <v>0</v>
      </c>
      <c r="BL197" s="42">
        <f t="shared" ca="1" si="140"/>
        <v>0</v>
      </c>
      <c r="BM197" s="736">
        <f ca="1">BN197+BO197</f>
        <v>0</v>
      </c>
      <c r="BN197" s="42">
        <f t="shared" ref="BN197:BO199" si="141">BN191*BN181/1000</f>
        <v>0</v>
      </c>
      <c r="BO197" s="42">
        <f t="shared" ca="1" si="141"/>
        <v>0</v>
      </c>
      <c r="BP197" s="736">
        <f ca="1">BQ197+BR197</f>
        <v>0</v>
      </c>
      <c r="BQ197" s="826">
        <f t="shared" ref="BQ197:BR199" si="142">BQ191*BQ181/1000</f>
        <v>0</v>
      </c>
      <c r="BR197" s="826">
        <f t="shared" ca="1" si="142"/>
        <v>0</v>
      </c>
      <c r="BS197" s="736">
        <f ca="1">BT197+BU197</f>
        <v>0</v>
      </c>
      <c r="BT197" s="826">
        <f t="shared" ref="BT197:BU199" si="143">BT191*BT181/1000</f>
        <v>0</v>
      </c>
      <c r="BU197" s="826">
        <f t="shared" ca="1" si="143"/>
        <v>0</v>
      </c>
      <c r="BV197" s="736">
        <f ca="1">BW197+BX197</f>
        <v>0</v>
      </c>
      <c r="BW197" s="826">
        <f t="shared" ref="BW197:BX199" si="144">BW191*BW181/1000</f>
        <v>0</v>
      </c>
      <c r="BX197" s="826">
        <f t="shared" ca="1" si="144"/>
        <v>0</v>
      </c>
      <c r="BY197" s="736">
        <f ca="1">BZ197+CA197</f>
        <v>0</v>
      </c>
      <c r="BZ197" s="826">
        <f t="shared" ref="BZ197:CA199" si="145">BZ191*BZ181/1000</f>
        <v>0</v>
      </c>
      <c r="CA197" s="826">
        <f t="shared" ca="1" si="145"/>
        <v>0</v>
      </c>
      <c r="CB197" s="736">
        <f ca="1">CC197+CD197</f>
        <v>0</v>
      </c>
      <c r="CC197" s="826">
        <f t="shared" ref="CC197:CD199" si="146">CC191*CC181/1000</f>
        <v>0</v>
      </c>
      <c r="CD197" s="826">
        <f t="shared" ca="1" si="146"/>
        <v>0</v>
      </c>
      <c r="CE197" s="736">
        <f ca="1">CF197+CG197</f>
        <v>0</v>
      </c>
      <c r="CF197" s="42">
        <f t="shared" ref="CF197:CG199" si="147">CF191*CF181/1000</f>
        <v>0</v>
      </c>
      <c r="CG197" s="42">
        <f t="shared" ca="1" si="147"/>
        <v>0</v>
      </c>
      <c r="CH197" s="736">
        <f ca="1">CI197+CJ197</f>
        <v>0</v>
      </c>
      <c r="CI197" s="42">
        <f t="shared" ref="CI197:CJ199" si="148">CI191*CI181/1000</f>
        <v>0</v>
      </c>
      <c r="CJ197" s="42">
        <f t="shared" ca="1" si="148"/>
        <v>0</v>
      </c>
      <c r="CK197" s="736">
        <f ca="1">CL197+CM197</f>
        <v>0</v>
      </c>
      <c r="CL197" s="42">
        <f t="shared" ref="CL197:CM199" si="149">CL191*CL181/1000</f>
        <v>0</v>
      </c>
      <c r="CM197" s="42">
        <f t="shared" ca="1" si="149"/>
        <v>0</v>
      </c>
      <c r="CN197" s="736">
        <f ca="1">CO197+CP197</f>
        <v>0</v>
      </c>
      <c r="CO197" s="42">
        <f t="shared" ref="CO197:CP199" si="150">CO191*CO181/1000</f>
        <v>0</v>
      </c>
      <c r="CP197" s="42">
        <f t="shared" ca="1" si="150"/>
        <v>0</v>
      </c>
      <c r="CQ197" s="736">
        <f ca="1">CR197+CS197</f>
        <v>0</v>
      </c>
      <c r="CR197" s="42">
        <f t="shared" ref="CR197:CS199" si="151">CR191*CR181/1000</f>
        <v>0</v>
      </c>
      <c r="CS197" s="42">
        <f t="shared" ca="1" si="151"/>
        <v>0</v>
      </c>
      <c r="CT197" s="28"/>
      <c r="CW197" s="970" t="s">
        <v>841</v>
      </c>
      <c r="CX197" s="975" t="s">
        <v>821</v>
      </c>
      <c r="CY197" s="979" cm="1">
        <f t="array" ref="CY197">AE197</f>
        <v>0</v>
      </c>
      <c r="CZ197" s="979" cm="1">
        <f t="array" ref="CZ197">AF197</f>
        <v>0</v>
      </c>
      <c r="DA197" s="976"/>
      <c r="DB197" s="976"/>
    </row>
    <row r="198" spans="1:106" s="1229" customFormat="1" ht="16.5" customHeight="1">
      <c r="E198" s="676">
        <v>17.100000000000001</v>
      </c>
      <c r="F198" s="779" t="str" cm="1">
        <f t="array" aca="1" ref="F198" ca="1">OFFSET(G198,-1,-1)</f>
        <v>1</v>
      </c>
      <c r="L198" s="779" t="b" cm="1">
        <f t="array" aca="1" ref="L198" ca="1">OFFSET(M198,-1,-1)</f>
        <v>0</v>
      </c>
      <c r="S198" s="110" t="b" cm="1">
        <f t="array" aca="1" ref="S198" ca="1">OFFSET(T198,-1,-1)</f>
        <v>1</v>
      </c>
      <c r="T198" s="110" t="b">
        <f>AD198&lt;&gt;"24.0"</f>
        <v>1</v>
      </c>
      <c r="U198" s="698" t="b">
        <f t="shared" ca="1" si="80"/>
        <v>1</v>
      </c>
      <c r="X198" s="110" t="str">
        <f>'Топливо 4.4'!$AE$192&amp;'Топливо 4.4'!$AF$192</f>
        <v>Уголь длиннопламенный</v>
      </c>
      <c r="Y198" s="1722"/>
      <c r="Z198" s="1722"/>
      <c r="AB198" s="1784"/>
      <c r="AD198" s="111" t="s">
        <v>943</v>
      </c>
      <c r="AE198" s="821" t="str" cm="1">
        <f t="array" ref="AE198">IF(ISBLANK('Топливо 4.4'!$AE$192),"",'Топливо 4.4'!$AE$192)</f>
        <v>Уголь длиннопламенный</v>
      </c>
      <c r="AF198" s="524" t="str" cm="1">
        <f t="array" ref="AF198">IF(ISBLANK('Топливо 4.4'!$AF$192),"",'Топливо 4.4'!$AF$192)</f>
        <v/>
      </c>
      <c r="AG198" s="853" t="s">
        <v>839</v>
      </c>
      <c r="AH198" s="1303"/>
      <c r="AI198" s="1302"/>
      <c r="AJ198" s="1302"/>
      <c r="AK198" s="1302">
        <v>71064.266000000003</v>
      </c>
      <c r="AL198" s="736">
        <f ca="1">AM198+AN198</f>
        <v>0</v>
      </c>
      <c r="AM198" s="1302">
        <f t="shared" si="132"/>
        <v>0</v>
      </c>
      <c r="AN198" s="1302">
        <f t="shared" ca="1" si="132"/>
        <v>0</v>
      </c>
      <c r="AO198" s="736">
        <f ca="1">AP198+AQ198</f>
        <v>0</v>
      </c>
      <c r="AP198" s="826">
        <f t="shared" si="133"/>
        <v>0</v>
      </c>
      <c r="AQ198" s="826">
        <f t="shared" ca="1" si="133"/>
        <v>0</v>
      </c>
      <c r="AR198" s="736">
        <f ca="1">AS198+AT198</f>
        <v>0</v>
      </c>
      <c r="AS198" s="826">
        <f t="shared" si="134"/>
        <v>0</v>
      </c>
      <c r="AT198" s="826">
        <f t="shared" ca="1" si="134"/>
        <v>0</v>
      </c>
      <c r="AU198" s="736">
        <f ca="1">AV198+AW198</f>
        <v>0</v>
      </c>
      <c r="AV198" s="826">
        <f t="shared" si="135"/>
        <v>0</v>
      </c>
      <c r="AW198" s="826">
        <f t="shared" ca="1" si="135"/>
        <v>0</v>
      </c>
      <c r="AX198" s="736">
        <f ca="1">AY198+AZ198</f>
        <v>0</v>
      </c>
      <c r="AY198" s="826">
        <f t="shared" si="136"/>
        <v>0</v>
      </c>
      <c r="AZ198" s="826">
        <f t="shared" ca="1" si="136"/>
        <v>0</v>
      </c>
      <c r="BA198" s="736">
        <f ca="1">BB198+BC198</f>
        <v>0</v>
      </c>
      <c r="BB198" s="1302">
        <f t="shared" si="137"/>
        <v>0</v>
      </c>
      <c r="BC198" s="1302">
        <f t="shared" ca="1" si="137"/>
        <v>0</v>
      </c>
      <c r="BD198" s="736">
        <f ca="1">BE198+BF198</f>
        <v>0</v>
      </c>
      <c r="BE198" s="1302">
        <f t="shared" si="138"/>
        <v>0</v>
      </c>
      <c r="BF198" s="1302">
        <f t="shared" ca="1" si="138"/>
        <v>0</v>
      </c>
      <c r="BG198" s="736">
        <f ca="1">BH198+BI198</f>
        <v>0</v>
      </c>
      <c r="BH198" s="1302">
        <f t="shared" si="139"/>
        <v>0</v>
      </c>
      <c r="BI198" s="1302">
        <f t="shared" ca="1" si="139"/>
        <v>0</v>
      </c>
      <c r="BJ198" s="736">
        <f ca="1">BK198+BL198</f>
        <v>0</v>
      </c>
      <c r="BK198" s="1302">
        <f t="shared" si="140"/>
        <v>0</v>
      </c>
      <c r="BL198" s="1302">
        <f t="shared" ca="1" si="140"/>
        <v>0</v>
      </c>
      <c r="BM198" s="736">
        <f ca="1">BN198+BO198</f>
        <v>0</v>
      </c>
      <c r="BN198" s="1302">
        <f t="shared" si="141"/>
        <v>0</v>
      </c>
      <c r="BO198" s="1302">
        <f t="shared" ca="1" si="141"/>
        <v>0</v>
      </c>
      <c r="BP198" s="736">
        <f ca="1">BQ198+BR198</f>
        <v>74048.38769483057</v>
      </c>
      <c r="BQ198" s="826">
        <f t="shared" si="142"/>
        <v>52971.423451695031</v>
      </c>
      <c r="BR198" s="826">
        <f t="shared" ca="1" si="142"/>
        <v>21076.964243135531</v>
      </c>
      <c r="BS198" s="736">
        <f ca="1">BT198+BU198</f>
        <v>0</v>
      </c>
      <c r="BT198" s="826">
        <f t="shared" si="143"/>
        <v>0</v>
      </c>
      <c r="BU198" s="826">
        <f t="shared" ca="1" si="143"/>
        <v>0</v>
      </c>
      <c r="BV198" s="736">
        <f ca="1">BW198+BX198</f>
        <v>0</v>
      </c>
      <c r="BW198" s="826">
        <f t="shared" si="144"/>
        <v>0</v>
      </c>
      <c r="BX198" s="826">
        <f t="shared" ca="1" si="144"/>
        <v>0</v>
      </c>
      <c r="BY198" s="736">
        <f ca="1">BZ198+CA198</f>
        <v>0</v>
      </c>
      <c r="BZ198" s="826">
        <f t="shared" si="145"/>
        <v>0</v>
      </c>
      <c r="CA198" s="826">
        <f t="shared" ca="1" si="145"/>
        <v>0</v>
      </c>
      <c r="CB198" s="736">
        <f ca="1">CC198+CD198</f>
        <v>0</v>
      </c>
      <c r="CC198" s="826">
        <f t="shared" si="146"/>
        <v>0</v>
      </c>
      <c r="CD198" s="826">
        <f t="shared" ca="1" si="146"/>
        <v>0</v>
      </c>
      <c r="CE198" s="736">
        <f ca="1">CF198+CG198</f>
        <v>0</v>
      </c>
      <c r="CF198" s="1302">
        <f t="shared" si="147"/>
        <v>0</v>
      </c>
      <c r="CG198" s="1302">
        <f t="shared" ca="1" si="147"/>
        <v>0</v>
      </c>
      <c r="CH198" s="736">
        <f ca="1">CI198+CJ198</f>
        <v>0</v>
      </c>
      <c r="CI198" s="1302">
        <f t="shared" si="148"/>
        <v>0</v>
      </c>
      <c r="CJ198" s="1302">
        <f t="shared" ca="1" si="148"/>
        <v>0</v>
      </c>
      <c r="CK198" s="736">
        <f ca="1">CL198+CM198</f>
        <v>0</v>
      </c>
      <c r="CL198" s="1302">
        <f t="shared" si="149"/>
        <v>0</v>
      </c>
      <c r="CM198" s="1302">
        <f t="shared" ca="1" si="149"/>
        <v>0</v>
      </c>
      <c r="CN198" s="736">
        <f ca="1">CO198+CP198</f>
        <v>0</v>
      </c>
      <c r="CO198" s="1302">
        <f t="shared" si="150"/>
        <v>0</v>
      </c>
      <c r="CP198" s="1302">
        <f t="shared" ca="1" si="150"/>
        <v>0</v>
      </c>
      <c r="CQ198" s="736">
        <f ca="1">CR198+CS198</f>
        <v>0</v>
      </c>
      <c r="CR198" s="1302">
        <f t="shared" si="151"/>
        <v>0</v>
      </c>
      <c r="CS198" s="1302">
        <f t="shared" ca="1" si="151"/>
        <v>0</v>
      </c>
      <c r="CT198" s="1290"/>
      <c r="CW198" s="970" t="s">
        <v>841</v>
      </c>
      <c r="CX198" s="975" t="s">
        <v>821</v>
      </c>
      <c r="CY198" s="979" t="str" cm="1">
        <f t="array" ref="CY198">AE198</f>
        <v>Уголь длиннопламенный</v>
      </c>
      <c r="CZ198" s="979" t="str" cm="1">
        <f t="array" ref="CZ198">AF198</f>
        <v/>
      </c>
      <c r="DA198" s="976"/>
      <c r="DB198" s="976"/>
    </row>
    <row r="199" spans="1:106" s="1229" customFormat="1" ht="16.5" customHeight="1">
      <c r="E199" s="676">
        <v>17.100000000000001</v>
      </c>
      <c r="F199" s="779" t="str" cm="1">
        <f t="array" aca="1" ref="F199" ca="1">OFFSET(G199,-1,-1)</f>
        <v>1</v>
      </c>
      <c r="L199" s="779" t="b" cm="1">
        <f t="array" aca="1" ref="L199" ca="1">OFFSET(M199,-1,-1)</f>
        <v>0</v>
      </c>
      <c r="S199" s="110" t="b" cm="1">
        <f t="array" aca="1" ref="S199" ca="1">OFFSET(T199,-1,-1)</f>
        <v>1</v>
      </c>
      <c r="T199" s="110" t="b">
        <f>AD199&lt;&gt;"24.0"</f>
        <v>1</v>
      </c>
      <c r="U199" s="698" t="b">
        <f t="shared" ca="1" si="80"/>
        <v>1</v>
      </c>
      <c r="X199" s="110" t="str">
        <f>'Топливо 4.4'!$AE$193&amp;'Топливо 4.4'!$AF$193</f>
        <v>Уголь бурый</v>
      </c>
      <c r="Y199" s="1722"/>
      <c r="Z199" s="1722"/>
      <c r="AB199" s="1784"/>
      <c r="AD199" s="111" t="s">
        <v>944</v>
      </c>
      <c r="AE199" s="821" t="str" cm="1">
        <f t="array" ref="AE199">IF(ISBLANK('Топливо 4.4'!$AE$193),"",'Топливо 4.4'!$AE$193)</f>
        <v>Уголь бурый</v>
      </c>
      <c r="AF199" s="524" t="str" cm="1">
        <f t="array" ref="AF199">IF(ISBLANK('Топливо 4.4'!$AF$193),"",'Топливо 4.4'!$AF$193)</f>
        <v/>
      </c>
      <c r="AG199" s="853" t="s">
        <v>839</v>
      </c>
      <c r="AH199" s="1303"/>
      <c r="AI199" s="1302"/>
      <c r="AJ199" s="1302"/>
      <c r="AK199" s="1302">
        <v>3264.7339999649998</v>
      </c>
      <c r="AL199" s="736">
        <f ca="1">AM199+AN199</f>
        <v>0</v>
      </c>
      <c r="AM199" s="1302">
        <f t="shared" si="132"/>
        <v>0</v>
      </c>
      <c r="AN199" s="1302">
        <f t="shared" ca="1" si="132"/>
        <v>0</v>
      </c>
      <c r="AO199" s="736">
        <f ca="1">AP199+AQ199</f>
        <v>0</v>
      </c>
      <c r="AP199" s="826">
        <f t="shared" si="133"/>
        <v>0</v>
      </c>
      <c r="AQ199" s="826">
        <f t="shared" ca="1" si="133"/>
        <v>0</v>
      </c>
      <c r="AR199" s="736">
        <f ca="1">AS199+AT199</f>
        <v>0</v>
      </c>
      <c r="AS199" s="826">
        <f t="shared" si="134"/>
        <v>0</v>
      </c>
      <c r="AT199" s="826">
        <f t="shared" ca="1" si="134"/>
        <v>0</v>
      </c>
      <c r="AU199" s="736">
        <f ca="1">AV199+AW199</f>
        <v>0</v>
      </c>
      <c r="AV199" s="826">
        <f t="shared" si="135"/>
        <v>0</v>
      </c>
      <c r="AW199" s="826">
        <f t="shared" ca="1" si="135"/>
        <v>0</v>
      </c>
      <c r="AX199" s="736">
        <f ca="1">AY199+AZ199</f>
        <v>0</v>
      </c>
      <c r="AY199" s="826">
        <f t="shared" si="136"/>
        <v>0</v>
      </c>
      <c r="AZ199" s="826">
        <f t="shared" ca="1" si="136"/>
        <v>0</v>
      </c>
      <c r="BA199" s="736">
        <f ca="1">BB199+BC199</f>
        <v>0</v>
      </c>
      <c r="BB199" s="1302">
        <f t="shared" si="137"/>
        <v>0</v>
      </c>
      <c r="BC199" s="1302">
        <f t="shared" ca="1" si="137"/>
        <v>0</v>
      </c>
      <c r="BD199" s="736">
        <f ca="1">BE199+BF199</f>
        <v>0</v>
      </c>
      <c r="BE199" s="1302">
        <f t="shared" si="138"/>
        <v>0</v>
      </c>
      <c r="BF199" s="1302">
        <f t="shared" ca="1" si="138"/>
        <v>0</v>
      </c>
      <c r="BG199" s="736">
        <f ca="1">BH199+BI199</f>
        <v>0</v>
      </c>
      <c r="BH199" s="1302">
        <f t="shared" si="139"/>
        <v>0</v>
      </c>
      <c r="BI199" s="1302">
        <f t="shared" ca="1" si="139"/>
        <v>0</v>
      </c>
      <c r="BJ199" s="736">
        <f ca="1">BK199+BL199</f>
        <v>0</v>
      </c>
      <c r="BK199" s="1302">
        <f t="shared" si="140"/>
        <v>0</v>
      </c>
      <c r="BL199" s="1302">
        <f t="shared" ca="1" si="140"/>
        <v>0</v>
      </c>
      <c r="BM199" s="736">
        <f ca="1">BN199+BO199</f>
        <v>0</v>
      </c>
      <c r="BN199" s="1302">
        <f t="shared" si="141"/>
        <v>0</v>
      </c>
      <c r="BO199" s="1302">
        <f t="shared" ca="1" si="141"/>
        <v>0</v>
      </c>
      <c r="BP199" s="736">
        <f ca="1">BQ199+BR199</f>
        <v>0</v>
      </c>
      <c r="BQ199" s="826">
        <f t="shared" si="142"/>
        <v>0</v>
      </c>
      <c r="BR199" s="826">
        <f t="shared" ca="1" si="142"/>
        <v>0</v>
      </c>
      <c r="BS199" s="736">
        <f ca="1">BT199+BU199</f>
        <v>0</v>
      </c>
      <c r="BT199" s="826">
        <f t="shared" si="143"/>
        <v>0</v>
      </c>
      <c r="BU199" s="826">
        <f t="shared" ca="1" si="143"/>
        <v>0</v>
      </c>
      <c r="BV199" s="736">
        <f ca="1">BW199+BX199</f>
        <v>0</v>
      </c>
      <c r="BW199" s="826">
        <f t="shared" si="144"/>
        <v>0</v>
      </c>
      <c r="BX199" s="826">
        <f t="shared" ca="1" si="144"/>
        <v>0</v>
      </c>
      <c r="BY199" s="736">
        <f ca="1">BZ199+CA199</f>
        <v>0</v>
      </c>
      <c r="BZ199" s="826">
        <f t="shared" si="145"/>
        <v>0</v>
      </c>
      <c r="CA199" s="826">
        <f t="shared" ca="1" si="145"/>
        <v>0</v>
      </c>
      <c r="CB199" s="736">
        <f ca="1">CC199+CD199</f>
        <v>0</v>
      </c>
      <c r="CC199" s="826">
        <f t="shared" si="146"/>
        <v>0</v>
      </c>
      <c r="CD199" s="826">
        <f t="shared" ca="1" si="146"/>
        <v>0</v>
      </c>
      <c r="CE199" s="736">
        <f ca="1">CF199+CG199</f>
        <v>0</v>
      </c>
      <c r="CF199" s="1302">
        <f t="shared" si="147"/>
        <v>0</v>
      </c>
      <c r="CG199" s="1302">
        <f t="shared" ca="1" si="147"/>
        <v>0</v>
      </c>
      <c r="CH199" s="736">
        <f ca="1">CI199+CJ199</f>
        <v>0</v>
      </c>
      <c r="CI199" s="1302">
        <f t="shared" si="148"/>
        <v>0</v>
      </c>
      <c r="CJ199" s="1302">
        <f t="shared" ca="1" si="148"/>
        <v>0</v>
      </c>
      <c r="CK199" s="736">
        <f ca="1">CL199+CM199</f>
        <v>0</v>
      </c>
      <c r="CL199" s="1302">
        <f t="shared" si="149"/>
        <v>0</v>
      </c>
      <c r="CM199" s="1302">
        <f t="shared" ca="1" si="149"/>
        <v>0</v>
      </c>
      <c r="CN199" s="736">
        <f ca="1">CO199+CP199</f>
        <v>0</v>
      </c>
      <c r="CO199" s="1302">
        <f t="shared" si="150"/>
        <v>0</v>
      </c>
      <c r="CP199" s="1302">
        <f t="shared" ca="1" si="150"/>
        <v>0</v>
      </c>
      <c r="CQ199" s="736">
        <f ca="1">CR199+CS199</f>
        <v>0</v>
      </c>
      <c r="CR199" s="1302">
        <f t="shared" si="151"/>
        <v>0</v>
      </c>
      <c r="CS199" s="1302">
        <f t="shared" ca="1" si="151"/>
        <v>0</v>
      </c>
      <c r="CT199" s="1290"/>
      <c r="CW199" s="970" t="s">
        <v>841</v>
      </c>
      <c r="CX199" s="975" t="s">
        <v>821</v>
      </c>
      <c r="CY199" s="979" t="str" cm="1">
        <f t="array" ref="CY199">AE199</f>
        <v>Уголь бурый</v>
      </c>
      <c r="CZ199" s="979" t="str" cm="1">
        <f t="array" ref="CZ199">AF199</f>
        <v/>
      </c>
      <c r="DA199" s="976"/>
      <c r="DB199" s="976"/>
    </row>
    <row r="200" spans="1:106" s="1229" customFormat="1" ht="17.25" hidden="1" customHeight="1">
      <c r="A200" s="1155"/>
      <c r="B200" s="783"/>
      <c r="C200" s="1155"/>
      <c r="D200" s="1155"/>
      <c r="E200" s="676">
        <v>0</v>
      </c>
      <c r="F200" s="779" t="str" cm="1">
        <f t="array" aca="1" ref="F200" ca="1">OFFSET(G200,-1,-1)</f>
        <v>1</v>
      </c>
      <c r="G200" s="814"/>
      <c r="H200" s="814"/>
      <c r="I200" s="814"/>
      <c r="J200" s="814"/>
      <c r="K200" s="814"/>
      <c r="L200" s="779" t="b" cm="1">
        <f t="array" aca="1" ref="L200" ca="1">OFFSET(M200,-1,-1)</f>
        <v>0</v>
      </c>
      <c r="M200" s="814"/>
      <c r="N200" s="814"/>
      <c r="O200" s="814"/>
      <c r="P200" s="814"/>
      <c r="Q200" s="814"/>
      <c r="R200" s="1155"/>
      <c r="S200" s="110" t="b" cm="1">
        <f t="array" aca="1" ref="S200" ca="1">OFFSET(T200,-1,-1)</f>
        <v>1</v>
      </c>
      <c r="T200" s="1155"/>
      <c r="U200" s="698" t="b">
        <f t="shared" ca="1" si="80"/>
        <v>1</v>
      </c>
      <c r="V200" s="1155"/>
      <c r="W200" s="1155"/>
      <c r="X200" s="820" t="str">
        <f>"{                  
         funcDyn: 'msg1',
         blok: 'blok_2',
         wsCross: 'Топливо 4.4',
         linkFormula: 'AE-AE#AF-AF',
         levelDyn: "&amp;Y139&amp;"
}"</f>
        <v>{                  
         funcDyn: 'msg1',
         blok: 'blok_2',
         wsCross: 'Топливо 4.4',
         linkFormula: 'AE-AE#AF-AF',
         levelDyn: 1
}</v>
      </c>
      <c r="Y200" s="1687"/>
      <c r="Z200" s="1687"/>
      <c r="AA200" s="699"/>
      <c r="AB200" s="1784"/>
      <c r="AD200" s="823"/>
      <c r="AE200" s="822" t="s">
        <v>238</v>
      </c>
      <c r="AF200" s="745"/>
      <c r="AG200" s="733"/>
      <c r="AH200" s="735"/>
      <c r="AI200" s="737"/>
      <c r="AJ200" s="737"/>
      <c r="AK200" s="737"/>
      <c r="AL200" s="737"/>
      <c r="AM200" s="737"/>
      <c r="AN200" s="737"/>
      <c r="AO200" s="737"/>
      <c r="AP200" s="737"/>
      <c r="AQ200" s="737"/>
      <c r="AR200" s="737"/>
      <c r="AS200" s="737"/>
      <c r="AT200" s="737"/>
      <c r="AU200" s="737"/>
      <c r="AV200" s="737"/>
      <c r="AW200" s="737"/>
      <c r="AX200" s="737"/>
      <c r="AY200" s="737"/>
      <c r="AZ200" s="737"/>
      <c r="BA200" s="737"/>
      <c r="BB200" s="737"/>
      <c r="BC200" s="737"/>
      <c r="BD200" s="737"/>
      <c r="BE200" s="737"/>
      <c r="BF200" s="737"/>
      <c r="BG200" s="737"/>
      <c r="BH200" s="737"/>
      <c r="BI200" s="737"/>
      <c r="BJ200" s="737"/>
      <c r="BK200" s="737"/>
      <c r="BL200" s="737"/>
      <c r="BM200" s="737"/>
      <c r="BN200" s="737"/>
      <c r="BO200" s="737"/>
      <c r="BP200" s="737"/>
      <c r="BQ200" s="737"/>
      <c r="BR200" s="737"/>
      <c r="BS200" s="737"/>
      <c r="BT200" s="737"/>
      <c r="BU200" s="737"/>
      <c r="BV200" s="737"/>
      <c r="BW200" s="737"/>
      <c r="BX200" s="737"/>
      <c r="BY200" s="737"/>
      <c r="BZ200" s="737"/>
      <c r="CA200" s="737"/>
      <c r="CB200" s="737"/>
      <c r="CC200" s="737"/>
      <c r="CD200" s="737"/>
      <c r="CE200" s="737"/>
      <c r="CF200" s="737"/>
      <c r="CG200" s="737"/>
      <c r="CH200" s="737"/>
      <c r="CI200" s="737"/>
      <c r="CJ200" s="737"/>
      <c r="CK200" s="737"/>
      <c r="CL200" s="737"/>
      <c r="CM200" s="737"/>
      <c r="CN200" s="737"/>
      <c r="CO200" s="737"/>
      <c r="CP200" s="737"/>
      <c r="CQ200" s="737"/>
      <c r="CR200" s="737"/>
      <c r="CS200" s="737"/>
      <c r="CT200" s="46"/>
      <c r="CW200" s="970" t="str">
        <f>IF(AND(ISNUMBER(VALUE(TRIM(SUBSTITUTE(AD200,".","")))),TRIM(SUBSTITUTE(AD200,".",""))&lt;&gt;""),"P"&amp;SUBSTITUTE(AD200,".",""),"")</f>
        <v/>
      </c>
      <c r="CX200" s="975"/>
      <c r="CY200" s="975"/>
      <c r="CZ200" s="975"/>
      <c r="DA200" s="976"/>
      <c r="DB200" s="976"/>
    </row>
    <row r="201" spans="1:106" s="1229" customFormat="1" ht="21.75" hidden="1" customHeight="1">
      <c r="A201" s="1155"/>
      <c r="B201" s="783"/>
      <c r="C201" s="1155"/>
      <c r="D201" s="1155"/>
      <c r="E201" s="676">
        <v>22.5</v>
      </c>
      <c r="F201" s="779" t="str" cm="1">
        <f t="array" aca="1" ref="F201" ca="1">OFFSET(G201,-1,-1)</f>
        <v>1</v>
      </c>
      <c r="G201" s="814"/>
      <c r="H201" s="814"/>
      <c r="I201" s="814"/>
      <c r="J201" s="814"/>
      <c r="K201" s="814"/>
      <c r="L201" s="779" t="b" cm="1">
        <f t="array" aca="1" ref="L201" ca="1">OFFSET(M201,-1,-1)</f>
        <v>0</v>
      </c>
      <c r="M201" s="814"/>
      <c r="N201" s="814"/>
      <c r="O201" s="814"/>
      <c r="P201" s="814"/>
      <c r="Q201" s="814"/>
      <c r="R201" s="779" t="s">
        <v>759</v>
      </c>
      <c r="S201" s="110" t="b" cm="1">
        <f t="array" aca="1" ref="S201" ca="1">OFFSET(T201,-1,-1)</f>
        <v>1</v>
      </c>
      <c r="T201" s="110" t="b" cm="1">
        <f t="array" aca="1" ref="T201" ca="1">L201</f>
        <v>0</v>
      </c>
      <c r="U201" s="698" t="b">
        <f t="shared" ca="1" si="80"/>
        <v>0</v>
      </c>
      <c r="V201" s="1155"/>
      <c r="W201" s="1155"/>
      <c r="X201" s="1155"/>
      <c r="Y201" s="1687"/>
      <c r="Z201" s="1687"/>
      <c r="AA201" s="699"/>
      <c r="AB201" s="1784"/>
      <c r="AD201" s="111">
        <v>25</v>
      </c>
      <c r="AE201" s="1775" t="s">
        <v>843</v>
      </c>
      <c r="AF201" s="1776"/>
      <c r="AG201" s="853" t="s">
        <v>839</v>
      </c>
      <c r="AH201" s="734">
        <f t="shared" ref="AH201:BM201" si="152">SUM(AH202:AH205)</f>
        <v>0</v>
      </c>
      <c r="AI201" s="734">
        <f t="shared" si="152"/>
        <v>0</v>
      </c>
      <c r="AJ201" s="734">
        <f t="shared" si="152"/>
        <v>0</v>
      </c>
      <c r="AK201" s="734">
        <f t="shared" si="152"/>
        <v>74328.999999965003</v>
      </c>
      <c r="AL201" s="734">
        <f t="shared" ca="1" si="152"/>
        <v>0</v>
      </c>
      <c r="AM201" s="734">
        <f t="shared" si="152"/>
        <v>0</v>
      </c>
      <c r="AN201" s="734">
        <f t="shared" ca="1" si="152"/>
        <v>0</v>
      </c>
      <c r="AO201" s="734">
        <f t="shared" ca="1" si="152"/>
        <v>0</v>
      </c>
      <c r="AP201" s="734">
        <f t="shared" si="152"/>
        <v>0</v>
      </c>
      <c r="AQ201" s="734">
        <f t="shared" ca="1" si="152"/>
        <v>0</v>
      </c>
      <c r="AR201" s="734">
        <f t="shared" ca="1" si="152"/>
        <v>0</v>
      </c>
      <c r="AS201" s="734">
        <f t="shared" si="152"/>
        <v>0</v>
      </c>
      <c r="AT201" s="734">
        <f t="shared" ca="1" si="152"/>
        <v>0</v>
      </c>
      <c r="AU201" s="734">
        <f t="shared" ca="1" si="152"/>
        <v>0</v>
      </c>
      <c r="AV201" s="734">
        <f t="shared" si="152"/>
        <v>0</v>
      </c>
      <c r="AW201" s="734">
        <f t="shared" ca="1" si="152"/>
        <v>0</v>
      </c>
      <c r="AX201" s="734">
        <f t="shared" ca="1" si="152"/>
        <v>0</v>
      </c>
      <c r="AY201" s="734">
        <f t="shared" si="152"/>
        <v>0</v>
      </c>
      <c r="AZ201" s="734">
        <f t="shared" ca="1" si="152"/>
        <v>0</v>
      </c>
      <c r="BA201" s="734">
        <f t="shared" ca="1" si="152"/>
        <v>0</v>
      </c>
      <c r="BB201" s="734">
        <f t="shared" si="152"/>
        <v>0</v>
      </c>
      <c r="BC201" s="734">
        <f t="shared" ca="1" si="152"/>
        <v>0</v>
      </c>
      <c r="BD201" s="734">
        <f t="shared" ca="1" si="152"/>
        <v>0</v>
      </c>
      <c r="BE201" s="734">
        <f t="shared" si="152"/>
        <v>0</v>
      </c>
      <c r="BF201" s="734">
        <f t="shared" ca="1" si="152"/>
        <v>0</v>
      </c>
      <c r="BG201" s="734">
        <f t="shared" ca="1" si="152"/>
        <v>0</v>
      </c>
      <c r="BH201" s="734">
        <f t="shared" si="152"/>
        <v>0</v>
      </c>
      <c r="BI201" s="734">
        <f t="shared" ca="1" si="152"/>
        <v>0</v>
      </c>
      <c r="BJ201" s="734">
        <f t="shared" ca="1" si="152"/>
        <v>0</v>
      </c>
      <c r="BK201" s="734">
        <f t="shared" si="152"/>
        <v>0</v>
      </c>
      <c r="BL201" s="734">
        <f t="shared" ca="1" si="152"/>
        <v>0</v>
      </c>
      <c r="BM201" s="734">
        <f t="shared" ca="1" si="152"/>
        <v>0</v>
      </c>
      <c r="BN201" s="734">
        <f t="shared" ref="BN201:CS201" si="153">SUM(BN202:BN205)</f>
        <v>0</v>
      </c>
      <c r="BO201" s="734">
        <f t="shared" ca="1" si="153"/>
        <v>0</v>
      </c>
      <c r="BP201" s="734">
        <f t="shared" ca="1" si="153"/>
        <v>74048.38769483057</v>
      </c>
      <c r="BQ201" s="734">
        <f t="shared" si="153"/>
        <v>52971.423451695031</v>
      </c>
      <c r="BR201" s="734">
        <f t="shared" ca="1" si="153"/>
        <v>21076.964243135531</v>
      </c>
      <c r="BS201" s="734">
        <f t="shared" ca="1" si="153"/>
        <v>0</v>
      </c>
      <c r="BT201" s="734">
        <f t="shared" si="153"/>
        <v>0</v>
      </c>
      <c r="BU201" s="734">
        <f t="shared" ca="1" si="153"/>
        <v>0</v>
      </c>
      <c r="BV201" s="734">
        <f t="shared" ca="1" si="153"/>
        <v>0</v>
      </c>
      <c r="BW201" s="734">
        <f t="shared" si="153"/>
        <v>0</v>
      </c>
      <c r="BX201" s="734">
        <f t="shared" ca="1" si="153"/>
        <v>0</v>
      </c>
      <c r="BY201" s="734">
        <f t="shared" ca="1" si="153"/>
        <v>0</v>
      </c>
      <c r="BZ201" s="734">
        <f t="shared" si="153"/>
        <v>0</v>
      </c>
      <c r="CA201" s="734">
        <f t="shared" ca="1" si="153"/>
        <v>0</v>
      </c>
      <c r="CB201" s="734">
        <f t="shared" ca="1" si="153"/>
        <v>0</v>
      </c>
      <c r="CC201" s="734">
        <f t="shared" si="153"/>
        <v>0</v>
      </c>
      <c r="CD201" s="734">
        <f t="shared" ca="1" si="153"/>
        <v>0</v>
      </c>
      <c r="CE201" s="734">
        <f t="shared" ca="1" si="153"/>
        <v>0</v>
      </c>
      <c r="CF201" s="734">
        <f t="shared" si="153"/>
        <v>0</v>
      </c>
      <c r="CG201" s="734">
        <f t="shared" ca="1" si="153"/>
        <v>0</v>
      </c>
      <c r="CH201" s="734">
        <f t="shared" ca="1" si="153"/>
        <v>0</v>
      </c>
      <c r="CI201" s="734">
        <f t="shared" si="153"/>
        <v>0</v>
      </c>
      <c r="CJ201" s="734">
        <f t="shared" ca="1" si="153"/>
        <v>0</v>
      </c>
      <c r="CK201" s="734">
        <f t="shared" ca="1" si="153"/>
        <v>0</v>
      </c>
      <c r="CL201" s="734">
        <f t="shared" si="153"/>
        <v>0</v>
      </c>
      <c r="CM201" s="734">
        <f t="shared" ca="1" si="153"/>
        <v>0</v>
      </c>
      <c r="CN201" s="734">
        <f t="shared" ca="1" si="153"/>
        <v>0</v>
      </c>
      <c r="CO201" s="734">
        <f t="shared" si="153"/>
        <v>0</v>
      </c>
      <c r="CP201" s="734">
        <f t="shared" ca="1" si="153"/>
        <v>0</v>
      </c>
      <c r="CQ201" s="734">
        <f t="shared" ca="1" si="153"/>
        <v>0</v>
      </c>
      <c r="CR201" s="734">
        <f t="shared" si="153"/>
        <v>0</v>
      </c>
      <c r="CS201" s="734">
        <f t="shared" ca="1" si="153"/>
        <v>0</v>
      </c>
      <c r="CT201" s="28"/>
      <c r="CW201" s="970" t="s">
        <v>844</v>
      </c>
      <c r="CX201" s="975"/>
      <c r="CY201" s="975"/>
      <c r="CZ201" s="975"/>
      <c r="DA201" s="976"/>
      <c r="DB201" s="976"/>
    </row>
    <row r="202" spans="1:106" s="1229" customFormat="1" ht="16.5" hidden="1" customHeight="1">
      <c r="E202" s="676">
        <v>17.100000000000001</v>
      </c>
      <c r="F202" s="779" t="str" cm="1">
        <f t="array" aca="1" ref="F202" ca="1">OFFSET(G202,-1,-1)</f>
        <v>1</v>
      </c>
      <c r="L202" s="779" t="b" cm="1">
        <f t="array" aca="1" ref="L202" ca="1">OFFSET(M202,-1,-1)</f>
        <v>0</v>
      </c>
      <c r="R202" s="779" t="s">
        <v>759</v>
      </c>
      <c r="S202" s="110" t="b" cm="1">
        <f t="array" aca="1" ref="S202" ca="1">OFFSET(T202,-1,-1)</f>
        <v>1</v>
      </c>
      <c r="T202" s="110" t="b">
        <f ca="1">AND(L202,AD202&lt;&gt;"25.0")</f>
        <v>0</v>
      </c>
      <c r="U202" s="698" t="b">
        <f t="shared" ca="1" si="80"/>
        <v>0</v>
      </c>
      <c r="X202" s="110" t="s">
        <v>236</v>
      </c>
      <c r="Y202" s="1722"/>
      <c r="Z202" s="1722"/>
      <c r="AB202" s="1784"/>
      <c r="AD202" s="111" t="s">
        <v>845</v>
      </c>
      <c r="AE202" s="821"/>
      <c r="AF202" s="524"/>
      <c r="AG202" s="853" t="s">
        <v>839</v>
      </c>
      <c r="AH202" s="41">
        <f t="shared" ref="AH202:AK204" si="154">AH$163*AH197</f>
        <v>0</v>
      </c>
      <c r="AI202" s="42">
        <f t="shared" si="154"/>
        <v>0</v>
      </c>
      <c r="AJ202" s="42">
        <f t="shared" si="154"/>
        <v>0</v>
      </c>
      <c r="AK202" s="42">
        <f t="shared" si="154"/>
        <v>0</v>
      </c>
      <c r="AL202" s="736">
        <f ca="1">AM202+AN202</f>
        <v>0</v>
      </c>
      <c r="AM202" s="42">
        <f t="shared" ref="AM202:AN204" si="155">AM$163*AM197</f>
        <v>0</v>
      </c>
      <c r="AN202" s="42">
        <f t="shared" ca="1" si="155"/>
        <v>0</v>
      </c>
      <c r="AO202" s="736">
        <f ca="1">AP202+AQ202</f>
        <v>0</v>
      </c>
      <c r="AP202" s="826">
        <f t="shared" ref="AP202:AQ204" si="156">AP$163*AP197</f>
        <v>0</v>
      </c>
      <c r="AQ202" s="826">
        <f t="shared" ca="1" si="156"/>
        <v>0</v>
      </c>
      <c r="AR202" s="736">
        <f ca="1">AS202+AT202</f>
        <v>0</v>
      </c>
      <c r="AS202" s="826">
        <f t="shared" ref="AS202:AT204" si="157">AS$163*AS197</f>
        <v>0</v>
      </c>
      <c r="AT202" s="826">
        <f t="shared" ca="1" si="157"/>
        <v>0</v>
      </c>
      <c r="AU202" s="736">
        <f ca="1">AV202+AW202</f>
        <v>0</v>
      </c>
      <c r="AV202" s="826">
        <f t="shared" ref="AV202:AW204" si="158">AV$163*AV197</f>
        <v>0</v>
      </c>
      <c r="AW202" s="826">
        <f t="shared" ca="1" si="158"/>
        <v>0</v>
      </c>
      <c r="AX202" s="736">
        <f ca="1">AY202+AZ202</f>
        <v>0</v>
      </c>
      <c r="AY202" s="826">
        <f t="shared" ref="AY202:AZ204" si="159">AY$163*AY197</f>
        <v>0</v>
      </c>
      <c r="AZ202" s="826">
        <f t="shared" ca="1" si="159"/>
        <v>0</v>
      </c>
      <c r="BA202" s="736">
        <f ca="1">BB202+BC202</f>
        <v>0</v>
      </c>
      <c r="BB202" s="42">
        <f t="shared" ref="BB202:BC204" si="160">BB$163*BB197</f>
        <v>0</v>
      </c>
      <c r="BC202" s="42">
        <f t="shared" ca="1" si="160"/>
        <v>0</v>
      </c>
      <c r="BD202" s="736">
        <f ca="1">BE202+BF202</f>
        <v>0</v>
      </c>
      <c r="BE202" s="42">
        <f t="shared" ref="BE202:BF204" si="161">BE$163*BE197</f>
        <v>0</v>
      </c>
      <c r="BF202" s="42">
        <f t="shared" ca="1" si="161"/>
        <v>0</v>
      </c>
      <c r="BG202" s="736">
        <f ca="1">BH202+BI202</f>
        <v>0</v>
      </c>
      <c r="BH202" s="42">
        <f t="shared" ref="BH202:BI204" si="162">BH$163*BH197</f>
        <v>0</v>
      </c>
      <c r="BI202" s="42">
        <f t="shared" ca="1" si="162"/>
        <v>0</v>
      </c>
      <c r="BJ202" s="736">
        <f ca="1">BK202+BL202</f>
        <v>0</v>
      </c>
      <c r="BK202" s="42">
        <f t="shared" ref="BK202:BL204" si="163">BK$163*BK197</f>
        <v>0</v>
      </c>
      <c r="BL202" s="42">
        <f t="shared" ca="1" si="163"/>
        <v>0</v>
      </c>
      <c r="BM202" s="736">
        <f ca="1">BN202+BO202</f>
        <v>0</v>
      </c>
      <c r="BN202" s="42">
        <f t="shared" ref="BN202:BO204" si="164">BN$163*BN197</f>
        <v>0</v>
      </c>
      <c r="BO202" s="42">
        <f t="shared" ca="1" si="164"/>
        <v>0</v>
      </c>
      <c r="BP202" s="736">
        <f ca="1">BQ202+BR202</f>
        <v>0</v>
      </c>
      <c r="BQ202" s="826">
        <f t="shared" ref="BQ202:BR204" si="165">BQ$163*BQ197</f>
        <v>0</v>
      </c>
      <c r="BR202" s="826">
        <f t="shared" ca="1" si="165"/>
        <v>0</v>
      </c>
      <c r="BS202" s="736">
        <f ca="1">BT202+BU202</f>
        <v>0</v>
      </c>
      <c r="BT202" s="826">
        <f t="shared" ref="BT202:BU204" si="166">BT$163*BT197</f>
        <v>0</v>
      </c>
      <c r="BU202" s="826">
        <f t="shared" ca="1" si="166"/>
        <v>0</v>
      </c>
      <c r="BV202" s="736">
        <f ca="1">BW202+BX202</f>
        <v>0</v>
      </c>
      <c r="BW202" s="826">
        <f t="shared" ref="BW202:BX204" si="167">BW$163*BW197</f>
        <v>0</v>
      </c>
      <c r="BX202" s="826">
        <f t="shared" ca="1" si="167"/>
        <v>0</v>
      </c>
      <c r="BY202" s="736">
        <f ca="1">BZ202+CA202</f>
        <v>0</v>
      </c>
      <c r="BZ202" s="826">
        <f t="shared" ref="BZ202:CA204" si="168">BZ$163*BZ197</f>
        <v>0</v>
      </c>
      <c r="CA202" s="826">
        <f t="shared" ca="1" si="168"/>
        <v>0</v>
      </c>
      <c r="CB202" s="736">
        <f ca="1">CC202+CD202</f>
        <v>0</v>
      </c>
      <c r="CC202" s="826">
        <f t="shared" ref="CC202:CD204" si="169">CC$163*CC197</f>
        <v>0</v>
      </c>
      <c r="CD202" s="826">
        <f t="shared" ca="1" si="169"/>
        <v>0</v>
      </c>
      <c r="CE202" s="736">
        <f ca="1">CF202+CG202</f>
        <v>0</v>
      </c>
      <c r="CF202" s="42">
        <f t="shared" ref="CF202:CG204" si="170">CF$163*CF197</f>
        <v>0</v>
      </c>
      <c r="CG202" s="42">
        <f t="shared" ca="1" si="170"/>
        <v>0</v>
      </c>
      <c r="CH202" s="736">
        <f ca="1">CI202+CJ202</f>
        <v>0</v>
      </c>
      <c r="CI202" s="42">
        <f t="shared" ref="CI202:CJ204" si="171">CI$163*CI197</f>
        <v>0</v>
      </c>
      <c r="CJ202" s="42">
        <f t="shared" ca="1" si="171"/>
        <v>0</v>
      </c>
      <c r="CK202" s="736">
        <f ca="1">CL202+CM202</f>
        <v>0</v>
      </c>
      <c r="CL202" s="42">
        <f t="shared" ref="CL202:CM204" si="172">CL$163*CL197</f>
        <v>0</v>
      </c>
      <c r="CM202" s="42">
        <f t="shared" ca="1" si="172"/>
        <v>0</v>
      </c>
      <c r="CN202" s="736">
        <f ca="1">CO202+CP202</f>
        <v>0</v>
      </c>
      <c r="CO202" s="42">
        <f t="shared" ref="CO202:CP204" si="173">CO$163*CO197</f>
        <v>0</v>
      </c>
      <c r="CP202" s="42">
        <f t="shared" ca="1" si="173"/>
        <v>0</v>
      </c>
      <c r="CQ202" s="736">
        <f ca="1">CR202+CS202</f>
        <v>0</v>
      </c>
      <c r="CR202" s="42">
        <f t="shared" ref="CR202:CS204" si="174">CR$163*CR197</f>
        <v>0</v>
      </c>
      <c r="CS202" s="42">
        <f t="shared" ca="1" si="174"/>
        <v>0</v>
      </c>
      <c r="CT202" s="28"/>
      <c r="CW202" s="970" t="s">
        <v>844</v>
      </c>
      <c r="CX202" s="975" t="s">
        <v>821</v>
      </c>
      <c r="CY202" s="979" cm="1">
        <f t="array" ref="CY202">AE202</f>
        <v>0</v>
      </c>
      <c r="CZ202" s="979" cm="1">
        <f t="array" ref="CZ202">AF202</f>
        <v>0</v>
      </c>
      <c r="DA202" s="976"/>
      <c r="DB202" s="976"/>
    </row>
    <row r="203" spans="1:106" s="1229" customFormat="1" ht="16.5" hidden="1" customHeight="1">
      <c r="E203" s="676">
        <v>17.100000000000001</v>
      </c>
      <c r="F203" s="779" t="str" cm="1">
        <f t="array" aca="1" ref="F203" ca="1">OFFSET(G203,-1,-1)</f>
        <v>1</v>
      </c>
      <c r="L203" s="779" t="b" cm="1">
        <f t="array" aca="1" ref="L203" ca="1">OFFSET(M203,-1,-1)</f>
        <v>0</v>
      </c>
      <c r="R203" s="779" t="s">
        <v>759</v>
      </c>
      <c r="S203" s="110" t="b" cm="1">
        <f t="array" aca="1" ref="S203" ca="1">OFFSET(T203,-1,-1)</f>
        <v>1</v>
      </c>
      <c r="T203" s="110" t="b">
        <f ca="1">AND(L203,AD203&lt;&gt;"25.0")</f>
        <v>0</v>
      </c>
      <c r="U203" s="698" t="b">
        <f t="shared" ca="1" si="80"/>
        <v>0</v>
      </c>
      <c r="X203" s="110" t="str">
        <f>'Топливо 4.4'!$AE$198&amp;'Топливо 4.4'!$AF$198</f>
        <v>Уголь длиннопламенный</v>
      </c>
      <c r="Y203" s="1722"/>
      <c r="Z203" s="1722"/>
      <c r="AB203" s="1784"/>
      <c r="AD203" s="111" t="s">
        <v>945</v>
      </c>
      <c r="AE203" s="821" t="str" cm="1">
        <f t="array" ref="AE203">IF(ISBLANK('Топливо 4.4'!$AE$198),"",'Топливо 4.4'!$AE$198)</f>
        <v>Уголь длиннопламенный</v>
      </c>
      <c r="AF203" s="524" t="str" cm="1">
        <f t="array" ref="AF203">IF(ISBLANK('Топливо 4.4'!$AF$198),"",'Топливо 4.4'!$AF$198)</f>
        <v/>
      </c>
      <c r="AG203" s="853" t="s">
        <v>839</v>
      </c>
      <c r="AH203" s="41">
        <f t="shared" si="154"/>
        <v>0</v>
      </c>
      <c r="AI203" s="42">
        <f t="shared" si="154"/>
        <v>0</v>
      </c>
      <c r="AJ203" s="42">
        <f t="shared" si="154"/>
        <v>0</v>
      </c>
      <c r="AK203" s="42">
        <f t="shared" si="154"/>
        <v>71064.266000000003</v>
      </c>
      <c r="AL203" s="736">
        <f ca="1">AM203+AN203</f>
        <v>0</v>
      </c>
      <c r="AM203" s="42">
        <f t="shared" si="155"/>
        <v>0</v>
      </c>
      <c r="AN203" s="42">
        <f t="shared" ca="1" si="155"/>
        <v>0</v>
      </c>
      <c r="AO203" s="736">
        <f ca="1">AP203+AQ203</f>
        <v>0</v>
      </c>
      <c r="AP203" s="826">
        <f t="shared" si="156"/>
        <v>0</v>
      </c>
      <c r="AQ203" s="826">
        <f t="shared" ca="1" si="156"/>
        <v>0</v>
      </c>
      <c r="AR203" s="736">
        <f ca="1">AS203+AT203</f>
        <v>0</v>
      </c>
      <c r="AS203" s="826">
        <f t="shared" si="157"/>
        <v>0</v>
      </c>
      <c r="AT203" s="826">
        <f t="shared" ca="1" si="157"/>
        <v>0</v>
      </c>
      <c r="AU203" s="736">
        <f ca="1">AV203+AW203</f>
        <v>0</v>
      </c>
      <c r="AV203" s="826">
        <f t="shared" si="158"/>
        <v>0</v>
      </c>
      <c r="AW203" s="826">
        <f t="shared" ca="1" si="158"/>
        <v>0</v>
      </c>
      <c r="AX203" s="736">
        <f ca="1">AY203+AZ203</f>
        <v>0</v>
      </c>
      <c r="AY203" s="826">
        <f t="shared" si="159"/>
        <v>0</v>
      </c>
      <c r="AZ203" s="826">
        <f t="shared" ca="1" si="159"/>
        <v>0</v>
      </c>
      <c r="BA203" s="736">
        <f ca="1">BB203+BC203</f>
        <v>0</v>
      </c>
      <c r="BB203" s="42">
        <f t="shared" si="160"/>
        <v>0</v>
      </c>
      <c r="BC203" s="42">
        <f t="shared" ca="1" si="160"/>
        <v>0</v>
      </c>
      <c r="BD203" s="736">
        <f ca="1">BE203+BF203</f>
        <v>0</v>
      </c>
      <c r="BE203" s="42">
        <f t="shared" si="161"/>
        <v>0</v>
      </c>
      <c r="BF203" s="42">
        <f t="shared" ca="1" si="161"/>
        <v>0</v>
      </c>
      <c r="BG203" s="736">
        <f ca="1">BH203+BI203</f>
        <v>0</v>
      </c>
      <c r="BH203" s="42">
        <f t="shared" si="162"/>
        <v>0</v>
      </c>
      <c r="BI203" s="42">
        <f t="shared" ca="1" si="162"/>
        <v>0</v>
      </c>
      <c r="BJ203" s="736">
        <f ca="1">BK203+BL203</f>
        <v>0</v>
      </c>
      <c r="BK203" s="42">
        <f t="shared" si="163"/>
        <v>0</v>
      </c>
      <c r="BL203" s="42">
        <f t="shared" ca="1" si="163"/>
        <v>0</v>
      </c>
      <c r="BM203" s="736">
        <f ca="1">BN203+BO203</f>
        <v>0</v>
      </c>
      <c r="BN203" s="42">
        <f t="shared" si="164"/>
        <v>0</v>
      </c>
      <c r="BO203" s="42">
        <f t="shared" ca="1" si="164"/>
        <v>0</v>
      </c>
      <c r="BP203" s="736">
        <f ca="1">BQ203+BR203</f>
        <v>74048.38769483057</v>
      </c>
      <c r="BQ203" s="826">
        <f t="shared" si="165"/>
        <v>52971.423451695031</v>
      </c>
      <c r="BR203" s="826">
        <f t="shared" ca="1" si="165"/>
        <v>21076.964243135531</v>
      </c>
      <c r="BS203" s="736">
        <f ca="1">BT203+BU203</f>
        <v>0</v>
      </c>
      <c r="BT203" s="826">
        <f t="shared" si="166"/>
        <v>0</v>
      </c>
      <c r="BU203" s="826">
        <f t="shared" ca="1" si="166"/>
        <v>0</v>
      </c>
      <c r="BV203" s="736">
        <f ca="1">BW203+BX203</f>
        <v>0</v>
      </c>
      <c r="BW203" s="826">
        <f t="shared" si="167"/>
        <v>0</v>
      </c>
      <c r="BX203" s="826">
        <f t="shared" ca="1" si="167"/>
        <v>0</v>
      </c>
      <c r="BY203" s="736">
        <f ca="1">BZ203+CA203</f>
        <v>0</v>
      </c>
      <c r="BZ203" s="826">
        <f t="shared" si="168"/>
        <v>0</v>
      </c>
      <c r="CA203" s="826">
        <f t="shared" ca="1" si="168"/>
        <v>0</v>
      </c>
      <c r="CB203" s="736">
        <f ca="1">CC203+CD203</f>
        <v>0</v>
      </c>
      <c r="CC203" s="826">
        <f t="shared" si="169"/>
        <v>0</v>
      </c>
      <c r="CD203" s="826">
        <f t="shared" ca="1" si="169"/>
        <v>0</v>
      </c>
      <c r="CE203" s="736">
        <f ca="1">CF203+CG203</f>
        <v>0</v>
      </c>
      <c r="CF203" s="42">
        <f t="shared" si="170"/>
        <v>0</v>
      </c>
      <c r="CG203" s="42">
        <f t="shared" ca="1" si="170"/>
        <v>0</v>
      </c>
      <c r="CH203" s="736">
        <f ca="1">CI203+CJ203</f>
        <v>0</v>
      </c>
      <c r="CI203" s="42">
        <f t="shared" si="171"/>
        <v>0</v>
      </c>
      <c r="CJ203" s="42">
        <f t="shared" ca="1" si="171"/>
        <v>0</v>
      </c>
      <c r="CK203" s="736">
        <f ca="1">CL203+CM203</f>
        <v>0</v>
      </c>
      <c r="CL203" s="42">
        <f t="shared" si="172"/>
        <v>0</v>
      </c>
      <c r="CM203" s="42">
        <f t="shared" ca="1" si="172"/>
        <v>0</v>
      </c>
      <c r="CN203" s="736">
        <f ca="1">CO203+CP203</f>
        <v>0</v>
      </c>
      <c r="CO203" s="42">
        <f t="shared" si="173"/>
        <v>0</v>
      </c>
      <c r="CP203" s="42">
        <f t="shared" ca="1" si="173"/>
        <v>0</v>
      </c>
      <c r="CQ203" s="736">
        <f ca="1">CR203+CS203</f>
        <v>0</v>
      </c>
      <c r="CR203" s="42">
        <f t="shared" si="174"/>
        <v>0</v>
      </c>
      <c r="CS203" s="42">
        <f t="shared" ca="1" si="174"/>
        <v>0</v>
      </c>
      <c r="CT203" s="28"/>
      <c r="CW203" s="970" t="s">
        <v>844</v>
      </c>
      <c r="CX203" s="975" t="s">
        <v>821</v>
      </c>
      <c r="CY203" s="979" t="str" cm="1">
        <f t="array" ref="CY203">AE203</f>
        <v>Уголь длиннопламенный</v>
      </c>
      <c r="CZ203" s="979" t="str" cm="1">
        <f t="array" ref="CZ203">AF203</f>
        <v/>
      </c>
      <c r="DA203" s="976"/>
      <c r="DB203" s="976"/>
    </row>
    <row r="204" spans="1:106" s="1229" customFormat="1" ht="16.5" hidden="1" customHeight="1">
      <c r="E204" s="676">
        <v>17.100000000000001</v>
      </c>
      <c r="F204" s="779" t="str" cm="1">
        <f t="array" aca="1" ref="F204" ca="1">OFFSET(G204,-1,-1)</f>
        <v>1</v>
      </c>
      <c r="L204" s="779" t="b" cm="1">
        <f t="array" aca="1" ref="L204" ca="1">OFFSET(M204,-1,-1)</f>
        <v>0</v>
      </c>
      <c r="R204" s="779" t="s">
        <v>759</v>
      </c>
      <c r="S204" s="110" t="b" cm="1">
        <f t="array" aca="1" ref="S204" ca="1">OFFSET(T204,-1,-1)</f>
        <v>1</v>
      </c>
      <c r="T204" s="110" t="b">
        <f ca="1">AND(L204,AD204&lt;&gt;"25.0")</f>
        <v>0</v>
      </c>
      <c r="U204" s="698" t="b">
        <f t="shared" ca="1" si="80"/>
        <v>0</v>
      </c>
      <c r="X204" s="110" t="str">
        <f>'Топливо 4.4'!$AE$199&amp;'Топливо 4.4'!$AF$199</f>
        <v>Уголь бурый</v>
      </c>
      <c r="Y204" s="1722"/>
      <c r="Z204" s="1722"/>
      <c r="AB204" s="1784"/>
      <c r="AD204" s="111" t="s">
        <v>946</v>
      </c>
      <c r="AE204" s="821" t="str" cm="1">
        <f t="array" ref="AE204">IF(ISBLANK('Топливо 4.4'!$AE$199),"",'Топливо 4.4'!$AE$199)</f>
        <v>Уголь бурый</v>
      </c>
      <c r="AF204" s="524" t="str" cm="1">
        <f t="array" ref="AF204">IF(ISBLANK('Топливо 4.4'!$AF$199),"",'Топливо 4.4'!$AF$199)</f>
        <v/>
      </c>
      <c r="AG204" s="853" t="s">
        <v>839</v>
      </c>
      <c r="AH204" s="41">
        <f t="shared" si="154"/>
        <v>0</v>
      </c>
      <c r="AI204" s="42">
        <f t="shared" si="154"/>
        <v>0</v>
      </c>
      <c r="AJ204" s="42">
        <f t="shared" si="154"/>
        <v>0</v>
      </c>
      <c r="AK204" s="42">
        <f t="shared" si="154"/>
        <v>3264.7339999649998</v>
      </c>
      <c r="AL204" s="736">
        <f ca="1">AM204+AN204</f>
        <v>0</v>
      </c>
      <c r="AM204" s="42">
        <f t="shared" si="155"/>
        <v>0</v>
      </c>
      <c r="AN204" s="42">
        <f t="shared" ca="1" si="155"/>
        <v>0</v>
      </c>
      <c r="AO204" s="736">
        <f ca="1">AP204+AQ204</f>
        <v>0</v>
      </c>
      <c r="AP204" s="826">
        <f t="shared" si="156"/>
        <v>0</v>
      </c>
      <c r="AQ204" s="826">
        <f t="shared" ca="1" si="156"/>
        <v>0</v>
      </c>
      <c r="AR204" s="736">
        <f ca="1">AS204+AT204</f>
        <v>0</v>
      </c>
      <c r="AS204" s="826">
        <f t="shared" si="157"/>
        <v>0</v>
      </c>
      <c r="AT204" s="826">
        <f t="shared" ca="1" si="157"/>
        <v>0</v>
      </c>
      <c r="AU204" s="736">
        <f ca="1">AV204+AW204</f>
        <v>0</v>
      </c>
      <c r="AV204" s="826">
        <f t="shared" si="158"/>
        <v>0</v>
      </c>
      <c r="AW204" s="826">
        <f t="shared" ca="1" si="158"/>
        <v>0</v>
      </c>
      <c r="AX204" s="736">
        <f ca="1">AY204+AZ204</f>
        <v>0</v>
      </c>
      <c r="AY204" s="826">
        <f t="shared" si="159"/>
        <v>0</v>
      </c>
      <c r="AZ204" s="826">
        <f t="shared" ca="1" si="159"/>
        <v>0</v>
      </c>
      <c r="BA204" s="736">
        <f ca="1">BB204+BC204</f>
        <v>0</v>
      </c>
      <c r="BB204" s="42">
        <f t="shared" si="160"/>
        <v>0</v>
      </c>
      <c r="BC204" s="42">
        <f t="shared" ca="1" si="160"/>
        <v>0</v>
      </c>
      <c r="BD204" s="736">
        <f ca="1">BE204+BF204</f>
        <v>0</v>
      </c>
      <c r="BE204" s="42">
        <f t="shared" si="161"/>
        <v>0</v>
      </c>
      <c r="BF204" s="42">
        <f t="shared" ca="1" si="161"/>
        <v>0</v>
      </c>
      <c r="BG204" s="736">
        <f ca="1">BH204+BI204</f>
        <v>0</v>
      </c>
      <c r="BH204" s="42">
        <f t="shared" si="162"/>
        <v>0</v>
      </c>
      <c r="BI204" s="42">
        <f t="shared" ca="1" si="162"/>
        <v>0</v>
      </c>
      <c r="BJ204" s="736">
        <f ca="1">BK204+BL204</f>
        <v>0</v>
      </c>
      <c r="BK204" s="42">
        <f t="shared" si="163"/>
        <v>0</v>
      </c>
      <c r="BL204" s="42">
        <f t="shared" ca="1" si="163"/>
        <v>0</v>
      </c>
      <c r="BM204" s="736">
        <f ca="1">BN204+BO204</f>
        <v>0</v>
      </c>
      <c r="BN204" s="42">
        <f t="shared" si="164"/>
        <v>0</v>
      </c>
      <c r="BO204" s="42">
        <f t="shared" ca="1" si="164"/>
        <v>0</v>
      </c>
      <c r="BP204" s="736">
        <f ca="1">BQ204+BR204</f>
        <v>0</v>
      </c>
      <c r="BQ204" s="826">
        <f t="shared" si="165"/>
        <v>0</v>
      </c>
      <c r="BR204" s="826">
        <f t="shared" ca="1" si="165"/>
        <v>0</v>
      </c>
      <c r="BS204" s="736">
        <f ca="1">BT204+BU204</f>
        <v>0</v>
      </c>
      <c r="BT204" s="826">
        <f t="shared" si="166"/>
        <v>0</v>
      </c>
      <c r="BU204" s="826">
        <f t="shared" ca="1" si="166"/>
        <v>0</v>
      </c>
      <c r="BV204" s="736">
        <f ca="1">BW204+BX204</f>
        <v>0</v>
      </c>
      <c r="BW204" s="826">
        <f t="shared" si="167"/>
        <v>0</v>
      </c>
      <c r="BX204" s="826">
        <f t="shared" ca="1" si="167"/>
        <v>0</v>
      </c>
      <c r="BY204" s="736">
        <f ca="1">BZ204+CA204</f>
        <v>0</v>
      </c>
      <c r="BZ204" s="826">
        <f t="shared" si="168"/>
        <v>0</v>
      </c>
      <c r="CA204" s="826">
        <f t="shared" ca="1" si="168"/>
        <v>0</v>
      </c>
      <c r="CB204" s="736">
        <f ca="1">CC204+CD204</f>
        <v>0</v>
      </c>
      <c r="CC204" s="826">
        <f t="shared" si="169"/>
        <v>0</v>
      </c>
      <c r="CD204" s="826">
        <f t="shared" ca="1" si="169"/>
        <v>0</v>
      </c>
      <c r="CE204" s="736">
        <f ca="1">CF204+CG204</f>
        <v>0</v>
      </c>
      <c r="CF204" s="42">
        <f t="shared" si="170"/>
        <v>0</v>
      </c>
      <c r="CG204" s="42">
        <f t="shared" ca="1" si="170"/>
        <v>0</v>
      </c>
      <c r="CH204" s="736">
        <f ca="1">CI204+CJ204</f>
        <v>0</v>
      </c>
      <c r="CI204" s="42">
        <f t="shared" si="171"/>
        <v>0</v>
      </c>
      <c r="CJ204" s="42">
        <f t="shared" ca="1" si="171"/>
        <v>0</v>
      </c>
      <c r="CK204" s="736">
        <f ca="1">CL204+CM204</f>
        <v>0</v>
      </c>
      <c r="CL204" s="42">
        <f t="shared" si="172"/>
        <v>0</v>
      </c>
      <c r="CM204" s="42">
        <f t="shared" ca="1" si="172"/>
        <v>0</v>
      </c>
      <c r="CN204" s="736">
        <f ca="1">CO204+CP204</f>
        <v>0</v>
      </c>
      <c r="CO204" s="42">
        <f t="shared" si="173"/>
        <v>0</v>
      </c>
      <c r="CP204" s="42">
        <f t="shared" ca="1" si="173"/>
        <v>0</v>
      </c>
      <c r="CQ204" s="736">
        <f ca="1">CR204+CS204</f>
        <v>0</v>
      </c>
      <c r="CR204" s="42">
        <f t="shared" si="174"/>
        <v>0</v>
      </c>
      <c r="CS204" s="42">
        <f t="shared" ca="1" si="174"/>
        <v>0</v>
      </c>
      <c r="CT204" s="28"/>
      <c r="CW204" s="970" t="s">
        <v>844</v>
      </c>
      <c r="CX204" s="975" t="s">
        <v>821</v>
      </c>
      <c r="CY204" s="979" t="str" cm="1">
        <f t="array" ref="CY204">AE204</f>
        <v>Уголь бурый</v>
      </c>
      <c r="CZ204" s="979" t="str" cm="1">
        <f t="array" ref="CZ204">AF204</f>
        <v/>
      </c>
      <c r="DA204" s="976"/>
      <c r="DB204" s="976"/>
    </row>
    <row r="205" spans="1:106" s="1229" customFormat="1" ht="15" hidden="1" customHeight="1">
      <c r="A205" s="1155"/>
      <c r="B205" s="783"/>
      <c r="C205" s="1155"/>
      <c r="D205" s="1155"/>
      <c r="E205" s="676">
        <v>0</v>
      </c>
      <c r="F205" s="779" t="str" cm="1">
        <f t="array" aca="1" ref="F205" ca="1">OFFSET(G205,-1,-1)</f>
        <v>1</v>
      </c>
      <c r="G205" s="814"/>
      <c r="H205" s="814"/>
      <c r="I205" s="814"/>
      <c r="J205" s="814"/>
      <c r="K205" s="814"/>
      <c r="L205" s="779" t="b" cm="1">
        <f t="array" aca="1" ref="L205" ca="1">OFFSET(M205,-1,-1)</f>
        <v>0</v>
      </c>
      <c r="M205" s="814"/>
      <c r="N205" s="814"/>
      <c r="O205" s="814"/>
      <c r="P205" s="814"/>
      <c r="Q205" s="814"/>
      <c r="R205" s="1155"/>
      <c r="S205" s="110" t="b" cm="1">
        <f t="array" aca="1" ref="S205" ca="1">OFFSET(T205,-1,-1)</f>
        <v>1</v>
      </c>
      <c r="T205" s="1155"/>
      <c r="U205" s="698" t="b">
        <f t="shared" ca="1" si="80"/>
        <v>1</v>
      </c>
      <c r="V205" s="1155"/>
      <c r="W205" s="1155"/>
      <c r="X205" s="820" t="str">
        <f>"{                  
         funcDyn: 'msg1',
         blok: 'blok_2',
         wsCross: 'Топливо 4.4',
         linkFormula: 'AE-AE#AF-AF',
         levelDyn: "&amp;Y139&amp;"
}"</f>
        <v>{                  
         funcDyn: 'msg1',
         blok: 'blok_2',
         wsCross: 'Топливо 4.4',
         linkFormula: 'AE-AE#AF-AF',
         levelDyn: 1
}</v>
      </c>
      <c r="Y205" s="1687"/>
      <c r="Z205" s="1687"/>
      <c r="AA205" s="699"/>
      <c r="AB205" s="1785"/>
      <c r="AD205" s="823"/>
      <c r="AE205" s="822" t="s">
        <v>238</v>
      </c>
      <c r="AF205" s="745"/>
      <c r="AG205" s="853"/>
      <c r="AH205" s="735"/>
      <c r="AI205" s="737"/>
      <c r="AJ205" s="737"/>
      <c r="AK205" s="737"/>
      <c r="AL205" s="737"/>
      <c r="AM205" s="737"/>
      <c r="AN205" s="737"/>
      <c r="AO205" s="737"/>
      <c r="AP205" s="737"/>
      <c r="AQ205" s="737"/>
      <c r="AR205" s="737"/>
      <c r="AS205" s="737"/>
      <c r="AT205" s="737"/>
      <c r="AU205" s="737"/>
      <c r="AV205" s="737"/>
      <c r="AW205" s="737"/>
      <c r="AX205" s="737"/>
      <c r="AY205" s="737"/>
      <c r="AZ205" s="737"/>
      <c r="BA205" s="737"/>
      <c r="BB205" s="737"/>
      <c r="BC205" s="737"/>
      <c r="BD205" s="737"/>
      <c r="BE205" s="737"/>
      <c r="BF205" s="737"/>
      <c r="BG205" s="737"/>
      <c r="BH205" s="737"/>
      <c r="BI205" s="737"/>
      <c r="BJ205" s="737"/>
      <c r="BK205" s="737"/>
      <c r="BL205" s="737"/>
      <c r="BM205" s="737"/>
      <c r="BN205" s="737"/>
      <c r="BO205" s="737"/>
      <c r="BP205" s="737"/>
      <c r="BQ205" s="737"/>
      <c r="BR205" s="737"/>
      <c r="BS205" s="737"/>
      <c r="BT205" s="737"/>
      <c r="BU205" s="737"/>
      <c r="BV205" s="737"/>
      <c r="BW205" s="737"/>
      <c r="BX205" s="737"/>
      <c r="BY205" s="737"/>
      <c r="BZ205" s="737"/>
      <c r="CA205" s="737"/>
      <c r="CB205" s="737"/>
      <c r="CC205" s="737"/>
      <c r="CD205" s="737"/>
      <c r="CE205" s="737"/>
      <c r="CF205" s="737"/>
      <c r="CG205" s="737"/>
      <c r="CH205" s="737"/>
      <c r="CI205" s="737"/>
      <c r="CJ205" s="737"/>
      <c r="CK205" s="737"/>
      <c r="CL205" s="737"/>
      <c r="CM205" s="737"/>
      <c r="CN205" s="737"/>
      <c r="CO205" s="737"/>
      <c r="CP205" s="737"/>
      <c r="CQ205" s="737"/>
      <c r="CR205" s="737"/>
      <c r="CS205" s="737"/>
      <c r="CT205" s="46"/>
      <c r="CW205" s="970" t="str">
        <f>IF(AND(ISNUMBER(VALUE(TRIM(SUBSTITUTE(AD205,".","")))),TRIM(SUBSTITUTE(AD205,".",""))&lt;&gt;""),"P"&amp;SUBSTITUTE(AD205,".",""),"")</f>
        <v/>
      </c>
      <c r="CX205" s="975"/>
      <c r="CY205" s="975"/>
      <c r="CZ205" s="975"/>
      <c r="DA205" s="976"/>
      <c r="DB205" s="976"/>
    </row>
    <row r="206" spans="1:106" s="1229" customFormat="1" ht="16.5" customHeight="1">
      <c r="A206" s="1155"/>
      <c r="B206" s="783"/>
      <c r="C206" s="1155"/>
      <c r="D206" s="1155"/>
      <c r="E206" s="676">
        <v>17.100000000000001</v>
      </c>
      <c r="F206" s="779" t="str" cm="1">
        <f t="array" aca="1" ref="F206" ca="1">OFFSET(G206,-1,-1)</f>
        <v>1</v>
      </c>
      <c r="G206" s="814"/>
      <c r="H206" s="814"/>
      <c r="I206" s="814"/>
      <c r="J206" s="814"/>
      <c r="K206" s="814"/>
      <c r="L206" s="779" t="b" cm="1">
        <f t="array" aca="1" ref="L206" ca="1">OFFSET(M206,-1,-1)</f>
        <v>0</v>
      </c>
      <c r="M206" s="814"/>
      <c r="N206" s="814"/>
      <c r="O206" s="814"/>
      <c r="P206" s="814"/>
      <c r="Q206" s="814"/>
      <c r="R206" s="1155"/>
      <c r="S206" s="110" t="b" cm="1">
        <f t="array" aca="1" ref="S206" ca="1">OFFSET(T206,-1,-1)</f>
        <v>1</v>
      </c>
      <c r="T206" s="1155"/>
      <c r="U206" s="698" t="b">
        <f t="shared" ca="1" si="80"/>
        <v>1</v>
      </c>
      <c r="V206" s="1155"/>
      <c r="W206" s="1155"/>
      <c r="X206" s="1155"/>
      <c r="Y206" s="1687"/>
      <c r="Z206" s="1687"/>
      <c r="AA206" s="699"/>
      <c r="AB206" s="1789" t="s">
        <v>846</v>
      </c>
      <c r="AD206" s="124">
        <v>26</v>
      </c>
      <c r="AE206" s="1754" t="s">
        <v>847</v>
      </c>
      <c r="AF206" s="1734"/>
      <c r="AG206" s="849"/>
      <c r="AH206" s="735"/>
      <c r="AI206" s="737"/>
      <c r="AJ206" s="737"/>
      <c r="AK206" s="737"/>
      <c r="AL206" s="737"/>
      <c r="AM206" s="737"/>
      <c r="AN206" s="737"/>
      <c r="AO206" s="737"/>
      <c r="AP206" s="737"/>
      <c r="AQ206" s="737"/>
      <c r="AR206" s="737"/>
      <c r="AS206" s="737"/>
      <c r="AT206" s="737"/>
      <c r="AU206" s="737"/>
      <c r="AV206" s="737"/>
      <c r="AW206" s="737"/>
      <c r="AX206" s="737"/>
      <c r="AY206" s="737"/>
      <c r="AZ206" s="737"/>
      <c r="BA206" s="737"/>
      <c r="BB206" s="737"/>
      <c r="BC206" s="737"/>
      <c r="BD206" s="737"/>
      <c r="BE206" s="737"/>
      <c r="BF206" s="737"/>
      <c r="BG206" s="737"/>
      <c r="BH206" s="737"/>
      <c r="BI206" s="737"/>
      <c r="BJ206" s="737"/>
      <c r="BK206" s="737"/>
      <c r="BL206" s="737"/>
      <c r="BM206" s="737"/>
      <c r="BN206" s="737"/>
      <c r="BO206" s="737"/>
      <c r="BP206" s="737"/>
      <c r="BQ206" s="737"/>
      <c r="BR206" s="737"/>
      <c r="BS206" s="737"/>
      <c r="BT206" s="737"/>
      <c r="BU206" s="737"/>
      <c r="BV206" s="737"/>
      <c r="BW206" s="737"/>
      <c r="BX206" s="737"/>
      <c r="BY206" s="737"/>
      <c r="BZ206" s="737"/>
      <c r="CA206" s="737"/>
      <c r="CB206" s="737"/>
      <c r="CC206" s="737"/>
      <c r="CD206" s="737"/>
      <c r="CE206" s="737"/>
      <c r="CF206" s="737"/>
      <c r="CG206" s="737"/>
      <c r="CH206" s="737"/>
      <c r="CI206" s="737"/>
      <c r="CJ206" s="737"/>
      <c r="CK206" s="737"/>
      <c r="CL206" s="737"/>
      <c r="CM206" s="737"/>
      <c r="CN206" s="737"/>
      <c r="CO206" s="737"/>
      <c r="CP206" s="737"/>
      <c r="CQ206" s="737"/>
      <c r="CR206" s="737"/>
      <c r="CS206" s="737"/>
      <c r="CT206" s="1290"/>
      <c r="CW206" s="970" t="s">
        <v>848</v>
      </c>
      <c r="CX206" s="975"/>
      <c r="CY206" s="975"/>
      <c r="CZ206" s="975"/>
      <c r="DA206" s="976"/>
      <c r="DB206" s="976"/>
    </row>
    <row r="207" spans="1:106" s="1229" customFormat="1" ht="16.5" hidden="1" customHeight="1">
      <c r="E207" s="676">
        <v>17.100000000000001</v>
      </c>
      <c r="F207" s="779" t="str" cm="1">
        <f t="array" aca="1" ref="F207" ca="1">OFFSET(G207,-1,-1)</f>
        <v>1</v>
      </c>
      <c r="L207" s="779" t="b" cm="1">
        <f t="array" aca="1" ref="L207" ca="1">OFFSET(M207,-1,-1)</f>
        <v>0</v>
      </c>
      <c r="S207" s="110" t="b" cm="1">
        <f t="array" aca="1" ref="S207" ca="1">OFFSET(T207,-1,-1)</f>
        <v>1</v>
      </c>
      <c r="T207" s="110" t="b">
        <f>AD207&lt;&gt;"26.0"</f>
        <v>0</v>
      </c>
      <c r="U207" s="698" t="b">
        <f t="shared" ca="1" si="80"/>
        <v>0</v>
      </c>
      <c r="X207" s="110" t="s">
        <v>236</v>
      </c>
      <c r="Y207" s="1722"/>
      <c r="Z207" s="1722"/>
      <c r="AB207" s="1790"/>
      <c r="AD207" s="111" t="s">
        <v>849</v>
      </c>
      <c r="AE207" s="821"/>
      <c r="AF207" s="524"/>
      <c r="AG207" s="733" t="s">
        <v>533</v>
      </c>
      <c r="AH207" s="45"/>
      <c r="AI207" s="49"/>
      <c r="AJ207" s="49"/>
      <c r="AK207" s="49"/>
      <c r="AL207" s="737"/>
      <c r="AM207" s="42"/>
      <c r="AN207" s="42"/>
      <c r="AO207" s="737"/>
      <c r="AP207" s="829"/>
      <c r="AQ207" s="829"/>
      <c r="AR207" s="737"/>
      <c r="AS207" s="829"/>
      <c r="AT207" s="829"/>
      <c r="AU207" s="737"/>
      <c r="AV207" s="829"/>
      <c r="AW207" s="829"/>
      <c r="AX207" s="737"/>
      <c r="AY207" s="829"/>
      <c r="AZ207" s="829"/>
      <c r="BA207" s="737"/>
      <c r="BB207" s="49"/>
      <c r="BC207" s="49"/>
      <c r="BD207" s="737"/>
      <c r="BE207" s="49"/>
      <c r="BF207" s="49"/>
      <c r="BG207" s="737"/>
      <c r="BH207" s="49"/>
      <c r="BI207" s="49"/>
      <c r="BJ207" s="737"/>
      <c r="BK207" s="49"/>
      <c r="BL207" s="49"/>
      <c r="BM207" s="737"/>
      <c r="BN207" s="49"/>
      <c r="BO207" s="49"/>
      <c r="BP207" s="737"/>
      <c r="BQ207" s="829"/>
      <c r="BR207" s="829"/>
      <c r="BS207" s="737"/>
      <c r="BT207" s="829"/>
      <c r="BU207" s="829"/>
      <c r="BV207" s="737"/>
      <c r="BW207" s="829"/>
      <c r="BX207" s="829"/>
      <c r="BY207" s="737"/>
      <c r="BZ207" s="829"/>
      <c r="CA207" s="829"/>
      <c r="CB207" s="737"/>
      <c r="CC207" s="829"/>
      <c r="CD207" s="829"/>
      <c r="CE207" s="737"/>
      <c r="CF207" s="49"/>
      <c r="CG207" s="49"/>
      <c r="CH207" s="737"/>
      <c r="CI207" s="49"/>
      <c r="CJ207" s="49"/>
      <c r="CK207" s="737"/>
      <c r="CL207" s="49"/>
      <c r="CM207" s="49"/>
      <c r="CN207" s="737"/>
      <c r="CO207" s="49"/>
      <c r="CP207" s="49"/>
      <c r="CQ207" s="737"/>
      <c r="CR207" s="49"/>
      <c r="CS207" s="49"/>
      <c r="CT207" s="28"/>
      <c r="CW207" s="970" t="s">
        <v>848</v>
      </c>
      <c r="CX207" s="975" t="s">
        <v>821</v>
      </c>
      <c r="CY207" s="979" cm="1">
        <f t="array" ref="CY207">AE207</f>
        <v>0</v>
      </c>
      <c r="CZ207" s="979" cm="1">
        <f t="array" ref="CZ207">AF207</f>
        <v>0</v>
      </c>
      <c r="DA207" s="976"/>
      <c r="DB207" s="976"/>
    </row>
    <row r="208" spans="1:106" s="1229" customFormat="1" ht="16.5" customHeight="1">
      <c r="E208" s="676">
        <v>17.100000000000001</v>
      </c>
      <c r="F208" s="779" t="str" cm="1">
        <f t="array" aca="1" ref="F208" ca="1">OFFSET(G208,-1,-1)</f>
        <v>1</v>
      </c>
      <c r="L208" s="779" t="b" cm="1">
        <f t="array" aca="1" ref="L208" ca="1">OFFSET(M208,-1,-1)</f>
        <v>0</v>
      </c>
      <c r="S208" s="110" t="b" cm="1">
        <f t="array" aca="1" ref="S208" ca="1">OFFSET(T208,-1,-1)</f>
        <v>1</v>
      </c>
      <c r="T208" s="110" t="b">
        <f>AD208&lt;&gt;"26.0"</f>
        <v>1</v>
      </c>
      <c r="U208" s="698" t="b">
        <f t="shared" ca="1" si="80"/>
        <v>1</v>
      </c>
      <c r="X208" s="110" t="str">
        <f>'Топливо 4.4'!$AE$203&amp;'Топливо 4.4'!$AF$203</f>
        <v>Уголь длиннопламенный</v>
      </c>
      <c r="Y208" s="1722"/>
      <c r="Z208" s="1722"/>
      <c r="AB208" s="1790"/>
      <c r="AD208" s="111" t="s">
        <v>947</v>
      </c>
      <c r="AE208" s="821" t="str" cm="1">
        <f t="array" ref="AE208">IF(ISBLANK('Топливо 4.4'!$AE$203),"",'Топливо 4.4'!$AE$203)</f>
        <v>Уголь длиннопламенный</v>
      </c>
      <c r="AF208" s="524" t="str" cm="1">
        <f t="array" ref="AF208">IF(ISBLANK('Топливо 4.4'!$AF$203),"",'Топливо 4.4'!$AF$203)</f>
        <v/>
      </c>
      <c r="AG208" s="733" t="s">
        <v>533</v>
      </c>
      <c r="AH208" s="1306"/>
      <c r="AI208" s="1309"/>
      <c r="AJ208" s="1309"/>
      <c r="AK208" s="1309"/>
      <c r="AL208" s="737"/>
      <c r="AM208" s="1302"/>
      <c r="AN208" s="1302"/>
      <c r="AO208" s="737"/>
      <c r="AP208" s="829"/>
      <c r="AQ208" s="829"/>
      <c r="AR208" s="737"/>
      <c r="AS208" s="829"/>
      <c r="AT208" s="829"/>
      <c r="AU208" s="737"/>
      <c r="AV208" s="829"/>
      <c r="AW208" s="829"/>
      <c r="AX208" s="737"/>
      <c r="AY208" s="829"/>
      <c r="AZ208" s="829"/>
      <c r="BA208" s="737"/>
      <c r="BB208" s="1309"/>
      <c r="BC208" s="1309"/>
      <c r="BD208" s="737"/>
      <c r="BE208" s="1309"/>
      <c r="BF208" s="1309"/>
      <c r="BG208" s="737"/>
      <c r="BH208" s="1309"/>
      <c r="BI208" s="1309"/>
      <c r="BJ208" s="737"/>
      <c r="BK208" s="1309"/>
      <c r="BL208" s="1309"/>
      <c r="BM208" s="737"/>
      <c r="BN208" s="1309"/>
      <c r="BO208" s="1309"/>
      <c r="BP208" s="737"/>
      <c r="BQ208" s="829"/>
      <c r="BR208" s="829"/>
      <c r="BS208" s="737"/>
      <c r="BT208" s="829"/>
      <c r="BU208" s="829"/>
      <c r="BV208" s="737"/>
      <c r="BW208" s="829"/>
      <c r="BX208" s="829"/>
      <c r="BY208" s="737"/>
      <c r="BZ208" s="829"/>
      <c r="CA208" s="829"/>
      <c r="CB208" s="737"/>
      <c r="CC208" s="829"/>
      <c r="CD208" s="829"/>
      <c r="CE208" s="737"/>
      <c r="CF208" s="1309"/>
      <c r="CG208" s="1309"/>
      <c r="CH208" s="737"/>
      <c r="CI208" s="1309"/>
      <c r="CJ208" s="1309"/>
      <c r="CK208" s="737"/>
      <c r="CL208" s="1309"/>
      <c r="CM208" s="1309"/>
      <c r="CN208" s="737"/>
      <c r="CO208" s="1309"/>
      <c r="CP208" s="1309"/>
      <c r="CQ208" s="737"/>
      <c r="CR208" s="1309"/>
      <c r="CS208" s="1309"/>
      <c r="CT208" s="1290"/>
      <c r="CW208" s="970" t="s">
        <v>848</v>
      </c>
      <c r="CX208" s="975" t="s">
        <v>821</v>
      </c>
      <c r="CY208" s="979" t="str" cm="1">
        <f t="array" ref="CY208">AE208</f>
        <v>Уголь длиннопламенный</v>
      </c>
      <c r="CZ208" s="979" t="str" cm="1">
        <f t="array" ref="CZ208">AF208</f>
        <v/>
      </c>
      <c r="DA208" s="976"/>
      <c r="DB208" s="976"/>
    </row>
    <row r="209" spans="1:106" s="1229" customFormat="1" ht="16.5" customHeight="1">
      <c r="E209" s="676">
        <v>17.100000000000001</v>
      </c>
      <c r="F209" s="779" t="str" cm="1">
        <f t="array" aca="1" ref="F209" ca="1">OFFSET(G209,-1,-1)</f>
        <v>1</v>
      </c>
      <c r="L209" s="779" t="b" cm="1">
        <f t="array" aca="1" ref="L209" ca="1">OFFSET(M209,-1,-1)</f>
        <v>0</v>
      </c>
      <c r="S209" s="110" t="b" cm="1">
        <f t="array" aca="1" ref="S209" ca="1">OFFSET(T209,-1,-1)</f>
        <v>1</v>
      </c>
      <c r="T209" s="110" t="b">
        <f>AD209&lt;&gt;"26.0"</f>
        <v>1</v>
      </c>
      <c r="U209" s="698" t="b">
        <f t="shared" ca="1" si="80"/>
        <v>1</v>
      </c>
      <c r="X209" s="110" t="str">
        <f>'Топливо 4.4'!$AE$204&amp;'Топливо 4.4'!$AF$204</f>
        <v>Уголь бурый</v>
      </c>
      <c r="Y209" s="1722"/>
      <c r="Z209" s="1722"/>
      <c r="AB209" s="1790"/>
      <c r="AD209" s="111" t="s">
        <v>948</v>
      </c>
      <c r="AE209" s="821" t="str" cm="1">
        <f t="array" ref="AE209">IF(ISBLANK('Топливо 4.4'!$AE$204),"",'Топливо 4.4'!$AE$204)</f>
        <v>Уголь бурый</v>
      </c>
      <c r="AF209" s="524" t="str" cm="1">
        <f t="array" ref="AF209">IF(ISBLANK('Топливо 4.4'!$AF$204),"",'Топливо 4.4'!$AF$204)</f>
        <v/>
      </c>
      <c r="AG209" s="733" t="s">
        <v>533</v>
      </c>
      <c r="AH209" s="1306"/>
      <c r="AI209" s="1309"/>
      <c r="AJ209" s="1309"/>
      <c r="AK209" s="1309"/>
      <c r="AL209" s="737"/>
      <c r="AM209" s="1302"/>
      <c r="AN209" s="1302"/>
      <c r="AO209" s="737"/>
      <c r="AP209" s="829"/>
      <c r="AQ209" s="829"/>
      <c r="AR209" s="737"/>
      <c r="AS209" s="829"/>
      <c r="AT209" s="829"/>
      <c r="AU209" s="737"/>
      <c r="AV209" s="829"/>
      <c r="AW209" s="829"/>
      <c r="AX209" s="737"/>
      <c r="AY209" s="829"/>
      <c r="AZ209" s="829"/>
      <c r="BA209" s="737"/>
      <c r="BB209" s="1309"/>
      <c r="BC209" s="1309"/>
      <c r="BD209" s="737"/>
      <c r="BE209" s="1309"/>
      <c r="BF209" s="1309"/>
      <c r="BG209" s="737"/>
      <c r="BH209" s="1309"/>
      <c r="BI209" s="1309"/>
      <c r="BJ209" s="737"/>
      <c r="BK209" s="1309"/>
      <c r="BL209" s="1309"/>
      <c r="BM209" s="737"/>
      <c r="BN209" s="1309"/>
      <c r="BO209" s="1309"/>
      <c r="BP209" s="737"/>
      <c r="BQ209" s="829"/>
      <c r="BR209" s="829"/>
      <c r="BS209" s="737"/>
      <c r="BT209" s="829"/>
      <c r="BU209" s="829"/>
      <c r="BV209" s="737"/>
      <c r="BW209" s="829"/>
      <c r="BX209" s="829"/>
      <c r="BY209" s="737"/>
      <c r="BZ209" s="829"/>
      <c r="CA209" s="829"/>
      <c r="CB209" s="737"/>
      <c r="CC209" s="829"/>
      <c r="CD209" s="829"/>
      <c r="CE209" s="737"/>
      <c r="CF209" s="1309"/>
      <c r="CG209" s="1309"/>
      <c r="CH209" s="737"/>
      <c r="CI209" s="1309"/>
      <c r="CJ209" s="1309"/>
      <c r="CK209" s="737"/>
      <c r="CL209" s="1309"/>
      <c r="CM209" s="1309"/>
      <c r="CN209" s="737"/>
      <c r="CO209" s="1309"/>
      <c r="CP209" s="1309"/>
      <c r="CQ209" s="737"/>
      <c r="CR209" s="1309"/>
      <c r="CS209" s="1309"/>
      <c r="CT209" s="1290"/>
      <c r="CW209" s="970" t="s">
        <v>848</v>
      </c>
      <c r="CX209" s="975" t="s">
        <v>821</v>
      </c>
      <c r="CY209" s="979" t="str" cm="1">
        <f t="array" ref="CY209">AE209</f>
        <v>Уголь бурый</v>
      </c>
      <c r="CZ209" s="979" t="str" cm="1">
        <f t="array" ref="CZ209">AF209</f>
        <v/>
      </c>
      <c r="DA209" s="976"/>
      <c r="DB209" s="976"/>
    </row>
    <row r="210" spans="1:106" s="1229" customFormat="1" ht="15" hidden="1" customHeight="1">
      <c r="A210" s="1155"/>
      <c r="B210" s="783"/>
      <c r="C210" s="1155"/>
      <c r="D210" s="1155"/>
      <c r="E210" s="676">
        <v>0</v>
      </c>
      <c r="F210" s="779" t="str" cm="1">
        <f t="array" aca="1" ref="F210" ca="1">OFFSET(G210,-1,-1)</f>
        <v>1</v>
      </c>
      <c r="G210" s="814"/>
      <c r="H210" s="814"/>
      <c r="I210" s="814"/>
      <c r="J210" s="814"/>
      <c r="K210" s="814"/>
      <c r="L210" s="779" t="b" cm="1">
        <f t="array" aca="1" ref="L210" ca="1">OFFSET(M210,-1,-1)</f>
        <v>0</v>
      </c>
      <c r="M210" s="814"/>
      <c r="N210" s="814"/>
      <c r="O210" s="814"/>
      <c r="P210" s="814"/>
      <c r="Q210" s="814"/>
      <c r="R210" s="1155"/>
      <c r="S210" s="110" t="b" cm="1">
        <f t="array" aca="1" ref="S210" ca="1">OFFSET(T210,-1,-1)</f>
        <v>1</v>
      </c>
      <c r="T210" s="1155"/>
      <c r="U210" s="698" t="b">
        <f t="shared" ca="1" si="80"/>
        <v>1</v>
      </c>
      <c r="V210" s="1155"/>
      <c r="W210" s="1155"/>
      <c r="X210" s="820" t="str">
        <f>"{                  
         funcDyn: 'msg1',
         blok: 'blok_2',
         wsCross: 'Топливо 4.4',
         linkFormula: 'AE-AE#AF-AF',
         levelDyn: "&amp;Y139&amp;"
}"</f>
        <v>{                  
         funcDyn: 'msg1',
         blok: 'blok_2',
         wsCross: 'Топливо 4.4',
         linkFormula: 'AE-AE#AF-AF',
         levelDyn: 1
}</v>
      </c>
      <c r="Y210" s="1687"/>
      <c r="Z210" s="1687"/>
      <c r="AA210" s="699"/>
      <c r="AB210" s="1790"/>
      <c r="AD210" s="823"/>
      <c r="AE210" s="822" t="s">
        <v>238</v>
      </c>
      <c r="AF210" s="745"/>
      <c r="AG210" s="733"/>
      <c r="AH210" s="746"/>
      <c r="AI210" s="50"/>
      <c r="AJ210" s="50"/>
      <c r="AK210" s="50"/>
      <c r="AL210" s="737"/>
      <c r="AM210" s="50"/>
      <c r="AN210" s="50"/>
      <c r="AO210" s="737"/>
      <c r="AP210" s="50"/>
      <c r="AQ210" s="50"/>
      <c r="AR210" s="737"/>
      <c r="AS210" s="50"/>
      <c r="AT210" s="50"/>
      <c r="AU210" s="737"/>
      <c r="AV210" s="50"/>
      <c r="AW210" s="50"/>
      <c r="AX210" s="737"/>
      <c r="AY210" s="50"/>
      <c r="AZ210" s="50"/>
      <c r="BA210" s="737"/>
      <c r="BB210" s="50"/>
      <c r="BC210" s="50"/>
      <c r="BD210" s="737"/>
      <c r="BE210" s="50"/>
      <c r="BF210" s="50"/>
      <c r="BG210" s="737"/>
      <c r="BH210" s="50"/>
      <c r="BI210" s="50"/>
      <c r="BJ210" s="737"/>
      <c r="BK210" s="50"/>
      <c r="BL210" s="50"/>
      <c r="BM210" s="737"/>
      <c r="BN210" s="50"/>
      <c r="BO210" s="50"/>
      <c r="BP210" s="737"/>
      <c r="BQ210" s="50"/>
      <c r="BR210" s="50"/>
      <c r="BS210" s="737"/>
      <c r="BT210" s="50"/>
      <c r="BU210" s="50"/>
      <c r="BV210" s="737"/>
      <c r="BW210" s="50"/>
      <c r="BX210" s="50"/>
      <c r="BY210" s="737"/>
      <c r="BZ210" s="50"/>
      <c r="CA210" s="50"/>
      <c r="CB210" s="737"/>
      <c r="CC210" s="50"/>
      <c r="CD210" s="50"/>
      <c r="CE210" s="737"/>
      <c r="CF210" s="50"/>
      <c r="CG210" s="50"/>
      <c r="CH210" s="737"/>
      <c r="CI210" s="50"/>
      <c r="CJ210" s="50"/>
      <c r="CK210" s="737"/>
      <c r="CL210" s="50"/>
      <c r="CM210" s="50"/>
      <c r="CN210" s="737"/>
      <c r="CO210" s="50"/>
      <c r="CP210" s="50"/>
      <c r="CQ210" s="737"/>
      <c r="CR210" s="50"/>
      <c r="CS210" s="50"/>
      <c r="CT210" s="46"/>
      <c r="CW210" s="970" t="str">
        <f>IF(AND(ISNUMBER(VALUE(TRIM(SUBSTITUTE(AD210,".","")))),TRIM(SUBSTITUTE(AD210,".",""))&lt;&gt;""),"P"&amp;SUBSTITUTE(AD210,".",""),"")</f>
        <v/>
      </c>
      <c r="CX210" s="975"/>
      <c r="CY210" s="975"/>
      <c r="CZ210" s="975"/>
      <c r="DA210" s="976"/>
      <c r="DB210" s="976"/>
    </row>
    <row r="211" spans="1:106" s="1229" customFormat="1" ht="16.5" customHeight="1">
      <c r="A211" s="1155"/>
      <c r="B211" s="783"/>
      <c r="C211" s="1155"/>
      <c r="D211" s="1155"/>
      <c r="E211" s="676">
        <v>17.100000000000001</v>
      </c>
      <c r="F211" s="779" t="str" cm="1">
        <f t="array" aca="1" ref="F211" ca="1">OFFSET(G211,-1,-1)</f>
        <v>1</v>
      </c>
      <c r="G211" s="814"/>
      <c r="H211" s="814"/>
      <c r="I211" s="814"/>
      <c r="J211" s="814"/>
      <c r="K211" s="814"/>
      <c r="L211" s="779" t="b" cm="1">
        <f t="array" aca="1" ref="L211" ca="1">OFFSET(M211,-1,-1)</f>
        <v>0</v>
      </c>
      <c r="M211" s="814"/>
      <c r="N211" s="814"/>
      <c r="O211" s="814"/>
      <c r="P211" s="814"/>
      <c r="Q211" s="814"/>
      <c r="R211" s="1155"/>
      <c r="S211" s="110" t="b" cm="1">
        <f t="array" aca="1" ref="S211" ca="1">OFFSET(T211,-1,-1)</f>
        <v>1</v>
      </c>
      <c r="T211" s="1155"/>
      <c r="U211" s="698" t="b">
        <f t="shared" ca="1" si="80"/>
        <v>1</v>
      </c>
      <c r="V211" s="1155"/>
      <c r="W211" s="1155"/>
      <c r="X211" s="1155"/>
      <c r="Y211" s="1687"/>
      <c r="Z211" s="1687"/>
      <c r="AA211" s="699"/>
      <c r="AB211" s="1790"/>
      <c r="AD211" s="124">
        <v>27</v>
      </c>
      <c r="AE211" s="1754" t="s">
        <v>850</v>
      </c>
      <c r="AF211" s="1734"/>
      <c r="AG211" s="849"/>
      <c r="AH211" s="735"/>
      <c r="AI211" s="737"/>
      <c r="AJ211" s="737"/>
      <c r="AK211" s="737"/>
      <c r="AL211" s="737"/>
      <c r="AM211" s="737"/>
      <c r="AN211" s="737"/>
      <c r="AO211" s="737"/>
      <c r="AP211" s="737"/>
      <c r="AQ211" s="737"/>
      <c r="AR211" s="737"/>
      <c r="AS211" s="737"/>
      <c r="AT211" s="737"/>
      <c r="AU211" s="737"/>
      <c r="AV211" s="737"/>
      <c r="AW211" s="737"/>
      <c r="AX211" s="737"/>
      <c r="AY211" s="737"/>
      <c r="AZ211" s="737"/>
      <c r="BA211" s="737"/>
      <c r="BB211" s="737"/>
      <c r="BC211" s="737"/>
      <c r="BD211" s="737"/>
      <c r="BE211" s="737"/>
      <c r="BF211" s="737"/>
      <c r="BG211" s="737"/>
      <c r="BH211" s="737"/>
      <c r="BI211" s="737"/>
      <c r="BJ211" s="737"/>
      <c r="BK211" s="737"/>
      <c r="BL211" s="737"/>
      <c r="BM211" s="737"/>
      <c r="BN211" s="737"/>
      <c r="BO211" s="737"/>
      <c r="BP211" s="737"/>
      <c r="BQ211" s="737"/>
      <c r="BR211" s="737"/>
      <c r="BS211" s="737"/>
      <c r="BT211" s="737"/>
      <c r="BU211" s="737"/>
      <c r="BV211" s="737"/>
      <c r="BW211" s="737"/>
      <c r="BX211" s="737"/>
      <c r="BY211" s="737"/>
      <c r="BZ211" s="737"/>
      <c r="CA211" s="737"/>
      <c r="CB211" s="737"/>
      <c r="CC211" s="737"/>
      <c r="CD211" s="737"/>
      <c r="CE211" s="737"/>
      <c r="CF211" s="737"/>
      <c r="CG211" s="737"/>
      <c r="CH211" s="737"/>
      <c r="CI211" s="737"/>
      <c r="CJ211" s="737"/>
      <c r="CK211" s="737"/>
      <c r="CL211" s="737"/>
      <c r="CM211" s="737"/>
      <c r="CN211" s="737"/>
      <c r="CO211" s="737"/>
      <c r="CP211" s="737"/>
      <c r="CQ211" s="737"/>
      <c r="CR211" s="737"/>
      <c r="CS211" s="737"/>
      <c r="CT211" s="1290"/>
      <c r="CW211" s="970" t="s">
        <v>851</v>
      </c>
      <c r="CX211" s="975"/>
      <c r="CY211" s="975"/>
      <c r="CZ211" s="975"/>
      <c r="DA211" s="976"/>
      <c r="DB211" s="976"/>
    </row>
    <row r="212" spans="1:106" s="1229" customFormat="1" ht="16.5" hidden="1" customHeight="1">
      <c r="E212" s="676">
        <v>17.100000000000001</v>
      </c>
      <c r="F212" s="779" t="str" cm="1">
        <f t="array" aca="1" ref="F212" ca="1">OFFSET(G212,-1,-1)</f>
        <v>1</v>
      </c>
      <c r="L212" s="779" t="b" cm="1">
        <f t="array" aca="1" ref="L212" ca="1">OFFSET(M212,-1,-1)</f>
        <v>0</v>
      </c>
      <c r="S212" s="110" t="b" cm="1">
        <f t="array" aca="1" ref="S212" ca="1">OFFSET(T212,-1,-1)</f>
        <v>1</v>
      </c>
      <c r="T212" s="110" t="b">
        <f>AD212&lt;&gt;"27.0"</f>
        <v>0</v>
      </c>
      <c r="U212" s="698" t="b">
        <f t="shared" ca="1" si="80"/>
        <v>0</v>
      </c>
      <c r="X212" s="110" t="s">
        <v>236</v>
      </c>
      <c r="Y212" s="1722"/>
      <c r="Z212" s="1722"/>
      <c r="AB212" s="1790"/>
      <c r="AD212" s="111" t="s">
        <v>852</v>
      </c>
      <c r="AE212" s="821"/>
      <c r="AF212" s="524"/>
      <c r="AG212" s="894" t="str">
        <f>"руб./"&amp;IFERROR(INDEX(fuel_ed_izm_list,MATCH(AE212,fuel_list,0)),"")</f>
        <v>руб./</v>
      </c>
      <c r="AH212" s="41">
        <f t="shared" ref="AH212:AL214" si="175">IFERROR(AH218/AH181,0)*1000</f>
        <v>0</v>
      </c>
      <c r="AI212" s="41">
        <f t="shared" si="175"/>
        <v>0</v>
      </c>
      <c r="AJ212" s="41">
        <f t="shared" si="175"/>
        <v>0</v>
      </c>
      <c r="AK212" s="41">
        <f t="shared" si="175"/>
        <v>0</v>
      </c>
      <c r="AL212" s="736">
        <f t="shared" ca="1" si="175"/>
        <v>0</v>
      </c>
      <c r="AM212" s="42"/>
      <c r="AN212" s="42"/>
      <c r="AO212" s="736">
        <f ca="1">IFERROR(AO218/AO181,0)*1000</f>
        <v>0</v>
      </c>
      <c r="AP212" s="826"/>
      <c r="AQ212" s="826"/>
      <c r="AR212" s="736">
        <f ca="1">IFERROR(AR218/AR181,0)*1000</f>
        <v>0</v>
      </c>
      <c r="AS212" s="826"/>
      <c r="AT212" s="826"/>
      <c r="AU212" s="736">
        <f ca="1">IFERROR(AU218/AU181,0)*1000</f>
        <v>0</v>
      </c>
      <c r="AV212" s="826"/>
      <c r="AW212" s="826"/>
      <c r="AX212" s="736">
        <f ca="1">IFERROR(AX218/AX181,0)*1000</f>
        <v>0</v>
      </c>
      <c r="AY212" s="826"/>
      <c r="AZ212" s="826"/>
      <c r="BA212" s="736">
        <f ca="1">IFERROR(BA218/BA181,0)*1000</f>
        <v>0</v>
      </c>
      <c r="BB212" s="42"/>
      <c r="BC212" s="42"/>
      <c r="BD212" s="736">
        <f ca="1">IFERROR(BD218/BD181,0)*1000</f>
        <v>0</v>
      </c>
      <c r="BE212" s="42"/>
      <c r="BF212" s="42"/>
      <c r="BG212" s="736">
        <f ca="1">IFERROR(BG218/BG181,0)*1000</f>
        <v>0</v>
      </c>
      <c r="BH212" s="42"/>
      <c r="BI212" s="42"/>
      <c r="BJ212" s="736">
        <f ca="1">IFERROR(BJ218/BJ181,0)*1000</f>
        <v>0</v>
      </c>
      <c r="BK212" s="42"/>
      <c r="BL212" s="42"/>
      <c r="BM212" s="736">
        <f ca="1">IFERROR(BM218/BM181,0)*1000</f>
        <v>0</v>
      </c>
      <c r="BN212" s="42"/>
      <c r="BO212" s="42"/>
      <c r="BP212" s="736">
        <f ca="1">IFERROR(BP218/BP181,0)*1000</f>
        <v>0</v>
      </c>
      <c r="BQ212" s="826"/>
      <c r="BR212" s="826"/>
      <c r="BS212" s="736">
        <f ca="1">IFERROR(BS218/BS181,0)*1000</f>
        <v>0</v>
      </c>
      <c r="BT212" s="826"/>
      <c r="BU212" s="826"/>
      <c r="BV212" s="736">
        <f ca="1">IFERROR(BV218/BV181,0)*1000</f>
        <v>0</v>
      </c>
      <c r="BW212" s="826"/>
      <c r="BX212" s="826"/>
      <c r="BY212" s="736">
        <f ca="1">IFERROR(BY218/BY181,0)*1000</f>
        <v>0</v>
      </c>
      <c r="BZ212" s="826"/>
      <c r="CA212" s="826"/>
      <c r="CB212" s="736">
        <f ca="1">IFERROR(CB218/CB181,0)*1000</f>
        <v>0</v>
      </c>
      <c r="CC212" s="826"/>
      <c r="CD212" s="826"/>
      <c r="CE212" s="736">
        <f ca="1">IFERROR(CE218/CE181,0)*1000</f>
        <v>0</v>
      </c>
      <c r="CF212" s="42"/>
      <c r="CG212" s="42"/>
      <c r="CH212" s="736">
        <f ca="1">IFERROR(CH218/CH181,0)*1000</f>
        <v>0</v>
      </c>
      <c r="CI212" s="42"/>
      <c r="CJ212" s="42"/>
      <c r="CK212" s="736">
        <f ca="1">IFERROR(CK218/CK181,0)*1000</f>
        <v>0</v>
      </c>
      <c r="CL212" s="42"/>
      <c r="CM212" s="42"/>
      <c r="CN212" s="736">
        <f ca="1">IFERROR(CN218/CN181,0)*1000</f>
        <v>0</v>
      </c>
      <c r="CO212" s="42"/>
      <c r="CP212" s="42"/>
      <c r="CQ212" s="736">
        <f ca="1">IFERROR(CQ218/CQ181,0)*1000</f>
        <v>0</v>
      </c>
      <c r="CR212" s="42"/>
      <c r="CS212" s="42"/>
      <c r="CT212" s="28"/>
      <c r="CW212" s="970" t="s">
        <v>851</v>
      </c>
      <c r="CX212" s="975" t="s">
        <v>821</v>
      </c>
      <c r="CY212" s="979" cm="1">
        <f t="array" ref="CY212">AE212</f>
        <v>0</v>
      </c>
      <c r="CZ212" s="979" cm="1">
        <f t="array" ref="CZ212">AF212</f>
        <v>0</v>
      </c>
      <c r="DA212" s="976"/>
      <c r="DB212" s="976"/>
    </row>
    <row r="213" spans="1:106" s="1229" customFormat="1" ht="16.5" customHeight="1">
      <c r="E213" s="676">
        <v>17.100000000000001</v>
      </c>
      <c r="F213" s="779" t="str" cm="1">
        <f t="array" aca="1" ref="F213" ca="1">OFFSET(G213,-1,-1)</f>
        <v>1</v>
      </c>
      <c r="L213" s="779" t="b" cm="1">
        <f t="array" aca="1" ref="L213" ca="1">OFFSET(M213,-1,-1)</f>
        <v>0</v>
      </c>
      <c r="S213" s="110" t="b" cm="1">
        <f t="array" aca="1" ref="S213" ca="1">OFFSET(T213,-1,-1)</f>
        <v>1</v>
      </c>
      <c r="T213" s="110" t="b">
        <f>AD213&lt;&gt;"27.0"</f>
        <v>1</v>
      </c>
      <c r="U213" s="698" t="b">
        <f t="shared" ca="1" si="80"/>
        <v>1</v>
      </c>
      <c r="X213" s="110" t="str">
        <f>'Топливо 4.4'!$AE$208&amp;'Топливо 4.4'!$AF$208</f>
        <v>Уголь длиннопламенный</v>
      </c>
      <c r="Y213" s="1722"/>
      <c r="Z213" s="1722"/>
      <c r="AB213" s="1790"/>
      <c r="AD213" s="111" t="s">
        <v>949</v>
      </c>
      <c r="AE213" s="821" t="str" cm="1">
        <f t="array" ref="AE213">IF(ISBLANK('Топливо 4.4'!$AE$208),"",'Топливо 4.4'!$AE$208)</f>
        <v>Уголь длиннопламенный</v>
      </c>
      <c r="AF213" s="524" t="str" cm="1">
        <f t="array" ref="AF213">IF(ISBLANK('Топливо 4.4'!$AF$208),"",'Топливо 4.4'!$AF$208)</f>
        <v/>
      </c>
      <c r="AG213" s="894" t="str">
        <f>"руб./"&amp;IFERROR(INDEX(fuel_ed_izm_list,MATCH(AE213,fuel_list,0)),"")</f>
        <v>руб./тнт</v>
      </c>
      <c r="AH213" s="1303">
        <f t="shared" si="175"/>
        <v>0</v>
      </c>
      <c r="AI213" s="1303">
        <f t="shared" si="175"/>
        <v>0</v>
      </c>
      <c r="AJ213" s="1303">
        <f t="shared" si="175"/>
        <v>0</v>
      </c>
      <c r="AK213" s="1303">
        <f t="shared" si="175"/>
        <v>949.24044405603365</v>
      </c>
      <c r="AL213" s="736">
        <f t="shared" ca="1" si="175"/>
        <v>0</v>
      </c>
      <c r="AM213" s="1302"/>
      <c r="AN213" s="1302"/>
      <c r="AO213" s="736">
        <f ca="1">IFERROR(AO219/AO182,0)*1000</f>
        <v>0</v>
      </c>
      <c r="AP213" s="826"/>
      <c r="AQ213" s="826"/>
      <c r="AR213" s="736">
        <f ca="1">IFERROR(AR219/AR182,0)*1000</f>
        <v>0</v>
      </c>
      <c r="AS213" s="826"/>
      <c r="AT213" s="826"/>
      <c r="AU213" s="736">
        <f ca="1">IFERROR(AU219/AU182,0)*1000</f>
        <v>0</v>
      </c>
      <c r="AV213" s="826"/>
      <c r="AW213" s="826"/>
      <c r="AX213" s="736">
        <f ca="1">IFERROR(AX219/AX182,0)*1000</f>
        <v>0</v>
      </c>
      <c r="AY213" s="826"/>
      <c r="AZ213" s="826"/>
      <c r="BA213" s="736">
        <f ca="1">IFERROR(BA219/BA182,0)*1000</f>
        <v>0</v>
      </c>
      <c r="BB213" s="1302"/>
      <c r="BC213" s="1302"/>
      <c r="BD213" s="736">
        <f ca="1">IFERROR(BD219/BD182,0)*1000</f>
        <v>0</v>
      </c>
      <c r="BE213" s="1302"/>
      <c r="BF213" s="1302"/>
      <c r="BG213" s="736">
        <f ca="1">IFERROR(BG219/BG182,0)*1000</f>
        <v>0</v>
      </c>
      <c r="BH213" s="1302"/>
      <c r="BI213" s="1302"/>
      <c r="BJ213" s="736">
        <f ca="1">IFERROR(BJ219/BJ182,0)*1000</f>
        <v>0</v>
      </c>
      <c r="BK213" s="1302"/>
      <c r="BL213" s="1302"/>
      <c r="BM213" s="736">
        <f ca="1">IFERROR(BM219/BM182,0)*1000</f>
        <v>0</v>
      </c>
      <c r="BN213" s="1302"/>
      <c r="BO213" s="1302"/>
      <c r="BP213" s="736">
        <f ca="1">IFERROR(BP219/BP182,0)*1000</f>
        <v>1137.5855602213001</v>
      </c>
      <c r="BQ213" s="826">
        <v>1137.5855602213001</v>
      </c>
      <c r="BR213" s="826">
        <v>1137.5855602213001</v>
      </c>
      <c r="BS213" s="736">
        <f ca="1">IFERROR(BS219/BS182,0)*1000</f>
        <v>0</v>
      </c>
      <c r="BT213" s="826"/>
      <c r="BU213" s="826"/>
      <c r="BV213" s="736">
        <f ca="1">IFERROR(BV219/BV182,0)*1000</f>
        <v>0</v>
      </c>
      <c r="BW213" s="826"/>
      <c r="BX213" s="826"/>
      <c r="BY213" s="736">
        <f ca="1">IFERROR(BY219/BY182,0)*1000</f>
        <v>0</v>
      </c>
      <c r="BZ213" s="826"/>
      <c r="CA213" s="826"/>
      <c r="CB213" s="736">
        <f ca="1">IFERROR(CB219/CB182,0)*1000</f>
        <v>0</v>
      </c>
      <c r="CC213" s="826"/>
      <c r="CD213" s="826"/>
      <c r="CE213" s="736">
        <f ca="1">IFERROR(CE219/CE182,0)*1000</f>
        <v>0</v>
      </c>
      <c r="CF213" s="1302"/>
      <c r="CG213" s="1302"/>
      <c r="CH213" s="736">
        <f ca="1">IFERROR(CH219/CH182,0)*1000</f>
        <v>0</v>
      </c>
      <c r="CI213" s="1302"/>
      <c r="CJ213" s="1302"/>
      <c r="CK213" s="736">
        <f ca="1">IFERROR(CK219/CK182,0)*1000</f>
        <v>0</v>
      </c>
      <c r="CL213" s="1302"/>
      <c r="CM213" s="1302"/>
      <c r="CN213" s="736">
        <f ca="1">IFERROR(CN219/CN182,0)*1000</f>
        <v>0</v>
      </c>
      <c r="CO213" s="1302"/>
      <c r="CP213" s="1302"/>
      <c r="CQ213" s="736">
        <f ca="1">IFERROR(CQ219/CQ182,0)*1000</f>
        <v>0</v>
      </c>
      <c r="CR213" s="1302"/>
      <c r="CS213" s="1302"/>
      <c r="CT213" s="1290"/>
      <c r="CW213" s="970" t="s">
        <v>851</v>
      </c>
      <c r="CX213" s="975" t="s">
        <v>821</v>
      </c>
      <c r="CY213" s="979" t="str" cm="1">
        <f t="array" ref="CY213">AE213</f>
        <v>Уголь длиннопламенный</v>
      </c>
      <c r="CZ213" s="979" t="str" cm="1">
        <f t="array" ref="CZ213">AF213</f>
        <v/>
      </c>
      <c r="DA213" s="976"/>
      <c r="DB213" s="976"/>
    </row>
    <row r="214" spans="1:106" s="1229" customFormat="1" ht="16.5" customHeight="1">
      <c r="E214" s="676">
        <v>17.100000000000001</v>
      </c>
      <c r="F214" s="779" t="str" cm="1">
        <f t="array" aca="1" ref="F214" ca="1">OFFSET(G214,-1,-1)</f>
        <v>1</v>
      </c>
      <c r="L214" s="779" t="b" cm="1">
        <f t="array" aca="1" ref="L214" ca="1">OFFSET(M214,-1,-1)</f>
        <v>0</v>
      </c>
      <c r="S214" s="110" t="b" cm="1">
        <f t="array" aca="1" ref="S214" ca="1">OFFSET(T214,-1,-1)</f>
        <v>1</v>
      </c>
      <c r="T214" s="110" t="b">
        <f>AD214&lt;&gt;"27.0"</f>
        <v>1</v>
      </c>
      <c r="U214" s="698" t="b">
        <f t="shared" ca="1" si="80"/>
        <v>1</v>
      </c>
      <c r="X214" s="110" t="str">
        <f>'Топливо 4.4'!$AE$209&amp;'Топливо 4.4'!$AF$209</f>
        <v>Уголь бурый</v>
      </c>
      <c r="Y214" s="1722"/>
      <c r="Z214" s="1722"/>
      <c r="AB214" s="1790"/>
      <c r="AD214" s="111" t="s">
        <v>950</v>
      </c>
      <c r="AE214" s="821" t="str" cm="1">
        <f t="array" ref="AE214">IF(ISBLANK('Топливо 4.4'!$AE$209),"",'Топливо 4.4'!$AE$209)</f>
        <v>Уголь бурый</v>
      </c>
      <c r="AF214" s="524" t="str" cm="1">
        <f t="array" ref="AF214">IF(ISBLANK('Топливо 4.4'!$AF$209),"",'Топливо 4.4'!$AF$209)</f>
        <v/>
      </c>
      <c r="AG214" s="894" t="str">
        <f>"руб./"&amp;IFERROR(INDEX(fuel_ed_izm_list,MATCH(AE214,fuel_list,0)),"")</f>
        <v>руб./тнт</v>
      </c>
      <c r="AH214" s="1303">
        <f t="shared" si="175"/>
        <v>0</v>
      </c>
      <c r="AI214" s="1303">
        <f t="shared" si="175"/>
        <v>0</v>
      </c>
      <c r="AJ214" s="1303">
        <f t="shared" si="175"/>
        <v>0</v>
      </c>
      <c r="AK214" s="1303">
        <f t="shared" si="175"/>
        <v>0</v>
      </c>
      <c r="AL214" s="736">
        <f t="shared" ca="1" si="175"/>
        <v>0</v>
      </c>
      <c r="AM214" s="1302"/>
      <c r="AN214" s="1302"/>
      <c r="AO214" s="736">
        <f ca="1">IFERROR(AO220/AO183,0)*1000</f>
        <v>0</v>
      </c>
      <c r="AP214" s="826"/>
      <c r="AQ214" s="826"/>
      <c r="AR214" s="736">
        <f ca="1">IFERROR(AR220/AR183,0)*1000</f>
        <v>0</v>
      </c>
      <c r="AS214" s="826"/>
      <c r="AT214" s="826"/>
      <c r="AU214" s="736">
        <f ca="1">IFERROR(AU220/AU183,0)*1000</f>
        <v>0</v>
      </c>
      <c r="AV214" s="826"/>
      <c r="AW214" s="826"/>
      <c r="AX214" s="736">
        <f ca="1">IFERROR(AX220/AX183,0)*1000</f>
        <v>0</v>
      </c>
      <c r="AY214" s="826"/>
      <c r="AZ214" s="826"/>
      <c r="BA214" s="736">
        <f ca="1">IFERROR(BA220/BA183,0)*1000</f>
        <v>0</v>
      </c>
      <c r="BB214" s="1302"/>
      <c r="BC214" s="1302"/>
      <c r="BD214" s="736">
        <f ca="1">IFERROR(BD220/BD183,0)*1000</f>
        <v>0</v>
      </c>
      <c r="BE214" s="1302"/>
      <c r="BF214" s="1302"/>
      <c r="BG214" s="736">
        <f ca="1">IFERROR(BG220/BG183,0)*1000</f>
        <v>0</v>
      </c>
      <c r="BH214" s="1302"/>
      <c r="BI214" s="1302"/>
      <c r="BJ214" s="736">
        <f ca="1">IFERROR(BJ220/BJ183,0)*1000</f>
        <v>0</v>
      </c>
      <c r="BK214" s="1302"/>
      <c r="BL214" s="1302"/>
      <c r="BM214" s="736">
        <f ca="1">IFERROR(BM220/BM183,0)*1000</f>
        <v>0</v>
      </c>
      <c r="BN214" s="1302"/>
      <c r="BO214" s="1302"/>
      <c r="BP214" s="736">
        <f ca="1">IFERROR(BP220/BP183,0)*1000</f>
        <v>0</v>
      </c>
      <c r="BQ214" s="826"/>
      <c r="BR214" s="826"/>
      <c r="BS214" s="736">
        <f ca="1">IFERROR(BS220/BS183,0)*1000</f>
        <v>0</v>
      </c>
      <c r="BT214" s="826"/>
      <c r="BU214" s="826"/>
      <c r="BV214" s="736">
        <f ca="1">IFERROR(BV220/BV183,0)*1000</f>
        <v>0</v>
      </c>
      <c r="BW214" s="826"/>
      <c r="BX214" s="826"/>
      <c r="BY214" s="736">
        <f ca="1">IFERROR(BY220/BY183,0)*1000</f>
        <v>0</v>
      </c>
      <c r="BZ214" s="826"/>
      <c r="CA214" s="826"/>
      <c r="CB214" s="736">
        <f ca="1">IFERROR(CB220/CB183,0)*1000</f>
        <v>0</v>
      </c>
      <c r="CC214" s="826"/>
      <c r="CD214" s="826"/>
      <c r="CE214" s="736">
        <f ca="1">IFERROR(CE220/CE183,0)*1000</f>
        <v>0</v>
      </c>
      <c r="CF214" s="1302"/>
      <c r="CG214" s="1302"/>
      <c r="CH214" s="736">
        <f ca="1">IFERROR(CH220/CH183,0)*1000</f>
        <v>0</v>
      </c>
      <c r="CI214" s="1302"/>
      <c r="CJ214" s="1302"/>
      <c r="CK214" s="736">
        <f ca="1">IFERROR(CK220/CK183,0)*1000</f>
        <v>0</v>
      </c>
      <c r="CL214" s="1302"/>
      <c r="CM214" s="1302"/>
      <c r="CN214" s="736">
        <f ca="1">IFERROR(CN220/CN183,0)*1000</f>
        <v>0</v>
      </c>
      <c r="CO214" s="1302"/>
      <c r="CP214" s="1302"/>
      <c r="CQ214" s="736">
        <f ca="1">IFERROR(CQ220/CQ183,0)*1000</f>
        <v>0</v>
      </c>
      <c r="CR214" s="1302"/>
      <c r="CS214" s="1302"/>
      <c r="CT214" s="1290"/>
      <c r="CW214" s="970" t="s">
        <v>851</v>
      </c>
      <c r="CX214" s="975" t="s">
        <v>821</v>
      </c>
      <c r="CY214" s="979" t="str" cm="1">
        <f t="array" ref="CY214">AE214</f>
        <v>Уголь бурый</v>
      </c>
      <c r="CZ214" s="979" t="str" cm="1">
        <f t="array" ref="CZ214">AF214</f>
        <v/>
      </c>
      <c r="DA214" s="976"/>
      <c r="DB214" s="976"/>
    </row>
    <row r="215" spans="1:106" s="1229" customFormat="1" ht="15" hidden="1" customHeight="1">
      <c r="A215" s="1155"/>
      <c r="B215" s="783"/>
      <c r="C215" s="1155"/>
      <c r="D215" s="1155"/>
      <c r="E215" s="676">
        <v>0</v>
      </c>
      <c r="F215" s="779" t="str" cm="1">
        <f t="array" aca="1" ref="F215" ca="1">OFFSET(G215,-1,-1)</f>
        <v>1</v>
      </c>
      <c r="G215" s="814"/>
      <c r="H215" s="814"/>
      <c r="I215" s="814"/>
      <c r="J215" s="814"/>
      <c r="K215" s="814"/>
      <c r="L215" s="779" t="b" cm="1">
        <f t="array" aca="1" ref="L215" ca="1">OFFSET(M215,-1,-1)</f>
        <v>0</v>
      </c>
      <c r="M215" s="814"/>
      <c r="N215" s="814"/>
      <c r="O215" s="814"/>
      <c r="P215" s="814"/>
      <c r="Q215" s="814"/>
      <c r="R215" s="1155"/>
      <c r="S215" s="110" t="b" cm="1">
        <f t="array" aca="1" ref="S215" ca="1">OFFSET(T215,-1,-1)</f>
        <v>1</v>
      </c>
      <c r="T215" s="1155"/>
      <c r="U215" s="698" t="b">
        <f t="shared" ca="1" si="80"/>
        <v>1</v>
      </c>
      <c r="V215" s="1155"/>
      <c r="W215" s="1155"/>
      <c r="X215" s="820" t="str">
        <f>"{                  
         funcDyn: 'msg1',
         blok: 'blok_2',
         wsCross: 'Топливо 4.4',
         linkFormula: 'AE-AE#AF-AF',
         levelDyn: "&amp;Y139&amp;"
}"</f>
        <v>{                  
         funcDyn: 'msg1',
         blok: 'blok_2',
         wsCross: 'Топливо 4.4',
         linkFormula: 'AE-AE#AF-AF',
         levelDyn: 1
}</v>
      </c>
      <c r="Y215" s="1687"/>
      <c r="Z215" s="1687"/>
      <c r="AA215" s="699"/>
      <c r="AB215" s="1790"/>
      <c r="AD215" s="823"/>
      <c r="AE215" s="822" t="s">
        <v>238</v>
      </c>
      <c r="AF215" s="745"/>
      <c r="AG215" s="733"/>
      <c r="AH215" s="735"/>
      <c r="AI215" s="737"/>
      <c r="AJ215" s="737"/>
      <c r="AK215" s="737"/>
      <c r="AL215" s="737"/>
      <c r="AM215" s="737"/>
      <c r="AN215" s="737"/>
      <c r="AO215" s="737"/>
      <c r="AP215" s="737"/>
      <c r="AQ215" s="737"/>
      <c r="AR215" s="737"/>
      <c r="AS215" s="737"/>
      <c r="AT215" s="737"/>
      <c r="AU215" s="737"/>
      <c r="AV215" s="737"/>
      <c r="AW215" s="737"/>
      <c r="AX215" s="737"/>
      <c r="AY215" s="737"/>
      <c r="AZ215" s="737"/>
      <c r="BA215" s="737"/>
      <c r="BB215" s="737"/>
      <c r="BC215" s="737"/>
      <c r="BD215" s="737"/>
      <c r="BE215" s="737"/>
      <c r="BF215" s="737"/>
      <c r="BG215" s="737"/>
      <c r="BH215" s="737"/>
      <c r="BI215" s="737"/>
      <c r="BJ215" s="737"/>
      <c r="BK215" s="737"/>
      <c r="BL215" s="737"/>
      <c r="BM215" s="737"/>
      <c r="BN215" s="737"/>
      <c r="BO215" s="737"/>
      <c r="BP215" s="737"/>
      <c r="BQ215" s="737"/>
      <c r="BR215" s="737"/>
      <c r="BS215" s="737"/>
      <c r="BT215" s="737"/>
      <c r="BU215" s="737"/>
      <c r="BV215" s="737"/>
      <c r="BW215" s="737"/>
      <c r="BX215" s="737"/>
      <c r="BY215" s="737"/>
      <c r="BZ215" s="737"/>
      <c r="CA215" s="737"/>
      <c r="CB215" s="737"/>
      <c r="CC215" s="737"/>
      <c r="CD215" s="737"/>
      <c r="CE215" s="737"/>
      <c r="CF215" s="737"/>
      <c r="CG215" s="737"/>
      <c r="CH215" s="737"/>
      <c r="CI215" s="737"/>
      <c r="CJ215" s="737"/>
      <c r="CK215" s="737"/>
      <c r="CL215" s="737"/>
      <c r="CM215" s="737"/>
      <c r="CN215" s="737"/>
      <c r="CO215" s="737"/>
      <c r="CP215" s="737"/>
      <c r="CQ215" s="737"/>
      <c r="CR215" s="737"/>
      <c r="CS215" s="737"/>
      <c r="CT215" s="46"/>
      <c r="CW215" s="970" t="str">
        <f>IF(AND(ISNUMBER(VALUE(TRIM(SUBSTITUTE(AD215,".","")))),TRIM(SUBSTITUTE(AD215,".",""))&lt;&gt;""),"P"&amp;SUBSTITUTE(AD215,".",""),"")</f>
        <v/>
      </c>
      <c r="CX215" s="975"/>
      <c r="CY215" s="975"/>
      <c r="CZ215" s="975"/>
      <c r="DA215" s="976"/>
      <c r="DB215" s="976"/>
    </row>
    <row r="216" spans="1:106" s="1229" customFormat="1" ht="16.5" customHeight="1">
      <c r="A216" s="1155"/>
      <c r="B216" s="783"/>
      <c r="C216" s="1155"/>
      <c r="D216" s="1155"/>
      <c r="E216" s="676">
        <v>17.100000000000001</v>
      </c>
      <c r="F216" s="779" t="str" cm="1">
        <f t="array" aca="1" ref="F216" ca="1">OFFSET(G216,-1,-1)</f>
        <v>1</v>
      </c>
      <c r="G216" s="814"/>
      <c r="H216" s="814"/>
      <c r="I216" s="814"/>
      <c r="J216" s="814"/>
      <c r="K216" s="814"/>
      <c r="L216" s="779" t="b" cm="1">
        <f t="array" aca="1" ref="L216" ca="1">OFFSET(M216,-1,-1)</f>
        <v>0</v>
      </c>
      <c r="M216" s="814"/>
      <c r="N216" s="814"/>
      <c r="O216" s="814"/>
      <c r="P216" s="814"/>
      <c r="Q216" s="814"/>
      <c r="R216" s="1155"/>
      <c r="S216" s="110" t="b" cm="1">
        <f t="array" aca="1" ref="S216" ca="1">OFFSET(T216,-1,-1)</f>
        <v>1</v>
      </c>
      <c r="T216" s="1155"/>
      <c r="U216" s="698" t="b">
        <f t="shared" ca="1" si="80"/>
        <v>1</v>
      </c>
      <c r="V216" s="1155"/>
      <c r="W216" s="1155"/>
      <c r="X216" s="1155"/>
      <c r="Y216" s="1687"/>
      <c r="Z216" s="1687"/>
      <c r="AA216" s="699"/>
      <c r="AB216" s="1790"/>
      <c r="AD216" s="124">
        <v>28</v>
      </c>
      <c r="AE216" s="1754" t="s">
        <v>853</v>
      </c>
      <c r="AF216" s="1734"/>
      <c r="AG216" s="733" t="s">
        <v>839</v>
      </c>
      <c r="AH216" s="734">
        <f t="shared" ref="AH216:BM216" si="176">SUM(AH218:AH221)</f>
        <v>0</v>
      </c>
      <c r="AI216" s="734">
        <f t="shared" si="176"/>
        <v>0</v>
      </c>
      <c r="AJ216" s="734">
        <f t="shared" si="176"/>
        <v>0</v>
      </c>
      <c r="AK216" s="734">
        <f t="shared" si="176"/>
        <v>34154.620430000003</v>
      </c>
      <c r="AL216" s="734">
        <f t="shared" ca="1" si="176"/>
        <v>0</v>
      </c>
      <c r="AM216" s="734">
        <f t="shared" si="176"/>
        <v>0</v>
      </c>
      <c r="AN216" s="734">
        <f t="shared" ca="1" si="176"/>
        <v>0</v>
      </c>
      <c r="AO216" s="734">
        <f t="shared" ca="1" si="176"/>
        <v>0</v>
      </c>
      <c r="AP216" s="734">
        <f t="shared" si="176"/>
        <v>0</v>
      </c>
      <c r="AQ216" s="734">
        <f t="shared" ca="1" si="176"/>
        <v>0</v>
      </c>
      <c r="AR216" s="734">
        <f t="shared" ca="1" si="176"/>
        <v>0</v>
      </c>
      <c r="AS216" s="734">
        <f t="shared" si="176"/>
        <v>0</v>
      </c>
      <c r="AT216" s="734">
        <f t="shared" ca="1" si="176"/>
        <v>0</v>
      </c>
      <c r="AU216" s="734">
        <f t="shared" ca="1" si="176"/>
        <v>0</v>
      </c>
      <c r="AV216" s="734">
        <f t="shared" si="176"/>
        <v>0</v>
      </c>
      <c r="AW216" s="734">
        <f t="shared" ca="1" si="176"/>
        <v>0</v>
      </c>
      <c r="AX216" s="734">
        <f t="shared" ca="1" si="176"/>
        <v>0</v>
      </c>
      <c r="AY216" s="734">
        <f t="shared" si="176"/>
        <v>0</v>
      </c>
      <c r="AZ216" s="734">
        <f t="shared" ca="1" si="176"/>
        <v>0</v>
      </c>
      <c r="BA216" s="734">
        <f t="shared" ca="1" si="176"/>
        <v>0</v>
      </c>
      <c r="BB216" s="734">
        <f t="shared" si="176"/>
        <v>0</v>
      </c>
      <c r="BC216" s="734">
        <f t="shared" ca="1" si="176"/>
        <v>0</v>
      </c>
      <c r="BD216" s="734">
        <f t="shared" ca="1" si="176"/>
        <v>0</v>
      </c>
      <c r="BE216" s="734">
        <f t="shared" si="176"/>
        <v>0</v>
      </c>
      <c r="BF216" s="734">
        <f t="shared" ca="1" si="176"/>
        <v>0</v>
      </c>
      <c r="BG216" s="734">
        <f t="shared" ca="1" si="176"/>
        <v>0</v>
      </c>
      <c r="BH216" s="734">
        <f t="shared" si="176"/>
        <v>0</v>
      </c>
      <c r="BI216" s="734">
        <f t="shared" ca="1" si="176"/>
        <v>0</v>
      </c>
      <c r="BJ216" s="734">
        <f t="shared" ca="1" si="176"/>
        <v>0</v>
      </c>
      <c r="BK216" s="734">
        <f t="shared" si="176"/>
        <v>0</v>
      </c>
      <c r="BL216" s="734">
        <f t="shared" ca="1" si="176"/>
        <v>0</v>
      </c>
      <c r="BM216" s="734">
        <f t="shared" ca="1" si="176"/>
        <v>0</v>
      </c>
      <c r="BN216" s="734">
        <f t="shared" ref="BN216:CS216" si="177">SUM(BN218:BN221)</f>
        <v>0</v>
      </c>
      <c r="BO216" s="734">
        <f t="shared" ca="1" si="177"/>
        <v>0</v>
      </c>
      <c r="BP216" s="734">
        <f t="shared" ca="1" si="177"/>
        <v>44886.314972662876</v>
      </c>
      <c r="BQ216" s="734">
        <f t="shared" si="177"/>
        <v>32109.976619640493</v>
      </c>
      <c r="BR216" s="734">
        <f t="shared" ca="1" si="177"/>
        <v>12776.338353022382</v>
      </c>
      <c r="BS216" s="734">
        <f t="shared" ca="1" si="177"/>
        <v>0</v>
      </c>
      <c r="BT216" s="734">
        <f t="shared" si="177"/>
        <v>0</v>
      </c>
      <c r="BU216" s="734">
        <f t="shared" ca="1" si="177"/>
        <v>0</v>
      </c>
      <c r="BV216" s="734">
        <f t="shared" ca="1" si="177"/>
        <v>0</v>
      </c>
      <c r="BW216" s="734">
        <f t="shared" si="177"/>
        <v>0</v>
      </c>
      <c r="BX216" s="734">
        <f t="shared" ca="1" si="177"/>
        <v>0</v>
      </c>
      <c r="BY216" s="734">
        <f t="shared" ca="1" si="177"/>
        <v>0</v>
      </c>
      <c r="BZ216" s="734">
        <f t="shared" si="177"/>
        <v>0</v>
      </c>
      <c r="CA216" s="734">
        <f t="shared" ca="1" si="177"/>
        <v>0</v>
      </c>
      <c r="CB216" s="734">
        <f t="shared" ca="1" si="177"/>
        <v>0</v>
      </c>
      <c r="CC216" s="734">
        <f t="shared" si="177"/>
        <v>0</v>
      </c>
      <c r="CD216" s="734">
        <f t="shared" ca="1" si="177"/>
        <v>0</v>
      </c>
      <c r="CE216" s="734">
        <f t="shared" ca="1" si="177"/>
        <v>0</v>
      </c>
      <c r="CF216" s="734">
        <f t="shared" si="177"/>
        <v>0</v>
      </c>
      <c r="CG216" s="734">
        <f t="shared" ca="1" si="177"/>
        <v>0</v>
      </c>
      <c r="CH216" s="734">
        <f t="shared" ca="1" si="177"/>
        <v>0</v>
      </c>
      <c r="CI216" s="734">
        <f t="shared" si="177"/>
        <v>0</v>
      </c>
      <c r="CJ216" s="734">
        <f t="shared" ca="1" si="177"/>
        <v>0</v>
      </c>
      <c r="CK216" s="734">
        <f t="shared" ca="1" si="177"/>
        <v>0</v>
      </c>
      <c r="CL216" s="734">
        <f t="shared" si="177"/>
        <v>0</v>
      </c>
      <c r="CM216" s="734">
        <f t="shared" ca="1" si="177"/>
        <v>0</v>
      </c>
      <c r="CN216" s="734">
        <f t="shared" ca="1" si="177"/>
        <v>0</v>
      </c>
      <c r="CO216" s="734">
        <f t="shared" si="177"/>
        <v>0</v>
      </c>
      <c r="CP216" s="734">
        <f t="shared" ca="1" si="177"/>
        <v>0</v>
      </c>
      <c r="CQ216" s="734">
        <f t="shared" ca="1" si="177"/>
        <v>0</v>
      </c>
      <c r="CR216" s="734">
        <f t="shared" si="177"/>
        <v>0</v>
      </c>
      <c r="CS216" s="734">
        <f t="shared" ca="1" si="177"/>
        <v>0</v>
      </c>
      <c r="CT216" s="1290"/>
      <c r="CW216" s="970" t="s">
        <v>854</v>
      </c>
      <c r="CX216" s="975"/>
      <c r="CY216" s="975"/>
      <c r="CZ216" s="975"/>
      <c r="DA216" s="976"/>
      <c r="DB216" s="976"/>
    </row>
    <row r="217" spans="1:106" s="1229" customFormat="1" ht="16.5" hidden="1" customHeight="1">
      <c r="A217" s="1155"/>
      <c r="B217" s="783"/>
      <c r="C217" s="1155"/>
      <c r="D217" s="1155"/>
      <c r="E217" s="676">
        <v>17.100000000000001</v>
      </c>
      <c r="F217" s="779" t="str" cm="1">
        <f t="array" aca="1" ref="F217" ca="1">OFFSET(G217,-1,-1)</f>
        <v>1</v>
      </c>
      <c r="G217" s="814"/>
      <c r="H217" s="814"/>
      <c r="I217" s="814"/>
      <c r="J217" s="814"/>
      <c r="K217" s="814"/>
      <c r="L217" s="779" t="b" cm="1">
        <f t="array" aca="1" ref="L217" ca="1">OFFSET(M217,-1,-1)</f>
        <v>0</v>
      </c>
      <c r="M217" s="814"/>
      <c r="N217" s="814"/>
      <c r="O217" s="814"/>
      <c r="P217" s="814"/>
      <c r="Q217" s="814"/>
      <c r="R217" s="779" t="s">
        <v>759</v>
      </c>
      <c r="S217" s="110" t="b" cm="1">
        <f t="array" aca="1" ref="S217" ca="1">OFFSET(T217,-1,-1)</f>
        <v>1</v>
      </c>
      <c r="T217" s="779" t="b">
        <v>0</v>
      </c>
      <c r="U217" s="698" t="b">
        <f t="shared" ca="1" si="80"/>
        <v>0</v>
      </c>
      <c r="V217" s="1155"/>
      <c r="W217" s="1155"/>
      <c r="X217" s="1155"/>
      <c r="Y217" s="1687"/>
      <c r="Z217" s="1687"/>
      <c r="AA217" s="699"/>
      <c r="AB217" s="1790"/>
      <c r="AD217" s="111" t="str">
        <f>AD216&amp;".0"</f>
        <v>28.0</v>
      </c>
      <c r="AE217" s="1755" t="s">
        <v>770</v>
      </c>
      <c r="AF217" s="1756"/>
      <c r="AG217" s="733" t="s">
        <v>839</v>
      </c>
      <c r="AH217" s="41">
        <f>AH$163*AH216</f>
        <v>0</v>
      </c>
      <c r="AI217" s="42">
        <f>AI$163*AI216</f>
        <v>0</v>
      </c>
      <c r="AJ217" s="42">
        <f>AJ$163*AJ216</f>
        <v>0</v>
      </c>
      <c r="AK217" s="42">
        <f>AK$163*AK216</f>
        <v>34154.620430000003</v>
      </c>
      <c r="AL217" s="736">
        <f ca="1">AM217+AN217</f>
        <v>0</v>
      </c>
      <c r="AM217" s="42">
        <f>AM$163*AM216</f>
        <v>0</v>
      </c>
      <c r="AN217" s="42">
        <f ca="1">AN$163*AN216</f>
        <v>0</v>
      </c>
      <c r="AO217" s="736">
        <f ca="1">AP217+AQ217</f>
        <v>0</v>
      </c>
      <c r="AP217" s="826">
        <f>AP$163*AP216</f>
        <v>0</v>
      </c>
      <c r="AQ217" s="826">
        <f ca="1">AQ$163*AQ216</f>
        <v>0</v>
      </c>
      <c r="AR217" s="736">
        <f ca="1">AS217+AT217</f>
        <v>0</v>
      </c>
      <c r="AS217" s="826">
        <f>AS$163*AS216</f>
        <v>0</v>
      </c>
      <c r="AT217" s="826">
        <f ca="1">AT$163*AT216</f>
        <v>0</v>
      </c>
      <c r="AU217" s="736">
        <f ca="1">AV217+AW217</f>
        <v>0</v>
      </c>
      <c r="AV217" s="826">
        <f>AV$163*AV216</f>
        <v>0</v>
      </c>
      <c r="AW217" s="826">
        <f ca="1">AW$163*AW216</f>
        <v>0</v>
      </c>
      <c r="AX217" s="736">
        <f ca="1">AY217+AZ217</f>
        <v>0</v>
      </c>
      <c r="AY217" s="826">
        <f>AY$163*AY216</f>
        <v>0</v>
      </c>
      <c r="AZ217" s="826">
        <f ca="1">AZ$163*AZ216</f>
        <v>0</v>
      </c>
      <c r="BA217" s="736">
        <f ca="1">BB217+BC217</f>
        <v>0</v>
      </c>
      <c r="BB217" s="42">
        <f>BB$163*BB216</f>
        <v>0</v>
      </c>
      <c r="BC217" s="42">
        <f ca="1">BC$163*BC216</f>
        <v>0</v>
      </c>
      <c r="BD217" s="736">
        <f ca="1">BE217+BF217</f>
        <v>0</v>
      </c>
      <c r="BE217" s="42">
        <f>BE$163*BE216</f>
        <v>0</v>
      </c>
      <c r="BF217" s="42">
        <f ca="1">BF$163*BF216</f>
        <v>0</v>
      </c>
      <c r="BG217" s="736">
        <f ca="1">BH217+BI217</f>
        <v>0</v>
      </c>
      <c r="BH217" s="42">
        <f>BH$163*BH216</f>
        <v>0</v>
      </c>
      <c r="BI217" s="42">
        <f ca="1">BI$163*BI216</f>
        <v>0</v>
      </c>
      <c r="BJ217" s="736">
        <f ca="1">BK217+BL217</f>
        <v>0</v>
      </c>
      <c r="BK217" s="42">
        <f>BK$163*BK216</f>
        <v>0</v>
      </c>
      <c r="BL217" s="42">
        <f ca="1">BL$163*BL216</f>
        <v>0</v>
      </c>
      <c r="BM217" s="736">
        <f ca="1">BN217+BO217</f>
        <v>0</v>
      </c>
      <c r="BN217" s="42">
        <f>BN$163*BN216</f>
        <v>0</v>
      </c>
      <c r="BO217" s="42">
        <f ca="1">BO$163*BO216</f>
        <v>0</v>
      </c>
      <c r="BP217" s="736">
        <f ca="1">BQ217+BR217</f>
        <v>44886.314972662876</v>
      </c>
      <c r="BQ217" s="826">
        <f>BQ$163*BQ216</f>
        <v>32109.976619640493</v>
      </c>
      <c r="BR217" s="826">
        <f ca="1">BR$163*BR216</f>
        <v>12776.338353022382</v>
      </c>
      <c r="BS217" s="736">
        <f ca="1">BT217+BU217</f>
        <v>0</v>
      </c>
      <c r="BT217" s="826">
        <f>BT$163*BT216</f>
        <v>0</v>
      </c>
      <c r="BU217" s="826">
        <f ca="1">BU$163*BU216</f>
        <v>0</v>
      </c>
      <c r="BV217" s="736">
        <f ca="1">BW217+BX217</f>
        <v>0</v>
      </c>
      <c r="BW217" s="826">
        <f>BW$163*BW216</f>
        <v>0</v>
      </c>
      <c r="BX217" s="826">
        <f ca="1">BX$163*BX216</f>
        <v>0</v>
      </c>
      <c r="BY217" s="736">
        <f ca="1">BZ217+CA217</f>
        <v>0</v>
      </c>
      <c r="BZ217" s="826">
        <f>BZ$163*BZ216</f>
        <v>0</v>
      </c>
      <c r="CA217" s="826">
        <f ca="1">CA$163*CA216</f>
        <v>0</v>
      </c>
      <c r="CB217" s="736">
        <f ca="1">CC217+CD217</f>
        <v>0</v>
      </c>
      <c r="CC217" s="826">
        <f>CC$163*CC216</f>
        <v>0</v>
      </c>
      <c r="CD217" s="826">
        <f ca="1">CD$163*CD216</f>
        <v>0</v>
      </c>
      <c r="CE217" s="736">
        <f ca="1">CF217+CG217</f>
        <v>0</v>
      </c>
      <c r="CF217" s="42">
        <f>CF$163*CF216</f>
        <v>0</v>
      </c>
      <c r="CG217" s="42">
        <f ca="1">CG$163*CG216</f>
        <v>0</v>
      </c>
      <c r="CH217" s="736">
        <f ca="1">CI217+CJ217</f>
        <v>0</v>
      </c>
      <c r="CI217" s="42">
        <f>CI$163*CI216</f>
        <v>0</v>
      </c>
      <c r="CJ217" s="42">
        <f ca="1">CJ$163*CJ216</f>
        <v>0</v>
      </c>
      <c r="CK217" s="736">
        <f ca="1">CL217+CM217</f>
        <v>0</v>
      </c>
      <c r="CL217" s="42">
        <f>CL$163*CL216</f>
        <v>0</v>
      </c>
      <c r="CM217" s="42">
        <f ca="1">CM$163*CM216</f>
        <v>0</v>
      </c>
      <c r="CN217" s="736">
        <f ca="1">CO217+CP217</f>
        <v>0</v>
      </c>
      <c r="CO217" s="42">
        <f>CO$163*CO216</f>
        <v>0</v>
      </c>
      <c r="CP217" s="42">
        <f ca="1">CP$163*CP216</f>
        <v>0</v>
      </c>
      <c r="CQ217" s="736">
        <f ca="1">CR217+CS217</f>
        <v>0</v>
      </c>
      <c r="CR217" s="42">
        <f>CR$163*CR216</f>
        <v>0</v>
      </c>
      <c r="CS217" s="42">
        <f ca="1">CS$163*CS216</f>
        <v>0</v>
      </c>
      <c r="CT217" s="28"/>
      <c r="CW217" s="970" t="s">
        <v>855</v>
      </c>
      <c r="CX217" s="975"/>
      <c r="CY217" s="975"/>
      <c r="CZ217" s="975"/>
      <c r="DA217" s="976"/>
      <c r="DB217" s="976"/>
    </row>
    <row r="218" spans="1:106" s="1229" customFormat="1" ht="16.5" hidden="1" customHeight="1">
      <c r="E218" s="676">
        <v>17.100000000000001</v>
      </c>
      <c r="F218" s="779" t="str" cm="1">
        <f t="array" aca="1" ref="F218" ca="1">OFFSET(G218,-1,-1)</f>
        <v>1</v>
      </c>
      <c r="L218" s="779" t="b" cm="1">
        <f t="array" aca="1" ref="L218" ca="1">OFFSET(M218,-1,-1)</f>
        <v>0</v>
      </c>
      <c r="S218" s="110" t="b" cm="1">
        <f t="array" aca="1" ref="S218" ca="1">OFFSET(T218,-1,-1)</f>
        <v>1</v>
      </c>
      <c r="T218" s="110" t="b">
        <f>AD218&lt;&gt;"28.0"</f>
        <v>0</v>
      </c>
      <c r="U218" s="698" t="b">
        <f t="shared" ca="1" si="80"/>
        <v>0</v>
      </c>
      <c r="X218" s="110" t="s">
        <v>236</v>
      </c>
      <c r="Y218" s="1722"/>
      <c r="Z218" s="1722"/>
      <c r="AB218" s="1790"/>
      <c r="AD218" s="111" t="s">
        <v>856</v>
      </c>
      <c r="AE218" s="821"/>
      <c r="AF218" s="524"/>
      <c r="AG218" s="733" t="s">
        <v>839</v>
      </c>
      <c r="AH218" s="41"/>
      <c r="AI218" s="42"/>
      <c r="AJ218" s="42"/>
      <c r="AK218" s="42"/>
      <c r="AL218" s="736">
        <f ca="1">AM218+AN218</f>
        <v>0</v>
      </c>
      <c r="AM218" s="42">
        <f t="shared" ref="AM218:AN220" si="178">AM212*AM181/1000</f>
        <v>0</v>
      </c>
      <c r="AN218" s="42">
        <f t="shared" ca="1" si="178"/>
        <v>0</v>
      </c>
      <c r="AO218" s="736">
        <f ca="1">AP218+AQ218</f>
        <v>0</v>
      </c>
      <c r="AP218" s="826">
        <f t="shared" ref="AP218:AQ220" si="179">AP212*AP181/1000</f>
        <v>0</v>
      </c>
      <c r="AQ218" s="826">
        <f t="shared" ca="1" si="179"/>
        <v>0</v>
      </c>
      <c r="AR218" s="736">
        <f ca="1">AS218+AT218</f>
        <v>0</v>
      </c>
      <c r="AS218" s="826">
        <f t="shared" ref="AS218:AT220" si="180">AS212*AS181/1000</f>
        <v>0</v>
      </c>
      <c r="AT218" s="826">
        <f t="shared" ca="1" si="180"/>
        <v>0</v>
      </c>
      <c r="AU218" s="736">
        <f ca="1">AV218+AW218</f>
        <v>0</v>
      </c>
      <c r="AV218" s="826">
        <f t="shared" ref="AV218:AW220" si="181">AV212*AV181/1000</f>
        <v>0</v>
      </c>
      <c r="AW218" s="826">
        <f t="shared" ca="1" si="181"/>
        <v>0</v>
      </c>
      <c r="AX218" s="736">
        <f ca="1">AY218+AZ218</f>
        <v>0</v>
      </c>
      <c r="AY218" s="826">
        <f t="shared" ref="AY218:AZ220" si="182">AY212*AY181/1000</f>
        <v>0</v>
      </c>
      <c r="AZ218" s="826">
        <f t="shared" ca="1" si="182"/>
        <v>0</v>
      </c>
      <c r="BA218" s="736">
        <f ca="1">BB218+BC218</f>
        <v>0</v>
      </c>
      <c r="BB218" s="42">
        <f t="shared" ref="BB218:BC220" si="183">BB212*BB181/1000</f>
        <v>0</v>
      </c>
      <c r="BC218" s="42">
        <f t="shared" ca="1" si="183"/>
        <v>0</v>
      </c>
      <c r="BD218" s="736">
        <f ca="1">BE218+BF218</f>
        <v>0</v>
      </c>
      <c r="BE218" s="42">
        <f t="shared" ref="BE218:BF220" si="184">BE212*BE181/1000</f>
        <v>0</v>
      </c>
      <c r="BF218" s="42">
        <f t="shared" ca="1" si="184"/>
        <v>0</v>
      </c>
      <c r="BG218" s="736">
        <f ca="1">BH218+BI218</f>
        <v>0</v>
      </c>
      <c r="BH218" s="42">
        <f t="shared" ref="BH218:BI220" si="185">BH212*BH181/1000</f>
        <v>0</v>
      </c>
      <c r="BI218" s="42">
        <f t="shared" ca="1" si="185"/>
        <v>0</v>
      </c>
      <c r="BJ218" s="736">
        <f ca="1">BK218+BL218</f>
        <v>0</v>
      </c>
      <c r="BK218" s="42">
        <f t="shared" ref="BK218:BL220" si="186">BK212*BK181/1000</f>
        <v>0</v>
      </c>
      <c r="BL218" s="42">
        <f t="shared" ca="1" si="186"/>
        <v>0</v>
      </c>
      <c r="BM218" s="736">
        <f ca="1">BN218+BO218</f>
        <v>0</v>
      </c>
      <c r="BN218" s="42">
        <f t="shared" ref="BN218:BO220" si="187">BN212*BN181/1000</f>
        <v>0</v>
      </c>
      <c r="BO218" s="42">
        <f t="shared" ca="1" si="187"/>
        <v>0</v>
      </c>
      <c r="BP218" s="736">
        <f ca="1">BQ218+BR218</f>
        <v>0</v>
      </c>
      <c r="BQ218" s="826">
        <f t="shared" ref="BQ218:BR220" si="188">BQ212*BQ181/1000</f>
        <v>0</v>
      </c>
      <c r="BR218" s="826">
        <f t="shared" ca="1" si="188"/>
        <v>0</v>
      </c>
      <c r="BS218" s="736">
        <f ca="1">BT218+BU218</f>
        <v>0</v>
      </c>
      <c r="BT218" s="826">
        <f t="shared" ref="BT218:BU220" si="189">BT212*BT181/1000</f>
        <v>0</v>
      </c>
      <c r="BU218" s="826">
        <f t="shared" ca="1" si="189"/>
        <v>0</v>
      </c>
      <c r="BV218" s="736">
        <f ca="1">BW218+BX218</f>
        <v>0</v>
      </c>
      <c r="BW218" s="826">
        <f t="shared" ref="BW218:BX220" si="190">BW212*BW181/1000</f>
        <v>0</v>
      </c>
      <c r="BX218" s="826">
        <f t="shared" ca="1" si="190"/>
        <v>0</v>
      </c>
      <c r="BY218" s="736">
        <f ca="1">BZ218+CA218</f>
        <v>0</v>
      </c>
      <c r="BZ218" s="826">
        <f t="shared" ref="BZ218:CA220" si="191">BZ212*BZ181/1000</f>
        <v>0</v>
      </c>
      <c r="CA218" s="826">
        <f t="shared" ca="1" si="191"/>
        <v>0</v>
      </c>
      <c r="CB218" s="736">
        <f ca="1">CC218+CD218</f>
        <v>0</v>
      </c>
      <c r="CC218" s="826">
        <f t="shared" ref="CC218:CD220" si="192">CC212*CC181/1000</f>
        <v>0</v>
      </c>
      <c r="CD218" s="826">
        <f t="shared" ca="1" si="192"/>
        <v>0</v>
      </c>
      <c r="CE218" s="736">
        <f ca="1">CF218+CG218</f>
        <v>0</v>
      </c>
      <c r="CF218" s="42">
        <f t="shared" ref="CF218:CG220" si="193">CF212*CF181/1000</f>
        <v>0</v>
      </c>
      <c r="CG218" s="42">
        <f t="shared" ca="1" si="193"/>
        <v>0</v>
      </c>
      <c r="CH218" s="736">
        <f ca="1">CI218+CJ218</f>
        <v>0</v>
      </c>
      <c r="CI218" s="42">
        <f t="shared" ref="CI218:CJ220" si="194">CI212*CI181/1000</f>
        <v>0</v>
      </c>
      <c r="CJ218" s="42">
        <f t="shared" ca="1" si="194"/>
        <v>0</v>
      </c>
      <c r="CK218" s="736">
        <f ca="1">CL218+CM218</f>
        <v>0</v>
      </c>
      <c r="CL218" s="42">
        <f t="shared" ref="CL218:CM220" si="195">CL212*CL181/1000</f>
        <v>0</v>
      </c>
      <c r="CM218" s="42">
        <f t="shared" ca="1" si="195"/>
        <v>0</v>
      </c>
      <c r="CN218" s="736">
        <f ca="1">CO218+CP218</f>
        <v>0</v>
      </c>
      <c r="CO218" s="42">
        <f t="shared" ref="CO218:CP220" si="196">CO212*CO181/1000</f>
        <v>0</v>
      </c>
      <c r="CP218" s="42">
        <f t="shared" ca="1" si="196"/>
        <v>0</v>
      </c>
      <c r="CQ218" s="736">
        <f ca="1">CR218+CS218</f>
        <v>0</v>
      </c>
      <c r="CR218" s="42">
        <f t="shared" ref="CR218:CS220" si="197">CR212*CR181/1000</f>
        <v>0</v>
      </c>
      <c r="CS218" s="42">
        <f t="shared" ca="1" si="197"/>
        <v>0</v>
      </c>
      <c r="CT218" s="28"/>
      <c r="CW218" s="970" t="s">
        <v>855</v>
      </c>
      <c r="CX218" s="975" t="s">
        <v>821</v>
      </c>
      <c r="CY218" s="979" cm="1">
        <f t="array" ref="CY218">AE218</f>
        <v>0</v>
      </c>
      <c r="CZ218" s="979" cm="1">
        <f t="array" ref="CZ218">AF218</f>
        <v>0</v>
      </c>
      <c r="DA218" s="976"/>
      <c r="DB218" s="976"/>
    </row>
    <row r="219" spans="1:106" s="1229" customFormat="1" ht="16.5" customHeight="1">
      <c r="E219" s="676">
        <v>17.100000000000001</v>
      </c>
      <c r="F219" s="779" t="str" cm="1">
        <f t="array" aca="1" ref="F219" ca="1">OFFSET(G219,-1,-1)</f>
        <v>1</v>
      </c>
      <c r="L219" s="779" t="b" cm="1">
        <f t="array" aca="1" ref="L219" ca="1">OFFSET(M219,-1,-1)</f>
        <v>0</v>
      </c>
      <c r="S219" s="110" t="b" cm="1">
        <f t="array" aca="1" ref="S219" ca="1">OFFSET(T219,-1,-1)</f>
        <v>1</v>
      </c>
      <c r="T219" s="110" t="b">
        <f>AD219&lt;&gt;"28.0"</f>
        <v>1</v>
      </c>
      <c r="U219" s="698" t="b">
        <f t="shared" ca="1" si="80"/>
        <v>1</v>
      </c>
      <c r="X219" s="110" t="str">
        <f>'Топливо 4.4'!$AE$213&amp;'Топливо 4.4'!$AF$213</f>
        <v>Уголь длиннопламенный</v>
      </c>
      <c r="Y219" s="1722"/>
      <c r="Z219" s="1722"/>
      <c r="AB219" s="1790"/>
      <c r="AD219" s="111" t="s">
        <v>951</v>
      </c>
      <c r="AE219" s="821" t="str" cm="1">
        <f t="array" ref="AE219">IF(ISBLANK('Топливо 4.4'!$AE$213),"",'Топливо 4.4'!$AE$213)</f>
        <v>Уголь длиннопламенный</v>
      </c>
      <c r="AF219" s="524" t="str" cm="1">
        <f t="array" ref="AF219">IF(ISBLANK('Топливо 4.4'!$AF$213),"",'Топливо 4.4'!$AF$213)</f>
        <v/>
      </c>
      <c r="AG219" s="733" t="s">
        <v>839</v>
      </c>
      <c r="AH219" s="1303"/>
      <c r="AI219" s="1302"/>
      <c r="AJ219" s="1302"/>
      <c r="AK219" s="1302">
        <v>34154.620430000003</v>
      </c>
      <c r="AL219" s="736">
        <f ca="1">AM219+AN219</f>
        <v>0</v>
      </c>
      <c r="AM219" s="1302">
        <f t="shared" si="178"/>
        <v>0</v>
      </c>
      <c r="AN219" s="1302">
        <f t="shared" ca="1" si="178"/>
        <v>0</v>
      </c>
      <c r="AO219" s="736">
        <f ca="1">AP219+AQ219</f>
        <v>0</v>
      </c>
      <c r="AP219" s="826">
        <f t="shared" si="179"/>
        <v>0</v>
      </c>
      <c r="AQ219" s="826">
        <f t="shared" ca="1" si="179"/>
        <v>0</v>
      </c>
      <c r="AR219" s="736">
        <f ca="1">AS219+AT219</f>
        <v>0</v>
      </c>
      <c r="AS219" s="826">
        <f t="shared" si="180"/>
        <v>0</v>
      </c>
      <c r="AT219" s="826">
        <f t="shared" ca="1" si="180"/>
        <v>0</v>
      </c>
      <c r="AU219" s="736">
        <f ca="1">AV219+AW219</f>
        <v>0</v>
      </c>
      <c r="AV219" s="826">
        <f t="shared" si="181"/>
        <v>0</v>
      </c>
      <c r="AW219" s="826">
        <f t="shared" ca="1" si="181"/>
        <v>0</v>
      </c>
      <c r="AX219" s="736">
        <f ca="1">AY219+AZ219</f>
        <v>0</v>
      </c>
      <c r="AY219" s="826">
        <f t="shared" si="182"/>
        <v>0</v>
      </c>
      <c r="AZ219" s="826">
        <f t="shared" ca="1" si="182"/>
        <v>0</v>
      </c>
      <c r="BA219" s="736">
        <f ca="1">BB219+BC219</f>
        <v>0</v>
      </c>
      <c r="BB219" s="1302">
        <f t="shared" si="183"/>
        <v>0</v>
      </c>
      <c r="BC219" s="1302">
        <f t="shared" ca="1" si="183"/>
        <v>0</v>
      </c>
      <c r="BD219" s="736">
        <f ca="1">BE219+BF219</f>
        <v>0</v>
      </c>
      <c r="BE219" s="1302">
        <f t="shared" si="184"/>
        <v>0</v>
      </c>
      <c r="BF219" s="1302">
        <f t="shared" ca="1" si="184"/>
        <v>0</v>
      </c>
      <c r="BG219" s="736">
        <f ca="1">BH219+BI219</f>
        <v>0</v>
      </c>
      <c r="BH219" s="1302">
        <f t="shared" si="185"/>
        <v>0</v>
      </c>
      <c r="BI219" s="1302">
        <f t="shared" ca="1" si="185"/>
        <v>0</v>
      </c>
      <c r="BJ219" s="736">
        <f ca="1">BK219+BL219</f>
        <v>0</v>
      </c>
      <c r="BK219" s="1302">
        <f t="shared" si="186"/>
        <v>0</v>
      </c>
      <c r="BL219" s="1302">
        <f t="shared" ca="1" si="186"/>
        <v>0</v>
      </c>
      <c r="BM219" s="736">
        <f ca="1">BN219+BO219</f>
        <v>0</v>
      </c>
      <c r="BN219" s="1302">
        <f t="shared" si="187"/>
        <v>0</v>
      </c>
      <c r="BO219" s="1302">
        <f t="shared" ca="1" si="187"/>
        <v>0</v>
      </c>
      <c r="BP219" s="736">
        <f ca="1">BQ219+BR219</f>
        <v>44886.314972662876</v>
      </c>
      <c r="BQ219" s="826">
        <f t="shared" si="188"/>
        <v>32109.976619640493</v>
      </c>
      <c r="BR219" s="826">
        <f t="shared" ca="1" si="188"/>
        <v>12776.338353022382</v>
      </c>
      <c r="BS219" s="736">
        <f ca="1">BT219+BU219</f>
        <v>0</v>
      </c>
      <c r="BT219" s="826">
        <f t="shared" si="189"/>
        <v>0</v>
      </c>
      <c r="BU219" s="826">
        <f t="shared" ca="1" si="189"/>
        <v>0</v>
      </c>
      <c r="BV219" s="736">
        <f ca="1">BW219+BX219</f>
        <v>0</v>
      </c>
      <c r="BW219" s="826">
        <f t="shared" si="190"/>
        <v>0</v>
      </c>
      <c r="BX219" s="826">
        <f t="shared" ca="1" si="190"/>
        <v>0</v>
      </c>
      <c r="BY219" s="736">
        <f ca="1">BZ219+CA219</f>
        <v>0</v>
      </c>
      <c r="BZ219" s="826">
        <f t="shared" si="191"/>
        <v>0</v>
      </c>
      <c r="CA219" s="826">
        <f t="shared" ca="1" si="191"/>
        <v>0</v>
      </c>
      <c r="CB219" s="736">
        <f ca="1">CC219+CD219</f>
        <v>0</v>
      </c>
      <c r="CC219" s="826">
        <f t="shared" si="192"/>
        <v>0</v>
      </c>
      <c r="CD219" s="826">
        <f t="shared" ca="1" si="192"/>
        <v>0</v>
      </c>
      <c r="CE219" s="736">
        <f ca="1">CF219+CG219</f>
        <v>0</v>
      </c>
      <c r="CF219" s="1302">
        <f t="shared" si="193"/>
        <v>0</v>
      </c>
      <c r="CG219" s="1302">
        <f t="shared" ca="1" si="193"/>
        <v>0</v>
      </c>
      <c r="CH219" s="736">
        <f ca="1">CI219+CJ219</f>
        <v>0</v>
      </c>
      <c r="CI219" s="1302">
        <f t="shared" si="194"/>
        <v>0</v>
      </c>
      <c r="CJ219" s="1302">
        <f t="shared" ca="1" si="194"/>
        <v>0</v>
      </c>
      <c r="CK219" s="736">
        <f ca="1">CL219+CM219</f>
        <v>0</v>
      </c>
      <c r="CL219" s="1302">
        <f t="shared" si="195"/>
        <v>0</v>
      </c>
      <c r="CM219" s="1302">
        <f t="shared" ca="1" si="195"/>
        <v>0</v>
      </c>
      <c r="CN219" s="736">
        <f ca="1">CO219+CP219</f>
        <v>0</v>
      </c>
      <c r="CO219" s="1302">
        <f t="shared" si="196"/>
        <v>0</v>
      </c>
      <c r="CP219" s="1302">
        <f t="shared" ca="1" si="196"/>
        <v>0</v>
      </c>
      <c r="CQ219" s="736">
        <f ca="1">CR219+CS219</f>
        <v>0</v>
      </c>
      <c r="CR219" s="1302">
        <f t="shared" si="197"/>
        <v>0</v>
      </c>
      <c r="CS219" s="1302">
        <f t="shared" ca="1" si="197"/>
        <v>0</v>
      </c>
      <c r="CT219" s="1290"/>
      <c r="CW219" s="970" t="s">
        <v>855</v>
      </c>
      <c r="CX219" s="975" t="s">
        <v>821</v>
      </c>
      <c r="CY219" s="979" t="str" cm="1">
        <f t="array" ref="CY219">AE219</f>
        <v>Уголь длиннопламенный</v>
      </c>
      <c r="CZ219" s="979" t="str" cm="1">
        <f t="array" ref="CZ219">AF219</f>
        <v/>
      </c>
      <c r="DA219" s="976"/>
      <c r="DB219" s="976"/>
    </row>
    <row r="220" spans="1:106" s="1229" customFormat="1" ht="16.5" customHeight="1">
      <c r="E220" s="676">
        <v>17.100000000000001</v>
      </c>
      <c r="F220" s="779" t="str" cm="1">
        <f t="array" aca="1" ref="F220" ca="1">OFFSET(G220,-1,-1)</f>
        <v>1</v>
      </c>
      <c r="L220" s="779" t="b" cm="1">
        <f t="array" aca="1" ref="L220" ca="1">OFFSET(M220,-1,-1)</f>
        <v>0</v>
      </c>
      <c r="S220" s="110" t="b" cm="1">
        <f t="array" aca="1" ref="S220" ca="1">OFFSET(T220,-1,-1)</f>
        <v>1</v>
      </c>
      <c r="T220" s="110" t="b">
        <f>AD220&lt;&gt;"28.0"</f>
        <v>1</v>
      </c>
      <c r="U220" s="698" t="b">
        <f t="shared" ref="U220:U283" ca="1" si="198">AND(S220,IF(ISBLANK(T220),TRUE,T220))</f>
        <v>1</v>
      </c>
      <c r="X220" s="110" t="str">
        <f>'Топливо 4.4'!$AE$214&amp;'Топливо 4.4'!$AF$214</f>
        <v>Уголь бурый</v>
      </c>
      <c r="Y220" s="1722"/>
      <c r="Z220" s="1722"/>
      <c r="AB220" s="1790"/>
      <c r="AD220" s="111" t="s">
        <v>952</v>
      </c>
      <c r="AE220" s="821" t="str" cm="1">
        <f t="array" ref="AE220">IF(ISBLANK('Топливо 4.4'!$AE$214),"",'Топливо 4.4'!$AE$214)</f>
        <v>Уголь бурый</v>
      </c>
      <c r="AF220" s="524" t="str" cm="1">
        <f t="array" ref="AF220">IF(ISBLANK('Топливо 4.4'!$AF$214),"",'Топливо 4.4'!$AF$214)</f>
        <v/>
      </c>
      <c r="AG220" s="733" t="s">
        <v>839</v>
      </c>
      <c r="AH220" s="1303"/>
      <c r="AI220" s="1302"/>
      <c r="AJ220" s="1302"/>
      <c r="AK220" s="1302"/>
      <c r="AL220" s="736">
        <f ca="1">AM220+AN220</f>
        <v>0</v>
      </c>
      <c r="AM220" s="1302">
        <f t="shared" si="178"/>
        <v>0</v>
      </c>
      <c r="AN220" s="1302">
        <f t="shared" ca="1" si="178"/>
        <v>0</v>
      </c>
      <c r="AO220" s="736">
        <f ca="1">AP220+AQ220</f>
        <v>0</v>
      </c>
      <c r="AP220" s="826">
        <f t="shared" si="179"/>
        <v>0</v>
      </c>
      <c r="AQ220" s="826">
        <f t="shared" ca="1" si="179"/>
        <v>0</v>
      </c>
      <c r="AR220" s="736">
        <f ca="1">AS220+AT220</f>
        <v>0</v>
      </c>
      <c r="AS220" s="826">
        <f t="shared" si="180"/>
        <v>0</v>
      </c>
      <c r="AT220" s="826">
        <f t="shared" ca="1" si="180"/>
        <v>0</v>
      </c>
      <c r="AU220" s="736">
        <f ca="1">AV220+AW220</f>
        <v>0</v>
      </c>
      <c r="AV220" s="826">
        <f t="shared" si="181"/>
        <v>0</v>
      </c>
      <c r="AW220" s="826">
        <f t="shared" ca="1" si="181"/>
        <v>0</v>
      </c>
      <c r="AX220" s="736">
        <f ca="1">AY220+AZ220</f>
        <v>0</v>
      </c>
      <c r="AY220" s="826">
        <f t="shared" si="182"/>
        <v>0</v>
      </c>
      <c r="AZ220" s="826">
        <f t="shared" ca="1" si="182"/>
        <v>0</v>
      </c>
      <c r="BA220" s="736">
        <f ca="1">BB220+BC220</f>
        <v>0</v>
      </c>
      <c r="BB220" s="1302">
        <f t="shared" si="183"/>
        <v>0</v>
      </c>
      <c r="BC220" s="1302">
        <f t="shared" ca="1" si="183"/>
        <v>0</v>
      </c>
      <c r="BD220" s="736">
        <f ca="1">BE220+BF220</f>
        <v>0</v>
      </c>
      <c r="BE220" s="1302">
        <f t="shared" si="184"/>
        <v>0</v>
      </c>
      <c r="BF220" s="1302">
        <f t="shared" ca="1" si="184"/>
        <v>0</v>
      </c>
      <c r="BG220" s="736">
        <f ca="1">BH220+BI220</f>
        <v>0</v>
      </c>
      <c r="BH220" s="1302">
        <f t="shared" si="185"/>
        <v>0</v>
      </c>
      <c r="BI220" s="1302">
        <f t="shared" ca="1" si="185"/>
        <v>0</v>
      </c>
      <c r="BJ220" s="736">
        <f ca="1">BK220+BL220</f>
        <v>0</v>
      </c>
      <c r="BK220" s="1302">
        <f t="shared" si="186"/>
        <v>0</v>
      </c>
      <c r="BL220" s="1302">
        <f t="shared" ca="1" si="186"/>
        <v>0</v>
      </c>
      <c r="BM220" s="736">
        <f ca="1">BN220+BO220</f>
        <v>0</v>
      </c>
      <c r="BN220" s="1302">
        <f t="shared" si="187"/>
        <v>0</v>
      </c>
      <c r="BO220" s="1302">
        <f t="shared" ca="1" si="187"/>
        <v>0</v>
      </c>
      <c r="BP220" s="736">
        <f ca="1">BQ220+BR220</f>
        <v>0</v>
      </c>
      <c r="BQ220" s="826">
        <f t="shared" si="188"/>
        <v>0</v>
      </c>
      <c r="BR220" s="826">
        <f t="shared" ca="1" si="188"/>
        <v>0</v>
      </c>
      <c r="BS220" s="736">
        <f ca="1">BT220+BU220</f>
        <v>0</v>
      </c>
      <c r="BT220" s="826">
        <f t="shared" si="189"/>
        <v>0</v>
      </c>
      <c r="BU220" s="826">
        <f t="shared" ca="1" si="189"/>
        <v>0</v>
      </c>
      <c r="BV220" s="736">
        <f ca="1">BW220+BX220</f>
        <v>0</v>
      </c>
      <c r="BW220" s="826">
        <f t="shared" si="190"/>
        <v>0</v>
      </c>
      <c r="BX220" s="826">
        <f t="shared" ca="1" si="190"/>
        <v>0</v>
      </c>
      <c r="BY220" s="736">
        <f ca="1">BZ220+CA220</f>
        <v>0</v>
      </c>
      <c r="BZ220" s="826">
        <f t="shared" si="191"/>
        <v>0</v>
      </c>
      <c r="CA220" s="826">
        <f t="shared" ca="1" si="191"/>
        <v>0</v>
      </c>
      <c r="CB220" s="736">
        <f ca="1">CC220+CD220</f>
        <v>0</v>
      </c>
      <c r="CC220" s="826">
        <f t="shared" si="192"/>
        <v>0</v>
      </c>
      <c r="CD220" s="826">
        <f t="shared" ca="1" si="192"/>
        <v>0</v>
      </c>
      <c r="CE220" s="736">
        <f ca="1">CF220+CG220</f>
        <v>0</v>
      </c>
      <c r="CF220" s="1302">
        <f t="shared" si="193"/>
        <v>0</v>
      </c>
      <c r="CG220" s="1302">
        <f t="shared" ca="1" si="193"/>
        <v>0</v>
      </c>
      <c r="CH220" s="736">
        <f ca="1">CI220+CJ220</f>
        <v>0</v>
      </c>
      <c r="CI220" s="1302">
        <f t="shared" si="194"/>
        <v>0</v>
      </c>
      <c r="CJ220" s="1302">
        <f t="shared" ca="1" si="194"/>
        <v>0</v>
      </c>
      <c r="CK220" s="736">
        <f ca="1">CL220+CM220</f>
        <v>0</v>
      </c>
      <c r="CL220" s="1302">
        <f t="shared" si="195"/>
        <v>0</v>
      </c>
      <c r="CM220" s="1302">
        <f t="shared" ca="1" si="195"/>
        <v>0</v>
      </c>
      <c r="CN220" s="736">
        <f ca="1">CO220+CP220</f>
        <v>0</v>
      </c>
      <c r="CO220" s="1302">
        <f t="shared" si="196"/>
        <v>0</v>
      </c>
      <c r="CP220" s="1302">
        <f t="shared" ca="1" si="196"/>
        <v>0</v>
      </c>
      <c r="CQ220" s="736">
        <f ca="1">CR220+CS220</f>
        <v>0</v>
      </c>
      <c r="CR220" s="1302">
        <f t="shared" si="197"/>
        <v>0</v>
      </c>
      <c r="CS220" s="1302">
        <f t="shared" ca="1" si="197"/>
        <v>0</v>
      </c>
      <c r="CT220" s="1290"/>
      <c r="CW220" s="970" t="s">
        <v>855</v>
      </c>
      <c r="CX220" s="975" t="s">
        <v>821</v>
      </c>
      <c r="CY220" s="979" t="str" cm="1">
        <f t="array" ref="CY220">AE220</f>
        <v>Уголь бурый</v>
      </c>
      <c r="CZ220" s="979" t="str" cm="1">
        <f t="array" ref="CZ220">AF220</f>
        <v/>
      </c>
      <c r="DA220" s="976"/>
      <c r="DB220" s="976"/>
    </row>
    <row r="221" spans="1:106" s="1229" customFormat="1" ht="15" hidden="1" customHeight="1">
      <c r="A221" s="1155"/>
      <c r="B221" s="783"/>
      <c r="C221" s="1155"/>
      <c r="D221" s="1155"/>
      <c r="E221" s="676">
        <v>0</v>
      </c>
      <c r="F221" s="779" t="str" cm="1">
        <f t="array" aca="1" ref="F221" ca="1">OFFSET(G221,-1,-1)</f>
        <v>1</v>
      </c>
      <c r="G221" s="814"/>
      <c r="H221" s="814"/>
      <c r="I221" s="814"/>
      <c r="J221" s="814"/>
      <c r="K221" s="814"/>
      <c r="L221" s="779" t="b" cm="1">
        <f t="array" aca="1" ref="L221" ca="1">OFFSET(M221,-1,-1)</f>
        <v>0</v>
      </c>
      <c r="M221" s="814"/>
      <c r="N221" s="814"/>
      <c r="O221" s="814"/>
      <c r="P221" s="814"/>
      <c r="Q221" s="814"/>
      <c r="R221" s="1155"/>
      <c r="S221" s="110" t="b" cm="1">
        <f t="array" aca="1" ref="S221" ca="1">OFFSET(T221,-1,-1)</f>
        <v>1</v>
      </c>
      <c r="T221" s="1155"/>
      <c r="U221" s="698" t="b">
        <f t="shared" ca="1" si="198"/>
        <v>1</v>
      </c>
      <c r="V221" s="1155"/>
      <c r="W221" s="1155"/>
      <c r="X221" s="820" t="str">
        <f>"{                  
         funcDyn: 'msg1',
         blok: 'blok_2',
         wsCross: 'Топливо 4.4',
         linkFormula: 'AE-AE#AF-AF',
         levelDyn: "&amp;Y139&amp;"
}"</f>
        <v>{                  
         funcDyn: 'msg1',
         blok: 'blok_2',
         wsCross: 'Топливо 4.4',
         linkFormula: 'AE-AE#AF-AF',
         levelDyn: 1
}</v>
      </c>
      <c r="Y221" s="1687"/>
      <c r="Z221" s="1687"/>
      <c r="AA221" s="699"/>
      <c r="AB221" s="1790"/>
      <c r="AD221" s="823"/>
      <c r="AE221" s="822" t="s">
        <v>238</v>
      </c>
      <c r="AF221" s="745"/>
      <c r="AG221" s="733"/>
      <c r="AH221" s="735"/>
      <c r="AI221" s="737"/>
      <c r="AJ221" s="737"/>
      <c r="AK221" s="737"/>
      <c r="AL221" s="737"/>
      <c r="AM221" s="737"/>
      <c r="AN221" s="737"/>
      <c r="AO221" s="737"/>
      <c r="AP221" s="737"/>
      <c r="AQ221" s="737"/>
      <c r="AR221" s="737"/>
      <c r="AS221" s="737"/>
      <c r="AT221" s="737"/>
      <c r="AU221" s="737"/>
      <c r="AV221" s="737"/>
      <c r="AW221" s="737"/>
      <c r="AX221" s="737"/>
      <c r="AY221" s="737"/>
      <c r="AZ221" s="737"/>
      <c r="BA221" s="737"/>
      <c r="BB221" s="737"/>
      <c r="BC221" s="737"/>
      <c r="BD221" s="737"/>
      <c r="BE221" s="737"/>
      <c r="BF221" s="737"/>
      <c r="BG221" s="737"/>
      <c r="BH221" s="737"/>
      <c r="BI221" s="737"/>
      <c r="BJ221" s="737"/>
      <c r="BK221" s="737"/>
      <c r="BL221" s="737"/>
      <c r="BM221" s="737"/>
      <c r="BN221" s="737"/>
      <c r="BO221" s="737"/>
      <c r="BP221" s="737"/>
      <c r="BQ221" s="737"/>
      <c r="BR221" s="737"/>
      <c r="BS221" s="737"/>
      <c r="BT221" s="737"/>
      <c r="BU221" s="737"/>
      <c r="BV221" s="737"/>
      <c r="BW221" s="737"/>
      <c r="BX221" s="737"/>
      <c r="BY221" s="737"/>
      <c r="BZ221" s="737"/>
      <c r="CA221" s="737"/>
      <c r="CB221" s="737"/>
      <c r="CC221" s="737"/>
      <c r="CD221" s="737"/>
      <c r="CE221" s="737"/>
      <c r="CF221" s="737"/>
      <c r="CG221" s="737"/>
      <c r="CH221" s="737"/>
      <c r="CI221" s="737"/>
      <c r="CJ221" s="737"/>
      <c r="CK221" s="737"/>
      <c r="CL221" s="737"/>
      <c r="CM221" s="737"/>
      <c r="CN221" s="737"/>
      <c r="CO221" s="737"/>
      <c r="CP221" s="737"/>
      <c r="CQ221" s="737"/>
      <c r="CR221" s="737"/>
      <c r="CS221" s="737"/>
      <c r="CT221" s="46"/>
      <c r="CW221" s="970" t="str">
        <f>IF(AND(ISNUMBER(VALUE(TRIM(SUBSTITUTE(AD221,".","")))),TRIM(SUBSTITUTE(AD221,".",""))&lt;&gt;""),"P"&amp;SUBSTITUTE(AD221,".",""),"")</f>
        <v/>
      </c>
      <c r="CX221" s="975"/>
      <c r="CY221" s="975"/>
      <c r="CZ221" s="975"/>
      <c r="DA221" s="976"/>
      <c r="DB221" s="976"/>
    </row>
    <row r="222" spans="1:106" s="1229" customFormat="1" ht="29.25" hidden="1" customHeight="1">
      <c r="A222" s="1155"/>
      <c r="B222" s="783"/>
      <c r="C222" s="1155"/>
      <c r="D222" s="1155"/>
      <c r="E222" s="676">
        <v>30</v>
      </c>
      <c r="F222" s="779" t="str" cm="1">
        <f t="array" aca="1" ref="F222" ca="1">OFFSET(G222,-1,-1)</f>
        <v>1</v>
      </c>
      <c r="G222" s="814"/>
      <c r="H222" s="814"/>
      <c r="I222" s="814"/>
      <c r="J222" s="814"/>
      <c r="K222" s="814"/>
      <c r="L222" s="779" t="b" cm="1">
        <f t="array" aca="1" ref="L222" ca="1">OFFSET(M222,-1,-1)</f>
        <v>0</v>
      </c>
      <c r="M222" s="814"/>
      <c r="N222" s="814"/>
      <c r="O222" s="814"/>
      <c r="P222" s="814"/>
      <c r="Q222" s="814"/>
      <c r="R222" s="779" t="s">
        <v>759</v>
      </c>
      <c r="S222" s="110" t="b" cm="1">
        <f t="array" aca="1" ref="S222" ca="1">OFFSET(T222,-1,-1)</f>
        <v>1</v>
      </c>
      <c r="T222" s="110" t="b" cm="1">
        <f t="array" aca="1" ref="T222" ca="1">L222</f>
        <v>0</v>
      </c>
      <c r="U222" s="698" t="b">
        <f t="shared" ca="1" si="198"/>
        <v>0</v>
      </c>
      <c r="V222" s="1155"/>
      <c r="W222" s="1155"/>
      <c r="X222" s="1155"/>
      <c r="Y222" s="1687"/>
      <c r="Z222" s="1687"/>
      <c r="AA222" s="699"/>
      <c r="AB222" s="1790"/>
      <c r="AD222" s="124">
        <v>29</v>
      </c>
      <c r="AE222" s="1757" t="s">
        <v>857</v>
      </c>
      <c r="AF222" s="1758"/>
      <c r="AG222" s="733" t="s">
        <v>839</v>
      </c>
      <c r="AH222" s="734">
        <f t="shared" ref="AH222:BM222" si="199">SUM(AH223:AH226)</f>
        <v>0</v>
      </c>
      <c r="AI222" s="734">
        <f t="shared" si="199"/>
        <v>0</v>
      </c>
      <c r="AJ222" s="734">
        <f t="shared" si="199"/>
        <v>0</v>
      </c>
      <c r="AK222" s="734">
        <f t="shared" si="199"/>
        <v>34154.620430000003</v>
      </c>
      <c r="AL222" s="734">
        <f t="shared" ca="1" si="199"/>
        <v>0</v>
      </c>
      <c r="AM222" s="734">
        <f t="shared" si="199"/>
        <v>0</v>
      </c>
      <c r="AN222" s="734">
        <f t="shared" ca="1" si="199"/>
        <v>0</v>
      </c>
      <c r="AO222" s="734">
        <f t="shared" ca="1" si="199"/>
        <v>0</v>
      </c>
      <c r="AP222" s="734">
        <f t="shared" si="199"/>
        <v>0</v>
      </c>
      <c r="AQ222" s="734">
        <f t="shared" ca="1" si="199"/>
        <v>0</v>
      </c>
      <c r="AR222" s="734">
        <f t="shared" ca="1" si="199"/>
        <v>0</v>
      </c>
      <c r="AS222" s="734">
        <f t="shared" si="199"/>
        <v>0</v>
      </c>
      <c r="AT222" s="734">
        <f t="shared" ca="1" si="199"/>
        <v>0</v>
      </c>
      <c r="AU222" s="734">
        <f t="shared" ca="1" si="199"/>
        <v>0</v>
      </c>
      <c r="AV222" s="734">
        <f t="shared" si="199"/>
        <v>0</v>
      </c>
      <c r="AW222" s="734">
        <f t="shared" ca="1" si="199"/>
        <v>0</v>
      </c>
      <c r="AX222" s="734">
        <f t="shared" ca="1" si="199"/>
        <v>0</v>
      </c>
      <c r="AY222" s="734">
        <f t="shared" si="199"/>
        <v>0</v>
      </c>
      <c r="AZ222" s="734">
        <f t="shared" ca="1" si="199"/>
        <v>0</v>
      </c>
      <c r="BA222" s="734">
        <f t="shared" ca="1" si="199"/>
        <v>0</v>
      </c>
      <c r="BB222" s="734">
        <f t="shared" si="199"/>
        <v>0</v>
      </c>
      <c r="BC222" s="734">
        <f t="shared" ca="1" si="199"/>
        <v>0</v>
      </c>
      <c r="BD222" s="734">
        <f t="shared" ca="1" si="199"/>
        <v>0</v>
      </c>
      <c r="BE222" s="734">
        <f t="shared" si="199"/>
        <v>0</v>
      </c>
      <c r="BF222" s="734">
        <f t="shared" ca="1" si="199"/>
        <v>0</v>
      </c>
      <c r="BG222" s="734">
        <f t="shared" ca="1" si="199"/>
        <v>0</v>
      </c>
      <c r="BH222" s="734">
        <f t="shared" si="199"/>
        <v>0</v>
      </c>
      <c r="BI222" s="734">
        <f t="shared" ca="1" si="199"/>
        <v>0</v>
      </c>
      <c r="BJ222" s="734">
        <f t="shared" ca="1" si="199"/>
        <v>0</v>
      </c>
      <c r="BK222" s="734">
        <f t="shared" si="199"/>
        <v>0</v>
      </c>
      <c r="BL222" s="734">
        <f t="shared" ca="1" si="199"/>
        <v>0</v>
      </c>
      <c r="BM222" s="734">
        <f t="shared" ca="1" si="199"/>
        <v>0</v>
      </c>
      <c r="BN222" s="734">
        <f t="shared" ref="BN222:CS222" si="200">SUM(BN223:BN226)</f>
        <v>0</v>
      </c>
      <c r="BO222" s="734">
        <f t="shared" ca="1" si="200"/>
        <v>0</v>
      </c>
      <c r="BP222" s="734">
        <f t="shared" ca="1" si="200"/>
        <v>44886.314972662876</v>
      </c>
      <c r="BQ222" s="734">
        <f t="shared" si="200"/>
        <v>32109.976619640493</v>
      </c>
      <c r="BR222" s="734">
        <f t="shared" ca="1" si="200"/>
        <v>12776.338353022382</v>
      </c>
      <c r="BS222" s="734">
        <f t="shared" ca="1" si="200"/>
        <v>0</v>
      </c>
      <c r="BT222" s="734">
        <f t="shared" si="200"/>
        <v>0</v>
      </c>
      <c r="BU222" s="734">
        <f t="shared" ca="1" si="200"/>
        <v>0</v>
      </c>
      <c r="BV222" s="734">
        <f t="shared" ca="1" si="200"/>
        <v>0</v>
      </c>
      <c r="BW222" s="734">
        <f t="shared" si="200"/>
        <v>0</v>
      </c>
      <c r="BX222" s="734">
        <f t="shared" ca="1" si="200"/>
        <v>0</v>
      </c>
      <c r="BY222" s="734">
        <f t="shared" ca="1" si="200"/>
        <v>0</v>
      </c>
      <c r="BZ222" s="734">
        <f t="shared" si="200"/>
        <v>0</v>
      </c>
      <c r="CA222" s="734">
        <f t="shared" ca="1" si="200"/>
        <v>0</v>
      </c>
      <c r="CB222" s="734">
        <f t="shared" ca="1" si="200"/>
        <v>0</v>
      </c>
      <c r="CC222" s="734">
        <f t="shared" si="200"/>
        <v>0</v>
      </c>
      <c r="CD222" s="734">
        <f t="shared" ca="1" si="200"/>
        <v>0</v>
      </c>
      <c r="CE222" s="734">
        <f t="shared" ca="1" si="200"/>
        <v>0</v>
      </c>
      <c r="CF222" s="734">
        <f t="shared" si="200"/>
        <v>0</v>
      </c>
      <c r="CG222" s="734">
        <f t="shared" ca="1" si="200"/>
        <v>0</v>
      </c>
      <c r="CH222" s="734">
        <f t="shared" ca="1" si="200"/>
        <v>0</v>
      </c>
      <c r="CI222" s="734">
        <f t="shared" si="200"/>
        <v>0</v>
      </c>
      <c r="CJ222" s="734">
        <f t="shared" ca="1" si="200"/>
        <v>0</v>
      </c>
      <c r="CK222" s="734">
        <f t="shared" ca="1" si="200"/>
        <v>0</v>
      </c>
      <c r="CL222" s="734">
        <f t="shared" si="200"/>
        <v>0</v>
      </c>
      <c r="CM222" s="734">
        <f t="shared" ca="1" si="200"/>
        <v>0</v>
      </c>
      <c r="CN222" s="734">
        <f t="shared" ca="1" si="200"/>
        <v>0</v>
      </c>
      <c r="CO222" s="734">
        <f t="shared" si="200"/>
        <v>0</v>
      </c>
      <c r="CP222" s="734">
        <f t="shared" ca="1" si="200"/>
        <v>0</v>
      </c>
      <c r="CQ222" s="734">
        <f t="shared" ca="1" si="200"/>
        <v>0</v>
      </c>
      <c r="CR222" s="734">
        <f t="shared" si="200"/>
        <v>0</v>
      </c>
      <c r="CS222" s="734">
        <f t="shared" ca="1" si="200"/>
        <v>0</v>
      </c>
      <c r="CT222" s="28"/>
      <c r="CW222" s="970" t="s">
        <v>858</v>
      </c>
      <c r="CX222" s="975"/>
      <c r="CY222" s="975"/>
      <c r="CZ222" s="975"/>
      <c r="DA222" s="976"/>
      <c r="DB222" s="976"/>
    </row>
    <row r="223" spans="1:106" s="1229" customFormat="1" ht="16.5" hidden="1" customHeight="1">
      <c r="E223" s="676">
        <v>17.100000000000001</v>
      </c>
      <c r="F223" s="779" t="str" cm="1">
        <f t="array" aca="1" ref="F223" ca="1">OFFSET(G223,-1,-1)</f>
        <v>1</v>
      </c>
      <c r="L223" s="779" t="b" cm="1">
        <f t="array" aca="1" ref="L223" ca="1">OFFSET(M223,-1,-1)</f>
        <v>0</v>
      </c>
      <c r="R223" s="779" t="s">
        <v>759</v>
      </c>
      <c r="S223" s="110" t="b" cm="1">
        <f t="array" aca="1" ref="S223" ca="1">OFFSET(T223,-1,-1)</f>
        <v>1</v>
      </c>
      <c r="T223" s="110" t="b">
        <f ca="1">AND(L223,AD223&lt;&gt;"29.0")</f>
        <v>0</v>
      </c>
      <c r="U223" s="698" t="b">
        <f t="shared" ca="1" si="198"/>
        <v>0</v>
      </c>
      <c r="X223" s="110" t="s">
        <v>236</v>
      </c>
      <c r="Y223" s="1722"/>
      <c r="Z223" s="1722"/>
      <c r="AB223" s="1790"/>
      <c r="AD223" s="111" t="s">
        <v>859</v>
      </c>
      <c r="AE223" s="821"/>
      <c r="AF223" s="524"/>
      <c r="AG223" s="733" t="s">
        <v>839</v>
      </c>
      <c r="AH223" s="41">
        <f t="shared" ref="AH223:AK225" si="201">AH$163*AH218</f>
        <v>0</v>
      </c>
      <c r="AI223" s="42">
        <f t="shared" si="201"/>
        <v>0</v>
      </c>
      <c r="AJ223" s="42">
        <f t="shared" si="201"/>
        <v>0</v>
      </c>
      <c r="AK223" s="42">
        <f t="shared" si="201"/>
        <v>0</v>
      </c>
      <c r="AL223" s="736">
        <f ca="1">AM223+AN223</f>
        <v>0</v>
      </c>
      <c r="AM223" s="42">
        <f t="shared" ref="AM223:AN225" si="202">AM$163*AM218</f>
        <v>0</v>
      </c>
      <c r="AN223" s="42">
        <f t="shared" ca="1" si="202"/>
        <v>0</v>
      </c>
      <c r="AO223" s="736">
        <f ca="1">AP223+AQ223</f>
        <v>0</v>
      </c>
      <c r="AP223" s="826">
        <f t="shared" ref="AP223:AQ225" si="203">AP$163*AP218</f>
        <v>0</v>
      </c>
      <c r="AQ223" s="826">
        <f t="shared" ca="1" si="203"/>
        <v>0</v>
      </c>
      <c r="AR223" s="736">
        <f ca="1">AS223+AT223</f>
        <v>0</v>
      </c>
      <c r="AS223" s="826">
        <f t="shared" ref="AS223:AT225" si="204">AS$163*AS218</f>
        <v>0</v>
      </c>
      <c r="AT223" s="826">
        <f t="shared" ca="1" si="204"/>
        <v>0</v>
      </c>
      <c r="AU223" s="736">
        <f ca="1">AV223+AW223</f>
        <v>0</v>
      </c>
      <c r="AV223" s="826">
        <f t="shared" ref="AV223:AW225" si="205">AV$163*AV218</f>
        <v>0</v>
      </c>
      <c r="AW223" s="826">
        <f t="shared" ca="1" si="205"/>
        <v>0</v>
      </c>
      <c r="AX223" s="736">
        <f ca="1">AY223+AZ223</f>
        <v>0</v>
      </c>
      <c r="AY223" s="826">
        <f t="shared" ref="AY223:AZ225" si="206">AY$163*AY218</f>
        <v>0</v>
      </c>
      <c r="AZ223" s="826">
        <f t="shared" ca="1" si="206"/>
        <v>0</v>
      </c>
      <c r="BA223" s="736">
        <f ca="1">BB223+BC223</f>
        <v>0</v>
      </c>
      <c r="BB223" s="42">
        <f t="shared" ref="BB223:BC225" si="207">BB$163*BB218</f>
        <v>0</v>
      </c>
      <c r="BC223" s="42">
        <f t="shared" ca="1" si="207"/>
        <v>0</v>
      </c>
      <c r="BD223" s="736">
        <f ca="1">BE223+BF223</f>
        <v>0</v>
      </c>
      <c r="BE223" s="42">
        <f t="shared" ref="BE223:BF225" si="208">BE$163*BE218</f>
        <v>0</v>
      </c>
      <c r="BF223" s="42">
        <f t="shared" ca="1" si="208"/>
        <v>0</v>
      </c>
      <c r="BG223" s="736">
        <f ca="1">BH223+BI223</f>
        <v>0</v>
      </c>
      <c r="BH223" s="42">
        <f t="shared" ref="BH223:BI225" si="209">BH$163*BH218</f>
        <v>0</v>
      </c>
      <c r="BI223" s="42">
        <f t="shared" ca="1" si="209"/>
        <v>0</v>
      </c>
      <c r="BJ223" s="736">
        <f ca="1">BK223+BL223</f>
        <v>0</v>
      </c>
      <c r="BK223" s="42">
        <f t="shared" ref="BK223:BL225" si="210">BK$163*BK218</f>
        <v>0</v>
      </c>
      <c r="BL223" s="42">
        <f t="shared" ca="1" si="210"/>
        <v>0</v>
      </c>
      <c r="BM223" s="736">
        <f ca="1">BN223+BO223</f>
        <v>0</v>
      </c>
      <c r="BN223" s="42">
        <f t="shared" ref="BN223:BO225" si="211">BN$163*BN218</f>
        <v>0</v>
      </c>
      <c r="BO223" s="42">
        <f t="shared" ca="1" si="211"/>
        <v>0</v>
      </c>
      <c r="BP223" s="736">
        <f ca="1">BQ223+BR223</f>
        <v>0</v>
      </c>
      <c r="BQ223" s="826">
        <f t="shared" ref="BQ223:BR225" si="212">BQ$163*BQ218</f>
        <v>0</v>
      </c>
      <c r="BR223" s="826">
        <f t="shared" ca="1" si="212"/>
        <v>0</v>
      </c>
      <c r="BS223" s="736">
        <f ca="1">BT223+BU223</f>
        <v>0</v>
      </c>
      <c r="BT223" s="826">
        <f t="shared" ref="BT223:BU225" si="213">BT$163*BT218</f>
        <v>0</v>
      </c>
      <c r="BU223" s="826">
        <f t="shared" ca="1" si="213"/>
        <v>0</v>
      </c>
      <c r="BV223" s="736">
        <f ca="1">BW223+BX223</f>
        <v>0</v>
      </c>
      <c r="BW223" s="826">
        <f t="shared" ref="BW223:BX225" si="214">BW$163*BW218</f>
        <v>0</v>
      </c>
      <c r="BX223" s="826">
        <f t="shared" ca="1" si="214"/>
        <v>0</v>
      </c>
      <c r="BY223" s="736">
        <f ca="1">BZ223+CA223</f>
        <v>0</v>
      </c>
      <c r="BZ223" s="826">
        <f t="shared" ref="BZ223:CA225" si="215">BZ$163*BZ218</f>
        <v>0</v>
      </c>
      <c r="CA223" s="826">
        <f t="shared" ca="1" si="215"/>
        <v>0</v>
      </c>
      <c r="CB223" s="736">
        <f ca="1">CC223+CD223</f>
        <v>0</v>
      </c>
      <c r="CC223" s="826">
        <f t="shared" ref="CC223:CD225" si="216">CC$163*CC218</f>
        <v>0</v>
      </c>
      <c r="CD223" s="826">
        <f t="shared" ca="1" si="216"/>
        <v>0</v>
      </c>
      <c r="CE223" s="736">
        <f ca="1">CF223+CG223</f>
        <v>0</v>
      </c>
      <c r="CF223" s="42">
        <f t="shared" ref="CF223:CG225" si="217">CF$163*CF218</f>
        <v>0</v>
      </c>
      <c r="CG223" s="42">
        <f t="shared" ca="1" si="217"/>
        <v>0</v>
      </c>
      <c r="CH223" s="736">
        <f ca="1">CI223+CJ223</f>
        <v>0</v>
      </c>
      <c r="CI223" s="42">
        <f t="shared" ref="CI223:CJ225" si="218">CI$163*CI218</f>
        <v>0</v>
      </c>
      <c r="CJ223" s="42">
        <f t="shared" ca="1" si="218"/>
        <v>0</v>
      </c>
      <c r="CK223" s="736">
        <f ca="1">CL223+CM223</f>
        <v>0</v>
      </c>
      <c r="CL223" s="42">
        <f t="shared" ref="CL223:CM225" si="219">CL$163*CL218</f>
        <v>0</v>
      </c>
      <c r="CM223" s="42">
        <f t="shared" ca="1" si="219"/>
        <v>0</v>
      </c>
      <c r="CN223" s="736">
        <f ca="1">CO223+CP223</f>
        <v>0</v>
      </c>
      <c r="CO223" s="42">
        <f t="shared" ref="CO223:CP225" si="220">CO$163*CO218</f>
        <v>0</v>
      </c>
      <c r="CP223" s="42">
        <f t="shared" ca="1" si="220"/>
        <v>0</v>
      </c>
      <c r="CQ223" s="736">
        <f ca="1">CR223+CS223</f>
        <v>0</v>
      </c>
      <c r="CR223" s="42">
        <f t="shared" ref="CR223:CS225" si="221">CR$163*CR218</f>
        <v>0</v>
      </c>
      <c r="CS223" s="42">
        <f t="shared" ca="1" si="221"/>
        <v>0</v>
      </c>
      <c r="CT223" s="28"/>
      <c r="CW223" s="970" t="s">
        <v>858</v>
      </c>
      <c r="CX223" s="975" t="s">
        <v>821</v>
      </c>
      <c r="CY223" s="979" cm="1">
        <f t="array" ref="CY223">AE223</f>
        <v>0</v>
      </c>
      <c r="CZ223" s="979" cm="1">
        <f t="array" ref="CZ223">AF223</f>
        <v>0</v>
      </c>
      <c r="DA223" s="976"/>
      <c r="DB223" s="976"/>
    </row>
    <row r="224" spans="1:106" s="1229" customFormat="1" ht="16.5" hidden="1" customHeight="1">
      <c r="E224" s="676">
        <v>17.100000000000001</v>
      </c>
      <c r="F224" s="779" t="str" cm="1">
        <f t="array" aca="1" ref="F224" ca="1">OFFSET(G224,-1,-1)</f>
        <v>1</v>
      </c>
      <c r="L224" s="779" t="b" cm="1">
        <f t="array" aca="1" ref="L224" ca="1">OFFSET(M224,-1,-1)</f>
        <v>0</v>
      </c>
      <c r="R224" s="779" t="s">
        <v>759</v>
      </c>
      <c r="S224" s="110" t="b" cm="1">
        <f t="array" aca="1" ref="S224" ca="1">OFFSET(T224,-1,-1)</f>
        <v>1</v>
      </c>
      <c r="T224" s="110" t="b">
        <f ca="1">AND(L224,AD224&lt;&gt;"29.0")</f>
        <v>0</v>
      </c>
      <c r="U224" s="698" t="b">
        <f t="shared" ca="1" si="198"/>
        <v>0</v>
      </c>
      <c r="X224" s="110" t="str">
        <f>'Топливо 4.4'!$AE$219&amp;'Топливо 4.4'!$AF$219</f>
        <v>Уголь длиннопламенный</v>
      </c>
      <c r="Y224" s="1722"/>
      <c r="Z224" s="1722"/>
      <c r="AB224" s="1790"/>
      <c r="AD224" s="111" t="s">
        <v>953</v>
      </c>
      <c r="AE224" s="821" t="str" cm="1">
        <f t="array" ref="AE224">IF(ISBLANK('Топливо 4.4'!$AE$219),"",'Топливо 4.4'!$AE$219)</f>
        <v>Уголь длиннопламенный</v>
      </c>
      <c r="AF224" s="524" t="str" cm="1">
        <f t="array" ref="AF224">IF(ISBLANK('Топливо 4.4'!$AF$219),"",'Топливо 4.4'!$AF$219)</f>
        <v/>
      </c>
      <c r="AG224" s="733" t="s">
        <v>839</v>
      </c>
      <c r="AH224" s="41">
        <f t="shared" si="201"/>
        <v>0</v>
      </c>
      <c r="AI224" s="42">
        <f t="shared" si="201"/>
        <v>0</v>
      </c>
      <c r="AJ224" s="42">
        <f t="shared" si="201"/>
        <v>0</v>
      </c>
      <c r="AK224" s="42">
        <f t="shared" si="201"/>
        <v>34154.620430000003</v>
      </c>
      <c r="AL224" s="736">
        <f ca="1">AM224+AN224</f>
        <v>0</v>
      </c>
      <c r="AM224" s="42">
        <f t="shared" si="202"/>
        <v>0</v>
      </c>
      <c r="AN224" s="42">
        <f t="shared" ca="1" si="202"/>
        <v>0</v>
      </c>
      <c r="AO224" s="736">
        <f ca="1">AP224+AQ224</f>
        <v>0</v>
      </c>
      <c r="AP224" s="826">
        <f t="shared" si="203"/>
        <v>0</v>
      </c>
      <c r="AQ224" s="826">
        <f t="shared" ca="1" si="203"/>
        <v>0</v>
      </c>
      <c r="AR224" s="736">
        <f ca="1">AS224+AT224</f>
        <v>0</v>
      </c>
      <c r="AS224" s="826">
        <f t="shared" si="204"/>
        <v>0</v>
      </c>
      <c r="AT224" s="826">
        <f t="shared" ca="1" si="204"/>
        <v>0</v>
      </c>
      <c r="AU224" s="736">
        <f ca="1">AV224+AW224</f>
        <v>0</v>
      </c>
      <c r="AV224" s="826">
        <f t="shared" si="205"/>
        <v>0</v>
      </c>
      <c r="AW224" s="826">
        <f t="shared" ca="1" si="205"/>
        <v>0</v>
      </c>
      <c r="AX224" s="736">
        <f ca="1">AY224+AZ224</f>
        <v>0</v>
      </c>
      <c r="AY224" s="826">
        <f t="shared" si="206"/>
        <v>0</v>
      </c>
      <c r="AZ224" s="826">
        <f t="shared" ca="1" si="206"/>
        <v>0</v>
      </c>
      <c r="BA224" s="736">
        <f ca="1">BB224+BC224</f>
        <v>0</v>
      </c>
      <c r="BB224" s="42">
        <f t="shared" si="207"/>
        <v>0</v>
      </c>
      <c r="BC224" s="42">
        <f t="shared" ca="1" si="207"/>
        <v>0</v>
      </c>
      <c r="BD224" s="736">
        <f ca="1">BE224+BF224</f>
        <v>0</v>
      </c>
      <c r="BE224" s="42">
        <f t="shared" si="208"/>
        <v>0</v>
      </c>
      <c r="BF224" s="42">
        <f t="shared" ca="1" si="208"/>
        <v>0</v>
      </c>
      <c r="BG224" s="736">
        <f ca="1">BH224+BI224</f>
        <v>0</v>
      </c>
      <c r="BH224" s="42">
        <f t="shared" si="209"/>
        <v>0</v>
      </c>
      <c r="BI224" s="42">
        <f t="shared" ca="1" si="209"/>
        <v>0</v>
      </c>
      <c r="BJ224" s="736">
        <f ca="1">BK224+BL224</f>
        <v>0</v>
      </c>
      <c r="BK224" s="42">
        <f t="shared" si="210"/>
        <v>0</v>
      </c>
      <c r="BL224" s="42">
        <f t="shared" ca="1" si="210"/>
        <v>0</v>
      </c>
      <c r="BM224" s="736">
        <f ca="1">BN224+BO224</f>
        <v>0</v>
      </c>
      <c r="BN224" s="42">
        <f t="shared" si="211"/>
        <v>0</v>
      </c>
      <c r="BO224" s="42">
        <f t="shared" ca="1" si="211"/>
        <v>0</v>
      </c>
      <c r="BP224" s="736">
        <f ca="1">BQ224+BR224</f>
        <v>44886.314972662876</v>
      </c>
      <c r="BQ224" s="826">
        <f t="shared" si="212"/>
        <v>32109.976619640493</v>
      </c>
      <c r="BR224" s="826">
        <f t="shared" ca="1" si="212"/>
        <v>12776.338353022382</v>
      </c>
      <c r="BS224" s="736">
        <f ca="1">BT224+BU224</f>
        <v>0</v>
      </c>
      <c r="BT224" s="826">
        <f t="shared" si="213"/>
        <v>0</v>
      </c>
      <c r="BU224" s="826">
        <f t="shared" ca="1" si="213"/>
        <v>0</v>
      </c>
      <c r="BV224" s="736">
        <f ca="1">BW224+BX224</f>
        <v>0</v>
      </c>
      <c r="BW224" s="826">
        <f t="shared" si="214"/>
        <v>0</v>
      </c>
      <c r="BX224" s="826">
        <f t="shared" ca="1" si="214"/>
        <v>0</v>
      </c>
      <c r="BY224" s="736">
        <f ca="1">BZ224+CA224</f>
        <v>0</v>
      </c>
      <c r="BZ224" s="826">
        <f t="shared" si="215"/>
        <v>0</v>
      </c>
      <c r="CA224" s="826">
        <f t="shared" ca="1" si="215"/>
        <v>0</v>
      </c>
      <c r="CB224" s="736">
        <f ca="1">CC224+CD224</f>
        <v>0</v>
      </c>
      <c r="CC224" s="826">
        <f t="shared" si="216"/>
        <v>0</v>
      </c>
      <c r="CD224" s="826">
        <f t="shared" ca="1" si="216"/>
        <v>0</v>
      </c>
      <c r="CE224" s="736">
        <f ca="1">CF224+CG224</f>
        <v>0</v>
      </c>
      <c r="CF224" s="42">
        <f t="shared" si="217"/>
        <v>0</v>
      </c>
      <c r="CG224" s="42">
        <f t="shared" ca="1" si="217"/>
        <v>0</v>
      </c>
      <c r="CH224" s="736">
        <f ca="1">CI224+CJ224</f>
        <v>0</v>
      </c>
      <c r="CI224" s="42">
        <f t="shared" si="218"/>
        <v>0</v>
      </c>
      <c r="CJ224" s="42">
        <f t="shared" ca="1" si="218"/>
        <v>0</v>
      </c>
      <c r="CK224" s="736">
        <f ca="1">CL224+CM224</f>
        <v>0</v>
      </c>
      <c r="CL224" s="42">
        <f t="shared" si="219"/>
        <v>0</v>
      </c>
      <c r="CM224" s="42">
        <f t="shared" ca="1" si="219"/>
        <v>0</v>
      </c>
      <c r="CN224" s="736">
        <f ca="1">CO224+CP224</f>
        <v>0</v>
      </c>
      <c r="CO224" s="42">
        <f t="shared" si="220"/>
        <v>0</v>
      </c>
      <c r="CP224" s="42">
        <f t="shared" ca="1" si="220"/>
        <v>0</v>
      </c>
      <c r="CQ224" s="736">
        <f ca="1">CR224+CS224</f>
        <v>0</v>
      </c>
      <c r="CR224" s="42">
        <f t="shared" si="221"/>
        <v>0</v>
      </c>
      <c r="CS224" s="42">
        <f t="shared" ca="1" si="221"/>
        <v>0</v>
      </c>
      <c r="CT224" s="28"/>
      <c r="CW224" s="970" t="s">
        <v>858</v>
      </c>
      <c r="CX224" s="975" t="s">
        <v>821</v>
      </c>
      <c r="CY224" s="979" t="str" cm="1">
        <f t="array" ref="CY224">AE224</f>
        <v>Уголь длиннопламенный</v>
      </c>
      <c r="CZ224" s="979" t="str" cm="1">
        <f t="array" ref="CZ224">AF224</f>
        <v/>
      </c>
      <c r="DA224" s="976"/>
      <c r="DB224" s="976"/>
    </row>
    <row r="225" spans="1:106" s="1229" customFormat="1" ht="16.5" hidden="1" customHeight="1">
      <c r="E225" s="676">
        <v>17.100000000000001</v>
      </c>
      <c r="F225" s="779" t="str" cm="1">
        <f t="array" aca="1" ref="F225" ca="1">OFFSET(G225,-1,-1)</f>
        <v>1</v>
      </c>
      <c r="L225" s="779" t="b" cm="1">
        <f t="array" aca="1" ref="L225" ca="1">OFFSET(M225,-1,-1)</f>
        <v>0</v>
      </c>
      <c r="R225" s="779" t="s">
        <v>759</v>
      </c>
      <c r="S225" s="110" t="b" cm="1">
        <f t="array" aca="1" ref="S225" ca="1">OFFSET(T225,-1,-1)</f>
        <v>1</v>
      </c>
      <c r="T225" s="110" t="b">
        <f ca="1">AND(L225,AD225&lt;&gt;"29.0")</f>
        <v>0</v>
      </c>
      <c r="U225" s="698" t="b">
        <f t="shared" ca="1" si="198"/>
        <v>0</v>
      </c>
      <c r="X225" s="110" t="str">
        <f>'Топливо 4.4'!$AE$220&amp;'Топливо 4.4'!$AF$220</f>
        <v>Уголь бурый</v>
      </c>
      <c r="Y225" s="1722"/>
      <c r="Z225" s="1722"/>
      <c r="AB225" s="1790"/>
      <c r="AD225" s="111" t="s">
        <v>954</v>
      </c>
      <c r="AE225" s="821" t="str" cm="1">
        <f t="array" ref="AE225">IF(ISBLANK('Топливо 4.4'!$AE$220),"",'Топливо 4.4'!$AE$220)</f>
        <v>Уголь бурый</v>
      </c>
      <c r="AF225" s="524" t="str" cm="1">
        <f t="array" ref="AF225">IF(ISBLANK('Топливо 4.4'!$AF$220),"",'Топливо 4.4'!$AF$220)</f>
        <v/>
      </c>
      <c r="AG225" s="733" t="s">
        <v>839</v>
      </c>
      <c r="AH225" s="41">
        <f t="shared" si="201"/>
        <v>0</v>
      </c>
      <c r="AI225" s="42">
        <f t="shared" si="201"/>
        <v>0</v>
      </c>
      <c r="AJ225" s="42">
        <f t="shared" si="201"/>
        <v>0</v>
      </c>
      <c r="AK225" s="42">
        <f t="shared" si="201"/>
        <v>0</v>
      </c>
      <c r="AL225" s="736">
        <f ca="1">AM225+AN225</f>
        <v>0</v>
      </c>
      <c r="AM225" s="42">
        <f t="shared" si="202"/>
        <v>0</v>
      </c>
      <c r="AN225" s="42">
        <f t="shared" ca="1" si="202"/>
        <v>0</v>
      </c>
      <c r="AO225" s="736">
        <f ca="1">AP225+AQ225</f>
        <v>0</v>
      </c>
      <c r="AP225" s="826">
        <f t="shared" si="203"/>
        <v>0</v>
      </c>
      <c r="AQ225" s="826">
        <f t="shared" ca="1" si="203"/>
        <v>0</v>
      </c>
      <c r="AR225" s="736">
        <f ca="1">AS225+AT225</f>
        <v>0</v>
      </c>
      <c r="AS225" s="826">
        <f t="shared" si="204"/>
        <v>0</v>
      </c>
      <c r="AT225" s="826">
        <f t="shared" ca="1" si="204"/>
        <v>0</v>
      </c>
      <c r="AU225" s="736">
        <f ca="1">AV225+AW225</f>
        <v>0</v>
      </c>
      <c r="AV225" s="826">
        <f t="shared" si="205"/>
        <v>0</v>
      </c>
      <c r="AW225" s="826">
        <f t="shared" ca="1" si="205"/>
        <v>0</v>
      </c>
      <c r="AX225" s="736">
        <f ca="1">AY225+AZ225</f>
        <v>0</v>
      </c>
      <c r="AY225" s="826">
        <f t="shared" si="206"/>
        <v>0</v>
      </c>
      <c r="AZ225" s="826">
        <f t="shared" ca="1" si="206"/>
        <v>0</v>
      </c>
      <c r="BA225" s="736">
        <f ca="1">BB225+BC225</f>
        <v>0</v>
      </c>
      <c r="BB225" s="42">
        <f t="shared" si="207"/>
        <v>0</v>
      </c>
      <c r="BC225" s="42">
        <f t="shared" ca="1" si="207"/>
        <v>0</v>
      </c>
      <c r="BD225" s="736">
        <f ca="1">BE225+BF225</f>
        <v>0</v>
      </c>
      <c r="BE225" s="42">
        <f t="shared" si="208"/>
        <v>0</v>
      </c>
      <c r="BF225" s="42">
        <f t="shared" ca="1" si="208"/>
        <v>0</v>
      </c>
      <c r="BG225" s="736">
        <f ca="1">BH225+BI225</f>
        <v>0</v>
      </c>
      <c r="BH225" s="42">
        <f t="shared" si="209"/>
        <v>0</v>
      </c>
      <c r="BI225" s="42">
        <f t="shared" ca="1" si="209"/>
        <v>0</v>
      </c>
      <c r="BJ225" s="736">
        <f ca="1">BK225+BL225</f>
        <v>0</v>
      </c>
      <c r="BK225" s="42">
        <f t="shared" si="210"/>
        <v>0</v>
      </c>
      <c r="BL225" s="42">
        <f t="shared" ca="1" si="210"/>
        <v>0</v>
      </c>
      <c r="BM225" s="736">
        <f ca="1">BN225+BO225</f>
        <v>0</v>
      </c>
      <c r="BN225" s="42">
        <f t="shared" si="211"/>
        <v>0</v>
      </c>
      <c r="BO225" s="42">
        <f t="shared" ca="1" si="211"/>
        <v>0</v>
      </c>
      <c r="BP225" s="736">
        <f ca="1">BQ225+BR225</f>
        <v>0</v>
      </c>
      <c r="BQ225" s="826">
        <f t="shared" si="212"/>
        <v>0</v>
      </c>
      <c r="BR225" s="826">
        <f t="shared" ca="1" si="212"/>
        <v>0</v>
      </c>
      <c r="BS225" s="736">
        <f ca="1">BT225+BU225</f>
        <v>0</v>
      </c>
      <c r="BT225" s="826">
        <f t="shared" si="213"/>
        <v>0</v>
      </c>
      <c r="BU225" s="826">
        <f t="shared" ca="1" si="213"/>
        <v>0</v>
      </c>
      <c r="BV225" s="736">
        <f ca="1">BW225+BX225</f>
        <v>0</v>
      </c>
      <c r="BW225" s="826">
        <f t="shared" si="214"/>
        <v>0</v>
      </c>
      <c r="BX225" s="826">
        <f t="shared" ca="1" si="214"/>
        <v>0</v>
      </c>
      <c r="BY225" s="736">
        <f ca="1">BZ225+CA225</f>
        <v>0</v>
      </c>
      <c r="BZ225" s="826">
        <f t="shared" si="215"/>
        <v>0</v>
      </c>
      <c r="CA225" s="826">
        <f t="shared" ca="1" si="215"/>
        <v>0</v>
      </c>
      <c r="CB225" s="736">
        <f ca="1">CC225+CD225</f>
        <v>0</v>
      </c>
      <c r="CC225" s="826">
        <f t="shared" si="216"/>
        <v>0</v>
      </c>
      <c r="CD225" s="826">
        <f t="shared" ca="1" si="216"/>
        <v>0</v>
      </c>
      <c r="CE225" s="736">
        <f ca="1">CF225+CG225</f>
        <v>0</v>
      </c>
      <c r="CF225" s="42">
        <f t="shared" si="217"/>
        <v>0</v>
      </c>
      <c r="CG225" s="42">
        <f t="shared" ca="1" si="217"/>
        <v>0</v>
      </c>
      <c r="CH225" s="736">
        <f ca="1">CI225+CJ225</f>
        <v>0</v>
      </c>
      <c r="CI225" s="42">
        <f t="shared" si="218"/>
        <v>0</v>
      </c>
      <c r="CJ225" s="42">
        <f t="shared" ca="1" si="218"/>
        <v>0</v>
      </c>
      <c r="CK225" s="736">
        <f ca="1">CL225+CM225</f>
        <v>0</v>
      </c>
      <c r="CL225" s="42">
        <f t="shared" si="219"/>
        <v>0</v>
      </c>
      <c r="CM225" s="42">
        <f t="shared" ca="1" si="219"/>
        <v>0</v>
      </c>
      <c r="CN225" s="736">
        <f ca="1">CO225+CP225</f>
        <v>0</v>
      </c>
      <c r="CO225" s="42">
        <f t="shared" si="220"/>
        <v>0</v>
      </c>
      <c r="CP225" s="42">
        <f t="shared" ca="1" si="220"/>
        <v>0</v>
      </c>
      <c r="CQ225" s="736">
        <f ca="1">CR225+CS225</f>
        <v>0</v>
      </c>
      <c r="CR225" s="42">
        <f t="shared" si="221"/>
        <v>0</v>
      </c>
      <c r="CS225" s="42">
        <f t="shared" ca="1" si="221"/>
        <v>0</v>
      </c>
      <c r="CT225" s="28"/>
      <c r="CW225" s="970" t="s">
        <v>858</v>
      </c>
      <c r="CX225" s="975" t="s">
        <v>821</v>
      </c>
      <c r="CY225" s="979" t="str" cm="1">
        <f t="array" ref="CY225">AE225</f>
        <v>Уголь бурый</v>
      </c>
      <c r="CZ225" s="979" t="str" cm="1">
        <f t="array" ref="CZ225">AF225</f>
        <v/>
      </c>
      <c r="DA225" s="976"/>
      <c r="DB225" s="976"/>
    </row>
    <row r="226" spans="1:106" s="1229" customFormat="1" ht="15" hidden="1" customHeight="1">
      <c r="A226" s="1155"/>
      <c r="B226" s="783"/>
      <c r="C226" s="1155"/>
      <c r="D226" s="1155"/>
      <c r="E226" s="676">
        <v>0</v>
      </c>
      <c r="F226" s="779" t="str" cm="1">
        <f t="array" aca="1" ref="F226" ca="1">OFFSET(G226,-1,-1)</f>
        <v>1</v>
      </c>
      <c r="G226" s="814"/>
      <c r="H226" s="814"/>
      <c r="I226" s="814"/>
      <c r="J226" s="814"/>
      <c r="K226" s="814"/>
      <c r="L226" s="779" t="b" cm="1">
        <f t="array" aca="1" ref="L226" ca="1">OFFSET(M226,-1,-1)</f>
        <v>0</v>
      </c>
      <c r="M226" s="814"/>
      <c r="N226" s="814"/>
      <c r="O226" s="814"/>
      <c r="P226" s="814"/>
      <c r="Q226" s="814"/>
      <c r="R226" s="1155"/>
      <c r="S226" s="110" t="b" cm="1">
        <f t="array" aca="1" ref="S226" ca="1">OFFSET(T226,-1,-1)</f>
        <v>1</v>
      </c>
      <c r="T226" s="1155"/>
      <c r="U226" s="698" t="b">
        <f t="shared" ca="1" si="198"/>
        <v>1</v>
      </c>
      <c r="V226" s="1155"/>
      <c r="W226" s="1155"/>
      <c r="X226" s="820" t="str">
        <f>"{                  
         funcDyn: 'msg1',
         blok: 'blok_2',
         wsCross: 'Топливо 4.4',
         linkFormula: 'AE-AE#AF-AF',
         levelDyn: "&amp;Y139&amp;"
}"</f>
        <v>{                  
         funcDyn: 'msg1',
         blok: 'blok_2',
         wsCross: 'Топливо 4.4',
         linkFormula: 'AE-AE#AF-AF',
         levelDyn: 1
}</v>
      </c>
      <c r="Y226" s="1687"/>
      <c r="Z226" s="1687"/>
      <c r="AA226" s="699"/>
      <c r="AB226" s="1791"/>
      <c r="AD226" s="823"/>
      <c r="AE226" s="822" t="s">
        <v>238</v>
      </c>
      <c r="AF226" s="745"/>
      <c r="AG226" s="733"/>
      <c r="AH226" s="735"/>
      <c r="AI226" s="737"/>
      <c r="AJ226" s="737"/>
      <c r="AK226" s="737"/>
      <c r="AL226" s="737"/>
      <c r="AM226" s="737"/>
      <c r="AN226" s="737"/>
      <c r="AO226" s="737"/>
      <c r="AP226" s="737"/>
      <c r="AQ226" s="737"/>
      <c r="AR226" s="737"/>
      <c r="AS226" s="737"/>
      <c r="AT226" s="737"/>
      <c r="AU226" s="737"/>
      <c r="AV226" s="737"/>
      <c r="AW226" s="737"/>
      <c r="AX226" s="737"/>
      <c r="AY226" s="737"/>
      <c r="AZ226" s="737"/>
      <c r="BA226" s="737"/>
      <c r="BB226" s="737"/>
      <c r="BC226" s="737"/>
      <c r="BD226" s="737"/>
      <c r="BE226" s="737"/>
      <c r="BF226" s="737"/>
      <c r="BG226" s="737"/>
      <c r="BH226" s="737"/>
      <c r="BI226" s="737"/>
      <c r="BJ226" s="737"/>
      <c r="BK226" s="737"/>
      <c r="BL226" s="737"/>
      <c r="BM226" s="737"/>
      <c r="BN226" s="737"/>
      <c r="BO226" s="737"/>
      <c r="BP226" s="737"/>
      <c r="BQ226" s="737"/>
      <c r="BR226" s="737"/>
      <c r="BS226" s="737"/>
      <c r="BT226" s="737"/>
      <c r="BU226" s="737"/>
      <c r="BV226" s="737"/>
      <c r="BW226" s="737"/>
      <c r="BX226" s="737"/>
      <c r="BY226" s="737"/>
      <c r="BZ226" s="737"/>
      <c r="CA226" s="737"/>
      <c r="CB226" s="737"/>
      <c r="CC226" s="737"/>
      <c r="CD226" s="737"/>
      <c r="CE226" s="737"/>
      <c r="CF226" s="737"/>
      <c r="CG226" s="737"/>
      <c r="CH226" s="737"/>
      <c r="CI226" s="737"/>
      <c r="CJ226" s="737"/>
      <c r="CK226" s="737"/>
      <c r="CL226" s="737"/>
      <c r="CM226" s="737"/>
      <c r="CN226" s="737"/>
      <c r="CO226" s="737"/>
      <c r="CP226" s="737"/>
      <c r="CQ226" s="737"/>
      <c r="CR226" s="737"/>
      <c r="CS226" s="737"/>
      <c r="CT226" s="46"/>
      <c r="CW226" s="970" t="str">
        <f>IF(AND(ISNUMBER(VALUE(TRIM(SUBSTITUTE(AD226,".","")))),TRIM(SUBSTITUTE(AD226,".",""))&lt;&gt;""),"P"&amp;SUBSTITUTE(AD226,".",""),"")</f>
        <v/>
      </c>
      <c r="CX226" s="975"/>
      <c r="CY226" s="975"/>
      <c r="CZ226" s="975"/>
      <c r="DA226" s="976"/>
      <c r="DB226" s="976"/>
    </row>
    <row r="227" spans="1:106" s="1229" customFormat="1" ht="16.5" customHeight="1">
      <c r="A227" s="1155"/>
      <c r="B227" s="783"/>
      <c r="C227" s="1155"/>
      <c r="D227" s="1155"/>
      <c r="E227" s="676">
        <v>17.100000000000001</v>
      </c>
      <c r="F227" s="779" t="str" cm="1">
        <f t="array" aca="1" ref="F227" ca="1">OFFSET(G227,-1,-1)</f>
        <v>1</v>
      </c>
      <c r="G227" s="814"/>
      <c r="H227" s="814"/>
      <c r="I227" s="814"/>
      <c r="J227" s="814"/>
      <c r="K227" s="814"/>
      <c r="L227" s="779" t="b" cm="1">
        <f t="array" aca="1" ref="L227" ca="1">OFFSET(M227,-1,-1)</f>
        <v>0</v>
      </c>
      <c r="M227" s="814"/>
      <c r="N227" s="814"/>
      <c r="O227" s="814"/>
      <c r="P227" s="814"/>
      <c r="Q227" s="814"/>
      <c r="R227" s="1155"/>
      <c r="S227" s="110" t="b" cm="1">
        <f t="array" aca="1" ref="S227" ca="1">OFFSET(T227,-1,-1)</f>
        <v>1</v>
      </c>
      <c r="T227" s="1155"/>
      <c r="U227" s="698" t="b">
        <f t="shared" ca="1" si="198"/>
        <v>1</v>
      </c>
      <c r="V227" s="1155"/>
      <c r="W227" s="1155"/>
      <c r="X227" s="1155"/>
      <c r="Y227" s="1687"/>
      <c r="Z227" s="1687"/>
      <c r="AA227" s="699"/>
      <c r="AB227" s="1792" t="s">
        <v>860</v>
      </c>
      <c r="AD227" s="124" t="s">
        <v>861</v>
      </c>
      <c r="AE227" s="1754" t="s">
        <v>862</v>
      </c>
      <c r="AF227" s="1734"/>
      <c r="AG227" s="849"/>
      <c r="AH227" s="735"/>
      <c r="AI227" s="737"/>
      <c r="AJ227" s="737"/>
      <c r="AK227" s="737"/>
      <c r="AL227" s="737"/>
      <c r="AM227" s="737"/>
      <c r="AN227" s="737"/>
      <c r="AO227" s="737"/>
      <c r="AP227" s="737"/>
      <c r="AQ227" s="737"/>
      <c r="AR227" s="737"/>
      <c r="AS227" s="737"/>
      <c r="AT227" s="737"/>
      <c r="AU227" s="737"/>
      <c r="AV227" s="737"/>
      <c r="AW227" s="737"/>
      <c r="AX227" s="737"/>
      <c r="AY227" s="737"/>
      <c r="AZ227" s="737"/>
      <c r="BA227" s="737"/>
      <c r="BB227" s="737"/>
      <c r="BC227" s="737"/>
      <c r="BD227" s="737"/>
      <c r="BE227" s="737"/>
      <c r="BF227" s="737"/>
      <c r="BG227" s="737"/>
      <c r="BH227" s="737"/>
      <c r="BI227" s="737"/>
      <c r="BJ227" s="737"/>
      <c r="BK227" s="737"/>
      <c r="BL227" s="737"/>
      <c r="BM227" s="737"/>
      <c r="BN227" s="737"/>
      <c r="BO227" s="737"/>
      <c r="BP227" s="737"/>
      <c r="BQ227" s="737"/>
      <c r="BR227" s="737"/>
      <c r="BS227" s="737"/>
      <c r="BT227" s="737"/>
      <c r="BU227" s="737"/>
      <c r="BV227" s="737"/>
      <c r="BW227" s="737"/>
      <c r="BX227" s="737"/>
      <c r="BY227" s="737"/>
      <c r="BZ227" s="737"/>
      <c r="CA227" s="737"/>
      <c r="CB227" s="737"/>
      <c r="CC227" s="737"/>
      <c r="CD227" s="737"/>
      <c r="CE227" s="737"/>
      <c r="CF227" s="737"/>
      <c r="CG227" s="737"/>
      <c r="CH227" s="737"/>
      <c r="CI227" s="737"/>
      <c r="CJ227" s="737"/>
      <c r="CK227" s="737"/>
      <c r="CL227" s="737"/>
      <c r="CM227" s="737"/>
      <c r="CN227" s="737"/>
      <c r="CO227" s="737"/>
      <c r="CP227" s="737"/>
      <c r="CQ227" s="737"/>
      <c r="CR227" s="737"/>
      <c r="CS227" s="737"/>
      <c r="CT227" s="1290"/>
      <c r="CW227" s="970" t="s">
        <v>863</v>
      </c>
      <c r="CX227" s="975"/>
      <c r="CY227" s="975"/>
      <c r="CZ227" s="975"/>
      <c r="DA227" s="976"/>
      <c r="DB227" s="976"/>
    </row>
    <row r="228" spans="1:106" s="1229" customFormat="1" ht="16.5" hidden="1" customHeight="1">
      <c r="E228" s="676">
        <v>17.100000000000001</v>
      </c>
      <c r="F228" s="779" t="str" cm="1">
        <f t="array" aca="1" ref="F228" ca="1">OFFSET(G228,-1,-1)</f>
        <v>1</v>
      </c>
      <c r="L228" s="779" t="b" cm="1">
        <f t="array" aca="1" ref="L228" ca="1">OFFSET(M228,-1,-1)</f>
        <v>0</v>
      </c>
      <c r="S228" s="110" t="b" cm="1">
        <f t="array" aca="1" ref="S228" ca="1">OFFSET(T228,-1,-1)</f>
        <v>1</v>
      </c>
      <c r="T228" s="110" t="b">
        <f>AD228&lt;&gt;"30.0"</f>
        <v>0</v>
      </c>
      <c r="U228" s="698" t="b">
        <f t="shared" ca="1" si="198"/>
        <v>0</v>
      </c>
      <c r="X228" s="110" t="s">
        <v>236</v>
      </c>
      <c r="Y228" s="1722"/>
      <c r="Z228" s="1722"/>
      <c r="AB228" s="1793"/>
      <c r="AD228" s="111" t="s">
        <v>864</v>
      </c>
      <c r="AE228" s="821"/>
      <c r="AF228" s="524"/>
      <c r="AG228" s="733" t="s">
        <v>533</v>
      </c>
      <c r="AH228" s="45"/>
      <c r="AI228" s="49"/>
      <c r="AJ228" s="49"/>
      <c r="AK228" s="49"/>
      <c r="AL228" s="737"/>
      <c r="AM228" s="49"/>
      <c r="AN228" s="49"/>
      <c r="AO228" s="737"/>
      <c r="AP228" s="829"/>
      <c r="AQ228" s="829"/>
      <c r="AR228" s="737"/>
      <c r="AS228" s="829"/>
      <c r="AT228" s="829"/>
      <c r="AU228" s="737"/>
      <c r="AV228" s="829"/>
      <c r="AW228" s="829"/>
      <c r="AX228" s="737"/>
      <c r="AY228" s="829"/>
      <c r="AZ228" s="829"/>
      <c r="BA228" s="737"/>
      <c r="BB228" s="49"/>
      <c r="BC228" s="49"/>
      <c r="BD228" s="737"/>
      <c r="BE228" s="49"/>
      <c r="BF228" s="49"/>
      <c r="BG228" s="737"/>
      <c r="BH228" s="49"/>
      <c r="BI228" s="49"/>
      <c r="BJ228" s="737"/>
      <c r="BK228" s="49"/>
      <c r="BL228" s="49"/>
      <c r="BM228" s="737"/>
      <c r="BN228" s="49"/>
      <c r="BO228" s="49"/>
      <c r="BP228" s="737"/>
      <c r="BQ228" s="829"/>
      <c r="BR228" s="829"/>
      <c r="BS228" s="737"/>
      <c r="BT228" s="829"/>
      <c r="BU228" s="829"/>
      <c r="BV228" s="737"/>
      <c r="BW228" s="829"/>
      <c r="BX228" s="829"/>
      <c r="BY228" s="737"/>
      <c r="BZ228" s="829"/>
      <c r="CA228" s="829"/>
      <c r="CB228" s="737"/>
      <c r="CC228" s="829"/>
      <c r="CD228" s="829"/>
      <c r="CE228" s="737"/>
      <c r="CF228" s="49"/>
      <c r="CG228" s="49"/>
      <c r="CH228" s="737"/>
      <c r="CI228" s="49"/>
      <c r="CJ228" s="49"/>
      <c r="CK228" s="737"/>
      <c r="CL228" s="49"/>
      <c r="CM228" s="49"/>
      <c r="CN228" s="737"/>
      <c r="CO228" s="49"/>
      <c r="CP228" s="49"/>
      <c r="CQ228" s="737"/>
      <c r="CR228" s="49"/>
      <c r="CS228" s="49"/>
      <c r="CT228" s="28"/>
      <c r="CW228" s="970" t="s">
        <v>863</v>
      </c>
      <c r="CX228" s="975" t="s">
        <v>821</v>
      </c>
      <c r="CY228" s="979" cm="1">
        <f t="array" ref="CY228">AE228</f>
        <v>0</v>
      </c>
      <c r="CZ228" s="979" cm="1">
        <f t="array" ref="CZ228">AF228</f>
        <v>0</v>
      </c>
      <c r="DA228" s="976"/>
      <c r="DB228" s="976"/>
    </row>
    <row r="229" spans="1:106" s="1229" customFormat="1" ht="16.5" customHeight="1">
      <c r="E229" s="676">
        <v>17.100000000000001</v>
      </c>
      <c r="F229" s="779" t="str" cm="1">
        <f t="array" aca="1" ref="F229" ca="1">OFFSET(G229,-1,-1)</f>
        <v>1</v>
      </c>
      <c r="L229" s="779" t="b" cm="1">
        <f t="array" aca="1" ref="L229" ca="1">OFFSET(M229,-1,-1)</f>
        <v>0</v>
      </c>
      <c r="S229" s="110" t="b" cm="1">
        <f t="array" aca="1" ref="S229" ca="1">OFFSET(T229,-1,-1)</f>
        <v>1</v>
      </c>
      <c r="T229" s="110" t="b">
        <f>AD229&lt;&gt;"30.0"</f>
        <v>1</v>
      </c>
      <c r="U229" s="698" t="b">
        <f t="shared" ca="1" si="198"/>
        <v>1</v>
      </c>
      <c r="X229" s="110" t="str">
        <f>'Топливо 4.4'!$AE$224&amp;'Топливо 4.4'!$AF$224</f>
        <v>Уголь длиннопламенный</v>
      </c>
      <c r="Y229" s="1722"/>
      <c r="Z229" s="1722"/>
      <c r="AB229" s="1793"/>
      <c r="AD229" s="111" t="s">
        <v>955</v>
      </c>
      <c r="AE229" s="821" t="str" cm="1">
        <f t="array" ref="AE229">IF(ISBLANK('Топливо 4.4'!$AE$224),"",'Топливо 4.4'!$AE$224)</f>
        <v>Уголь длиннопламенный</v>
      </c>
      <c r="AF229" s="524" t="str" cm="1">
        <f t="array" ref="AF229">IF(ISBLANK('Топливо 4.4'!$AF$224),"",'Топливо 4.4'!$AF$224)</f>
        <v/>
      </c>
      <c r="AG229" s="733" t="s">
        <v>533</v>
      </c>
      <c r="AH229" s="1306"/>
      <c r="AI229" s="1309"/>
      <c r="AJ229" s="1309"/>
      <c r="AK229" s="1309"/>
      <c r="AL229" s="737"/>
      <c r="AM229" s="1309"/>
      <c r="AN229" s="1309"/>
      <c r="AO229" s="737"/>
      <c r="AP229" s="829"/>
      <c r="AQ229" s="829"/>
      <c r="AR229" s="737"/>
      <c r="AS229" s="829"/>
      <c r="AT229" s="829"/>
      <c r="AU229" s="737"/>
      <c r="AV229" s="829"/>
      <c r="AW229" s="829"/>
      <c r="AX229" s="737"/>
      <c r="AY229" s="829"/>
      <c r="AZ229" s="829"/>
      <c r="BA229" s="737"/>
      <c r="BB229" s="1309"/>
      <c r="BC229" s="1309"/>
      <c r="BD229" s="737"/>
      <c r="BE229" s="1309"/>
      <c r="BF229" s="1309"/>
      <c r="BG229" s="737"/>
      <c r="BH229" s="1309"/>
      <c r="BI229" s="1309"/>
      <c r="BJ229" s="737"/>
      <c r="BK229" s="1309"/>
      <c r="BL229" s="1309"/>
      <c r="BM229" s="737"/>
      <c r="BN229" s="1309"/>
      <c r="BO229" s="1309"/>
      <c r="BP229" s="737"/>
      <c r="BQ229" s="829"/>
      <c r="BR229" s="829"/>
      <c r="BS229" s="737"/>
      <c r="BT229" s="829"/>
      <c r="BU229" s="829"/>
      <c r="BV229" s="737"/>
      <c r="BW229" s="829"/>
      <c r="BX229" s="829"/>
      <c r="BY229" s="737"/>
      <c r="BZ229" s="829"/>
      <c r="CA229" s="829"/>
      <c r="CB229" s="737"/>
      <c r="CC229" s="829"/>
      <c r="CD229" s="829"/>
      <c r="CE229" s="737"/>
      <c r="CF229" s="1309"/>
      <c r="CG229" s="1309"/>
      <c r="CH229" s="737"/>
      <c r="CI229" s="1309"/>
      <c r="CJ229" s="1309"/>
      <c r="CK229" s="737"/>
      <c r="CL229" s="1309"/>
      <c r="CM229" s="1309"/>
      <c r="CN229" s="737"/>
      <c r="CO229" s="1309"/>
      <c r="CP229" s="1309"/>
      <c r="CQ229" s="737"/>
      <c r="CR229" s="1309"/>
      <c r="CS229" s="1309"/>
      <c r="CT229" s="1290"/>
      <c r="CW229" s="970" t="s">
        <v>863</v>
      </c>
      <c r="CX229" s="975" t="s">
        <v>821</v>
      </c>
      <c r="CY229" s="979" t="str" cm="1">
        <f t="array" ref="CY229">AE229</f>
        <v>Уголь длиннопламенный</v>
      </c>
      <c r="CZ229" s="979" t="str" cm="1">
        <f t="array" ref="CZ229">AF229</f>
        <v/>
      </c>
      <c r="DA229" s="976"/>
      <c r="DB229" s="976"/>
    </row>
    <row r="230" spans="1:106" s="1229" customFormat="1" ht="16.5" customHeight="1">
      <c r="E230" s="676">
        <v>17.100000000000001</v>
      </c>
      <c r="F230" s="779" t="str" cm="1">
        <f t="array" aca="1" ref="F230" ca="1">OFFSET(G230,-1,-1)</f>
        <v>1</v>
      </c>
      <c r="L230" s="779" t="b" cm="1">
        <f t="array" aca="1" ref="L230" ca="1">OFFSET(M230,-1,-1)</f>
        <v>0</v>
      </c>
      <c r="S230" s="110" t="b" cm="1">
        <f t="array" aca="1" ref="S230" ca="1">OFFSET(T230,-1,-1)</f>
        <v>1</v>
      </c>
      <c r="T230" s="110" t="b">
        <f>AD230&lt;&gt;"30.0"</f>
        <v>1</v>
      </c>
      <c r="U230" s="698" t="b">
        <f t="shared" ca="1" si="198"/>
        <v>1</v>
      </c>
      <c r="X230" s="110" t="str">
        <f>'Топливо 4.4'!$AE$225&amp;'Топливо 4.4'!$AF$225</f>
        <v>Уголь бурый</v>
      </c>
      <c r="Y230" s="1722"/>
      <c r="Z230" s="1722"/>
      <c r="AB230" s="1793"/>
      <c r="AD230" s="111" t="s">
        <v>956</v>
      </c>
      <c r="AE230" s="821" t="str" cm="1">
        <f t="array" ref="AE230">IF(ISBLANK('Топливо 4.4'!$AE$225),"",'Топливо 4.4'!$AE$225)</f>
        <v>Уголь бурый</v>
      </c>
      <c r="AF230" s="524" t="str" cm="1">
        <f t="array" ref="AF230">IF(ISBLANK('Топливо 4.4'!$AF$225),"",'Топливо 4.4'!$AF$225)</f>
        <v/>
      </c>
      <c r="AG230" s="733" t="s">
        <v>533</v>
      </c>
      <c r="AH230" s="1306"/>
      <c r="AI230" s="1309"/>
      <c r="AJ230" s="1309"/>
      <c r="AK230" s="1309"/>
      <c r="AL230" s="737"/>
      <c r="AM230" s="1309"/>
      <c r="AN230" s="1309"/>
      <c r="AO230" s="737"/>
      <c r="AP230" s="829"/>
      <c r="AQ230" s="829"/>
      <c r="AR230" s="737"/>
      <c r="AS230" s="829"/>
      <c r="AT230" s="829"/>
      <c r="AU230" s="737"/>
      <c r="AV230" s="829"/>
      <c r="AW230" s="829"/>
      <c r="AX230" s="737"/>
      <c r="AY230" s="829"/>
      <c r="AZ230" s="829"/>
      <c r="BA230" s="737"/>
      <c r="BB230" s="1309"/>
      <c r="BC230" s="1309"/>
      <c r="BD230" s="737"/>
      <c r="BE230" s="1309"/>
      <c r="BF230" s="1309"/>
      <c r="BG230" s="737"/>
      <c r="BH230" s="1309"/>
      <c r="BI230" s="1309"/>
      <c r="BJ230" s="737"/>
      <c r="BK230" s="1309"/>
      <c r="BL230" s="1309"/>
      <c r="BM230" s="737"/>
      <c r="BN230" s="1309"/>
      <c r="BO230" s="1309"/>
      <c r="BP230" s="737"/>
      <c r="BQ230" s="829"/>
      <c r="BR230" s="829"/>
      <c r="BS230" s="737"/>
      <c r="BT230" s="829"/>
      <c r="BU230" s="829"/>
      <c r="BV230" s="737"/>
      <c r="BW230" s="829"/>
      <c r="BX230" s="829"/>
      <c r="BY230" s="737"/>
      <c r="BZ230" s="829"/>
      <c r="CA230" s="829"/>
      <c r="CB230" s="737"/>
      <c r="CC230" s="829"/>
      <c r="CD230" s="829"/>
      <c r="CE230" s="737"/>
      <c r="CF230" s="1309"/>
      <c r="CG230" s="1309"/>
      <c r="CH230" s="737"/>
      <c r="CI230" s="1309"/>
      <c r="CJ230" s="1309"/>
      <c r="CK230" s="737"/>
      <c r="CL230" s="1309"/>
      <c r="CM230" s="1309"/>
      <c r="CN230" s="737"/>
      <c r="CO230" s="1309"/>
      <c r="CP230" s="1309"/>
      <c r="CQ230" s="737"/>
      <c r="CR230" s="1309"/>
      <c r="CS230" s="1309"/>
      <c r="CT230" s="1290"/>
      <c r="CW230" s="970" t="s">
        <v>863</v>
      </c>
      <c r="CX230" s="975" t="s">
        <v>821</v>
      </c>
      <c r="CY230" s="979" t="str" cm="1">
        <f t="array" ref="CY230">AE230</f>
        <v>Уголь бурый</v>
      </c>
      <c r="CZ230" s="979" t="str" cm="1">
        <f t="array" ref="CZ230">AF230</f>
        <v/>
      </c>
      <c r="DA230" s="976"/>
      <c r="DB230" s="976"/>
    </row>
    <row r="231" spans="1:106" s="1229" customFormat="1" ht="15" hidden="1" customHeight="1">
      <c r="A231" s="1155"/>
      <c r="B231" s="783"/>
      <c r="C231" s="1155"/>
      <c r="D231" s="1155"/>
      <c r="E231" s="676">
        <v>0</v>
      </c>
      <c r="F231" s="779" t="str" cm="1">
        <f t="array" aca="1" ref="F231" ca="1">OFFSET(G231,-1,-1)</f>
        <v>1</v>
      </c>
      <c r="G231" s="814"/>
      <c r="H231" s="814"/>
      <c r="I231" s="814"/>
      <c r="J231" s="814"/>
      <c r="K231" s="814"/>
      <c r="L231" s="779" t="b" cm="1">
        <f t="array" aca="1" ref="L231" ca="1">OFFSET(M231,-1,-1)</f>
        <v>0</v>
      </c>
      <c r="M231" s="814"/>
      <c r="N231" s="814"/>
      <c r="O231" s="814"/>
      <c r="P231" s="814"/>
      <c r="Q231" s="814"/>
      <c r="R231" s="1155"/>
      <c r="S231" s="110" t="b" cm="1">
        <f t="array" aca="1" ref="S231" ca="1">OFFSET(T231,-1,-1)</f>
        <v>1</v>
      </c>
      <c r="T231" s="1155"/>
      <c r="U231" s="698" t="b">
        <f t="shared" ca="1" si="198"/>
        <v>1</v>
      </c>
      <c r="V231" s="1155"/>
      <c r="W231" s="1155"/>
      <c r="X231" s="820" t="str">
        <f>"{                  
         funcDyn: 'msg1',
         blok: 'blok_2',
         wsCross: 'Топливо 4.4',
         linkFormula: 'AE-AE#AF-AF',
         levelDyn: "&amp;Y139&amp;"
}"</f>
        <v>{                  
         funcDyn: 'msg1',
         blok: 'blok_2',
         wsCross: 'Топливо 4.4',
         linkFormula: 'AE-AE#AF-AF',
         levelDyn: 1
}</v>
      </c>
      <c r="Y231" s="1687"/>
      <c r="Z231" s="1687"/>
      <c r="AA231" s="699"/>
      <c r="AB231" s="1793"/>
      <c r="AD231" s="823"/>
      <c r="AE231" s="822" t="s">
        <v>238</v>
      </c>
      <c r="AF231" s="745"/>
      <c r="AG231" s="733"/>
      <c r="AH231" s="746"/>
      <c r="AI231" s="50"/>
      <c r="AJ231" s="50"/>
      <c r="AK231" s="50"/>
      <c r="AL231" s="737"/>
      <c r="AM231" s="50"/>
      <c r="AN231" s="50"/>
      <c r="AO231" s="737"/>
      <c r="AP231" s="50"/>
      <c r="AQ231" s="50"/>
      <c r="AR231" s="737"/>
      <c r="AS231" s="50"/>
      <c r="AT231" s="50"/>
      <c r="AU231" s="737"/>
      <c r="AV231" s="50"/>
      <c r="AW231" s="50"/>
      <c r="AX231" s="737"/>
      <c r="AY231" s="50"/>
      <c r="AZ231" s="50"/>
      <c r="BA231" s="737"/>
      <c r="BB231" s="50"/>
      <c r="BC231" s="50"/>
      <c r="BD231" s="737"/>
      <c r="BE231" s="50"/>
      <c r="BF231" s="50"/>
      <c r="BG231" s="737"/>
      <c r="BH231" s="50"/>
      <c r="BI231" s="50"/>
      <c r="BJ231" s="737"/>
      <c r="BK231" s="50"/>
      <c r="BL231" s="50"/>
      <c r="BM231" s="737"/>
      <c r="BN231" s="50"/>
      <c r="BO231" s="50"/>
      <c r="BP231" s="737"/>
      <c r="BQ231" s="50"/>
      <c r="BR231" s="50"/>
      <c r="BS231" s="737"/>
      <c r="BT231" s="50"/>
      <c r="BU231" s="50"/>
      <c r="BV231" s="737"/>
      <c r="BW231" s="50"/>
      <c r="BX231" s="50"/>
      <c r="BY231" s="737"/>
      <c r="BZ231" s="50"/>
      <c r="CA231" s="50"/>
      <c r="CB231" s="737"/>
      <c r="CC231" s="50"/>
      <c r="CD231" s="50"/>
      <c r="CE231" s="737"/>
      <c r="CF231" s="50"/>
      <c r="CG231" s="50"/>
      <c r="CH231" s="737"/>
      <c r="CI231" s="50"/>
      <c r="CJ231" s="50"/>
      <c r="CK231" s="737"/>
      <c r="CL231" s="50"/>
      <c r="CM231" s="50"/>
      <c r="CN231" s="737"/>
      <c r="CO231" s="50"/>
      <c r="CP231" s="50"/>
      <c r="CQ231" s="737"/>
      <c r="CR231" s="50"/>
      <c r="CS231" s="50"/>
      <c r="CT231" s="46"/>
      <c r="CW231" s="970" t="str">
        <f>IF(AND(ISNUMBER(VALUE(TRIM(SUBSTITUTE(AD231,".","")))),TRIM(SUBSTITUTE(AD231,".",""))&lt;&gt;""),"P"&amp;SUBSTITUTE(AD231,".",""),"")</f>
        <v/>
      </c>
      <c r="CX231" s="975"/>
      <c r="CY231" s="975"/>
      <c r="CZ231" s="975"/>
      <c r="DA231" s="976"/>
      <c r="DB231" s="976"/>
    </row>
    <row r="232" spans="1:106" s="1229" customFormat="1" ht="16.5" customHeight="1">
      <c r="A232" s="1155"/>
      <c r="B232" s="783"/>
      <c r="C232" s="1155"/>
      <c r="D232" s="1155"/>
      <c r="E232" s="676">
        <v>17.100000000000001</v>
      </c>
      <c r="F232" s="779" t="str" cm="1">
        <f t="array" aca="1" ref="F232" ca="1">OFFSET(G232,-1,-1)</f>
        <v>1</v>
      </c>
      <c r="G232" s="814"/>
      <c r="H232" s="814"/>
      <c r="I232" s="814"/>
      <c r="J232" s="814"/>
      <c r="K232" s="814"/>
      <c r="L232" s="779" t="b" cm="1">
        <f t="array" aca="1" ref="L232" ca="1">OFFSET(M232,-1,-1)</f>
        <v>0</v>
      </c>
      <c r="M232" s="814"/>
      <c r="N232" s="814"/>
      <c r="O232" s="814"/>
      <c r="P232" s="814"/>
      <c r="Q232" s="814"/>
      <c r="R232" s="1155"/>
      <c r="S232" s="110" t="b" cm="1">
        <f t="array" aca="1" ref="S232" ca="1">OFFSET(T232,-1,-1)</f>
        <v>1</v>
      </c>
      <c r="T232" s="1155"/>
      <c r="U232" s="698" t="b">
        <f t="shared" ca="1" si="198"/>
        <v>1</v>
      </c>
      <c r="V232" s="1155"/>
      <c r="W232" s="1155"/>
      <c r="X232" s="1155"/>
      <c r="Y232" s="1687"/>
      <c r="Z232" s="1687"/>
      <c r="AA232" s="699"/>
      <c r="AB232" s="1793"/>
      <c r="AD232" s="124" t="s">
        <v>865</v>
      </c>
      <c r="AE232" s="1754" t="s">
        <v>866</v>
      </c>
      <c r="AF232" s="1734"/>
      <c r="AG232" s="849"/>
      <c r="AH232" s="735"/>
      <c r="AI232" s="737"/>
      <c r="AJ232" s="737"/>
      <c r="AK232" s="737"/>
      <c r="AL232" s="737"/>
      <c r="AM232" s="737"/>
      <c r="AN232" s="737"/>
      <c r="AO232" s="737"/>
      <c r="AP232" s="737"/>
      <c r="AQ232" s="737"/>
      <c r="AR232" s="737"/>
      <c r="AS232" s="737"/>
      <c r="AT232" s="737"/>
      <c r="AU232" s="737"/>
      <c r="AV232" s="737"/>
      <c r="AW232" s="737"/>
      <c r="AX232" s="737"/>
      <c r="AY232" s="737"/>
      <c r="AZ232" s="737"/>
      <c r="BA232" s="737"/>
      <c r="BB232" s="737"/>
      <c r="BC232" s="737"/>
      <c r="BD232" s="737"/>
      <c r="BE232" s="737"/>
      <c r="BF232" s="737"/>
      <c r="BG232" s="737"/>
      <c r="BH232" s="737"/>
      <c r="BI232" s="737"/>
      <c r="BJ232" s="737"/>
      <c r="BK232" s="737"/>
      <c r="BL232" s="737"/>
      <c r="BM232" s="737"/>
      <c r="BN232" s="737"/>
      <c r="BO232" s="737"/>
      <c r="BP232" s="737"/>
      <c r="BQ232" s="737"/>
      <c r="BR232" s="737"/>
      <c r="BS232" s="737"/>
      <c r="BT232" s="737"/>
      <c r="BU232" s="737"/>
      <c r="BV232" s="737"/>
      <c r="BW232" s="737"/>
      <c r="BX232" s="737"/>
      <c r="BY232" s="737"/>
      <c r="BZ232" s="737"/>
      <c r="CA232" s="737"/>
      <c r="CB232" s="737"/>
      <c r="CC232" s="737"/>
      <c r="CD232" s="737"/>
      <c r="CE232" s="737"/>
      <c r="CF232" s="737"/>
      <c r="CG232" s="737"/>
      <c r="CH232" s="737"/>
      <c r="CI232" s="737"/>
      <c r="CJ232" s="737"/>
      <c r="CK232" s="737"/>
      <c r="CL232" s="737"/>
      <c r="CM232" s="737"/>
      <c r="CN232" s="737"/>
      <c r="CO232" s="737"/>
      <c r="CP232" s="737"/>
      <c r="CQ232" s="737"/>
      <c r="CR232" s="737"/>
      <c r="CS232" s="737"/>
      <c r="CT232" s="1290"/>
      <c r="CW232" s="970" t="s">
        <v>867</v>
      </c>
      <c r="CX232" s="975"/>
      <c r="CY232" s="975"/>
      <c r="CZ232" s="975"/>
      <c r="DA232" s="976"/>
      <c r="DB232" s="976"/>
    </row>
    <row r="233" spans="1:106" s="1229" customFormat="1" ht="16.5" hidden="1" customHeight="1">
      <c r="E233" s="676">
        <v>17.100000000000001</v>
      </c>
      <c r="F233" s="779" t="str" cm="1">
        <f t="array" aca="1" ref="F233" ca="1">OFFSET(G233,-1,-1)</f>
        <v>1</v>
      </c>
      <c r="L233" s="779" t="b" cm="1">
        <f t="array" aca="1" ref="L233" ca="1">OFFSET(M233,-1,-1)</f>
        <v>0</v>
      </c>
      <c r="S233" s="110" t="b" cm="1">
        <f t="array" aca="1" ref="S233" ca="1">OFFSET(T233,-1,-1)</f>
        <v>1</v>
      </c>
      <c r="T233" s="110" t="b">
        <f>AD233&lt;&gt;"31.0"</f>
        <v>0</v>
      </c>
      <c r="U233" s="698" t="b">
        <f t="shared" ca="1" si="198"/>
        <v>0</v>
      </c>
      <c r="X233" s="110" t="s">
        <v>236</v>
      </c>
      <c r="Y233" s="1722"/>
      <c r="Z233" s="1722"/>
      <c r="AB233" s="1793"/>
      <c r="AD233" s="111" t="s">
        <v>868</v>
      </c>
      <c r="AE233" s="821"/>
      <c r="AF233" s="524"/>
      <c r="AG233" s="894" t="str">
        <f>"руб./"&amp;IFERROR(INDEX(fuel_ed_izm_list,MATCH(AE233,fuel_list,0)),"")</f>
        <v>руб./</v>
      </c>
      <c r="AH233" s="41">
        <f t="shared" ref="AH233:AL235" si="222">IFERROR(AH239/AH181,0)*1000</f>
        <v>0</v>
      </c>
      <c r="AI233" s="41">
        <f t="shared" si="222"/>
        <v>0</v>
      </c>
      <c r="AJ233" s="41">
        <f t="shared" si="222"/>
        <v>0</v>
      </c>
      <c r="AK233" s="41">
        <f t="shared" si="222"/>
        <v>0</v>
      </c>
      <c r="AL233" s="736">
        <f t="shared" ca="1" si="222"/>
        <v>0</v>
      </c>
      <c r="AM233" s="42"/>
      <c r="AN233" s="42"/>
      <c r="AO233" s="736">
        <f ca="1">IFERROR(AO239/AO181,0)*1000</f>
        <v>0</v>
      </c>
      <c r="AP233" s="826"/>
      <c r="AQ233" s="826"/>
      <c r="AR233" s="736">
        <f ca="1">IFERROR(AR239/AR181,0)*1000</f>
        <v>0</v>
      </c>
      <c r="AS233" s="826"/>
      <c r="AT233" s="826"/>
      <c r="AU233" s="736">
        <f ca="1">IFERROR(AU239/AU181,0)*1000</f>
        <v>0</v>
      </c>
      <c r="AV233" s="826"/>
      <c r="AW233" s="826"/>
      <c r="AX233" s="736">
        <f ca="1">IFERROR(AX239/AX181,0)*1000</f>
        <v>0</v>
      </c>
      <c r="AY233" s="826"/>
      <c r="AZ233" s="826"/>
      <c r="BA233" s="736">
        <f ca="1">IFERROR(BA239/BA181,0)*1000</f>
        <v>0</v>
      </c>
      <c r="BB233" s="42"/>
      <c r="BC233" s="42"/>
      <c r="BD233" s="736">
        <f ca="1">IFERROR(BD239/BD181,0)*1000</f>
        <v>0</v>
      </c>
      <c r="BE233" s="42"/>
      <c r="BF233" s="42"/>
      <c r="BG233" s="736">
        <f ca="1">IFERROR(BG239/BG181,0)*1000</f>
        <v>0</v>
      </c>
      <c r="BH233" s="42"/>
      <c r="BI233" s="42"/>
      <c r="BJ233" s="736">
        <f ca="1">IFERROR(BJ239/BJ181,0)*1000</f>
        <v>0</v>
      </c>
      <c r="BK233" s="42"/>
      <c r="BL233" s="42"/>
      <c r="BM233" s="736">
        <f ca="1">IFERROR(BM239/BM181,0)*1000</f>
        <v>0</v>
      </c>
      <c r="BN233" s="42"/>
      <c r="BO233" s="42"/>
      <c r="BP233" s="736">
        <f ca="1">IFERROR(BP239/BP181,0)*1000</f>
        <v>0</v>
      </c>
      <c r="BQ233" s="826"/>
      <c r="BR233" s="826"/>
      <c r="BS233" s="736">
        <f ca="1">IFERROR(BS239/BS181,0)*1000</f>
        <v>0</v>
      </c>
      <c r="BT233" s="826"/>
      <c r="BU233" s="826"/>
      <c r="BV233" s="736">
        <f ca="1">IFERROR(BV239/BV181,0)*1000</f>
        <v>0</v>
      </c>
      <c r="BW233" s="826"/>
      <c r="BX233" s="826"/>
      <c r="BY233" s="736">
        <f ca="1">IFERROR(BY239/BY181,0)*1000</f>
        <v>0</v>
      </c>
      <c r="BZ233" s="826"/>
      <c r="CA233" s="826"/>
      <c r="CB233" s="736">
        <f ca="1">IFERROR(CB239/CB181,0)*1000</f>
        <v>0</v>
      </c>
      <c r="CC233" s="826"/>
      <c r="CD233" s="826"/>
      <c r="CE233" s="736">
        <f ca="1">IFERROR(CE239/CE181,0)*1000</f>
        <v>0</v>
      </c>
      <c r="CF233" s="42"/>
      <c r="CG233" s="42"/>
      <c r="CH233" s="736">
        <f ca="1">IFERROR(CH239/CH181,0)*1000</f>
        <v>0</v>
      </c>
      <c r="CI233" s="42"/>
      <c r="CJ233" s="42"/>
      <c r="CK233" s="736">
        <f ca="1">IFERROR(CK239/CK181,0)*1000</f>
        <v>0</v>
      </c>
      <c r="CL233" s="42"/>
      <c r="CM233" s="42"/>
      <c r="CN233" s="736">
        <f ca="1">IFERROR(CN239/CN181,0)*1000</f>
        <v>0</v>
      </c>
      <c r="CO233" s="42"/>
      <c r="CP233" s="42"/>
      <c r="CQ233" s="736">
        <f ca="1">IFERROR(CQ239/CQ181,0)*1000</f>
        <v>0</v>
      </c>
      <c r="CR233" s="42"/>
      <c r="CS233" s="42"/>
      <c r="CT233" s="28"/>
      <c r="CW233" s="970" t="s">
        <v>867</v>
      </c>
      <c r="CX233" s="975" t="s">
        <v>821</v>
      </c>
      <c r="CY233" s="979" cm="1">
        <f t="array" ref="CY233">AE233</f>
        <v>0</v>
      </c>
      <c r="CZ233" s="979" cm="1">
        <f t="array" ref="CZ233">AF233</f>
        <v>0</v>
      </c>
      <c r="DA233" s="976"/>
      <c r="DB233" s="976"/>
    </row>
    <row r="234" spans="1:106" s="1229" customFormat="1" ht="16.5" customHeight="1">
      <c r="E234" s="676">
        <v>17.100000000000001</v>
      </c>
      <c r="F234" s="779" t="str" cm="1">
        <f t="array" aca="1" ref="F234" ca="1">OFFSET(G234,-1,-1)</f>
        <v>1</v>
      </c>
      <c r="L234" s="779" t="b" cm="1">
        <f t="array" aca="1" ref="L234" ca="1">OFFSET(M234,-1,-1)</f>
        <v>0</v>
      </c>
      <c r="S234" s="110" t="b" cm="1">
        <f t="array" aca="1" ref="S234" ca="1">OFFSET(T234,-1,-1)</f>
        <v>1</v>
      </c>
      <c r="T234" s="110" t="b">
        <f>AD234&lt;&gt;"31.0"</f>
        <v>1</v>
      </c>
      <c r="U234" s="698" t="b">
        <f t="shared" ca="1" si="198"/>
        <v>1</v>
      </c>
      <c r="X234" s="110" t="str">
        <f>'Топливо 4.4'!$AE$229&amp;'Топливо 4.4'!$AF$229</f>
        <v>Уголь длиннопламенный</v>
      </c>
      <c r="Y234" s="1722"/>
      <c r="Z234" s="1722"/>
      <c r="AB234" s="1793"/>
      <c r="AD234" s="111" t="s">
        <v>957</v>
      </c>
      <c r="AE234" s="821" t="str" cm="1">
        <f t="array" ref="AE234">IF(ISBLANK('Топливо 4.4'!$AE$229),"",'Топливо 4.4'!$AE$229)</f>
        <v>Уголь длиннопламенный</v>
      </c>
      <c r="AF234" s="524" t="str" cm="1">
        <f t="array" ref="AF234">IF(ISBLANK('Топливо 4.4'!$AF$229),"",'Топливо 4.4'!$AF$229)</f>
        <v/>
      </c>
      <c r="AG234" s="894" t="str">
        <f>"руб./"&amp;IFERROR(INDEX(fuel_ed_izm_list,MATCH(AE234,fuel_list,0)),"")</f>
        <v>руб./тнт</v>
      </c>
      <c r="AH234" s="1303">
        <f t="shared" si="222"/>
        <v>0</v>
      </c>
      <c r="AI234" s="1303">
        <f t="shared" si="222"/>
        <v>0</v>
      </c>
      <c r="AJ234" s="1303">
        <f t="shared" si="222"/>
        <v>0</v>
      </c>
      <c r="AK234" s="1303">
        <f t="shared" si="222"/>
        <v>27.570106435042746</v>
      </c>
      <c r="AL234" s="736">
        <f t="shared" ca="1" si="222"/>
        <v>0</v>
      </c>
      <c r="AM234" s="1302"/>
      <c r="AN234" s="1302"/>
      <c r="AO234" s="736">
        <f ca="1">IFERROR(AO240/AO182,0)*1000</f>
        <v>0</v>
      </c>
      <c r="AP234" s="826"/>
      <c r="AQ234" s="826"/>
      <c r="AR234" s="736">
        <f ca="1">IFERROR(AR240/AR182,0)*1000</f>
        <v>0</v>
      </c>
      <c r="AS234" s="826"/>
      <c r="AT234" s="826"/>
      <c r="AU234" s="736">
        <f ca="1">IFERROR(AU240/AU182,0)*1000</f>
        <v>0</v>
      </c>
      <c r="AV234" s="826"/>
      <c r="AW234" s="826"/>
      <c r="AX234" s="736">
        <f ca="1">IFERROR(AX240/AX182,0)*1000</f>
        <v>0</v>
      </c>
      <c r="AY234" s="826"/>
      <c r="AZ234" s="826"/>
      <c r="BA234" s="736">
        <f ca="1">IFERROR(BA240/BA182,0)*1000</f>
        <v>0</v>
      </c>
      <c r="BB234" s="1302"/>
      <c r="BC234" s="1302"/>
      <c r="BD234" s="736">
        <f ca="1">IFERROR(BD240/BD182,0)*1000</f>
        <v>0</v>
      </c>
      <c r="BE234" s="1302"/>
      <c r="BF234" s="1302"/>
      <c r="BG234" s="736">
        <f ca="1">IFERROR(BG240/BG182,0)*1000</f>
        <v>0</v>
      </c>
      <c r="BH234" s="1302"/>
      <c r="BI234" s="1302"/>
      <c r="BJ234" s="736">
        <f ca="1">IFERROR(BJ240/BJ182,0)*1000</f>
        <v>0</v>
      </c>
      <c r="BK234" s="1302"/>
      <c r="BL234" s="1302"/>
      <c r="BM234" s="736">
        <f ca="1">IFERROR(BM240/BM182,0)*1000</f>
        <v>0</v>
      </c>
      <c r="BN234" s="1302"/>
      <c r="BO234" s="1302"/>
      <c r="BP234" s="736">
        <f ca="1">IFERROR(BP240/BP182,0)*1000</f>
        <v>421.86219999999992</v>
      </c>
      <c r="BQ234" s="826">
        <v>421.86219999999997</v>
      </c>
      <c r="BR234" s="826">
        <v>421.86219999999997</v>
      </c>
      <c r="BS234" s="736">
        <f ca="1">IFERROR(BS240/BS182,0)*1000</f>
        <v>0</v>
      </c>
      <c r="BT234" s="826"/>
      <c r="BU234" s="826"/>
      <c r="BV234" s="736">
        <f ca="1">IFERROR(BV240/BV182,0)*1000</f>
        <v>0</v>
      </c>
      <c r="BW234" s="826"/>
      <c r="BX234" s="826"/>
      <c r="BY234" s="736">
        <f ca="1">IFERROR(BY240/BY182,0)*1000</f>
        <v>0</v>
      </c>
      <c r="BZ234" s="826"/>
      <c r="CA234" s="826"/>
      <c r="CB234" s="736">
        <f ca="1">IFERROR(CB240/CB182,0)*1000</f>
        <v>0</v>
      </c>
      <c r="CC234" s="826"/>
      <c r="CD234" s="826"/>
      <c r="CE234" s="736">
        <f ca="1">IFERROR(CE240/CE182,0)*1000</f>
        <v>0</v>
      </c>
      <c r="CF234" s="1302"/>
      <c r="CG234" s="1302"/>
      <c r="CH234" s="736">
        <f ca="1">IFERROR(CH240/CH182,0)*1000</f>
        <v>0</v>
      </c>
      <c r="CI234" s="1302"/>
      <c r="CJ234" s="1302"/>
      <c r="CK234" s="736">
        <f ca="1">IFERROR(CK240/CK182,0)*1000</f>
        <v>0</v>
      </c>
      <c r="CL234" s="1302"/>
      <c r="CM234" s="1302"/>
      <c r="CN234" s="736">
        <f ca="1">IFERROR(CN240/CN182,0)*1000</f>
        <v>0</v>
      </c>
      <c r="CO234" s="1302"/>
      <c r="CP234" s="1302"/>
      <c r="CQ234" s="736">
        <f ca="1">IFERROR(CQ240/CQ182,0)*1000</f>
        <v>0</v>
      </c>
      <c r="CR234" s="1302"/>
      <c r="CS234" s="1302"/>
      <c r="CT234" s="1290"/>
      <c r="CW234" s="970" t="s">
        <v>867</v>
      </c>
      <c r="CX234" s="975" t="s">
        <v>821</v>
      </c>
      <c r="CY234" s="979" t="str" cm="1">
        <f t="array" ref="CY234">AE234</f>
        <v>Уголь длиннопламенный</v>
      </c>
      <c r="CZ234" s="979" t="str" cm="1">
        <f t="array" ref="CZ234">AF234</f>
        <v/>
      </c>
      <c r="DA234" s="976"/>
      <c r="DB234" s="976"/>
    </row>
    <row r="235" spans="1:106" s="1229" customFormat="1" ht="16.5" customHeight="1">
      <c r="E235" s="676">
        <v>17.100000000000001</v>
      </c>
      <c r="F235" s="779" t="str" cm="1">
        <f t="array" aca="1" ref="F235" ca="1">OFFSET(G235,-1,-1)</f>
        <v>1</v>
      </c>
      <c r="L235" s="779" t="b" cm="1">
        <f t="array" aca="1" ref="L235" ca="1">OFFSET(M235,-1,-1)</f>
        <v>0</v>
      </c>
      <c r="S235" s="110" t="b" cm="1">
        <f t="array" aca="1" ref="S235" ca="1">OFFSET(T235,-1,-1)</f>
        <v>1</v>
      </c>
      <c r="T235" s="110" t="b">
        <f>AD235&lt;&gt;"31.0"</f>
        <v>1</v>
      </c>
      <c r="U235" s="698" t="b">
        <f t="shared" ca="1" si="198"/>
        <v>1</v>
      </c>
      <c r="X235" s="110" t="str">
        <f>'Топливо 4.4'!$AE$230&amp;'Топливо 4.4'!$AF$230</f>
        <v>Уголь бурый</v>
      </c>
      <c r="Y235" s="1722"/>
      <c r="Z235" s="1722"/>
      <c r="AB235" s="1793"/>
      <c r="AD235" s="111" t="s">
        <v>958</v>
      </c>
      <c r="AE235" s="821" t="str" cm="1">
        <f t="array" ref="AE235">IF(ISBLANK('Топливо 4.4'!$AE$230),"",'Топливо 4.4'!$AE$230)</f>
        <v>Уголь бурый</v>
      </c>
      <c r="AF235" s="524" t="str" cm="1">
        <f t="array" ref="AF235">IF(ISBLANK('Топливо 4.4'!$AF$230),"",'Топливо 4.4'!$AF$230)</f>
        <v/>
      </c>
      <c r="AG235" s="894" t="str">
        <f>"руб./"&amp;IFERROR(INDEX(fuel_ed_izm_list,MATCH(AE235,fuel_list,0)),"")</f>
        <v>руб./тнт</v>
      </c>
      <c r="AH235" s="1303">
        <f t="shared" si="222"/>
        <v>0</v>
      </c>
      <c r="AI235" s="1303">
        <f t="shared" si="222"/>
        <v>0</v>
      </c>
      <c r="AJ235" s="1303">
        <f t="shared" si="222"/>
        <v>0</v>
      </c>
      <c r="AK235" s="1303">
        <f t="shared" si="222"/>
        <v>2838.7096765292531</v>
      </c>
      <c r="AL235" s="736">
        <f t="shared" ca="1" si="222"/>
        <v>0</v>
      </c>
      <c r="AM235" s="1302"/>
      <c r="AN235" s="1302"/>
      <c r="AO235" s="736">
        <f ca="1">IFERROR(AO241/AO183,0)*1000</f>
        <v>0</v>
      </c>
      <c r="AP235" s="826"/>
      <c r="AQ235" s="826"/>
      <c r="AR235" s="736">
        <f ca="1">IFERROR(AR241/AR183,0)*1000</f>
        <v>0</v>
      </c>
      <c r="AS235" s="826"/>
      <c r="AT235" s="826"/>
      <c r="AU235" s="736">
        <f ca="1">IFERROR(AU241/AU183,0)*1000</f>
        <v>0</v>
      </c>
      <c r="AV235" s="826"/>
      <c r="AW235" s="826"/>
      <c r="AX235" s="736">
        <f ca="1">IFERROR(AX241/AX183,0)*1000</f>
        <v>0</v>
      </c>
      <c r="AY235" s="826"/>
      <c r="AZ235" s="826"/>
      <c r="BA235" s="736">
        <f ca="1">IFERROR(BA241/BA183,0)*1000</f>
        <v>0</v>
      </c>
      <c r="BB235" s="1302"/>
      <c r="BC235" s="1302"/>
      <c r="BD235" s="736">
        <f ca="1">IFERROR(BD241/BD183,0)*1000</f>
        <v>0</v>
      </c>
      <c r="BE235" s="1302"/>
      <c r="BF235" s="1302"/>
      <c r="BG235" s="736">
        <f ca="1">IFERROR(BG241/BG183,0)*1000</f>
        <v>0</v>
      </c>
      <c r="BH235" s="1302"/>
      <c r="BI235" s="1302"/>
      <c r="BJ235" s="736">
        <f ca="1">IFERROR(BJ241/BJ183,0)*1000</f>
        <v>0</v>
      </c>
      <c r="BK235" s="1302"/>
      <c r="BL235" s="1302"/>
      <c r="BM235" s="736">
        <f ca="1">IFERROR(BM241/BM183,0)*1000</f>
        <v>0</v>
      </c>
      <c r="BN235" s="1302"/>
      <c r="BO235" s="1302"/>
      <c r="BP235" s="736">
        <f ca="1">IFERROR(BP241/BP183,0)*1000</f>
        <v>0</v>
      </c>
      <c r="BQ235" s="826"/>
      <c r="BR235" s="826"/>
      <c r="BS235" s="736">
        <f ca="1">IFERROR(BS241/BS183,0)*1000</f>
        <v>0</v>
      </c>
      <c r="BT235" s="826"/>
      <c r="BU235" s="826"/>
      <c r="BV235" s="736">
        <f ca="1">IFERROR(BV241/BV183,0)*1000</f>
        <v>0</v>
      </c>
      <c r="BW235" s="826"/>
      <c r="BX235" s="826"/>
      <c r="BY235" s="736">
        <f ca="1">IFERROR(BY241/BY183,0)*1000</f>
        <v>0</v>
      </c>
      <c r="BZ235" s="826"/>
      <c r="CA235" s="826"/>
      <c r="CB235" s="736">
        <f ca="1">IFERROR(CB241/CB183,0)*1000</f>
        <v>0</v>
      </c>
      <c r="CC235" s="826"/>
      <c r="CD235" s="826"/>
      <c r="CE235" s="736">
        <f ca="1">IFERROR(CE241/CE183,0)*1000</f>
        <v>0</v>
      </c>
      <c r="CF235" s="1302"/>
      <c r="CG235" s="1302"/>
      <c r="CH235" s="736">
        <f ca="1">IFERROR(CH241/CH183,0)*1000</f>
        <v>0</v>
      </c>
      <c r="CI235" s="1302"/>
      <c r="CJ235" s="1302"/>
      <c r="CK235" s="736">
        <f ca="1">IFERROR(CK241/CK183,0)*1000</f>
        <v>0</v>
      </c>
      <c r="CL235" s="1302"/>
      <c r="CM235" s="1302"/>
      <c r="CN235" s="736">
        <f ca="1">IFERROR(CN241/CN183,0)*1000</f>
        <v>0</v>
      </c>
      <c r="CO235" s="1302"/>
      <c r="CP235" s="1302"/>
      <c r="CQ235" s="736">
        <f ca="1">IFERROR(CQ241/CQ183,0)*1000</f>
        <v>0</v>
      </c>
      <c r="CR235" s="1302"/>
      <c r="CS235" s="1302"/>
      <c r="CT235" s="1290"/>
      <c r="CW235" s="970" t="s">
        <v>867</v>
      </c>
      <c r="CX235" s="975" t="s">
        <v>821</v>
      </c>
      <c r="CY235" s="979" t="str" cm="1">
        <f t="array" ref="CY235">AE235</f>
        <v>Уголь бурый</v>
      </c>
      <c r="CZ235" s="979" t="str" cm="1">
        <f t="array" ref="CZ235">AF235</f>
        <v/>
      </c>
      <c r="DA235" s="976"/>
      <c r="DB235" s="976"/>
    </row>
    <row r="236" spans="1:106" s="1229" customFormat="1" ht="15" hidden="1" customHeight="1">
      <c r="A236" s="1155"/>
      <c r="B236" s="783"/>
      <c r="C236" s="1155"/>
      <c r="D236" s="1155"/>
      <c r="E236" s="676">
        <v>0</v>
      </c>
      <c r="F236" s="779" t="str" cm="1">
        <f t="array" aca="1" ref="F236" ca="1">OFFSET(G236,-1,-1)</f>
        <v>1</v>
      </c>
      <c r="G236" s="814"/>
      <c r="H236" s="814"/>
      <c r="I236" s="814"/>
      <c r="J236" s="814"/>
      <c r="K236" s="814"/>
      <c r="L236" s="779" t="b" cm="1">
        <f t="array" aca="1" ref="L236" ca="1">OFFSET(M236,-1,-1)</f>
        <v>0</v>
      </c>
      <c r="M236" s="814"/>
      <c r="N236" s="814"/>
      <c r="O236" s="814"/>
      <c r="P236" s="814"/>
      <c r="Q236" s="814"/>
      <c r="R236" s="1155"/>
      <c r="S236" s="110" t="b" cm="1">
        <f t="array" aca="1" ref="S236" ca="1">OFFSET(T236,-1,-1)</f>
        <v>1</v>
      </c>
      <c r="T236" s="1155"/>
      <c r="U236" s="698" t="b">
        <f t="shared" ca="1" si="198"/>
        <v>1</v>
      </c>
      <c r="V236" s="1155"/>
      <c r="W236" s="1155"/>
      <c r="X236" s="820" t="str">
        <f>"{                  
         funcDyn: 'msg1',
         blok: 'blok_2',
         wsCross: 'Топливо 4.4',
         linkFormula: 'AE-AE#AF-AF',
         levelDyn: "&amp;Y139&amp;"
}"</f>
        <v>{                  
         funcDyn: 'msg1',
         blok: 'blok_2',
         wsCross: 'Топливо 4.4',
         linkFormula: 'AE-AE#AF-AF',
         levelDyn: 1
}</v>
      </c>
      <c r="Y236" s="1687"/>
      <c r="Z236" s="1687"/>
      <c r="AA236" s="699"/>
      <c r="AB236" s="1793"/>
      <c r="AD236" s="823"/>
      <c r="AE236" s="822" t="s">
        <v>238</v>
      </c>
      <c r="AF236" s="745"/>
      <c r="AG236" s="733"/>
      <c r="AH236" s="737"/>
      <c r="AI236" s="737"/>
      <c r="AJ236" s="737"/>
      <c r="AK236" s="737"/>
      <c r="AL236" s="737"/>
      <c r="AM236" s="737"/>
      <c r="AN236" s="737"/>
      <c r="AO236" s="737"/>
      <c r="AP236" s="737"/>
      <c r="AQ236" s="737"/>
      <c r="AR236" s="737"/>
      <c r="AS236" s="737"/>
      <c r="AT236" s="737"/>
      <c r="AU236" s="737"/>
      <c r="AV236" s="737"/>
      <c r="AW236" s="737"/>
      <c r="AX236" s="737"/>
      <c r="AY236" s="737"/>
      <c r="AZ236" s="737"/>
      <c r="BA236" s="737"/>
      <c r="BB236" s="737"/>
      <c r="BC236" s="737"/>
      <c r="BD236" s="737"/>
      <c r="BE236" s="737"/>
      <c r="BF236" s="737"/>
      <c r="BG236" s="737"/>
      <c r="BH236" s="737"/>
      <c r="BI236" s="737"/>
      <c r="BJ236" s="737"/>
      <c r="BK236" s="737"/>
      <c r="BL236" s="737"/>
      <c r="BM236" s="737"/>
      <c r="BN236" s="737"/>
      <c r="BO236" s="737"/>
      <c r="BP236" s="737"/>
      <c r="BQ236" s="737"/>
      <c r="BR236" s="737"/>
      <c r="BS236" s="737"/>
      <c r="BT236" s="737"/>
      <c r="BU236" s="737"/>
      <c r="BV236" s="737"/>
      <c r="BW236" s="737"/>
      <c r="BX236" s="737"/>
      <c r="BY236" s="737"/>
      <c r="BZ236" s="737"/>
      <c r="CA236" s="737"/>
      <c r="CB236" s="737"/>
      <c r="CC236" s="737"/>
      <c r="CD236" s="737"/>
      <c r="CE236" s="737"/>
      <c r="CF236" s="737"/>
      <c r="CG236" s="737"/>
      <c r="CH236" s="737"/>
      <c r="CI236" s="737"/>
      <c r="CJ236" s="737"/>
      <c r="CK236" s="737"/>
      <c r="CL236" s="737"/>
      <c r="CM236" s="737"/>
      <c r="CN236" s="737"/>
      <c r="CO236" s="737"/>
      <c r="CP236" s="737"/>
      <c r="CQ236" s="737"/>
      <c r="CR236" s="737"/>
      <c r="CS236" s="737"/>
      <c r="CT236" s="46"/>
      <c r="CW236" s="970" t="str">
        <f>IF(AND(ISNUMBER(VALUE(TRIM(SUBSTITUTE(AD236,".","")))),TRIM(SUBSTITUTE(AD236,".",""))&lt;&gt;""),"P"&amp;SUBSTITUTE(AD236,".",""),"")</f>
        <v/>
      </c>
      <c r="CX236" s="975"/>
      <c r="CY236" s="975"/>
      <c r="CZ236" s="975"/>
      <c r="DA236" s="976"/>
      <c r="DB236" s="976"/>
    </row>
    <row r="237" spans="1:106" s="1229" customFormat="1" ht="16.5" customHeight="1">
      <c r="A237" s="1155"/>
      <c r="B237" s="783"/>
      <c r="C237" s="1155"/>
      <c r="D237" s="1155"/>
      <c r="E237" s="676">
        <v>17.100000000000001</v>
      </c>
      <c r="F237" s="779" t="str" cm="1">
        <f t="array" aca="1" ref="F237" ca="1">OFFSET(G237,-1,-1)</f>
        <v>1</v>
      </c>
      <c r="G237" s="814"/>
      <c r="H237" s="814"/>
      <c r="I237" s="814"/>
      <c r="J237" s="814"/>
      <c r="K237" s="814"/>
      <c r="L237" s="779" t="b" cm="1">
        <f t="array" aca="1" ref="L237" ca="1">OFFSET(M237,-1,-1)</f>
        <v>0</v>
      </c>
      <c r="M237" s="814"/>
      <c r="N237" s="814"/>
      <c r="O237" s="814"/>
      <c r="P237" s="814"/>
      <c r="Q237" s="814"/>
      <c r="R237" s="1155"/>
      <c r="S237" s="110" t="b" cm="1">
        <f t="array" aca="1" ref="S237" ca="1">OFFSET(T237,-1,-1)</f>
        <v>1</v>
      </c>
      <c r="T237" s="1155"/>
      <c r="U237" s="698" t="b">
        <f t="shared" ca="1" si="198"/>
        <v>1</v>
      </c>
      <c r="V237" s="1155"/>
      <c r="W237" s="1155"/>
      <c r="X237" s="1155"/>
      <c r="Y237" s="1687"/>
      <c r="Z237" s="1687"/>
      <c r="AA237" s="699"/>
      <c r="AB237" s="1793"/>
      <c r="AD237" s="124" t="s">
        <v>869</v>
      </c>
      <c r="AE237" s="1754" t="s">
        <v>870</v>
      </c>
      <c r="AF237" s="1734"/>
      <c r="AG237" s="733" t="s">
        <v>839</v>
      </c>
      <c r="AH237" s="734">
        <f t="shared" ref="AH237:BM237" si="223">SUM(AH239:AH242)</f>
        <v>0</v>
      </c>
      <c r="AI237" s="734">
        <f t="shared" si="223"/>
        <v>0</v>
      </c>
      <c r="AJ237" s="734">
        <f t="shared" si="223"/>
        <v>0</v>
      </c>
      <c r="AK237" s="734">
        <f t="shared" si="223"/>
        <v>3896</v>
      </c>
      <c r="AL237" s="734">
        <f t="shared" ca="1" si="223"/>
        <v>0</v>
      </c>
      <c r="AM237" s="734">
        <f t="shared" si="223"/>
        <v>0</v>
      </c>
      <c r="AN237" s="734">
        <f t="shared" ca="1" si="223"/>
        <v>0</v>
      </c>
      <c r="AO237" s="734">
        <f t="shared" ca="1" si="223"/>
        <v>0</v>
      </c>
      <c r="AP237" s="734">
        <f t="shared" si="223"/>
        <v>0</v>
      </c>
      <c r="AQ237" s="734">
        <f t="shared" ca="1" si="223"/>
        <v>0</v>
      </c>
      <c r="AR237" s="734">
        <f t="shared" ca="1" si="223"/>
        <v>0</v>
      </c>
      <c r="AS237" s="734">
        <f t="shared" si="223"/>
        <v>0</v>
      </c>
      <c r="AT237" s="734">
        <f t="shared" ca="1" si="223"/>
        <v>0</v>
      </c>
      <c r="AU237" s="734">
        <f t="shared" ca="1" si="223"/>
        <v>0</v>
      </c>
      <c r="AV237" s="734">
        <f t="shared" si="223"/>
        <v>0</v>
      </c>
      <c r="AW237" s="734">
        <f t="shared" ca="1" si="223"/>
        <v>0</v>
      </c>
      <c r="AX237" s="734">
        <f t="shared" ca="1" si="223"/>
        <v>0</v>
      </c>
      <c r="AY237" s="734">
        <f t="shared" si="223"/>
        <v>0</v>
      </c>
      <c r="AZ237" s="734">
        <f t="shared" ca="1" si="223"/>
        <v>0</v>
      </c>
      <c r="BA237" s="734">
        <f t="shared" ca="1" si="223"/>
        <v>0</v>
      </c>
      <c r="BB237" s="734">
        <f t="shared" si="223"/>
        <v>0</v>
      </c>
      <c r="BC237" s="734">
        <f t="shared" ca="1" si="223"/>
        <v>0</v>
      </c>
      <c r="BD237" s="734">
        <f t="shared" ca="1" si="223"/>
        <v>0</v>
      </c>
      <c r="BE237" s="734">
        <f t="shared" si="223"/>
        <v>0</v>
      </c>
      <c r="BF237" s="734">
        <f t="shared" ca="1" si="223"/>
        <v>0</v>
      </c>
      <c r="BG237" s="734">
        <f t="shared" ca="1" si="223"/>
        <v>0</v>
      </c>
      <c r="BH237" s="734">
        <f t="shared" si="223"/>
        <v>0</v>
      </c>
      <c r="BI237" s="734">
        <f t="shared" ca="1" si="223"/>
        <v>0</v>
      </c>
      <c r="BJ237" s="734">
        <f t="shared" ca="1" si="223"/>
        <v>0</v>
      </c>
      <c r="BK237" s="734">
        <f t="shared" si="223"/>
        <v>0</v>
      </c>
      <c r="BL237" s="734">
        <f t="shared" ca="1" si="223"/>
        <v>0</v>
      </c>
      <c r="BM237" s="734">
        <f t="shared" ca="1" si="223"/>
        <v>0</v>
      </c>
      <c r="BN237" s="734">
        <f t="shared" ref="BN237:CS237" si="224">SUM(BN239:BN242)</f>
        <v>0</v>
      </c>
      <c r="BO237" s="734">
        <f t="shared" ca="1" si="224"/>
        <v>0</v>
      </c>
      <c r="BP237" s="734">
        <f t="shared" ca="1" si="224"/>
        <v>16645.639894177995</v>
      </c>
      <c r="BQ237" s="734">
        <f t="shared" si="224"/>
        <v>11907.662906757478</v>
      </c>
      <c r="BR237" s="734">
        <f t="shared" ca="1" si="224"/>
        <v>4737.9769874205185</v>
      </c>
      <c r="BS237" s="734">
        <f t="shared" ca="1" si="224"/>
        <v>0</v>
      </c>
      <c r="BT237" s="734">
        <f t="shared" si="224"/>
        <v>0</v>
      </c>
      <c r="BU237" s="734">
        <f t="shared" ca="1" si="224"/>
        <v>0</v>
      </c>
      <c r="BV237" s="734">
        <f t="shared" ca="1" si="224"/>
        <v>0</v>
      </c>
      <c r="BW237" s="734">
        <f t="shared" si="224"/>
        <v>0</v>
      </c>
      <c r="BX237" s="734">
        <f t="shared" ca="1" si="224"/>
        <v>0</v>
      </c>
      <c r="BY237" s="734">
        <f t="shared" ca="1" si="224"/>
        <v>0</v>
      </c>
      <c r="BZ237" s="734">
        <f t="shared" si="224"/>
        <v>0</v>
      </c>
      <c r="CA237" s="734">
        <f t="shared" ca="1" si="224"/>
        <v>0</v>
      </c>
      <c r="CB237" s="734">
        <f t="shared" ca="1" si="224"/>
        <v>0</v>
      </c>
      <c r="CC237" s="734">
        <f t="shared" si="224"/>
        <v>0</v>
      </c>
      <c r="CD237" s="734">
        <f t="shared" ca="1" si="224"/>
        <v>0</v>
      </c>
      <c r="CE237" s="734">
        <f t="shared" ca="1" si="224"/>
        <v>0</v>
      </c>
      <c r="CF237" s="734">
        <f t="shared" si="224"/>
        <v>0</v>
      </c>
      <c r="CG237" s="734">
        <f t="shared" ca="1" si="224"/>
        <v>0</v>
      </c>
      <c r="CH237" s="734">
        <f t="shared" ca="1" si="224"/>
        <v>0</v>
      </c>
      <c r="CI237" s="734">
        <f t="shared" si="224"/>
        <v>0</v>
      </c>
      <c r="CJ237" s="734">
        <f t="shared" ca="1" si="224"/>
        <v>0</v>
      </c>
      <c r="CK237" s="734">
        <f t="shared" ca="1" si="224"/>
        <v>0</v>
      </c>
      <c r="CL237" s="734">
        <f t="shared" si="224"/>
        <v>0</v>
      </c>
      <c r="CM237" s="734">
        <f t="shared" ca="1" si="224"/>
        <v>0</v>
      </c>
      <c r="CN237" s="734">
        <f t="shared" ca="1" si="224"/>
        <v>0</v>
      </c>
      <c r="CO237" s="734">
        <f t="shared" si="224"/>
        <v>0</v>
      </c>
      <c r="CP237" s="734">
        <f t="shared" ca="1" si="224"/>
        <v>0</v>
      </c>
      <c r="CQ237" s="734">
        <f t="shared" ca="1" si="224"/>
        <v>0</v>
      </c>
      <c r="CR237" s="734">
        <f t="shared" si="224"/>
        <v>0</v>
      </c>
      <c r="CS237" s="734">
        <f t="shared" ca="1" si="224"/>
        <v>0</v>
      </c>
      <c r="CT237" s="1290"/>
      <c r="CW237" s="970" t="s">
        <v>871</v>
      </c>
      <c r="CX237" s="975"/>
      <c r="CY237" s="975"/>
      <c r="CZ237" s="975"/>
      <c r="DA237" s="976"/>
      <c r="DB237" s="976"/>
    </row>
    <row r="238" spans="1:106" s="1229" customFormat="1" ht="16.5" hidden="1" customHeight="1">
      <c r="A238" s="1155"/>
      <c r="B238" s="783"/>
      <c r="C238" s="1155"/>
      <c r="D238" s="1155"/>
      <c r="E238" s="676">
        <v>17.100000000000001</v>
      </c>
      <c r="F238" s="779" t="str" cm="1">
        <f t="array" aca="1" ref="F238" ca="1">OFFSET(G238,-1,-1)</f>
        <v>1</v>
      </c>
      <c r="G238" s="814"/>
      <c r="H238" s="814"/>
      <c r="I238" s="814"/>
      <c r="J238" s="814"/>
      <c r="K238" s="814"/>
      <c r="L238" s="779" t="b" cm="1">
        <f t="array" aca="1" ref="L238" ca="1">OFFSET(M238,-1,-1)</f>
        <v>0</v>
      </c>
      <c r="M238" s="814"/>
      <c r="N238" s="814"/>
      <c r="O238" s="814"/>
      <c r="P238" s="814"/>
      <c r="Q238" s="814"/>
      <c r="R238" s="779" t="s">
        <v>759</v>
      </c>
      <c r="S238" s="110" t="b" cm="1">
        <f t="array" aca="1" ref="S238" ca="1">OFFSET(T238,-1,-1)</f>
        <v>1</v>
      </c>
      <c r="T238" s="779" t="b">
        <v>0</v>
      </c>
      <c r="U238" s="698" t="b">
        <f t="shared" ca="1" si="198"/>
        <v>0</v>
      </c>
      <c r="V238" s="1155"/>
      <c r="W238" s="1155"/>
      <c r="X238" s="1155"/>
      <c r="Y238" s="1687"/>
      <c r="Z238" s="1687"/>
      <c r="AA238" s="699"/>
      <c r="AB238" s="1793"/>
      <c r="AD238" s="111" t="str">
        <f>AD237&amp;".0"</f>
        <v>32.0</v>
      </c>
      <c r="AE238" s="1755" t="s">
        <v>770</v>
      </c>
      <c r="AF238" s="1756"/>
      <c r="AG238" s="733" t="s">
        <v>839</v>
      </c>
      <c r="AH238" s="41">
        <f>AH163*AH237</f>
        <v>0</v>
      </c>
      <c r="AI238" s="42">
        <f>AI$163*AI237</f>
        <v>0</v>
      </c>
      <c r="AJ238" s="42">
        <f>AJ$163*AJ237</f>
        <v>0</v>
      </c>
      <c r="AK238" s="42">
        <f>AK$163*AK237</f>
        <v>3896</v>
      </c>
      <c r="AL238" s="736">
        <f ca="1">AM238+AN238</f>
        <v>0</v>
      </c>
      <c r="AM238" s="42">
        <f>AM$163*AM237</f>
        <v>0</v>
      </c>
      <c r="AN238" s="42">
        <f ca="1">AN$163*AN237</f>
        <v>0</v>
      </c>
      <c r="AO238" s="736">
        <f ca="1">AP238+AQ238</f>
        <v>0</v>
      </c>
      <c r="AP238" s="826">
        <f>AP$163*AP237</f>
        <v>0</v>
      </c>
      <c r="AQ238" s="826">
        <f ca="1">AQ$163*AQ237</f>
        <v>0</v>
      </c>
      <c r="AR238" s="736">
        <f ca="1">AS238+AT238</f>
        <v>0</v>
      </c>
      <c r="AS238" s="826">
        <f>AS$163*AS237</f>
        <v>0</v>
      </c>
      <c r="AT238" s="826">
        <f ca="1">AT$163*AT237</f>
        <v>0</v>
      </c>
      <c r="AU238" s="736">
        <f ca="1">AV238+AW238</f>
        <v>0</v>
      </c>
      <c r="AV238" s="826">
        <f>AV$163*AV237</f>
        <v>0</v>
      </c>
      <c r="AW238" s="826">
        <f ca="1">AW$163*AW237</f>
        <v>0</v>
      </c>
      <c r="AX238" s="736">
        <f ca="1">AY238+AZ238</f>
        <v>0</v>
      </c>
      <c r="AY238" s="826">
        <f>AY$163*AY237</f>
        <v>0</v>
      </c>
      <c r="AZ238" s="826">
        <f ca="1">AZ$163*AZ237</f>
        <v>0</v>
      </c>
      <c r="BA238" s="736">
        <f ca="1">BB238+BC238</f>
        <v>0</v>
      </c>
      <c r="BB238" s="42">
        <f>BB$163*BB237</f>
        <v>0</v>
      </c>
      <c r="BC238" s="42">
        <f ca="1">BC$163*BC237</f>
        <v>0</v>
      </c>
      <c r="BD238" s="736">
        <f ca="1">BE238+BF238</f>
        <v>0</v>
      </c>
      <c r="BE238" s="42">
        <f>BE$163*BE237</f>
        <v>0</v>
      </c>
      <c r="BF238" s="42">
        <f ca="1">BF$163*BF237</f>
        <v>0</v>
      </c>
      <c r="BG238" s="736">
        <f ca="1">BH238+BI238</f>
        <v>0</v>
      </c>
      <c r="BH238" s="42">
        <f>BH$163*BH237</f>
        <v>0</v>
      </c>
      <c r="BI238" s="42">
        <f ca="1">BI$163*BI237</f>
        <v>0</v>
      </c>
      <c r="BJ238" s="736">
        <f ca="1">BK238+BL238</f>
        <v>0</v>
      </c>
      <c r="BK238" s="42">
        <f>BK$163*BK237</f>
        <v>0</v>
      </c>
      <c r="BL238" s="42">
        <f ca="1">BL$163*BL237</f>
        <v>0</v>
      </c>
      <c r="BM238" s="736">
        <f ca="1">BN238+BO238</f>
        <v>0</v>
      </c>
      <c r="BN238" s="42">
        <f>BN$163*BN237</f>
        <v>0</v>
      </c>
      <c r="BO238" s="42">
        <f ca="1">BO$163*BO237</f>
        <v>0</v>
      </c>
      <c r="BP238" s="736">
        <f ca="1">BQ238+BR238</f>
        <v>16645.639894177995</v>
      </c>
      <c r="BQ238" s="826">
        <f>BQ$163*BQ237</f>
        <v>11907.662906757478</v>
      </c>
      <c r="BR238" s="826">
        <f ca="1">BR$163*BR237</f>
        <v>4737.9769874205185</v>
      </c>
      <c r="BS238" s="736">
        <f ca="1">BT238+BU238</f>
        <v>0</v>
      </c>
      <c r="BT238" s="826">
        <f>BT$163*BT237</f>
        <v>0</v>
      </c>
      <c r="BU238" s="826">
        <f ca="1">BU$163*BU237</f>
        <v>0</v>
      </c>
      <c r="BV238" s="736">
        <f ca="1">BW238+BX238</f>
        <v>0</v>
      </c>
      <c r="BW238" s="826">
        <f>BW$163*BW237</f>
        <v>0</v>
      </c>
      <c r="BX238" s="826">
        <f ca="1">BX$163*BX237</f>
        <v>0</v>
      </c>
      <c r="BY238" s="736">
        <f ca="1">BZ238+CA238</f>
        <v>0</v>
      </c>
      <c r="BZ238" s="826">
        <f>BZ$163*BZ237</f>
        <v>0</v>
      </c>
      <c r="CA238" s="826">
        <f ca="1">CA$163*CA237</f>
        <v>0</v>
      </c>
      <c r="CB238" s="736">
        <f ca="1">CC238+CD238</f>
        <v>0</v>
      </c>
      <c r="CC238" s="826">
        <f>CC$163*CC237</f>
        <v>0</v>
      </c>
      <c r="CD238" s="826">
        <f ca="1">CD$163*CD237</f>
        <v>0</v>
      </c>
      <c r="CE238" s="736">
        <f ca="1">CF238+CG238</f>
        <v>0</v>
      </c>
      <c r="CF238" s="42">
        <f>CF$163*CF237</f>
        <v>0</v>
      </c>
      <c r="CG238" s="42">
        <f ca="1">CG$163*CG237</f>
        <v>0</v>
      </c>
      <c r="CH238" s="736">
        <f ca="1">CI238+CJ238</f>
        <v>0</v>
      </c>
      <c r="CI238" s="42">
        <f>CI$163*CI237</f>
        <v>0</v>
      </c>
      <c r="CJ238" s="42">
        <f ca="1">CJ$163*CJ237</f>
        <v>0</v>
      </c>
      <c r="CK238" s="736">
        <f ca="1">CL238+CM238</f>
        <v>0</v>
      </c>
      <c r="CL238" s="42">
        <f>CL$163*CL237</f>
        <v>0</v>
      </c>
      <c r="CM238" s="42">
        <f ca="1">CM$163*CM237</f>
        <v>0</v>
      </c>
      <c r="CN238" s="736">
        <f ca="1">CO238+CP238</f>
        <v>0</v>
      </c>
      <c r="CO238" s="42">
        <f>CO$163*CO237</f>
        <v>0</v>
      </c>
      <c r="CP238" s="42">
        <f ca="1">CP$163*CP237</f>
        <v>0</v>
      </c>
      <c r="CQ238" s="736">
        <f ca="1">CR238+CS238</f>
        <v>0</v>
      </c>
      <c r="CR238" s="42">
        <f>CR$163*CR237</f>
        <v>0</v>
      </c>
      <c r="CS238" s="42">
        <f ca="1">CS$163*CS237</f>
        <v>0</v>
      </c>
      <c r="CT238" s="28"/>
      <c r="CW238" s="970" t="s">
        <v>872</v>
      </c>
      <c r="CX238" s="975"/>
      <c r="CY238" s="975"/>
      <c r="CZ238" s="975"/>
      <c r="DA238" s="976"/>
      <c r="DB238" s="976"/>
    </row>
    <row r="239" spans="1:106" s="1229" customFormat="1" ht="16.5" hidden="1" customHeight="1">
      <c r="E239" s="676">
        <v>17.100000000000001</v>
      </c>
      <c r="F239" s="779" t="str" cm="1">
        <f t="array" aca="1" ref="F239" ca="1">OFFSET(G239,-1,-1)</f>
        <v>1</v>
      </c>
      <c r="L239" s="779" t="b" cm="1">
        <f t="array" aca="1" ref="L239" ca="1">OFFSET(M239,-1,-1)</f>
        <v>0</v>
      </c>
      <c r="S239" s="110" t="b" cm="1">
        <f t="array" aca="1" ref="S239" ca="1">OFFSET(T239,-1,-1)</f>
        <v>1</v>
      </c>
      <c r="T239" s="110" t="b">
        <f>AD239&lt;&gt;"32.0"</f>
        <v>0</v>
      </c>
      <c r="U239" s="698" t="b">
        <f t="shared" ca="1" si="198"/>
        <v>0</v>
      </c>
      <c r="X239" s="110" t="s">
        <v>236</v>
      </c>
      <c r="Y239" s="1722"/>
      <c r="Z239" s="1722"/>
      <c r="AB239" s="1793"/>
      <c r="AD239" s="111" t="s">
        <v>873</v>
      </c>
      <c r="AE239" s="821"/>
      <c r="AF239" s="524"/>
      <c r="AG239" s="733" t="s">
        <v>839</v>
      </c>
      <c r="AH239" s="41"/>
      <c r="AI239" s="42"/>
      <c r="AJ239" s="42"/>
      <c r="AK239" s="42"/>
      <c r="AL239" s="736">
        <f ca="1">AM239+AN239</f>
        <v>0</v>
      </c>
      <c r="AM239" s="42">
        <f t="shared" ref="AM239:AN241" si="225">AM233*AM181/1000</f>
        <v>0</v>
      </c>
      <c r="AN239" s="42">
        <f t="shared" ca="1" si="225"/>
        <v>0</v>
      </c>
      <c r="AO239" s="736">
        <f ca="1">AP239+AQ239</f>
        <v>0</v>
      </c>
      <c r="AP239" s="826">
        <f t="shared" ref="AP239:AQ241" si="226">AP233*AP181/1000</f>
        <v>0</v>
      </c>
      <c r="AQ239" s="826">
        <f t="shared" ca="1" si="226"/>
        <v>0</v>
      </c>
      <c r="AR239" s="736">
        <f ca="1">AS239+AT239</f>
        <v>0</v>
      </c>
      <c r="AS239" s="826">
        <f t="shared" ref="AS239:AT241" si="227">AS233*AS181/1000</f>
        <v>0</v>
      </c>
      <c r="AT239" s="826">
        <f t="shared" ca="1" si="227"/>
        <v>0</v>
      </c>
      <c r="AU239" s="736">
        <f ca="1">AV239+AW239</f>
        <v>0</v>
      </c>
      <c r="AV239" s="826">
        <f t="shared" ref="AV239:AW241" si="228">AV233*AV181/1000</f>
        <v>0</v>
      </c>
      <c r="AW239" s="826">
        <f t="shared" ca="1" si="228"/>
        <v>0</v>
      </c>
      <c r="AX239" s="736">
        <f ca="1">AY239+AZ239</f>
        <v>0</v>
      </c>
      <c r="AY239" s="826">
        <f t="shared" ref="AY239:AZ241" si="229">AY233*AY181/1000</f>
        <v>0</v>
      </c>
      <c r="AZ239" s="826">
        <f t="shared" ca="1" si="229"/>
        <v>0</v>
      </c>
      <c r="BA239" s="736">
        <f ca="1">BB239+BC239</f>
        <v>0</v>
      </c>
      <c r="BB239" s="42">
        <f t="shared" ref="BB239:BC241" si="230">BB233*BB181/1000</f>
        <v>0</v>
      </c>
      <c r="BC239" s="42">
        <f t="shared" ca="1" si="230"/>
        <v>0</v>
      </c>
      <c r="BD239" s="736">
        <f ca="1">BE239+BF239</f>
        <v>0</v>
      </c>
      <c r="BE239" s="42">
        <f t="shared" ref="BE239:BF241" si="231">BE233*BE181/1000</f>
        <v>0</v>
      </c>
      <c r="BF239" s="42">
        <f t="shared" ca="1" si="231"/>
        <v>0</v>
      </c>
      <c r="BG239" s="736">
        <f ca="1">BH239+BI239</f>
        <v>0</v>
      </c>
      <c r="BH239" s="42">
        <f t="shared" ref="BH239:BI241" si="232">BH233*BH181/1000</f>
        <v>0</v>
      </c>
      <c r="BI239" s="42">
        <f t="shared" ca="1" si="232"/>
        <v>0</v>
      </c>
      <c r="BJ239" s="736">
        <f ca="1">BK239+BL239</f>
        <v>0</v>
      </c>
      <c r="BK239" s="42">
        <f t="shared" ref="BK239:BL241" si="233">BK233*BK181/1000</f>
        <v>0</v>
      </c>
      <c r="BL239" s="42">
        <f t="shared" ca="1" si="233"/>
        <v>0</v>
      </c>
      <c r="BM239" s="736">
        <f ca="1">BN239+BO239</f>
        <v>0</v>
      </c>
      <c r="BN239" s="42">
        <f t="shared" ref="BN239:BO241" si="234">BN233*BN181/1000</f>
        <v>0</v>
      </c>
      <c r="BO239" s="42">
        <f t="shared" ca="1" si="234"/>
        <v>0</v>
      </c>
      <c r="BP239" s="736">
        <f ca="1">BQ239+BR239</f>
        <v>0</v>
      </c>
      <c r="BQ239" s="826">
        <f t="shared" ref="BQ239:BR241" si="235">BQ233*BQ181/1000</f>
        <v>0</v>
      </c>
      <c r="BR239" s="826">
        <f t="shared" ca="1" si="235"/>
        <v>0</v>
      </c>
      <c r="BS239" s="736">
        <f ca="1">BT239+BU239</f>
        <v>0</v>
      </c>
      <c r="BT239" s="826">
        <f t="shared" ref="BT239:BU241" si="236">BT233*BT181/1000</f>
        <v>0</v>
      </c>
      <c r="BU239" s="826">
        <f t="shared" ca="1" si="236"/>
        <v>0</v>
      </c>
      <c r="BV239" s="736">
        <f ca="1">BW239+BX239</f>
        <v>0</v>
      </c>
      <c r="BW239" s="826">
        <f t="shared" ref="BW239:BX241" si="237">BW233*BW181/1000</f>
        <v>0</v>
      </c>
      <c r="BX239" s="826">
        <f t="shared" ca="1" si="237"/>
        <v>0</v>
      </c>
      <c r="BY239" s="736">
        <f ca="1">BZ239+CA239</f>
        <v>0</v>
      </c>
      <c r="BZ239" s="826">
        <f t="shared" ref="BZ239:CA241" si="238">BZ233*BZ181/1000</f>
        <v>0</v>
      </c>
      <c r="CA239" s="826">
        <f t="shared" ca="1" si="238"/>
        <v>0</v>
      </c>
      <c r="CB239" s="736">
        <f ca="1">CC239+CD239</f>
        <v>0</v>
      </c>
      <c r="CC239" s="826">
        <f t="shared" ref="CC239:CD241" si="239">CC233*CC181/1000</f>
        <v>0</v>
      </c>
      <c r="CD239" s="826">
        <f t="shared" ca="1" si="239"/>
        <v>0</v>
      </c>
      <c r="CE239" s="736">
        <f ca="1">CF239+CG239</f>
        <v>0</v>
      </c>
      <c r="CF239" s="42">
        <f t="shared" ref="CF239:CG241" si="240">CF233*CF181/1000</f>
        <v>0</v>
      </c>
      <c r="CG239" s="42">
        <f t="shared" ca="1" si="240"/>
        <v>0</v>
      </c>
      <c r="CH239" s="736">
        <f ca="1">CI239+CJ239</f>
        <v>0</v>
      </c>
      <c r="CI239" s="42">
        <f t="shared" ref="CI239:CJ241" si="241">CI233*CI181/1000</f>
        <v>0</v>
      </c>
      <c r="CJ239" s="42">
        <f t="shared" ca="1" si="241"/>
        <v>0</v>
      </c>
      <c r="CK239" s="736">
        <f ca="1">CL239+CM239</f>
        <v>0</v>
      </c>
      <c r="CL239" s="42">
        <f t="shared" ref="CL239:CM241" si="242">CL233*CL181/1000</f>
        <v>0</v>
      </c>
      <c r="CM239" s="42">
        <f t="shared" ca="1" si="242"/>
        <v>0</v>
      </c>
      <c r="CN239" s="736">
        <f ca="1">CO239+CP239</f>
        <v>0</v>
      </c>
      <c r="CO239" s="42">
        <f t="shared" ref="CO239:CP241" si="243">CO233*CO181/1000</f>
        <v>0</v>
      </c>
      <c r="CP239" s="42">
        <f t="shared" ca="1" si="243"/>
        <v>0</v>
      </c>
      <c r="CQ239" s="736">
        <f ca="1">CR239+CS239</f>
        <v>0</v>
      </c>
      <c r="CR239" s="42">
        <f t="shared" ref="CR239:CS241" si="244">CR233*CR181/1000</f>
        <v>0</v>
      </c>
      <c r="CS239" s="42">
        <f t="shared" ca="1" si="244"/>
        <v>0</v>
      </c>
      <c r="CT239" s="28"/>
      <c r="CW239" s="970" t="s">
        <v>872</v>
      </c>
      <c r="CX239" s="975" t="s">
        <v>821</v>
      </c>
      <c r="CY239" s="979" cm="1">
        <f t="array" ref="CY239">AE239</f>
        <v>0</v>
      </c>
      <c r="CZ239" s="979" cm="1">
        <f t="array" ref="CZ239">AF239</f>
        <v>0</v>
      </c>
      <c r="DA239" s="976"/>
      <c r="DB239" s="976"/>
    </row>
    <row r="240" spans="1:106" s="1229" customFormat="1" ht="16.5" customHeight="1">
      <c r="E240" s="676">
        <v>17.100000000000001</v>
      </c>
      <c r="F240" s="779" t="str" cm="1">
        <f t="array" aca="1" ref="F240" ca="1">OFFSET(G240,-1,-1)</f>
        <v>1</v>
      </c>
      <c r="L240" s="779" t="b" cm="1">
        <f t="array" aca="1" ref="L240" ca="1">OFFSET(M240,-1,-1)</f>
        <v>0</v>
      </c>
      <c r="S240" s="110" t="b" cm="1">
        <f t="array" aca="1" ref="S240" ca="1">OFFSET(T240,-1,-1)</f>
        <v>1</v>
      </c>
      <c r="T240" s="110" t="b">
        <f>AD240&lt;&gt;"32.0"</f>
        <v>1</v>
      </c>
      <c r="U240" s="698" t="b">
        <f t="shared" ca="1" si="198"/>
        <v>1</v>
      </c>
      <c r="X240" s="110" t="str">
        <f>'Топливо 4.4'!$AE$234&amp;'Топливо 4.4'!$AF$234</f>
        <v>Уголь длиннопламенный</v>
      </c>
      <c r="Y240" s="1722"/>
      <c r="Z240" s="1722"/>
      <c r="AB240" s="1793"/>
      <c r="AD240" s="111" t="s">
        <v>959</v>
      </c>
      <c r="AE240" s="821" t="str" cm="1">
        <f t="array" ref="AE240">IF(ISBLANK('Топливо 4.4'!$AE$234),"",'Топливо 4.4'!$AE$234)</f>
        <v>Уголь длиннопламенный</v>
      </c>
      <c r="AF240" s="524" t="str" cm="1">
        <f t="array" ref="AF240">IF(ISBLANK('Топливо 4.4'!$AF$234),"",'Топливо 4.4'!$AF$234)</f>
        <v/>
      </c>
      <c r="AG240" s="733" t="s">
        <v>839</v>
      </c>
      <c r="AH240" s="1303"/>
      <c r="AI240" s="1302"/>
      <c r="AJ240" s="1302"/>
      <c r="AK240" s="1302">
        <v>992</v>
      </c>
      <c r="AL240" s="736">
        <f ca="1">AM240+AN240</f>
        <v>0</v>
      </c>
      <c r="AM240" s="1302">
        <f t="shared" si="225"/>
        <v>0</v>
      </c>
      <c r="AN240" s="1302">
        <f t="shared" ca="1" si="225"/>
        <v>0</v>
      </c>
      <c r="AO240" s="736">
        <f ca="1">AP240+AQ240</f>
        <v>0</v>
      </c>
      <c r="AP240" s="826">
        <f t="shared" si="226"/>
        <v>0</v>
      </c>
      <c r="AQ240" s="826">
        <f t="shared" ca="1" si="226"/>
        <v>0</v>
      </c>
      <c r="AR240" s="736">
        <f ca="1">AS240+AT240</f>
        <v>0</v>
      </c>
      <c r="AS240" s="826">
        <f t="shared" si="227"/>
        <v>0</v>
      </c>
      <c r="AT240" s="826">
        <f t="shared" ca="1" si="227"/>
        <v>0</v>
      </c>
      <c r="AU240" s="736">
        <f ca="1">AV240+AW240</f>
        <v>0</v>
      </c>
      <c r="AV240" s="826">
        <f t="shared" si="228"/>
        <v>0</v>
      </c>
      <c r="AW240" s="826">
        <f t="shared" ca="1" si="228"/>
        <v>0</v>
      </c>
      <c r="AX240" s="736">
        <f ca="1">AY240+AZ240</f>
        <v>0</v>
      </c>
      <c r="AY240" s="826">
        <f t="shared" si="229"/>
        <v>0</v>
      </c>
      <c r="AZ240" s="826">
        <f t="shared" ca="1" si="229"/>
        <v>0</v>
      </c>
      <c r="BA240" s="736">
        <f ca="1">BB240+BC240</f>
        <v>0</v>
      </c>
      <c r="BB240" s="1302">
        <f t="shared" si="230"/>
        <v>0</v>
      </c>
      <c r="BC240" s="1302">
        <f t="shared" ca="1" si="230"/>
        <v>0</v>
      </c>
      <c r="BD240" s="736">
        <f ca="1">BE240+BF240</f>
        <v>0</v>
      </c>
      <c r="BE240" s="1302">
        <f t="shared" si="231"/>
        <v>0</v>
      </c>
      <c r="BF240" s="1302">
        <f t="shared" ca="1" si="231"/>
        <v>0</v>
      </c>
      <c r="BG240" s="736">
        <f ca="1">BH240+BI240</f>
        <v>0</v>
      </c>
      <c r="BH240" s="1302">
        <f t="shared" si="232"/>
        <v>0</v>
      </c>
      <c r="BI240" s="1302">
        <f t="shared" ca="1" si="232"/>
        <v>0</v>
      </c>
      <c r="BJ240" s="736">
        <f ca="1">BK240+BL240</f>
        <v>0</v>
      </c>
      <c r="BK240" s="1302">
        <f t="shared" si="233"/>
        <v>0</v>
      </c>
      <c r="BL240" s="1302">
        <f t="shared" ca="1" si="233"/>
        <v>0</v>
      </c>
      <c r="BM240" s="736">
        <f ca="1">BN240+BO240</f>
        <v>0</v>
      </c>
      <c r="BN240" s="1302">
        <f t="shared" si="234"/>
        <v>0</v>
      </c>
      <c r="BO240" s="1302">
        <f t="shared" ca="1" si="234"/>
        <v>0</v>
      </c>
      <c r="BP240" s="736">
        <f ca="1">BQ240+BR240</f>
        <v>16645.639894177995</v>
      </c>
      <c r="BQ240" s="826">
        <f t="shared" si="235"/>
        <v>11907.662906757478</v>
      </c>
      <c r="BR240" s="826">
        <f t="shared" ca="1" si="235"/>
        <v>4737.9769874205185</v>
      </c>
      <c r="BS240" s="736">
        <f ca="1">BT240+BU240</f>
        <v>0</v>
      </c>
      <c r="BT240" s="826">
        <f t="shared" si="236"/>
        <v>0</v>
      </c>
      <c r="BU240" s="826">
        <f t="shared" ca="1" si="236"/>
        <v>0</v>
      </c>
      <c r="BV240" s="736">
        <f ca="1">BW240+BX240</f>
        <v>0</v>
      </c>
      <c r="BW240" s="826">
        <f t="shared" si="237"/>
        <v>0</v>
      </c>
      <c r="BX240" s="826">
        <f t="shared" ca="1" si="237"/>
        <v>0</v>
      </c>
      <c r="BY240" s="736">
        <f ca="1">BZ240+CA240</f>
        <v>0</v>
      </c>
      <c r="BZ240" s="826">
        <f t="shared" si="238"/>
        <v>0</v>
      </c>
      <c r="CA240" s="826">
        <f t="shared" ca="1" si="238"/>
        <v>0</v>
      </c>
      <c r="CB240" s="736">
        <f ca="1">CC240+CD240</f>
        <v>0</v>
      </c>
      <c r="CC240" s="826">
        <f t="shared" si="239"/>
        <v>0</v>
      </c>
      <c r="CD240" s="826">
        <f t="shared" ca="1" si="239"/>
        <v>0</v>
      </c>
      <c r="CE240" s="736">
        <f ca="1">CF240+CG240</f>
        <v>0</v>
      </c>
      <c r="CF240" s="1302">
        <f t="shared" si="240"/>
        <v>0</v>
      </c>
      <c r="CG240" s="1302">
        <f t="shared" ca="1" si="240"/>
        <v>0</v>
      </c>
      <c r="CH240" s="736">
        <f ca="1">CI240+CJ240</f>
        <v>0</v>
      </c>
      <c r="CI240" s="1302">
        <f t="shared" si="241"/>
        <v>0</v>
      </c>
      <c r="CJ240" s="1302">
        <f t="shared" ca="1" si="241"/>
        <v>0</v>
      </c>
      <c r="CK240" s="736">
        <f ca="1">CL240+CM240</f>
        <v>0</v>
      </c>
      <c r="CL240" s="1302">
        <f t="shared" si="242"/>
        <v>0</v>
      </c>
      <c r="CM240" s="1302">
        <f t="shared" ca="1" si="242"/>
        <v>0</v>
      </c>
      <c r="CN240" s="736">
        <f ca="1">CO240+CP240</f>
        <v>0</v>
      </c>
      <c r="CO240" s="1302">
        <f t="shared" si="243"/>
        <v>0</v>
      </c>
      <c r="CP240" s="1302">
        <f t="shared" ca="1" si="243"/>
        <v>0</v>
      </c>
      <c r="CQ240" s="736">
        <f ca="1">CR240+CS240</f>
        <v>0</v>
      </c>
      <c r="CR240" s="1302">
        <f t="shared" si="244"/>
        <v>0</v>
      </c>
      <c r="CS240" s="1302">
        <f t="shared" ca="1" si="244"/>
        <v>0</v>
      </c>
      <c r="CT240" s="1290"/>
      <c r="CW240" s="970" t="s">
        <v>872</v>
      </c>
      <c r="CX240" s="975" t="s">
        <v>821</v>
      </c>
      <c r="CY240" s="979" t="str" cm="1">
        <f t="array" ref="CY240">AE240</f>
        <v>Уголь длиннопламенный</v>
      </c>
      <c r="CZ240" s="979" t="str" cm="1">
        <f t="array" ref="CZ240">AF240</f>
        <v/>
      </c>
      <c r="DA240" s="976"/>
      <c r="DB240" s="976"/>
    </row>
    <row r="241" spans="1:106" s="1229" customFormat="1" ht="16.5" customHeight="1">
      <c r="E241" s="676">
        <v>17.100000000000001</v>
      </c>
      <c r="F241" s="779" t="str" cm="1">
        <f t="array" aca="1" ref="F241" ca="1">OFFSET(G241,-1,-1)</f>
        <v>1</v>
      </c>
      <c r="L241" s="779" t="b" cm="1">
        <f t="array" aca="1" ref="L241" ca="1">OFFSET(M241,-1,-1)</f>
        <v>0</v>
      </c>
      <c r="S241" s="110" t="b" cm="1">
        <f t="array" aca="1" ref="S241" ca="1">OFFSET(T241,-1,-1)</f>
        <v>1</v>
      </c>
      <c r="T241" s="110" t="b">
        <f>AD241&lt;&gt;"32.0"</f>
        <v>1</v>
      </c>
      <c r="U241" s="698" t="b">
        <f t="shared" ca="1" si="198"/>
        <v>1</v>
      </c>
      <c r="X241" s="110" t="str">
        <f>'Топливо 4.4'!$AE$235&amp;'Топливо 4.4'!$AF$235</f>
        <v>Уголь бурый</v>
      </c>
      <c r="Y241" s="1722"/>
      <c r="Z241" s="1722"/>
      <c r="AB241" s="1793"/>
      <c r="AD241" s="111" t="s">
        <v>960</v>
      </c>
      <c r="AE241" s="821" t="str" cm="1">
        <f t="array" ref="AE241">IF(ISBLANK('Топливо 4.4'!$AE$235),"",'Топливо 4.4'!$AE$235)</f>
        <v>Уголь бурый</v>
      </c>
      <c r="AF241" s="524" t="str" cm="1">
        <f t="array" ref="AF241">IF(ISBLANK('Топливо 4.4'!$AF$235),"",'Топливо 4.4'!$AF$235)</f>
        <v/>
      </c>
      <c r="AG241" s="733" t="s">
        <v>839</v>
      </c>
      <c r="AH241" s="1303"/>
      <c r="AI241" s="1302"/>
      <c r="AJ241" s="1302"/>
      <c r="AK241" s="1302">
        <v>2904</v>
      </c>
      <c r="AL241" s="736">
        <f ca="1">AM241+AN241</f>
        <v>0</v>
      </c>
      <c r="AM241" s="1302">
        <f t="shared" si="225"/>
        <v>0</v>
      </c>
      <c r="AN241" s="1302">
        <f t="shared" ca="1" si="225"/>
        <v>0</v>
      </c>
      <c r="AO241" s="736">
        <f ca="1">AP241+AQ241</f>
        <v>0</v>
      </c>
      <c r="AP241" s="826">
        <f t="shared" si="226"/>
        <v>0</v>
      </c>
      <c r="AQ241" s="826">
        <f t="shared" ca="1" si="226"/>
        <v>0</v>
      </c>
      <c r="AR241" s="736">
        <f ca="1">AS241+AT241</f>
        <v>0</v>
      </c>
      <c r="AS241" s="826">
        <f t="shared" si="227"/>
        <v>0</v>
      </c>
      <c r="AT241" s="826">
        <f t="shared" ca="1" si="227"/>
        <v>0</v>
      </c>
      <c r="AU241" s="736">
        <f ca="1">AV241+AW241</f>
        <v>0</v>
      </c>
      <c r="AV241" s="826">
        <f t="shared" si="228"/>
        <v>0</v>
      </c>
      <c r="AW241" s="826">
        <f t="shared" ca="1" si="228"/>
        <v>0</v>
      </c>
      <c r="AX241" s="736">
        <f ca="1">AY241+AZ241</f>
        <v>0</v>
      </c>
      <c r="AY241" s="826">
        <f t="shared" si="229"/>
        <v>0</v>
      </c>
      <c r="AZ241" s="826">
        <f t="shared" ca="1" si="229"/>
        <v>0</v>
      </c>
      <c r="BA241" s="736">
        <f ca="1">BB241+BC241</f>
        <v>0</v>
      </c>
      <c r="BB241" s="1302">
        <f t="shared" si="230"/>
        <v>0</v>
      </c>
      <c r="BC241" s="1302">
        <f t="shared" ca="1" si="230"/>
        <v>0</v>
      </c>
      <c r="BD241" s="736">
        <f ca="1">BE241+BF241</f>
        <v>0</v>
      </c>
      <c r="BE241" s="1302">
        <f t="shared" si="231"/>
        <v>0</v>
      </c>
      <c r="BF241" s="1302">
        <f t="shared" ca="1" si="231"/>
        <v>0</v>
      </c>
      <c r="BG241" s="736">
        <f ca="1">BH241+BI241</f>
        <v>0</v>
      </c>
      <c r="BH241" s="1302">
        <f t="shared" si="232"/>
        <v>0</v>
      </c>
      <c r="BI241" s="1302">
        <f t="shared" ca="1" si="232"/>
        <v>0</v>
      </c>
      <c r="BJ241" s="736">
        <f ca="1">BK241+BL241</f>
        <v>0</v>
      </c>
      <c r="BK241" s="1302">
        <f t="shared" si="233"/>
        <v>0</v>
      </c>
      <c r="BL241" s="1302">
        <f t="shared" ca="1" si="233"/>
        <v>0</v>
      </c>
      <c r="BM241" s="736">
        <f ca="1">BN241+BO241</f>
        <v>0</v>
      </c>
      <c r="BN241" s="1302">
        <f t="shared" si="234"/>
        <v>0</v>
      </c>
      <c r="BO241" s="1302">
        <f t="shared" ca="1" si="234"/>
        <v>0</v>
      </c>
      <c r="BP241" s="736">
        <f ca="1">BQ241+BR241</f>
        <v>0</v>
      </c>
      <c r="BQ241" s="826">
        <f t="shared" si="235"/>
        <v>0</v>
      </c>
      <c r="BR241" s="826">
        <f t="shared" ca="1" si="235"/>
        <v>0</v>
      </c>
      <c r="BS241" s="736">
        <f ca="1">BT241+BU241</f>
        <v>0</v>
      </c>
      <c r="BT241" s="826">
        <f t="shared" si="236"/>
        <v>0</v>
      </c>
      <c r="BU241" s="826">
        <f t="shared" ca="1" si="236"/>
        <v>0</v>
      </c>
      <c r="BV241" s="736">
        <f ca="1">BW241+BX241</f>
        <v>0</v>
      </c>
      <c r="BW241" s="826">
        <f t="shared" si="237"/>
        <v>0</v>
      </c>
      <c r="BX241" s="826">
        <f t="shared" ca="1" si="237"/>
        <v>0</v>
      </c>
      <c r="BY241" s="736">
        <f ca="1">BZ241+CA241</f>
        <v>0</v>
      </c>
      <c r="BZ241" s="826">
        <f t="shared" si="238"/>
        <v>0</v>
      </c>
      <c r="CA241" s="826">
        <f t="shared" ca="1" si="238"/>
        <v>0</v>
      </c>
      <c r="CB241" s="736">
        <f ca="1">CC241+CD241</f>
        <v>0</v>
      </c>
      <c r="CC241" s="826">
        <f t="shared" si="239"/>
        <v>0</v>
      </c>
      <c r="CD241" s="826">
        <f t="shared" ca="1" si="239"/>
        <v>0</v>
      </c>
      <c r="CE241" s="736">
        <f ca="1">CF241+CG241</f>
        <v>0</v>
      </c>
      <c r="CF241" s="1302">
        <f t="shared" si="240"/>
        <v>0</v>
      </c>
      <c r="CG241" s="1302">
        <f t="shared" ca="1" si="240"/>
        <v>0</v>
      </c>
      <c r="CH241" s="736">
        <f ca="1">CI241+CJ241</f>
        <v>0</v>
      </c>
      <c r="CI241" s="1302">
        <f t="shared" si="241"/>
        <v>0</v>
      </c>
      <c r="CJ241" s="1302">
        <f t="shared" ca="1" si="241"/>
        <v>0</v>
      </c>
      <c r="CK241" s="736">
        <f ca="1">CL241+CM241</f>
        <v>0</v>
      </c>
      <c r="CL241" s="1302">
        <f t="shared" si="242"/>
        <v>0</v>
      </c>
      <c r="CM241" s="1302">
        <f t="shared" ca="1" si="242"/>
        <v>0</v>
      </c>
      <c r="CN241" s="736">
        <f ca="1">CO241+CP241</f>
        <v>0</v>
      </c>
      <c r="CO241" s="1302">
        <f t="shared" si="243"/>
        <v>0</v>
      </c>
      <c r="CP241" s="1302">
        <f t="shared" ca="1" si="243"/>
        <v>0</v>
      </c>
      <c r="CQ241" s="736">
        <f ca="1">CR241+CS241</f>
        <v>0</v>
      </c>
      <c r="CR241" s="1302">
        <f t="shared" si="244"/>
        <v>0</v>
      </c>
      <c r="CS241" s="1302">
        <f t="shared" ca="1" si="244"/>
        <v>0</v>
      </c>
      <c r="CT241" s="1290"/>
      <c r="CW241" s="970" t="s">
        <v>872</v>
      </c>
      <c r="CX241" s="975" t="s">
        <v>821</v>
      </c>
      <c r="CY241" s="979" t="str" cm="1">
        <f t="array" ref="CY241">AE241</f>
        <v>Уголь бурый</v>
      </c>
      <c r="CZ241" s="979" t="str" cm="1">
        <f t="array" ref="CZ241">AF241</f>
        <v/>
      </c>
      <c r="DA241" s="976"/>
      <c r="DB241" s="976"/>
    </row>
    <row r="242" spans="1:106" s="1229" customFormat="1" ht="15" hidden="1" customHeight="1">
      <c r="A242" s="1155"/>
      <c r="B242" s="783"/>
      <c r="C242" s="1155"/>
      <c r="D242" s="1155"/>
      <c r="E242" s="676">
        <v>0</v>
      </c>
      <c r="F242" s="779" t="str" cm="1">
        <f t="array" aca="1" ref="F242" ca="1">OFFSET(G242,-1,-1)</f>
        <v>1</v>
      </c>
      <c r="G242" s="814"/>
      <c r="H242" s="814"/>
      <c r="I242" s="814"/>
      <c r="J242" s="814"/>
      <c r="K242" s="814"/>
      <c r="L242" s="779" t="b" cm="1">
        <f t="array" aca="1" ref="L242" ca="1">OFFSET(M242,-1,-1)</f>
        <v>0</v>
      </c>
      <c r="M242" s="814"/>
      <c r="N242" s="814"/>
      <c r="O242" s="814"/>
      <c r="P242" s="814"/>
      <c r="Q242" s="814"/>
      <c r="R242" s="1155"/>
      <c r="S242" s="110" t="b" cm="1">
        <f t="array" aca="1" ref="S242" ca="1">OFFSET(T242,-1,-1)</f>
        <v>1</v>
      </c>
      <c r="T242" s="1155"/>
      <c r="U242" s="698" t="b">
        <f t="shared" ca="1" si="198"/>
        <v>1</v>
      </c>
      <c r="V242" s="1155"/>
      <c r="W242" s="1155"/>
      <c r="X242" s="820" t="str">
        <f>"{                  
         funcDyn: 'msg1',
         blok: 'blok_2',
         wsCross: 'Топливо 4.4',
         linkFormula: 'AE-AE#AF-AF',
         levelDyn: "&amp;Y139&amp;"
}"</f>
        <v>{                  
         funcDyn: 'msg1',
         blok: 'blok_2',
         wsCross: 'Топливо 4.4',
         linkFormula: 'AE-AE#AF-AF',
         levelDyn: 1
}</v>
      </c>
      <c r="Y242" s="1687"/>
      <c r="Z242" s="1687"/>
      <c r="AA242" s="699"/>
      <c r="AB242" s="1793"/>
      <c r="AD242" s="823"/>
      <c r="AE242" s="822" t="s">
        <v>238</v>
      </c>
      <c r="AF242" s="745"/>
      <c r="AG242" s="733"/>
      <c r="AH242" s="735"/>
      <c r="AI242" s="737"/>
      <c r="AJ242" s="737"/>
      <c r="AK242" s="737"/>
      <c r="AL242" s="737"/>
      <c r="AM242" s="737"/>
      <c r="AN242" s="737"/>
      <c r="AO242" s="737"/>
      <c r="AP242" s="737"/>
      <c r="AQ242" s="737"/>
      <c r="AR242" s="737"/>
      <c r="AS242" s="737"/>
      <c r="AT242" s="737"/>
      <c r="AU242" s="737"/>
      <c r="AV242" s="737"/>
      <c r="AW242" s="737"/>
      <c r="AX242" s="737"/>
      <c r="AY242" s="737"/>
      <c r="AZ242" s="737"/>
      <c r="BA242" s="737"/>
      <c r="BB242" s="737"/>
      <c r="BC242" s="737"/>
      <c r="BD242" s="737"/>
      <c r="BE242" s="737"/>
      <c r="BF242" s="737"/>
      <c r="BG242" s="737"/>
      <c r="BH242" s="737"/>
      <c r="BI242" s="737"/>
      <c r="BJ242" s="737"/>
      <c r="BK242" s="737"/>
      <c r="BL242" s="737"/>
      <c r="BM242" s="737"/>
      <c r="BN242" s="737"/>
      <c r="BO242" s="737"/>
      <c r="BP242" s="737"/>
      <c r="BQ242" s="737"/>
      <c r="BR242" s="737"/>
      <c r="BS242" s="737"/>
      <c r="BT242" s="737"/>
      <c r="BU242" s="737"/>
      <c r="BV242" s="737"/>
      <c r="BW242" s="737"/>
      <c r="BX242" s="737"/>
      <c r="BY242" s="737"/>
      <c r="BZ242" s="737"/>
      <c r="CA242" s="737"/>
      <c r="CB242" s="737"/>
      <c r="CC242" s="737"/>
      <c r="CD242" s="737"/>
      <c r="CE242" s="737"/>
      <c r="CF242" s="737"/>
      <c r="CG242" s="737"/>
      <c r="CH242" s="737"/>
      <c r="CI242" s="737"/>
      <c r="CJ242" s="737"/>
      <c r="CK242" s="737"/>
      <c r="CL242" s="737"/>
      <c r="CM242" s="737"/>
      <c r="CN242" s="737"/>
      <c r="CO242" s="737"/>
      <c r="CP242" s="737"/>
      <c r="CQ242" s="737"/>
      <c r="CR242" s="737"/>
      <c r="CS242" s="737"/>
      <c r="CT242" s="46"/>
      <c r="CW242" s="970" t="str">
        <f>IF(AND(ISNUMBER(VALUE(TRIM(SUBSTITUTE(AD242,".","")))),TRIM(SUBSTITUTE(AD242,".",""))&lt;&gt;""),"P"&amp;SUBSTITUTE(AD242,".",""),"")</f>
        <v/>
      </c>
      <c r="CX242" s="975"/>
      <c r="CY242" s="975"/>
      <c r="CZ242" s="975"/>
      <c r="DA242" s="976"/>
      <c r="DB242" s="976"/>
    </row>
    <row r="243" spans="1:106" s="1229" customFormat="1" ht="29.25" hidden="1" customHeight="1">
      <c r="A243" s="1155"/>
      <c r="B243" s="783"/>
      <c r="C243" s="1155"/>
      <c r="D243" s="1155"/>
      <c r="E243" s="676">
        <v>30</v>
      </c>
      <c r="F243" s="779" t="str" cm="1">
        <f t="array" aca="1" ref="F243" ca="1">OFFSET(G243,-1,-1)</f>
        <v>1</v>
      </c>
      <c r="G243" s="814"/>
      <c r="H243" s="814"/>
      <c r="I243" s="814"/>
      <c r="J243" s="814"/>
      <c r="K243" s="814"/>
      <c r="L243" s="779" t="b" cm="1">
        <f t="array" aca="1" ref="L243" ca="1">OFFSET(M243,-1,-1)</f>
        <v>0</v>
      </c>
      <c r="M243" s="814"/>
      <c r="N243" s="814"/>
      <c r="O243" s="814"/>
      <c r="P243" s="814"/>
      <c r="Q243" s="814"/>
      <c r="R243" s="779" t="s">
        <v>759</v>
      </c>
      <c r="S243" s="110" t="b" cm="1">
        <f t="array" aca="1" ref="S243" ca="1">OFFSET(T243,-1,-1)</f>
        <v>1</v>
      </c>
      <c r="T243" s="110" t="b" cm="1">
        <f t="array" aca="1" ref="T243" ca="1">L243</f>
        <v>0</v>
      </c>
      <c r="U243" s="698" t="b">
        <f t="shared" ca="1" si="198"/>
        <v>0</v>
      </c>
      <c r="V243" s="1155"/>
      <c r="W243" s="1155"/>
      <c r="X243" s="1155"/>
      <c r="Y243" s="1687"/>
      <c r="Z243" s="1687"/>
      <c r="AA243" s="699"/>
      <c r="AB243" s="1793"/>
      <c r="AD243" s="124" t="s">
        <v>874</v>
      </c>
      <c r="AE243" s="1757" t="s">
        <v>875</v>
      </c>
      <c r="AF243" s="1758"/>
      <c r="AG243" s="733" t="s">
        <v>839</v>
      </c>
      <c r="AH243" s="734">
        <f t="shared" ref="AH243:BM243" si="245">SUM(AH244:AH247)</f>
        <v>0</v>
      </c>
      <c r="AI243" s="734">
        <f t="shared" si="245"/>
        <v>0</v>
      </c>
      <c r="AJ243" s="734">
        <f t="shared" si="245"/>
        <v>0</v>
      </c>
      <c r="AK243" s="734">
        <f t="shared" si="245"/>
        <v>3896</v>
      </c>
      <c r="AL243" s="734">
        <f t="shared" ca="1" si="245"/>
        <v>0</v>
      </c>
      <c r="AM243" s="734">
        <f t="shared" si="245"/>
        <v>0</v>
      </c>
      <c r="AN243" s="734">
        <f t="shared" ca="1" si="245"/>
        <v>0</v>
      </c>
      <c r="AO243" s="734">
        <f t="shared" ca="1" si="245"/>
        <v>0</v>
      </c>
      <c r="AP243" s="734">
        <f t="shared" si="245"/>
        <v>0</v>
      </c>
      <c r="AQ243" s="734">
        <f t="shared" ca="1" si="245"/>
        <v>0</v>
      </c>
      <c r="AR243" s="734">
        <f t="shared" ca="1" si="245"/>
        <v>0</v>
      </c>
      <c r="AS243" s="734">
        <f t="shared" si="245"/>
        <v>0</v>
      </c>
      <c r="AT243" s="734">
        <f t="shared" ca="1" si="245"/>
        <v>0</v>
      </c>
      <c r="AU243" s="734">
        <f t="shared" ca="1" si="245"/>
        <v>0</v>
      </c>
      <c r="AV243" s="734">
        <f t="shared" si="245"/>
        <v>0</v>
      </c>
      <c r="AW243" s="734">
        <f t="shared" ca="1" si="245"/>
        <v>0</v>
      </c>
      <c r="AX243" s="734">
        <f t="shared" ca="1" si="245"/>
        <v>0</v>
      </c>
      <c r="AY243" s="734">
        <f t="shared" si="245"/>
        <v>0</v>
      </c>
      <c r="AZ243" s="734">
        <f t="shared" ca="1" si="245"/>
        <v>0</v>
      </c>
      <c r="BA243" s="734">
        <f t="shared" ca="1" si="245"/>
        <v>0</v>
      </c>
      <c r="BB243" s="734">
        <f t="shared" si="245"/>
        <v>0</v>
      </c>
      <c r="BC243" s="734">
        <f t="shared" ca="1" si="245"/>
        <v>0</v>
      </c>
      <c r="BD243" s="734">
        <f t="shared" ca="1" si="245"/>
        <v>0</v>
      </c>
      <c r="BE243" s="734">
        <f t="shared" si="245"/>
        <v>0</v>
      </c>
      <c r="BF243" s="734">
        <f t="shared" ca="1" si="245"/>
        <v>0</v>
      </c>
      <c r="BG243" s="734">
        <f t="shared" ca="1" si="245"/>
        <v>0</v>
      </c>
      <c r="BH243" s="734">
        <f t="shared" si="245"/>
        <v>0</v>
      </c>
      <c r="BI243" s="734">
        <f t="shared" ca="1" si="245"/>
        <v>0</v>
      </c>
      <c r="BJ243" s="734">
        <f t="shared" ca="1" si="245"/>
        <v>0</v>
      </c>
      <c r="BK243" s="734">
        <f t="shared" si="245"/>
        <v>0</v>
      </c>
      <c r="BL243" s="734">
        <f t="shared" ca="1" si="245"/>
        <v>0</v>
      </c>
      <c r="BM243" s="734">
        <f t="shared" ca="1" si="245"/>
        <v>0</v>
      </c>
      <c r="BN243" s="734">
        <f t="shared" ref="BN243:CS243" si="246">SUM(BN244:BN247)</f>
        <v>0</v>
      </c>
      <c r="BO243" s="734">
        <f t="shared" ca="1" si="246"/>
        <v>0</v>
      </c>
      <c r="BP243" s="734">
        <f t="shared" ca="1" si="246"/>
        <v>16645.639894177995</v>
      </c>
      <c r="BQ243" s="734">
        <f t="shared" si="246"/>
        <v>11907.662906757478</v>
      </c>
      <c r="BR243" s="734">
        <f t="shared" ca="1" si="246"/>
        <v>4737.9769874205185</v>
      </c>
      <c r="BS243" s="734">
        <f t="shared" ca="1" si="246"/>
        <v>0</v>
      </c>
      <c r="BT243" s="734">
        <f t="shared" si="246"/>
        <v>0</v>
      </c>
      <c r="BU243" s="734">
        <f t="shared" ca="1" si="246"/>
        <v>0</v>
      </c>
      <c r="BV243" s="734">
        <f t="shared" ca="1" si="246"/>
        <v>0</v>
      </c>
      <c r="BW243" s="734">
        <f t="shared" si="246"/>
        <v>0</v>
      </c>
      <c r="BX243" s="734">
        <f t="shared" ca="1" si="246"/>
        <v>0</v>
      </c>
      <c r="BY243" s="734">
        <f t="shared" ca="1" si="246"/>
        <v>0</v>
      </c>
      <c r="BZ243" s="734">
        <f t="shared" si="246"/>
        <v>0</v>
      </c>
      <c r="CA243" s="734">
        <f t="shared" ca="1" si="246"/>
        <v>0</v>
      </c>
      <c r="CB243" s="734">
        <f t="shared" ca="1" si="246"/>
        <v>0</v>
      </c>
      <c r="CC243" s="734">
        <f t="shared" si="246"/>
        <v>0</v>
      </c>
      <c r="CD243" s="734">
        <f t="shared" ca="1" si="246"/>
        <v>0</v>
      </c>
      <c r="CE243" s="734">
        <f t="shared" ca="1" si="246"/>
        <v>0</v>
      </c>
      <c r="CF243" s="734">
        <f t="shared" si="246"/>
        <v>0</v>
      </c>
      <c r="CG243" s="734">
        <f t="shared" ca="1" si="246"/>
        <v>0</v>
      </c>
      <c r="CH243" s="734">
        <f t="shared" ca="1" si="246"/>
        <v>0</v>
      </c>
      <c r="CI243" s="734">
        <f t="shared" si="246"/>
        <v>0</v>
      </c>
      <c r="CJ243" s="734">
        <f t="shared" ca="1" si="246"/>
        <v>0</v>
      </c>
      <c r="CK243" s="734">
        <f t="shared" ca="1" si="246"/>
        <v>0</v>
      </c>
      <c r="CL243" s="734">
        <f t="shared" si="246"/>
        <v>0</v>
      </c>
      <c r="CM243" s="734">
        <f t="shared" ca="1" si="246"/>
        <v>0</v>
      </c>
      <c r="CN243" s="734">
        <f t="shared" ca="1" si="246"/>
        <v>0</v>
      </c>
      <c r="CO243" s="734">
        <f t="shared" si="246"/>
        <v>0</v>
      </c>
      <c r="CP243" s="734">
        <f t="shared" ca="1" si="246"/>
        <v>0</v>
      </c>
      <c r="CQ243" s="734">
        <f t="shared" ca="1" si="246"/>
        <v>0</v>
      </c>
      <c r="CR243" s="734">
        <f t="shared" si="246"/>
        <v>0</v>
      </c>
      <c r="CS243" s="734">
        <f t="shared" ca="1" si="246"/>
        <v>0</v>
      </c>
      <c r="CT243" s="28"/>
      <c r="CW243" s="970" t="s">
        <v>876</v>
      </c>
      <c r="CX243" s="975"/>
      <c r="CY243" s="975"/>
      <c r="CZ243" s="975"/>
      <c r="DA243" s="976"/>
      <c r="DB243" s="976"/>
    </row>
    <row r="244" spans="1:106" s="1229" customFormat="1" ht="16.5" hidden="1" customHeight="1">
      <c r="E244" s="676">
        <v>17.100000000000001</v>
      </c>
      <c r="F244" s="779" t="str" cm="1">
        <f t="array" aca="1" ref="F244" ca="1">OFFSET(G244,-1,-1)</f>
        <v>1</v>
      </c>
      <c r="L244" s="779" t="b" cm="1">
        <f t="array" aca="1" ref="L244" ca="1">OFFSET(M244,-1,-1)</f>
        <v>0</v>
      </c>
      <c r="R244" s="779" t="s">
        <v>759</v>
      </c>
      <c r="S244" s="110" t="b" cm="1">
        <f t="array" aca="1" ref="S244" ca="1">OFFSET(T244,-1,-1)</f>
        <v>1</v>
      </c>
      <c r="T244" s="110" t="b">
        <f ca="1">AND(L244,AD244&lt;&gt;"33.0")</f>
        <v>0</v>
      </c>
      <c r="U244" s="698" t="b">
        <f t="shared" ca="1" si="198"/>
        <v>0</v>
      </c>
      <c r="X244" s="110" t="s">
        <v>236</v>
      </c>
      <c r="Y244" s="1722"/>
      <c r="Z244" s="1722"/>
      <c r="AB244" s="1793"/>
      <c r="AD244" s="111" t="s">
        <v>877</v>
      </c>
      <c r="AE244" s="821"/>
      <c r="AF244" s="524"/>
      <c r="AG244" s="733" t="s">
        <v>839</v>
      </c>
      <c r="AH244" s="41">
        <f t="shared" ref="AH244:AK246" si="247">AH$163*AH239</f>
        <v>0</v>
      </c>
      <c r="AI244" s="42">
        <f t="shared" si="247"/>
        <v>0</v>
      </c>
      <c r="AJ244" s="42">
        <f t="shared" si="247"/>
        <v>0</v>
      </c>
      <c r="AK244" s="42">
        <f t="shared" si="247"/>
        <v>0</v>
      </c>
      <c r="AL244" s="736">
        <f ca="1">AM244+AN244</f>
        <v>0</v>
      </c>
      <c r="AM244" s="42">
        <f t="shared" ref="AM244:AN246" si="248">AM$163*AM239</f>
        <v>0</v>
      </c>
      <c r="AN244" s="42">
        <f t="shared" ca="1" si="248"/>
        <v>0</v>
      </c>
      <c r="AO244" s="736">
        <f ca="1">AP244+AQ244</f>
        <v>0</v>
      </c>
      <c r="AP244" s="826">
        <f t="shared" ref="AP244:AQ246" si="249">AP$163*AP239</f>
        <v>0</v>
      </c>
      <c r="AQ244" s="826">
        <f t="shared" ca="1" si="249"/>
        <v>0</v>
      </c>
      <c r="AR244" s="736">
        <f ca="1">AS244+AT244</f>
        <v>0</v>
      </c>
      <c r="AS244" s="826">
        <f t="shared" ref="AS244:AT246" si="250">AS$163*AS239</f>
        <v>0</v>
      </c>
      <c r="AT244" s="826">
        <f t="shared" ca="1" si="250"/>
        <v>0</v>
      </c>
      <c r="AU244" s="736">
        <f ca="1">AV244+AW244</f>
        <v>0</v>
      </c>
      <c r="AV244" s="826">
        <f t="shared" ref="AV244:AW246" si="251">AV$163*AV239</f>
        <v>0</v>
      </c>
      <c r="AW244" s="826">
        <f t="shared" ca="1" si="251"/>
        <v>0</v>
      </c>
      <c r="AX244" s="736">
        <f ca="1">AY244+AZ244</f>
        <v>0</v>
      </c>
      <c r="AY244" s="826">
        <f t="shared" ref="AY244:AZ246" si="252">AY$163*AY239</f>
        <v>0</v>
      </c>
      <c r="AZ244" s="826">
        <f t="shared" ca="1" si="252"/>
        <v>0</v>
      </c>
      <c r="BA244" s="736">
        <f ca="1">BB244+BC244</f>
        <v>0</v>
      </c>
      <c r="BB244" s="42">
        <f t="shared" ref="BB244:BC246" si="253">BB$163*BB239</f>
        <v>0</v>
      </c>
      <c r="BC244" s="42">
        <f t="shared" ca="1" si="253"/>
        <v>0</v>
      </c>
      <c r="BD244" s="736">
        <f ca="1">BE244+BF244</f>
        <v>0</v>
      </c>
      <c r="BE244" s="42">
        <f t="shared" ref="BE244:BF246" si="254">BE$163*BE239</f>
        <v>0</v>
      </c>
      <c r="BF244" s="42">
        <f t="shared" ca="1" si="254"/>
        <v>0</v>
      </c>
      <c r="BG244" s="736">
        <f ca="1">BH244+BI244</f>
        <v>0</v>
      </c>
      <c r="BH244" s="42">
        <f t="shared" ref="BH244:BI246" si="255">BH$163*BH239</f>
        <v>0</v>
      </c>
      <c r="BI244" s="42">
        <f t="shared" ca="1" si="255"/>
        <v>0</v>
      </c>
      <c r="BJ244" s="736">
        <f ca="1">BK244+BL244</f>
        <v>0</v>
      </c>
      <c r="BK244" s="42">
        <f t="shared" ref="BK244:BL246" si="256">BK$163*BK239</f>
        <v>0</v>
      </c>
      <c r="BL244" s="42">
        <f t="shared" ca="1" si="256"/>
        <v>0</v>
      </c>
      <c r="BM244" s="736">
        <f ca="1">BN244+BO244</f>
        <v>0</v>
      </c>
      <c r="BN244" s="42">
        <f t="shared" ref="BN244:BO246" si="257">BN$163*BN239</f>
        <v>0</v>
      </c>
      <c r="BO244" s="42">
        <f t="shared" ca="1" si="257"/>
        <v>0</v>
      </c>
      <c r="BP244" s="736">
        <f ca="1">BQ244+BR244</f>
        <v>0</v>
      </c>
      <c r="BQ244" s="826">
        <f t="shared" ref="BQ244:BR246" si="258">BQ$163*BQ239</f>
        <v>0</v>
      </c>
      <c r="BR244" s="826">
        <f t="shared" ca="1" si="258"/>
        <v>0</v>
      </c>
      <c r="BS244" s="736">
        <f ca="1">BT244+BU244</f>
        <v>0</v>
      </c>
      <c r="BT244" s="826">
        <f t="shared" ref="BT244:BU246" si="259">BT$163*BT239</f>
        <v>0</v>
      </c>
      <c r="BU244" s="826">
        <f t="shared" ca="1" si="259"/>
        <v>0</v>
      </c>
      <c r="BV244" s="736">
        <f ca="1">BW244+BX244</f>
        <v>0</v>
      </c>
      <c r="BW244" s="826">
        <f t="shared" ref="BW244:BX246" si="260">BW$163*BW239</f>
        <v>0</v>
      </c>
      <c r="BX244" s="826">
        <f t="shared" ca="1" si="260"/>
        <v>0</v>
      </c>
      <c r="BY244" s="736">
        <f ca="1">BZ244+CA244</f>
        <v>0</v>
      </c>
      <c r="BZ244" s="826">
        <f t="shared" ref="BZ244:CA246" si="261">BZ$163*BZ239</f>
        <v>0</v>
      </c>
      <c r="CA244" s="826">
        <f t="shared" ca="1" si="261"/>
        <v>0</v>
      </c>
      <c r="CB244" s="736">
        <f ca="1">CC244+CD244</f>
        <v>0</v>
      </c>
      <c r="CC244" s="826">
        <f t="shared" ref="CC244:CD246" si="262">CC$163*CC239</f>
        <v>0</v>
      </c>
      <c r="CD244" s="826">
        <f t="shared" ca="1" si="262"/>
        <v>0</v>
      </c>
      <c r="CE244" s="736">
        <f ca="1">CF244+CG244</f>
        <v>0</v>
      </c>
      <c r="CF244" s="42">
        <f t="shared" ref="CF244:CG246" si="263">CF$163*CF239</f>
        <v>0</v>
      </c>
      <c r="CG244" s="42">
        <f t="shared" ca="1" si="263"/>
        <v>0</v>
      </c>
      <c r="CH244" s="736">
        <f ca="1">CI244+CJ244</f>
        <v>0</v>
      </c>
      <c r="CI244" s="42">
        <f t="shared" ref="CI244:CJ246" si="264">CI$163*CI239</f>
        <v>0</v>
      </c>
      <c r="CJ244" s="42">
        <f t="shared" ca="1" si="264"/>
        <v>0</v>
      </c>
      <c r="CK244" s="736">
        <f ca="1">CL244+CM244</f>
        <v>0</v>
      </c>
      <c r="CL244" s="42">
        <f t="shared" ref="CL244:CM246" si="265">CL$163*CL239</f>
        <v>0</v>
      </c>
      <c r="CM244" s="42">
        <f t="shared" ca="1" si="265"/>
        <v>0</v>
      </c>
      <c r="CN244" s="736">
        <f ca="1">CO244+CP244</f>
        <v>0</v>
      </c>
      <c r="CO244" s="42">
        <f t="shared" ref="CO244:CP246" si="266">CO$163*CO239</f>
        <v>0</v>
      </c>
      <c r="CP244" s="42">
        <f t="shared" ca="1" si="266"/>
        <v>0</v>
      </c>
      <c r="CQ244" s="736">
        <f ca="1">CR244+CS244</f>
        <v>0</v>
      </c>
      <c r="CR244" s="42">
        <f t="shared" ref="CR244:CS246" si="267">CR$163*CR239</f>
        <v>0</v>
      </c>
      <c r="CS244" s="42">
        <f t="shared" ca="1" si="267"/>
        <v>0</v>
      </c>
      <c r="CT244" s="28"/>
      <c r="CW244" s="970" t="s">
        <v>876</v>
      </c>
      <c r="CX244" s="975" t="s">
        <v>821</v>
      </c>
      <c r="CY244" s="979" cm="1">
        <f t="array" ref="CY244">AE244</f>
        <v>0</v>
      </c>
      <c r="CZ244" s="979" cm="1">
        <f t="array" ref="CZ244">AF244</f>
        <v>0</v>
      </c>
      <c r="DA244" s="976"/>
      <c r="DB244" s="976"/>
    </row>
    <row r="245" spans="1:106" s="1229" customFormat="1" ht="16.5" hidden="1" customHeight="1">
      <c r="E245" s="676">
        <v>17.100000000000001</v>
      </c>
      <c r="F245" s="779" t="str" cm="1">
        <f t="array" aca="1" ref="F245" ca="1">OFFSET(G245,-1,-1)</f>
        <v>1</v>
      </c>
      <c r="L245" s="779" t="b" cm="1">
        <f t="array" aca="1" ref="L245" ca="1">OFFSET(M245,-1,-1)</f>
        <v>0</v>
      </c>
      <c r="R245" s="779" t="s">
        <v>759</v>
      </c>
      <c r="S245" s="110" t="b" cm="1">
        <f t="array" aca="1" ref="S245" ca="1">OFFSET(T245,-1,-1)</f>
        <v>1</v>
      </c>
      <c r="T245" s="110" t="b">
        <f ca="1">AND(L245,AD245&lt;&gt;"33.0")</f>
        <v>0</v>
      </c>
      <c r="U245" s="698" t="b">
        <f t="shared" ca="1" si="198"/>
        <v>0</v>
      </c>
      <c r="X245" s="110" t="str">
        <f>'Топливо 4.4'!$AE$240&amp;'Топливо 4.4'!$AF$240</f>
        <v>Уголь длиннопламенный</v>
      </c>
      <c r="Y245" s="1722"/>
      <c r="Z245" s="1722"/>
      <c r="AB245" s="1793"/>
      <c r="AD245" s="111" t="s">
        <v>961</v>
      </c>
      <c r="AE245" s="821" t="str" cm="1">
        <f t="array" ref="AE245">IF(ISBLANK('Топливо 4.4'!$AE$240),"",'Топливо 4.4'!$AE$240)</f>
        <v>Уголь длиннопламенный</v>
      </c>
      <c r="AF245" s="524" t="str" cm="1">
        <f t="array" ref="AF245">IF(ISBLANK('Топливо 4.4'!$AF$240),"",'Топливо 4.4'!$AF$240)</f>
        <v/>
      </c>
      <c r="AG245" s="733" t="s">
        <v>839</v>
      </c>
      <c r="AH245" s="41">
        <f t="shared" si="247"/>
        <v>0</v>
      </c>
      <c r="AI245" s="42">
        <f t="shared" si="247"/>
        <v>0</v>
      </c>
      <c r="AJ245" s="42">
        <f t="shared" si="247"/>
        <v>0</v>
      </c>
      <c r="AK245" s="42">
        <f t="shared" si="247"/>
        <v>992</v>
      </c>
      <c r="AL245" s="736">
        <f ca="1">AM245+AN245</f>
        <v>0</v>
      </c>
      <c r="AM245" s="42">
        <f t="shared" si="248"/>
        <v>0</v>
      </c>
      <c r="AN245" s="42">
        <f t="shared" ca="1" si="248"/>
        <v>0</v>
      </c>
      <c r="AO245" s="736">
        <f ca="1">AP245+AQ245</f>
        <v>0</v>
      </c>
      <c r="AP245" s="826">
        <f t="shared" si="249"/>
        <v>0</v>
      </c>
      <c r="AQ245" s="826">
        <f t="shared" ca="1" si="249"/>
        <v>0</v>
      </c>
      <c r="AR245" s="736">
        <f ca="1">AS245+AT245</f>
        <v>0</v>
      </c>
      <c r="AS245" s="826">
        <f t="shared" si="250"/>
        <v>0</v>
      </c>
      <c r="AT245" s="826">
        <f t="shared" ca="1" si="250"/>
        <v>0</v>
      </c>
      <c r="AU245" s="736">
        <f ca="1">AV245+AW245</f>
        <v>0</v>
      </c>
      <c r="AV245" s="826">
        <f t="shared" si="251"/>
        <v>0</v>
      </c>
      <c r="AW245" s="826">
        <f t="shared" ca="1" si="251"/>
        <v>0</v>
      </c>
      <c r="AX245" s="736">
        <f ca="1">AY245+AZ245</f>
        <v>0</v>
      </c>
      <c r="AY245" s="826">
        <f t="shared" si="252"/>
        <v>0</v>
      </c>
      <c r="AZ245" s="826">
        <f t="shared" ca="1" si="252"/>
        <v>0</v>
      </c>
      <c r="BA245" s="736">
        <f ca="1">BB245+BC245</f>
        <v>0</v>
      </c>
      <c r="BB245" s="42">
        <f t="shared" si="253"/>
        <v>0</v>
      </c>
      <c r="BC245" s="42">
        <f t="shared" ca="1" si="253"/>
        <v>0</v>
      </c>
      <c r="BD245" s="736">
        <f ca="1">BE245+BF245</f>
        <v>0</v>
      </c>
      <c r="BE245" s="42">
        <f t="shared" si="254"/>
        <v>0</v>
      </c>
      <c r="BF245" s="42">
        <f t="shared" ca="1" si="254"/>
        <v>0</v>
      </c>
      <c r="BG245" s="736">
        <f ca="1">BH245+BI245</f>
        <v>0</v>
      </c>
      <c r="BH245" s="42">
        <f t="shared" si="255"/>
        <v>0</v>
      </c>
      <c r="BI245" s="42">
        <f t="shared" ca="1" si="255"/>
        <v>0</v>
      </c>
      <c r="BJ245" s="736">
        <f ca="1">BK245+BL245</f>
        <v>0</v>
      </c>
      <c r="BK245" s="42">
        <f t="shared" si="256"/>
        <v>0</v>
      </c>
      <c r="BL245" s="42">
        <f t="shared" ca="1" si="256"/>
        <v>0</v>
      </c>
      <c r="BM245" s="736">
        <f ca="1">BN245+BO245</f>
        <v>0</v>
      </c>
      <c r="BN245" s="42">
        <f t="shared" si="257"/>
        <v>0</v>
      </c>
      <c r="BO245" s="42">
        <f t="shared" ca="1" si="257"/>
        <v>0</v>
      </c>
      <c r="BP245" s="736">
        <f ca="1">BQ245+BR245</f>
        <v>16645.639894177995</v>
      </c>
      <c r="BQ245" s="826">
        <f t="shared" si="258"/>
        <v>11907.662906757478</v>
      </c>
      <c r="BR245" s="826">
        <f t="shared" ca="1" si="258"/>
        <v>4737.9769874205185</v>
      </c>
      <c r="BS245" s="736">
        <f ca="1">BT245+BU245</f>
        <v>0</v>
      </c>
      <c r="BT245" s="826">
        <f t="shared" si="259"/>
        <v>0</v>
      </c>
      <c r="BU245" s="826">
        <f t="shared" ca="1" si="259"/>
        <v>0</v>
      </c>
      <c r="BV245" s="736">
        <f ca="1">BW245+BX245</f>
        <v>0</v>
      </c>
      <c r="BW245" s="826">
        <f t="shared" si="260"/>
        <v>0</v>
      </c>
      <c r="BX245" s="826">
        <f t="shared" ca="1" si="260"/>
        <v>0</v>
      </c>
      <c r="BY245" s="736">
        <f ca="1">BZ245+CA245</f>
        <v>0</v>
      </c>
      <c r="BZ245" s="826">
        <f t="shared" si="261"/>
        <v>0</v>
      </c>
      <c r="CA245" s="826">
        <f t="shared" ca="1" si="261"/>
        <v>0</v>
      </c>
      <c r="CB245" s="736">
        <f ca="1">CC245+CD245</f>
        <v>0</v>
      </c>
      <c r="CC245" s="826">
        <f t="shared" si="262"/>
        <v>0</v>
      </c>
      <c r="CD245" s="826">
        <f t="shared" ca="1" si="262"/>
        <v>0</v>
      </c>
      <c r="CE245" s="736">
        <f ca="1">CF245+CG245</f>
        <v>0</v>
      </c>
      <c r="CF245" s="42">
        <f t="shared" si="263"/>
        <v>0</v>
      </c>
      <c r="CG245" s="42">
        <f t="shared" ca="1" si="263"/>
        <v>0</v>
      </c>
      <c r="CH245" s="736">
        <f ca="1">CI245+CJ245</f>
        <v>0</v>
      </c>
      <c r="CI245" s="42">
        <f t="shared" si="264"/>
        <v>0</v>
      </c>
      <c r="CJ245" s="42">
        <f t="shared" ca="1" si="264"/>
        <v>0</v>
      </c>
      <c r="CK245" s="736">
        <f ca="1">CL245+CM245</f>
        <v>0</v>
      </c>
      <c r="CL245" s="42">
        <f t="shared" si="265"/>
        <v>0</v>
      </c>
      <c r="CM245" s="42">
        <f t="shared" ca="1" si="265"/>
        <v>0</v>
      </c>
      <c r="CN245" s="736">
        <f ca="1">CO245+CP245</f>
        <v>0</v>
      </c>
      <c r="CO245" s="42">
        <f t="shared" si="266"/>
        <v>0</v>
      </c>
      <c r="CP245" s="42">
        <f t="shared" ca="1" si="266"/>
        <v>0</v>
      </c>
      <c r="CQ245" s="736">
        <f ca="1">CR245+CS245</f>
        <v>0</v>
      </c>
      <c r="CR245" s="42">
        <f t="shared" si="267"/>
        <v>0</v>
      </c>
      <c r="CS245" s="42">
        <f t="shared" ca="1" si="267"/>
        <v>0</v>
      </c>
      <c r="CT245" s="28"/>
      <c r="CW245" s="970" t="s">
        <v>876</v>
      </c>
      <c r="CX245" s="975" t="s">
        <v>821</v>
      </c>
      <c r="CY245" s="979" t="str" cm="1">
        <f t="array" ref="CY245">AE245</f>
        <v>Уголь длиннопламенный</v>
      </c>
      <c r="CZ245" s="979" t="str" cm="1">
        <f t="array" ref="CZ245">AF245</f>
        <v/>
      </c>
      <c r="DA245" s="976"/>
      <c r="DB245" s="976"/>
    </row>
    <row r="246" spans="1:106" s="1229" customFormat="1" ht="16.5" hidden="1" customHeight="1">
      <c r="E246" s="676">
        <v>17.100000000000001</v>
      </c>
      <c r="F246" s="779" t="str" cm="1">
        <f t="array" aca="1" ref="F246" ca="1">OFFSET(G246,-1,-1)</f>
        <v>1</v>
      </c>
      <c r="L246" s="779" t="b" cm="1">
        <f t="array" aca="1" ref="L246" ca="1">OFFSET(M246,-1,-1)</f>
        <v>0</v>
      </c>
      <c r="R246" s="779" t="s">
        <v>759</v>
      </c>
      <c r="S246" s="110" t="b" cm="1">
        <f t="array" aca="1" ref="S246" ca="1">OFFSET(T246,-1,-1)</f>
        <v>1</v>
      </c>
      <c r="T246" s="110" t="b">
        <f ca="1">AND(L246,AD246&lt;&gt;"33.0")</f>
        <v>0</v>
      </c>
      <c r="U246" s="698" t="b">
        <f t="shared" ca="1" si="198"/>
        <v>0</v>
      </c>
      <c r="X246" s="110" t="str">
        <f>'Топливо 4.4'!$AE$241&amp;'Топливо 4.4'!$AF$241</f>
        <v>Уголь бурый</v>
      </c>
      <c r="Y246" s="1722"/>
      <c r="Z246" s="1722"/>
      <c r="AB246" s="1793"/>
      <c r="AD246" s="111" t="s">
        <v>962</v>
      </c>
      <c r="AE246" s="821" t="str" cm="1">
        <f t="array" ref="AE246">IF(ISBLANK('Топливо 4.4'!$AE$241),"",'Топливо 4.4'!$AE$241)</f>
        <v>Уголь бурый</v>
      </c>
      <c r="AF246" s="524" t="str" cm="1">
        <f t="array" ref="AF246">IF(ISBLANK('Топливо 4.4'!$AF$241),"",'Топливо 4.4'!$AF$241)</f>
        <v/>
      </c>
      <c r="AG246" s="733" t="s">
        <v>839</v>
      </c>
      <c r="AH246" s="41">
        <f t="shared" si="247"/>
        <v>0</v>
      </c>
      <c r="AI246" s="42">
        <f t="shared" si="247"/>
        <v>0</v>
      </c>
      <c r="AJ246" s="42">
        <f t="shared" si="247"/>
        <v>0</v>
      </c>
      <c r="AK246" s="42">
        <f t="shared" si="247"/>
        <v>2904</v>
      </c>
      <c r="AL246" s="736">
        <f ca="1">AM246+AN246</f>
        <v>0</v>
      </c>
      <c r="AM246" s="42">
        <f t="shared" si="248"/>
        <v>0</v>
      </c>
      <c r="AN246" s="42">
        <f t="shared" ca="1" si="248"/>
        <v>0</v>
      </c>
      <c r="AO246" s="736">
        <f ca="1">AP246+AQ246</f>
        <v>0</v>
      </c>
      <c r="AP246" s="826">
        <f t="shared" si="249"/>
        <v>0</v>
      </c>
      <c r="AQ246" s="826">
        <f t="shared" ca="1" si="249"/>
        <v>0</v>
      </c>
      <c r="AR246" s="736">
        <f ca="1">AS246+AT246</f>
        <v>0</v>
      </c>
      <c r="AS246" s="826">
        <f t="shared" si="250"/>
        <v>0</v>
      </c>
      <c r="AT246" s="826">
        <f t="shared" ca="1" si="250"/>
        <v>0</v>
      </c>
      <c r="AU246" s="736">
        <f ca="1">AV246+AW246</f>
        <v>0</v>
      </c>
      <c r="AV246" s="826">
        <f t="shared" si="251"/>
        <v>0</v>
      </c>
      <c r="AW246" s="826">
        <f t="shared" ca="1" si="251"/>
        <v>0</v>
      </c>
      <c r="AX246" s="736">
        <f ca="1">AY246+AZ246</f>
        <v>0</v>
      </c>
      <c r="AY246" s="826">
        <f t="shared" si="252"/>
        <v>0</v>
      </c>
      <c r="AZ246" s="826">
        <f t="shared" ca="1" si="252"/>
        <v>0</v>
      </c>
      <c r="BA246" s="736">
        <f ca="1">BB246+BC246</f>
        <v>0</v>
      </c>
      <c r="BB246" s="42">
        <f t="shared" si="253"/>
        <v>0</v>
      </c>
      <c r="BC246" s="42">
        <f t="shared" ca="1" si="253"/>
        <v>0</v>
      </c>
      <c r="BD246" s="736">
        <f ca="1">BE246+BF246</f>
        <v>0</v>
      </c>
      <c r="BE246" s="42">
        <f t="shared" si="254"/>
        <v>0</v>
      </c>
      <c r="BF246" s="42">
        <f t="shared" ca="1" si="254"/>
        <v>0</v>
      </c>
      <c r="BG246" s="736">
        <f ca="1">BH246+BI246</f>
        <v>0</v>
      </c>
      <c r="BH246" s="42">
        <f t="shared" si="255"/>
        <v>0</v>
      </c>
      <c r="BI246" s="42">
        <f t="shared" ca="1" si="255"/>
        <v>0</v>
      </c>
      <c r="BJ246" s="736">
        <f ca="1">BK246+BL246</f>
        <v>0</v>
      </c>
      <c r="BK246" s="42">
        <f t="shared" si="256"/>
        <v>0</v>
      </c>
      <c r="BL246" s="42">
        <f t="shared" ca="1" si="256"/>
        <v>0</v>
      </c>
      <c r="BM246" s="736">
        <f ca="1">BN246+BO246</f>
        <v>0</v>
      </c>
      <c r="BN246" s="42">
        <f t="shared" si="257"/>
        <v>0</v>
      </c>
      <c r="BO246" s="42">
        <f t="shared" ca="1" si="257"/>
        <v>0</v>
      </c>
      <c r="BP246" s="736">
        <f ca="1">BQ246+BR246</f>
        <v>0</v>
      </c>
      <c r="BQ246" s="826">
        <f t="shared" si="258"/>
        <v>0</v>
      </c>
      <c r="BR246" s="826">
        <f t="shared" ca="1" si="258"/>
        <v>0</v>
      </c>
      <c r="BS246" s="736">
        <f ca="1">BT246+BU246</f>
        <v>0</v>
      </c>
      <c r="BT246" s="826">
        <f t="shared" si="259"/>
        <v>0</v>
      </c>
      <c r="BU246" s="826">
        <f t="shared" ca="1" si="259"/>
        <v>0</v>
      </c>
      <c r="BV246" s="736">
        <f ca="1">BW246+BX246</f>
        <v>0</v>
      </c>
      <c r="BW246" s="826">
        <f t="shared" si="260"/>
        <v>0</v>
      </c>
      <c r="BX246" s="826">
        <f t="shared" ca="1" si="260"/>
        <v>0</v>
      </c>
      <c r="BY246" s="736">
        <f ca="1">BZ246+CA246</f>
        <v>0</v>
      </c>
      <c r="BZ246" s="826">
        <f t="shared" si="261"/>
        <v>0</v>
      </c>
      <c r="CA246" s="826">
        <f t="shared" ca="1" si="261"/>
        <v>0</v>
      </c>
      <c r="CB246" s="736">
        <f ca="1">CC246+CD246</f>
        <v>0</v>
      </c>
      <c r="CC246" s="826">
        <f t="shared" si="262"/>
        <v>0</v>
      </c>
      <c r="CD246" s="826">
        <f t="shared" ca="1" si="262"/>
        <v>0</v>
      </c>
      <c r="CE246" s="736">
        <f ca="1">CF246+CG246</f>
        <v>0</v>
      </c>
      <c r="CF246" s="42">
        <f t="shared" si="263"/>
        <v>0</v>
      </c>
      <c r="CG246" s="42">
        <f t="shared" ca="1" si="263"/>
        <v>0</v>
      </c>
      <c r="CH246" s="736">
        <f ca="1">CI246+CJ246</f>
        <v>0</v>
      </c>
      <c r="CI246" s="42">
        <f t="shared" si="264"/>
        <v>0</v>
      </c>
      <c r="CJ246" s="42">
        <f t="shared" ca="1" si="264"/>
        <v>0</v>
      </c>
      <c r="CK246" s="736">
        <f ca="1">CL246+CM246</f>
        <v>0</v>
      </c>
      <c r="CL246" s="42">
        <f t="shared" si="265"/>
        <v>0</v>
      </c>
      <c r="CM246" s="42">
        <f t="shared" ca="1" si="265"/>
        <v>0</v>
      </c>
      <c r="CN246" s="736">
        <f ca="1">CO246+CP246</f>
        <v>0</v>
      </c>
      <c r="CO246" s="42">
        <f t="shared" si="266"/>
        <v>0</v>
      </c>
      <c r="CP246" s="42">
        <f t="shared" ca="1" si="266"/>
        <v>0</v>
      </c>
      <c r="CQ246" s="736">
        <f ca="1">CR246+CS246</f>
        <v>0</v>
      </c>
      <c r="CR246" s="42">
        <f t="shared" si="267"/>
        <v>0</v>
      </c>
      <c r="CS246" s="42">
        <f t="shared" ca="1" si="267"/>
        <v>0</v>
      </c>
      <c r="CT246" s="28"/>
      <c r="CW246" s="970" t="s">
        <v>876</v>
      </c>
      <c r="CX246" s="975" t="s">
        <v>821</v>
      </c>
      <c r="CY246" s="979" t="str" cm="1">
        <f t="array" ref="CY246">AE246</f>
        <v>Уголь бурый</v>
      </c>
      <c r="CZ246" s="979" t="str" cm="1">
        <f t="array" ref="CZ246">AF246</f>
        <v/>
      </c>
      <c r="DA246" s="976"/>
      <c r="DB246" s="976"/>
    </row>
    <row r="247" spans="1:106" s="1229" customFormat="1" ht="15" hidden="1" customHeight="1">
      <c r="A247" s="1155"/>
      <c r="B247" s="783"/>
      <c r="C247" s="1155"/>
      <c r="D247" s="1155"/>
      <c r="E247" s="676">
        <v>0</v>
      </c>
      <c r="F247" s="779" t="str" cm="1">
        <f t="array" aca="1" ref="F247" ca="1">OFFSET(G247,-1,-1)</f>
        <v>1</v>
      </c>
      <c r="G247" s="814"/>
      <c r="H247" s="814"/>
      <c r="I247" s="814"/>
      <c r="J247" s="814"/>
      <c r="K247" s="814"/>
      <c r="L247" s="779" t="b" cm="1">
        <f t="array" aca="1" ref="L247" ca="1">OFFSET(M247,-1,-1)</f>
        <v>0</v>
      </c>
      <c r="M247" s="814"/>
      <c r="N247" s="814"/>
      <c r="O247" s="814"/>
      <c r="P247" s="814"/>
      <c r="Q247" s="814"/>
      <c r="R247" s="1155"/>
      <c r="S247" s="110" t="b" cm="1">
        <f t="array" aca="1" ref="S247" ca="1">OFFSET(T247,-1,-1)</f>
        <v>1</v>
      </c>
      <c r="T247" s="1155"/>
      <c r="U247" s="698" t="b">
        <f t="shared" ca="1" si="198"/>
        <v>1</v>
      </c>
      <c r="V247" s="1155"/>
      <c r="W247" s="1155"/>
      <c r="X247" s="820" t="str">
        <f>"{                  
         funcDyn: 'msg1',
         blok: 'blok_2',
         wsCross: 'Топливо 4.4',
         linkFormula: 'AE-AE#AF-AF',
         levelDyn: "&amp;Y139&amp;"
}"</f>
        <v>{                  
         funcDyn: 'msg1',
         blok: 'blok_2',
         wsCross: 'Топливо 4.4',
         linkFormula: 'AE-AE#AF-AF',
         levelDyn: 1
}</v>
      </c>
      <c r="Y247" s="1687"/>
      <c r="Z247" s="1687"/>
      <c r="AA247" s="699"/>
      <c r="AB247" s="1794"/>
      <c r="AD247" s="823"/>
      <c r="AE247" s="822" t="s">
        <v>238</v>
      </c>
      <c r="AF247" s="745"/>
      <c r="AG247" s="733"/>
      <c r="AH247" s="735"/>
      <c r="AI247" s="737"/>
      <c r="AJ247" s="737"/>
      <c r="AK247" s="737"/>
      <c r="AL247" s="737"/>
      <c r="AM247" s="737"/>
      <c r="AN247" s="737"/>
      <c r="AO247" s="737"/>
      <c r="AP247" s="737"/>
      <c r="AQ247" s="737"/>
      <c r="AR247" s="737"/>
      <c r="AS247" s="737"/>
      <c r="AT247" s="737"/>
      <c r="AU247" s="737"/>
      <c r="AV247" s="737"/>
      <c r="AW247" s="737"/>
      <c r="AX247" s="737"/>
      <c r="AY247" s="737"/>
      <c r="AZ247" s="737"/>
      <c r="BA247" s="737"/>
      <c r="BB247" s="737"/>
      <c r="BC247" s="737"/>
      <c r="BD247" s="737"/>
      <c r="BE247" s="737"/>
      <c r="BF247" s="737"/>
      <c r="BG247" s="737"/>
      <c r="BH247" s="737"/>
      <c r="BI247" s="737"/>
      <c r="BJ247" s="737"/>
      <c r="BK247" s="737"/>
      <c r="BL247" s="737"/>
      <c r="BM247" s="737"/>
      <c r="BN247" s="737"/>
      <c r="BO247" s="737"/>
      <c r="BP247" s="737"/>
      <c r="BQ247" s="737"/>
      <c r="BR247" s="737"/>
      <c r="BS247" s="737"/>
      <c r="BT247" s="737"/>
      <c r="BU247" s="737"/>
      <c r="BV247" s="737"/>
      <c r="BW247" s="737"/>
      <c r="BX247" s="737"/>
      <c r="BY247" s="737"/>
      <c r="BZ247" s="737"/>
      <c r="CA247" s="737"/>
      <c r="CB247" s="737"/>
      <c r="CC247" s="737"/>
      <c r="CD247" s="737"/>
      <c r="CE247" s="737"/>
      <c r="CF247" s="737"/>
      <c r="CG247" s="737"/>
      <c r="CH247" s="737"/>
      <c r="CI247" s="737"/>
      <c r="CJ247" s="737"/>
      <c r="CK247" s="737"/>
      <c r="CL247" s="737"/>
      <c r="CM247" s="737"/>
      <c r="CN247" s="737"/>
      <c r="CO247" s="737"/>
      <c r="CP247" s="737"/>
      <c r="CQ247" s="737"/>
      <c r="CR247" s="737"/>
      <c r="CS247" s="737"/>
      <c r="CT247" s="46"/>
      <c r="CW247" s="970" t="str">
        <f>IF(AND(ISNUMBER(VALUE(TRIM(SUBSTITUTE(AD247,".","")))),TRIM(SUBSTITUTE(AD247,".",""))&lt;&gt;""),"P"&amp;SUBSTITUTE(AD247,".",""),"")</f>
        <v/>
      </c>
      <c r="CX247" s="975"/>
      <c r="CY247" s="975"/>
      <c r="CZ247" s="975"/>
      <c r="DA247" s="976"/>
      <c r="DB247" s="976"/>
    </row>
    <row r="248" spans="1:106" s="1229" customFormat="1" ht="16.5" customHeight="1">
      <c r="A248" s="1155"/>
      <c r="B248" s="783"/>
      <c r="C248" s="1155"/>
      <c r="D248" s="1155"/>
      <c r="E248" s="676">
        <v>17.100000000000001</v>
      </c>
      <c r="F248" s="779" t="str" cm="1">
        <f t="array" aca="1" ref="F248" ca="1">OFFSET(G248,-1,-1)</f>
        <v>1</v>
      </c>
      <c r="G248" s="814"/>
      <c r="H248" s="814"/>
      <c r="I248" s="814"/>
      <c r="J248" s="814"/>
      <c r="K248" s="814"/>
      <c r="L248" s="779" t="b" cm="1">
        <f t="array" aca="1" ref="L248" ca="1">OFFSET(M248,-1,-1)</f>
        <v>0</v>
      </c>
      <c r="M248" s="814"/>
      <c r="N248" s="814"/>
      <c r="O248" s="814"/>
      <c r="P248" s="814"/>
      <c r="Q248" s="814"/>
      <c r="R248" s="1155"/>
      <c r="S248" s="110" t="b" cm="1">
        <f t="array" aca="1" ref="S248" ca="1">OFFSET(T248,-1,-1)</f>
        <v>1</v>
      </c>
      <c r="T248" s="1155"/>
      <c r="U248" s="698" t="b">
        <f t="shared" ca="1" si="198"/>
        <v>1</v>
      </c>
      <c r="V248" s="1155"/>
      <c r="W248" s="1155"/>
      <c r="X248" s="1155"/>
      <c r="Y248" s="1687"/>
      <c r="Z248" s="1687"/>
      <c r="AA248" s="699"/>
      <c r="AB248" s="1783" t="s">
        <v>878</v>
      </c>
      <c r="AD248" s="124" t="s">
        <v>879</v>
      </c>
      <c r="AE248" s="1754" t="s">
        <v>880</v>
      </c>
      <c r="AF248" s="1734"/>
      <c r="AG248" s="849"/>
      <c r="AH248" s="735"/>
      <c r="AI248" s="737"/>
      <c r="AJ248" s="737"/>
      <c r="AK248" s="737"/>
      <c r="AL248" s="737"/>
      <c r="AM248" s="737"/>
      <c r="AN248" s="737"/>
      <c r="AO248" s="737"/>
      <c r="AP248" s="737"/>
      <c r="AQ248" s="737"/>
      <c r="AR248" s="737"/>
      <c r="AS248" s="737"/>
      <c r="AT248" s="737"/>
      <c r="AU248" s="737"/>
      <c r="AV248" s="737"/>
      <c r="AW248" s="737"/>
      <c r="AX248" s="737"/>
      <c r="AY248" s="737"/>
      <c r="AZ248" s="737"/>
      <c r="BA248" s="737"/>
      <c r="BB248" s="737"/>
      <c r="BC248" s="737"/>
      <c r="BD248" s="737"/>
      <c r="BE248" s="737"/>
      <c r="BF248" s="737"/>
      <c r="BG248" s="737"/>
      <c r="BH248" s="737"/>
      <c r="BI248" s="737"/>
      <c r="BJ248" s="737"/>
      <c r="BK248" s="737"/>
      <c r="BL248" s="737"/>
      <c r="BM248" s="737"/>
      <c r="BN248" s="737"/>
      <c r="BO248" s="737"/>
      <c r="BP248" s="737"/>
      <c r="BQ248" s="737"/>
      <c r="BR248" s="737"/>
      <c r="BS248" s="737"/>
      <c r="BT248" s="737"/>
      <c r="BU248" s="737"/>
      <c r="BV248" s="737"/>
      <c r="BW248" s="737"/>
      <c r="BX248" s="737"/>
      <c r="BY248" s="737"/>
      <c r="BZ248" s="737"/>
      <c r="CA248" s="737"/>
      <c r="CB248" s="737"/>
      <c r="CC248" s="737"/>
      <c r="CD248" s="737"/>
      <c r="CE248" s="737"/>
      <c r="CF248" s="737"/>
      <c r="CG248" s="737"/>
      <c r="CH248" s="737"/>
      <c r="CI248" s="737"/>
      <c r="CJ248" s="737"/>
      <c r="CK248" s="737"/>
      <c r="CL248" s="737"/>
      <c r="CM248" s="737"/>
      <c r="CN248" s="737"/>
      <c r="CO248" s="737"/>
      <c r="CP248" s="737"/>
      <c r="CQ248" s="737"/>
      <c r="CR248" s="737"/>
      <c r="CS248" s="737"/>
      <c r="CT248" s="1290"/>
      <c r="CW248" s="970" t="s">
        <v>881</v>
      </c>
      <c r="CX248" s="975"/>
      <c r="CY248" s="975"/>
      <c r="CZ248" s="975"/>
      <c r="DA248" s="976"/>
      <c r="DB248" s="976"/>
    </row>
    <row r="249" spans="1:106" s="1229" customFormat="1" ht="16.5" hidden="1" customHeight="1">
      <c r="E249" s="676">
        <v>17.100000000000001</v>
      </c>
      <c r="F249" s="779" t="str" cm="1">
        <f t="array" aca="1" ref="F249" ca="1">OFFSET(G249,-1,-1)</f>
        <v>1</v>
      </c>
      <c r="L249" s="779" t="b" cm="1">
        <f t="array" aca="1" ref="L249" ca="1">OFFSET(M249,-1,-1)</f>
        <v>0</v>
      </c>
      <c r="S249" s="110" t="b" cm="1">
        <f t="array" aca="1" ref="S249" ca="1">OFFSET(T249,-1,-1)</f>
        <v>1</v>
      </c>
      <c r="T249" s="110" t="b">
        <f>AD249&lt;&gt;"34.0"</f>
        <v>0</v>
      </c>
      <c r="U249" s="698" t="b">
        <f t="shared" ca="1" si="198"/>
        <v>0</v>
      </c>
      <c r="X249" s="110" t="s">
        <v>236</v>
      </c>
      <c r="Y249" s="1722"/>
      <c r="Z249" s="1722"/>
      <c r="AB249" s="1784"/>
      <c r="AD249" s="111" t="s">
        <v>882</v>
      </c>
      <c r="AE249" s="821"/>
      <c r="AF249" s="524"/>
      <c r="AG249" s="733" t="s">
        <v>533</v>
      </c>
      <c r="AH249" s="45"/>
      <c r="AI249" s="49"/>
      <c r="AJ249" s="49"/>
      <c r="AK249" s="49"/>
      <c r="AL249" s="737"/>
      <c r="AM249" s="49"/>
      <c r="AN249" s="49"/>
      <c r="AO249" s="737"/>
      <c r="AP249" s="829"/>
      <c r="AQ249" s="829"/>
      <c r="AR249" s="737"/>
      <c r="AS249" s="829"/>
      <c r="AT249" s="829"/>
      <c r="AU249" s="737"/>
      <c r="AV249" s="829"/>
      <c r="AW249" s="829"/>
      <c r="AX249" s="737"/>
      <c r="AY249" s="829"/>
      <c r="AZ249" s="829"/>
      <c r="BA249" s="737"/>
      <c r="BB249" s="49"/>
      <c r="BC249" s="49"/>
      <c r="BD249" s="737"/>
      <c r="BE249" s="49"/>
      <c r="BF249" s="49"/>
      <c r="BG249" s="737"/>
      <c r="BH249" s="49"/>
      <c r="BI249" s="49"/>
      <c r="BJ249" s="737"/>
      <c r="BK249" s="49"/>
      <c r="BL249" s="49"/>
      <c r="BM249" s="737"/>
      <c r="BN249" s="49"/>
      <c r="BO249" s="49"/>
      <c r="BP249" s="737"/>
      <c r="BQ249" s="829"/>
      <c r="BR249" s="829"/>
      <c r="BS249" s="737"/>
      <c r="BT249" s="829"/>
      <c r="BU249" s="829"/>
      <c r="BV249" s="737"/>
      <c r="BW249" s="829"/>
      <c r="BX249" s="829"/>
      <c r="BY249" s="737"/>
      <c r="BZ249" s="829"/>
      <c r="CA249" s="829"/>
      <c r="CB249" s="737"/>
      <c r="CC249" s="829"/>
      <c r="CD249" s="829"/>
      <c r="CE249" s="737"/>
      <c r="CF249" s="49"/>
      <c r="CG249" s="49"/>
      <c r="CH249" s="737"/>
      <c r="CI249" s="49"/>
      <c r="CJ249" s="49"/>
      <c r="CK249" s="737"/>
      <c r="CL249" s="49"/>
      <c r="CM249" s="49"/>
      <c r="CN249" s="737"/>
      <c r="CO249" s="49"/>
      <c r="CP249" s="49"/>
      <c r="CQ249" s="737"/>
      <c r="CR249" s="49"/>
      <c r="CS249" s="49"/>
      <c r="CT249" s="28"/>
      <c r="CW249" s="970" t="s">
        <v>881</v>
      </c>
      <c r="CX249" s="975" t="s">
        <v>821</v>
      </c>
      <c r="CY249" s="979" cm="1">
        <f t="array" ref="CY249">AE249</f>
        <v>0</v>
      </c>
      <c r="CZ249" s="979" cm="1">
        <f t="array" ref="CZ249">AF249</f>
        <v>0</v>
      </c>
      <c r="DA249" s="976"/>
      <c r="DB249" s="976"/>
    </row>
    <row r="250" spans="1:106" s="1229" customFormat="1" ht="16.5" customHeight="1">
      <c r="E250" s="676">
        <v>17.100000000000001</v>
      </c>
      <c r="F250" s="779" t="str" cm="1">
        <f t="array" aca="1" ref="F250" ca="1">OFFSET(G250,-1,-1)</f>
        <v>1</v>
      </c>
      <c r="L250" s="779" t="b" cm="1">
        <f t="array" aca="1" ref="L250" ca="1">OFFSET(M250,-1,-1)</f>
        <v>0</v>
      </c>
      <c r="S250" s="110" t="b" cm="1">
        <f t="array" aca="1" ref="S250" ca="1">OFFSET(T250,-1,-1)</f>
        <v>1</v>
      </c>
      <c r="T250" s="110" t="b">
        <f>AD250&lt;&gt;"34.0"</f>
        <v>1</v>
      </c>
      <c r="U250" s="698" t="b">
        <f t="shared" ca="1" si="198"/>
        <v>1</v>
      </c>
      <c r="X250" s="110" t="str">
        <f>'Топливо 4.4'!$AE$245&amp;'Топливо 4.4'!$AF$245</f>
        <v>Уголь длиннопламенный</v>
      </c>
      <c r="Y250" s="1722"/>
      <c r="Z250" s="1722"/>
      <c r="AB250" s="1784"/>
      <c r="AD250" s="111" t="s">
        <v>963</v>
      </c>
      <c r="AE250" s="821" t="str" cm="1">
        <f t="array" ref="AE250">IF(ISBLANK('Топливо 4.4'!$AE$245),"",'Топливо 4.4'!$AE$245)</f>
        <v>Уголь длиннопламенный</v>
      </c>
      <c r="AF250" s="524" t="str" cm="1">
        <f t="array" ref="AF250">IF(ISBLANK('Топливо 4.4'!$AF$245),"",'Топливо 4.4'!$AF$245)</f>
        <v/>
      </c>
      <c r="AG250" s="733" t="s">
        <v>533</v>
      </c>
      <c r="AH250" s="1306"/>
      <c r="AI250" s="1309"/>
      <c r="AJ250" s="1309"/>
      <c r="AK250" s="1309"/>
      <c r="AL250" s="737"/>
      <c r="AM250" s="1309"/>
      <c r="AN250" s="1309"/>
      <c r="AO250" s="737"/>
      <c r="AP250" s="829"/>
      <c r="AQ250" s="829"/>
      <c r="AR250" s="737"/>
      <c r="AS250" s="829"/>
      <c r="AT250" s="829"/>
      <c r="AU250" s="737"/>
      <c r="AV250" s="829"/>
      <c r="AW250" s="829"/>
      <c r="AX250" s="737"/>
      <c r="AY250" s="829"/>
      <c r="AZ250" s="829"/>
      <c r="BA250" s="737"/>
      <c r="BB250" s="1309"/>
      <c r="BC250" s="1309"/>
      <c r="BD250" s="737"/>
      <c r="BE250" s="1309"/>
      <c r="BF250" s="1309"/>
      <c r="BG250" s="737"/>
      <c r="BH250" s="1309"/>
      <c r="BI250" s="1309"/>
      <c r="BJ250" s="737"/>
      <c r="BK250" s="1309"/>
      <c r="BL250" s="1309"/>
      <c r="BM250" s="737"/>
      <c r="BN250" s="1309"/>
      <c r="BO250" s="1309"/>
      <c r="BP250" s="737"/>
      <c r="BQ250" s="829"/>
      <c r="BR250" s="829"/>
      <c r="BS250" s="737"/>
      <c r="BT250" s="829"/>
      <c r="BU250" s="829"/>
      <c r="BV250" s="737"/>
      <c r="BW250" s="829"/>
      <c r="BX250" s="829"/>
      <c r="BY250" s="737"/>
      <c r="BZ250" s="829"/>
      <c r="CA250" s="829"/>
      <c r="CB250" s="737"/>
      <c r="CC250" s="829"/>
      <c r="CD250" s="829"/>
      <c r="CE250" s="737"/>
      <c r="CF250" s="1309"/>
      <c r="CG250" s="1309"/>
      <c r="CH250" s="737"/>
      <c r="CI250" s="1309"/>
      <c r="CJ250" s="1309"/>
      <c r="CK250" s="737"/>
      <c r="CL250" s="1309"/>
      <c r="CM250" s="1309"/>
      <c r="CN250" s="737"/>
      <c r="CO250" s="1309"/>
      <c r="CP250" s="1309"/>
      <c r="CQ250" s="737"/>
      <c r="CR250" s="1309"/>
      <c r="CS250" s="1309"/>
      <c r="CT250" s="1290"/>
      <c r="CW250" s="970" t="s">
        <v>881</v>
      </c>
      <c r="CX250" s="975" t="s">
        <v>821</v>
      </c>
      <c r="CY250" s="979" t="str" cm="1">
        <f t="array" ref="CY250">AE250</f>
        <v>Уголь длиннопламенный</v>
      </c>
      <c r="CZ250" s="979" t="str" cm="1">
        <f t="array" ref="CZ250">AF250</f>
        <v/>
      </c>
      <c r="DA250" s="976"/>
      <c r="DB250" s="976"/>
    </row>
    <row r="251" spans="1:106" s="1229" customFormat="1" ht="16.5" customHeight="1">
      <c r="E251" s="676">
        <v>17.100000000000001</v>
      </c>
      <c r="F251" s="779" t="str" cm="1">
        <f t="array" aca="1" ref="F251" ca="1">OFFSET(G251,-1,-1)</f>
        <v>1</v>
      </c>
      <c r="L251" s="779" t="b" cm="1">
        <f t="array" aca="1" ref="L251" ca="1">OFFSET(M251,-1,-1)</f>
        <v>0</v>
      </c>
      <c r="S251" s="110" t="b" cm="1">
        <f t="array" aca="1" ref="S251" ca="1">OFFSET(T251,-1,-1)</f>
        <v>1</v>
      </c>
      <c r="T251" s="110" t="b">
        <f>AD251&lt;&gt;"34.0"</f>
        <v>1</v>
      </c>
      <c r="U251" s="698" t="b">
        <f t="shared" ca="1" si="198"/>
        <v>1</v>
      </c>
      <c r="X251" s="110" t="str">
        <f>'Топливо 4.4'!$AE$246&amp;'Топливо 4.4'!$AF$246</f>
        <v>Уголь бурый</v>
      </c>
      <c r="Y251" s="1722"/>
      <c r="Z251" s="1722"/>
      <c r="AB251" s="1784"/>
      <c r="AD251" s="111" t="s">
        <v>964</v>
      </c>
      <c r="AE251" s="821" t="str" cm="1">
        <f t="array" ref="AE251">IF(ISBLANK('Топливо 4.4'!$AE$246),"",'Топливо 4.4'!$AE$246)</f>
        <v>Уголь бурый</v>
      </c>
      <c r="AF251" s="524" t="str" cm="1">
        <f t="array" ref="AF251">IF(ISBLANK('Топливо 4.4'!$AF$246),"",'Топливо 4.4'!$AF$246)</f>
        <v/>
      </c>
      <c r="AG251" s="733" t="s">
        <v>533</v>
      </c>
      <c r="AH251" s="1306"/>
      <c r="AI251" s="1309"/>
      <c r="AJ251" s="1309"/>
      <c r="AK251" s="1309"/>
      <c r="AL251" s="737"/>
      <c r="AM251" s="1309"/>
      <c r="AN251" s="1309"/>
      <c r="AO251" s="737"/>
      <c r="AP251" s="829"/>
      <c r="AQ251" s="829"/>
      <c r="AR251" s="737"/>
      <c r="AS251" s="829"/>
      <c r="AT251" s="829"/>
      <c r="AU251" s="737"/>
      <c r="AV251" s="829"/>
      <c r="AW251" s="829"/>
      <c r="AX251" s="737"/>
      <c r="AY251" s="829"/>
      <c r="AZ251" s="829"/>
      <c r="BA251" s="737"/>
      <c r="BB251" s="1309"/>
      <c r="BC251" s="1309"/>
      <c r="BD251" s="737"/>
      <c r="BE251" s="1309"/>
      <c r="BF251" s="1309"/>
      <c r="BG251" s="737"/>
      <c r="BH251" s="1309"/>
      <c r="BI251" s="1309"/>
      <c r="BJ251" s="737"/>
      <c r="BK251" s="1309"/>
      <c r="BL251" s="1309"/>
      <c r="BM251" s="737"/>
      <c r="BN251" s="1309"/>
      <c r="BO251" s="1309"/>
      <c r="BP251" s="737"/>
      <c r="BQ251" s="829"/>
      <c r="BR251" s="829"/>
      <c r="BS251" s="737"/>
      <c r="BT251" s="829"/>
      <c r="BU251" s="829"/>
      <c r="BV251" s="737"/>
      <c r="BW251" s="829"/>
      <c r="BX251" s="829"/>
      <c r="BY251" s="737"/>
      <c r="BZ251" s="829"/>
      <c r="CA251" s="829"/>
      <c r="CB251" s="737"/>
      <c r="CC251" s="829"/>
      <c r="CD251" s="829"/>
      <c r="CE251" s="737"/>
      <c r="CF251" s="1309"/>
      <c r="CG251" s="1309"/>
      <c r="CH251" s="737"/>
      <c r="CI251" s="1309"/>
      <c r="CJ251" s="1309"/>
      <c r="CK251" s="737"/>
      <c r="CL251" s="1309"/>
      <c r="CM251" s="1309"/>
      <c r="CN251" s="737"/>
      <c r="CO251" s="1309"/>
      <c r="CP251" s="1309"/>
      <c r="CQ251" s="737"/>
      <c r="CR251" s="1309"/>
      <c r="CS251" s="1309"/>
      <c r="CT251" s="1290"/>
      <c r="CW251" s="970" t="s">
        <v>881</v>
      </c>
      <c r="CX251" s="975" t="s">
        <v>821</v>
      </c>
      <c r="CY251" s="979" t="str" cm="1">
        <f t="array" ref="CY251">AE251</f>
        <v>Уголь бурый</v>
      </c>
      <c r="CZ251" s="979" t="str" cm="1">
        <f t="array" ref="CZ251">AF251</f>
        <v/>
      </c>
      <c r="DA251" s="976"/>
      <c r="DB251" s="976"/>
    </row>
    <row r="252" spans="1:106" s="1229" customFormat="1" ht="15" hidden="1" customHeight="1">
      <c r="A252" s="1155"/>
      <c r="B252" s="783"/>
      <c r="C252" s="1155"/>
      <c r="D252" s="1155"/>
      <c r="E252" s="676">
        <v>0</v>
      </c>
      <c r="F252" s="779" t="str" cm="1">
        <f t="array" aca="1" ref="F252" ca="1">OFFSET(G252,-1,-1)</f>
        <v>1</v>
      </c>
      <c r="G252" s="814"/>
      <c r="H252" s="814"/>
      <c r="I252" s="814"/>
      <c r="J252" s="814"/>
      <c r="K252" s="814"/>
      <c r="L252" s="779" t="b" cm="1">
        <f t="array" aca="1" ref="L252" ca="1">OFFSET(M252,-1,-1)</f>
        <v>0</v>
      </c>
      <c r="M252" s="814"/>
      <c r="N252" s="814"/>
      <c r="O252" s="814"/>
      <c r="P252" s="814"/>
      <c r="Q252" s="814"/>
      <c r="R252" s="1155"/>
      <c r="S252" s="110" t="b" cm="1">
        <f t="array" aca="1" ref="S252" ca="1">OFFSET(T252,-1,-1)</f>
        <v>1</v>
      </c>
      <c r="T252" s="1155"/>
      <c r="U252" s="698" t="b">
        <f t="shared" ca="1" si="198"/>
        <v>1</v>
      </c>
      <c r="V252" s="1155"/>
      <c r="W252" s="1155"/>
      <c r="X252" s="820" t="str">
        <f>"{                  
         funcDyn: 'msg1',
         blok: 'blok_2',
         wsCross: 'Топливо 4.4',
         linkFormula: 'AE-AE#AF-AF',
         levelDyn: "&amp;Y139&amp;"
}"</f>
        <v>{                  
         funcDyn: 'msg1',
         blok: 'blok_2',
         wsCross: 'Топливо 4.4',
         linkFormula: 'AE-AE#AF-AF',
         levelDyn: 1
}</v>
      </c>
      <c r="Y252" s="1687"/>
      <c r="Z252" s="1687"/>
      <c r="AA252" s="699"/>
      <c r="AB252" s="1784"/>
      <c r="AD252" s="823"/>
      <c r="AE252" s="822" t="s">
        <v>238</v>
      </c>
      <c r="AF252" s="745"/>
      <c r="AG252" s="733"/>
      <c r="AH252" s="746"/>
      <c r="AI252" s="50"/>
      <c r="AJ252" s="50"/>
      <c r="AK252" s="50"/>
      <c r="AL252" s="737"/>
      <c r="AM252" s="50"/>
      <c r="AN252" s="50"/>
      <c r="AO252" s="737"/>
      <c r="AP252" s="50"/>
      <c r="AQ252" s="50"/>
      <c r="AR252" s="737"/>
      <c r="AS252" s="50"/>
      <c r="AT252" s="50"/>
      <c r="AU252" s="737"/>
      <c r="AV252" s="50"/>
      <c r="AW252" s="50"/>
      <c r="AX252" s="737"/>
      <c r="AY252" s="50"/>
      <c r="AZ252" s="50"/>
      <c r="BA252" s="737"/>
      <c r="BB252" s="50"/>
      <c r="BC252" s="50"/>
      <c r="BD252" s="737"/>
      <c r="BE252" s="50"/>
      <c r="BF252" s="50"/>
      <c r="BG252" s="737"/>
      <c r="BH252" s="50"/>
      <c r="BI252" s="50"/>
      <c r="BJ252" s="737"/>
      <c r="BK252" s="50"/>
      <c r="BL252" s="50"/>
      <c r="BM252" s="737"/>
      <c r="BN252" s="50"/>
      <c r="BO252" s="50"/>
      <c r="BP252" s="737"/>
      <c r="BQ252" s="50"/>
      <c r="BR252" s="50"/>
      <c r="BS252" s="737"/>
      <c r="BT252" s="50"/>
      <c r="BU252" s="50"/>
      <c r="BV252" s="737"/>
      <c r="BW252" s="50"/>
      <c r="BX252" s="50"/>
      <c r="BY252" s="737"/>
      <c r="BZ252" s="50"/>
      <c r="CA252" s="50"/>
      <c r="CB252" s="737"/>
      <c r="CC252" s="50"/>
      <c r="CD252" s="50"/>
      <c r="CE252" s="737"/>
      <c r="CF252" s="50"/>
      <c r="CG252" s="50"/>
      <c r="CH252" s="737"/>
      <c r="CI252" s="50"/>
      <c r="CJ252" s="50"/>
      <c r="CK252" s="737"/>
      <c r="CL252" s="50"/>
      <c r="CM252" s="50"/>
      <c r="CN252" s="737"/>
      <c r="CO252" s="50"/>
      <c r="CP252" s="50"/>
      <c r="CQ252" s="737"/>
      <c r="CR252" s="50"/>
      <c r="CS252" s="50"/>
      <c r="CT252" s="46"/>
      <c r="CW252" s="970" t="str">
        <f>IF(AND(ISNUMBER(VALUE(TRIM(SUBSTITUTE(AD252,".","")))),TRIM(SUBSTITUTE(AD252,".",""))&lt;&gt;""),"P"&amp;SUBSTITUTE(AD252,".",""),"")</f>
        <v/>
      </c>
      <c r="CX252" s="975"/>
      <c r="CY252" s="975"/>
      <c r="CZ252" s="975"/>
      <c r="DA252" s="976"/>
      <c r="DB252" s="976"/>
    </row>
    <row r="253" spans="1:106" s="1229" customFormat="1" ht="16.5" customHeight="1">
      <c r="A253" s="1155"/>
      <c r="B253" s="783"/>
      <c r="C253" s="1155"/>
      <c r="D253" s="1155"/>
      <c r="E253" s="676">
        <v>17.100000000000001</v>
      </c>
      <c r="F253" s="779" t="str" cm="1">
        <f t="array" aca="1" ref="F253" ca="1">OFFSET(G253,-1,-1)</f>
        <v>1</v>
      </c>
      <c r="G253" s="814"/>
      <c r="H253" s="814"/>
      <c r="I253" s="814"/>
      <c r="J253" s="814"/>
      <c r="K253" s="814"/>
      <c r="L253" s="779" t="b" cm="1">
        <f t="array" aca="1" ref="L253" ca="1">OFFSET(M253,-1,-1)</f>
        <v>0</v>
      </c>
      <c r="M253" s="814"/>
      <c r="N253" s="814"/>
      <c r="O253" s="814"/>
      <c r="P253" s="814"/>
      <c r="Q253" s="814"/>
      <c r="R253" s="1155"/>
      <c r="S253" s="110" t="b" cm="1">
        <f t="array" aca="1" ref="S253" ca="1">OFFSET(T253,-1,-1)</f>
        <v>1</v>
      </c>
      <c r="T253" s="1155"/>
      <c r="U253" s="698" t="b">
        <f t="shared" ca="1" si="198"/>
        <v>1</v>
      </c>
      <c r="V253" s="1155"/>
      <c r="W253" s="1155"/>
      <c r="X253" s="1155"/>
      <c r="Y253" s="1687"/>
      <c r="Z253" s="1687"/>
      <c r="AA253" s="699"/>
      <c r="AB253" s="1784"/>
      <c r="AD253" s="124" t="s">
        <v>883</v>
      </c>
      <c r="AE253" s="1754" t="s">
        <v>884</v>
      </c>
      <c r="AF253" s="1734"/>
      <c r="AG253" s="849"/>
      <c r="AH253" s="735"/>
      <c r="AI253" s="737"/>
      <c r="AJ253" s="737"/>
      <c r="AK253" s="737"/>
      <c r="AL253" s="737"/>
      <c r="AM253" s="737"/>
      <c r="AN253" s="737"/>
      <c r="AO253" s="737"/>
      <c r="AP253" s="737"/>
      <c r="AQ253" s="737"/>
      <c r="AR253" s="737"/>
      <c r="AS253" s="737"/>
      <c r="AT253" s="737"/>
      <c r="AU253" s="737"/>
      <c r="AV253" s="737"/>
      <c r="AW253" s="737"/>
      <c r="AX253" s="737"/>
      <c r="AY253" s="737"/>
      <c r="AZ253" s="737"/>
      <c r="BA253" s="737"/>
      <c r="BB253" s="737"/>
      <c r="BC253" s="737"/>
      <c r="BD253" s="737"/>
      <c r="BE253" s="737"/>
      <c r="BF253" s="737"/>
      <c r="BG253" s="737"/>
      <c r="BH253" s="737"/>
      <c r="BI253" s="737"/>
      <c r="BJ253" s="737"/>
      <c r="BK253" s="737"/>
      <c r="BL253" s="737"/>
      <c r="BM253" s="737"/>
      <c r="BN253" s="737"/>
      <c r="BO253" s="737"/>
      <c r="BP253" s="737"/>
      <c r="BQ253" s="737"/>
      <c r="BR253" s="737"/>
      <c r="BS253" s="737"/>
      <c r="BT253" s="737"/>
      <c r="BU253" s="737"/>
      <c r="BV253" s="737"/>
      <c r="BW253" s="737"/>
      <c r="BX253" s="737"/>
      <c r="BY253" s="737"/>
      <c r="BZ253" s="737"/>
      <c r="CA253" s="737"/>
      <c r="CB253" s="737"/>
      <c r="CC253" s="737"/>
      <c r="CD253" s="737"/>
      <c r="CE253" s="737"/>
      <c r="CF253" s="737"/>
      <c r="CG253" s="737"/>
      <c r="CH253" s="737"/>
      <c r="CI253" s="737"/>
      <c r="CJ253" s="737"/>
      <c r="CK253" s="737"/>
      <c r="CL253" s="737"/>
      <c r="CM253" s="737"/>
      <c r="CN253" s="737"/>
      <c r="CO253" s="737"/>
      <c r="CP253" s="737"/>
      <c r="CQ253" s="737"/>
      <c r="CR253" s="737"/>
      <c r="CS253" s="737"/>
      <c r="CT253" s="1290"/>
      <c r="CW253" s="970" t="s">
        <v>885</v>
      </c>
      <c r="CX253" s="975"/>
      <c r="CY253" s="975"/>
      <c r="CZ253" s="975"/>
      <c r="DA253" s="976"/>
      <c r="DB253" s="976"/>
    </row>
    <row r="254" spans="1:106" s="1229" customFormat="1" ht="16.5" hidden="1" customHeight="1">
      <c r="E254" s="676">
        <v>17.100000000000001</v>
      </c>
      <c r="F254" s="779" t="str" cm="1">
        <f t="array" aca="1" ref="F254" ca="1">OFFSET(G254,-1,-1)</f>
        <v>1</v>
      </c>
      <c r="L254" s="779" t="b" cm="1">
        <f t="array" aca="1" ref="L254" ca="1">OFFSET(M254,-1,-1)</f>
        <v>0</v>
      </c>
      <c r="S254" s="110" t="b" cm="1">
        <f t="array" aca="1" ref="S254" ca="1">OFFSET(T254,-1,-1)</f>
        <v>1</v>
      </c>
      <c r="T254" s="110" t="b">
        <f>AD254&lt;&gt;"35.0"</f>
        <v>0</v>
      </c>
      <c r="U254" s="698" t="b">
        <f t="shared" ca="1" si="198"/>
        <v>0</v>
      </c>
      <c r="X254" s="110" t="s">
        <v>236</v>
      </c>
      <c r="Y254" s="1722"/>
      <c r="Z254" s="1722"/>
      <c r="AB254" s="1784"/>
      <c r="AD254" s="111" t="s">
        <v>886</v>
      </c>
      <c r="AE254" s="821"/>
      <c r="AF254" s="524"/>
      <c r="AG254" s="894" t="str">
        <f>"руб./"&amp;IFERROR(INDEX(fuel_ed_izm_list,MATCH(AE254,fuel_list,0)),"")</f>
        <v>руб./</v>
      </c>
      <c r="AH254" s="41">
        <f t="shared" ref="AH254:AL256" si="268">IFERROR(AH260/AH181,0)*1000</f>
        <v>0</v>
      </c>
      <c r="AI254" s="41">
        <f t="shared" si="268"/>
        <v>0</v>
      </c>
      <c r="AJ254" s="41">
        <f t="shared" si="268"/>
        <v>0</v>
      </c>
      <c r="AK254" s="41">
        <f t="shared" si="268"/>
        <v>0</v>
      </c>
      <c r="AL254" s="736">
        <f t="shared" ca="1" si="268"/>
        <v>0</v>
      </c>
      <c r="AM254" s="42"/>
      <c r="AN254" s="42"/>
      <c r="AO254" s="736">
        <f ca="1">IFERROR(AO260/AO181,0)*1000</f>
        <v>0</v>
      </c>
      <c r="AP254" s="826"/>
      <c r="AQ254" s="826"/>
      <c r="AR254" s="736">
        <f ca="1">IFERROR(AR260/AR181,0)*1000</f>
        <v>0</v>
      </c>
      <c r="AS254" s="826"/>
      <c r="AT254" s="826"/>
      <c r="AU254" s="736">
        <f ca="1">IFERROR(AU260/AU181,0)*1000</f>
        <v>0</v>
      </c>
      <c r="AV254" s="826"/>
      <c r="AW254" s="826"/>
      <c r="AX254" s="736">
        <f ca="1">IFERROR(AX260/AX181,0)*1000</f>
        <v>0</v>
      </c>
      <c r="AY254" s="826"/>
      <c r="AZ254" s="826"/>
      <c r="BA254" s="736">
        <f ca="1">IFERROR(BA260/BA181,0)*1000</f>
        <v>0</v>
      </c>
      <c r="BB254" s="42"/>
      <c r="BC254" s="42"/>
      <c r="BD254" s="736">
        <f ca="1">IFERROR(BD260/BD181,0)*1000</f>
        <v>0</v>
      </c>
      <c r="BE254" s="42"/>
      <c r="BF254" s="42"/>
      <c r="BG254" s="736">
        <f ca="1">IFERROR(BG260/BG181,0)*1000</f>
        <v>0</v>
      </c>
      <c r="BH254" s="42"/>
      <c r="BI254" s="42"/>
      <c r="BJ254" s="736">
        <f ca="1">IFERROR(BJ260/BJ181,0)*1000</f>
        <v>0</v>
      </c>
      <c r="BK254" s="42"/>
      <c r="BL254" s="42"/>
      <c r="BM254" s="736">
        <f ca="1">IFERROR(BM260/BM181,0)*1000</f>
        <v>0</v>
      </c>
      <c r="BN254" s="42"/>
      <c r="BO254" s="42"/>
      <c r="BP254" s="736">
        <f ca="1">IFERROR(BP260/BP181,0)*1000</f>
        <v>0</v>
      </c>
      <c r="BQ254" s="826"/>
      <c r="BR254" s="826"/>
      <c r="BS254" s="736">
        <f ca="1">IFERROR(BS260/BS181,0)*1000</f>
        <v>0</v>
      </c>
      <c r="BT254" s="826"/>
      <c r="BU254" s="826"/>
      <c r="BV254" s="736">
        <f ca="1">IFERROR(BV260/BV181,0)*1000</f>
        <v>0</v>
      </c>
      <c r="BW254" s="826"/>
      <c r="BX254" s="826"/>
      <c r="BY254" s="736">
        <f ca="1">IFERROR(BY260/BY181,0)*1000</f>
        <v>0</v>
      </c>
      <c r="BZ254" s="826"/>
      <c r="CA254" s="826"/>
      <c r="CB254" s="736">
        <f ca="1">IFERROR(CB260/CB181,0)*1000</f>
        <v>0</v>
      </c>
      <c r="CC254" s="826"/>
      <c r="CD254" s="826"/>
      <c r="CE254" s="736">
        <f ca="1">IFERROR(CE260/CE181,0)*1000</f>
        <v>0</v>
      </c>
      <c r="CF254" s="42"/>
      <c r="CG254" s="42"/>
      <c r="CH254" s="736">
        <f ca="1">IFERROR(CH260/CH181,0)*1000</f>
        <v>0</v>
      </c>
      <c r="CI254" s="42"/>
      <c r="CJ254" s="42"/>
      <c r="CK254" s="736">
        <f ca="1">IFERROR(CK260/CK181,0)*1000</f>
        <v>0</v>
      </c>
      <c r="CL254" s="42"/>
      <c r="CM254" s="42"/>
      <c r="CN254" s="736">
        <f ca="1">IFERROR(CN260/CN181,0)*1000</f>
        <v>0</v>
      </c>
      <c r="CO254" s="42"/>
      <c r="CP254" s="42"/>
      <c r="CQ254" s="736">
        <f ca="1">IFERROR(CQ260/CQ181,0)*1000</f>
        <v>0</v>
      </c>
      <c r="CR254" s="42"/>
      <c r="CS254" s="42"/>
      <c r="CT254" s="28"/>
      <c r="CW254" s="970" t="s">
        <v>885</v>
      </c>
      <c r="CX254" s="975" t="s">
        <v>821</v>
      </c>
      <c r="CY254" s="979" cm="1">
        <f t="array" ref="CY254">AE254</f>
        <v>0</v>
      </c>
      <c r="CZ254" s="979" cm="1">
        <f t="array" ref="CZ254">AF254</f>
        <v>0</v>
      </c>
      <c r="DA254" s="976"/>
      <c r="DB254" s="976"/>
    </row>
    <row r="255" spans="1:106" s="1229" customFormat="1" ht="16.5" customHeight="1">
      <c r="E255" s="676">
        <v>17.100000000000001</v>
      </c>
      <c r="F255" s="779" t="str" cm="1">
        <f t="array" aca="1" ref="F255" ca="1">OFFSET(G255,-1,-1)</f>
        <v>1</v>
      </c>
      <c r="L255" s="779" t="b" cm="1">
        <f t="array" aca="1" ref="L255" ca="1">OFFSET(M255,-1,-1)</f>
        <v>0</v>
      </c>
      <c r="S255" s="110" t="b" cm="1">
        <f t="array" aca="1" ref="S255" ca="1">OFFSET(T255,-1,-1)</f>
        <v>1</v>
      </c>
      <c r="T255" s="110" t="b">
        <f>AD255&lt;&gt;"35.0"</f>
        <v>1</v>
      </c>
      <c r="U255" s="698" t="b">
        <f t="shared" ca="1" si="198"/>
        <v>1</v>
      </c>
      <c r="X255" s="110" t="str">
        <f>'Топливо 4.4'!$AE$250&amp;'Топливо 4.4'!$AF$250</f>
        <v>Уголь длиннопламенный</v>
      </c>
      <c r="Y255" s="1722"/>
      <c r="Z255" s="1722"/>
      <c r="AB255" s="1784"/>
      <c r="AD255" s="111" t="s">
        <v>965</v>
      </c>
      <c r="AE255" s="821" t="str" cm="1">
        <f t="array" ref="AE255">IF(ISBLANK('Топливо 4.4'!$AE$250),"",'Топливо 4.4'!$AE$250)</f>
        <v>Уголь длиннопламенный</v>
      </c>
      <c r="AF255" s="524" t="str" cm="1">
        <f t="array" ref="AF255">IF(ISBLANK('Топливо 4.4'!$AF$250),"",'Топливо 4.4'!$AF$250)</f>
        <v/>
      </c>
      <c r="AG255" s="894" t="str">
        <f>"руб./"&amp;IFERROR(INDEX(fuel_ed_izm_list,MATCH(AE255,fuel_list,0)),"")</f>
        <v>руб./тнт</v>
      </c>
      <c r="AH255" s="1303">
        <f t="shared" si="268"/>
        <v>0</v>
      </c>
      <c r="AI255" s="1303">
        <f t="shared" si="268"/>
        <v>0</v>
      </c>
      <c r="AJ255" s="1303">
        <f t="shared" si="268"/>
        <v>0</v>
      </c>
      <c r="AK255" s="1303">
        <f t="shared" si="268"/>
        <v>84.711375417349075</v>
      </c>
      <c r="AL255" s="736">
        <f t="shared" ca="1" si="268"/>
        <v>0</v>
      </c>
      <c r="AM255" s="1302"/>
      <c r="AN255" s="1302"/>
      <c r="AO255" s="736">
        <f ca="1">IFERROR(AO261/AO182,0)*1000</f>
        <v>0</v>
      </c>
      <c r="AP255" s="826"/>
      <c r="AQ255" s="826"/>
      <c r="AR255" s="736">
        <f ca="1">IFERROR(AR261/AR182,0)*1000</f>
        <v>0</v>
      </c>
      <c r="AS255" s="826"/>
      <c r="AT255" s="826"/>
      <c r="AU255" s="736">
        <f ca="1">IFERROR(AU261/AU182,0)*1000</f>
        <v>0</v>
      </c>
      <c r="AV255" s="826"/>
      <c r="AW255" s="826"/>
      <c r="AX255" s="736">
        <f ca="1">IFERROR(AX261/AX182,0)*1000</f>
        <v>0</v>
      </c>
      <c r="AY255" s="826"/>
      <c r="AZ255" s="826"/>
      <c r="BA255" s="736">
        <f ca="1">IFERROR(BA261/BA182,0)*1000</f>
        <v>0</v>
      </c>
      <c r="BB255" s="1302"/>
      <c r="BC255" s="1302"/>
      <c r="BD255" s="736">
        <f ca="1">IFERROR(BD261/BD182,0)*1000</f>
        <v>0</v>
      </c>
      <c r="BE255" s="1302"/>
      <c r="BF255" s="1302"/>
      <c r="BG255" s="736">
        <f ca="1">IFERROR(BG261/BG182,0)*1000</f>
        <v>0</v>
      </c>
      <c r="BH255" s="1302"/>
      <c r="BI255" s="1302"/>
      <c r="BJ255" s="736">
        <f ca="1">IFERROR(BJ261/BJ182,0)*1000</f>
        <v>0</v>
      </c>
      <c r="BK255" s="1302"/>
      <c r="BL255" s="1302"/>
      <c r="BM255" s="736">
        <f ca="1">IFERROR(BM261/BM182,0)*1000</f>
        <v>0</v>
      </c>
      <c r="BN255" s="1302"/>
      <c r="BO255" s="1302"/>
      <c r="BP255" s="736">
        <f ca="1">IFERROR(BP261/BP182,0)*1000</f>
        <v>80.80447952519998</v>
      </c>
      <c r="BQ255" s="826">
        <v>80.804479525199994</v>
      </c>
      <c r="BR255" s="826">
        <v>80.804479525199994</v>
      </c>
      <c r="BS255" s="736">
        <f ca="1">IFERROR(BS261/BS182,0)*1000</f>
        <v>0</v>
      </c>
      <c r="BT255" s="826"/>
      <c r="BU255" s="826"/>
      <c r="BV255" s="736">
        <f ca="1">IFERROR(BV261/BV182,0)*1000</f>
        <v>0</v>
      </c>
      <c r="BW255" s="826"/>
      <c r="BX255" s="826"/>
      <c r="BY255" s="736">
        <f ca="1">IFERROR(BY261/BY182,0)*1000</f>
        <v>0</v>
      </c>
      <c r="BZ255" s="826"/>
      <c r="CA255" s="826"/>
      <c r="CB255" s="736">
        <f ca="1">IFERROR(CB261/CB182,0)*1000</f>
        <v>0</v>
      </c>
      <c r="CC255" s="826"/>
      <c r="CD255" s="826"/>
      <c r="CE255" s="736">
        <f ca="1">IFERROR(CE261/CE182,0)*1000</f>
        <v>0</v>
      </c>
      <c r="CF255" s="1302"/>
      <c r="CG255" s="1302"/>
      <c r="CH255" s="736">
        <f ca="1">IFERROR(CH261/CH182,0)*1000</f>
        <v>0</v>
      </c>
      <c r="CI255" s="1302"/>
      <c r="CJ255" s="1302"/>
      <c r="CK255" s="736">
        <f ca="1">IFERROR(CK261/CK182,0)*1000</f>
        <v>0</v>
      </c>
      <c r="CL255" s="1302"/>
      <c r="CM255" s="1302"/>
      <c r="CN255" s="736">
        <f ca="1">IFERROR(CN261/CN182,0)*1000</f>
        <v>0</v>
      </c>
      <c r="CO255" s="1302"/>
      <c r="CP255" s="1302"/>
      <c r="CQ255" s="736">
        <f ca="1">IFERROR(CQ261/CQ182,0)*1000</f>
        <v>0</v>
      </c>
      <c r="CR255" s="1302"/>
      <c r="CS255" s="1302"/>
      <c r="CT255" s="1290"/>
      <c r="CW255" s="970" t="s">
        <v>885</v>
      </c>
      <c r="CX255" s="975" t="s">
        <v>821</v>
      </c>
      <c r="CY255" s="979" t="str" cm="1">
        <f t="array" ref="CY255">AE255</f>
        <v>Уголь длиннопламенный</v>
      </c>
      <c r="CZ255" s="979" t="str" cm="1">
        <f t="array" ref="CZ255">AF255</f>
        <v/>
      </c>
      <c r="DA255" s="976"/>
      <c r="DB255" s="976"/>
    </row>
    <row r="256" spans="1:106" s="1229" customFormat="1" ht="16.5" customHeight="1">
      <c r="E256" s="676">
        <v>17.100000000000001</v>
      </c>
      <c r="F256" s="779" t="str" cm="1">
        <f t="array" aca="1" ref="F256" ca="1">OFFSET(G256,-1,-1)</f>
        <v>1</v>
      </c>
      <c r="L256" s="779" t="b" cm="1">
        <f t="array" aca="1" ref="L256" ca="1">OFFSET(M256,-1,-1)</f>
        <v>0</v>
      </c>
      <c r="S256" s="110" t="b" cm="1">
        <f t="array" aca="1" ref="S256" ca="1">OFFSET(T256,-1,-1)</f>
        <v>1</v>
      </c>
      <c r="T256" s="110" t="b">
        <f>AD256&lt;&gt;"35.0"</f>
        <v>1</v>
      </c>
      <c r="U256" s="698" t="b">
        <f t="shared" ca="1" si="198"/>
        <v>1</v>
      </c>
      <c r="X256" s="110" t="str">
        <f>'Топливо 4.4'!$AE$251&amp;'Топливо 4.4'!$AF$251</f>
        <v>Уголь бурый</v>
      </c>
      <c r="Y256" s="1722"/>
      <c r="Z256" s="1722"/>
      <c r="AB256" s="1784"/>
      <c r="AD256" s="111" t="s">
        <v>966</v>
      </c>
      <c r="AE256" s="821" t="str" cm="1">
        <f t="array" ref="AE256">IF(ISBLANK('Топливо 4.4'!$AE$251),"",'Топливо 4.4'!$AE$251)</f>
        <v>Уголь бурый</v>
      </c>
      <c r="AF256" s="524" t="str" cm="1">
        <f t="array" ref="AF256">IF(ISBLANK('Топливо 4.4'!$AF$251),"",'Топливо 4.4'!$AF$251)</f>
        <v/>
      </c>
      <c r="AG256" s="894" t="str">
        <f>"руб./"&amp;IFERROR(INDEX(fuel_ed_izm_list,MATCH(AE256,fuel_list,0)),"")</f>
        <v>руб./тнт</v>
      </c>
      <c r="AH256" s="1303">
        <f t="shared" si="268"/>
        <v>0</v>
      </c>
      <c r="AI256" s="1303">
        <f t="shared" si="268"/>
        <v>0</v>
      </c>
      <c r="AJ256" s="1303">
        <f t="shared" si="268"/>
        <v>0</v>
      </c>
      <c r="AK256" s="1303">
        <f t="shared" si="268"/>
        <v>0</v>
      </c>
      <c r="AL256" s="736">
        <f t="shared" ca="1" si="268"/>
        <v>0</v>
      </c>
      <c r="AM256" s="1302"/>
      <c r="AN256" s="1302"/>
      <c r="AO256" s="736">
        <f ca="1">IFERROR(AO262/AO183,0)*1000</f>
        <v>0</v>
      </c>
      <c r="AP256" s="826"/>
      <c r="AQ256" s="826"/>
      <c r="AR256" s="736">
        <f ca="1">IFERROR(AR262/AR183,0)*1000</f>
        <v>0</v>
      </c>
      <c r="AS256" s="826"/>
      <c r="AT256" s="826"/>
      <c r="AU256" s="736">
        <f ca="1">IFERROR(AU262/AU183,0)*1000</f>
        <v>0</v>
      </c>
      <c r="AV256" s="826"/>
      <c r="AW256" s="826"/>
      <c r="AX256" s="736">
        <f ca="1">IFERROR(AX262/AX183,0)*1000</f>
        <v>0</v>
      </c>
      <c r="AY256" s="826"/>
      <c r="AZ256" s="826"/>
      <c r="BA256" s="736">
        <f ca="1">IFERROR(BA262/BA183,0)*1000</f>
        <v>0</v>
      </c>
      <c r="BB256" s="1302"/>
      <c r="BC256" s="1302"/>
      <c r="BD256" s="736">
        <f ca="1">IFERROR(BD262/BD183,0)*1000</f>
        <v>0</v>
      </c>
      <c r="BE256" s="1302"/>
      <c r="BF256" s="1302"/>
      <c r="BG256" s="736">
        <f ca="1">IFERROR(BG262/BG183,0)*1000</f>
        <v>0</v>
      </c>
      <c r="BH256" s="1302"/>
      <c r="BI256" s="1302"/>
      <c r="BJ256" s="736">
        <f ca="1">IFERROR(BJ262/BJ183,0)*1000</f>
        <v>0</v>
      </c>
      <c r="BK256" s="1302"/>
      <c r="BL256" s="1302"/>
      <c r="BM256" s="736">
        <f ca="1">IFERROR(BM262/BM183,0)*1000</f>
        <v>0</v>
      </c>
      <c r="BN256" s="1302"/>
      <c r="BO256" s="1302"/>
      <c r="BP256" s="736">
        <f ca="1">IFERROR(BP262/BP183,0)*1000</f>
        <v>0</v>
      </c>
      <c r="BQ256" s="826"/>
      <c r="BR256" s="826"/>
      <c r="BS256" s="736">
        <f ca="1">IFERROR(BS262/BS183,0)*1000</f>
        <v>0</v>
      </c>
      <c r="BT256" s="826"/>
      <c r="BU256" s="826"/>
      <c r="BV256" s="736">
        <f ca="1">IFERROR(BV262/BV183,0)*1000</f>
        <v>0</v>
      </c>
      <c r="BW256" s="826"/>
      <c r="BX256" s="826"/>
      <c r="BY256" s="736">
        <f ca="1">IFERROR(BY262/BY183,0)*1000</f>
        <v>0</v>
      </c>
      <c r="BZ256" s="826"/>
      <c r="CA256" s="826"/>
      <c r="CB256" s="736">
        <f ca="1">IFERROR(CB262/CB183,0)*1000</f>
        <v>0</v>
      </c>
      <c r="CC256" s="826"/>
      <c r="CD256" s="826"/>
      <c r="CE256" s="736">
        <f ca="1">IFERROR(CE262/CE183,0)*1000</f>
        <v>0</v>
      </c>
      <c r="CF256" s="1302"/>
      <c r="CG256" s="1302"/>
      <c r="CH256" s="736">
        <f ca="1">IFERROR(CH262/CH183,0)*1000</f>
        <v>0</v>
      </c>
      <c r="CI256" s="1302"/>
      <c r="CJ256" s="1302"/>
      <c r="CK256" s="736">
        <f ca="1">IFERROR(CK262/CK183,0)*1000</f>
        <v>0</v>
      </c>
      <c r="CL256" s="1302"/>
      <c r="CM256" s="1302"/>
      <c r="CN256" s="736">
        <f ca="1">IFERROR(CN262/CN183,0)*1000</f>
        <v>0</v>
      </c>
      <c r="CO256" s="1302"/>
      <c r="CP256" s="1302"/>
      <c r="CQ256" s="736">
        <f ca="1">IFERROR(CQ262/CQ183,0)*1000</f>
        <v>0</v>
      </c>
      <c r="CR256" s="1302"/>
      <c r="CS256" s="1302"/>
      <c r="CT256" s="1290"/>
      <c r="CW256" s="970" t="s">
        <v>885</v>
      </c>
      <c r="CX256" s="975" t="s">
        <v>821</v>
      </c>
      <c r="CY256" s="979" t="str" cm="1">
        <f t="array" ref="CY256">AE256</f>
        <v>Уголь бурый</v>
      </c>
      <c r="CZ256" s="979" t="str" cm="1">
        <f t="array" ref="CZ256">AF256</f>
        <v/>
      </c>
      <c r="DA256" s="976"/>
      <c r="DB256" s="976"/>
    </row>
    <row r="257" spans="1:106" s="1229" customFormat="1" ht="15" hidden="1" customHeight="1">
      <c r="A257" s="1155"/>
      <c r="B257" s="783"/>
      <c r="C257" s="1155"/>
      <c r="D257" s="1155"/>
      <c r="E257" s="676">
        <v>0</v>
      </c>
      <c r="F257" s="779" t="str" cm="1">
        <f t="array" aca="1" ref="F257" ca="1">OFFSET(G257,-1,-1)</f>
        <v>1</v>
      </c>
      <c r="G257" s="814"/>
      <c r="H257" s="814"/>
      <c r="I257" s="814"/>
      <c r="J257" s="814"/>
      <c r="K257" s="814"/>
      <c r="L257" s="779" t="b" cm="1">
        <f t="array" aca="1" ref="L257" ca="1">OFFSET(M257,-1,-1)</f>
        <v>0</v>
      </c>
      <c r="M257" s="814"/>
      <c r="N257" s="814"/>
      <c r="O257" s="814"/>
      <c r="P257" s="814"/>
      <c r="Q257" s="814"/>
      <c r="R257" s="1155"/>
      <c r="S257" s="110" t="b" cm="1">
        <f t="array" aca="1" ref="S257" ca="1">OFFSET(T257,-1,-1)</f>
        <v>1</v>
      </c>
      <c r="T257" s="1155"/>
      <c r="U257" s="698" t="b">
        <f t="shared" ca="1" si="198"/>
        <v>1</v>
      </c>
      <c r="V257" s="1155"/>
      <c r="W257" s="1155"/>
      <c r="X257" s="820" t="str">
        <f>"{                  
         funcDyn: 'msg1',
         blok: 'blok_2',
         wsCross: 'Топливо 4.4',
         linkFormula: 'AE-AE#AF-AF',
         levelDyn: "&amp;Y139&amp;"
}"</f>
        <v>{                  
         funcDyn: 'msg1',
         blok: 'blok_2',
         wsCross: 'Топливо 4.4',
         linkFormula: 'AE-AE#AF-AF',
         levelDyn: 1
}</v>
      </c>
      <c r="Y257" s="1687"/>
      <c r="Z257" s="1687"/>
      <c r="AA257" s="699"/>
      <c r="AB257" s="1784"/>
      <c r="AD257" s="823"/>
      <c r="AE257" s="822" t="s">
        <v>238</v>
      </c>
      <c r="AF257" s="745"/>
      <c r="AG257" s="733"/>
      <c r="AH257" s="735"/>
      <c r="AI257" s="737"/>
      <c r="AJ257" s="737"/>
      <c r="AK257" s="737"/>
      <c r="AL257" s="737"/>
      <c r="AM257" s="737"/>
      <c r="AN257" s="737"/>
      <c r="AO257" s="737"/>
      <c r="AP257" s="737"/>
      <c r="AQ257" s="737"/>
      <c r="AR257" s="737"/>
      <c r="AS257" s="737"/>
      <c r="AT257" s="737"/>
      <c r="AU257" s="737"/>
      <c r="AV257" s="737"/>
      <c r="AW257" s="737"/>
      <c r="AX257" s="737"/>
      <c r="AY257" s="737"/>
      <c r="AZ257" s="737"/>
      <c r="BA257" s="737"/>
      <c r="BB257" s="737"/>
      <c r="BC257" s="737"/>
      <c r="BD257" s="737"/>
      <c r="BE257" s="737"/>
      <c r="BF257" s="737"/>
      <c r="BG257" s="737"/>
      <c r="BH257" s="737"/>
      <c r="BI257" s="737"/>
      <c r="BJ257" s="737"/>
      <c r="BK257" s="737"/>
      <c r="BL257" s="737"/>
      <c r="BM257" s="737"/>
      <c r="BN257" s="737"/>
      <c r="BO257" s="737"/>
      <c r="BP257" s="737"/>
      <c r="BQ257" s="737"/>
      <c r="BR257" s="737"/>
      <c r="BS257" s="737"/>
      <c r="BT257" s="737"/>
      <c r="BU257" s="737"/>
      <c r="BV257" s="737"/>
      <c r="BW257" s="737"/>
      <c r="BX257" s="737"/>
      <c r="BY257" s="737"/>
      <c r="BZ257" s="737"/>
      <c r="CA257" s="737"/>
      <c r="CB257" s="737"/>
      <c r="CC257" s="737"/>
      <c r="CD257" s="737"/>
      <c r="CE257" s="737"/>
      <c r="CF257" s="737"/>
      <c r="CG257" s="737"/>
      <c r="CH257" s="737"/>
      <c r="CI257" s="737"/>
      <c r="CJ257" s="737"/>
      <c r="CK257" s="737"/>
      <c r="CL257" s="737"/>
      <c r="CM257" s="737"/>
      <c r="CN257" s="737"/>
      <c r="CO257" s="737"/>
      <c r="CP257" s="737"/>
      <c r="CQ257" s="737"/>
      <c r="CR257" s="737"/>
      <c r="CS257" s="737"/>
      <c r="CT257" s="46"/>
      <c r="CW257" s="970" t="str">
        <f>IF(AND(ISNUMBER(VALUE(TRIM(SUBSTITUTE(AD257,".","")))),TRIM(SUBSTITUTE(AD257,".",""))&lt;&gt;""),"P"&amp;SUBSTITUTE(AD257,".",""),"")</f>
        <v/>
      </c>
      <c r="CX257" s="975"/>
      <c r="CY257" s="975"/>
      <c r="CZ257" s="975"/>
      <c r="DA257" s="976"/>
      <c r="DB257" s="976"/>
    </row>
    <row r="258" spans="1:106" s="1229" customFormat="1" ht="16.5" customHeight="1">
      <c r="A258" s="1155"/>
      <c r="B258" s="783"/>
      <c r="C258" s="1155"/>
      <c r="D258" s="1155"/>
      <c r="E258" s="676">
        <v>17.100000000000001</v>
      </c>
      <c r="F258" s="779" t="str" cm="1">
        <f t="array" aca="1" ref="F258" ca="1">OFFSET(G258,-1,-1)</f>
        <v>1</v>
      </c>
      <c r="G258" s="814"/>
      <c r="H258" s="814"/>
      <c r="I258" s="814"/>
      <c r="J258" s="814"/>
      <c r="K258" s="814"/>
      <c r="L258" s="779" t="b" cm="1">
        <f t="array" aca="1" ref="L258" ca="1">OFFSET(M258,-1,-1)</f>
        <v>0</v>
      </c>
      <c r="M258" s="814"/>
      <c r="N258" s="814"/>
      <c r="O258" s="814"/>
      <c r="P258" s="814"/>
      <c r="Q258" s="814"/>
      <c r="R258" s="1155"/>
      <c r="S258" s="110" t="b" cm="1">
        <f t="array" aca="1" ref="S258" ca="1">OFFSET(T258,-1,-1)</f>
        <v>1</v>
      </c>
      <c r="T258" s="1155"/>
      <c r="U258" s="698" t="b">
        <f t="shared" ca="1" si="198"/>
        <v>1</v>
      </c>
      <c r="V258" s="1155"/>
      <c r="W258" s="1155"/>
      <c r="X258" s="1155"/>
      <c r="Y258" s="1687"/>
      <c r="Z258" s="1687"/>
      <c r="AA258" s="699"/>
      <c r="AB258" s="1784"/>
      <c r="AD258" s="124" t="s">
        <v>887</v>
      </c>
      <c r="AE258" s="1754" t="s">
        <v>888</v>
      </c>
      <c r="AF258" s="1734"/>
      <c r="AG258" s="733" t="s">
        <v>839</v>
      </c>
      <c r="AH258" s="734">
        <f t="shared" ref="AH258:BM258" si="269">SUM(AH260:AH263)</f>
        <v>0</v>
      </c>
      <c r="AI258" s="734">
        <f t="shared" si="269"/>
        <v>0</v>
      </c>
      <c r="AJ258" s="734">
        <f t="shared" si="269"/>
        <v>0</v>
      </c>
      <c r="AK258" s="734">
        <f t="shared" si="269"/>
        <v>3048</v>
      </c>
      <c r="AL258" s="734">
        <f t="shared" ca="1" si="269"/>
        <v>0</v>
      </c>
      <c r="AM258" s="734">
        <f t="shared" si="269"/>
        <v>0</v>
      </c>
      <c r="AN258" s="734">
        <f t="shared" ca="1" si="269"/>
        <v>0</v>
      </c>
      <c r="AO258" s="734">
        <f t="shared" ca="1" si="269"/>
        <v>0</v>
      </c>
      <c r="AP258" s="734">
        <f t="shared" si="269"/>
        <v>0</v>
      </c>
      <c r="AQ258" s="734">
        <f t="shared" ca="1" si="269"/>
        <v>0</v>
      </c>
      <c r="AR258" s="734">
        <f t="shared" ca="1" si="269"/>
        <v>0</v>
      </c>
      <c r="AS258" s="734">
        <f t="shared" si="269"/>
        <v>0</v>
      </c>
      <c r="AT258" s="734">
        <f t="shared" ca="1" si="269"/>
        <v>0</v>
      </c>
      <c r="AU258" s="734">
        <f t="shared" ca="1" si="269"/>
        <v>0</v>
      </c>
      <c r="AV258" s="734">
        <f t="shared" si="269"/>
        <v>0</v>
      </c>
      <c r="AW258" s="734">
        <f t="shared" ca="1" si="269"/>
        <v>0</v>
      </c>
      <c r="AX258" s="734">
        <f t="shared" ca="1" si="269"/>
        <v>0</v>
      </c>
      <c r="AY258" s="734">
        <f t="shared" si="269"/>
        <v>0</v>
      </c>
      <c r="AZ258" s="734">
        <f t="shared" ca="1" si="269"/>
        <v>0</v>
      </c>
      <c r="BA258" s="734">
        <f t="shared" ca="1" si="269"/>
        <v>0</v>
      </c>
      <c r="BB258" s="734">
        <f t="shared" si="269"/>
        <v>0</v>
      </c>
      <c r="BC258" s="734">
        <f t="shared" ca="1" si="269"/>
        <v>0</v>
      </c>
      <c r="BD258" s="734">
        <f t="shared" ca="1" si="269"/>
        <v>0</v>
      </c>
      <c r="BE258" s="734">
        <f t="shared" si="269"/>
        <v>0</v>
      </c>
      <c r="BF258" s="734">
        <f t="shared" ca="1" si="269"/>
        <v>0</v>
      </c>
      <c r="BG258" s="734">
        <f t="shared" ca="1" si="269"/>
        <v>0</v>
      </c>
      <c r="BH258" s="734">
        <f t="shared" si="269"/>
        <v>0</v>
      </c>
      <c r="BI258" s="734">
        <f t="shared" ca="1" si="269"/>
        <v>0</v>
      </c>
      <c r="BJ258" s="734">
        <f t="shared" ca="1" si="269"/>
        <v>0</v>
      </c>
      <c r="BK258" s="734">
        <f t="shared" si="269"/>
        <v>0</v>
      </c>
      <c r="BL258" s="734">
        <f t="shared" ca="1" si="269"/>
        <v>0</v>
      </c>
      <c r="BM258" s="734">
        <f t="shared" ca="1" si="269"/>
        <v>0</v>
      </c>
      <c r="BN258" s="734">
        <f t="shared" ref="BN258:CS258" si="270">SUM(BN260:BN263)</f>
        <v>0</v>
      </c>
      <c r="BO258" s="734">
        <f t="shared" ca="1" si="270"/>
        <v>0</v>
      </c>
      <c r="BP258" s="734">
        <f t="shared" ca="1" si="270"/>
        <v>3188.3450757450137</v>
      </c>
      <c r="BQ258" s="734">
        <f t="shared" si="270"/>
        <v>2280.8218028116007</v>
      </c>
      <c r="BR258" s="734">
        <f t="shared" ca="1" si="270"/>
        <v>907.52327293341307</v>
      </c>
      <c r="BS258" s="734">
        <f t="shared" ca="1" si="270"/>
        <v>0</v>
      </c>
      <c r="BT258" s="734">
        <f t="shared" si="270"/>
        <v>0</v>
      </c>
      <c r="BU258" s="734">
        <f t="shared" ca="1" si="270"/>
        <v>0</v>
      </c>
      <c r="BV258" s="734">
        <f t="shared" ca="1" si="270"/>
        <v>0</v>
      </c>
      <c r="BW258" s="734">
        <f t="shared" si="270"/>
        <v>0</v>
      </c>
      <c r="BX258" s="734">
        <f t="shared" ca="1" si="270"/>
        <v>0</v>
      </c>
      <c r="BY258" s="734">
        <f t="shared" ca="1" si="270"/>
        <v>0</v>
      </c>
      <c r="BZ258" s="734">
        <f t="shared" si="270"/>
        <v>0</v>
      </c>
      <c r="CA258" s="734">
        <f t="shared" ca="1" si="270"/>
        <v>0</v>
      </c>
      <c r="CB258" s="734">
        <f t="shared" ca="1" si="270"/>
        <v>0</v>
      </c>
      <c r="CC258" s="734">
        <f t="shared" si="270"/>
        <v>0</v>
      </c>
      <c r="CD258" s="734">
        <f t="shared" ca="1" si="270"/>
        <v>0</v>
      </c>
      <c r="CE258" s="734">
        <f t="shared" ca="1" si="270"/>
        <v>0</v>
      </c>
      <c r="CF258" s="734">
        <f t="shared" si="270"/>
        <v>0</v>
      </c>
      <c r="CG258" s="734">
        <f t="shared" ca="1" si="270"/>
        <v>0</v>
      </c>
      <c r="CH258" s="734">
        <f t="shared" ca="1" si="270"/>
        <v>0</v>
      </c>
      <c r="CI258" s="734">
        <f t="shared" si="270"/>
        <v>0</v>
      </c>
      <c r="CJ258" s="734">
        <f t="shared" ca="1" si="270"/>
        <v>0</v>
      </c>
      <c r="CK258" s="734">
        <f t="shared" ca="1" si="270"/>
        <v>0</v>
      </c>
      <c r="CL258" s="734">
        <f t="shared" si="270"/>
        <v>0</v>
      </c>
      <c r="CM258" s="734">
        <f t="shared" ca="1" si="270"/>
        <v>0</v>
      </c>
      <c r="CN258" s="734">
        <f t="shared" ca="1" si="270"/>
        <v>0</v>
      </c>
      <c r="CO258" s="734">
        <f t="shared" si="270"/>
        <v>0</v>
      </c>
      <c r="CP258" s="734">
        <f t="shared" ca="1" si="270"/>
        <v>0</v>
      </c>
      <c r="CQ258" s="734">
        <f t="shared" ca="1" si="270"/>
        <v>0</v>
      </c>
      <c r="CR258" s="734">
        <f t="shared" si="270"/>
        <v>0</v>
      </c>
      <c r="CS258" s="734">
        <f t="shared" ca="1" si="270"/>
        <v>0</v>
      </c>
      <c r="CT258" s="1290"/>
      <c r="CW258" s="970" t="s">
        <v>889</v>
      </c>
      <c r="CX258" s="975"/>
      <c r="CY258" s="975"/>
      <c r="CZ258" s="975"/>
      <c r="DA258" s="976"/>
      <c r="DB258" s="976"/>
    </row>
    <row r="259" spans="1:106" s="1229" customFormat="1" ht="16.5" hidden="1" customHeight="1">
      <c r="A259" s="1155"/>
      <c r="B259" s="783"/>
      <c r="C259" s="1155"/>
      <c r="D259" s="1155"/>
      <c r="E259" s="676">
        <v>17.100000000000001</v>
      </c>
      <c r="F259" s="779" t="str" cm="1">
        <f t="array" aca="1" ref="F259" ca="1">OFFSET(G259,-1,-1)</f>
        <v>1</v>
      </c>
      <c r="G259" s="814"/>
      <c r="H259" s="814"/>
      <c r="I259" s="814"/>
      <c r="J259" s="814"/>
      <c r="K259" s="814"/>
      <c r="L259" s="779" t="b" cm="1">
        <f t="array" aca="1" ref="L259" ca="1">OFFSET(M259,-1,-1)</f>
        <v>0</v>
      </c>
      <c r="M259" s="814"/>
      <c r="N259" s="814"/>
      <c r="O259" s="814"/>
      <c r="P259" s="814"/>
      <c r="Q259" s="814"/>
      <c r="R259" s="779" t="s">
        <v>759</v>
      </c>
      <c r="S259" s="110" t="b" cm="1">
        <f t="array" aca="1" ref="S259" ca="1">OFFSET(T259,-1,-1)</f>
        <v>1</v>
      </c>
      <c r="T259" s="779" t="b">
        <v>0</v>
      </c>
      <c r="U259" s="698" t="b">
        <f t="shared" ca="1" si="198"/>
        <v>0</v>
      </c>
      <c r="V259" s="1155"/>
      <c r="W259" s="1155"/>
      <c r="X259" s="1155"/>
      <c r="Y259" s="1687"/>
      <c r="Z259" s="1687"/>
      <c r="AA259" s="699"/>
      <c r="AB259" s="1784"/>
      <c r="AD259" s="111" t="str">
        <f>AD258&amp;".0"</f>
        <v>36.0</v>
      </c>
      <c r="AE259" s="1755" t="s">
        <v>770</v>
      </c>
      <c r="AF259" s="1756"/>
      <c r="AG259" s="733" t="s">
        <v>839</v>
      </c>
      <c r="AH259" s="41">
        <f>AH$163*AH258</f>
        <v>0</v>
      </c>
      <c r="AI259" s="42">
        <f>AI$163*AI258</f>
        <v>0</v>
      </c>
      <c r="AJ259" s="42">
        <f>AJ$163*AJ258</f>
        <v>0</v>
      </c>
      <c r="AK259" s="42">
        <f>AK$163*AK258</f>
        <v>3048</v>
      </c>
      <c r="AL259" s="736">
        <f ca="1">AM259+AN259</f>
        <v>0</v>
      </c>
      <c r="AM259" s="42">
        <f>AM$163*AM258</f>
        <v>0</v>
      </c>
      <c r="AN259" s="42">
        <f ca="1">AN$163*AN258</f>
        <v>0</v>
      </c>
      <c r="AO259" s="736">
        <f ca="1">AP259+AQ259</f>
        <v>0</v>
      </c>
      <c r="AP259" s="826">
        <f>AP$163*AP258</f>
        <v>0</v>
      </c>
      <c r="AQ259" s="826">
        <f ca="1">AQ$163*AQ258</f>
        <v>0</v>
      </c>
      <c r="AR259" s="736">
        <f ca="1">AS259+AT259</f>
        <v>0</v>
      </c>
      <c r="AS259" s="826">
        <f>AS$163*AS258</f>
        <v>0</v>
      </c>
      <c r="AT259" s="826">
        <f ca="1">AT$163*AT258</f>
        <v>0</v>
      </c>
      <c r="AU259" s="736">
        <f ca="1">AV259+AW259</f>
        <v>0</v>
      </c>
      <c r="AV259" s="826">
        <f>AV$163*AV258</f>
        <v>0</v>
      </c>
      <c r="AW259" s="826">
        <f ca="1">AW$163*AW258</f>
        <v>0</v>
      </c>
      <c r="AX259" s="736">
        <f ca="1">AY259+AZ259</f>
        <v>0</v>
      </c>
      <c r="AY259" s="826">
        <f>AY$163*AY258</f>
        <v>0</v>
      </c>
      <c r="AZ259" s="826">
        <f ca="1">AZ$163*AZ258</f>
        <v>0</v>
      </c>
      <c r="BA259" s="736">
        <f ca="1">BB259+BC259</f>
        <v>0</v>
      </c>
      <c r="BB259" s="42">
        <f>BB$163*BB258</f>
        <v>0</v>
      </c>
      <c r="BC259" s="42">
        <f ca="1">BC$163*BC258</f>
        <v>0</v>
      </c>
      <c r="BD259" s="736">
        <f ca="1">BE259+BF259</f>
        <v>0</v>
      </c>
      <c r="BE259" s="42">
        <f>BE$163*BE258</f>
        <v>0</v>
      </c>
      <c r="BF259" s="42">
        <f ca="1">BF$163*BF258</f>
        <v>0</v>
      </c>
      <c r="BG259" s="736">
        <f ca="1">BH259+BI259</f>
        <v>0</v>
      </c>
      <c r="BH259" s="42">
        <f>BH$163*BH258</f>
        <v>0</v>
      </c>
      <c r="BI259" s="42">
        <f ca="1">BI$163*BI258</f>
        <v>0</v>
      </c>
      <c r="BJ259" s="736">
        <f ca="1">BK259+BL259</f>
        <v>0</v>
      </c>
      <c r="BK259" s="42">
        <f>BK$163*BK258</f>
        <v>0</v>
      </c>
      <c r="BL259" s="42">
        <f ca="1">BL$163*BL258</f>
        <v>0</v>
      </c>
      <c r="BM259" s="736">
        <f ca="1">BN259+BO259</f>
        <v>0</v>
      </c>
      <c r="BN259" s="42">
        <f>BN$163*BN258</f>
        <v>0</v>
      </c>
      <c r="BO259" s="42">
        <f ca="1">BO$163*BO258</f>
        <v>0</v>
      </c>
      <c r="BP259" s="736">
        <f ca="1">BQ259+BR259</f>
        <v>3188.3450757450137</v>
      </c>
      <c r="BQ259" s="826">
        <f>BQ$163*BQ258</f>
        <v>2280.8218028116007</v>
      </c>
      <c r="BR259" s="826">
        <f ca="1">BR$163*BR258</f>
        <v>907.52327293341307</v>
      </c>
      <c r="BS259" s="736">
        <f ca="1">BT259+BU259</f>
        <v>0</v>
      </c>
      <c r="BT259" s="826">
        <f>BT$163*BT258</f>
        <v>0</v>
      </c>
      <c r="BU259" s="826">
        <f ca="1">BU$163*BU258</f>
        <v>0</v>
      </c>
      <c r="BV259" s="736">
        <f ca="1">BW259+BX259</f>
        <v>0</v>
      </c>
      <c r="BW259" s="826">
        <f>BW$163*BW258</f>
        <v>0</v>
      </c>
      <c r="BX259" s="826">
        <f ca="1">BX$163*BX258</f>
        <v>0</v>
      </c>
      <c r="BY259" s="736">
        <f ca="1">BZ259+CA259</f>
        <v>0</v>
      </c>
      <c r="BZ259" s="826">
        <f>BZ$163*BZ258</f>
        <v>0</v>
      </c>
      <c r="CA259" s="826">
        <f ca="1">CA$163*CA258</f>
        <v>0</v>
      </c>
      <c r="CB259" s="736">
        <f ca="1">CC259+CD259</f>
        <v>0</v>
      </c>
      <c r="CC259" s="826">
        <f>CC$163*CC258</f>
        <v>0</v>
      </c>
      <c r="CD259" s="826">
        <f ca="1">CD$163*CD258</f>
        <v>0</v>
      </c>
      <c r="CE259" s="736">
        <f ca="1">CF259+CG259</f>
        <v>0</v>
      </c>
      <c r="CF259" s="42">
        <f>CF$163*CF258</f>
        <v>0</v>
      </c>
      <c r="CG259" s="42">
        <f ca="1">CG$163*CG258</f>
        <v>0</v>
      </c>
      <c r="CH259" s="736">
        <f ca="1">CI259+CJ259</f>
        <v>0</v>
      </c>
      <c r="CI259" s="42">
        <f>CI$163*CI258</f>
        <v>0</v>
      </c>
      <c r="CJ259" s="42">
        <f ca="1">CJ$163*CJ258</f>
        <v>0</v>
      </c>
      <c r="CK259" s="736">
        <f ca="1">CL259+CM259</f>
        <v>0</v>
      </c>
      <c r="CL259" s="42">
        <f>CL$163*CL258</f>
        <v>0</v>
      </c>
      <c r="CM259" s="42">
        <f ca="1">CM$163*CM258</f>
        <v>0</v>
      </c>
      <c r="CN259" s="736">
        <f ca="1">CO259+CP259</f>
        <v>0</v>
      </c>
      <c r="CO259" s="42">
        <f>CO$163*CO258</f>
        <v>0</v>
      </c>
      <c r="CP259" s="42">
        <f ca="1">CP$163*CP258</f>
        <v>0</v>
      </c>
      <c r="CQ259" s="736">
        <f ca="1">CR259+CS259</f>
        <v>0</v>
      </c>
      <c r="CR259" s="42">
        <f>CR$163*CR258</f>
        <v>0</v>
      </c>
      <c r="CS259" s="42">
        <f ca="1">CS$163*CS258</f>
        <v>0</v>
      </c>
      <c r="CT259" s="28"/>
      <c r="CW259" s="970" t="s">
        <v>890</v>
      </c>
      <c r="CX259" s="975"/>
      <c r="CY259" s="975"/>
      <c r="CZ259" s="975"/>
      <c r="DA259" s="976"/>
      <c r="DB259" s="976"/>
    </row>
    <row r="260" spans="1:106" s="1229" customFormat="1" ht="16.5" hidden="1" customHeight="1">
      <c r="E260" s="676">
        <v>17.100000000000001</v>
      </c>
      <c r="F260" s="779" t="str" cm="1">
        <f t="array" aca="1" ref="F260" ca="1">OFFSET(G260,-1,-1)</f>
        <v>1</v>
      </c>
      <c r="L260" s="779" t="b" cm="1">
        <f t="array" aca="1" ref="L260" ca="1">OFFSET(M260,-1,-1)</f>
        <v>0</v>
      </c>
      <c r="S260" s="110" t="b" cm="1">
        <f t="array" aca="1" ref="S260" ca="1">OFFSET(T260,-1,-1)</f>
        <v>1</v>
      </c>
      <c r="T260" s="110" t="b">
        <f>AD260&lt;&gt;"36.0"</f>
        <v>0</v>
      </c>
      <c r="U260" s="698" t="b">
        <f t="shared" ca="1" si="198"/>
        <v>0</v>
      </c>
      <c r="X260" s="110" t="s">
        <v>236</v>
      </c>
      <c r="Y260" s="1722"/>
      <c r="Z260" s="1722"/>
      <c r="AB260" s="1784"/>
      <c r="AD260" s="111" t="s">
        <v>891</v>
      </c>
      <c r="AE260" s="821"/>
      <c r="AF260" s="524"/>
      <c r="AG260" s="733" t="s">
        <v>839</v>
      </c>
      <c r="AH260" s="41"/>
      <c r="AI260" s="42"/>
      <c r="AJ260" s="42"/>
      <c r="AK260" s="42"/>
      <c r="AL260" s="736">
        <f ca="1">AM260+AN260</f>
        <v>0</v>
      </c>
      <c r="AM260" s="42">
        <f t="shared" ref="AM260:AN262" si="271">AM254*AM181/1000</f>
        <v>0</v>
      </c>
      <c r="AN260" s="42">
        <f t="shared" ca="1" si="271"/>
        <v>0</v>
      </c>
      <c r="AO260" s="736">
        <f ca="1">AP260+AQ260</f>
        <v>0</v>
      </c>
      <c r="AP260" s="826">
        <f t="shared" ref="AP260:AQ262" si="272">AP254*AP181/1000</f>
        <v>0</v>
      </c>
      <c r="AQ260" s="826">
        <f t="shared" ca="1" si="272"/>
        <v>0</v>
      </c>
      <c r="AR260" s="736">
        <f ca="1">AS260+AT260</f>
        <v>0</v>
      </c>
      <c r="AS260" s="826">
        <f t="shared" ref="AS260:AT262" si="273">AS254*AS181/1000</f>
        <v>0</v>
      </c>
      <c r="AT260" s="826">
        <f t="shared" ca="1" si="273"/>
        <v>0</v>
      </c>
      <c r="AU260" s="736">
        <f ca="1">AV260+AW260</f>
        <v>0</v>
      </c>
      <c r="AV260" s="826">
        <f t="shared" ref="AV260:AW262" si="274">AV254*AV181/1000</f>
        <v>0</v>
      </c>
      <c r="AW260" s="826">
        <f t="shared" ca="1" si="274"/>
        <v>0</v>
      </c>
      <c r="AX260" s="736">
        <f ca="1">AY260+AZ260</f>
        <v>0</v>
      </c>
      <c r="AY260" s="826">
        <f t="shared" ref="AY260:AZ262" si="275">AY254*AY181/1000</f>
        <v>0</v>
      </c>
      <c r="AZ260" s="826">
        <f t="shared" ca="1" si="275"/>
        <v>0</v>
      </c>
      <c r="BA260" s="736">
        <f ca="1">BB260+BC260</f>
        <v>0</v>
      </c>
      <c r="BB260" s="42">
        <f t="shared" ref="BB260:BC262" si="276">BB254*BB181/1000</f>
        <v>0</v>
      </c>
      <c r="BC260" s="42">
        <f t="shared" ca="1" si="276"/>
        <v>0</v>
      </c>
      <c r="BD260" s="736">
        <f ca="1">BE260+BF260</f>
        <v>0</v>
      </c>
      <c r="BE260" s="42">
        <f t="shared" ref="BE260:BF262" si="277">BE254*BE181/1000</f>
        <v>0</v>
      </c>
      <c r="BF260" s="42">
        <f t="shared" ca="1" si="277"/>
        <v>0</v>
      </c>
      <c r="BG260" s="736">
        <f ca="1">BH260+BI260</f>
        <v>0</v>
      </c>
      <c r="BH260" s="42">
        <f t="shared" ref="BH260:BI262" si="278">BH254*BH181/1000</f>
        <v>0</v>
      </c>
      <c r="BI260" s="42">
        <f t="shared" ca="1" si="278"/>
        <v>0</v>
      </c>
      <c r="BJ260" s="736">
        <f ca="1">BK260+BL260</f>
        <v>0</v>
      </c>
      <c r="BK260" s="42">
        <f t="shared" ref="BK260:BL262" si="279">BK254*BK181/1000</f>
        <v>0</v>
      </c>
      <c r="BL260" s="42">
        <f t="shared" ca="1" si="279"/>
        <v>0</v>
      </c>
      <c r="BM260" s="736">
        <f ca="1">BN260+BO260</f>
        <v>0</v>
      </c>
      <c r="BN260" s="42">
        <f t="shared" ref="BN260:BO262" si="280">BN254*BN181/1000</f>
        <v>0</v>
      </c>
      <c r="BO260" s="42">
        <f t="shared" ca="1" si="280"/>
        <v>0</v>
      </c>
      <c r="BP260" s="736">
        <f ca="1">BQ260+BR260</f>
        <v>0</v>
      </c>
      <c r="BQ260" s="826">
        <f t="shared" ref="BQ260:BR262" si="281">BQ254*BQ181/1000</f>
        <v>0</v>
      </c>
      <c r="BR260" s="826">
        <f t="shared" ca="1" si="281"/>
        <v>0</v>
      </c>
      <c r="BS260" s="736">
        <f ca="1">BT260+BU260</f>
        <v>0</v>
      </c>
      <c r="BT260" s="826">
        <f t="shared" ref="BT260:BU262" si="282">BT254*BT181/1000</f>
        <v>0</v>
      </c>
      <c r="BU260" s="826">
        <f t="shared" ca="1" si="282"/>
        <v>0</v>
      </c>
      <c r="BV260" s="736">
        <f ca="1">BW260+BX260</f>
        <v>0</v>
      </c>
      <c r="BW260" s="826">
        <f t="shared" ref="BW260:BX262" si="283">BW254*BW181/1000</f>
        <v>0</v>
      </c>
      <c r="BX260" s="826">
        <f t="shared" ca="1" si="283"/>
        <v>0</v>
      </c>
      <c r="BY260" s="736">
        <f ca="1">BZ260+CA260</f>
        <v>0</v>
      </c>
      <c r="BZ260" s="826">
        <f t="shared" ref="BZ260:CA262" si="284">BZ254*BZ181/1000</f>
        <v>0</v>
      </c>
      <c r="CA260" s="826">
        <f t="shared" ca="1" si="284"/>
        <v>0</v>
      </c>
      <c r="CB260" s="736">
        <f ca="1">CC260+CD260</f>
        <v>0</v>
      </c>
      <c r="CC260" s="826">
        <f t="shared" ref="CC260:CD262" si="285">CC254*CC181/1000</f>
        <v>0</v>
      </c>
      <c r="CD260" s="826">
        <f t="shared" ca="1" si="285"/>
        <v>0</v>
      </c>
      <c r="CE260" s="736">
        <f ca="1">CF260+CG260</f>
        <v>0</v>
      </c>
      <c r="CF260" s="42">
        <f t="shared" ref="CF260:CG262" si="286">CF254*CF181/1000</f>
        <v>0</v>
      </c>
      <c r="CG260" s="42">
        <f t="shared" ca="1" si="286"/>
        <v>0</v>
      </c>
      <c r="CH260" s="736">
        <f ca="1">CI260+CJ260</f>
        <v>0</v>
      </c>
      <c r="CI260" s="42">
        <f t="shared" ref="CI260:CJ262" si="287">CI254*CI181/1000</f>
        <v>0</v>
      </c>
      <c r="CJ260" s="42">
        <f t="shared" ca="1" si="287"/>
        <v>0</v>
      </c>
      <c r="CK260" s="736">
        <f ca="1">CL260+CM260</f>
        <v>0</v>
      </c>
      <c r="CL260" s="42">
        <f t="shared" ref="CL260:CM262" si="288">CL254*CL181/1000</f>
        <v>0</v>
      </c>
      <c r="CM260" s="42">
        <f t="shared" ca="1" si="288"/>
        <v>0</v>
      </c>
      <c r="CN260" s="736">
        <f ca="1">CO260+CP260</f>
        <v>0</v>
      </c>
      <c r="CO260" s="42">
        <f t="shared" ref="CO260:CP262" si="289">CO254*CO181/1000</f>
        <v>0</v>
      </c>
      <c r="CP260" s="42">
        <f t="shared" ca="1" si="289"/>
        <v>0</v>
      </c>
      <c r="CQ260" s="736">
        <f ca="1">CR260+CS260</f>
        <v>0</v>
      </c>
      <c r="CR260" s="42">
        <f t="shared" ref="CR260:CS262" si="290">CR254*CR181/1000</f>
        <v>0</v>
      </c>
      <c r="CS260" s="42">
        <f t="shared" ca="1" si="290"/>
        <v>0</v>
      </c>
      <c r="CT260" s="28"/>
      <c r="CW260" s="970" t="s">
        <v>890</v>
      </c>
      <c r="CX260" s="975" t="s">
        <v>821</v>
      </c>
      <c r="CY260" s="979" cm="1">
        <f t="array" ref="CY260">AE260</f>
        <v>0</v>
      </c>
      <c r="CZ260" s="979" cm="1">
        <f t="array" ref="CZ260">AF260</f>
        <v>0</v>
      </c>
      <c r="DA260" s="976"/>
      <c r="DB260" s="976"/>
    </row>
    <row r="261" spans="1:106" s="1229" customFormat="1" ht="16.5" customHeight="1">
      <c r="E261" s="676">
        <v>17.100000000000001</v>
      </c>
      <c r="F261" s="779" t="str" cm="1">
        <f t="array" aca="1" ref="F261" ca="1">OFFSET(G261,-1,-1)</f>
        <v>1</v>
      </c>
      <c r="L261" s="779" t="b" cm="1">
        <f t="array" aca="1" ref="L261" ca="1">OFFSET(M261,-1,-1)</f>
        <v>0</v>
      </c>
      <c r="S261" s="110" t="b" cm="1">
        <f t="array" aca="1" ref="S261" ca="1">OFFSET(T261,-1,-1)</f>
        <v>1</v>
      </c>
      <c r="T261" s="110" t="b">
        <f>AD261&lt;&gt;"36.0"</f>
        <v>1</v>
      </c>
      <c r="U261" s="698" t="b">
        <f t="shared" ca="1" si="198"/>
        <v>1</v>
      </c>
      <c r="X261" s="110" t="str">
        <f>'Топливо 4.4'!$AE$255&amp;'Топливо 4.4'!$AF$255</f>
        <v>Уголь длиннопламенный</v>
      </c>
      <c r="Y261" s="1722"/>
      <c r="Z261" s="1722"/>
      <c r="AB261" s="1784"/>
      <c r="AD261" s="111" t="s">
        <v>967</v>
      </c>
      <c r="AE261" s="821" t="str" cm="1">
        <f t="array" ref="AE261">IF(ISBLANK('Топливо 4.4'!$AE$255),"",'Топливо 4.4'!$AE$255)</f>
        <v>Уголь длиннопламенный</v>
      </c>
      <c r="AF261" s="524" t="str" cm="1">
        <f t="array" ref="AF261">IF(ISBLANK('Топливо 4.4'!$AF$255),"",'Топливо 4.4'!$AF$255)</f>
        <v/>
      </c>
      <c r="AG261" s="733" t="s">
        <v>839</v>
      </c>
      <c r="AH261" s="1303"/>
      <c r="AI261" s="1302"/>
      <c r="AJ261" s="1302"/>
      <c r="AK261" s="1302">
        <v>3048</v>
      </c>
      <c r="AL261" s="736">
        <f ca="1">AM261+AN261</f>
        <v>0</v>
      </c>
      <c r="AM261" s="1302">
        <f t="shared" si="271"/>
        <v>0</v>
      </c>
      <c r="AN261" s="1302">
        <f t="shared" ca="1" si="271"/>
        <v>0</v>
      </c>
      <c r="AO261" s="736">
        <f ca="1">AP261+AQ261</f>
        <v>0</v>
      </c>
      <c r="AP261" s="826">
        <f t="shared" si="272"/>
        <v>0</v>
      </c>
      <c r="AQ261" s="826">
        <f t="shared" ca="1" si="272"/>
        <v>0</v>
      </c>
      <c r="AR261" s="736">
        <f ca="1">AS261+AT261</f>
        <v>0</v>
      </c>
      <c r="AS261" s="826">
        <f t="shared" si="273"/>
        <v>0</v>
      </c>
      <c r="AT261" s="826">
        <f t="shared" ca="1" si="273"/>
        <v>0</v>
      </c>
      <c r="AU261" s="736">
        <f ca="1">AV261+AW261</f>
        <v>0</v>
      </c>
      <c r="AV261" s="826">
        <f t="shared" si="274"/>
        <v>0</v>
      </c>
      <c r="AW261" s="826">
        <f t="shared" ca="1" si="274"/>
        <v>0</v>
      </c>
      <c r="AX261" s="736">
        <f ca="1">AY261+AZ261</f>
        <v>0</v>
      </c>
      <c r="AY261" s="826">
        <f t="shared" si="275"/>
        <v>0</v>
      </c>
      <c r="AZ261" s="826">
        <f t="shared" ca="1" si="275"/>
        <v>0</v>
      </c>
      <c r="BA261" s="736">
        <f ca="1">BB261+BC261</f>
        <v>0</v>
      </c>
      <c r="BB261" s="1302">
        <f t="shared" si="276"/>
        <v>0</v>
      </c>
      <c r="BC261" s="1302">
        <f t="shared" ca="1" si="276"/>
        <v>0</v>
      </c>
      <c r="BD261" s="736">
        <f ca="1">BE261+BF261</f>
        <v>0</v>
      </c>
      <c r="BE261" s="1302">
        <f t="shared" si="277"/>
        <v>0</v>
      </c>
      <c r="BF261" s="1302">
        <f t="shared" ca="1" si="277"/>
        <v>0</v>
      </c>
      <c r="BG261" s="736">
        <f ca="1">BH261+BI261</f>
        <v>0</v>
      </c>
      <c r="BH261" s="1302">
        <f t="shared" si="278"/>
        <v>0</v>
      </c>
      <c r="BI261" s="1302">
        <f t="shared" ca="1" si="278"/>
        <v>0</v>
      </c>
      <c r="BJ261" s="736">
        <f ca="1">BK261+BL261</f>
        <v>0</v>
      </c>
      <c r="BK261" s="1302">
        <f t="shared" si="279"/>
        <v>0</v>
      </c>
      <c r="BL261" s="1302">
        <f t="shared" ca="1" si="279"/>
        <v>0</v>
      </c>
      <c r="BM261" s="736">
        <f ca="1">BN261+BO261</f>
        <v>0</v>
      </c>
      <c r="BN261" s="1302">
        <f t="shared" si="280"/>
        <v>0</v>
      </c>
      <c r="BO261" s="1302">
        <f t="shared" ca="1" si="280"/>
        <v>0</v>
      </c>
      <c r="BP261" s="736">
        <f ca="1">BQ261+BR261</f>
        <v>3188.3450757450137</v>
      </c>
      <c r="BQ261" s="826">
        <f t="shared" si="281"/>
        <v>2280.8218028116007</v>
      </c>
      <c r="BR261" s="826">
        <f t="shared" ca="1" si="281"/>
        <v>907.52327293341307</v>
      </c>
      <c r="BS261" s="736">
        <f ca="1">BT261+BU261</f>
        <v>0</v>
      </c>
      <c r="BT261" s="826">
        <f t="shared" si="282"/>
        <v>0</v>
      </c>
      <c r="BU261" s="826">
        <f t="shared" ca="1" si="282"/>
        <v>0</v>
      </c>
      <c r="BV261" s="736">
        <f ca="1">BW261+BX261</f>
        <v>0</v>
      </c>
      <c r="BW261" s="826">
        <f t="shared" si="283"/>
        <v>0</v>
      </c>
      <c r="BX261" s="826">
        <f t="shared" ca="1" si="283"/>
        <v>0</v>
      </c>
      <c r="BY261" s="736">
        <f ca="1">BZ261+CA261</f>
        <v>0</v>
      </c>
      <c r="BZ261" s="826">
        <f t="shared" si="284"/>
        <v>0</v>
      </c>
      <c r="CA261" s="826">
        <f t="shared" ca="1" si="284"/>
        <v>0</v>
      </c>
      <c r="CB261" s="736">
        <f ca="1">CC261+CD261</f>
        <v>0</v>
      </c>
      <c r="CC261" s="826">
        <f t="shared" si="285"/>
        <v>0</v>
      </c>
      <c r="CD261" s="826">
        <f t="shared" ca="1" si="285"/>
        <v>0</v>
      </c>
      <c r="CE261" s="736">
        <f ca="1">CF261+CG261</f>
        <v>0</v>
      </c>
      <c r="CF261" s="1302">
        <f t="shared" si="286"/>
        <v>0</v>
      </c>
      <c r="CG261" s="1302">
        <f t="shared" ca="1" si="286"/>
        <v>0</v>
      </c>
      <c r="CH261" s="736">
        <f ca="1">CI261+CJ261</f>
        <v>0</v>
      </c>
      <c r="CI261" s="1302">
        <f t="shared" si="287"/>
        <v>0</v>
      </c>
      <c r="CJ261" s="1302">
        <f t="shared" ca="1" si="287"/>
        <v>0</v>
      </c>
      <c r="CK261" s="736">
        <f ca="1">CL261+CM261</f>
        <v>0</v>
      </c>
      <c r="CL261" s="1302">
        <f t="shared" si="288"/>
        <v>0</v>
      </c>
      <c r="CM261" s="1302">
        <f t="shared" ca="1" si="288"/>
        <v>0</v>
      </c>
      <c r="CN261" s="736">
        <f ca="1">CO261+CP261</f>
        <v>0</v>
      </c>
      <c r="CO261" s="1302">
        <f t="shared" si="289"/>
        <v>0</v>
      </c>
      <c r="CP261" s="1302">
        <f t="shared" ca="1" si="289"/>
        <v>0</v>
      </c>
      <c r="CQ261" s="736">
        <f ca="1">CR261+CS261</f>
        <v>0</v>
      </c>
      <c r="CR261" s="1302">
        <f t="shared" si="290"/>
        <v>0</v>
      </c>
      <c r="CS261" s="1302">
        <f t="shared" ca="1" si="290"/>
        <v>0</v>
      </c>
      <c r="CT261" s="1290"/>
      <c r="CW261" s="970" t="s">
        <v>890</v>
      </c>
      <c r="CX261" s="975" t="s">
        <v>821</v>
      </c>
      <c r="CY261" s="979" t="str" cm="1">
        <f t="array" ref="CY261">AE261</f>
        <v>Уголь длиннопламенный</v>
      </c>
      <c r="CZ261" s="979" t="str" cm="1">
        <f t="array" ref="CZ261">AF261</f>
        <v/>
      </c>
      <c r="DA261" s="976"/>
      <c r="DB261" s="976"/>
    </row>
    <row r="262" spans="1:106" s="1229" customFormat="1" ht="16.5" customHeight="1">
      <c r="E262" s="676">
        <v>17.100000000000001</v>
      </c>
      <c r="F262" s="779" t="str" cm="1">
        <f t="array" aca="1" ref="F262" ca="1">OFFSET(G262,-1,-1)</f>
        <v>1</v>
      </c>
      <c r="L262" s="779" t="b" cm="1">
        <f t="array" aca="1" ref="L262" ca="1">OFFSET(M262,-1,-1)</f>
        <v>0</v>
      </c>
      <c r="S262" s="110" t="b" cm="1">
        <f t="array" aca="1" ref="S262" ca="1">OFFSET(T262,-1,-1)</f>
        <v>1</v>
      </c>
      <c r="T262" s="110" t="b">
        <f>AD262&lt;&gt;"36.0"</f>
        <v>1</v>
      </c>
      <c r="U262" s="698" t="b">
        <f t="shared" ca="1" si="198"/>
        <v>1</v>
      </c>
      <c r="X262" s="110" t="str">
        <f>'Топливо 4.4'!$AE$256&amp;'Топливо 4.4'!$AF$256</f>
        <v>Уголь бурый</v>
      </c>
      <c r="Y262" s="1722"/>
      <c r="Z262" s="1722"/>
      <c r="AB262" s="1784"/>
      <c r="AD262" s="111" t="s">
        <v>968</v>
      </c>
      <c r="AE262" s="821" t="str" cm="1">
        <f t="array" ref="AE262">IF(ISBLANK('Топливо 4.4'!$AE$256),"",'Топливо 4.4'!$AE$256)</f>
        <v>Уголь бурый</v>
      </c>
      <c r="AF262" s="524" t="str" cm="1">
        <f t="array" ref="AF262">IF(ISBLANK('Топливо 4.4'!$AF$256),"",'Топливо 4.4'!$AF$256)</f>
        <v/>
      </c>
      <c r="AG262" s="733" t="s">
        <v>839</v>
      </c>
      <c r="AH262" s="1303"/>
      <c r="AI262" s="1302"/>
      <c r="AJ262" s="1302"/>
      <c r="AK262" s="1302"/>
      <c r="AL262" s="736">
        <f ca="1">AM262+AN262</f>
        <v>0</v>
      </c>
      <c r="AM262" s="1302">
        <f t="shared" si="271"/>
        <v>0</v>
      </c>
      <c r="AN262" s="1302">
        <f t="shared" ca="1" si="271"/>
        <v>0</v>
      </c>
      <c r="AO262" s="736">
        <f ca="1">AP262+AQ262</f>
        <v>0</v>
      </c>
      <c r="AP262" s="826">
        <f t="shared" si="272"/>
        <v>0</v>
      </c>
      <c r="AQ262" s="826">
        <f t="shared" ca="1" si="272"/>
        <v>0</v>
      </c>
      <c r="AR262" s="736">
        <f ca="1">AS262+AT262</f>
        <v>0</v>
      </c>
      <c r="AS262" s="826">
        <f t="shared" si="273"/>
        <v>0</v>
      </c>
      <c r="AT262" s="826">
        <f t="shared" ca="1" si="273"/>
        <v>0</v>
      </c>
      <c r="AU262" s="736">
        <f ca="1">AV262+AW262</f>
        <v>0</v>
      </c>
      <c r="AV262" s="826">
        <f t="shared" si="274"/>
        <v>0</v>
      </c>
      <c r="AW262" s="826">
        <f t="shared" ca="1" si="274"/>
        <v>0</v>
      </c>
      <c r="AX262" s="736">
        <f ca="1">AY262+AZ262</f>
        <v>0</v>
      </c>
      <c r="AY262" s="826">
        <f t="shared" si="275"/>
        <v>0</v>
      </c>
      <c r="AZ262" s="826">
        <f t="shared" ca="1" si="275"/>
        <v>0</v>
      </c>
      <c r="BA262" s="736">
        <f ca="1">BB262+BC262</f>
        <v>0</v>
      </c>
      <c r="BB262" s="1302">
        <f t="shared" si="276"/>
        <v>0</v>
      </c>
      <c r="BC262" s="1302">
        <f t="shared" ca="1" si="276"/>
        <v>0</v>
      </c>
      <c r="BD262" s="736">
        <f ca="1">BE262+BF262</f>
        <v>0</v>
      </c>
      <c r="BE262" s="1302">
        <f t="shared" si="277"/>
        <v>0</v>
      </c>
      <c r="BF262" s="1302">
        <f t="shared" ca="1" si="277"/>
        <v>0</v>
      </c>
      <c r="BG262" s="736">
        <f ca="1">BH262+BI262</f>
        <v>0</v>
      </c>
      <c r="BH262" s="1302">
        <f t="shared" si="278"/>
        <v>0</v>
      </c>
      <c r="BI262" s="1302">
        <f t="shared" ca="1" si="278"/>
        <v>0</v>
      </c>
      <c r="BJ262" s="736">
        <f ca="1">BK262+BL262</f>
        <v>0</v>
      </c>
      <c r="BK262" s="1302">
        <f t="shared" si="279"/>
        <v>0</v>
      </c>
      <c r="BL262" s="1302">
        <f t="shared" ca="1" si="279"/>
        <v>0</v>
      </c>
      <c r="BM262" s="736">
        <f ca="1">BN262+BO262</f>
        <v>0</v>
      </c>
      <c r="BN262" s="1302">
        <f t="shared" si="280"/>
        <v>0</v>
      </c>
      <c r="BO262" s="1302">
        <f t="shared" ca="1" si="280"/>
        <v>0</v>
      </c>
      <c r="BP262" s="736">
        <f ca="1">BQ262+BR262</f>
        <v>0</v>
      </c>
      <c r="BQ262" s="826">
        <f t="shared" si="281"/>
        <v>0</v>
      </c>
      <c r="BR262" s="826">
        <f t="shared" ca="1" si="281"/>
        <v>0</v>
      </c>
      <c r="BS262" s="736">
        <f ca="1">BT262+BU262</f>
        <v>0</v>
      </c>
      <c r="BT262" s="826">
        <f t="shared" si="282"/>
        <v>0</v>
      </c>
      <c r="BU262" s="826">
        <f t="shared" ca="1" si="282"/>
        <v>0</v>
      </c>
      <c r="BV262" s="736">
        <f ca="1">BW262+BX262</f>
        <v>0</v>
      </c>
      <c r="BW262" s="826">
        <f t="shared" si="283"/>
        <v>0</v>
      </c>
      <c r="BX262" s="826">
        <f t="shared" ca="1" si="283"/>
        <v>0</v>
      </c>
      <c r="BY262" s="736">
        <f ca="1">BZ262+CA262</f>
        <v>0</v>
      </c>
      <c r="BZ262" s="826">
        <f t="shared" si="284"/>
        <v>0</v>
      </c>
      <c r="CA262" s="826">
        <f t="shared" ca="1" si="284"/>
        <v>0</v>
      </c>
      <c r="CB262" s="736">
        <f ca="1">CC262+CD262</f>
        <v>0</v>
      </c>
      <c r="CC262" s="826">
        <f t="shared" si="285"/>
        <v>0</v>
      </c>
      <c r="CD262" s="826">
        <f t="shared" ca="1" si="285"/>
        <v>0</v>
      </c>
      <c r="CE262" s="736">
        <f ca="1">CF262+CG262</f>
        <v>0</v>
      </c>
      <c r="CF262" s="1302">
        <f t="shared" si="286"/>
        <v>0</v>
      </c>
      <c r="CG262" s="1302">
        <f t="shared" ca="1" si="286"/>
        <v>0</v>
      </c>
      <c r="CH262" s="736">
        <f ca="1">CI262+CJ262</f>
        <v>0</v>
      </c>
      <c r="CI262" s="1302">
        <f t="shared" si="287"/>
        <v>0</v>
      </c>
      <c r="CJ262" s="1302">
        <f t="shared" ca="1" si="287"/>
        <v>0</v>
      </c>
      <c r="CK262" s="736">
        <f ca="1">CL262+CM262</f>
        <v>0</v>
      </c>
      <c r="CL262" s="1302">
        <f t="shared" si="288"/>
        <v>0</v>
      </c>
      <c r="CM262" s="1302">
        <f t="shared" ca="1" si="288"/>
        <v>0</v>
      </c>
      <c r="CN262" s="736">
        <f ca="1">CO262+CP262</f>
        <v>0</v>
      </c>
      <c r="CO262" s="1302">
        <f t="shared" si="289"/>
        <v>0</v>
      </c>
      <c r="CP262" s="1302">
        <f t="shared" ca="1" si="289"/>
        <v>0</v>
      </c>
      <c r="CQ262" s="736">
        <f ca="1">CR262+CS262</f>
        <v>0</v>
      </c>
      <c r="CR262" s="1302">
        <f t="shared" si="290"/>
        <v>0</v>
      </c>
      <c r="CS262" s="1302">
        <f t="shared" ca="1" si="290"/>
        <v>0</v>
      </c>
      <c r="CT262" s="1290"/>
      <c r="CW262" s="970" t="s">
        <v>890</v>
      </c>
      <c r="CX262" s="975" t="s">
        <v>821</v>
      </c>
      <c r="CY262" s="979" t="str" cm="1">
        <f t="array" ref="CY262">AE262</f>
        <v>Уголь бурый</v>
      </c>
      <c r="CZ262" s="979" t="str" cm="1">
        <f t="array" ref="CZ262">AF262</f>
        <v/>
      </c>
      <c r="DA262" s="976"/>
      <c r="DB262" s="976"/>
    </row>
    <row r="263" spans="1:106" s="1229" customFormat="1" ht="15" hidden="1" customHeight="1">
      <c r="A263" s="1155"/>
      <c r="B263" s="783"/>
      <c r="C263" s="1155"/>
      <c r="D263" s="1155"/>
      <c r="E263" s="676">
        <v>0</v>
      </c>
      <c r="F263" s="779" t="str" cm="1">
        <f t="array" aca="1" ref="F263" ca="1">OFFSET(G263,-1,-1)</f>
        <v>1</v>
      </c>
      <c r="G263" s="814"/>
      <c r="H263" s="814"/>
      <c r="I263" s="814"/>
      <c r="J263" s="814"/>
      <c r="K263" s="814"/>
      <c r="L263" s="779" t="b" cm="1">
        <f t="array" aca="1" ref="L263" ca="1">OFFSET(M263,-1,-1)</f>
        <v>0</v>
      </c>
      <c r="M263" s="814"/>
      <c r="N263" s="814"/>
      <c r="O263" s="814"/>
      <c r="P263" s="814"/>
      <c r="Q263" s="814"/>
      <c r="R263" s="1155"/>
      <c r="S263" s="110" t="b" cm="1">
        <f t="array" aca="1" ref="S263" ca="1">OFFSET(T263,-1,-1)</f>
        <v>1</v>
      </c>
      <c r="T263" s="1155"/>
      <c r="U263" s="698" t="b">
        <f t="shared" ca="1" si="198"/>
        <v>1</v>
      </c>
      <c r="V263" s="1155"/>
      <c r="W263" s="1155"/>
      <c r="X263" s="820" t="str">
        <f>"{                  
         funcDyn: 'msg1',
         blok: 'blok_2',
         wsCross: 'Топливо 4.4',
         linkFormula: 'AE-AE#AF-AF',
         levelDyn: "&amp;Y139&amp;"
}"</f>
        <v>{                  
         funcDyn: 'msg1',
         blok: 'blok_2',
         wsCross: 'Топливо 4.4',
         linkFormula: 'AE-AE#AF-AF',
         levelDyn: 1
}</v>
      </c>
      <c r="Y263" s="1687"/>
      <c r="Z263" s="1687"/>
      <c r="AA263" s="699"/>
      <c r="AB263" s="1784"/>
      <c r="AD263" s="823"/>
      <c r="AE263" s="822" t="s">
        <v>238</v>
      </c>
      <c r="AF263" s="745"/>
      <c r="AG263" s="733"/>
      <c r="AH263" s="735"/>
      <c r="AI263" s="737"/>
      <c r="AJ263" s="737"/>
      <c r="AK263" s="737"/>
      <c r="AL263" s="737"/>
      <c r="AM263" s="737"/>
      <c r="AN263" s="737"/>
      <c r="AO263" s="737"/>
      <c r="AP263" s="737"/>
      <c r="AQ263" s="737"/>
      <c r="AR263" s="737"/>
      <c r="AS263" s="737"/>
      <c r="AT263" s="737"/>
      <c r="AU263" s="737"/>
      <c r="AV263" s="737"/>
      <c r="AW263" s="737"/>
      <c r="AX263" s="737"/>
      <c r="AY263" s="737"/>
      <c r="AZ263" s="737"/>
      <c r="BA263" s="737"/>
      <c r="BB263" s="737"/>
      <c r="BC263" s="737"/>
      <c r="BD263" s="737"/>
      <c r="BE263" s="737"/>
      <c r="BF263" s="737"/>
      <c r="BG263" s="737"/>
      <c r="BH263" s="737"/>
      <c r="BI263" s="737"/>
      <c r="BJ263" s="737"/>
      <c r="BK263" s="737"/>
      <c r="BL263" s="737"/>
      <c r="BM263" s="737"/>
      <c r="BN263" s="737"/>
      <c r="BO263" s="737"/>
      <c r="BP263" s="737"/>
      <c r="BQ263" s="737"/>
      <c r="BR263" s="737"/>
      <c r="BS263" s="737"/>
      <c r="BT263" s="737"/>
      <c r="BU263" s="737"/>
      <c r="BV263" s="737"/>
      <c r="BW263" s="737"/>
      <c r="BX263" s="737"/>
      <c r="BY263" s="737"/>
      <c r="BZ263" s="737"/>
      <c r="CA263" s="737"/>
      <c r="CB263" s="737"/>
      <c r="CC263" s="737"/>
      <c r="CD263" s="737"/>
      <c r="CE263" s="737"/>
      <c r="CF263" s="737"/>
      <c r="CG263" s="737"/>
      <c r="CH263" s="737"/>
      <c r="CI263" s="737"/>
      <c r="CJ263" s="737"/>
      <c r="CK263" s="737"/>
      <c r="CL263" s="737"/>
      <c r="CM263" s="737"/>
      <c r="CN263" s="737"/>
      <c r="CO263" s="737"/>
      <c r="CP263" s="737"/>
      <c r="CQ263" s="737"/>
      <c r="CR263" s="737"/>
      <c r="CS263" s="737"/>
      <c r="CT263" s="46"/>
      <c r="CW263" s="970" t="str">
        <f>IF(AND(ISNUMBER(VALUE(TRIM(SUBSTITUTE(AD263,".","")))),TRIM(SUBSTITUTE(AD263,".",""))&lt;&gt;""),"P"&amp;SUBSTITUTE(AD263,".",""),"")</f>
        <v/>
      </c>
      <c r="CX263" s="975"/>
      <c r="CY263" s="975"/>
      <c r="CZ263" s="975"/>
      <c r="DA263" s="976"/>
      <c r="DB263" s="976"/>
    </row>
    <row r="264" spans="1:106" s="1229" customFormat="1" ht="29.25" hidden="1" customHeight="1">
      <c r="A264" s="1155"/>
      <c r="B264" s="783"/>
      <c r="C264" s="1155"/>
      <c r="D264" s="1155"/>
      <c r="E264" s="676">
        <v>30</v>
      </c>
      <c r="F264" s="779" t="str" cm="1">
        <f t="array" aca="1" ref="F264" ca="1">OFFSET(G264,-1,-1)</f>
        <v>1</v>
      </c>
      <c r="G264" s="814"/>
      <c r="H264" s="814"/>
      <c r="I264" s="814"/>
      <c r="J264" s="814"/>
      <c r="K264" s="814"/>
      <c r="L264" s="779" t="b" cm="1">
        <f t="array" aca="1" ref="L264" ca="1">OFFSET(M264,-1,-1)</f>
        <v>0</v>
      </c>
      <c r="M264" s="814"/>
      <c r="N264" s="814"/>
      <c r="O264" s="814"/>
      <c r="P264" s="814"/>
      <c r="Q264" s="814"/>
      <c r="R264" s="779" t="s">
        <v>759</v>
      </c>
      <c r="S264" s="110" t="b" cm="1">
        <f t="array" aca="1" ref="S264" ca="1">OFFSET(T264,-1,-1)</f>
        <v>1</v>
      </c>
      <c r="T264" s="110" t="b" cm="1">
        <f t="array" aca="1" ref="T264" ca="1">L264</f>
        <v>0</v>
      </c>
      <c r="U264" s="698" t="b">
        <f t="shared" ca="1" si="198"/>
        <v>0</v>
      </c>
      <c r="V264" s="1155"/>
      <c r="W264" s="1155"/>
      <c r="X264" s="1155"/>
      <c r="Y264" s="1687"/>
      <c r="Z264" s="1687"/>
      <c r="AA264" s="699"/>
      <c r="AB264" s="1784"/>
      <c r="AD264" s="124" t="s">
        <v>892</v>
      </c>
      <c r="AE264" s="1757" t="s">
        <v>893</v>
      </c>
      <c r="AF264" s="1758"/>
      <c r="AG264" s="733" t="s">
        <v>839</v>
      </c>
      <c r="AH264" s="734">
        <f t="shared" ref="AH264:BM264" si="291">SUM(AH265:AH268)</f>
        <v>0</v>
      </c>
      <c r="AI264" s="734">
        <f t="shared" si="291"/>
        <v>0</v>
      </c>
      <c r="AJ264" s="734">
        <f t="shared" si="291"/>
        <v>0</v>
      </c>
      <c r="AK264" s="734">
        <f t="shared" si="291"/>
        <v>3048</v>
      </c>
      <c r="AL264" s="734">
        <f t="shared" ca="1" si="291"/>
        <v>0</v>
      </c>
      <c r="AM264" s="734">
        <f t="shared" si="291"/>
        <v>0</v>
      </c>
      <c r="AN264" s="734">
        <f t="shared" ca="1" si="291"/>
        <v>0</v>
      </c>
      <c r="AO264" s="734">
        <f t="shared" ca="1" si="291"/>
        <v>0</v>
      </c>
      <c r="AP264" s="734">
        <f t="shared" si="291"/>
        <v>0</v>
      </c>
      <c r="AQ264" s="734">
        <f t="shared" ca="1" si="291"/>
        <v>0</v>
      </c>
      <c r="AR264" s="734">
        <f t="shared" ca="1" si="291"/>
        <v>0</v>
      </c>
      <c r="AS264" s="734">
        <f t="shared" si="291"/>
        <v>0</v>
      </c>
      <c r="AT264" s="734">
        <f t="shared" ca="1" si="291"/>
        <v>0</v>
      </c>
      <c r="AU264" s="734">
        <f t="shared" ca="1" si="291"/>
        <v>0</v>
      </c>
      <c r="AV264" s="734">
        <f t="shared" si="291"/>
        <v>0</v>
      </c>
      <c r="AW264" s="734">
        <f t="shared" ca="1" si="291"/>
        <v>0</v>
      </c>
      <c r="AX264" s="734">
        <f t="shared" ca="1" si="291"/>
        <v>0</v>
      </c>
      <c r="AY264" s="734">
        <f t="shared" si="291"/>
        <v>0</v>
      </c>
      <c r="AZ264" s="734">
        <f t="shared" ca="1" si="291"/>
        <v>0</v>
      </c>
      <c r="BA264" s="734">
        <f t="shared" ca="1" si="291"/>
        <v>0</v>
      </c>
      <c r="BB264" s="734">
        <f t="shared" si="291"/>
        <v>0</v>
      </c>
      <c r="BC264" s="734">
        <f t="shared" ca="1" si="291"/>
        <v>0</v>
      </c>
      <c r="BD264" s="734">
        <f t="shared" ca="1" si="291"/>
        <v>0</v>
      </c>
      <c r="BE264" s="734">
        <f t="shared" si="291"/>
        <v>0</v>
      </c>
      <c r="BF264" s="734">
        <f t="shared" ca="1" si="291"/>
        <v>0</v>
      </c>
      <c r="BG264" s="734">
        <f t="shared" ca="1" si="291"/>
        <v>0</v>
      </c>
      <c r="BH264" s="734">
        <f t="shared" si="291"/>
        <v>0</v>
      </c>
      <c r="BI264" s="734">
        <f t="shared" ca="1" si="291"/>
        <v>0</v>
      </c>
      <c r="BJ264" s="734">
        <f t="shared" ca="1" si="291"/>
        <v>0</v>
      </c>
      <c r="BK264" s="734">
        <f t="shared" si="291"/>
        <v>0</v>
      </c>
      <c r="BL264" s="734">
        <f t="shared" ca="1" si="291"/>
        <v>0</v>
      </c>
      <c r="BM264" s="734">
        <f t="shared" ca="1" si="291"/>
        <v>0</v>
      </c>
      <c r="BN264" s="734">
        <f t="shared" ref="BN264:CS264" si="292">SUM(BN265:BN268)</f>
        <v>0</v>
      </c>
      <c r="BO264" s="734">
        <f t="shared" ca="1" si="292"/>
        <v>0</v>
      </c>
      <c r="BP264" s="734">
        <f t="shared" ca="1" si="292"/>
        <v>3188.3450757450137</v>
      </c>
      <c r="BQ264" s="734">
        <f t="shared" si="292"/>
        <v>2280.8218028116007</v>
      </c>
      <c r="BR264" s="734">
        <f t="shared" ca="1" si="292"/>
        <v>907.52327293341307</v>
      </c>
      <c r="BS264" s="734">
        <f t="shared" ca="1" si="292"/>
        <v>0</v>
      </c>
      <c r="BT264" s="734">
        <f t="shared" si="292"/>
        <v>0</v>
      </c>
      <c r="BU264" s="734">
        <f t="shared" ca="1" si="292"/>
        <v>0</v>
      </c>
      <c r="BV264" s="734">
        <f t="shared" ca="1" si="292"/>
        <v>0</v>
      </c>
      <c r="BW264" s="734">
        <f t="shared" si="292"/>
        <v>0</v>
      </c>
      <c r="BX264" s="734">
        <f t="shared" ca="1" si="292"/>
        <v>0</v>
      </c>
      <c r="BY264" s="734">
        <f t="shared" ca="1" si="292"/>
        <v>0</v>
      </c>
      <c r="BZ264" s="734">
        <f t="shared" si="292"/>
        <v>0</v>
      </c>
      <c r="CA264" s="734">
        <f t="shared" ca="1" si="292"/>
        <v>0</v>
      </c>
      <c r="CB264" s="734">
        <f t="shared" ca="1" si="292"/>
        <v>0</v>
      </c>
      <c r="CC264" s="734">
        <f t="shared" si="292"/>
        <v>0</v>
      </c>
      <c r="CD264" s="734">
        <f t="shared" ca="1" si="292"/>
        <v>0</v>
      </c>
      <c r="CE264" s="734">
        <f t="shared" ca="1" si="292"/>
        <v>0</v>
      </c>
      <c r="CF264" s="734">
        <f t="shared" si="292"/>
        <v>0</v>
      </c>
      <c r="CG264" s="734">
        <f t="shared" ca="1" si="292"/>
        <v>0</v>
      </c>
      <c r="CH264" s="734">
        <f t="shared" ca="1" si="292"/>
        <v>0</v>
      </c>
      <c r="CI264" s="734">
        <f t="shared" si="292"/>
        <v>0</v>
      </c>
      <c r="CJ264" s="734">
        <f t="shared" ca="1" si="292"/>
        <v>0</v>
      </c>
      <c r="CK264" s="734">
        <f t="shared" ca="1" si="292"/>
        <v>0</v>
      </c>
      <c r="CL264" s="734">
        <f t="shared" si="292"/>
        <v>0</v>
      </c>
      <c r="CM264" s="734">
        <f t="shared" ca="1" si="292"/>
        <v>0</v>
      </c>
      <c r="CN264" s="734">
        <f t="shared" ca="1" si="292"/>
        <v>0</v>
      </c>
      <c r="CO264" s="734">
        <f t="shared" si="292"/>
        <v>0</v>
      </c>
      <c r="CP264" s="734">
        <f t="shared" ca="1" si="292"/>
        <v>0</v>
      </c>
      <c r="CQ264" s="734">
        <f t="shared" ca="1" si="292"/>
        <v>0</v>
      </c>
      <c r="CR264" s="734">
        <f t="shared" si="292"/>
        <v>0</v>
      </c>
      <c r="CS264" s="734">
        <f t="shared" ca="1" si="292"/>
        <v>0</v>
      </c>
      <c r="CT264" s="28"/>
      <c r="CW264" s="970" t="s">
        <v>894</v>
      </c>
      <c r="CX264" s="975"/>
      <c r="CY264" s="975"/>
      <c r="CZ264" s="975"/>
      <c r="DA264" s="976"/>
      <c r="DB264" s="976"/>
    </row>
    <row r="265" spans="1:106" s="1229" customFormat="1" ht="16.5" hidden="1" customHeight="1">
      <c r="E265" s="676">
        <v>17.100000000000001</v>
      </c>
      <c r="F265" s="779" t="str" cm="1">
        <f t="array" aca="1" ref="F265" ca="1">OFFSET(G265,-1,-1)</f>
        <v>1</v>
      </c>
      <c r="L265" s="779" t="b" cm="1">
        <f t="array" aca="1" ref="L265" ca="1">OFFSET(M265,-1,-1)</f>
        <v>0</v>
      </c>
      <c r="R265" s="779" t="s">
        <v>759</v>
      </c>
      <c r="S265" s="110" t="b" cm="1">
        <f t="array" aca="1" ref="S265" ca="1">OFFSET(T265,-1,-1)</f>
        <v>1</v>
      </c>
      <c r="T265" s="110" t="b">
        <f ca="1">AND(L265,AD265&lt;&gt;"37.0")</f>
        <v>0</v>
      </c>
      <c r="U265" s="698" t="b">
        <f t="shared" ca="1" si="198"/>
        <v>0</v>
      </c>
      <c r="X265" s="110" t="s">
        <v>236</v>
      </c>
      <c r="Y265" s="1722"/>
      <c r="Z265" s="1722"/>
      <c r="AB265" s="1784"/>
      <c r="AD265" s="111" t="s">
        <v>895</v>
      </c>
      <c r="AE265" s="821"/>
      <c r="AF265" s="524"/>
      <c r="AG265" s="733" t="s">
        <v>839</v>
      </c>
      <c r="AH265" s="41">
        <f t="shared" ref="AH265:AK267" si="293">AH$163*AH260</f>
        <v>0</v>
      </c>
      <c r="AI265" s="42">
        <f t="shared" si="293"/>
        <v>0</v>
      </c>
      <c r="AJ265" s="42">
        <f t="shared" si="293"/>
        <v>0</v>
      </c>
      <c r="AK265" s="42">
        <f t="shared" si="293"/>
        <v>0</v>
      </c>
      <c r="AL265" s="736">
        <f ca="1">AM265+AN265</f>
        <v>0</v>
      </c>
      <c r="AM265" s="42">
        <f t="shared" ref="AM265:AN267" si="294">AM$163*AM260</f>
        <v>0</v>
      </c>
      <c r="AN265" s="42">
        <f t="shared" ca="1" si="294"/>
        <v>0</v>
      </c>
      <c r="AO265" s="736">
        <f ca="1">AP265+AQ265</f>
        <v>0</v>
      </c>
      <c r="AP265" s="826">
        <f t="shared" ref="AP265:AQ267" si="295">AP$163*AP260</f>
        <v>0</v>
      </c>
      <c r="AQ265" s="826">
        <f t="shared" ca="1" si="295"/>
        <v>0</v>
      </c>
      <c r="AR265" s="736">
        <f ca="1">AS265+AT265</f>
        <v>0</v>
      </c>
      <c r="AS265" s="826">
        <f t="shared" ref="AS265:AT267" si="296">AS$163*AS260</f>
        <v>0</v>
      </c>
      <c r="AT265" s="826">
        <f t="shared" ca="1" si="296"/>
        <v>0</v>
      </c>
      <c r="AU265" s="736">
        <f ca="1">AV265+AW265</f>
        <v>0</v>
      </c>
      <c r="AV265" s="826">
        <f t="shared" ref="AV265:AW267" si="297">AV$163*AV260</f>
        <v>0</v>
      </c>
      <c r="AW265" s="826">
        <f t="shared" ca="1" si="297"/>
        <v>0</v>
      </c>
      <c r="AX265" s="736">
        <f ca="1">AY265+AZ265</f>
        <v>0</v>
      </c>
      <c r="AY265" s="826">
        <f t="shared" ref="AY265:AZ267" si="298">AY$163*AY260</f>
        <v>0</v>
      </c>
      <c r="AZ265" s="826">
        <f t="shared" ca="1" si="298"/>
        <v>0</v>
      </c>
      <c r="BA265" s="736">
        <f ca="1">BB265+BC265</f>
        <v>0</v>
      </c>
      <c r="BB265" s="42">
        <f t="shared" ref="BB265:BC267" si="299">BB$163*BB260</f>
        <v>0</v>
      </c>
      <c r="BC265" s="42">
        <f t="shared" ca="1" si="299"/>
        <v>0</v>
      </c>
      <c r="BD265" s="736">
        <f ca="1">BE265+BF265</f>
        <v>0</v>
      </c>
      <c r="BE265" s="42">
        <f t="shared" ref="BE265:BF267" si="300">BE$163*BE260</f>
        <v>0</v>
      </c>
      <c r="BF265" s="42">
        <f t="shared" ca="1" si="300"/>
        <v>0</v>
      </c>
      <c r="BG265" s="736">
        <f ca="1">BH265+BI265</f>
        <v>0</v>
      </c>
      <c r="BH265" s="42">
        <f t="shared" ref="BH265:BI267" si="301">BH$163*BH260</f>
        <v>0</v>
      </c>
      <c r="BI265" s="42">
        <f t="shared" ca="1" si="301"/>
        <v>0</v>
      </c>
      <c r="BJ265" s="736">
        <f ca="1">BK265+BL265</f>
        <v>0</v>
      </c>
      <c r="BK265" s="42">
        <f t="shared" ref="BK265:BL267" si="302">BK$163*BK260</f>
        <v>0</v>
      </c>
      <c r="BL265" s="42">
        <f t="shared" ca="1" si="302"/>
        <v>0</v>
      </c>
      <c r="BM265" s="736">
        <f ca="1">BN265+BO265</f>
        <v>0</v>
      </c>
      <c r="BN265" s="42">
        <f t="shared" ref="BN265:BO267" si="303">BN$163*BN260</f>
        <v>0</v>
      </c>
      <c r="BO265" s="42">
        <f t="shared" ca="1" si="303"/>
        <v>0</v>
      </c>
      <c r="BP265" s="736">
        <f ca="1">BQ265+BR265</f>
        <v>0</v>
      </c>
      <c r="BQ265" s="826">
        <f t="shared" ref="BQ265:BR267" si="304">BQ$163*BQ260</f>
        <v>0</v>
      </c>
      <c r="BR265" s="826">
        <f t="shared" ca="1" si="304"/>
        <v>0</v>
      </c>
      <c r="BS265" s="736">
        <f ca="1">BT265+BU265</f>
        <v>0</v>
      </c>
      <c r="BT265" s="826">
        <f t="shared" ref="BT265:BU267" si="305">BT$163*BT260</f>
        <v>0</v>
      </c>
      <c r="BU265" s="826">
        <f t="shared" ca="1" si="305"/>
        <v>0</v>
      </c>
      <c r="BV265" s="736">
        <f ca="1">BW265+BX265</f>
        <v>0</v>
      </c>
      <c r="BW265" s="826">
        <f t="shared" ref="BW265:BX267" si="306">BW$163*BW260</f>
        <v>0</v>
      </c>
      <c r="BX265" s="826">
        <f t="shared" ca="1" si="306"/>
        <v>0</v>
      </c>
      <c r="BY265" s="736">
        <f ca="1">BZ265+CA265</f>
        <v>0</v>
      </c>
      <c r="BZ265" s="826">
        <f t="shared" ref="BZ265:CA267" si="307">BZ$163*BZ260</f>
        <v>0</v>
      </c>
      <c r="CA265" s="826">
        <f t="shared" ca="1" si="307"/>
        <v>0</v>
      </c>
      <c r="CB265" s="736">
        <f ca="1">CC265+CD265</f>
        <v>0</v>
      </c>
      <c r="CC265" s="826">
        <f t="shared" ref="CC265:CD267" si="308">CC$163*CC260</f>
        <v>0</v>
      </c>
      <c r="CD265" s="826">
        <f t="shared" ca="1" si="308"/>
        <v>0</v>
      </c>
      <c r="CE265" s="736">
        <f ca="1">CF265+CG265</f>
        <v>0</v>
      </c>
      <c r="CF265" s="42">
        <f t="shared" ref="CF265:CG267" si="309">CF$163*CF260</f>
        <v>0</v>
      </c>
      <c r="CG265" s="42">
        <f t="shared" ca="1" si="309"/>
        <v>0</v>
      </c>
      <c r="CH265" s="736">
        <f ca="1">CI265+CJ265</f>
        <v>0</v>
      </c>
      <c r="CI265" s="42">
        <f t="shared" ref="CI265:CJ267" si="310">CI$163*CI260</f>
        <v>0</v>
      </c>
      <c r="CJ265" s="42">
        <f t="shared" ca="1" si="310"/>
        <v>0</v>
      </c>
      <c r="CK265" s="736">
        <f ca="1">CL265+CM265</f>
        <v>0</v>
      </c>
      <c r="CL265" s="42">
        <f t="shared" ref="CL265:CM267" si="311">CL$163*CL260</f>
        <v>0</v>
      </c>
      <c r="CM265" s="42">
        <f t="shared" ca="1" si="311"/>
        <v>0</v>
      </c>
      <c r="CN265" s="736">
        <f ca="1">CO265+CP265</f>
        <v>0</v>
      </c>
      <c r="CO265" s="42">
        <f t="shared" ref="CO265:CP267" si="312">CO$163*CO260</f>
        <v>0</v>
      </c>
      <c r="CP265" s="42">
        <f t="shared" ca="1" si="312"/>
        <v>0</v>
      </c>
      <c r="CQ265" s="736">
        <f ca="1">CR265+CS265</f>
        <v>0</v>
      </c>
      <c r="CR265" s="42">
        <f t="shared" ref="CR265:CS267" si="313">CR$163*CR260</f>
        <v>0</v>
      </c>
      <c r="CS265" s="42">
        <f t="shared" ca="1" si="313"/>
        <v>0</v>
      </c>
      <c r="CT265" s="28"/>
      <c r="CW265" s="970" t="s">
        <v>894</v>
      </c>
      <c r="CX265" s="975" t="s">
        <v>821</v>
      </c>
      <c r="CY265" s="979" cm="1">
        <f t="array" ref="CY265">AE265</f>
        <v>0</v>
      </c>
      <c r="CZ265" s="979" cm="1">
        <f t="array" ref="CZ265">AF265</f>
        <v>0</v>
      </c>
      <c r="DA265" s="976"/>
      <c r="DB265" s="976"/>
    </row>
    <row r="266" spans="1:106" s="1229" customFormat="1" ht="16.5" hidden="1" customHeight="1">
      <c r="E266" s="676">
        <v>17.100000000000001</v>
      </c>
      <c r="F266" s="779" t="str" cm="1">
        <f t="array" aca="1" ref="F266" ca="1">OFFSET(G266,-1,-1)</f>
        <v>1</v>
      </c>
      <c r="L266" s="779" t="b" cm="1">
        <f t="array" aca="1" ref="L266" ca="1">OFFSET(M266,-1,-1)</f>
        <v>0</v>
      </c>
      <c r="R266" s="779" t="s">
        <v>759</v>
      </c>
      <c r="S266" s="110" t="b" cm="1">
        <f t="array" aca="1" ref="S266" ca="1">OFFSET(T266,-1,-1)</f>
        <v>1</v>
      </c>
      <c r="T266" s="110" t="b">
        <f ca="1">AND(L266,AD266&lt;&gt;"37.0")</f>
        <v>0</v>
      </c>
      <c r="U266" s="698" t="b">
        <f t="shared" ca="1" si="198"/>
        <v>0</v>
      </c>
      <c r="X266" s="110" t="str">
        <f>'Топливо 4.4'!$AE$261&amp;'Топливо 4.4'!$AF$261</f>
        <v>Уголь длиннопламенный</v>
      </c>
      <c r="Y266" s="1722"/>
      <c r="Z266" s="1722"/>
      <c r="AB266" s="1784"/>
      <c r="AD266" s="111" t="s">
        <v>969</v>
      </c>
      <c r="AE266" s="821" t="str" cm="1">
        <f t="array" ref="AE266">IF(ISBLANK('Топливо 4.4'!$AE$261),"",'Топливо 4.4'!$AE$261)</f>
        <v>Уголь длиннопламенный</v>
      </c>
      <c r="AF266" s="524" t="str" cm="1">
        <f t="array" ref="AF266">IF(ISBLANK('Топливо 4.4'!$AF$261),"",'Топливо 4.4'!$AF$261)</f>
        <v/>
      </c>
      <c r="AG266" s="733" t="s">
        <v>839</v>
      </c>
      <c r="AH266" s="41">
        <f t="shared" si="293"/>
        <v>0</v>
      </c>
      <c r="AI266" s="42">
        <f t="shared" si="293"/>
        <v>0</v>
      </c>
      <c r="AJ266" s="42">
        <f t="shared" si="293"/>
        <v>0</v>
      </c>
      <c r="AK266" s="42">
        <f t="shared" si="293"/>
        <v>3048</v>
      </c>
      <c r="AL266" s="736">
        <f ca="1">AM266+AN266</f>
        <v>0</v>
      </c>
      <c r="AM266" s="42">
        <f t="shared" si="294"/>
        <v>0</v>
      </c>
      <c r="AN266" s="42">
        <f t="shared" ca="1" si="294"/>
        <v>0</v>
      </c>
      <c r="AO266" s="736">
        <f ca="1">AP266+AQ266</f>
        <v>0</v>
      </c>
      <c r="AP266" s="826">
        <f t="shared" si="295"/>
        <v>0</v>
      </c>
      <c r="AQ266" s="826">
        <f t="shared" ca="1" si="295"/>
        <v>0</v>
      </c>
      <c r="AR266" s="736">
        <f ca="1">AS266+AT266</f>
        <v>0</v>
      </c>
      <c r="AS266" s="826">
        <f t="shared" si="296"/>
        <v>0</v>
      </c>
      <c r="AT266" s="826">
        <f t="shared" ca="1" si="296"/>
        <v>0</v>
      </c>
      <c r="AU266" s="736">
        <f ca="1">AV266+AW266</f>
        <v>0</v>
      </c>
      <c r="AV266" s="826">
        <f t="shared" si="297"/>
        <v>0</v>
      </c>
      <c r="AW266" s="826">
        <f t="shared" ca="1" si="297"/>
        <v>0</v>
      </c>
      <c r="AX266" s="736">
        <f ca="1">AY266+AZ266</f>
        <v>0</v>
      </c>
      <c r="AY266" s="826">
        <f t="shared" si="298"/>
        <v>0</v>
      </c>
      <c r="AZ266" s="826">
        <f t="shared" ca="1" si="298"/>
        <v>0</v>
      </c>
      <c r="BA266" s="736">
        <f ca="1">BB266+BC266</f>
        <v>0</v>
      </c>
      <c r="BB266" s="42">
        <f t="shared" si="299"/>
        <v>0</v>
      </c>
      <c r="BC266" s="42">
        <f t="shared" ca="1" si="299"/>
        <v>0</v>
      </c>
      <c r="BD266" s="736">
        <f ca="1">BE266+BF266</f>
        <v>0</v>
      </c>
      <c r="BE266" s="42">
        <f t="shared" si="300"/>
        <v>0</v>
      </c>
      <c r="BF266" s="42">
        <f t="shared" ca="1" si="300"/>
        <v>0</v>
      </c>
      <c r="BG266" s="736">
        <f ca="1">BH266+BI266</f>
        <v>0</v>
      </c>
      <c r="BH266" s="42">
        <f t="shared" si="301"/>
        <v>0</v>
      </c>
      <c r="BI266" s="42">
        <f t="shared" ca="1" si="301"/>
        <v>0</v>
      </c>
      <c r="BJ266" s="736">
        <f ca="1">BK266+BL266</f>
        <v>0</v>
      </c>
      <c r="BK266" s="42">
        <f t="shared" si="302"/>
        <v>0</v>
      </c>
      <c r="BL266" s="42">
        <f t="shared" ca="1" si="302"/>
        <v>0</v>
      </c>
      <c r="BM266" s="736">
        <f ca="1">BN266+BO266</f>
        <v>0</v>
      </c>
      <c r="BN266" s="42">
        <f t="shared" si="303"/>
        <v>0</v>
      </c>
      <c r="BO266" s="42">
        <f t="shared" ca="1" si="303"/>
        <v>0</v>
      </c>
      <c r="BP266" s="736">
        <f ca="1">BQ266+BR266</f>
        <v>3188.3450757450137</v>
      </c>
      <c r="BQ266" s="826">
        <f t="shared" si="304"/>
        <v>2280.8218028116007</v>
      </c>
      <c r="BR266" s="826">
        <f t="shared" ca="1" si="304"/>
        <v>907.52327293341307</v>
      </c>
      <c r="BS266" s="736">
        <f ca="1">BT266+BU266</f>
        <v>0</v>
      </c>
      <c r="BT266" s="826">
        <f t="shared" si="305"/>
        <v>0</v>
      </c>
      <c r="BU266" s="826">
        <f t="shared" ca="1" si="305"/>
        <v>0</v>
      </c>
      <c r="BV266" s="736">
        <f ca="1">BW266+BX266</f>
        <v>0</v>
      </c>
      <c r="BW266" s="826">
        <f t="shared" si="306"/>
        <v>0</v>
      </c>
      <c r="BX266" s="826">
        <f t="shared" ca="1" si="306"/>
        <v>0</v>
      </c>
      <c r="BY266" s="736">
        <f ca="1">BZ266+CA266</f>
        <v>0</v>
      </c>
      <c r="BZ266" s="826">
        <f t="shared" si="307"/>
        <v>0</v>
      </c>
      <c r="CA266" s="826">
        <f t="shared" ca="1" si="307"/>
        <v>0</v>
      </c>
      <c r="CB266" s="736">
        <f ca="1">CC266+CD266</f>
        <v>0</v>
      </c>
      <c r="CC266" s="826">
        <f t="shared" si="308"/>
        <v>0</v>
      </c>
      <c r="CD266" s="826">
        <f t="shared" ca="1" si="308"/>
        <v>0</v>
      </c>
      <c r="CE266" s="736">
        <f ca="1">CF266+CG266</f>
        <v>0</v>
      </c>
      <c r="CF266" s="42">
        <f t="shared" si="309"/>
        <v>0</v>
      </c>
      <c r="CG266" s="42">
        <f t="shared" ca="1" si="309"/>
        <v>0</v>
      </c>
      <c r="CH266" s="736">
        <f ca="1">CI266+CJ266</f>
        <v>0</v>
      </c>
      <c r="CI266" s="42">
        <f t="shared" si="310"/>
        <v>0</v>
      </c>
      <c r="CJ266" s="42">
        <f t="shared" ca="1" si="310"/>
        <v>0</v>
      </c>
      <c r="CK266" s="736">
        <f ca="1">CL266+CM266</f>
        <v>0</v>
      </c>
      <c r="CL266" s="42">
        <f t="shared" si="311"/>
        <v>0</v>
      </c>
      <c r="CM266" s="42">
        <f t="shared" ca="1" si="311"/>
        <v>0</v>
      </c>
      <c r="CN266" s="736">
        <f ca="1">CO266+CP266</f>
        <v>0</v>
      </c>
      <c r="CO266" s="42">
        <f t="shared" si="312"/>
        <v>0</v>
      </c>
      <c r="CP266" s="42">
        <f t="shared" ca="1" si="312"/>
        <v>0</v>
      </c>
      <c r="CQ266" s="736">
        <f ca="1">CR266+CS266</f>
        <v>0</v>
      </c>
      <c r="CR266" s="42">
        <f t="shared" si="313"/>
        <v>0</v>
      </c>
      <c r="CS266" s="42">
        <f t="shared" ca="1" si="313"/>
        <v>0</v>
      </c>
      <c r="CT266" s="28"/>
      <c r="CW266" s="970" t="s">
        <v>894</v>
      </c>
      <c r="CX266" s="975" t="s">
        <v>821</v>
      </c>
      <c r="CY266" s="979" t="str" cm="1">
        <f t="array" ref="CY266">AE266</f>
        <v>Уголь длиннопламенный</v>
      </c>
      <c r="CZ266" s="979" t="str" cm="1">
        <f t="array" ref="CZ266">AF266</f>
        <v/>
      </c>
      <c r="DA266" s="976"/>
      <c r="DB266" s="976"/>
    </row>
    <row r="267" spans="1:106" s="1229" customFormat="1" ht="16.5" hidden="1" customHeight="1">
      <c r="E267" s="676">
        <v>17.100000000000001</v>
      </c>
      <c r="F267" s="779" t="str" cm="1">
        <f t="array" aca="1" ref="F267" ca="1">OFFSET(G267,-1,-1)</f>
        <v>1</v>
      </c>
      <c r="L267" s="779" t="b" cm="1">
        <f t="array" aca="1" ref="L267" ca="1">OFFSET(M267,-1,-1)</f>
        <v>0</v>
      </c>
      <c r="R267" s="779" t="s">
        <v>759</v>
      </c>
      <c r="S267" s="110" t="b" cm="1">
        <f t="array" aca="1" ref="S267" ca="1">OFFSET(T267,-1,-1)</f>
        <v>1</v>
      </c>
      <c r="T267" s="110" t="b">
        <f ca="1">AND(L267,AD267&lt;&gt;"37.0")</f>
        <v>0</v>
      </c>
      <c r="U267" s="698" t="b">
        <f t="shared" ca="1" si="198"/>
        <v>0</v>
      </c>
      <c r="X267" s="110" t="str">
        <f>'Топливо 4.4'!$AE$262&amp;'Топливо 4.4'!$AF$262</f>
        <v>Уголь бурый</v>
      </c>
      <c r="Y267" s="1722"/>
      <c r="Z267" s="1722"/>
      <c r="AB267" s="1784"/>
      <c r="AD267" s="111" t="s">
        <v>970</v>
      </c>
      <c r="AE267" s="821" t="str" cm="1">
        <f t="array" ref="AE267">IF(ISBLANK('Топливо 4.4'!$AE$262),"",'Топливо 4.4'!$AE$262)</f>
        <v>Уголь бурый</v>
      </c>
      <c r="AF267" s="524" t="str" cm="1">
        <f t="array" ref="AF267">IF(ISBLANK('Топливо 4.4'!$AF$262),"",'Топливо 4.4'!$AF$262)</f>
        <v/>
      </c>
      <c r="AG267" s="733" t="s">
        <v>839</v>
      </c>
      <c r="AH267" s="41">
        <f t="shared" si="293"/>
        <v>0</v>
      </c>
      <c r="AI267" s="42">
        <f t="shared" si="293"/>
        <v>0</v>
      </c>
      <c r="AJ267" s="42">
        <f t="shared" si="293"/>
        <v>0</v>
      </c>
      <c r="AK267" s="42">
        <f t="shared" si="293"/>
        <v>0</v>
      </c>
      <c r="AL267" s="736">
        <f ca="1">AM267+AN267</f>
        <v>0</v>
      </c>
      <c r="AM267" s="42">
        <f t="shared" si="294"/>
        <v>0</v>
      </c>
      <c r="AN267" s="42">
        <f t="shared" ca="1" si="294"/>
        <v>0</v>
      </c>
      <c r="AO267" s="736">
        <f ca="1">AP267+AQ267</f>
        <v>0</v>
      </c>
      <c r="AP267" s="826">
        <f t="shared" si="295"/>
        <v>0</v>
      </c>
      <c r="AQ267" s="826">
        <f t="shared" ca="1" si="295"/>
        <v>0</v>
      </c>
      <c r="AR267" s="736">
        <f ca="1">AS267+AT267</f>
        <v>0</v>
      </c>
      <c r="AS267" s="826">
        <f t="shared" si="296"/>
        <v>0</v>
      </c>
      <c r="AT267" s="826">
        <f t="shared" ca="1" si="296"/>
        <v>0</v>
      </c>
      <c r="AU267" s="736">
        <f ca="1">AV267+AW267</f>
        <v>0</v>
      </c>
      <c r="AV267" s="826">
        <f t="shared" si="297"/>
        <v>0</v>
      </c>
      <c r="AW267" s="826">
        <f t="shared" ca="1" si="297"/>
        <v>0</v>
      </c>
      <c r="AX267" s="736">
        <f ca="1">AY267+AZ267</f>
        <v>0</v>
      </c>
      <c r="AY267" s="826">
        <f t="shared" si="298"/>
        <v>0</v>
      </c>
      <c r="AZ267" s="826">
        <f t="shared" ca="1" si="298"/>
        <v>0</v>
      </c>
      <c r="BA267" s="736">
        <f ca="1">BB267+BC267</f>
        <v>0</v>
      </c>
      <c r="BB267" s="42">
        <f t="shared" si="299"/>
        <v>0</v>
      </c>
      <c r="BC267" s="42">
        <f t="shared" ca="1" si="299"/>
        <v>0</v>
      </c>
      <c r="BD267" s="736">
        <f ca="1">BE267+BF267</f>
        <v>0</v>
      </c>
      <c r="BE267" s="42">
        <f t="shared" si="300"/>
        <v>0</v>
      </c>
      <c r="BF267" s="42">
        <f t="shared" ca="1" si="300"/>
        <v>0</v>
      </c>
      <c r="BG267" s="736">
        <f ca="1">BH267+BI267</f>
        <v>0</v>
      </c>
      <c r="BH267" s="42">
        <f t="shared" si="301"/>
        <v>0</v>
      </c>
      <c r="BI267" s="42">
        <f t="shared" ca="1" si="301"/>
        <v>0</v>
      </c>
      <c r="BJ267" s="736">
        <f ca="1">BK267+BL267</f>
        <v>0</v>
      </c>
      <c r="BK267" s="42">
        <f t="shared" si="302"/>
        <v>0</v>
      </c>
      <c r="BL267" s="42">
        <f t="shared" ca="1" si="302"/>
        <v>0</v>
      </c>
      <c r="BM267" s="736">
        <f ca="1">BN267+BO267</f>
        <v>0</v>
      </c>
      <c r="BN267" s="42">
        <f t="shared" si="303"/>
        <v>0</v>
      </c>
      <c r="BO267" s="42">
        <f t="shared" ca="1" si="303"/>
        <v>0</v>
      </c>
      <c r="BP267" s="736">
        <f ca="1">BQ267+BR267</f>
        <v>0</v>
      </c>
      <c r="BQ267" s="826">
        <f t="shared" si="304"/>
        <v>0</v>
      </c>
      <c r="BR267" s="826">
        <f t="shared" ca="1" si="304"/>
        <v>0</v>
      </c>
      <c r="BS267" s="736">
        <f ca="1">BT267+BU267</f>
        <v>0</v>
      </c>
      <c r="BT267" s="826">
        <f t="shared" si="305"/>
        <v>0</v>
      </c>
      <c r="BU267" s="826">
        <f t="shared" ca="1" si="305"/>
        <v>0</v>
      </c>
      <c r="BV267" s="736">
        <f ca="1">BW267+BX267</f>
        <v>0</v>
      </c>
      <c r="BW267" s="826">
        <f t="shared" si="306"/>
        <v>0</v>
      </c>
      <c r="BX267" s="826">
        <f t="shared" ca="1" si="306"/>
        <v>0</v>
      </c>
      <c r="BY267" s="736">
        <f ca="1">BZ267+CA267</f>
        <v>0</v>
      </c>
      <c r="BZ267" s="826">
        <f t="shared" si="307"/>
        <v>0</v>
      </c>
      <c r="CA267" s="826">
        <f t="shared" ca="1" si="307"/>
        <v>0</v>
      </c>
      <c r="CB267" s="736">
        <f ca="1">CC267+CD267</f>
        <v>0</v>
      </c>
      <c r="CC267" s="826">
        <f t="shared" si="308"/>
        <v>0</v>
      </c>
      <c r="CD267" s="826">
        <f t="shared" ca="1" si="308"/>
        <v>0</v>
      </c>
      <c r="CE267" s="736">
        <f ca="1">CF267+CG267</f>
        <v>0</v>
      </c>
      <c r="CF267" s="42">
        <f t="shared" si="309"/>
        <v>0</v>
      </c>
      <c r="CG267" s="42">
        <f t="shared" ca="1" si="309"/>
        <v>0</v>
      </c>
      <c r="CH267" s="736">
        <f ca="1">CI267+CJ267</f>
        <v>0</v>
      </c>
      <c r="CI267" s="42">
        <f t="shared" si="310"/>
        <v>0</v>
      </c>
      <c r="CJ267" s="42">
        <f t="shared" ca="1" si="310"/>
        <v>0</v>
      </c>
      <c r="CK267" s="736">
        <f ca="1">CL267+CM267</f>
        <v>0</v>
      </c>
      <c r="CL267" s="42">
        <f t="shared" si="311"/>
        <v>0</v>
      </c>
      <c r="CM267" s="42">
        <f t="shared" ca="1" si="311"/>
        <v>0</v>
      </c>
      <c r="CN267" s="736">
        <f ca="1">CO267+CP267</f>
        <v>0</v>
      </c>
      <c r="CO267" s="42">
        <f t="shared" si="312"/>
        <v>0</v>
      </c>
      <c r="CP267" s="42">
        <f t="shared" ca="1" si="312"/>
        <v>0</v>
      </c>
      <c r="CQ267" s="736">
        <f ca="1">CR267+CS267</f>
        <v>0</v>
      </c>
      <c r="CR267" s="42">
        <f t="shared" si="313"/>
        <v>0</v>
      </c>
      <c r="CS267" s="42">
        <f t="shared" ca="1" si="313"/>
        <v>0</v>
      </c>
      <c r="CT267" s="28"/>
      <c r="CW267" s="970" t="s">
        <v>894</v>
      </c>
      <c r="CX267" s="975" t="s">
        <v>821</v>
      </c>
      <c r="CY267" s="979" t="str" cm="1">
        <f t="array" ref="CY267">AE267</f>
        <v>Уголь бурый</v>
      </c>
      <c r="CZ267" s="979" t="str" cm="1">
        <f t="array" ref="CZ267">AF267</f>
        <v/>
      </c>
      <c r="DA267" s="976"/>
      <c r="DB267" s="976"/>
    </row>
    <row r="268" spans="1:106" s="1229" customFormat="1" ht="15" hidden="1" customHeight="1">
      <c r="A268" s="1155"/>
      <c r="B268" s="783"/>
      <c r="C268" s="1155"/>
      <c r="D268" s="1155"/>
      <c r="E268" s="676">
        <v>0</v>
      </c>
      <c r="F268" s="779" t="str" cm="1">
        <f t="array" aca="1" ref="F268" ca="1">OFFSET(G268,-1,-1)</f>
        <v>1</v>
      </c>
      <c r="G268" s="814"/>
      <c r="H268" s="814"/>
      <c r="I268" s="814"/>
      <c r="J268" s="814"/>
      <c r="K268" s="814"/>
      <c r="L268" s="779" t="b" cm="1">
        <f t="array" aca="1" ref="L268" ca="1">OFFSET(M268,-1,-1)</f>
        <v>0</v>
      </c>
      <c r="M268" s="814"/>
      <c r="N268" s="814"/>
      <c r="O268" s="814"/>
      <c r="P268" s="814"/>
      <c r="Q268" s="814"/>
      <c r="R268" s="1155"/>
      <c r="S268" s="110" t="b" cm="1">
        <f t="array" aca="1" ref="S268" ca="1">OFFSET(T268,-1,-1)</f>
        <v>1</v>
      </c>
      <c r="T268" s="1155"/>
      <c r="U268" s="698" t="b">
        <f t="shared" ca="1" si="198"/>
        <v>1</v>
      </c>
      <c r="V268" s="1155"/>
      <c r="W268" s="1155"/>
      <c r="X268" s="820" t="str">
        <f>"{                  
         funcDyn: 'msg1',
         blok: 'blok_2',
         wsCross: 'Топливо 4.4',
         linkFormula: 'AE-AE#AF-AF',
         levelDyn: "&amp;Y139&amp;"
}"</f>
        <v>{                  
         funcDyn: 'msg1',
         blok: 'blok_2',
         wsCross: 'Топливо 4.4',
         linkFormula: 'AE-AE#AF-AF',
         levelDyn: 1
}</v>
      </c>
      <c r="Y268" s="1687"/>
      <c r="Z268" s="1687"/>
      <c r="AA268" s="699"/>
      <c r="AB268" s="1785"/>
      <c r="AD268" s="823"/>
      <c r="AE268" s="822" t="s">
        <v>238</v>
      </c>
      <c r="AF268" s="745"/>
      <c r="AG268" s="733"/>
      <c r="AH268" s="735"/>
      <c r="AI268" s="737"/>
      <c r="AJ268" s="737"/>
      <c r="AK268" s="737"/>
      <c r="AL268" s="737"/>
      <c r="AM268" s="737"/>
      <c r="AN268" s="737"/>
      <c r="AO268" s="737"/>
      <c r="AP268" s="737"/>
      <c r="AQ268" s="737"/>
      <c r="AR268" s="737"/>
      <c r="AS268" s="737"/>
      <c r="AT268" s="737"/>
      <c r="AU268" s="737"/>
      <c r="AV268" s="737"/>
      <c r="AW268" s="737"/>
      <c r="AX268" s="737"/>
      <c r="AY268" s="737"/>
      <c r="AZ268" s="737"/>
      <c r="BA268" s="737"/>
      <c r="BB268" s="737"/>
      <c r="BC268" s="737"/>
      <c r="BD268" s="737"/>
      <c r="BE268" s="737"/>
      <c r="BF268" s="737"/>
      <c r="BG268" s="737"/>
      <c r="BH268" s="737"/>
      <c r="BI268" s="737"/>
      <c r="BJ268" s="737"/>
      <c r="BK268" s="737"/>
      <c r="BL268" s="737"/>
      <c r="BM268" s="737"/>
      <c r="BN268" s="737"/>
      <c r="BO268" s="737"/>
      <c r="BP268" s="737"/>
      <c r="BQ268" s="737"/>
      <c r="BR268" s="737"/>
      <c r="BS268" s="737"/>
      <c r="BT268" s="737"/>
      <c r="BU268" s="737"/>
      <c r="BV268" s="737"/>
      <c r="BW268" s="737"/>
      <c r="BX268" s="737"/>
      <c r="BY268" s="737"/>
      <c r="BZ268" s="737"/>
      <c r="CA268" s="737"/>
      <c r="CB268" s="737"/>
      <c r="CC268" s="737"/>
      <c r="CD268" s="737"/>
      <c r="CE268" s="737"/>
      <c r="CF268" s="737"/>
      <c r="CG268" s="737"/>
      <c r="CH268" s="737"/>
      <c r="CI268" s="737"/>
      <c r="CJ268" s="737"/>
      <c r="CK268" s="737"/>
      <c r="CL268" s="737"/>
      <c r="CM268" s="737"/>
      <c r="CN268" s="737"/>
      <c r="CO268" s="737"/>
      <c r="CP268" s="737"/>
      <c r="CQ268" s="737"/>
      <c r="CR268" s="737"/>
      <c r="CS268" s="737"/>
      <c r="CT268" s="46"/>
      <c r="CW268" s="970" t="str">
        <f>IF(AND(ISNUMBER(VALUE(TRIM(SUBSTITUTE(AD268,".","")))),TRIM(SUBSTITUTE(AD268,".",""))&lt;&gt;""),"P"&amp;SUBSTITUTE(AD268,".",""),"")</f>
        <v/>
      </c>
      <c r="CX268" s="975"/>
      <c r="CY268" s="975"/>
      <c r="CZ268" s="975"/>
      <c r="DA268" s="976"/>
      <c r="DB268" s="976"/>
    </row>
    <row r="269" spans="1:106" s="1229" customFormat="1" ht="16.5" customHeight="1">
      <c r="A269" s="1155"/>
      <c r="B269" s="783"/>
      <c r="C269" s="1155"/>
      <c r="D269" s="1155"/>
      <c r="E269" s="676">
        <v>17.100000000000001</v>
      </c>
      <c r="F269" s="779" t="str" cm="1">
        <f t="array" aca="1" ref="F269" ca="1">OFFSET(G269,-1,-1)</f>
        <v>1</v>
      </c>
      <c r="G269" s="814"/>
      <c r="H269" s="814"/>
      <c r="I269" s="814"/>
      <c r="J269" s="814"/>
      <c r="K269" s="814"/>
      <c r="L269" s="779" t="b" cm="1">
        <f t="array" aca="1" ref="L269" ca="1">OFFSET(M269,-1,-1)</f>
        <v>0</v>
      </c>
      <c r="M269" s="814"/>
      <c r="N269" s="814"/>
      <c r="O269" s="814"/>
      <c r="P269" s="814"/>
      <c r="Q269" s="814"/>
      <c r="R269" s="1155"/>
      <c r="S269" s="110" t="b" cm="1">
        <f t="array" aca="1" ref="S269" ca="1">OFFSET(T269,-1,-1)</f>
        <v>1</v>
      </c>
      <c r="T269" s="1155"/>
      <c r="U269" s="698" t="b">
        <f t="shared" ca="1" si="198"/>
        <v>1</v>
      </c>
      <c r="V269" s="1155"/>
      <c r="W269" s="1155"/>
      <c r="X269" s="1155"/>
      <c r="Y269" s="1687"/>
      <c r="Z269" s="1687"/>
      <c r="AA269" s="699"/>
      <c r="AB269" s="1783" t="s">
        <v>896</v>
      </c>
      <c r="AD269" s="124" t="s">
        <v>897</v>
      </c>
      <c r="AE269" s="1754" t="s">
        <v>898</v>
      </c>
      <c r="AF269" s="1734"/>
      <c r="AG269" s="733" t="s">
        <v>839</v>
      </c>
      <c r="AH269" s="734">
        <f t="shared" ref="AH269:BM269" si="314">SUM(AH271:AH274)</f>
        <v>0</v>
      </c>
      <c r="AI269" s="734">
        <f t="shared" si="314"/>
        <v>0</v>
      </c>
      <c r="AJ269" s="734">
        <f t="shared" si="314"/>
        <v>0</v>
      </c>
      <c r="AK269" s="734">
        <f t="shared" si="314"/>
        <v>0</v>
      </c>
      <c r="AL269" s="734">
        <f t="shared" si="314"/>
        <v>0</v>
      </c>
      <c r="AM269" s="734">
        <f t="shared" si="314"/>
        <v>0</v>
      </c>
      <c r="AN269" s="734">
        <f t="shared" si="314"/>
        <v>0</v>
      </c>
      <c r="AO269" s="734">
        <f t="shared" si="314"/>
        <v>0</v>
      </c>
      <c r="AP269" s="734">
        <f t="shared" si="314"/>
        <v>0</v>
      </c>
      <c r="AQ269" s="734">
        <f t="shared" si="314"/>
        <v>0</v>
      </c>
      <c r="AR269" s="734">
        <f t="shared" si="314"/>
        <v>0</v>
      </c>
      <c r="AS269" s="734">
        <f t="shared" si="314"/>
        <v>0</v>
      </c>
      <c r="AT269" s="734">
        <f t="shared" si="314"/>
        <v>0</v>
      </c>
      <c r="AU269" s="734">
        <f t="shared" si="314"/>
        <v>0</v>
      </c>
      <c r="AV269" s="734">
        <f t="shared" si="314"/>
        <v>0</v>
      </c>
      <c r="AW269" s="734">
        <f t="shared" si="314"/>
        <v>0</v>
      </c>
      <c r="AX269" s="734">
        <f t="shared" si="314"/>
        <v>0</v>
      </c>
      <c r="AY269" s="734">
        <f t="shared" si="314"/>
        <v>0</v>
      </c>
      <c r="AZ269" s="734">
        <f t="shared" si="314"/>
        <v>0</v>
      </c>
      <c r="BA269" s="734">
        <f t="shared" si="314"/>
        <v>0</v>
      </c>
      <c r="BB269" s="734">
        <f t="shared" si="314"/>
        <v>0</v>
      </c>
      <c r="BC269" s="734">
        <f t="shared" si="314"/>
        <v>0</v>
      </c>
      <c r="BD269" s="734">
        <f t="shared" si="314"/>
        <v>0</v>
      </c>
      <c r="BE269" s="734">
        <f t="shared" si="314"/>
        <v>0</v>
      </c>
      <c r="BF269" s="734">
        <f t="shared" si="314"/>
        <v>0</v>
      </c>
      <c r="BG269" s="734">
        <f t="shared" si="314"/>
        <v>0</v>
      </c>
      <c r="BH269" s="734">
        <f t="shared" si="314"/>
        <v>0</v>
      </c>
      <c r="BI269" s="734">
        <f t="shared" si="314"/>
        <v>0</v>
      </c>
      <c r="BJ269" s="734">
        <f t="shared" si="314"/>
        <v>0</v>
      </c>
      <c r="BK269" s="734">
        <f t="shared" si="314"/>
        <v>0</v>
      </c>
      <c r="BL269" s="734">
        <f t="shared" si="314"/>
        <v>0</v>
      </c>
      <c r="BM269" s="734">
        <f t="shared" si="314"/>
        <v>0</v>
      </c>
      <c r="BN269" s="734">
        <f t="shared" ref="BN269:CS269" si="315">SUM(BN271:BN274)</f>
        <v>0</v>
      </c>
      <c r="BO269" s="734">
        <f t="shared" si="315"/>
        <v>0</v>
      </c>
      <c r="BP269" s="734">
        <f t="shared" si="315"/>
        <v>2206.71</v>
      </c>
      <c r="BQ269" s="734">
        <f t="shared" si="315"/>
        <v>1578.5970967999999</v>
      </c>
      <c r="BR269" s="734">
        <f t="shared" si="315"/>
        <v>628.11290320000001</v>
      </c>
      <c r="BS269" s="734">
        <f t="shared" si="315"/>
        <v>0</v>
      </c>
      <c r="BT269" s="734">
        <f t="shared" si="315"/>
        <v>0</v>
      </c>
      <c r="BU269" s="734">
        <f t="shared" si="315"/>
        <v>0</v>
      </c>
      <c r="BV269" s="734">
        <f t="shared" si="315"/>
        <v>0</v>
      </c>
      <c r="BW269" s="734">
        <f t="shared" si="315"/>
        <v>0</v>
      </c>
      <c r="BX269" s="734">
        <f t="shared" si="315"/>
        <v>0</v>
      </c>
      <c r="BY269" s="734">
        <f t="shared" si="315"/>
        <v>0</v>
      </c>
      <c r="BZ269" s="734">
        <f t="shared" si="315"/>
        <v>0</v>
      </c>
      <c r="CA269" s="734">
        <f t="shared" si="315"/>
        <v>0</v>
      </c>
      <c r="CB269" s="734">
        <f t="shared" si="315"/>
        <v>0</v>
      </c>
      <c r="CC269" s="734">
        <f t="shared" si="315"/>
        <v>0</v>
      </c>
      <c r="CD269" s="734">
        <f t="shared" si="315"/>
        <v>0</v>
      </c>
      <c r="CE269" s="734">
        <f t="shared" si="315"/>
        <v>0</v>
      </c>
      <c r="CF269" s="734">
        <f t="shared" si="315"/>
        <v>0</v>
      </c>
      <c r="CG269" s="734">
        <f t="shared" si="315"/>
        <v>0</v>
      </c>
      <c r="CH269" s="734">
        <f t="shared" si="315"/>
        <v>0</v>
      </c>
      <c r="CI269" s="734">
        <f t="shared" si="315"/>
        <v>0</v>
      </c>
      <c r="CJ269" s="734">
        <f t="shared" si="315"/>
        <v>0</v>
      </c>
      <c r="CK269" s="734">
        <f t="shared" si="315"/>
        <v>0</v>
      </c>
      <c r="CL269" s="734">
        <f t="shared" si="315"/>
        <v>0</v>
      </c>
      <c r="CM269" s="734">
        <f t="shared" si="315"/>
        <v>0</v>
      </c>
      <c r="CN269" s="734">
        <f t="shared" si="315"/>
        <v>0</v>
      </c>
      <c r="CO269" s="734">
        <f t="shared" si="315"/>
        <v>0</v>
      </c>
      <c r="CP269" s="734">
        <f t="shared" si="315"/>
        <v>0</v>
      </c>
      <c r="CQ269" s="734">
        <f t="shared" si="315"/>
        <v>0</v>
      </c>
      <c r="CR269" s="734">
        <f t="shared" si="315"/>
        <v>0</v>
      </c>
      <c r="CS269" s="734">
        <f t="shared" si="315"/>
        <v>0</v>
      </c>
      <c r="CT269" s="1290"/>
      <c r="CW269" s="970" t="s">
        <v>899</v>
      </c>
      <c r="CX269" s="975"/>
      <c r="CY269" s="975"/>
      <c r="CZ269" s="975"/>
      <c r="DA269" s="976"/>
      <c r="DB269" s="976"/>
    </row>
    <row r="270" spans="1:106" s="1229" customFormat="1" ht="16.5" hidden="1" customHeight="1">
      <c r="A270" s="1155"/>
      <c r="B270" s="783"/>
      <c r="C270" s="1155"/>
      <c r="D270" s="1155"/>
      <c r="E270" s="676">
        <v>17.100000000000001</v>
      </c>
      <c r="F270" s="779" t="str" cm="1">
        <f t="array" aca="1" ref="F270" ca="1">OFFSET(G270,-1,-1)</f>
        <v>1</v>
      </c>
      <c r="G270" s="814"/>
      <c r="H270" s="814"/>
      <c r="I270" s="814"/>
      <c r="J270" s="814"/>
      <c r="K270" s="814"/>
      <c r="L270" s="779" t="b" cm="1">
        <f t="array" aca="1" ref="L270" ca="1">OFFSET(M270,-1,-1)</f>
        <v>0</v>
      </c>
      <c r="M270" s="814"/>
      <c r="N270" s="814"/>
      <c r="O270" s="814"/>
      <c r="P270" s="814"/>
      <c r="Q270" s="814"/>
      <c r="R270" s="779" t="s">
        <v>759</v>
      </c>
      <c r="S270" s="110" t="b" cm="1">
        <f t="array" aca="1" ref="S270" ca="1">OFFSET(T270,-1,-1)</f>
        <v>1</v>
      </c>
      <c r="T270" s="779" t="b">
        <v>0</v>
      </c>
      <c r="U270" s="698" t="b">
        <f t="shared" ca="1" si="198"/>
        <v>0</v>
      </c>
      <c r="V270" s="1155"/>
      <c r="W270" s="1155"/>
      <c r="X270" s="1155"/>
      <c r="Y270" s="1687"/>
      <c r="Z270" s="1687"/>
      <c r="AA270" s="699"/>
      <c r="AB270" s="1784"/>
      <c r="AD270" s="111" t="str">
        <f>AD269&amp;".0"</f>
        <v>38.0</v>
      </c>
      <c r="AE270" s="1755" t="s">
        <v>770</v>
      </c>
      <c r="AF270" s="1756"/>
      <c r="AG270" s="733" t="s">
        <v>839</v>
      </c>
      <c r="AH270" s="41">
        <f>AH$163*AH269</f>
        <v>0</v>
      </c>
      <c r="AI270" s="42">
        <f>AI$163*AI269</f>
        <v>0</v>
      </c>
      <c r="AJ270" s="42">
        <f>AJ$163*AJ269</f>
        <v>0</v>
      </c>
      <c r="AK270" s="42">
        <f>AK$163*AK269</f>
        <v>0</v>
      </c>
      <c r="AL270" s="736">
        <f ca="1">AM270+AN270</f>
        <v>0</v>
      </c>
      <c r="AM270" s="42">
        <f>AM$163*AM269</f>
        <v>0</v>
      </c>
      <c r="AN270" s="42">
        <f ca="1">AN$163*AN269</f>
        <v>0</v>
      </c>
      <c r="AO270" s="736">
        <f ca="1">AP270+AQ270</f>
        <v>0</v>
      </c>
      <c r="AP270" s="826">
        <f>AP$163*AP269</f>
        <v>0</v>
      </c>
      <c r="AQ270" s="826">
        <f ca="1">AQ$163*AQ269</f>
        <v>0</v>
      </c>
      <c r="AR270" s="736">
        <f ca="1">AS270+AT270</f>
        <v>0</v>
      </c>
      <c r="AS270" s="826">
        <f>AS$163*AS269</f>
        <v>0</v>
      </c>
      <c r="AT270" s="826">
        <f ca="1">AT$163*AT269</f>
        <v>0</v>
      </c>
      <c r="AU270" s="736">
        <f ca="1">AV270+AW270</f>
        <v>0</v>
      </c>
      <c r="AV270" s="826">
        <f>AV$163*AV269</f>
        <v>0</v>
      </c>
      <c r="AW270" s="826">
        <f ca="1">AW$163*AW269</f>
        <v>0</v>
      </c>
      <c r="AX270" s="736">
        <f ca="1">AY270+AZ270</f>
        <v>0</v>
      </c>
      <c r="AY270" s="826">
        <f>AY$163*AY269</f>
        <v>0</v>
      </c>
      <c r="AZ270" s="826">
        <f ca="1">AZ$163*AZ269</f>
        <v>0</v>
      </c>
      <c r="BA270" s="736">
        <f ca="1">BB270+BC270</f>
        <v>0</v>
      </c>
      <c r="BB270" s="42">
        <f>BB$163*BB269</f>
        <v>0</v>
      </c>
      <c r="BC270" s="42">
        <f ca="1">BC$163*BC269</f>
        <v>0</v>
      </c>
      <c r="BD270" s="736">
        <f ca="1">BE270+BF270</f>
        <v>0</v>
      </c>
      <c r="BE270" s="42">
        <f>BE$163*BE269</f>
        <v>0</v>
      </c>
      <c r="BF270" s="42">
        <f ca="1">BF$163*BF269</f>
        <v>0</v>
      </c>
      <c r="BG270" s="736">
        <f ca="1">BH270+BI270</f>
        <v>0</v>
      </c>
      <c r="BH270" s="42">
        <f>BH$163*BH269</f>
        <v>0</v>
      </c>
      <c r="BI270" s="42">
        <f ca="1">BI$163*BI269</f>
        <v>0</v>
      </c>
      <c r="BJ270" s="736">
        <f ca="1">BK270+BL270</f>
        <v>0</v>
      </c>
      <c r="BK270" s="42">
        <f>BK$163*BK269</f>
        <v>0</v>
      </c>
      <c r="BL270" s="42">
        <f ca="1">BL$163*BL269</f>
        <v>0</v>
      </c>
      <c r="BM270" s="736">
        <f ca="1">BN270+BO270</f>
        <v>0</v>
      </c>
      <c r="BN270" s="42">
        <f>BN$163*BN269</f>
        <v>0</v>
      </c>
      <c r="BO270" s="42">
        <f ca="1">BO$163*BO269</f>
        <v>0</v>
      </c>
      <c r="BP270" s="736">
        <f ca="1">BQ270+BR270</f>
        <v>2206.71</v>
      </c>
      <c r="BQ270" s="826">
        <f>BQ$163*BQ269</f>
        <v>1578.5970967999999</v>
      </c>
      <c r="BR270" s="826">
        <f ca="1">BR$163*BR269</f>
        <v>628.11290320000001</v>
      </c>
      <c r="BS270" s="736">
        <f ca="1">BT270+BU270</f>
        <v>0</v>
      </c>
      <c r="BT270" s="826">
        <f>BT$163*BT269</f>
        <v>0</v>
      </c>
      <c r="BU270" s="826">
        <f ca="1">BU$163*BU269</f>
        <v>0</v>
      </c>
      <c r="BV270" s="736">
        <f ca="1">BW270+BX270</f>
        <v>0</v>
      </c>
      <c r="BW270" s="826">
        <f>BW$163*BW269</f>
        <v>0</v>
      </c>
      <c r="BX270" s="826">
        <f ca="1">BX$163*BX269</f>
        <v>0</v>
      </c>
      <c r="BY270" s="736">
        <f ca="1">BZ270+CA270</f>
        <v>0</v>
      </c>
      <c r="BZ270" s="826">
        <f>BZ$163*BZ269</f>
        <v>0</v>
      </c>
      <c r="CA270" s="826">
        <f ca="1">CA$163*CA269</f>
        <v>0</v>
      </c>
      <c r="CB270" s="736">
        <f ca="1">CC270+CD270</f>
        <v>0</v>
      </c>
      <c r="CC270" s="826">
        <f>CC$163*CC269</f>
        <v>0</v>
      </c>
      <c r="CD270" s="826">
        <f ca="1">CD$163*CD269</f>
        <v>0</v>
      </c>
      <c r="CE270" s="736">
        <f ca="1">CF270+CG270</f>
        <v>0</v>
      </c>
      <c r="CF270" s="42">
        <f>CF$163*CF269</f>
        <v>0</v>
      </c>
      <c r="CG270" s="42">
        <f ca="1">CG$163*CG269</f>
        <v>0</v>
      </c>
      <c r="CH270" s="736">
        <f ca="1">CI270+CJ270</f>
        <v>0</v>
      </c>
      <c r="CI270" s="42">
        <f>CI$163*CI269</f>
        <v>0</v>
      </c>
      <c r="CJ270" s="42">
        <f ca="1">CJ$163*CJ269</f>
        <v>0</v>
      </c>
      <c r="CK270" s="736">
        <f ca="1">CL270+CM270</f>
        <v>0</v>
      </c>
      <c r="CL270" s="42">
        <f>CL$163*CL269</f>
        <v>0</v>
      </c>
      <c r="CM270" s="42">
        <f ca="1">CM$163*CM269</f>
        <v>0</v>
      </c>
      <c r="CN270" s="736">
        <f ca="1">CO270+CP270</f>
        <v>0</v>
      </c>
      <c r="CO270" s="42">
        <f>CO$163*CO269</f>
        <v>0</v>
      </c>
      <c r="CP270" s="42">
        <f ca="1">CP$163*CP269</f>
        <v>0</v>
      </c>
      <c r="CQ270" s="736">
        <f ca="1">CR270+CS270</f>
        <v>0</v>
      </c>
      <c r="CR270" s="42">
        <f>CR$163*CR269</f>
        <v>0</v>
      </c>
      <c r="CS270" s="42">
        <f ca="1">CS$163*CS269</f>
        <v>0</v>
      </c>
      <c r="CT270" s="28"/>
      <c r="CW270" s="970" t="s">
        <v>900</v>
      </c>
      <c r="CX270" s="975"/>
      <c r="CY270" s="975"/>
      <c r="CZ270" s="975"/>
      <c r="DA270" s="976"/>
      <c r="DB270" s="976"/>
    </row>
    <row r="271" spans="1:106" s="1229" customFormat="1" ht="16.5" hidden="1" customHeight="1">
      <c r="E271" s="676">
        <v>17.100000000000001</v>
      </c>
      <c r="F271" s="779" t="str" cm="1">
        <f t="array" aca="1" ref="F271" ca="1">OFFSET(G271,-1,-1)</f>
        <v>1</v>
      </c>
      <c r="L271" s="779" t="b" cm="1">
        <f t="array" aca="1" ref="L271" ca="1">OFFSET(M271,-1,-1)</f>
        <v>0</v>
      </c>
      <c r="S271" s="110" t="b" cm="1">
        <f t="array" aca="1" ref="S271" ca="1">OFFSET(T271,-1,-1)</f>
        <v>1</v>
      </c>
      <c r="T271" s="110" t="b">
        <f>AD271&lt;&gt;"38.0"</f>
        <v>0</v>
      </c>
      <c r="U271" s="698" t="b">
        <f t="shared" ca="1" si="198"/>
        <v>0</v>
      </c>
      <c r="X271" s="110" t="s">
        <v>236</v>
      </c>
      <c r="Y271" s="1722"/>
      <c r="Z271" s="1722"/>
      <c r="AB271" s="1784"/>
      <c r="AD271" s="111" t="s">
        <v>901</v>
      </c>
      <c r="AE271" s="821"/>
      <c r="AF271" s="524"/>
      <c r="AG271" s="733" t="s">
        <v>839</v>
      </c>
      <c r="AH271" s="41"/>
      <c r="AI271" s="42"/>
      <c r="AJ271" s="42"/>
      <c r="AK271" s="42"/>
      <c r="AL271" s="736">
        <f>AM271+AN271</f>
        <v>0</v>
      </c>
      <c r="AM271" s="42"/>
      <c r="AN271" s="42"/>
      <c r="AO271" s="736">
        <f>AP271+AQ271</f>
        <v>0</v>
      </c>
      <c r="AP271" s="826"/>
      <c r="AQ271" s="826"/>
      <c r="AR271" s="736">
        <f>AS271+AT271</f>
        <v>0</v>
      </c>
      <c r="AS271" s="826"/>
      <c r="AT271" s="826"/>
      <c r="AU271" s="736">
        <f>AV271+AW271</f>
        <v>0</v>
      </c>
      <c r="AV271" s="826"/>
      <c r="AW271" s="826"/>
      <c r="AX271" s="736">
        <f>AY271+AZ271</f>
        <v>0</v>
      </c>
      <c r="AY271" s="826"/>
      <c r="AZ271" s="826"/>
      <c r="BA271" s="736">
        <f>BB271+BC271</f>
        <v>0</v>
      </c>
      <c r="BB271" s="42"/>
      <c r="BC271" s="42"/>
      <c r="BD271" s="736">
        <f>BE271+BF271</f>
        <v>0</v>
      </c>
      <c r="BE271" s="42"/>
      <c r="BF271" s="42"/>
      <c r="BG271" s="736">
        <f>BH271+BI271</f>
        <v>0</v>
      </c>
      <c r="BH271" s="42"/>
      <c r="BI271" s="42"/>
      <c r="BJ271" s="736">
        <f>BK271+BL271</f>
        <v>0</v>
      </c>
      <c r="BK271" s="42"/>
      <c r="BL271" s="42"/>
      <c r="BM271" s="736">
        <f>BN271+BO271</f>
        <v>0</v>
      </c>
      <c r="BN271" s="42"/>
      <c r="BO271" s="42"/>
      <c r="BP271" s="736">
        <f>BQ271+BR271</f>
        <v>0</v>
      </c>
      <c r="BQ271" s="826"/>
      <c r="BR271" s="826"/>
      <c r="BS271" s="736">
        <f>BT271+BU271</f>
        <v>0</v>
      </c>
      <c r="BT271" s="826"/>
      <c r="BU271" s="826"/>
      <c r="BV271" s="736">
        <f>BW271+BX271</f>
        <v>0</v>
      </c>
      <c r="BW271" s="826"/>
      <c r="BX271" s="826"/>
      <c r="BY271" s="736">
        <f>BZ271+CA271</f>
        <v>0</v>
      </c>
      <c r="BZ271" s="826"/>
      <c r="CA271" s="826"/>
      <c r="CB271" s="736">
        <f>CC271+CD271</f>
        <v>0</v>
      </c>
      <c r="CC271" s="826"/>
      <c r="CD271" s="826"/>
      <c r="CE271" s="736">
        <f>CF271+CG271</f>
        <v>0</v>
      </c>
      <c r="CF271" s="42"/>
      <c r="CG271" s="42"/>
      <c r="CH271" s="736">
        <f>CI271+CJ271</f>
        <v>0</v>
      </c>
      <c r="CI271" s="42"/>
      <c r="CJ271" s="42"/>
      <c r="CK271" s="736">
        <f>CL271+CM271</f>
        <v>0</v>
      </c>
      <c r="CL271" s="42"/>
      <c r="CM271" s="42"/>
      <c r="CN271" s="736">
        <f>CO271+CP271</f>
        <v>0</v>
      </c>
      <c r="CO271" s="42"/>
      <c r="CP271" s="42"/>
      <c r="CQ271" s="736">
        <f>CR271+CS271</f>
        <v>0</v>
      </c>
      <c r="CR271" s="42"/>
      <c r="CS271" s="42"/>
      <c r="CT271" s="28"/>
      <c r="CW271" s="970" t="s">
        <v>900</v>
      </c>
      <c r="CX271" s="975" t="s">
        <v>821</v>
      </c>
      <c r="CY271" s="979" cm="1">
        <f t="array" ref="CY271">AE271</f>
        <v>0</v>
      </c>
      <c r="CZ271" s="979" cm="1">
        <f t="array" ref="CZ271">AF271</f>
        <v>0</v>
      </c>
      <c r="DA271" s="976"/>
      <c r="DB271" s="976"/>
    </row>
    <row r="272" spans="1:106" s="1229" customFormat="1" ht="16.5" customHeight="1">
      <c r="E272" s="676">
        <v>17.100000000000001</v>
      </c>
      <c r="F272" s="779" t="str" cm="1">
        <f t="array" aca="1" ref="F272" ca="1">OFFSET(G272,-1,-1)</f>
        <v>1</v>
      </c>
      <c r="L272" s="779" t="b" cm="1">
        <f t="array" aca="1" ref="L272" ca="1">OFFSET(M272,-1,-1)</f>
        <v>0</v>
      </c>
      <c r="S272" s="110" t="b" cm="1">
        <f t="array" aca="1" ref="S272" ca="1">OFFSET(T272,-1,-1)</f>
        <v>1</v>
      </c>
      <c r="T272" s="110" t="b">
        <f>AD272&lt;&gt;"38.0"</f>
        <v>1</v>
      </c>
      <c r="U272" s="698" t="b">
        <f t="shared" ca="1" si="198"/>
        <v>1</v>
      </c>
      <c r="X272" s="110" t="str">
        <f>'Топливо 4.4'!$AE$266&amp;'Топливо 4.4'!$AF$266</f>
        <v>Уголь длиннопламенный</v>
      </c>
      <c r="Y272" s="1722"/>
      <c r="Z272" s="1722"/>
      <c r="AB272" s="1784"/>
      <c r="AD272" s="111" t="s">
        <v>971</v>
      </c>
      <c r="AE272" s="821" t="str" cm="1">
        <f t="array" ref="AE272">IF(ISBLANK('Топливо 4.4'!$AE$266),"",'Топливо 4.4'!$AE$266)</f>
        <v>Уголь длиннопламенный</v>
      </c>
      <c r="AF272" s="524" t="str" cm="1">
        <f t="array" ref="AF272">IF(ISBLANK('Топливо 4.4'!$AF$266),"",'Топливо 4.4'!$AF$266)</f>
        <v/>
      </c>
      <c r="AG272" s="733" t="s">
        <v>839</v>
      </c>
      <c r="AH272" s="1303"/>
      <c r="AI272" s="1302"/>
      <c r="AJ272" s="1302"/>
      <c r="AK272" s="1302"/>
      <c r="AL272" s="736">
        <f>AM272+AN272</f>
        <v>0</v>
      </c>
      <c r="AM272" s="1302"/>
      <c r="AN272" s="1302"/>
      <c r="AO272" s="736">
        <f>AP272+AQ272</f>
        <v>0</v>
      </c>
      <c r="AP272" s="826"/>
      <c r="AQ272" s="826"/>
      <c r="AR272" s="736">
        <f>AS272+AT272</f>
        <v>0</v>
      </c>
      <c r="AS272" s="826"/>
      <c r="AT272" s="826"/>
      <c r="AU272" s="736">
        <f>AV272+AW272</f>
        <v>0</v>
      </c>
      <c r="AV272" s="826"/>
      <c r="AW272" s="826"/>
      <c r="AX272" s="736">
        <f>AY272+AZ272</f>
        <v>0</v>
      </c>
      <c r="AY272" s="826"/>
      <c r="AZ272" s="826"/>
      <c r="BA272" s="736">
        <f>BB272+BC272</f>
        <v>0</v>
      </c>
      <c r="BB272" s="1302"/>
      <c r="BC272" s="1302"/>
      <c r="BD272" s="736">
        <f>BE272+BF272</f>
        <v>0</v>
      </c>
      <c r="BE272" s="1302"/>
      <c r="BF272" s="1302"/>
      <c r="BG272" s="736">
        <f>BH272+BI272</f>
        <v>0</v>
      </c>
      <c r="BH272" s="1302"/>
      <c r="BI272" s="1302"/>
      <c r="BJ272" s="736">
        <f>BK272+BL272</f>
        <v>0</v>
      </c>
      <c r="BK272" s="1302"/>
      <c r="BL272" s="1302"/>
      <c r="BM272" s="736">
        <f>BN272+BO272</f>
        <v>0</v>
      </c>
      <c r="BN272" s="1302"/>
      <c r="BO272" s="1302"/>
      <c r="BP272" s="736">
        <f>BQ272+BR272</f>
        <v>2206.71</v>
      </c>
      <c r="BQ272" s="826">
        <v>1578.5970967999999</v>
      </c>
      <c r="BR272" s="826">
        <v>628.11290320000001</v>
      </c>
      <c r="BS272" s="736">
        <f>BT272+BU272</f>
        <v>0</v>
      </c>
      <c r="BT272" s="826"/>
      <c r="BU272" s="826"/>
      <c r="BV272" s="736">
        <f>BW272+BX272</f>
        <v>0</v>
      </c>
      <c r="BW272" s="826"/>
      <c r="BX272" s="826"/>
      <c r="BY272" s="736">
        <f>BZ272+CA272</f>
        <v>0</v>
      </c>
      <c r="BZ272" s="826"/>
      <c r="CA272" s="826"/>
      <c r="CB272" s="736">
        <f>CC272+CD272</f>
        <v>0</v>
      </c>
      <c r="CC272" s="826"/>
      <c r="CD272" s="826"/>
      <c r="CE272" s="736">
        <f>CF272+CG272</f>
        <v>0</v>
      </c>
      <c r="CF272" s="1302"/>
      <c r="CG272" s="1302"/>
      <c r="CH272" s="736">
        <f>CI272+CJ272</f>
        <v>0</v>
      </c>
      <c r="CI272" s="1302"/>
      <c r="CJ272" s="1302"/>
      <c r="CK272" s="736">
        <f>CL272+CM272</f>
        <v>0</v>
      </c>
      <c r="CL272" s="1302"/>
      <c r="CM272" s="1302"/>
      <c r="CN272" s="736">
        <f>CO272+CP272</f>
        <v>0</v>
      </c>
      <c r="CO272" s="1302"/>
      <c r="CP272" s="1302"/>
      <c r="CQ272" s="736">
        <f>CR272+CS272</f>
        <v>0</v>
      </c>
      <c r="CR272" s="1302"/>
      <c r="CS272" s="1302"/>
      <c r="CT272" s="1290"/>
      <c r="CW272" s="970" t="s">
        <v>900</v>
      </c>
      <c r="CX272" s="975" t="s">
        <v>821</v>
      </c>
      <c r="CY272" s="979" t="str" cm="1">
        <f t="array" ref="CY272">AE272</f>
        <v>Уголь длиннопламенный</v>
      </c>
      <c r="CZ272" s="979" t="str" cm="1">
        <f t="array" ref="CZ272">AF272</f>
        <v/>
      </c>
      <c r="DA272" s="976"/>
      <c r="DB272" s="976"/>
    </row>
    <row r="273" spans="1:106" s="1229" customFormat="1" ht="16.5" customHeight="1">
      <c r="E273" s="676">
        <v>17.100000000000001</v>
      </c>
      <c r="F273" s="779" t="str" cm="1">
        <f t="array" aca="1" ref="F273" ca="1">OFFSET(G273,-1,-1)</f>
        <v>1</v>
      </c>
      <c r="L273" s="779" t="b" cm="1">
        <f t="array" aca="1" ref="L273" ca="1">OFFSET(M273,-1,-1)</f>
        <v>0</v>
      </c>
      <c r="S273" s="110" t="b" cm="1">
        <f t="array" aca="1" ref="S273" ca="1">OFFSET(T273,-1,-1)</f>
        <v>1</v>
      </c>
      <c r="T273" s="110" t="b">
        <f>AD273&lt;&gt;"38.0"</f>
        <v>1</v>
      </c>
      <c r="U273" s="698" t="b">
        <f t="shared" ca="1" si="198"/>
        <v>1</v>
      </c>
      <c r="X273" s="110" t="str">
        <f>'Топливо 4.4'!$AE$267&amp;'Топливо 4.4'!$AF$267</f>
        <v>Уголь бурый</v>
      </c>
      <c r="Y273" s="1722"/>
      <c r="Z273" s="1722"/>
      <c r="AB273" s="1784"/>
      <c r="AD273" s="111" t="s">
        <v>972</v>
      </c>
      <c r="AE273" s="821" t="str" cm="1">
        <f t="array" ref="AE273">IF(ISBLANK('Топливо 4.4'!$AE$267),"",'Топливо 4.4'!$AE$267)</f>
        <v>Уголь бурый</v>
      </c>
      <c r="AF273" s="524" t="str" cm="1">
        <f t="array" ref="AF273">IF(ISBLANK('Топливо 4.4'!$AF$267),"",'Топливо 4.4'!$AF$267)</f>
        <v/>
      </c>
      <c r="AG273" s="733" t="s">
        <v>839</v>
      </c>
      <c r="AH273" s="1303"/>
      <c r="AI273" s="1302"/>
      <c r="AJ273" s="1302"/>
      <c r="AK273" s="1302"/>
      <c r="AL273" s="736">
        <f>AM273+AN273</f>
        <v>0</v>
      </c>
      <c r="AM273" s="1302"/>
      <c r="AN273" s="1302"/>
      <c r="AO273" s="736">
        <f>AP273+AQ273</f>
        <v>0</v>
      </c>
      <c r="AP273" s="826"/>
      <c r="AQ273" s="826"/>
      <c r="AR273" s="736">
        <f>AS273+AT273</f>
        <v>0</v>
      </c>
      <c r="AS273" s="826"/>
      <c r="AT273" s="826"/>
      <c r="AU273" s="736">
        <f>AV273+AW273</f>
        <v>0</v>
      </c>
      <c r="AV273" s="826"/>
      <c r="AW273" s="826"/>
      <c r="AX273" s="736">
        <f>AY273+AZ273</f>
        <v>0</v>
      </c>
      <c r="AY273" s="826"/>
      <c r="AZ273" s="826"/>
      <c r="BA273" s="736">
        <f>BB273+BC273</f>
        <v>0</v>
      </c>
      <c r="BB273" s="1302"/>
      <c r="BC273" s="1302"/>
      <c r="BD273" s="736">
        <f>BE273+BF273</f>
        <v>0</v>
      </c>
      <c r="BE273" s="1302"/>
      <c r="BF273" s="1302"/>
      <c r="BG273" s="736">
        <f>BH273+BI273</f>
        <v>0</v>
      </c>
      <c r="BH273" s="1302"/>
      <c r="BI273" s="1302"/>
      <c r="BJ273" s="736">
        <f>BK273+BL273</f>
        <v>0</v>
      </c>
      <c r="BK273" s="1302"/>
      <c r="BL273" s="1302"/>
      <c r="BM273" s="736">
        <f>BN273+BO273</f>
        <v>0</v>
      </c>
      <c r="BN273" s="1302"/>
      <c r="BO273" s="1302"/>
      <c r="BP273" s="736">
        <f>BQ273+BR273</f>
        <v>0</v>
      </c>
      <c r="BQ273" s="826"/>
      <c r="BR273" s="826"/>
      <c r="BS273" s="736">
        <f>BT273+BU273</f>
        <v>0</v>
      </c>
      <c r="BT273" s="826"/>
      <c r="BU273" s="826"/>
      <c r="BV273" s="736">
        <f>BW273+BX273</f>
        <v>0</v>
      </c>
      <c r="BW273" s="826"/>
      <c r="BX273" s="826"/>
      <c r="BY273" s="736">
        <f>BZ273+CA273</f>
        <v>0</v>
      </c>
      <c r="BZ273" s="826"/>
      <c r="CA273" s="826"/>
      <c r="CB273" s="736">
        <f>CC273+CD273</f>
        <v>0</v>
      </c>
      <c r="CC273" s="826"/>
      <c r="CD273" s="826"/>
      <c r="CE273" s="736">
        <f>CF273+CG273</f>
        <v>0</v>
      </c>
      <c r="CF273" s="1302"/>
      <c r="CG273" s="1302"/>
      <c r="CH273" s="736">
        <f>CI273+CJ273</f>
        <v>0</v>
      </c>
      <c r="CI273" s="1302"/>
      <c r="CJ273" s="1302"/>
      <c r="CK273" s="736">
        <f>CL273+CM273</f>
        <v>0</v>
      </c>
      <c r="CL273" s="1302"/>
      <c r="CM273" s="1302"/>
      <c r="CN273" s="736">
        <f>CO273+CP273</f>
        <v>0</v>
      </c>
      <c r="CO273" s="1302"/>
      <c r="CP273" s="1302"/>
      <c r="CQ273" s="736">
        <f>CR273+CS273</f>
        <v>0</v>
      </c>
      <c r="CR273" s="1302"/>
      <c r="CS273" s="1302"/>
      <c r="CT273" s="1290"/>
      <c r="CW273" s="970" t="s">
        <v>900</v>
      </c>
      <c r="CX273" s="975" t="s">
        <v>821</v>
      </c>
      <c r="CY273" s="979" t="str" cm="1">
        <f t="array" ref="CY273">AE273</f>
        <v>Уголь бурый</v>
      </c>
      <c r="CZ273" s="979" t="str" cm="1">
        <f t="array" ref="CZ273">AF273</f>
        <v/>
      </c>
      <c r="DA273" s="976"/>
      <c r="DB273" s="976"/>
    </row>
    <row r="274" spans="1:106" s="1229" customFormat="1" ht="15" hidden="1" customHeight="1">
      <c r="A274" s="1155"/>
      <c r="B274" s="783"/>
      <c r="C274" s="1155"/>
      <c r="D274" s="1155"/>
      <c r="E274" s="676">
        <v>0</v>
      </c>
      <c r="F274" s="779" t="str" cm="1">
        <f t="array" aca="1" ref="F274" ca="1">OFFSET(G274,-1,-1)</f>
        <v>1</v>
      </c>
      <c r="G274" s="814"/>
      <c r="H274" s="814"/>
      <c r="I274" s="814"/>
      <c r="J274" s="814"/>
      <c r="K274" s="814"/>
      <c r="L274" s="779" t="b" cm="1">
        <f t="array" aca="1" ref="L274" ca="1">OFFSET(M274,-1,-1)</f>
        <v>0</v>
      </c>
      <c r="M274" s="814"/>
      <c r="N274" s="814"/>
      <c r="O274" s="814"/>
      <c r="P274" s="814"/>
      <c r="Q274" s="814"/>
      <c r="R274" s="1155"/>
      <c r="S274" s="110" t="b" cm="1">
        <f t="array" aca="1" ref="S274" ca="1">OFFSET(T274,-1,-1)</f>
        <v>1</v>
      </c>
      <c r="T274" s="1155"/>
      <c r="U274" s="698" t="b">
        <f t="shared" ca="1" si="198"/>
        <v>1</v>
      </c>
      <c r="V274" s="1155"/>
      <c r="W274" s="1155"/>
      <c r="X274" s="820" t="str">
        <f>"{                  
         funcDyn: 'msg1',
         blok: 'blok_2',
         wsCross: 'Топливо 4.4',
         linkFormula: 'AE-AE#AF-AF',
         levelDyn: "&amp;Y139&amp;"
}"</f>
        <v>{                  
         funcDyn: 'msg1',
         blok: 'blok_2',
         wsCross: 'Топливо 4.4',
         linkFormula: 'AE-AE#AF-AF',
         levelDyn: 1
}</v>
      </c>
      <c r="Y274" s="1687"/>
      <c r="Z274" s="1687"/>
      <c r="AA274" s="699"/>
      <c r="AB274" s="1784"/>
      <c r="AD274" s="823"/>
      <c r="AE274" s="822" t="s">
        <v>238</v>
      </c>
      <c r="AF274" s="745"/>
      <c r="AG274" s="733"/>
      <c r="AH274" s="735"/>
      <c r="AI274" s="737"/>
      <c r="AJ274" s="737"/>
      <c r="AK274" s="737"/>
      <c r="AL274" s="737"/>
      <c r="AM274" s="737"/>
      <c r="AN274" s="737"/>
      <c r="AO274" s="737"/>
      <c r="AP274" s="737"/>
      <c r="AQ274" s="737"/>
      <c r="AR274" s="737"/>
      <c r="AS274" s="737"/>
      <c r="AT274" s="737"/>
      <c r="AU274" s="737"/>
      <c r="AV274" s="737"/>
      <c r="AW274" s="737"/>
      <c r="AX274" s="737"/>
      <c r="AY274" s="737"/>
      <c r="AZ274" s="737"/>
      <c r="BA274" s="737"/>
      <c r="BB274" s="737"/>
      <c r="BC274" s="737"/>
      <c r="BD274" s="737"/>
      <c r="BE274" s="737"/>
      <c r="BF274" s="737"/>
      <c r="BG274" s="737"/>
      <c r="BH274" s="737"/>
      <c r="BI274" s="737"/>
      <c r="BJ274" s="737"/>
      <c r="BK274" s="737"/>
      <c r="BL274" s="737"/>
      <c r="BM274" s="737"/>
      <c r="BN274" s="737"/>
      <c r="BO274" s="737"/>
      <c r="BP274" s="737"/>
      <c r="BQ274" s="737"/>
      <c r="BR274" s="737"/>
      <c r="BS274" s="737"/>
      <c r="BT274" s="737"/>
      <c r="BU274" s="737"/>
      <c r="BV274" s="737"/>
      <c r="BW274" s="737"/>
      <c r="BX274" s="737"/>
      <c r="BY274" s="737"/>
      <c r="BZ274" s="737"/>
      <c r="CA274" s="737"/>
      <c r="CB274" s="737"/>
      <c r="CC274" s="737"/>
      <c r="CD274" s="737"/>
      <c r="CE274" s="737"/>
      <c r="CF274" s="737"/>
      <c r="CG274" s="737"/>
      <c r="CH274" s="737"/>
      <c r="CI274" s="737"/>
      <c r="CJ274" s="737"/>
      <c r="CK274" s="737"/>
      <c r="CL274" s="737"/>
      <c r="CM274" s="737"/>
      <c r="CN274" s="737"/>
      <c r="CO274" s="737"/>
      <c r="CP274" s="737"/>
      <c r="CQ274" s="737"/>
      <c r="CR274" s="737"/>
      <c r="CS274" s="737"/>
      <c r="CT274" s="46"/>
      <c r="CW274" s="970" t="str">
        <f>IF(AND(ISNUMBER(VALUE(TRIM(SUBSTITUTE(AD274,".","")))),TRIM(SUBSTITUTE(AD274,".",""))&lt;&gt;""),"P"&amp;SUBSTITUTE(AD274,".",""),"")</f>
        <v/>
      </c>
      <c r="CX274" s="975"/>
      <c r="CY274" s="975"/>
      <c r="CZ274" s="975"/>
      <c r="DA274" s="976"/>
      <c r="DB274" s="976"/>
    </row>
    <row r="275" spans="1:106" s="1229" customFormat="1" ht="29.25" hidden="1" customHeight="1">
      <c r="A275" s="1155"/>
      <c r="B275" s="783"/>
      <c r="C275" s="1155"/>
      <c r="D275" s="1155"/>
      <c r="E275" s="676">
        <v>30</v>
      </c>
      <c r="F275" s="779" t="str" cm="1">
        <f t="array" aca="1" ref="F275" ca="1">OFFSET(G275,-1,-1)</f>
        <v>1</v>
      </c>
      <c r="G275" s="814"/>
      <c r="H275" s="814"/>
      <c r="I275" s="814"/>
      <c r="J275" s="814"/>
      <c r="K275" s="814"/>
      <c r="L275" s="779" t="b" cm="1">
        <f t="array" aca="1" ref="L275" ca="1">OFFSET(M275,-1,-1)</f>
        <v>0</v>
      </c>
      <c r="M275" s="814"/>
      <c r="N275" s="814"/>
      <c r="O275" s="814"/>
      <c r="P275" s="814"/>
      <c r="Q275" s="814"/>
      <c r="R275" s="779" t="s">
        <v>759</v>
      </c>
      <c r="S275" s="110" t="b" cm="1">
        <f t="array" aca="1" ref="S275" ca="1">OFFSET(T275,-1,-1)</f>
        <v>1</v>
      </c>
      <c r="T275" s="110" t="b" cm="1">
        <f t="array" aca="1" ref="T275" ca="1">L275</f>
        <v>0</v>
      </c>
      <c r="U275" s="698" t="b">
        <f t="shared" ca="1" si="198"/>
        <v>0</v>
      </c>
      <c r="V275" s="1155"/>
      <c r="W275" s="1155"/>
      <c r="X275" s="1155"/>
      <c r="Y275" s="1687"/>
      <c r="Z275" s="1687"/>
      <c r="AA275" s="699"/>
      <c r="AB275" s="1784"/>
      <c r="AD275" s="124" t="s">
        <v>902</v>
      </c>
      <c r="AE275" s="1757" t="s">
        <v>903</v>
      </c>
      <c r="AF275" s="1758"/>
      <c r="AG275" s="733" t="s">
        <v>839</v>
      </c>
      <c r="AH275" s="734">
        <f t="shared" ref="AH275:BM275" si="316">SUM(AH276:AH279)</f>
        <v>0</v>
      </c>
      <c r="AI275" s="734">
        <f t="shared" si="316"/>
        <v>0</v>
      </c>
      <c r="AJ275" s="734">
        <f t="shared" si="316"/>
        <v>0</v>
      </c>
      <c r="AK275" s="734">
        <f t="shared" si="316"/>
        <v>0</v>
      </c>
      <c r="AL275" s="734">
        <f t="shared" ca="1" si="316"/>
        <v>0</v>
      </c>
      <c r="AM275" s="734">
        <f t="shared" si="316"/>
        <v>0</v>
      </c>
      <c r="AN275" s="734">
        <f t="shared" ca="1" si="316"/>
        <v>0</v>
      </c>
      <c r="AO275" s="734">
        <f t="shared" ca="1" si="316"/>
        <v>0</v>
      </c>
      <c r="AP275" s="734">
        <f t="shared" si="316"/>
        <v>0</v>
      </c>
      <c r="AQ275" s="734">
        <f t="shared" ca="1" si="316"/>
        <v>0</v>
      </c>
      <c r="AR275" s="734">
        <f t="shared" ca="1" si="316"/>
        <v>0</v>
      </c>
      <c r="AS275" s="734">
        <f t="shared" si="316"/>
        <v>0</v>
      </c>
      <c r="AT275" s="734">
        <f t="shared" ca="1" si="316"/>
        <v>0</v>
      </c>
      <c r="AU275" s="734">
        <f t="shared" ca="1" si="316"/>
        <v>0</v>
      </c>
      <c r="AV275" s="734">
        <f t="shared" si="316"/>
        <v>0</v>
      </c>
      <c r="AW275" s="734">
        <f t="shared" ca="1" si="316"/>
        <v>0</v>
      </c>
      <c r="AX275" s="734">
        <f t="shared" ca="1" si="316"/>
        <v>0</v>
      </c>
      <c r="AY275" s="734">
        <f t="shared" si="316"/>
        <v>0</v>
      </c>
      <c r="AZ275" s="734">
        <f t="shared" ca="1" si="316"/>
        <v>0</v>
      </c>
      <c r="BA275" s="734">
        <f t="shared" ca="1" si="316"/>
        <v>0</v>
      </c>
      <c r="BB275" s="734">
        <f t="shared" si="316"/>
        <v>0</v>
      </c>
      <c r="BC275" s="734">
        <f t="shared" ca="1" si="316"/>
        <v>0</v>
      </c>
      <c r="BD275" s="734">
        <f t="shared" ca="1" si="316"/>
        <v>0</v>
      </c>
      <c r="BE275" s="734">
        <f t="shared" si="316"/>
        <v>0</v>
      </c>
      <c r="BF275" s="734">
        <f t="shared" ca="1" si="316"/>
        <v>0</v>
      </c>
      <c r="BG275" s="734">
        <f t="shared" ca="1" si="316"/>
        <v>0</v>
      </c>
      <c r="BH275" s="734">
        <f t="shared" si="316"/>
        <v>0</v>
      </c>
      <c r="BI275" s="734">
        <f t="shared" ca="1" si="316"/>
        <v>0</v>
      </c>
      <c r="BJ275" s="734">
        <f t="shared" ca="1" si="316"/>
        <v>0</v>
      </c>
      <c r="BK275" s="734">
        <f t="shared" si="316"/>
        <v>0</v>
      </c>
      <c r="BL275" s="734">
        <f t="shared" ca="1" si="316"/>
        <v>0</v>
      </c>
      <c r="BM275" s="734">
        <f t="shared" ca="1" si="316"/>
        <v>0</v>
      </c>
      <c r="BN275" s="734">
        <f t="shared" ref="BN275:CS275" si="317">SUM(BN276:BN279)</f>
        <v>0</v>
      </c>
      <c r="BO275" s="734">
        <f t="shared" ca="1" si="317"/>
        <v>0</v>
      </c>
      <c r="BP275" s="734">
        <f t="shared" ca="1" si="317"/>
        <v>2206.71</v>
      </c>
      <c r="BQ275" s="734">
        <f t="shared" si="317"/>
        <v>1578.5970967999999</v>
      </c>
      <c r="BR275" s="734">
        <f t="shared" ca="1" si="317"/>
        <v>628.11290320000001</v>
      </c>
      <c r="BS275" s="734">
        <f t="shared" ca="1" si="317"/>
        <v>0</v>
      </c>
      <c r="BT275" s="734">
        <f t="shared" si="317"/>
        <v>0</v>
      </c>
      <c r="BU275" s="734">
        <f t="shared" ca="1" si="317"/>
        <v>0</v>
      </c>
      <c r="BV275" s="734">
        <f t="shared" ca="1" si="317"/>
        <v>0</v>
      </c>
      <c r="BW275" s="734">
        <f t="shared" si="317"/>
        <v>0</v>
      </c>
      <c r="BX275" s="734">
        <f t="shared" ca="1" si="317"/>
        <v>0</v>
      </c>
      <c r="BY275" s="734">
        <f t="shared" ca="1" si="317"/>
        <v>0</v>
      </c>
      <c r="BZ275" s="734">
        <f t="shared" si="317"/>
        <v>0</v>
      </c>
      <c r="CA275" s="734">
        <f t="shared" ca="1" si="317"/>
        <v>0</v>
      </c>
      <c r="CB275" s="734">
        <f t="shared" ca="1" si="317"/>
        <v>0</v>
      </c>
      <c r="CC275" s="734">
        <f t="shared" si="317"/>
        <v>0</v>
      </c>
      <c r="CD275" s="734">
        <f t="shared" ca="1" si="317"/>
        <v>0</v>
      </c>
      <c r="CE275" s="734">
        <f t="shared" ca="1" si="317"/>
        <v>0</v>
      </c>
      <c r="CF275" s="734">
        <f t="shared" si="317"/>
        <v>0</v>
      </c>
      <c r="CG275" s="734">
        <f t="shared" ca="1" si="317"/>
        <v>0</v>
      </c>
      <c r="CH275" s="734">
        <f t="shared" ca="1" si="317"/>
        <v>0</v>
      </c>
      <c r="CI275" s="734">
        <f t="shared" si="317"/>
        <v>0</v>
      </c>
      <c r="CJ275" s="734">
        <f t="shared" ca="1" si="317"/>
        <v>0</v>
      </c>
      <c r="CK275" s="734">
        <f t="shared" ca="1" si="317"/>
        <v>0</v>
      </c>
      <c r="CL275" s="734">
        <f t="shared" si="317"/>
        <v>0</v>
      </c>
      <c r="CM275" s="734">
        <f t="shared" ca="1" si="317"/>
        <v>0</v>
      </c>
      <c r="CN275" s="734">
        <f t="shared" ca="1" si="317"/>
        <v>0</v>
      </c>
      <c r="CO275" s="734">
        <f t="shared" si="317"/>
        <v>0</v>
      </c>
      <c r="CP275" s="734">
        <f t="shared" ca="1" si="317"/>
        <v>0</v>
      </c>
      <c r="CQ275" s="734">
        <f t="shared" ca="1" si="317"/>
        <v>0</v>
      </c>
      <c r="CR275" s="734">
        <f t="shared" si="317"/>
        <v>0</v>
      </c>
      <c r="CS275" s="734">
        <f t="shared" ca="1" si="317"/>
        <v>0</v>
      </c>
      <c r="CT275" s="28"/>
      <c r="CW275" s="970" t="s">
        <v>904</v>
      </c>
      <c r="CX275" s="975"/>
      <c r="CY275" s="975"/>
      <c r="CZ275" s="975"/>
      <c r="DA275" s="976"/>
      <c r="DB275" s="976"/>
    </row>
    <row r="276" spans="1:106" s="1229" customFormat="1" ht="16.5" hidden="1" customHeight="1">
      <c r="E276" s="676">
        <v>17.100000000000001</v>
      </c>
      <c r="F276" s="779" t="str" cm="1">
        <f t="array" aca="1" ref="F276" ca="1">OFFSET(G276,-1,-1)</f>
        <v>1</v>
      </c>
      <c r="L276" s="779" t="b" cm="1">
        <f t="array" aca="1" ref="L276" ca="1">OFFSET(M276,-1,-1)</f>
        <v>0</v>
      </c>
      <c r="R276" s="779" t="s">
        <v>759</v>
      </c>
      <c r="S276" s="110" t="b" cm="1">
        <f t="array" aca="1" ref="S276" ca="1">OFFSET(T276,-1,-1)</f>
        <v>1</v>
      </c>
      <c r="T276" s="110" t="b">
        <f ca="1">AND(L276,AD276&lt;&gt;"39.0")</f>
        <v>0</v>
      </c>
      <c r="U276" s="698" t="b">
        <f t="shared" ca="1" si="198"/>
        <v>0</v>
      </c>
      <c r="X276" s="110" t="s">
        <v>236</v>
      </c>
      <c r="Y276" s="1722"/>
      <c r="Z276" s="1722"/>
      <c r="AB276" s="1784"/>
      <c r="AD276" s="111" t="s">
        <v>905</v>
      </c>
      <c r="AE276" s="821"/>
      <c r="AF276" s="524"/>
      <c r="AG276" s="733" t="s">
        <v>839</v>
      </c>
      <c r="AH276" s="41">
        <f t="shared" ref="AH276:AK278" si="318">AH$163*AH271</f>
        <v>0</v>
      </c>
      <c r="AI276" s="42">
        <f t="shared" si="318"/>
        <v>0</v>
      </c>
      <c r="AJ276" s="42">
        <f t="shared" si="318"/>
        <v>0</v>
      </c>
      <c r="AK276" s="42">
        <f t="shared" si="318"/>
        <v>0</v>
      </c>
      <c r="AL276" s="736">
        <f ca="1">AM276+AN276</f>
        <v>0</v>
      </c>
      <c r="AM276" s="42">
        <f t="shared" ref="AM276:AN278" si="319">AM$163*AM271</f>
        <v>0</v>
      </c>
      <c r="AN276" s="42">
        <f t="shared" ca="1" si="319"/>
        <v>0</v>
      </c>
      <c r="AO276" s="736">
        <f ca="1">AP276+AQ276</f>
        <v>0</v>
      </c>
      <c r="AP276" s="826">
        <f t="shared" ref="AP276:AQ278" si="320">AP$163*AP271</f>
        <v>0</v>
      </c>
      <c r="AQ276" s="826">
        <f t="shared" ca="1" si="320"/>
        <v>0</v>
      </c>
      <c r="AR276" s="736">
        <f ca="1">AS276+AT276</f>
        <v>0</v>
      </c>
      <c r="AS276" s="826">
        <f t="shared" ref="AS276:AT278" si="321">AS$163*AS271</f>
        <v>0</v>
      </c>
      <c r="AT276" s="826">
        <f t="shared" ca="1" si="321"/>
        <v>0</v>
      </c>
      <c r="AU276" s="736">
        <f ca="1">AV276+AW276</f>
        <v>0</v>
      </c>
      <c r="AV276" s="826">
        <f t="shared" ref="AV276:AW278" si="322">AV$163*AV271</f>
        <v>0</v>
      </c>
      <c r="AW276" s="826">
        <f t="shared" ca="1" si="322"/>
        <v>0</v>
      </c>
      <c r="AX276" s="736">
        <f ca="1">AY276+AZ276</f>
        <v>0</v>
      </c>
      <c r="AY276" s="826">
        <f t="shared" ref="AY276:AZ278" si="323">AY$163*AY271</f>
        <v>0</v>
      </c>
      <c r="AZ276" s="826">
        <f t="shared" ca="1" si="323"/>
        <v>0</v>
      </c>
      <c r="BA276" s="736">
        <f ca="1">BB276+BC276</f>
        <v>0</v>
      </c>
      <c r="BB276" s="42">
        <f t="shared" ref="BB276:BC278" si="324">BB$163*BB271</f>
        <v>0</v>
      </c>
      <c r="BC276" s="42">
        <f t="shared" ca="1" si="324"/>
        <v>0</v>
      </c>
      <c r="BD276" s="736">
        <f ca="1">BE276+BF276</f>
        <v>0</v>
      </c>
      <c r="BE276" s="42">
        <f t="shared" ref="BE276:BF278" si="325">BE$163*BE271</f>
        <v>0</v>
      </c>
      <c r="BF276" s="42">
        <f t="shared" ca="1" si="325"/>
        <v>0</v>
      </c>
      <c r="BG276" s="736">
        <f ca="1">BH276+BI276</f>
        <v>0</v>
      </c>
      <c r="BH276" s="42">
        <f t="shared" ref="BH276:BI278" si="326">BH$163*BH271</f>
        <v>0</v>
      </c>
      <c r="BI276" s="42">
        <f t="shared" ca="1" si="326"/>
        <v>0</v>
      </c>
      <c r="BJ276" s="736">
        <f ca="1">BK276+BL276</f>
        <v>0</v>
      </c>
      <c r="BK276" s="42">
        <f t="shared" ref="BK276:BL278" si="327">BK$163*BK271</f>
        <v>0</v>
      </c>
      <c r="BL276" s="42">
        <f t="shared" ca="1" si="327"/>
        <v>0</v>
      </c>
      <c r="BM276" s="736">
        <f ca="1">BN276+BO276</f>
        <v>0</v>
      </c>
      <c r="BN276" s="42">
        <f t="shared" ref="BN276:BO278" si="328">BN$163*BN271</f>
        <v>0</v>
      </c>
      <c r="BO276" s="42">
        <f t="shared" ca="1" si="328"/>
        <v>0</v>
      </c>
      <c r="BP276" s="736">
        <f ca="1">BQ276+BR276</f>
        <v>0</v>
      </c>
      <c r="BQ276" s="826">
        <f t="shared" ref="BQ276:BR278" si="329">BQ$163*BQ271</f>
        <v>0</v>
      </c>
      <c r="BR276" s="826">
        <f t="shared" ca="1" si="329"/>
        <v>0</v>
      </c>
      <c r="BS276" s="736">
        <f ca="1">BT276+BU276</f>
        <v>0</v>
      </c>
      <c r="BT276" s="826">
        <f t="shared" ref="BT276:BU278" si="330">BT$163*BT271</f>
        <v>0</v>
      </c>
      <c r="BU276" s="826">
        <f t="shared" ca="1" si="330"/>
        <v>0</v>
      </c>
      <c r="BV276" s="736">
        <f ca="1">BW276+BX276</f>
        <v>0</v>
      </c>
      <c r="BW276" s="826">
        <f t="shared" ref="BW276:BX278" si="331">BW$163*BW271</f>
        <v>0</v>
      </c>
      <c r="BX276" s="826">
        <f t="shared" ca="1" si="331"/>
        <v>0</v>
      </c>
      <c r="BY276" s="736">
        <f ca="1">BZ276+CA276</f>
        <v>0</v>
      </c>
      <c r="BZ276" s="826">
        <f t="shared" ref="BZ276:CA278" si="332">BZ$163*BZ271</f>
        <v>0</v>
      </c>
      <c r="CA276" s="826">
        <f t="shared" ca="1" si="332"/>
        <v>0</v>
      </c>
      <c r="CB276" s="736">
        <f ca="1">CC276+CD276</f>
        <v>0</v>
      </c>
      <c r="CC276" s="826">
        <f t="shared" ref="CC276:CD278" si="333">CC$163*CC271</f>
        <v>0</v>
      </c>
      <c r="CD276" s="826">
        <f t="shared" ca="1" si="333"/>
        <v>0</v>
      </c>
      <c r="CE276" s="736">
        <f ca="1">CF276+CG276</f>
        <v>0</v>
      </c>
      <c r="CF276" s="42">
        <f t="shared" ref="CF276:CG278" si="334">CF$163*CF271</f>
        <v>0</v>
      </c>
      <c r="CG276" s="42">
        <f t="shared" ca="1" si="334"/>
        <v>0</v>
      </c>
      <c r="CH276" s="736">
        <f ca="1">CI276+CJ276</f>
        <v>0</v>
      </c>
      <c r="CI276" s="42">
        <f t="shared" ref="CI276:CJ278" si="335">CI$163*CI271</f>
        <v>0</v>
      </c>
      <c r="CJ276" s="42">
        <f t="shared" ca="1" si="335"/>
        <v>0</v>
      </c>
      <c r="CK276" s="736">
        <f ca="1">CL276+CM276</f>
        <v>0</v>
      </c>
      <c r="CL276" s="42">
        <f t="shared" ref="CL276:CM278" si="336">CL$163*CL271</f>
        <v>0</v>
      </c>
      <c r="CM276" s="42">
        <f t="shared" ca="1" si="336"/>
        <v>0</v>
      </c>
      <c r="CN276" s="736">
        <f ca="1">CO276+CP276</f>
        <v>0</v>
      </c>
      <c r="CO276" s="42">
        <f t="shared" ref="CO276:CP278" si="337">CO$163*CO271</f>
        <v>0</v>
      </c>
      <c r="CP276" s="42">
        <f t="shared" ca="1" si="337"/>
        <v>0</v>
      </c>
      <c r="CQ276" s="736">
        <f ca="1">CR276+CS276</f>
        <v>0</v>
      </c>
      <c r="CR276" s="42">
        <f t="shared" ref="CR276:CS278" si="338">CR$163*CR271</f>
        <v>0</v>
      </c>
      <c r="CS276" s="42">
        <f t="shared" ca="1" si="338"/>
        <v>0</v>
      </c>
      <c r="CT276" s="28"/>
      <c r="CW276" s="970" t="s">
        <v>904</v>
      </c>
      <c r="CX276" s="975" t="s">
        <v>821</v>
      </c>
      <c r="CY276" s="979" cm="1">
        <f t="array" ref="CY276">AE276</f>
        <v>0</v>
      </c>
      <c r="CZ276" s="979" cm="1">
        <f t="array" ref="CZ276">AF276</f>
        <v>0</v>
      </c>
      <c r="DA276" s="976"/>
      <c r="DB276" s="976"/>
    </row>
    <row r="277" spans="1:106" s="1229" customFormat="1" ht="16.5" hidden="1" customHeight="1">
      <c r="E277" s="676">
        <v>17.100000000000001</v>
      </c>
      <c r="F277" s="779" t="str" cm="1">
        <f t="array" aca="1" ref="F277" ca="1">OFFSET(G277,-1,-1)</f>
        <v>1</v>
      </c>
      <c r="L277" s="779" t="b" cm="1">
        <f t="array" aca="1" ref="L277" ca="1">OFFSET(M277,-1,-1)</f>
        <v>0</v>
      </c>
      <c r="R277" s="779" t="s">
        <v>759</v>
      </c>
      <c r="S277" s="110" t="b" cm="1">
        <f t="array" aca="1" ref="S277" ca="1">OFFSET(T277,-1,-1)</f>
        <v>1</v>
      </c>
      <c r="T277" s="110" t="b">
        <f ca="1">AND(L277,AD277&lt;&gt;"39.0")</f>
        <v>0</v>
      </c>
      <c r="U277" s="698" t="b">
        <f t="shared" ca="1" si="198"/>
        <v>0</v>
      </c>
      <c r="X277" s="110" t="str">
        <f>'Топливо 4.4'!$AE$272&amp;'Топливо 4.4'!$AF$272</f>
        <v>Уголь длиннопламенный</v>
      </c>
      <c r="Y277" s="1722"/>
      <c r="Z277" s="1722"/>
      <c r="AB277" s="1784"/>
      <c r="AD277" s="111" t="s">
        <v>973</v>
      </c>
      <c r="AE277" s="821" t="str" cm="1">
        <f t="array" ref="AE277">IF(ISBLANK('Топливо 4.4'!$AE$272),"",'Топливо 4.4'!$AE$272)</f>
        <v>Уголь длиннопламенный</v>
      </c>
      <c r="AF277" s="524" t="str" cm="1">
        <f t="array" ref="AF277">IF(ISBLANK('Топливо 4.4'!$AF$272),"",'Топливо 4.4'!$AF$272)</f>
        <v/>
      </c>
      <c r="AG277" s="733" t="s">
        <v>839</v>
      </c>
      <c r="AH277" s="41">
        <f t="shared" si="318"/>
        <v>0</v>
      </c>
      <c r="AI277" s="42">
        <f t="shared" si="318"/>
        <v>0</v>
      </c>
      <c r="AJ277" s="42">
        <f t="shared" si="318"/>
        <v>0</v>
      </c>
      <c r="AK277" s="42">
        <f t="shared" si="318"/>
        <v>0</v>
      </c>
      <c r="AL277" s="736">
        <f ca="1">AM277+AN277</f>
        <v>0</v>
      </c>
      <c r="AM277" s="42">
        <f t="shared" si="319"/>
        <v>0</v>
      </c>
      <c r="AN277" s="42">
        <f t="shared" ca="1" si="319"/>
        <v>0</v>
      </c>
      <c r="AO277" s="736">
        <f ca="1">AP277+AQ277</f>
        <v>0</v>
      </c>
      <c r="AP277" s="826">
        <f t="shared" si="320"/>
        <v>0</v>
      </c>
      <c r="AQ277" s="826">
        <f t="shared" ca="1" si="320"/>
        <v>0</v>
      </c>
      <c r="AR277" s="736">
        <f ca="1">AS277+AT277</f>
        <v>0</v>
      </c>
      <c r="AS277" s="826">
        <f t="shared" si="321"/>
        <v>0</v>
      </c>
      <c r="AT277" s="826">
        <f t="shared" ca="1" si="321"/>
        <v>0</v>
      </c>
      <c r="AU277" s="736">
        <f ca="1">AV277+AW277</f>
        <v>0</v>
      </c>
      <c r="AV277" s="826">
        <f t="shared" si="322"/>
        <v>0</v>
      </c>
      <c r="AW277" s="826">
        <f t="shared" ca="1" si="322"/>
        <v>0</v>
      </c>
      <c r="AX277" s="736">
        <f ca="1">AY277+AZ277</f>
        <v>0</v>
      </c>
      <c r="AY277" s="826">
        <f t="shared" si="323"/>
        <v>0</v>
      </c>
      <c r="AZ277" s="826">
        <f t="shared" ca="1" si="323"/>
        <v>0</v>
      </c>
      <c r="BA277" s="736">
        <f ca="1">BB277+BC277</f>
        <v>0</v>
      </c>
      <c r="BB277" s="42">
        <f t="shared" si="324"/>
        <v>0</v>
      </c>
      <c r="BC277" s="42">
        <f t="shared" ca="1" si="324"/>
        <v>0</v>
      </c>
      <c r="BD277" s="736">
        <f ca="1">BE277+BF277</f>
        <v>0</v>
      </c>
      <c r="BE277" s="42">
        <f t="shared" si="325"/>
        <v>0</v>
      </c>
      <c r="BF277" s="42">
        <f t="shared" ca="1" si="325"/>
        <v>0</v>
      </c>
      <c r="BG277" s="736">
        <f ca="1">BH277+BI277</f>
        <v>0</v>
      </c>
      <c r="BH277" s="42">
        <f t="shared" si="326"/>
        <v>0</v>
      </c>
      <c r="BI277" s="42">
        <f t="shared" ca="1" si="326"/>
        <v>0</v>
      </c>
      <c r="BJ277" s="736">
        <f ca="1">BK277+BL277</f>
        <v>0</v>
      </c>
      <c r="BK277" s="42">
        <f t="shared" si="327"/>
        <v>0</v>
      </c>
      <c r="BL277" s="42">
        <f t="shared" ca="1" si="327"/>
        <v>0</v>
      </c>
      <c r="BM277" s="736">
        <f ca="1">BN277+BO277</f>
        <v>0</v>
      </c>
      <c r="BN277" s="42">
        <f t="shared" si="328"/>
        <v>0</v>
      </c>
      <c r="BO277" s="42">
        <f t="shared" ca="1" si="328"/>
        <v>0</v>
      </c>
      <c r="BP277" s="736">
        <f ca="1">BQ277+BR277</f>
        <v>2206.71</v>
      </c>
      <c r="BQ277" s="826">
        <f t="shared" si="329"/>
        <v>1578.5970967999999</v>
      </c>
      <c r="BR277" s="826">
        <f t="shared" ca="1" si="329"/>
        <v>628.11290320000001</v>
      </c>
      <c r="BS277" s="736">
        <f ca="1">BT277+BU277</f>
        <v>0</v>
      </c>
      <c r="BT277" s="826">
        <f t="shared" si="330"/>
        <v>0</v>
      </c>
      <c r="BU277" s="826">
        <f t="shared" ca="1" si="330"/>
        <v>0</v>
      </c>
      <c r="BV277" s="736">
        <f ca="1">BW277+BX277</f>
        <v>0</v>
      </c>
      <c r="BW277" s="826">
        <f t="shared" si="331"/>
        <v>0</v>
      </c>
      <c r="BX277" s="826">
        <f t="shared" ca="1" si="331"/>
        <v>0</v>
      </c>
      <c r="BY277" s="736">
        <f ca="1">BZ277+CA277</f>
        <v>0</v>
      </c>
      <c r="BZ277" s="826">
        <f t="shared" si="332"/>
        <v>0</v>
      </c>
      <c r="CA277" s="826">
        <f t="shared" ca="1" si="332"/>
        <v>0</v>
      </c>
      <c r="CB277" s="736">
        <f ca="1">CC277+CD277</f>
        <v>0</v>
      </c>
      <c r="CC277" s="826">
        <f t="shared" si="333"/>
        <v>0</v>
      </c>
      <c r="CD277" s="826">
        <f t="shared" ca="1" si="333"/>
        <v>0</v>
      </c>
      <c r="CE277" s="736">
        <f ca="1">CF277+CG277</f>
        <v>0</v>
      </c>
      <c r="CF277" s="42">
        <f t="shared" si="334"/>
        <v>0</v>
      </c>
      <c r="CG277" s="42">
        <f t="shared" ca="1" si="334"/>
        <v>0</v>
      </c>
      <c r="CH277" s="736">
        <f ca="1">CI277+CJ277</f>
        <v>0</v>
      </c>
      <c r="CI277" s="42">
        <f t="shared" si="335"/>
        <v>0</v>
      </c>
      <c r="CJ277" s="42">
        <f t="shared" ca="1" si="335"/>
        <v>0</v>
      </c>
      <c r="CK277" s="736">
        <f ca="1">CL277+CM277</f>
        <v>0</v>
      </c>
      <c r="CL277" s="42">
        <f t="shared" si="336"/>
        <v>0</v>
      </c>
      <c r="CM277" s="42">
        <f t="shared" ca="1" si="336"/>
        <v>0</v>
      </c>
      <c r="CN277" s="736">
        <f ca="1">CO277+CP277</f>
        <v>0</v>
      </c>
      <c r="CO277" s="42">
        <f t="shared" si="337"/>
        <v>0</v>
      </c>
      <c r="CP277" s="42">
        <f t="shared" ca="1" si="337"/>
        <v>0</v>
      </c>
      <c r="CQ277" s="736">
        <f ca="1">CR277+CS277</f>
        <v>0</v>
      </c>
      <c r="CR277" s="42">
        <f t="shared" si="338"/>
        <v>0</v>
      </c>
      <c r="CS277" s="42">
        <f t="shared" ca="1" si="338"/>
        <v>0</v>
      </c>
      <c r="CT277" s="28"/>
      <c r="CW277" s="970" t="s">
        <v>904</v>
      </c>
      <c r="CX277" s="975" t="s">
        <v>821</v>
      </c>
      <c r="CY277" s="979" t="str" cm="1">
        <f t="array" ref="CY277">AE277</f>
        <v>Уголь длиннопламенный</v>
      </c>
      <c r="CZ277" s="979" t="str" cm="1">
        <f t="array" ref="CZ277">AF277</f>
        <v/>
      </c>
      <c r="DA277" s="976"/>
      <c r="DB277" s="976"/>
    </row>
    <row r="278" spans="1:106" s="1229" customFormat="1" ht="16.5" hidden="1" customHeight="1">
      <c r="E278" s="676">
        <v>17.100000000000001</v>
      </c>
      <c r="F278" s="779" t="str" cm="1">
        <f t="array" aca="1" ref="F278" ca="1">OFFSET(G278,-1,-1)</f>
        <v>1</v>
      </c>
      <c r="L278" s="779" t="b" cm="1">
        <f t="array" aca="1" ref="L278" ca="1">OFFSET(M278,-1,-1)</f>
        <v>0</v>
      </c>
      <c r="R278" s="779" t="s">
        <v>759</v>
      </c>
      <c r="S278" s="110" t="b" cm="1">
        <f t="array" aca="1" ref="S278" ca="1">OFFSET(T278,-1,-1)</f>
        <v>1</v>
      </c>
      <c r="T278" s="110" t="b">
        <f ca="1">AND(L278,AD278&lt;&gt;"39.0")</f>
        <v>0</v>
      </c>
      <c r="U278" s="698" t="b">
        <f t="shared" ca="1" si="198"/>
        <v>0</v>
      </c>
      <c r="X278" s="110" t="str">
        <f>'Топливо 4.4'!$AE$273&amp;'Топливо 4.4'!$AF$273</f>
        <v>Уголь бурый</v>
      </c>
      <c r="Y278" s="1722"/>
      <c r="Z278" s="1722"/>
      <c r="AB278" s="1784"/>
      <c r="AD278" s="111" t="s">
        <v>974</v>
      </c>
      <c r="AE278" s="821" t="str" cm="1">
        <f t="array" ref="AE278">IF(ISBLANK('Топливо 4.4'!$AE$273),"",'Топливо 4.4'!$AE$273)</f>
        <v>Уголь бурый</v>
      </c>
      <c r="AF278" s="524" t="str" cm="1">
        <f t="array" ref="AF278">IF(ISBLANK('Топливо 4.4'!$AF$273),"",'Топливо 4.4'!$AF$273)</f>
        <v/>
      </c>
      <c r="AG278" s="733" t="s">
        <v>839</v>
      </c>
      <c r="AH278" s="41">
        <f t="shared" si="318"/>
        <v>0</v>
      </c>
      <c r="AI278" s="42">
        <f t="shared" si="318"/>
        <v>0</v>
      </c>
      <c r="AJ278" s="42">
        <f t="shared" si="318"/>
        <v>0</v>
      </c>
      <c r="AK278" s="42">
        <f t="shared" si="318"/>
        <v>0</v>
      </c>
      <c r="AL278" s="736">
        <f ca="1">AM278+AN278</f>
        <v>0</v>
      </c>
      <c r="AM278" s="42">
        <f t="shared" si="319"/>
        <v>0</v>
      </c>
      <c r="AN278" s="42">
        <f t="shared" ca="1" si="319"/>
        <v>0</v>
      </c>
      <c r="AO278" s="736">
        <f ca="1">AP278+AQ278</f>
        <v>0</v>
      </c>
      <c r="AP278" s="826">
        <f t="shared" si="320"/>
        <v>0</v>
      </c>
      <c r="AQ278" s="826">
        <f t="shared" ca="1" si="320"/>
        <v>0</v>
      </c>
      <c r="AR278" s="736">
        <f ca="1">AS278+AT278</f>
        <v>0</v>
      </c>
      <c r="AS278" s="826">
        <f t="shared" si="321"/>
        <v>0</v>
      </c>
      <c r="AT278" s="826">
        <f t="shared" ca="1" si="321"/>
        <v>0</v>
      </c>
      <c r="AU278" s="736">
        <f ca="1">AV278+AW278</f>
        <v>0</v>
      </c>
      <c r="AV278" s="826">
        <f t="shared" si="322"/>
        <v>0</v>
      </c>
      <c r="AW278" s="826">
        <f t="shared" ca="1" si="322"/>
        <v>0</v>
      </c>
      <c r="AX278" s="736">
        <f ca="1">AY278+AZ278</f>
        <v>0</v>
      </c>
      <c r="AY278" s="826">
        <f t="shared" si="323"/>
        <v>0</v>
      </c>
      <c r="AZ278" s="826">
        <f t="shared" ca="1" si="323"/>
        <v>0</v>
      </c>
      <c r="BA278" s="736">
        <f ca="1">BB278+BC278</f>
        <v>0</v>
      </c>
      <c r="BB278" s="42">
        <f t="shared" si="324"/>
        <v>0</v>
      </c>
      <c r="BC278" s="42">
        <f t="shared" ca="1" si="324"/>
        <v>0</v>
      </c>
      <c r="BD278" s="736">
        <f ca="1">BE278+BF278</f>
        <v>0</v>
      </c>
      <c r="BE278" s="42">
        <f t="shared" si="325"/>
        <v>0</v>
      </c>
      <c r="BF278" s="42">
        <f t="shared" ca="1" si="325"/>
        <v>0</v>
      </c>
      <c r="BG278" s="736">
        <f ca="1">BH278+BI278</f>
        <v>0</v>
      </c>
      <c r="BH278" s="42">
        <f t="shared" si="326"/>
        <v>0</v>
      </c>
      <c r="BI278" s="42">
        <f t="shared" ca="1" si="326"/>
        <v>0</v>
      </c>
      <c r="BJ278" s="736">
        <f ca="1">BK278+BL278</f>
        <v>0</v>
      </c>
      <c r="BK278" s="42">
        <f t="shared" si="327"/>
        <v>0</v>
      </c>
      <c r="BL278" s="42">
        <f t="shared" ca="1" si="327"/>
        <v>0</v>
      </c>
      <c r="BM278" s="736">
        <f ca="1">BN278+BO278</f>
        <v>0</v>
      </c>
      <c r="BN278" s="42">
        <f t="shared" si="328"/>
        <v>0</v>
      </c>
      <c r="BO278" s="42">
        <f t="shared" ca="1" si="328"/>
        <v>0</v>
      </c>
      <c r="BP278" s="736">
        <f ca="1">BQ278+BR278</f>
        <v>0</v>
      </c>
      <c r="BQ278" s="826">
        <f t="shared" si="329"/>
        <v>0</v>
      </c>
      <c r="BR278" s="826">
        <f t="shared" ca="1" si="329"/>
        <v>0</v>
      </c>
      <c r="BS278" s="736">
        <f ca="1">BT278+BU278</f>
        <v>0</v>
      </c>
      <c r="BT278" s="826">
        <f t="shared" si="330"/>
        <v>0</v>
      </c>
      <c r="BU278" s="826">
        <f t="shared" ca="1" si="330"/>
        <v>0</v>
      </c>
      <c r="BV278" s="736">
        <f ca="1">BW278+BX278</f>
        <v>0</v>
      </c>
      <c r="BW278" s="826">
        <f t="shared" si="331"/>
        <v>0</v>
      </c>
      <c r="BX278" s="826">
        <f t="shared" ca="1" si="331"/>
        <v>0</v>
      </c>
      <c r="BY278" s="736">
        <f ca="1">BZ278+CA278</f>
        <v>0</v>
      </c>
      <c r="BZ278" s="826">
        <f t="shared" si="332"/>
        <v>0</v>
      </c>
      <c r="CA278" s="826">
        <f t="shared" ca="1" si="332"/>
        <v>0</v>
      </c>
      <c r="CB278" s="736">
        <f ca="1">CC278+CD278</f>
        <v>0</v>
      </c>
      <c r="CC278" s="826">
        <f t="shared" si="333"/>
        <v>0</v>
      </c>
      <c r="CD278" s="826">
        <f t="shared" ca="1" si="333"/>
        <v>0</v>
      </c>
      <c r="CE278" s="736">
        <f ca="1">CF278+CG278</f>
        <v>0</v>
      </c>
      <c r="CF278" s="42">
        <f t="shared" si="334"/>
        <v>0</v>
      </c>
      <c r="CG278" s="42">
        <f t="shared" ca="1" si="334"/>
        <v>0</v>
      </c>
      <c r="CH278" s="736">
        <f ca="1">CI278+CJ278</f>
        <v>0</v>
      </c>
      <c r="CI278" s="42">
        <f t="shared" si="335"/>
        <v>0</v>
      </c>
      <c r="CJ278" s="42">
        <f t="shared" ca="1" si="335"/>
        <v>0</v>
      </c>
      <c r="CK278" s="736">
        <f ca="1">CL278+CM278</f>
        <v>0</v>
      </c>
      <c r="CL278" s="42">
        <f t="shared" si="336"/>
        <v>0</v>
      </c>
      <c r="CM278" s="42">
        <f t="shared" ca="1" si="336"/>
        <v>0</v>
      </c>
      <c r="CN278" s="736">
        <f ca="1">CO278+CP278</f>
        <v>0</v>
      </c>
      <c r="CO278" s="42">
        <f t="shared" si="337"/>
        <v>0</v>
      </c>
      <c r="CP278" s="42">
        <f t="shared" ca="1" si="337"/>
        <v>0</v>
      </c>
      <c r="CQ278" s="736">
        <f ca="1">CR278+CS278</f>
        <v>0</v>
      </c>
      <c r="CR278" s="42">
        <f t="shared" si="338"/>
        <v>0</v>
      </c>
      <c r="CS278" s="42">
        <f t="shared" ca="1" si="338"/>
        <v>0</v>
      </c>
      <c r="CT278" s="28"/>
      <c r="CW278" s="970" t="s">
        <v>904</v>
      </c>
      <c r="CX278" s="975" t="s">
        <v>821</v>
      </c>
      <c r="CY278" s="979" t="str" cm="1">
        <f t="array" ref="CY278">AE278</f>
        <v>Уголь бурый</v>
      </c>
      <c r="CZ278" s="979" t="str" cm="1">
        <f t="array" ref="CZ278">AF278</f>
        <v/>
      </c>
      <c r="DA278" s="976"/>
      <c r="DB278" s="976"/>
    </row>
    <row r="279" spans="1:106" s="1229" customFormat="1" ht="15" hidden="1" customHeight="1">
      <c r="A279" s="1155"/>
      <c r="B279" s="783"/>
      <c r="C279" s="1155"/>
      <c r="D279" s="1155"/>
      <c r="E279" s="676">
        <v>0</v>
      </c>
      <c r="F279" s="779" t="str" cm="1">
        <f t="array" aca="1" ref="F279" ca="1">OFFSET(G279,-1,-1)</f>
        <v>1</v>
      </c>
      <c r="G279" s="814"/>
      <c r="H279" s="814"/>
      <c r="I279" s="814"/>
      <c r="J279" s="814"/>
      <c r="K279" s="814"/>
      <c r="L279" s="779" t="b" cm="1">
        <f t="array" aca="1" ref="L279" ca="1">OFFSET(M279,-1,-1)</f>
        <v>0</v>
      </c>
      <c r="M279" s="814"/>
      <c r="N279" s="814"/>
      <c r="O279" s="814"/>
      <c r="P279" s="814"/>
      <c r="Q279" s="814"/>
      <c r="R279" s="1155"/>
      <c r="S279" s="110" t="b" cm="1">
        <f t="array" aca="1" ref="S279" ca="1">OFFSET(T279,-1,-1)</f>
        <v>1</v>
      </c>
      <c r="T279" s="1155"/>
      <c r="U279" s="698" t="b">
        <f t="shared" ca="1" si="198"/>
        <v>1</v>
      </c>
      <c r="V279" s="1155"/>
      <c r="W279" s="1155"/>
      <c r="X279" s="820" t="str">
        <f>"{                  
         funcDyn: 'msg1',
         blok: 'blok_2',
         wsCross: 'Топливо 4.4',
         linkFormula: 'AE-AE#AF-AF',
         levelDyn: "&amp;Y139&amp;"
}"</f>
        <v>{                  
         funcDyn: 'msg1',
         blok: 'blok_2',
         wsCross: 'Топливо 4.4',
         linkFormula: 'AE-AE#AF-AF',
         levelDyn: 1
}</v>
      </c>
      <c r="Y279" s="1687"/>
      <c r="Z279" s="1687"/>
      <c r="AA279" s="699"/>
      <c r="AB279" s="1785"/>
      <c r="AD279" s="823"/>
      <c r="AE279" s="822" t="s">
        <v>238</v>
      </c>
      <c r="AF279" s="745"/>
      <c r="AG279" s="733"/>
      <c r="AH279" s="735"/>
      <c r="AI279" s="737"/>
      <c r="AJ279" s="737"/>
      <c r="AK279" s="737"/>
      <c r="AL279" s="737"/>
      <c r="AM279" s="737"/>
      <c r="AN279" s="737"/>
      <c r="AO279" s="737"/>
      <c r="AP279" s="737"/>
      <c r="AQ279" s="737"/>
      <c r="AR279" s="737"/>
      <c r="AS279" s="737"/>
      <c r="AT279" s="737"/>
      <c r="AU279" s="737"/>
      <c r="AV279" s="737"/>
      <c r="AW279" s="737"/>
      <c r="AX279" s="737"/>
      <c r="AY279" s="737"/>
      <c r="AZ279" s="737"/>
      <c r="BA279" s="737"/>
      <c r="BB279" s="737"/>
      <c r="BC279" s="737"/>
      <c r="BD279" s="737"/>
      <c r="BE279" s="737"/>
      <c r="BF279" s="737"/>
      <c r="BG279" s="737"/>
      <c r="BH279" s="737"/>
      <c r="BI279" s="737"/>
      <c r="BJ279" s="737"/>
      <c r="BK279" s="737"/>
      <c r="BL279" s="737"/>
      <c r="BM279" s="737"/>
      <c r="BN279" s="737"/>
      <c r="BO279" s="737"/>
      <c r="BP279" s="737"/>
      <c r="BQ279" s="737"/>
      <c r="BR279" s="737"/>
      <c r="BS279" s="737"/>
      <c r="BT279" s="737"/>
      <c r="BU279" s="737"/>
      <c r="BV279" s="737"/>
      <c r="BW279" s="737"/>
      <c r="BX279" s="737"/>
      <c r="BY279" s="737"/>
      <c r="BZ279" s="737"/>
      <c r="CA279" s="737"/>
      <c r="CB279" s="737"/>
      <c r="CC279" s="737"/>
      <c r="CD279" s="737"/>
      <c r="CE279" s="737"/>
      <c r="CF279" s="737"/>
      <c r="CG279" s="737"/>
      <c r="CH279" s="737"/>
      <c r="CI279" s="737"/>
      <c r="CJ279" s="737"/>
      <c r="CK279" s="737"/>
      <c r="CL279" s="737"/>
      <c r="CM279" s="737"/>
      <c r="CN279" s="737"/>
      <c r="CO279" s="737"/>
      <c r="CP279" s="737"/>
      <c r="CQ279" s="737"/>
      <c r="CR279" s="737"/>
      <c r="CS279" s="737"/>
      <c r="CT279" s="46"/>
      <c r="CW279" s="970" t="str">
        <f>IF(AND(ISNUMBER(VALUE(TRIM(SUBSTITUTE(AD279,".","")))),TRIM(SUBSTITUTE(AD279,".",""))&lt;&gt;""),"P"&amp;SUBSTITUTE(AD279,".",""),"")</f>
        <v/>
      </c>
      <c r="CX279" s="975"/>
      <c r="CY279" s="975"/>
      <c r="CZ279" s="975"/>
      <c r="DA279" s="976"/>
      <c r="DB279" s="976"/>
    </row>
    <row r="280" spans="1:106" s="1229" customFormat="1" ht="16.5" customHeight="1">
      <c r="A280" s="1155"/>
      <c r="B280" s="783"/>
      <c r="C280" s="1155"/>
      <c r="D280" s="1155"/>
      <c r="E280" s="676">
        <v>17.100000000000001</v>
      </c>
      <c r="F280" s="779" t="str" cm="1">
        <f t="array" aca="1" ref="F280" ca="1">OFFSET(G280,-1,-1)</f>
        <v>1</v>
      </c>
      <c r="G280" s="814"/>
      <c r="H280" s="814"/>
      <c r="I280" s="814"/>
      <c r="J280" s="814"/>
      <c r="K280" s="814"/>
      <c r="L280" s="779" t="b" cm="1">
        <f t="array" aca="1" ref="L280" ca="1">OFFSET(M280,-1,-1)</f>
        <v>0</v>
      </c>
      <c r="M280" s="814"/>
      <c r="N280" s="814"/>
      <c r="O280" s="814"/>
      <c r="P280" s="814"/>
      <c r="Q280" s="814"/>
      <c r="R280" s="1155"/>
      <c r="S280" s="110" t="b" cm="1">
        <f t="array" aca="1" ref="S280" ca="1">OFFSET(T280,-1,-1)</f>
        <v>1</v>
      </c>
      <c r="T280" s="1155"/>
      <c r="U280" s="698" t="b">
        <f t="shared" ca="1" si="198"/>
        <v>1</v>
      </c>
      <c r="V280" s="1155"/>
      <c r="W280" s="1155"/>
      <c r="X280" s="1155"/>
      <c r="Y280" s="1687"/>
      <c r="Z280" s="1687"/>
      <c r="AA280" s="699"/>
      <c r="AB280" s="1763" t="s">
        <v>906</v>
      </c>
      <c r="AD280" s="124" t="s">
        <v>907</v>
      </c>
      <c r="AE280" s="1757" t="s">
        <v>908</v>
      </c>
      <c r="AF280" s="1758"/>
      <c r="AG280" s="733" t="s">
        <v>839</v>
      </c>
      <c r="AH280" s="734">
        <f t="shared" ref="AH280:BM280" si="339">SUM(AH284:AH287)</f>
        <v>0</v>
      </c>
      <c r="AI280" s="734">
        <f t="shared" si="339"/>
        <v>0</v>
      </c>
      <c r="AJ280" s="734">
        <f t="shared" si="339"/>
        <v>0</v>
      </c>
      <c r="AK280" s="734">
        <f t="shared" si="339"/>
        <v>115427.62042996501</v>
      </c>
      <c r="AL280" s="734">
        <f t="shared" ca="1" si="339"/>
        <v>0</v>
      </c>
      <c r="AM280" s="734">
        <f t="shared" si="339"/>
        <v>0</v>
      </c>
      <c r="AN280" s="734">
        <f t="shared" ca="1" si="339"/>
        <v>0</v>
      </c>
      <c r="AO280" s="734">
        <f t="shared" ca="1" si="339"/>
        <v>0</v>
      </c>
      <c r="AP280" s="734">
        <f t="shared" si="339"/>
        <v>0</v>
      </c>
      <c r="AQ280" s="734">
        <f t="shared" ca="1" si="339"/>
        <v>0</v>
      </c>
      <c r="AR280" s="734">
        <f t="shared" ca="1" si="339"/>
        <v>0</v>
      </c>
      <c r="AS280" s="734">
        <f t="shared" si="339"/>
        <v>0</v>
      </c>
      <c r="AT280" s="734">
        <f t="shared" ca="1" si="339"/>
        <v>0</v>
      </c>
      <c r="AU280" s="734">
        <f t="shared" ca="1" si="339"/>
        <v>0</v>
      </c>
      <c r="AV280" s="734">
        <f t="shared" si="339"/>
        <v>0</v>
      </c>
      <c r="AW280" s="734">
        <f t="shared" ca="1" si="339"/>
        <v>0</v>
      </c>
      <c r="AX280" s="734">
        <f t="shared" ca="1" si="339"/>
        <v>0</v>
      </c>
      <c r="AY280" s="734">
        <f t="shared" si="339"/>
        <v>0</v>
      </c>
      <c r="AZ280" s="734">
        <f t="shared" ca="1" si="339"/>
        <v>0</v>
      </c>
      <c r="BA280" s="734">
        <f t="shared" ca="1" si="339"/>
        <v>0</v>
      </c>
      <c r="BB280" s="734">
        <f t="shared" si="339"/>
        <v>0</v>
      </c>
      <c r="BC280" s="734">
        <f t="shared" ca="1" si="339"/>
        <v>0</v>
      </c>
      <c r="BD280" s="734">
        <f t="shared" ca="1" si="339"/>
        <v>0</v>
      </c>
      <c r="BE280" s="734">
        <f t="shared" si="339"/>
        <v>0</v>
      </c>
      <c r="BF280" s="734">
        <f t="shared" ca="1" si="339"/>
        <v>0</v>
      </c>
      <c r="BG280" s="734">
        <f t="shared" ca="1" si="339"/>
        <v>0</v>
      </c>
      <c r="BH280" s="734">
        <f t="shared" si="339"/>
        <v>0</v>
      </c>
      <c r="BI280" s="734">
        <f t="shared" ca="1" si="339"/>
        <v>0</v>
      </c>
      <c r="BJ280" s="734">
        <f t="shared" ca="1" si="339"/>
        <v>0</v>
      </c>
      <c r="BK280" s="734">
        <f t="shared" si="339"/>
        <v>0</v>
      </c>
      <c r="BL280" s="734">
        <f t="shared" ca="1" si="339"/>
        <v>0</v>
      </c>
      <c r="BM280" s="734">
        <f t="shared" ca="1" si="339"/>
        <v>0</v>
      </c>
      <c r="BN280" s="734">
        <f t="shared" ref="BN280:CS280" si="340">SUM(BN284:BN287)</f>
        <v>0</v>
      </c>
      <c r="BO280" s="734">
        <f t="shared" ca="1" si="340"/>
        <v>0</v>
      </c>
      <c r="BP280" s="734">
        <f t="shared" ca="1" si="340"/>
        <v>140975.39763741646</v>
      </c>
      <c r="BQ280" s="734">
        <f t="shared" si="340"/>
        <v>100848.4818777046</v>
      </c>
      <c r="BR280" s="734">
        <f t="shared" ca="1" si="340"/>
        <v>40126.915759711846</v>
      </c>
      <c r="BS280" s="734">
        <f t="shared" ca="1" si="340"/>
        <v>0</v>
      </c>
      <c r="BT280" s="734">
        <f t="shared" si="340"/>
        <v>0</v>
      </c>
      <c r="BU280" s="734">
        <f t="shared" ca="1" si="340"/>
        <v>0</v>
      </c>
      <c r="BV280" s="734">
        <f t="shared" ca="1" si="340"/>
        <v>0</v>
      </c>
      <c r="BW280" s="734">
        <f t="shared" si="340"/>
        <v>0</v>
      </c>
      <c r="BX280" s="734">
        <f t="shared" ca="1" si="340"/>
        <v>0</v>
      </c>
      <c r="BY280" s="734">
        <f t="shared" ca="1" si="340"/>
        <v>0</v>
      </c>
      <c r="BZ280" s="734">
        <f t="shared" si="340"/>
        <v>0</v>
      </c>
      <c r="CA280" s="734">
        <f t="shared" ca="1" si="340"/>
        <v>0</v>
      </c>
      <c r="CB280" s="734">
        <f t="shared" ca="1" si="340"/>
        <v>0</v>
      </c>
      <c r="CC280" s="734">
        <f t="shared" si="340"/>
        <v>0</v>
      </c>
      <c r="CD280" s="734">
        <f t="shared" ca="1" si="340"/>
        <v>0</v>
      </c>
      <c r="CE280" s="734">
        <f t="shared" ca="1" si="340"/>
        <v>0</v>
      </c>
      <c r="CF280" s="734">
        <f t="shared" si="340"/>
        <v>0</v>
      </c>
      <c r="CG280" s="734">
        <f t="shared" ca="1" si="340"/>
        <v>0</v>
      </c>
      <c r="CH280" s="734">
        <f t="shared" ca="1" si="340"/>
        <v>0</v>
      </c>
      <c r="CI280" s="734">
        <f t="shared" si="340"/>
        <v>0</v>
      </c>
      <c r="CJ280" s="734">
        <f t="shared" ca="1" si="340"/>
        <v>0</v>
      </c>
      <c r="CK280" s="734">
        <f t="shared" ca="1" si="340"/>
        <v>0</v>
      </c>
      <c r="CL280" s="734">
        <f t="shared" si="340"/>
        <v>0</v>
      </c>
      <c r="CM280" s="734">
        <f t="shared" ca="1" si="340"/>
        <v>0</v>
      </c>
      <c r="CN280" s="734">
        <f t="shared" ca="1" si="340"/>
        <v>0</v>
      </c>
      <c r="CO280" s="734">
        <f t="shared" si="340"/>
        <v>0</v>
      </c>
      <c r="CP280" s="734">
        <f t="shared" ca="1" si="340"/>
        <v>0</v>
      </c>
      <c r="CQ280" s="734">
        <f t="shared" ca="1" si="340"/>
        <v>0</v>
      </c>
      <c r="CR280" s="734">
        <f t="shared" si="340"/>
        <v>0</v>
      </c>
      <c r="CS280" s="734">
        <f t="shared" ca="1" si="340"/>
        <v>0</v>
      </c>
      <c r="CT280" s="1290"/>
      <c r="CW280" s="970" t="s">
        <v>909</v>
      </c>
      <c r="CX280" s="975"/>
      <c r="CY280" s="975"/>
      <c r="CZ280" s="975"/>
      <c r="DA280" s="976"/>
      <c r="DB280" s="976"/>
    </row>
    <row r="281" spans="1:106" s="1229" customFormat="1" ht="16.5" hidden="1" customHeight="1">
      <c r="A281" s="1155"/>
      <c r="B281" s="783"/>
      <c r="C281" s="1155"/>
      <c r="D281" s="1155"/>
      <c r="E281" s="676">
        <v>17.100000000000001</v>
      </c>
      <c r="F281" s="779" t="str" cm="1">
        <f t="array" aca="1" ref="F281" ca="1">OFFSET(G281,-1,-1)</f>
        <v>1</v>
      </c>
      <c r="G281" s="620" t="str">
        <f>IF(J139="вода+пар","топливо","")</f>
        <v/>
      </c>
      <c r="H281" s="814"/>
      <c r="I281" s="814"/>
      <c r="J281" s="814"/>
      <c r="K281" s="814"/>
      <c r="L281" s="779" t="b" cm="1">
        <f t="array" aca="1" ref="L281" ca="1">OFFSET(M281,-1,-1)</f>
        <v>0</v>
      </c>
      <c r="M281" s="814"/>
      <c r="N281" s="814"/>
      <c r="O281" s="814"/>
      <c r="P281" s="814"/>
      <c r="Q281" s="814"/>
      <c r="R281" s="779" t="s">
        <v>759</v>
      </c>
      <c r="S281" s="110" t="b" cm="1">
        <f t="array" aca="1" ref="S281" ca="1">OFFSET(T281,-1,-1)</f>
        <v>1</v>
      </c>
      <c r="T281" s="110" t="b" cm="1">
        <f t="array" aca="1" ref="T281" ca="1">L281</f>
        <v>0</v>
      </c>
      <c r="U281" s="698" t="b">
        <f t="shared" ca="1" si="198"/>
        <v>0</v>
      </c>
      <c r="V281" s="1155"/>
      <c r="W281" s="1155"/>
      <c r="X281" s="1155"/>
      <c r="Y281" s="1687"/>
      <c r="Z281" s="1687"/>
      <c r="AA281" s="699"/>
      <c r="AB281" s="1764"/>
      <c r="AD281" s="111" t="str">
        <f>AD280&amp;".0"</f>
        <v>40.0</v>
      </c>
      <c r="AE281" s="1779" t="s">
        <v>770</v>
      </c>
      <c r="AF281" s="1780"/>
      <c r="AG281" s="733" t="s">
        <v>839</v>
      </c>
      <c r="AH281" s="41">
        <f>AH$163*AH280</f>
        <v>0</v>
      </c>
      <c r="AI281" s="42">
        <f>AI$163*AI280</f>
        <v>0</v>
      </c>
      <c r="AJ281" s="42">
        <f>AJ$163*AJ280</f>
        <v>0</v>
      </c>
      <c r="AK281" s="42">
        <f>AK$163*AK280</f>
        <v>115427.62042996501</v>
      </c>
      <c r="AL281" s="736">
        <f ca="1">AM281+AN281</f>
        <v>0</v>
      </c>
      <c r="AM281" s="42">
        <f>AM$163*AM280</f>
        <v>0</v>
      </c>
      <c r="AN281" s="42">
        <f ca="1">AN$163*AN280</f>
        <v>0</v>
      </c>
      <c r="AO281" s="736">
        <f ca="1">AP281+AQ281</f>
        <v>0</v>
      </c>
      <c r="AP281" s="826">
        <f>AP$163*AP280</f>
        <v>0</v>
      </c>
      <c r="AQ281" s="826">
        <f ca="1">AQ$163*AQ280</f>
        <v>0</v>
      </c>
      <c r="AR281" s="736">
        <f ca="1">AS281+AT281</f>
        <v>0</v>
      </c>
      <c r="AS281" s="826">
        <f>AS$163*AS280</f>
        <v>0</v>
      </c>
      <c r="AT281" s="826">
        <f ca="1">AT$163*AT280</f>
        <v>0</v>
      </c>
      <c r="AU281" s="736">
        <f ca="1">AV281+AW281</f>
        <v>0</v>
      </c>
      <c r="AV281" s="826">
        <f>AV$163*AV280</f>
        <v>0</v>
      </c>
      <c r="AW281" s="826">
        <f ca="1">AW$163*AW280</f>
        <v>0</v>
      </c>
      <c r="AX281" s="736">
        <f ca="1">AY281+AZ281</f>
        <v>0</v>
      </c>
      <c r="AY281" s="826">
        <f>AY$163*AY280</f>
        <v>0</v>
      </c>
      <c r="AZ281" s="826">
        <f ca="1">AZ$163*AZ280</f>
        <v>0</v>
      </c>
      <c r="BA281" s="736">
        <f ca="1">BB281+BC281</f>
        <v>0</v>
      </c>
      <c r="BB281" s="42">
        <f>BB$163*BB280</f>
        <v>0</v>
      </c>
      <c r="BC281" s="42">
        <f ca="1">BC$163*BC280</f>
        <v>0</v>
      </c>
      <c r="BD281" s="736">
        <f ca="1">BE281+BF281</f>
        <v>0</v>
      </c>
      <c r="BE281" s="42">
        <f>BE$163*BE280</f>
        <v>0</v>
      </c>
      <c r="BF281" s="42">
        <f ca="1">BF$163*BF280</f>
        <v>0</v>
      </c>
      <c r="BG281" s="736">
        <f ca="1">BH281+BI281</f>
        <v>0</v>
      </c>
      <c r="BH281" s="42">
        <f>BH$163*BH280</f>
        <v>0</v>
      </c>
      <c r="BI281" s="42">
        <f ca="1">BI$163*BI280</f>
        <v>0</v>
      </c>
      <c r="BJ281" s="736">
        <f ca="1">BK281+BL281</f>
        <v>0</v>
      </c>
      <c r="BK281" s="42">
        <f>BK$163*BK280</f>
        <v>0</v>
      </c>
      <c r="BL281" s="42">
        <f ca="1">BL$163*BL280</f>
        <v>0</v>
      </c>
      <c r="BM281" s="736">
        <f ca="1">BN281+BO281</f>
        <v>0</v>
      </c>
      <c r="BN281" s="42">
        <f>BN$163*BN280</f>
        <v>0</v>
      </c>
      <c r="BO281" s="42">
        <f ca="1">BO$163*BO280</f>
        <v>0</v>
      </c>
      <c r="BP281" s="736">
        <f ca="1">BQ281+BR281</f>
        <v>140975.39763741643</v>
      </c>
      <c r="BQ281" s="826">
        <f>BQ$163*BQ280</f>
        <v>100848.4818777046</v>
      </c>
      <c r="BR281" s="826">
        <f ca="1">BR$163*BR280</f>
        <v>40126.915759711846</v>
      </c>
      <c r="BS281" s="736">
        <f ca="1">BT281+BU281</f>
        <v>0</v>
      </c>
      <c r="BT281" s="826">
        <f>BT$163*BT280</f>
        <v>0</v>
      </c>
      <c r="BU281" s="826">
        <f ca="1">BU$163*BU280</f>
        <v>0</v>
      </c>
      <c r="BV281" s="736">
        <f ca="1">BW281+BX281</f>
        <v>0</v>
      </c>
      <c r="BW281" s="826">
        <f>BW$163*BW280</f>
        <v>0</v>
      </c>
      <c r="BX281" s="826">
        <f ca="1">BX$163*BX280</f>
        <v>0</v>
      </c>
      <c r="BY281" s="736">
        <f ca="1">BZ281+CA281</f>
        <v>0</v>
      </c>
      <c r="BZ281" s="826">
        <f>BZ$163*BZ280</f>
        <v>0</v>
      </c>
      <c r="CA281" s="826">
        <f ca="1">CA$163*CA280</f>
        <v>0</v>
      </c>
      <c r="CB281" s="736">
        <f ca="1">CC281+CD281</f>
        <v>0</v>
      </c>
      <c r="CC281" s="826">
        <f>CC$163*CC280</f>
        <v>0</v>
      </c>
      <c r="CD281" s="826">
        <f ca="1">CD$163*CD280</f>
        <v>0</v>
      </c>
      <c r="CE281" s="736">
        <f ca="1">CF281+CG281</f>
        <v>0</v>
      </c>
      <c r="CF281" s="42">
        <f>CF$163*CF280</f>
        <v>0</v>
      </c>
      <c r="CG281" s="42">
        <f ca="1">CG$163*CG280</f>
        <v>0</v>
      </c>
      <c r="CH281" s="736">
        <f ca="1">CI281+CJ281</f>
        <v>0</v>
      </c>
      <c r="CI281" s="42">
        <f>CI$163*CI280</f>
        <v>0</v>
      </c>
      <c r="CJ281" s="42">
        <f ca="1">CJ$163*CJ280</f>
        <v>0</v>
      </c>
      <c r="CK281" s="736">
        <f ca="1">CL281+CM281</f>
        <v>0</v>
      </c>
      <c r="CL281" s="42">
        <f>CL$163*CL280</f>
        <v>0</v>
      </c>
      <c r="CM281" s="42">
        <f ca="1">CM$163*CM280</f>
        <v>0</v>
      </c>
      <c r="CN281" s="736">
        <f ca="1">CO281+CP281</f>
        <v>0</v>
      </c>
      <c r="CO281" s="42">
        <f>CO$163*CO280</f>
        <v>0</v>
      </c>
      <c r="CP281" s="42">
        <f ca="1">CP$163*CP280</f>
        <v>0</v>
      </c>
      <c r="CQ281" s="736">
        <f ca="1">CR281+CS281</f>
        <v>0</v>
      </c>
      <c r="CR281" s="42">
        <f>CR$163*CR280</f>
        <v>0</v>
      </c>
      <c r="CS281" s="42">
        <f ca="1">CS$163*CS280</f>
        <v>0</v>
      </c>
      <c r="CT281" s="28"/>
      <c r="CW281" s="970" t="s">
        <v>910</v>
      </c>
      <c r="CX281" s="975"/>
      <c r="CY281" s="975"/>
      <c r="CZ281" s="975"/>
      <c r="DA281" s="976"/>
      <c r="DB281" s="976"/>
    </row>
    <row r="282" spans="1:106" s="1229" customFormat="1" ht="16.5" customHeight="1">
      <c r="A282" s="1155"/>
      <c r="B282" s="783"/>
      <c r="C282" s="1155"/>
      <c r="D282" s="1155"/>
      <c r="E282" s="676">
        <v>17.100000000000001</v>
      </c>
      <c r="F282" s="779" t="str" cm="1">
        <f t="array" aca="1" ref="F282" ca="1">OFFSET(G282,-1,-1)</f>
        <v>1</v>
      </c>
      <c r="G282" s="620" t="str">
        <f>IF(J139="вода","топливо","")</f>
        <v>топливо</v>
      </c>
      <c r="H282" s="814"/>
      <c r="I282" s="814"/>
      <c r="J282" s="814"/>
      <c r="K282" s="814"/>
      <c r="L282" s="779" t="b" cm="1">
        <f t="array" aca="1" ref="L282" ca="1">OFFSET(M282,-1,-1)</f>
        <v>0</v>
      </c>
      <c r="M282" s="814"/>
      <c r="N282" s="814"/>
      <c r="O282" s="814"/>
      <c r="P282" s="814"/>
      <c r="Q282" s="814"/>
      <c r="R282" s="1155"/>
      <c r="S282" s="110" t="b" cm="1">
        <f t="array" aca="1" ref="S282" ca="1">OFFSET(T282,-1,-1)</f>
        <v>1</v>
      </c>
      <c r="T282" s="1155"/>
      <c r="U282" s="698" t="b">
        <f t="shared" ca="1" si="198"/>
        <v>1</v>
      </c>
      <c r="V282" s="1155"/>
      <c r="W282" s="1155"/>
      <c r="X282" s="1155"/>
      <c r="Y282" s="1687"/>
      <c r="Z282" s="1687"/>
      <c r="AA282" s="699"/>
      <c r="AB282" s="1764"/>
      <c r="AD282" s="824" t="s">
        <v>911</v>
      </c>
      <c r="AE282" s="1781" t="s">
        <v>638</v>
      </c>
      <c r="AF282" s="1782"/>
      <c r="AG282" s="852" t="s">
        <v>839</v>
      </c>
      <c r="AH282" s="738">
        <f t="shared" ref="AH282:BM282" si="341">AH281-AH283</f>
        <v>0</v>
      </c>
      <c r="AI282" s="738">
        <f t="shared" si="341"/>
        <v>0</v>
      </c>
      <c r="AJ282" s="738">
        <f t="shared" si="341"/>
        <v>0</v>
      </c>
      <c r="AK282" s="738">
        <f t="shared" si="341"/>
        <v>115427.62042996501</v>
      </c>
      <c r="AL282" s="738">
        <f t="shared" ca="1" si="341"/>
        <v>0</v>
      </c>
      <c r="AM282" s="738">
        <f t="shared" si="341"/>
        <v>0</v>
      </c>
      <c r="AN282" s="738">
        <f t="shared" ca="1" si="341"/>
        <v>0</v>
      </c>
      <c r="AO282" s="738">
        <f t="shared" ca="1" si="341"/>
        <v>0</v>
      </c>
      <c r="AP282" s="738">
        <f t="shared" si="341"/>
        <v>0</v>
      </c>
      <c r="AQ282" s="738">
        <f t="shared" ca="1" si="341"/>
        <v>0</v>
      </c>
      <c r="AR282" s="738">
        <f t="shared" ca="1" si="341"/>
        <v>0</v>
      </c>
      <c r="AS282" s="738">
        <f t="shared" si="341"/>
        <v>0</v>
      </c>
      <c r="AT282" s="738">
        <f t="shared" ca="1" si="341"/>
        <v>0</v>
      </c>
      <c r="AU282" s="738">
        <f t="shared" ca="1" si="341"/>
        <v>0</v>
      </c>
      <c r="AV282" s="738">
        <f t="shared" si="341"/>
        <v>0</v>
      </c>
      <c r="AW282" s="738">
        <f t="shared" ca="1" si="341"/>
        <v>0</v>
      </c>
      <c r="AX282" s="738">
        <f t="shared" ca="1" si="341"/>
        <v>0</v>
      </c>
      <c r="AY282" s="738">
        <f t="shared" si="341"/>
        <v>0</v>
      </c>
      <c r="AZ282" s="738">
        <f t="shared" ca="1" si="341"/>
        <v>0</v>
      </c>
      <c r="BA282" s="738">
        <f t="shared" ca="1" si="341"/>
        <v>0</v>
      </c>
      <c r="BB282" s="738">
        <f t="shared" si="341"/>
        <v>0</v>
      </c>
      <c r="BC282" s="738">
        <f t="shared" ca="1" si="341"/>
        <v>0</v>
      </c>
      <c r="BD282" s="738">
        <f t="shared" ca="1" si="341"/>
        <v>0</v>
      </c>
      <c r="BE282" s="738">
        <f t="shared" si="341"/>
        <v>0</v>
      </c>
      <c r="BF282" s="738">
        <f t="shared" ca="1" si="341"/>
        <v>0</v>
      </c>
      <c r="BG282" s="738">
        <f t="shared" ca="1" si="341"/>
        <v>0</v>
      </c>
      <c r="BH282" s="738">
        <f t="shared" si="341"/>
        <v>0</v>
      </c>
      <c r="BI282" s="738">
        <f t="shared" ca="1" si="341"/>
        <v>0</v>
      </c>
      <c r="BJ282" s="738">
        <f t="shared" ca="1" si="341"/>
        <v>0</v>
      </c>
      <c r="BK282" s="738">
        <f t="shared" si="341"/>
        <v>0</v>
      </c>
      <c r="BL282" s="738">
        <f t="shared" ca="1" si="341"/>
        <v>0</v>
      </c>
      <c r="BM282" s="738">
        <f t="shared" ca="1" si="341"/>
        <v>0</v>
      </c>
      <c r="BN282" s="738">
        <f t="shared" ref="BN282:CS282" si="342">BN281-BN283</f>
        <v>0</v>
      </c>
      <c r="BO282" s="738">
        <f t="shared" ca="1" si="342"/>
        <v>0</v>
      </c>
      <c r="BP282" s="738">
        <f t="shared" ca="1" si="342"/>
        <v>140975.39763741643</v>
      </c>
      <c r="BQ282" s="738">
        <f t="shared" si="342"/>
        <v>100848.4818777046</v>
      </c>
      <c r="BR282" s="738">
        <f t="shared" ca="1" si="342"/>
        <v>40126.915759711846</v>
      </c>
      <c r="BS282" s="738">
        <f t="shared" ca="1" si="342"/>
        <v>0</v>
      </c>
      <c r="BT282" s="738">
        <f t="shared" si="342"/>
        <v>0</v>
      </c>
      <c r="BU282" s="738">
        <f t="shared" ca="1" si="342"/>
        <v>0</v>
      </c>
      <c r="BV282" s="738">
        <f t="shared" ca="1" si="342"/>
        <v>0</v>
      </c>
      <c r="BW282" s="738">
        <f t="shared" si="342"/>
        <v>0</v>
      </c>
      <c r="BX282" s="738">
        <f t="shared" ca="1" si="342"/>
        <v>0</v>
      </c>
      <c r="BY282" s="738">
        <f t="shared" ca="1" si="342"/>
        <v>0</v>
      </c>
      <c r="BZ282" s="738">
        <f t="shared" si="342"/>
        <v>0</v>
      </c>
      <c r="CA282" s="738">
        <f t="shared" ca="1" si="342"/>
        <v>0</v>
      </c>
      <c r="CB282" s="738">
        <f t="shared" ca="1" si="342"/>
        <v>0</v>
      </c>
      <c r="CC282" s="738">
        <f t="shared" si="342"/>
        <v>0</v>
      </c>
      <c r="CD282" s="738">
        <f t="shared" ca="1" si="342"/>
        <v>0</v>
      </c>
      <c r="CE282" s="738">
        <f t="shared" ca="1" si="342"/>
        <v>0</v>
      </c>
      <c r="CF282" s="738">
        <f t="shared" si="342"/>
        <v>0</v>
      </c>
      <c r="CG282" s="738">
        <f t="shared" ca="1" si="342"/>
        <v>0</v>
      </c>
      <c r="CH282" s="738">
        <f t="shared" ca="1" si="342"/>
        <v>0</v>
      </c>
      <c r="CI282" s="738">
        <f t="shared" si="342"/>
        <v>0</v>
      </c>
      <c r="CJ282" s="738">
        <f t="shared" ca="1" si="342"/>
        <v>0</v>
      </c>
      <c r="CK282" s="738">
        <f t="shared" ca="1" si="342"/>
        <v>0</v>
      </c>
      <c r="CL282" s="738">
        <f t="shared" si="342"/>
        <v>0</v>
      </c>
      <c r="CM282" s="738">
        <f t="shared" ca="1" si="342"/>
        <v>0</v>
      </c>
      <c r="CN282" s="738">
        <f t="shared" ca="1" si="342"/>
        <v>0</v>
      </c>
      <c r="CO282" s="738">
        <f t="shared" si="342"/>
        <v>0</v>
      </c>
      <c r="CP282" s="738">
        <f t="shared" ca="1" si="342"/>
        <v>0</v>
      </c>
      <c r="CQ282" s="738">
        <f t="shared" ca="1" si="342"/>
        <v>0</v>
      </c>
      <c r="CR282" s="738">
        <f t="shared" si="342"/>
        <v>0</v>
      </c>
      <c r="CS282" s="738">
        <f t="shared" ca="1" si="342"/>
        <v>0</v>
      </c>
      <c r="CT282" s="1290"/>
      <c r="CW282" s="970" t="s">
        <v>912</v>
      </c>
      <c r="CX282" s="975"/>
      <c r="CY282" s="975"/>
      <c r="CZ282" s="975"/>
      <c r="DA282" s="976"/>
      <c r="DB282" s="976"/>
    </row>
    <row r="283" spans="1:106" s="1229" customFormat="1" ht="16.5" customHeight="1">
      <c r="A283" s="1155"/>
      <c r="B283" s="783"/>
      <c r="C283" s="1155"/>
      <c r="D283" s="1155"/>
      <c r="E283" s="676">
        <v>17.100000000000001</v>
      </c>
      <c r="F283" s="779" t="str" cm="1">
        <f t="array" aca="1" ref="F283" ca="1">OFFSET(G283,-1,-1)</f>
        <v>1</v>
      </c>
      <c r="G283" s="620" t="str">
        <f>IF(J139="пар","топливо","")</f>
        <v/>
      </c>
      <c r="H283" s="814"/>
      <c r="I283" s="814"/>
      <c r="J283" s="814"/>
      <c r="K283" s="814"/>
      <c r="L283" s="779" t="b" cm="1">
        <f t="array" aca="1" ref="L283" ca="1">OFFSET(M283,-1,-1)</f>
        <v>0</v>
      </c>
      <c r="M283" s="814"/>
      <c r="N283" s="814"/>
      <c r="O283" s="814"/>
      <c r="P283" s="814"/>
      <c r="Q283" s="814"/>
      <c r="R283" s="1155"/>
      <c r="S283" s="110" t="b" cm="1">
        <f t="array" aca="1" ref="S283" ca="1">OFFSET(T283,-1,-1)</f>
        <v>1</v>
      </c>
      <c r="T283" s="1155"/>
      <c r="U283" s="698" t="b">
        <f t="shared" ca="1" si="198"/>
        <v>1</v>
      </c>
      <c r="V283" s="1155"/>
      <c r="W283" s="1155"/>
      <c r="X283" s="1155"/>
      <c r="Y283" s="1687"/>
      <c r="Z283" s="1687"/>
      <c r="AA283" s="699"/>
      <c r="AB283" s="1764"/>
      <c r="AD283" s="824" t="s">
        <v>913</v>
      </c>
      <c r="AE283" s="1781" t="s">
        <v>640</v>
      </c>
      <c r="AF283" s="1782"/>
      <c r="AG283" s="852" t="s">
        <v>839</v>
      </c>
      <c r="AH283" s="1310"/>
      <c r="AI283" s="1310"/>
      <c r="AJ283" s="1310"/>
      <c r="AK283" s="1310"/>
      <c r="AL283" s="1310"/>
      <c r="AM283" s="1310"/>
      <c r="AN283" s="1310"/>
      <c r="AO283" s="830"/>
      <c r="AP283" s="830"/>
      <c r="AQ283" s="830"/>
      <c r="AR283" s="830"/>
      <c r="AS283" s="830"/>
      <c r="AT283" s="830"/>
      <c r="AU283" s="830"/>
      <c r="AV283" s="830"/>
      <c r="AW283" s="830"/>
      <c r="AX283" s="830"/>
      <c r="AY283" s="830"/>
      <c r="AZ283" s="830"/>
      <c r="BA283" s="1310"/>
      <c r="BB283" s="1310"/>
      <c r="BC283" s="1310"/>
      <c r="BD283" s="1310"/>
      <c r="BE283" s="1310"/>
      <c r="BF283" s="1310"/>
      <c r="BG283" s="1310"/>
      <c r="BH283" s="1310"/>
      <c r="BI283" s="1310"/>
      <c r="BJ283" s="1310"/>
      <c r="BK283" s="1310"/>
      <c r="BL283" s="1310"/>
      <c r="BM283" s="1310"/>
      <c r="BN283" s="1310"/>
      <c r="BO283" s="1310"/>
      <c r="BP283" s="830"/>
      <c r="BQ283" s="830"/>
      <c r="BR283" s="830"/>
      <c r="BS283" s="830"/>
      <c r="BT283" s="830"/>
      <c r="BU283" s="830"/>
      <c r="BV283" s="830"/>
      <c r="BW283" s="830"/>
      <c r="BX283" s="830"/>
      <c r="BY283" s="830"/>
      <c r="BZ283" s="830"/>
      <c r="CA283" s="830"/>
      <c r="CB283" s="830"/>
      <c r="CC283" s="830"/>
      <c r="CD283" s="830"/>
      <c r="CE283" s="1310"/>
      <c r="CF283" s="1310"/>
      <c r="CG283" s="1310"/>
      <c r="CH283" s="1310"/>
      <c r="CI283" s="1310"/>
      <c r="CJ283" s="1310"/>
      <c r="CK283" s="1310"/>
      <c r="CL283" s="1310"/>
      <c r="CM283" s="1310"/>
      <c r="CN283" s="1310"/>
      <c r="CO283" s="1310"/>
      <c r="CP283" s="1310"/>
      <c r="CQ283" s="1310"/>
      <c r="CR283" s="1310"/>
      <c r="CS283" s="1310"/>
      <c r="CT283" s="1290"/>
      <c r="CW283" s="970" t="s">
        <v>914</v>
      </c>
      <c r="CX283" s="975"/>
      <c r="CY283" s="975"/>
      <c r="CZ283" s="975"/>
      <c r="DA283" s="976"/>
      <c r="DB283" s="976"/>
    </row>
    <row r="284" spans="1:106" s="1229" customFormat="1" ht="16.5" hidden="1" customHeight="1">
      <c r="E284" s="676">
        <v>17.100000000000001</v>
      </c>
      <c r="F284" s="779" t="str" cm="1">
        <f t="array" aca="1" ref="F284" ca="1">OFFSET(G284,-1,-1)</f>
        <v>1</v>
      </c>
      <c r="L284" s="779" t="b" cm="1">
        <f t="array" aca="1" ref="L284" ca="1">OFFSET(M284,-1,-1)</f>
        <v>0</v>
      </c>
      <c r="S284" s="110" t="b" cm="1">
        <f t="array" aca="1" ref="S284" ca="1">OFFSET(T284,-1,-1)</f>
        <v>1</v>
      </c>
      <c r="T284" s="110" t="b">
        <f>AD284&lt;&gt;"40.0"</f>
        <v>0</v>
      </c>
      <c r="U284" s="698" t="b">
        <f t="shared" ref="U284:U347" ca="1" si="343">AND(S284,IF(ISBLANK(T284),TRUE,T284))</f>
        <v>0</v>
      </c>
      <c r="X284" s="110" t="s">
        <v>236</v>
      </c>
      <c r="Y284" s="1722"/>
      <c r="Z284" s="1722"/>
      <c r="AB284" s="1764"/>
      <c r="AD284" s="111" t="s">
        <v>915</v>
      </c>
      <c r="AE284" s="821"/>
      <c r="AF284" s="524"/>
      <c r="AG284" s="733" t="s">
        <v>839</v>
      </c>
      <c r="AH284" s="734">
        <f t="shared" ref="AH284:BM284" si="344">AH197+AH218+AH239+AH260+AH271</f>
        <v>0</v>
      </c>
      <c r="AI284" s="734">
        <f t="shared" si="344"/>
        <v>0</v>
      </c>
      <c r="AJ284" s="734">
        <f t="shared" si="344"/>
        <v>0</v>
      </c>
      <c r="AK284" s="734">
        <f t="shared" si="344"/>
        <v>0</v>
      </c>
      <c r="AL284" s="734">
        <f t="shared" ca="1" si="344"/>
        <v>0</v>
      </c>
      <c r="AM284" s="734">
        <f t="shared" si="344"/>
        <v>0</v>
      </c>
      <c r="AN284" s="734">
        <f t="shared" ca="1" si="344"/>
        <v>0</v>
      </c>
      <c r="AO284" s="734">
        <f t="shared" ca="1" si="344"/>
        <v>0</v>
      </c>
      <c r="AP284" s="734">
        <f t="shared" si="344"/>
        <v>0</v>
      </c>
      <c r="AQ284" s="734">
        <f t="shared" ca="1" si="344"/>
        <v>0</v>
      </c>
      <c r="AR284" s="734">
        <f t="shared" ca="1" si="344"/>
        <v>0</v>
      </c>
      <c r="AS284" s="734">
        <f t="shared" si="344"/>
        <v>0</v>
      </c>
      <c r="AT284" s="734">
        <f t="shared" ca="1" si="344"/>
        <v>0</v>
      </c>
      <c r="AU284" s="734">
        <f t="shared" ca="1" si="344"/>
        <v>0</v>
      </c>
      <c r="AV284" s="734">
        <f t="shared" si="344"/>
        <v>0</v>
      </c>
      <c r="AW284" s="734">
        <f t="shared" ca="1" si="344"/>
        <v>0</v>
      </c>
      <c r="AX284" s="734">
        <f t="shared" ca="1" si="344"/>
        <v>0</v>
      </c>
      <c r="AY284" s="734">
        <f t="shared" si="344"/>
        <v>0</v>
      </c>
      <c r="AZ284" s="734">
        <f t="shared" ca="1" si="344"/>
        <v>0</v>
      </c>
      <c r="BA284" s="734">
        <f t="shared" ca="1" si="344"/>
        <v>0</v>
      </c>
      <c r="BB284" s="734">
        <f t="shared" si="344"/>
        <v>0</v>
      </c>
      <c r="BC284" s="734">
        <f t="shared" ca="1" si="344"/>
        <v>0</v>
      </c>
      <c r="BD284" s="734">
        <f t="shared" ca="1" si="344"/>
        <v>0</v>
      </c>
      <c r="BE284" s="734">
        <f t="shared" si="344"/>
        <v>0</v>
      </c>
      <c r="BF284" s="734">
        <f t="shared" ca="1" si="344"/>
        <v>0</v>
      </c>
      <c r="BG284" s="734">
        <f t="shared" ca="1" si="344"/>
        <v>0</v>
      </c>
      <c r="BH284" s="734">
        <f t="shared" si="344"/>
        <v>0</v>
      </c>
      <c r="BI284" s="734">
        <f t="shared" ca="1" si="344"/>
        <v>0</v>
      </c>
      <c r="BJ284" s="734">
        <f t="shared" ca="1" si="344"/>
        <v>0</v>
      </c>
      <c r="BK284" s="734">
        <f t="shared" si="344"/>
        <v>0</v>
      </c>
      <c r="BL284" s="734">
        <f t="shared" ca="1" si="344"/>
        <v>0</v>
      </c>
      <c r="BM284" s="734">
        <f t="shared" ca="1" si="344"/>
        <v>0</v>
      </c>
      <c r="BN284" s="734">
        <f t="shared" ref="BN284:CS284" si="345">BN197+BN218+BN239+BN260+BN271</f>
        <v>0</v>
      </c>
      <c r="BO284" s="734">
        <f t="shared" ca="1" si="345"/>
        <v>0</v>
      </c>
      <c r="BP284" s="734">
        <f t="shared" ca="1" si="345"/>
        <v>0</v>
      </c>
      <c r="BQ284" s="734">
        <f t="shared" si="345"/>
        <v>0</v>
      </c>
      <c r="BR284" s="734">
        <f t="shared" ca="1" si="345"/>
        <v>0</v>
      </c>
      <c r="BS284" s="734">
        <f t="shared" ca="1" si="345"/>
        <v>0</v>
      </c>
      <c r="BT284" s="734">
        <f t="shared" si="345"/>
        <v>0</v>
      </c>
      <c r="BU284" s="734">
        <f t="shared" ca="1" si="345"/>
        <v>0</v>
      </c>
      <c r="BV284" s="734">
        <f t="shared" ca="1" si="345"/>
        <v>0</v>
      </c>
      <c r="BW284" s="734">
        <f t="shared" si="345"/>
        <v>0</v>
      </c>
      <c r="BX284" s="734">
        <f t="shared" ca="1" si="345"/>
        <v>0</v>
      </c>
      <c r="BY284" s="734">
        <f t="shared" ca="1" si="345"/>
        <v>0</v>
      </c>
      <c r="BZ284" s="734">
        <f t="shared" si="345"/>
        <v>0</v>
      </c>
      <c r="CA284" s="734">
        <f t="shared" ca="1" si="345"/>
        <v>0</v>
      </c>
      <c r="CB284" s="734">
        <f t="shared" ca="1" si="345"/>
        <v>0</v>
      </c>
      <c r="CC284" s="734">
        <f t="shared" si="345"/>
        <v>0</v>
      </c>
      <c r="CD284" s="734">
        <f t="shared" ca="1" si="345"/>
        <v>0</v>
      </c>
      <c r="CE284" s="734">
        <f t="shared" ca="1" si="345"/>
        <v>0</v>
      </c>
      <c r="CF284" s="734">
        <f t="shared" si="345"/>
        <v>0</v>
      </c>
      <c r="CG284" s="734">
        <f t="shared" ca="1" si="345"/>
        <v>0</v>
      </c>
      <c r="CH284" s="734">
        <f t="shared" ca="1" si="345"/>
        <v>0</v>
      </c>
      <c r="CI284" s="734">
        <f t="shared" si="345"/>
        <v>0</v>
      </c>
      <c r="CJ284" s="734">
        <f t="shared" ca="1" si="345"/>
        <v>0</v>
      </c>
      <c r="CK284" s="734">
        <f t="shared" ca="1" si="345"/>
        <v>0</v>
      </c>
      <c r="CL284" s="734">
        <f t="shared" si="345"/>
        <v>0</v>
      </c>
      <c r="CM284" s="734">
        <f t="shared" ca="1" si="345"/>
        <v>0</v>
      </c>
      <c r="CN284" s="734">
        <f t="shared" ca="1" si="345"/>
        <v>0</v>
      </c>
      <c r="CO284" s="734">
        <f t="shared" si="345"/>
        <v>0</v>
      </c>
      <c r="CP284" s="734">
        <f t="shared" ca="1" si="345"/>
        <v>0</v>
      </c>
      <c r="CQ284" s="734">
        <f t="shared" ca="1" si="345"/>
        <v>0</v>
      </c>
      <c r="CR284" s="734">
        <f t="shared" si="345"/>
        <v>0</v>
      </c>
      <c r="CS284" s="734">
        <f t="shared" ca="1" si="345"/>
        <v>0</v>
      </c>
      <c r="CT284" s="28"/>
      <c r="CW284" s="970" t="s">
        <v>916</v>
      </c>
      <c r="CX284" s="975" t="s">
        <v>821</v>
      </c>
      <c r="CY284" s="979" cm="1">
        <f t="array" ref="CY284">AE284</f>
        <v>0</v>
      </c>
      <c r="CZ284" s="979" cm="1">
        <f t="array" ref="CZ284">AF284</f>
        <v>0</v>
      </c>
      <c r="DA284" s="976"/>
      <c r="DB284" s="976"/>
    </row>
    <row r="285" spans="1:106" s="1229" customFormat="1" ht="16.5" customHeight="1">
      <c r="E285" s="676">
        <v>17.100000000000001</v>
      </c>
      <c r="F285" s="779" t="str" cm="1">
        <f t="array" aca="1" ref="F285" ca="1">OFFSET(G285,-1,-1)</f>
        <v>1</v>
      </c>
      <c r="L285" s="779" t="b" cm="1">
        <f t="array" aca="1" ref="L285" ca="1">OFFSET(M285,-1,-1)</f>
        <v>0</v>
      </c>
      <c r="S285" s="110" t="b" cm="1">
        <f t="array" aca="1" ref="S285" ca="1">OFFSET(T285,-1,-1)</f>
        <v>1</v>
      </c>
      <c r="T285" s="110" t="b">
        <f>AD285&lt;&gt;"40.0"</f>
        <v>1</v>
      </c>
      <c r="U285" s="698" t="b">
        <f t="shared" ca="1" si="343"/>
        <v>1</v>
      </c>
      <c r="X285" s="110" t="str">
        <f>'Топливо 4.4'!$AE$277&amp;'Топливо 4.4'!$AF$277</f>
        <v>Уголь длиннопламенный</v>
      </c>
      <c r="Y285" s="1722"/>
      <c r="Z285" s="1722"/>
      <c r="AB285" s="1764"/>
      <c r="AD285" s="111" t="s">
        <v>975</v>
      </c>
      <c r="AE285" s="821" t="str" cm="1">
        <f t="array" ref="AE285">IF(ISBLANK('Топливо 4.4'!$AE$277),"",'Топливо 4.4'!$AE$277)</f>
        <v>Уголь длиннопламенный</v>
      </c>
      <c r="AF285" s="524" t="str" cm="1">
        <f t="array" ref="AF285">IF(ISBLANK('Топливо 4.4'!$AF$277),"",'Топливо 4.4'!$AF$277)</f>
        <v/>
      </c>
      <c r="AG285" s="733" t="s">
        <v>839</v>
      </c>
      <c r="AH285" s="734">
        <f t="shared" ref="AH285:BM285" si="346">AH198+AH219+AH240+AH261+AH272</f>
        <v>0</v>
      </c>
      <c r="AI285" s="734">
        <f t="shared" si="346"/>
        <v>0</v>
      </c>
      <c r="AJ285" s="734">
        <f t="shared" si="346"/>
        <v>0</v>
      </c>
      <c r="AK285" s="734">
        <f t="shared" si="346"/>
        <v>109258.88643000001</v>
      </c>
      <c r="AL285" s="734">
        <f t="shared" ca="1" si="346"/>
        <v>0</v>
      </c>
      <c r="AM285" s="734">
        <f t="shared" si="346"/>
        <v>0</v>
      </c>
      <c r="AN285" s="734">
        <f t="shared" ca="1" si="346"/>
        <v>0</v>
      </c>
      <c r="AO285" s="734">
        <f t="shared" ca="1" si="346"/>
        <v>0</v>
      </c>
      <c r="AP285" s="734">
        <f t="shared" si="346"/>
        <v>0</v>
      </c>
      <c r="AQ285" s="734">
        <f t="shared" ca="1" si="346"/>
        <v>0</v>
      </c>
      <c r="AR285" s="734">
        <f t="shared" ca="1" si="346"/>
        <v>0</v>
      </c>
      <c r="AS285" s="734">
        <f t="shared" si="346"/>
        <v>0</v>
      </c>
      <c r="AT285" s="734">
        <f t="shared" ca="1" si="346"/>
        <v>0</v>
      </c>
      <c r="AU285" s="734">
        <f t="shared" ca="1" si="346"/>
        <v>0</v>
      </c>
      <c r="AV285" s="734">
        <f t="shared" si="346"/>
        <v>0</v>
      </c>
      <c r="AW285" s="734">
        <f t="shared" ca="1" si="346"/>
        <v>0</v>
      </c>
      <c r="AX285" s="734">
        <f t="shared" ca="1" si="346"/>
        <v>0</v>
      </c>
      <c r="AY285" s="734">
        <f t="shared" si="346"/>
        <v>0</v>
      </c>
      <c r="AZ285" s="734">
        <f t="shared" ca="1" si="346"/>
        <v>0</v>
      </c>
      <c r="BA285" s="734">
        <f t="shared" ca="1" si="346"/>
        <v>0</v>
      </c>
      <c r="BB285" s="734">
        <f t="shared" si="346"/>
        <v>0</v>
      </c>
      <c r="BC285" s="734">
        <f t="shared" ca="1" si="346"/>
        <v>0</v>
      </c>
      <c r="BD285" s="734">
        <f t="shared" ca="1" si="346"/>
        <v>0</v>
      </c>
      <c r="BE285" s="734">
        <f t="shared" si="346"/>
        <v>0</v>
      </c>
      <c r="BF285" s="734">
        <f t="shared" ca="1" si="346"/>
        <v>0</v>
      </c>
      <c r="BG285" s="734">
        <f t="shared" ca="1" si="346"/>
        <v>0</v>
      </c>
      <c r="BH285" s="734">
        <f t="shared" si="346"/>
        <v>0</v>
      </c>
      <c r="BI285" s="734">
        <f t="shared" ca="1" si="346"/>
        <v>0</v>
      </c>
      <c r="BJ285" s="734">
        <f t="shared" ca="1" si="346"/>
        <v>0</v>
      </c>
      <c r="BK285" s="734">
        <f t="shared" si="346"/>
        <v>0</v>
      </c>
      <c r="BL285" s="734">
        <f t="shared" ca="1" si="346"/>
        <v>0</v>
      </c>
      <c r="BM285" s="734">
        <f t="shared" ca="1" si="346"/>
        <v>0</v>
      </c>
      <c r="BN285" s="734">
        <f t="shared" ref="BN285:CS285" si="347">BN198+BN219+BN240+BN261+BN272</f>
        <v>0</v>
      </c>
      <c r="BO285" s="734">
        <f t="shared" ca="1" si="347"/>
        <v>0</v>
      </c>
      <c r="BP285" s="734">
        <f t="shared" ca="1" si="347"/>
        <v>140975.39763741646</v>
      </c>
      <c r="BQ285" s="734">
        <f t="shared" si="347"/>
        <v>100848.4818777046</v>
      </c>
      <c r="BR285" s="734">
        <f t="shared" ca="1" si="347"/>
        <v>40126.915759711846</v>
      </c>
      <c r="BS285" s="734">
        <f t="shared" ca="1" si="347"/>
        <v>0</v>
      </c>
      <c r="BT285" s="734">
        <f t="shared" si="347"/>
        <v>0</v>
      </c>
      <c r="BU285" s="734">
        <f t="shared" ca="1" si="347"/>
        <v>0</v>
      </c>
      <c r="BV285" s="734">
        <f t="shared" ca="1" si="347"/>
        <v>0</v>
      </c>
      <c r="BW285" s="734">
        <f t="shared" si="347"/>
        <v>0</v>
      </c>
      <c r="BX285" s="734">
        <f t="shared" ca="1" si="347"/>
        <v>0</v>
      </c>
      <c r="BY285" s="734">
        <f t="shared" ca="1" si="347"/>
        <v>0</v>
      </c>
      <c r="BZ285" s="734">
        <f t="shared" si="347"/>
        <v>0</v>
      </c>
      <c r="CA285" s="734">
        <f t="shared" ca="1" si="347"/>
        <v>0</v>
      </c>
      <c r="CB285" s="734">
        <f t="shared" ca="1" si="347"/>
        <v>0</v>
      </c>
      <c r="CC285" s="734">
        <f t="shared" si="347"/>
        <v>0</v>
      </c>
      <c r="CD285" s="734">
        <f t="shared" ca="1" si="347"/>
        <v>0</v>
      </c>
      <c r="CE285" s="734">
        <f t="shared" ca="1" si="347"/>
        <v>0</v>
      </c>
      <c r="CF285" s="734">
        <f t="shared" si="347"/>
        <v>0</v>
      </c>
      <c r="CG285" s="734">
        <f t="shared" ca="1" si="347"/>
        <v>0</v>
      </c>
      <c r="CH285" s="734">
        <f t="shared" ca="1" si="347"/>
        <v>0</v>
      </c>
      <c r="CI285" s="734">
        <f t="shared" si="347"/>
        <v>0</v>
      </c>
      <c r="CJ285" s="734">
        <f t="shared" ca="1" si="347"/>
        <v>0</v>
      </c>
      <c r="CK285" s="734">
        <f t="shared" ca="1" si="347"/>
        <v>0</v>
      </c>
      <c r="CL285" s="734">
        <f t="shared" si="347"/>
        <v>0</v>
      </c>
      <c r="CM285" s="734">
        <f t="shared" ca="1" si="347"/>
        <v>0</v>
      </c>
      <c r="CN285" s="734">
        <f t="shared" ca="1" si="347"/>
        <v>0</v>
      </c>
      <c r="CO285" s="734">
        <f t="shared" si="347"/>
        <v>0</v>
      </c>
      <c r="CP285" s="734">
        <f t="shared" ca="1" si="347"/>
        <v>0</v>
      </c>
      <c r="CQ285" s="734">
        <f t="shared" ca="1" si="347"/>
        <v>0</v>
      </c>
      <c r="CR285" s="734">
        <f t="shared" si="347"/>
        <v>0</v>
      </c>
      <c r="CS285" s="734">
        <f t="shared" ca="1" si="347"/>
        <v>0</v>
      </c>
      <c r="CT285" s="1290"/>
      <c r="CW285" s="970" t="s">
        <v>916</v>
      </c>
      <c r="CX285" s="975" t="s">
        <v>821</v>
      </c>
      <c r="CY285" s="979" t="str" cm="1">
        <f t="array" ref="CY285">AE285</f>
        <v>Уголь длиннопламенный</v>
      </c>
      <c r="CZ285" s="979" t="str" cm="1">
        <f t="array" ref="CZ285">AF285</f>
        <v/>
      </c>
      <c r="DA285" s="976"/>
      <c r="DB285" s="976"/>
    </row>
    <row r="286" spans="1:106" s="1229" customFormat="1" ht="16.5" customHeight="1">
      <c r="E286" s="676">
        <v>17.100000000000001</v>
      </c>
      <c r="F286" s="779" t="str" cm="1">
        <f t="array" aca="1" ref="F286" ca="1">OFFSET(G286,-1,-1)</f>
        <v>1</v>
      </c>
      <c r="L286" s="779" t="b" cm="1">
        <f t="array" aca="1" ref="L286" ca="1">OFFSET(M286,-1,-1)</f>
        <v>0</v>
      </c>
      <c r="S286" s="110" t="b" cm="1">
        <f t="array" aca="1" ref="S286" ca="1">OFFSET(T286,-1,-1)</f>
        <v>1</v>
      </c>
      <c r="T286" s="110" t="b">
        <f>AD286&lt;&gt;"40.0"</f>
        <v>1</v>
      </c>
      <c r="U286" s="698" t="b">
        <f t="shared" ca="1" si="343"/>
        <v>1</v>
      </c>
      <c r="X286" s="110" t="str">
        <f>'Топливо 4.4'!$AE$278&amp;'Топливо 4.4'!$AF$278</f>
        <v>Уголь бурый</v>
      </c>
      <c r="Y286" s="1722"/>
      <c r="Z286" s="1722"/>
      <c r="AB286" s="1764"/>
      <c r="AD286" s="111" t="s">
        <v>976</v>
      </c>
      <c r="AE286" s="821" t="str" cm="1">
        <f t="array" ref="AE286">IF(ISBLANK('Топливо 4.4'!$AE$278),"",'Топливо 4.4'!$AE$278)</f>
        <v>Уголь бурый</v>
      </c>
      <c r="AF286" s="524" t="str" cm="1">
        <f t="array" ref="AF286">IF(ISBLANK('Топливо 4.4'!$AF$278),"",'Топливо 4.4'!$AF$278)</f>
        <v/>
      </c>
      <c r="AG286" s="733" t="s">
        <v>839</v>
      </c>
      <c r="AH286" s="734">
        <f t="shared" ref="AH286:BM286" si="348">AH199+AH220+AH241+AH262+AH273</f>
        <v>0</v>
      </c>
      <c r="AI286" s="734">
        <f t="shared" si="348"/>
        <v>0</v>
      </c>
      <c r="AJ286" s="734">
        <f t="shared" si="348"/>
        <v>0</v>
      </c>
      <c r="AK286" s="734">
        <f t="shared" si="348"/>
        <v>6168.7339999649994</v>
      </c>
      <c r="AL286" s="734">
        <f t="shared" ca="1" si="348"/>
        <v>0</v>
      </c>
      <c r="AM286" s="734">
        <f t="shared" si="348"/>
        <v>0</v>
      </c>
      <c r="AN286" s="734">
        <f t="shared" ca="1" si="348"/>
        <v>0</v>
      </c>
      <c r="AO286" s="734">
        <f t="shared" ca="1" si="348"/>
        <v>0</v>
      </c>
      <c r="AP286" s="734">
        <f t="shared" si="348"/>
        <v>0</v>
      </c>
      <c r="AQ286" s="734">
        <f t="shared" ca="1" si="348"/>
        <v>0</v>
      </c>
      <c r="AR286" s="734">
        <f t="shared" ca="1" si="348"/>
        <v>0</v>
      </c>
      <c r="AS286" s="734">
        <f t="shared" si="348"/>
        <v>0</v>
      </c>
      <c r="AT286" s="734">
        <f t="shared" ca="1" si="348"/>
        <v>0</v>
      </c>
      <c r="AU286" s="734">
        <f t="shared" ca="1" si="348"/>
        <v>0</v>
      </c>
      <c r="AV286" s="734">
        <f t="shared" si="348"/>
        <v>0</v>
      </c>
      <c r="AW286" s="734">
        <f t="shared" ca="1" si="348"/>
        <v>0</v>
      </c>
      <c r="AX286" s="734">
        <f t="shared" ca="1" si="348"/>
        <v>0</v>
      </c>
      <c r="AY286" s="734">
        <f t="shared" si="348"/>
        <v>0</v>
      </c>
      <c r="AZ286" s="734">
        <f t="shared" ca="1" si="348"/>
        <v>0</v>
      </c>
      <c r="BA286" s="734">
        <f t="shared" ca="1" si="348"/>
        <v>0</v>
      </c>
      <c r="BB286" s="734">
        <f t="shared" si="348"/>
        <v>0</v>
      </c>
      <c r="BC286" s="734">
        <f t="shared" ca="1" si="348"/>
        <v>0</v>
      </c>
      <c r="BD286" s="734">
        <f t="shared" ca="1" si="348"/>
        <v>0</v>
      </c>
      <c r="BE286" s="734">
        <f t="shared" si="348"/>
        <v>0</v>
      </c>
      <c r="BF286" s="734">
        <f t="shared" ca="1" si="348"/>
        <v>0</v>
      </c>
      <c r="BG286" s="734">
        <f t="shared" ca="1" si="348"/>
        <v>0</v>
      </c>
      <c r="BH286" s="734">
        <f t="shared" si="348"/>
        <v>0</v>
      </c>
      <c r="BI286" s="734">
        <f t="shared" ca="1" si="348"/>
        <v>0</v>
      </c>
      <c r="BJ286" s="734">
        <f t="shared" ca="1" si="348"/>
        <v>0</v>
      </c>
      <c r="BK286" s="734">
        <f t="shared" si="348"/>
        <v>0</v>
      </c>
      <c r="BL286" s="734">
        <f t="shared" ca="1" si="348"/>
        <v>0</v>
      </c>
      <c r="BM286" s="734">
        <f t="shared" ca="1" si="348"/>
        <v>0</v>
      </c>
      <c r="BN286" s="734">
        <f t="shared" ref="BN286:CS286" si="349">BN199+BN220+BN241+BN262+BN273</f>
        <v>0</v>
      </c>
      <c r="BO286" s="734">
        <f t="shared" ca="1" si="349"/>
        <v>0</v>
      </c>
      <c r="BP286" s="734">
        <f t="shared" ca="1" si="349"/>
        <v>0</v>
      </c>
      <c r="BQ286" s="734">
        <f t="shared" si="349"/>
        <v>0</v>
      </c>
      <c r="BR286" s="734">
        <f t="shared" ca="1" si="349"/>
        <v>0</v>
      </c>
      <c r="BS286" s="734">
        <f t="shared" ca="1" si="349"/>
        <v>0</v>
      </c>
      <c r="BT286" s="734">
        <f t="shared" si="349"/>
        <v>0</v>
      </c>
      <c r="BU286" s="734">
        <f t="shared" ca="1" si="349"/>
        <v>0</v>
      </c>
      <c r="BV286" s="734">
        <f t="shared" ca="1" si="349"/>
        <v>0</v>
      </c>
      <c r="BW286" s="734">
        <f t="shared" si="349"/>
        <v>0</v>
      </c>
      <c r="BX286" s="734">
        <f t="shared" ca="1" si="349"/>
        <v>0</v>
      </c>
      <c r="BY286" s="734">
        <f t="shared" ca="1" si="349"/>
        <v>0</v>
      </c>
      <c r="BZ286" s="734">
        <f t="shared" si="349"/>
        <v>0</v>
      </c>
      <c r="CA286" s="734">
        <f t="shared" ca="1" si="349"/>
        <v>0</v>
      </c>
      <c r="CB286" s="734">
        <f t="shared" ca="1" si="349"/>
        <v>0</v>
      </c>
      <c r="CC286" s="734">
        <f t="shared" si="349"/>
        <v>0</v>
      </c>
      <c r="CD286" s="734">
        <f t="shared" ca="1" si="349"/>
        <v>0</v>
      </c>
      <c r="CE286" s="734">
        <f t="shared" ca="1" si="349"/>
        <v>0</v>
      </c>
      <c r="CF286" s="734">
        <f t="shared" si="349"/>
        <v>0</v>
      </c>
      <c r="CG286" s="734">
        <f t="shared" ca="1" si="349"/>
        <v>0</v>
      </c>
      <c r="CH286" s="734">
        <f t="shared" ca="1" si="349"/>
        <v>0</v>
      </c>
      <c r="CI286" s="734">
        <f t="shared" si="349"/>
        <v>0</v>
      </c>
      <c r="CJ286" s="734">
        <f t="shared" ca="1" si="349"/>
        <v>0</v>
      </c>
      <c r="CK286" s="734">
        <f t="shared" ca="1" si="349"/>
        <v>0</v>
      </c>
      <c r="CL286" s="734">
        <f t="shared" si="349"/>
        <v>0</v>
      </c>
      <c r="CM286" s="734">
        <f t="shared" ca="1" si="349"/>
        <v>0</v>
      </c>
      <c r="CN286" s="734">
        <f t="shared" ca="1" si="349"/>
        <v>0</v>
      </c>
      <c r="CO286" s="734">
        <f t="shared" si="349"/>
        <v>0</v>
      </c>
      <c r="CP286" s="734">
        <f t="shared" ca="1" si="349"/>
        <v>0</v>
      </c>
      <c r="CQ286" s="734">
        <f t="shared" ca="1" si="349"/>
        <v>0</v>
      </c>
      <c r="CR286" s="734">
        <f t="shared" si="349"/>
        <v>0</v>
      </c>
      <c r="CS286" s="734">
        <f t="shared" ca="1" si="349"/>
        <v>0</v>
      </c>
      <c r="CT286" s="1290"/>
      <c r="CW286" s="970" t="s">
        <v>916</v>
      </c>
      <c r="CX286" s="975" t="s">
        <v>821</v>
      </c>
      <c r="CY286" s="979" t="str" cm="1">
        <f t="array" ref="CY286">AE286</f>
        <v>Уголь бурый</v>
      </c>
      <c r="CZ286" s="979" t="str" cm="1">
        <f t="array" ref="CZ286">AF286</f>
        <v/>
      </c>
      <c r="DA286" s="976"/>
      <c r="DB286" s="976"/>
    </row>
    <row r="287" spans="1:106" s="1229" customFormat="1" ht="15" hidden="1" customHeight="1">
      <c r="A287" s="1155"/>
      <c r="B287" s="783"/>
      <c r="C287" s="1155"/>
      <c r="D287" s="1155"/>
      <c r="E287" s="676">
        <v>0</v>
      </c>
      <c r="F287" s="779" t="str" cm="1">
        <f t="array" aca="1" ref="F287" ca="1">OFFSET(G287,-1,-1)</f>
        <v>1</v>
      </c>
      <c r="G287" s="814"/>
      <c r="H287" s="814"/>
      <c r="I287" s="814"/>
      <c r="J287" s="814"/>
      <c r="K287" s="814"/>
      <c r="L287" s="779" t="b" cm="1">
        <f t="array" aca="1" ref="L287" ca="1">OFFSET(M287,-1,-1)</f>
        <v>0</v>
      </c>
      <c r="M287" s="814"/>
      <c r="N287" s="814"/>
      <c r="O287" s="814"/>
      <c r="P287" s="814"/>
      <c r="Q287" s="814"/>
      <c r="R287" s="1155"/>
      <c r="S287" s="110" t="b" cm="1">
        <f t="array" aca="1" ref="S287" ca="1">OFFSET(T287,-1,-1)</f>
        <v>1</v>
      </c>
      <c r="T287" s="1155"/>
      <c r="U287" s="698" t="b">
        <f t="shared" ca="1" si="343"/>
        <v>1</v>
      </c>
      <c r="V287" s="1155"/>
      <c r="W287" s="1155"/>
      <c r="X287" s="820" t="str">
        <f>"{                  
         funcDyn: 'msg1',
         blok: 'blok_2',
         wsCross: 'Топливо 4.4',
         linkFormula: 'AE-AE#AF-AF',
         levelDyn: "&amp;Y139&amp;"
}"</f>
        <v>{                  
         funcDyn: 'msg1',
         blok: 'blok_2',
         wsCross: 'Топливо 4.4',
         linkFormula: 'AE-AE#AF-AF',
         levelDyn: 1
}</v>
      </c>
      <c r="Y287" s="1687"/>
      <c r="Z287" s="1687"/>
      <c r="AA287" s="699"/>
      <c r="AB287" s="1764"/>
      <c r="AD287" s="823"/>
      <c r="AE287" s="822" t="s">
        <v>238</v>
      </c>
      <c r="AF287" s="745"/>
      <c r="AG287" s="733"/>
      <c r="AH287" s="735"/>
      <c r="AI287" s="737"/>
      <c r="AJ287" s="737"/>
      <c r="AK287" s="737"/>
      <c r="AL287" s="737"/>
      <c r="AM287" s="737"/>
      <c r="AN287" s="737"/>
      <c r="AO287" s="737"/>
      <c r="AP287" s="737"/>
      <c r="AQ287" s="737"/>
      <c r="AR287" s="737"/>
      <c r="AS287" s="737"/>
      <c r="AT287" s="737"/>
      <c r="AU287" s="737"/>
      <c r="AV287" s="737"/>
      <c r="AW287" s="737"/>
      <c r="AX287" s="737"/>
      <c r="AY287" s="737"/>
      <c r="AZ287" s="737"/>
      <c r="BA287" s="737"/>
      <c r="BB287" s="737"/>
      <c r="BC287" s="737"/>
      <c r="BD287" s="737"/>
      <c r="BE287" s="737"/>
      <c r="BF287" s="737"/>
      <c r="BG287" s="737"/>
      <c r="BH287" s="737"/>
      <c r="BI287" s="737"/>
      <c r="BJ287" s="737"/>
      <c r="BK287" s="737"/>
      <c r="BL287" s="737"/>
      <c r="BM287" s="737"/>
      <c r="BN287" s="737"/>
      <c r="BO287" s="737"/>
      <c r="BP287" s="737"/>
      <c r="BQ287" s="737"/>
      <c r="BR287" s="737"/>
      <c r="BS287" s="737"/>
      <c r="BT287" s="737"/>
      <c r="BU287" s="737"/>
      <c r="BV287" s="737"/>
      <c r="BW287" s="737"/>
      <c r="BX287" s="737"/>
      <c r="BY287" s="737"/>
      <c r="BZ287" s="737"/>
      <c r="CA287" s="737"/>
      <c r="CB287" s="737"/>
      <c r="CC287" s="737"/>
      <c r="CD287" s="737"/>
      <c r="CE287" s="737"/>
      <c r="CF287" s="737"/>
      <c r="CG287" s="737"/>
      <c r="CH287" s="737"/>
      <c r="CI287" s="737"/>
      <c r="CJ287" s="737"/>
      <c r="CK287" s="737"/>
      <c r="CL287" s="737"/>
      <c r="CM287" s="737"/>
      <c r="CN287" s="737"/>
      <c r="CO287" s="737"/>
      <c r="CP287" s="737"/>
      <c r="CQ287" s="737"/>
      <c r="CR287" s="737"/>
      <c r="CS287" s="737"/>
      <c r="CT287" s="46"/>
      <c r="CW287" s="970" t="str">
        <f>IF(AND(ISNUMBER(VALUE(TRIM(SUBSTITUTE(AD287,".","")))),TRIM(SUBSTITUTE(AD287,".",""))&lt;&gt;""),"P"&amp;SUBSTITUTE(AD287,".",""),"")</f>
        <v/>
      </c>
      <c r="CX287" s="975"/>
      <c r="CY287" s="975"/>
      <c r="CZ287" s="975"/>
      <c r="DA287" s="976"/>
      <c r="DB287" s="976"/>
    </row>
    <row r="288" spans="1:106" s="1229" customFormat="1" ht="16.5" customHeight="1">
      <c r="A288" s="1155"/>
      <c r="B288" s="783"/>
      <c r="C288" s="1155"/>
      <c r="D288" s="1155"/>
      <c r="E288" s="676">
        <v>17.100000000000001</v>
      </c>
      <c r="F288" s="779" t="str" cm="1">
        <f t="array" aca="1" ref="F288" ca="1">OFFSET(G288,-1,-1)</f>
        <v>1</v>
      </c>
      <c r="G288" s="814"/>
      <c r="H288" s="814"/>
      <c r="I288" s="814"/>
      <c r="J288" s="814"/>
      <c r="K288" s="814"/>
      <c r="L288" s="779" t="b" cm="1">
        <f t="array" aca="1" ref="L288" ca="1">OFFSET(M288,-1,-1)</f>
        <v>0</v>
      </c>
      <c r="M288" s="814"/>
      <c r="N288" s="814"/>
      <c r="O288" s="814"/>
      <c r="P288" s="814"/>
      <c r="Q288" s="814"/>
      <c r="R288" s="1155"/>
      <c r="S288" s="110" t="b" cm="1">
        <f t="array" aca="1" ref="S288" ca="1">OFFSET(T288,-1,-1)</f>
        <v>1</v>
      </c>
      <c r="T288" s="1155"/>
      <c r="U288" s="698" t="b">
        <f t="shared" ca="1" si="343"/>
        <v>1</v>
      </c>
      <c r="V288" s="1155"/>
      <c r="W288" s="1155"/>
      <c r="X288" s="1155"/>
      <c r="Y288" s="1687"/>
      <c r="Z288" s="1687"/>
      <c r="AA288" s="699"/>
      <c r="AB288" s="1764"/>
      <c r="AD288" s="124" t="s">
        <v>917</v>
      </c>
      <c r="AE288" s="1754" t="s">
        <v>918</v>
      </c>
      <c r="AF288" s="1734"/>
      <c r="AG288" s="733" t="s">
        <v>919</v>
      </c>
      <c r="AH288" s="734">
        <f t="shared" ref="AH288:BM288" si="350">IFERROR(AH280/AH164,0)*1000</f>
        <v>0</v>
      </c>
      <c r="AI288" s="734">
        <f t="shared" si="350"/>
        <v>0</v>
      </c>
      <c r="AJ288" s="734">
        <f t="shared" si="350"/>
        <v>0</v>
      </c>
      <c r="AK288" s="734">
        <f t="shared" si="350"/>
        <v>3992.1833227570705</v>
      </c>
      <c r="AL288" s="734">
        <f t="shared" ca="1" si="350"/>
        <v>0</v>
      </c>
      <c r="AM288" s="734">
        <f t="shared" si="350"/>
        <v>0</v>
      </c>
      <c r="AN288" s="734">
        <f t="shared" ca="1" si="350"/>
        <v>0</v>
      </c>
      <c r="AO288" s="734">
        <f t="shared" ca="1" si="350"/>
        <v>0</v>
      </c>
      <c r="AP288" s="734">
        <f t="shared" si="350"/>
        <v>0</v>
      </c>
      <c r="AQ288" s="734">
        <f t="shared" ca="1" si="350"/>
        <v>0</v>
      </c>
      <c r="AR288" s="734">
        <f t="shared" ca="1" si="350"/>
        <v>0</v>
      </c>
      <c r="AS288" s="734">
        <f t="shared" si="350"/>
        <v>0</v>
      </c>
      <c r="AT288" s="734">
        <f t="shared" ca="1" si="350"/>
        <v>0</v>
      </c>
      <c r="AU288" s="734">
        <f t="shared" ca="1" si="350"/>
        <v>0</v>
      </c>
      <c r="AV288" s="734">
        <f t="shared" si="350"/>
        <v>0</v>
      </c>
      <c r="AW288" s="734">
        <f t="shared" ca="1" si="350"/>
        <v>0</v>
      </c>
      <c r="AX288" s="734">
        <f t="shared" ca="1" si="350"/>
        <v>0</v>
      </c>
      <c r="AY288" s="734">
        <f t="shared" si="350"/>
        <v>0</v>
      </c>
      <c r="AZ288" s="734">
        <f t="shared" ca="1" si="350"/>
        <v>0</v>
      </c>
      <c r="BA288" s="734">
        <f t="shared" ca="1" si="350"/>
        <v>0</v>
      </c>
      <c r="BB288" s="734">
        <f t="shared" si="350"/>
        <v>0</v>
      </c>
      <c r="BC288" s="734">
        <f t="shared" ca="1" si="350"/>
        <v>0</v>
      </c>
      <c r="BD288" s="734">
        <f t="shared" ca="1" si="350"/>
        <v>0</v>
      </c>
      <c r="BE288" s="734">
        <f t="shared" si="350"/>
        <v>0</v>
      </c>
      <c r="BF288" s="734">
        <f t="shared" ca="1" si="350"/>
        <v>0</v>
      </c>
      <c r="BG288" s="734">
        <f t="shared" ca="1" si="350"/>
        <v>0</v>
      </c>
      <c r="BH288" s="734">
        <f t="shared" si="350"/>
        <v>0</v>
      </c>
      <c r="BI288" s="734">
        <f t="shared" ca="1" si="350"/>
        <v>0</v>
      </c>
      <c r="BJ288" s="734">
        <f t="shared" ca="1" si="350"/>
        <v>0</v>
      </c>
      <c r="BK288" s="734">
        <f t="shared" si="350"/>
        <v>0</v>
      </c>
      <c r="BL288" s="734">
        <f t="shared" ca="1" si="350"/>
        <v>0</v>
      </c>
      <c r="BM288" s="734">
        <f t="shared" ca="1" si="350"/>
        <v>0</v>
      </c>
      <c r="BN288" s="734">
        <f t="shared" ref="BN288:CS288" si="351">IFERROR(BN280/BN164,0)*1000</f>
        <v>0</v>
      </c>
      <c r="BO288" s="734">
        <f t="shared" ca="1" si="351"/>
        <v>0</v>
      </c>
      <c r="BP288" s="734">
        <f t="shared" ca="1" si="351"/>
        <v>4878.454885572497</v>
      </c>
      <c r="BQ288" s="734">
        <f t="shared" si="351"/>
        <v>4878.4548855677212</v>
      </c>
      <c r="BR288" s="734">
        <f t="shared" ca="1" si="351"/>
        <v>4878.4548855844978</v>
      </c>
      <c r="BS288" s="734">
        <f t="shared" ca="1" si="351"/>
        <v>0</v>
      </c>
      <c r="BT288" s="734">
        <f t="shared" si="351"/>
        <v>0</v>
      </c>
      <c r="BU288" s="734">
        <f t="shared" ca="1" si="351"/>
        <v>0</v>
      </c>
      <c r="BV288" s="734">
        <f t="shared" ca="1" si="351"/>
        <v>0</v>
      </c>
      <c r="BW288" s="734">
        <f t="shared" si="351"/>
        <v>0</v>
      </c>
      <c r="BX288" s="734">
        <f t="shared" ca="1" si="351"/>
        <v>0</v>
      </c>
      <c r="BY288" s="734">
        <f t="shared" ca="1" si="351"/>
        <v>0</v>
      </c>
      <c r="BZ288" s="734">
        <f t="shared" si="351"/>
        <v>0</v>
      </c>
      <c r="CA288" s="734">
        <f t="shared" ca="1" si="351"/>
        <v>0</v>
      </c>
      <c r="CB288" s="734">
        <f t="shared" ca="1" si="351"/>
        <v>0</v>
      </c>
      <c r="CC288" s="734">
        <f t="shared" si="351"/>
        <v>0</v>
      </c>
      <c r="CD288" s="734">
        <f t="shared" ca="1" si="351"/>
        <v>0</v>
      </c>
      <c r="CE288" s="734">
        <f t="shared" ca="1" si="351"/>
        <v>0</v>
      </c>
      <c r="CF288" s="734">
        <f t="shared" si="351"/>
        <v>0</v>
      </c>
      <c r="CG288" s="734">
        <f t="shared" ca="1" si="351"/>
        <v>0</v>
      </c>
      <c r="CH288" s="734">
        <f t="shared" ca="1" si="351"/>
        <v>0</v>
      </c>
      <c r="CI288" s="734">
        <f t="shared" si="351"/>
        <v>0</v>
      </c>
      <c r="CJ288" s="734">
        <f t="shared" ca="1" si="351"/>
        <v>0</v>
      </c>
      <c r="CK288" s="734">
        <f t="shared" ca="1" si="351"/>
        <v>0</v>
      </c>
      <c r="CL288" s="734">
        <f t="shared" si="351"/>
        <v>0</v>
      </c>
      <c r="CM288" s="734">
        <f t="shared" ca="1" si="351"/>
        <v>0</v>
      </c>
      <c r="CN288" s="734">
        <f t="shared" ca="1" si="351"/>
        <v>0</v>
      </c>
      <c r="CO288" s="734">
        <f t="shared" si="351"/>
        <v>0</v>
      </c>
      <c r="CP288" s="734">
        <f t="shared" ca="1" si="351"/>
        <v>0</v>
      </c>
      <c r="CQ288" s="734">
        <f t="shared" ca="1" si="351"/>
        <v>0</v>
      </c>
      <c r="CR288" s="734">
        <f t="shared" si="351"/>
        <v>0</v>
      </c>
      <c r="CS288" s="734">
        <f t="shared" ca="1" si="351"/>
        <v>0</v>
      </c>
      <c r="CT288" s="1290"/>
      <c r="CW288" s="970" t="s">
        <v>920</v>
      </c>
      <c r="CX288" s="975"/>
      <c r="CY288" s="975"/>
      <c r="CZ288" s="975"/>
      <c r="DA288" s="976"/>
      <c r="DB288" s="976"/>
    </row>
    <row r="289" spans="1:106" s="1229" customFormat="1" ht="16.5" hidden="1" customHeight="1">
      <c r="A289" s="1155"/>
      <c r="B289" s="783"/>
      <c r="C289" s="1155"/>
      <c r="D289" s="1155"/>
      <c r="E289" s="676">
        <v>17.100000000000001</v>
      </c>
      <c r="F289" s="779" t="str" cm="1">
        <f t="array" aca="1" ref="F289" ca="1">OFFSET(G289,-1,-1)</f>
        <v>1</v>
      </c>
      <c r="G289" s="814"/>
      <c r="H289" s="814"/>
      <c r="I289" s="814"/>
      <c r="J289" s="814"/>
      <c r="K289" s="814"/>
      <c r="L289" s="779" t="b" cm="1">
        <f t="array" aca="1" ref="L289" ca="1">OFFSET(M289,-1,-1)</f>
        <v>0</v>
      </c>
      <c r="M289" s="814"/>
      <c r="N289" s="814"/>
      <c r="O289" s="814"/>
      <c r="P289" s="814"/>
      <c r="Q289" s="814"/>
      <c r="R289" s="779" t="s">
        <v>759</v>
      </c>
      <c r="S289" s="110" t="b" cm="1">
        <f t="array" aca="1" ref="S289" ca="1">OFFSET(T289,-1,-1)</f>
        <v>1</v>
      </c>
      <c r="T289" s="110" t="b" cm="1">
        <f t="array" aca="1" ref="T289" ca="1">L289</f>
        <v>0</v>
      </c>
      <c r="U289" s="698" t="b">
        <f t="shared" ca="1" si="343"/>
        <v>0</v>
      </c>
      <c r="V289" s="1155"/>
      <c r="W289" s="1155"/>
      <c r="X289" s="1155"/>
      <c r="Y289" s="1687"/>
      <c r="Z289" s="1687"/>
      <c r="AA289" s="699"/>
      <c r="AB289" s="1764"/>
      <c r="AD289" s="111" t="str">
        <f>AD288&amp;".0"</f>
        <v>41.0</v>
      </c>
      <c r="AE289" s="1755" t="s">
        <v>770</v>
      </c>
      <c r="AF289" s="1756"/>
      <c r="AG289" s="733" t="s">
        <v>919</v>
      </c>
      <c r="AH289" s="734">
        <f t="shared" ref="AH289:BM289" si="352">IFERROR(AH281/AH165,0)*1000</f>
        <v>0</v>
      </c>
      <c r="AI289" s="734">
        <f t="shared" si="352"/>
        <v>0</v>
      </c>
      <c r="AJ289" s="734">
        <f t="shared" si="352"/>
        <v>0</v>
      </c>
      <c r="AK289" s="734">
        <f t="shared" si="352"/>
        <v>3992.1833227570705</v>
      </c>
      <c r="AL289" s="734">
        <f t="shared" ca="1" si="352"/>
        <v>0</v>
      </c>
      <c r="AM289" s="734">
        <f t="shared" si="352"/>
        <v>0</v>
      </c>
      <c r="AN289" s="734">
        <f t="shared" ca="1" si="352"/>
        <v>0</v>
      </c>
      <c r="AO289" s="734">
        <f t="shared" ca="1" si="352"/>
        <v>0</v>
      </c>
      <c r="AP289" s="734">
        <f t="shared" si="352"/>
        <v>0</v>
      </c>
      <c r="AQ289" s="734">
        <f t="shared" ca="1" si="352"/>
        <v>0</v>
      </c>
      <c r="AR289" s="734">
        <f t="shared" ca="1" si="352"/>
        <v>0</v>
      </c>
      <c r="AS289" s="734">
        <f t="shared" si="352"/>
        <v>0</v>
      </c>
      <c r="AT289" s="734">
        <f t="shared" ca="1" si="352"/>
        <v>0</v>
      </c>
      <c r="AU289" s="734">
        <f t="shared" ca="1" si="352"/>
        <v>0</v>
      </c>
      <c r="AV289" s="734">
        <f t="shared" si="352"/>
        <v>0</v>
      </c>
      <c r="AW289" s="734">
        <f t="shared" ca="1" si="352"/>
        <v>0</v>
      </c>
      <c r="AX289" s="734">
        <f t="shared" ca="1" si="352"/>
        <v>0</v>
      </c>
      <c r="AY289" s="734">
        <f t="shared" si="352"/>
        <v>0</v>
      </c>
      <c r="AZ289" s="734">
        <f t="shared" ca="1" si="352"/>
        <v>0</v>
      </c>
      <c r="BA289" s="734">
        <f t="shared" ca="1" si="352"/>
        <v>0</v>
      </c>
      <c r="BB289" s="734">
        <f t="shared" si="352"/>
        <v>0</v>
      </c>
      <c r="BC289" s="734">
        <f t="shared" ca="1" si="352"/>
        <v>0</v>
      </c>
      <c r="BD289" s="734">
        <f t="shared" ca="1" si="352"/>
        <v>0</v>
      </c>
      <c r="BE289" s="734">
        <f t="shared" si="352"/>
        <v>0</v>
      </c>
      <c r="BF289" s="734">
        <f t="shared" ca="1" si="352"/>
        <v>0</v>
      </c>
      <c r="BG289" s="734">
        <f t="shared" ca="1" si="352"/>
        <v>0</v>
      </c>
      <c r="BH289" s="734">
        <f t="shared" si="352"/>
        <v>0</v>
      </c>
      <c r="BI289" s="734">
        <f t="shared" ca="1" si="352"/>
        <v>0</v>
      </c>
      <c r="BJ289" s="734">
        <f t="shared" ca="1" si="352"/>
        <v>0</v>
      </c>
      <c r="BK289" s="734">
        <f t="shared" si="352"/>
        <v>0</v>
      </c>
      <c r="BL289" s="734">
        <f t="shared" ca="1" si="352"/>
        <v>0</v>
      </c>
      <c r="BM289" s="734">
        <f t="shared" ca="1" si="352"/>
        <v>0</v>
      </c>
      <c r="BN289" s="734">
        <f t="shared" ref="BN289:CS289" si="353">IFERROR(BN281/BN165,0)*1000</f>
        <v>0</v>
      </c>
      <c r="BO289" s="734">
        <f t="shared" ca="1" si="353"/>
        <v>0</v>
      </c>
      <c r="BP289" s="734">
        <f t="shared" ca="1" si="353"/>
        <v>4878.4548855724961</v>
      </c>
      <c r="BQ289" s="734">
        <f t="shared" si="353"/>
        <v>4878.4548855677212</v>
      </c>
      <c r="BR289" s="734">
        <f t="shared" ca="1" si="353"/>
        <v>4878.4548855844978</v>
      </c>
      <c r="BS289" s="734">
        <f t="shared" ca="1" si="353"/>
        <v>0</v>
      </c>
      <c r="BT289" s="734">
        <f t="shared" si="353"/>
        <v>0</v>
      </c>
      <c r="BU289" s="734">
        <f t="shared" ca="1" si="353"/>
        <v>0</v>
      </c>
      <c r="BV289" s="734">
        <f t="shared" ca="1" si="353"/>
        <v>0</v>
      </c>
      <c r="BW289" s="734">
        <f t="shared" si="353"/>
        <v>0</v>
      </c>
      <c r="BX289" s="734">
        <f t="shared" ca="1" si="353"/>
        <v>0</v>
      </c>
      <c r="BY289" s="734">
        <f t="shared" ca="1" si="353"/>
        <v>0</v>
      </c>
      <c r="BZ289" s="734">
        <f t="shared" si="353"/>
        <v>0</v>
      </c>
      <c r="CA289" s="734">
        <f t="shared" ca="1" si="353"/>
        <v>0</v>
      </c>
      <c r="CB289" s="734">
        <f t="shared" ca="1" si="353"/>
        <v>0</v>
      </c>
      <c r="CC289" s="734">
        <f t="shared" si="353"/>
        <v>0</v>
      </c>
      <c r="CD289" s="734">
        <f t="shared" ca="1" si="353"/>
        <v>0</v>
      </c>
      <c r="CE289" s="734">
        <f t="shared" ca="1" si="353"/>
        <v>0</v>
      </c>
      <c r="CF289" s="734">
        <f t="shared" si="353"/>
        <v>0</v>
      </c>
      <c r="CG289" s="734">
        <f t="shared" ca="1" si="353"/>
        <v>0</v>
      </c>
      <c r="CH289" s="734">
        <f t="shared" ca="1" si="353"/>
        <v>0</v>
      </c>
      <c r="CI289" s="734">
        <f t="shared" si="353"/>
        <v>0</v>
      </c>
      <c r="CJ289" s="734">
        <f t="shared" ca="1" si="353"/>
        <v>0</v>
      </c>
      <c r="CK289" s="734">
        <f t="shared" ca="1" si="353"/>
        <v>0</v>
      </c>
      <c r="CL289" s="734">
        <f t="shared" si="353"/>
        <v>0</v>
      </c>
      <c r="CM289" s="734">
        <f t="shared" ca="1" si="353"/>
        <v>0</v>
      </c>
      <c r="CN289" s="734">
        <f t="shared" ca="1" si="353"/>
        <v>0</v>
      </c>
      <c r="CO289" s="734">
        <f t="shared" si="353"/>
        <v>0</v>
      </c>
      <c r="CP289" s="734">
        <f t="shared" ca="1" si="353"/>
        <v>0</v>
      </c>
      <c r="CQ289" s="734">
        <f t="shared" ca="1" si="353"/>
        <v>0</v>
      </c>
      <c r="CR289" s="734">
        <f t="shared" si="353"/>
        <v>0</v>
      </c>
      <c r="CS289" s="734">
        <f t="shared" ca="1" si="353"/>
        <v>0</v>
      </c>
      <c r="CT289" s="28"/>
      <c r="CW289" s="970" t="s">
        <v>921</v>
      </c>
      <c r="CX289" s="975"/>
      <c r="CY289" s="975"/>
      <c r="CZ289" s="975"/>
      <c r="DA289" s="976"/>
      <c r="DB289" s="976"/>
    </row>
    <row r="290" spans="1:106" s="1229" customFormat="1" ht="16.5" hidden="1" customHeight="1">
      <c r="E290" s="676">
        <v>17.100000000000001</v>
      </c>
      <c r="F290" s="779" t="str" cm="1">
        <f t="array" aca="1" ref="F290" ca="1">OFFSET(G290,-1,-1)</f>
        <v>1</v>
      </c>
      <c r="L290" s="779" t="b" cm="1">
        <f t="array" aca="1" ref="L290" ca="1">OFFSET(M290,-1,-1)</f>
        <v>0</v>
      </c>
      <c r="S290" s="110" t="b" cm="1">
        <f t="array" aca="1" ref="S290" ca="1">OFFSET(T290,-1,-1)</f>
        <v>1</v>
      </c>
      <c r="T290" s="110" t="b">
        <f>AD290&lt;&gt;"41.0"</f>
        <v>0</v>
      </c>
      <c r="U290" s="698" t="b">
        <f t="shared" ca="1" si="343"/>
        <v>0</v>
      </c>
      <c r="X290" s="110" t="s">
        <v>236</v>
      </c>
      <c r="Y290" s="1722"/>
      <c r="Z290" s="1722"/>
      <c r="AB290" s="1764"/>
      <c r="AD290" s="111" t="s">
        <v>922</v>
      </c>
      <c r="AE290" s="821"/>
      <c r="AF290" s="524"/>
      <c r="AG290" s="733" t="s">
        <v>919</v>
      </c>
      <c r="AH290" s="734">
        <f t="shared" ref="AH290:BM290" si="354">IFERROR(AH284/AH166,0)*1000</f>
        <v>0</v>
      </c>
      <c r="AI290" s="734">
        <f t="shared" si="354"/>
        <v>0</v>
      </c>
      <c r="AJ290" s="734">
        <f t="shared" si="354"/>
        <v>0</v>
      </c>
      <c r="AK290" s="734">
        <f t="shared" si="354"/>
        <v>0</v>
      </c>
      <c r="AL290" s="734">
        <f t="shared" ca="1" si="354"/>
        <v>0</v>
      </c>
      <c r="AM290" s="734">
        <f t="shared" si="354"/>
        <v>0</v>
      </c>
      <c r="AN290" s="734">
        <f t="shared" ca="1" si="354"/>
        <v>0</v>
      </c>
      <c r="AO290" s="734">
        <f t="shared" ca="1" si="354"/>
        <v>0</v>
      </c>
      <c r="AP290" s="734">
        <f t="shared" si="354"/>
        <v>0</v>
      </c>
      <c r="AQ290" s="734">
        <f t="shared" ca="1" si="354"/>
        <v>0</v>
      </c>
      <c r="AR290" s="734">
        <f t="shared" ca="1" si="354"/>
        <v>0</v>
      </c>
      <c r="AS290" s="734">
        <f t="shared" si="354"/>
        <v>0</v>
      </c>
      <c r="AT290" s="734">
        <f t="shared" ca="1" si="354"/>
        <v>0</v>
      </c>
      <c r="AU290" s="734">
        <f t="shared" ca="1" si="354"/>
        <v>0</v>
      </c>
      <c r="AV290" s="734">
        <f t="shared" si="354"/>
        <v>0</v>
      </c>
      <c r="AW290" s="734">
        <f t="shared" ca="1" si="354"/>
        <v>0</v>
      </c>
      <c r="AX290" s="734">
        <f t="shared" ca="1" si="354"/>
        <v>0</v>
      </c>
      <c r="AY290" s="734">
        <f t="shared" si="354"/>
        <v>0</v>
      </c>
      <c r="AZ290" s="734">
        <f t="shared" ca="1" si="354"/>
        <v>0</v>
      </c>
      <c r="BA290" s="734">
        <f t="shared" ca="1" si="354"/>
        <v>0</v>
      </c>
      <c r="BB290" s="734">
        <f t="shared" si="354"/>
        <v>0</v>
      </c>
      <c r="BC290" s="734">
        <f t="shared" ca="1" si="354"/>
        <v>0</v>
      </c>
      <c r="BD290" s="734">
        <f t="shared" ca="1" si="354"/>
        <v>0</v>
      </c>
      <c r="BE290" s="734">
        <f t="shared" si="354"/>
        <v>0</v>
      </c>
      <c r="BF290" s="734">
        <f t="shared" ca="1" si="354"/>
        <v>0</v>
      </c>
      <c r="BG290" s="734">
        <f t="shared" ca="1" si="354"/>
        <v>0</v>
      </c>
      <c r="BH290" s="734">
        <f t="shared" si="354"/>
        <v>0</v>
      </c>
      <c r="BI290" s="734">
        <f t="shared" ca="1" si="354"/>
        <v>0</v>
      </c>
      <c r="BJ290" s="734">
        <f t="shared" ca="1" si="354"/>
        <v>0</v>
      </c>
      <c r="BK290" s="734">
        <f t="shared" si="354"/>
        <v>0</v>
      </c>
      <c r="BL290" s="734">
        <f t="shared" ca="1" si="354"/>
        <v>0</v>
      </c>
      <c r="BM290" s="734">
        <f t="shared" ca="1" si="354"/>
        <v>0</v>
      </c>
      <c r="BN290" s="734">
        <f t="shared" ref="BN290:CS290" si="355">IFERROR(BN284/BN166,0)*1000</f>
        <v>0</v>
      </c>
      <c r="BO290" s="734">
        <f t="shared" ca="1" si="355"/>
        <v>0</v>
      </c>
      <c r="BP290" s="734">
        <f t="shared" ca="1" si="355"/>
        <v>0</v>
      </c>
      <c r="BQ290" s="734">
        <f t="shared" si="355"/>
        <v>0</v>
      </c>
      <c r="BR290" s="734">
        <f t="shared" ca="1" si="355"/>
        <v>0</v>
      </c>
      <c r="BS290" s="734">
        <f t="shared" ca="1" si="355"/>
        <v>0</v>
      </c>
      <c r="BT290" s="734">
        <f t="shared" si="355"/>
        <v>0</v>
      </c>
      <c r="BU290" s="734">
        <f t="shared" ca="1" si="355"/>
        <v>0</v>
      </c>
      <c r="BV290" s="734">
        <f t="shared" ca="1" si="355"/>
        <v>0</v>
      </c>
      <c r="BW290" s="734">
        <f t="shared" si="355"/>
        <v>0</v>
      </c>
      <c r="BX290" s="734">
        <f t="shared" ca="1" si="355"/>
        <v>0</v>
      </c>
      <c r="BY290" s="734">
        <f t="shared" ca="1" si="355"/>
        <v>0</v>
      </c>
      <c r="BZ290" s="734">
        <f t="shared" si="355"/>
        <v>0</v>
      </c>
      <c r="CA290" s="734">
        <f t="shared" ca="1" si="355"/>
        <v>0</v>
      </c>
      <c r="CB290" s="734">
        <f t="shared" ca="1" si="355"/>
        <v>0</v>
      </c>
      <c r="CC290" s="734">
        <f t="shared" si="355"/>
        <v>0</v>
      </c>
      <c r="CD290" s="734">
        <f t="shared" ca="1" si="355"/>
        <v>0</v>
      </c>
      <c r="CE290" s="734">
        <f t="shared" ca="1" si="355"/>
        <v>0</v>
      </c>
      <c r="CF290" s="734">
        <f t="shared" si="355"/>
        <v>0</v>
      </c>
      <c r="CG290" s="734">
        <f t="shared" ca="1" si="355"/>
        <v>0</v>
      </c>
      <c r="CH290" s="734">
        <f t="shared" ca="1" si="355"/>
        <v>0</v>
      </c>
      <c r="CI290" s="734">
        <f t="shared" si="355"/>
        <v>0</v>
      </c>
      <c r="CJ290" s="734">
        <f t="shared" ca="1" si="355"/>
        <v>0</v>
      </c>
      <c r="CK290" s="734">
        <f t="shared" ca="1" si="355"/>
        <v>0</v>
      </c>
      <c r="CL290" s="734">
        <f t="shared" si="355"/>
        <v>0</v>
      </c>
      <c r="CM290" s="734">
        <f t="shared" ca="1" si="355"/>
        <v>0</v>
      </c>
      <c r="CN290" s="734">
        <f t="shared" ca="1" si="355"/>
        <v>0</v>
      </c>
      <c r="CO290" s="734">
        <f t="shared" si="355"/>
        <v>0</v>
      </c>
      <c r="CP290" s="734">
        <f t="shared" ca="1" si="355"/>
        <v>0</v>
      </c>
      <c r="CQ290" s="734">
        <f t="shared" ca="1" si="355"/>
        <v>0</v>
      </c>
      <c r="CR290" s="734">
        <f t="shared" si="355"/>
        <v>0</v>
      </c>
      <c r="CS290" s="734">
        <f t="shared" ca="1" si="355"/>
        <v>0</v>
      </c>
      <c r="CT290" s="28"/>
      <c r="CW290" s="970" t="s">
        <v>921</v>
      </c>
      <c r="CX290" s="975" t="s">
        <v>821</v>
      </c>
      <c r="CY290" s="979" cm="1">
        <f t="array" ref="CY290">AE290</f>
        <v>0</v>
      </c>
      <c r="CZ290" s="979" cm="1">
        <f t="array" ref="CZ290">AF290</f>
        <v>0</v>
      </c>
      <c r="DA290" s="976"/>
      <c r="DB290" s="976"/>
    </row>
    <row r="291" spans="1:106" s="1229" customFormat="1" ht="16.5" customHeight="1">
      <c r="E291" s="676">
        <v>17.100000000000001</v>
      </c>
      <c r="F291" s="779" t="str" cm="1">
        <f t="array" aca="1" ref="F291" ca="1">OFFSET(G291,-1,-1)</f>
        <v>1</v>
      </c>
      <c r="L291" s="779" t="b" cm="1">
        <f t="array" aca="1" ref="L291" ca="1">OFFSET(M291,-1,-1)</f>
        <v>0</v>
      </c>
      <c r="S291" s="110" t="b" cm="1">
        <f t="array" aca="1" ref="S291" ca="1">OFFSET(T291,-1,-1)</f>
        <v>1</v>
      </c>
      <c r="T291" s="110" t="b">
        <f>AD291&lt;&gt;"41.0"</f>
        <v>1</v>
      </c>
      <c r="U291" s="698" t="b">
        <f t="shared" ca="1" si="343"/>
        <v>1</v>
      </c>
      <c r="X291" s="110" t="str">
        <f>'Топливо 4.4'!$AE$285&amp;'Топливо 4.4'!$AF$285</f>
        <v>Уголь длиннопламенный</v>
      </c>
      <c r="Y291" s="1722"/>
      <c r="Z291" s="1722"/>
      <c r="AB291" s="1764"/>
      <c r="AD291" s="111" t="s">
        <v>977</v>
      </c>
      <c r="AE291" s="821" t="str" cm="1">
        <f t="array" ref="AE291">IF(ISBLANK('Топливо 4.4'!$AE$285),"",'Топливо 4.4'!$AE$285)</f>
        <v>Уголь длиннопламенный</v>
      </c>
      <c r="AF291" s="524" t="str" cm="1">
        <f t="array" ref="AF291">IF(ISBLANK('Топливо 4.4'!$AF$285),"",'Топливо 4.4'!$AF$285)</f>
        <v/>
      </c>
      <c r="AG291" s="733" t="s">
        <v>919</v>
      </c>
      <c r="AH291" s="734">
        <f t="shared" ref="AH291:BM291" si="356">IFERROR(AH285/AH167,0)*1000</f>
        <v>0</v>
      </c>
      <c r="AI291" s="734">
        <f t="shared" si="356"/>
        <v>0</v>
      </c>
      <c r="AJ291" s="734">
        <f t="shared" si="356"/>
        <v>0</v>
      </c>
      <c r="AK291" s="734">
        <f t="shared" si="356"/>
        <v>3864.7276200413171</v>
      </c>
      <c r="AL291" s="734">
        <f t="shared" ca="1" si="356"/>
        <v>0</v>
      </c>
      <c r="AM291" s="734">
        <f t="shared" si="356"/>
        <v>0</v>
      </c>
      <c r="AN291" s="734">
        <f t="shared" ca="1" si="356"/>
        <v>0</v>
      </c>
      <c r="AO291" s="734">
        <f t="shared" ca="1" si="356"/>
        <v>0</v>
      </c>
      <c r="AP291" s="734">
        <f t="shared" si="356"/>
        <v>0</v>
      </c>
      <c r="AQ291" s="734">
        <f t="shared" ca="1" si="356"/>
        <v>0</v>
      </c>
      <c r="AR291" s="734">
        <f t="shared" ca="1" si="356"/>
        <v>0</v>
      </c>
      <c r="AS291" s="734">
        <f t="shared" si="356"/>
        <v>0</v>
      </c>
      <c r="AT291" s="734">
        <f t="shared" ca="1" si="356"/>
        <v>0</v>
      </c>
      <c r="AU291" s="734">
        <f t="shared" ca="1" si="356"/>
        <v>0</v>
      </c>
      <c r="AV291" s="734">
        <f t="shared" si="356"/>
        <v>0</v>
      </c>
      <c r="AW291" s="734">
        <f t="shared" ca="1" si="356"/>
        <v>0</v>
      </c>
      <c r="AX291" s="734">
        <f t="shared" ca="1" si="356"/>
        <v>0</v>
      </c>
      <c r="AY291" s="734">
        <f t="shared" si="356"/>
        <v>0</v>
      </c>
      <c r="AZ291" s="734">
        <f t="shared" ca="1" si="356"/>
        <v>0</v>
      </c>
      <c r="BA291" s="734">
        <f t="shared" ca="1" si="356"/>
        <v>0</v>
      </c>
      <c r="BB291" s="734">
        <f t="shared" si="356"/>
        <v>0</v>
      </c>
      <c r="BC291" s="734">
        <f t="shared" ca="1" si="356"/>
        <v>0</v>
      </c>
      <c r="BD291" s="734">
        <f t="shared" ca="1" si="356"/>
        <v>0</v>
      </c>
      <c r="BE291" s="734">
        <f t="shared" si="356"/>
        <v>0</v>
      </c>
      <c r="BF291" s="734">
        <f t="shared" ca="1" si="356"/>
        <v>0</v>
      </c>
      <c r="BG291" s="734">
        <f t="shared" ca="1" si="356"/>
        <v>0</v>
      </c>
      <c r="BH291" s="734">
        <f t="shared" si="356"/>
        <v>0</v>
      </c>
      <c r="BI291" s="734">
        <f t="shared" ca="1" si="356"/>
        <v>0</v>
      </c>
      <c r="BJ291" s="734">
        <f t="shared" ca="1" si="356"/>
        <v>0</v>
      </c>
      <c r="BK291" s="734">
        <f t="shared" si="356"/>
        <v>0</v>
      </c>
      <c r="BL291" s="734">
        <f t="shared" ca="1" si="356"/>
        <v>0</v>
      </c>
      <c r="BM291" s="734">
        <f t="shared" ca="1" si="356"/>
        <v>0</v>
      </c>
      <c r="BN291" s="734">
        <f t="shared" ref="BN291:CS291" si="357">IFERROR(BN285/BN167,0)*1000</f>
        <v>0</v>
      </c>
      <c r="BO291" s="734">
        <f t="shared" ca="1" si="357"/>
        <v>0</v>
      </c>
      <c r="BP291" s="734">
        <f t="shared" ca="1" si="357"/>
        <v>4878.454885572497</v>
      </c>
      <c r="BQ291" s="734">
        <f t="shared" si="357"/>
        <v>4878.4548855677212</v>
      </c>
      <c r="BR291" s="734">
        <f t="shared" ca="1" si="357"/>
        <v>4878.4548855844978</v>
      </c>
      <c r="BS291" s="734">
        <f t="shared" ca="1" si="357"/>
        <v>0</v>
      </c>
      <c r="BT291" s="734">
        <f t="shared" si="357"/>
        <v>0</v>
      </c>
      <c r="BU291" s="734">
        <f t="shared" ca="1" si="357"/>
        <v>0</v>
      </c>
      <c r="BV291" s="734">
        <f t="shared" ca="1" si="357"/>
        <v>0</v>
      </c>
      <c r="BW291" s="734">
        <f t="shared" si="357"/>
        <v>0</v>
      </c>
      <c r="BX291" s="734">
        <f t="shared" ca="1" si="357"/>
        <v>0</v>
      </c>
      <c r="BY291" s="734">
        <f t="shared" ca="1" si="357"/>
        <v>0</v>
      </c>
      <c r="BZ291" s="734">
        <f t="shared" si="357"/>
        <v>0</v>
      </c>
      <c r="CA291" s="734">
        <f t="shared" ca="1" si="357"/>
        <v>0</v>
      </c>
      <c r="CB291" s="734">
        <f t="shared" ca="1" si="357"/>
        <v>0</v>
      </c>
      <c r="CC291" s="734">
        <f t="shared" si="357"/>
        <v>0</v>
      </c>
      <c r="CD291" s="734">
        <f t="shared" ca="1" si="357"/>
        <v>0</v>
      </c>
      <c r="CE291" s="734">
        <f t="shared" ca="1" si="357"/>
        <v>0</v>
      </c>
      <c r="CF291" s="734">
        <f t="shared" si="357"/>
        <v>0</v>
      </c>
      <c r="CG291" s="734">
        <f t="shared" ca="1" si="357"/>
        <v>0</v>
      </c>
      <c r="CH291" s="734">
        <f t="shared" ca="1" si="357"/>
        <v>0</v>
      </c>
      <c r="CI291" s="734">
        <f t="shared" si="357"/>
        <v>0</v>
      </c>
      <c r="CJ291" s="734">
        <f t="shared" ca="1" si="357"/>
        <v>0</v>
      </c>
      <c r="CK291" s="734">
        <f t="shared" ca="1" si="357"/>
        <v>0</v>
      </c>
      <c r="CL291" s="734">
        <f t="shared" si="357"/>
        <v>0</v>
      </c>
      <c r="CM291" s="734">
        <f t="shared" ca="1" si="357"/>
        <v>0</v>
      </c>
      <c r="CN291" s="734">
        <f t="shared" ca="1" si="357"/>
        <v>0</v>
      </c>
      <c r="CO291" s="734">
        <f t="shared" si="357"/>
        <v>0</v>
      </c>
      <c r="CP291" s="734">
        <f t="shared" ca="1" si="357"/>
        <v>0</v>
      </c>
      <c r="CQ291" s="734">
        <f t="shared" ca="1" si="357"/>
        <v>0</v>
      </c>
      <c r="CR291" s="734">
        <f t="shared" si="357"/>
        <v>0</v>
      </c>
      <c r="CS291" s="734">
        <f t="shared" ca="1" si="357"/>
        <v>0</v>
      </c>
      <c r="CT291" s="1290"/>
      <c r="CW291" s="970" t="s">
        <v>921</v>
      </c>
      <c r="CX291" s="975" t="s">
        <v>821</v>
      </c>
      <c r="CY291" s="979" t="str" cm="1">
        <f t="array" ref="CY291">AE291</f>
        <v>Уголь длиннопламенный</v>
      </c>
      <c r="CZ291" s="979" t="str" cm="1">
        <f t="array" ref="CZ291">AF291</f>
        <v/>
      </c>
      <c r="DA291" s="976"/>
      <c r="DB291" s="976"/>
    </row>
    <row r="292" spans="1:106" s="1229" customFormat="1" ht="16.5" customHeight="1">
      <c r="E292" s="676">
        <v>17.100000000000001</v>
      </c>
      <c r="F292" s="779" t="str" cm="1">
        <f t="array" aca="1" ref="F292" ca="1">OFFSET(G292,-1,-1)</f>
        <v>1</v>
      </c>
      <c r="L292" s="779" t="b" cm="1">
        <f t="array" aca="1" ref="L292" ca="1">OFFSET(M292,-1,-1)</f>
        <v>0</v>
      </c>
      <c r="S292" s="110" t="b" cm="1">
        <f t="array" aca="1" ref="S292" ca="1">OFFSET(T292,-1,-1)</f>
        <v>1</v>
      </c>
      <c r="T292" s="110" t="b">
        <f>AD292&lt;&gt;"41.0"</f>
        <v>1</v>
      </c>
      <c r="U292" s="698" t="b">
        <f t="shared" ca="1" si="343"/>
        <v>1</v>
      </c>
      <c r="X292" s="110" t="str">
        <f>'Топливо 4.4'!$AE$286&amp;'Топливо 4.4'!$AF$286</f>
        <v>Уголь бурый</v>
      </c>
      <c r="Y292" s="1722"/>
      <c r="Z292" s="1722"/>
      <c r="AB292" s="1764"/>
      <c r="AD292" s="111" t="s">
        <v>978</v>
      </c>
      <c r="AE292" s="821" t="str" cm="1">
        <f t="array" ref="AE292">IF(ISBLANK('Топливо 4.4'!$AE$286),"",'Топливо 4.4'!$AE$286)</f>
        <v>Уголь бурый</v>
      </c>
      <c r="AF292" s="524" t="str" cm="1">
        <f t="array" ref="AF292">IF(ISBLANK('Топливо 4.4'!$AF$286),"",'Топливо 4.4'!$AF$286)</f>
        <v/>
      </c>
      <c r="AG292" s="733" t="s">
        <v>919</v>
      </c>
      <c r="AH292" s="734">
        <f t="shared" ref="AH292:BM292" si="358">IFERROR(AH286/AH168,0)*1000</f>
        <v>0</v>
      </c>
      <c r="AI292" s="734">
        <f t="shared" si="358"/>
        <v>0</v>
      </c>
      <c r="AJ292" s="734">
        <f t="shared" si="358"/>
        <v>0</v>
      </c>
      <c r="AK292" s="734">
        <f t="shared" si="358"/>
        <v>9599.3334772126909</v>
      </c>
      <c r="AL292" s="734">
        <f t="shared" ca="1" si="358"/>
        <v>0</v>
      </c>
      <c r="AM292" s="734">
        <f t="shared" si="358"/>
        <v>0</v>
      </c>
      <c r="AN292" s="734">
        <f t="shared" ca="1" si="358"/>
        <v>0</v>
      </c>
      <c r="AO292" s="734">
        <f t="shared" ca="1" si="358"/>
        <v>0</v>
      </c>
      <c r="AP292" s="734">
        <f t="shared" si="358"/>
        <v>0</v>
      </c>
      <c r="AQ292" s="734">
        <f t="shared" ca="1" si="358"/>
        <v>0</v>
      </c>
      <c r="AR292" s="734">
        <f t="shared" ca="1" si="358"/>
        <v>0</v>
      </c>
      <c r="AS292" s="734">
        <f t="shared" si="358"/>
        <v>0</v>
      </c>
      <c r="AT292" s="734">
        <f t="shared" ca="1" si="358"/>
        <v>0</v>
      </c>
      <c r="AU292" s="734">
        <f t="shared" ca="1" si="358"/>
        <v>0</v>
      </c>
      <c r="AV292" s="734">
        <f t="shared" si="358"/>
        <v>0</v>
      </c>
      <c r="AW292" s="734">
        <f t="shared" ca="1" si="358"/>
        <v>0</v>
      </c>
      <c r="AX292" s="734">
        <f t="shared" ca="1" si="358"/>
        <v>0</v>
      </c>
      <c r="AY292" s="734">
        <f t="shared" si="358"/>
        <v>0</v>
      </c>
      <c r="AZ292" s="734">
        <f t="shared" ca="1" si="358"/>
        <v>0</v>
      </c>
      <c r="BA292" s="734">
        <f t="shared" ca="1" si="358"/>
        <v>0</v>
      </c>
      <c r="BB292" s="734">
        <f t="shared" si="358"/>
        <v>0</v>
      </c>
      <c r="BC292" s="734">
        <f t="shared" ca="1" si="358"/>
        <v>0</v>
      </c>
      <c r="BD292" s="734">
        <f t="shared" ca="1" si="358"/>
        <v>0</v>
      </c>
      <c r="BE292" s="734">
        <f t="shared" si="358"/>
        <v>0</v>
      </c>
      <c r="BF292" s="734">
        <f t="shared" ca="1" si="358"/>
        <v>0</v>
      </c>
      <c r="BG292" s="734">
        <f t="shared" ca="1" si="358"/>
        <v>0</v>
      </c>
      <c r="BH292" s="734">
        <f t="shared" si="358"/>
        <v>0</v>
      </c>
      <c r="BI292" s="734">
        <f t="shared" ca="1" si="358"/>
        <v>0</v>
      </c>
      <c r="BJ292" s="734">
        <f t="shared" ca="1" si="358"/>
        <v>0</v>
      </c>
      <c r="BK292" s="734">
        <f t="shared" si="358"/>
        <v>0</v>
      </c>
      <c r="BL292" s="734">
        <f t="shared" ca="1" si="358"/>
        <v>0</v>
      </c>
      <c r="BM292" s="734">
        <f t="shared" ca="1" si="358"/>
        <v>0</v>
      </c>
      <c r="BN292" s="734">
        <f t="shared" ref="BN292:CS292" si="359">IFERROR(BN286/BN168,0)*1000</f>
        <v>0</v>
      </c>
      <c r="BO292" s="734">
        <f t="shared" ca="1" si="359"/>
        <v>0</v>
      </c>
      <c r="BP292" s="734">
        <f t="shared" ca="1" si="359"/>
        <v>0</v>
      </c>
      <c r="BQ292" s="734">
        <f t="shared" si="359"/>
        <v>0</v>
      </c>
      <c r="BR292" s="734">
        <f t="shared" ca="1" si="359"/>
        <v>0</v>
      </c>
      <c r="BS292" s="734">
        <f t="shared" ca="1" si="359"/>
        <v>0</v>
      </c>
      <c r="BT292" s="734">
        <f t="shared" si="359"/>
        <v>0</v>
      </c>
      <c r="BU292" s="734">
        <f t="shared" ca="1" si="359"/>
        <v>0</v>
      </c>
      <c r="BV292" s="734">
        <f t="shared" ca="1" si="359"/>
        <v>0</v>
      </c>
      <c r="BW292" s="734">
        <f t="shared" si="359"/>
        <v>0</v>
      </c>
      <c r="BX292" s="734">
        <f t="shared" ca="1" si="359"/>
        <v>0</v>
      </c>
      <c r="BY292" s="734">
        <f t="shared" ca="1" si="359"/>
        <v>0</v>
      </c>
      <c r="BZ292" s="734">
        <f t="shared" si="359"/>
        <v>0</v>
      </c>
      <c r="CA292" s="734">
        <f t="shared" ca="1" si="359"/>
        <v>0</v>
      </c>
      <c r="CB292" s="734">
        <f t="shared" ca="1" si="359"/>
        <v>0</v>
      </c>
      <c r="CC292" s="734">
        <f t="shared" si="359"/>
        <v>0</v>
      </c>
      <c r="CD292" s="734">
        <f t="shared" ca="1" si="359"/>
        <v>0</v>
      </c>
      <c r="CE292" s="734">
        <f t="shared" ca="1" si="359"/>
        <v>0</v>
      </c>
      <c r="CF292" s="734">
        <f t="shared" si="359"/>
        <v>0</v>
      </c>
      <c r="CG292" s="734">
        <f t="shared" ca="1" si="359"/>
        <v>0</v>
      </c>
      <c r="CH292" s="734">
        <f t="shared" ca="1" si="359"/>
        <v>0</v>
      </c>
      <c r="CI292" s="734">
        <f t="shared" si="359"/>
        <v>0</v>
      </c>
      <c r="CJ292" s="734">
        <f t="shared" ca="1" si="359"/>
        <v>0</v>
      </c>
      <c r="CK292" s="734">
        <f t="shared" ca="1" si="359"/>
        <v>0</v>
      </c>
      <c r="CL292" s="734">
        <f t="shared" si="359"/>
        <v>0</v>
      </c>
      <c r="CM292" s="734">
        <f t="shared" ca="1" si="359"/>
        <v>0</v>
      </c>
      <c r="CN292" s="734">
        <f t="shared" ca="1" si="359"/>
        <v>0</v>
      </c>
      <c r="CO292" s="734">
        <f t="shared" si="359"/>
        <v>0</v>
      </c>
      <c r="CP292" s="734">
        <f t="shared" ca="1" si="359"/>
        <v>0</v>
      </c>
      <c r="CQ292" s="734">
        <f t="shared" ca="1" si="359"/>
        <v>0</v>
      </c>
      <c r="CR292" s="734">
        <f t="shared" si="359"/>
        <v>0</v>
      </c>
      <c r="CS292" s="734">
        <f t="shared" ca="1" si="359"/>
        <v>0</v>
      </c>
      <c r="CT292" s="1290"/>
      <c r="CW292" s="970" t="s">
        <v>921</v>
      </c>
      <c r="CX292" s="975" t="s">
        <v>821</v>
      </c>
      <c r="CY292" s="979" t="str" cm="1">
        <f t="array" ref="CY292">AE292</f>
        <v>Уголь бурый</v>
      </c>
      <c r="CZ292" s="979" t="str" cm="1">
        <f t="array" ref="CZ292">AF292</f>
        <v/>
      </c>
      <c r="DA292" s="976"/>
      <c r="DB292" s="976"/>
    </row>
    <row r="293" spans="1:106" s="1229" customFormat="1" ht="15" hidden="1" customHeight="1">
      <c r="A293" s="1155"/>
      <c r="B293" s="783"/>
      <c r="C293" s="1155"/>
      <c r="D293" s="1155"/>
      <c r="E293" s="676">
        <v>0</v>
      </c>
      <c r="F293" s="779" t="str" cm="1">
        <f t="array" aca="1" ref="F293" ca="1">OFFSET(G293,-1,-1)</f>
        <v>1</v>
      </c>
      <c r="G293" s="814"/>
      <c r="H293" s="814"/>
      <c r="I293" s="814"/>
      <c r="J293" s="814"/>
      <c r="K293" s="814"/>
      <c r="L293" s="779" t="b" cm="1">
        <f t="array" aca="1" ref="L293" ca="1">OFFSET(M293,-1,-1)</f>
        <v>0</v>
      </c>
      <c r="M293" s="814"/>
      <c r="N293" s="814"/>
      <c r="O293" s="814"/>
      <c r="P293" s="814"/>
      <c r="Q293" s="814"/>
      <c r="R293" s="1155"/>
      <c r="S293" s="110" t="b" cm="1">
        <f t="array" aca="1" ref="S293" ca="1">OFFSET(T293,-1,-1)</f>
        <v>1</v>
      </c>
      <c r="T293" s="1155"/>
      <c r="U293" s="698" t="b">
        <f t="shared" ca="1" si="343"/>
        <v>1</v>
      </c>
      <c r="V293" s="1155"/>
      <c r="W293" s="1155"/>
      <c r="X293" s="820" t="str">
        <f>"{                  
         funcDyn: 'msg1',
         blok: 'blok_2',
         wsCross: 'Топливо 4.4',
         linkFormula: 'AE-AE#AF-AF',
         levelDyn: "&amp;Y139&amp;"
}"</f>
        <v>{                  
         funcDyn: 'msg1',
         blok: 'blok_2',
         wsCross: 'Топливо 4.4',
         linkFormula: 'AE-AE#AF-AF',
         levelDyn: 1
}</v>
      </c>
      <c r="Y293" s="1687"/>
      <c r="Z293" s="1687"/>
      <c r="AA293" s="699"/>
      <c r="AB293" s="1764"/>
      <c r="AD293" s="823"/>
      <c r="AE293" s="822" t="s">
        <v>238</v>
      </c>
      <c r="AF293" s="745"/>
      <c r="AG293" s="733"/>
      <c r="AH293" s="735"/>
      <c r="AI293" s="737"/>
      <c r="AJ293" s="737"/>
      <c r="AK293" s="737"/>
      <c r="AL293" s="737"/>
      <c r="AM293" s="737"/>
      <c r="AN293" s="737"/>
      <c r="AO293" s="737"/>
      <c r="AP293" s="737"/>
      <c r="AQ293" s="737"/>
      <c r="AR293" s="737"/>
      <c r="AS293" s="737"/>
      <c r="AT293" s="737"/>
      <c r="AU293" s="737"/>
      <c r="AV293" s="737"/>
      <c r="AW293" s="737"/>
      <c r="AX293" s="737"/>
      <c r="AY293" s="737"/>
      <c r="AZ293" s="737"/>
      <c r="BA293" s="737"/>
      <c r="BB293" s="737"/>
      <c r="BC293" s="737"/>
      <c r="BD293" s="737"/>
      <c r="BE293" s="737"/>
      <c r="BF293" s="737"/>
      <c r="BG293" s="737"/>
      <c r="BH293" s="737"/>
      <c r="BI293" s="737"/>
      <c r="BJ293" s="737"/>
      <c r="BK293" s="737"/>
      <c r="BL293" s="737"/>
      <c r="BM293" s="737"/>
      <c r="BN293" s="737"/>
      <c r="BO293" s="737"/>
      <c r="BP293" s="737"/>
      <c r="BQ293" s="737"/>
      <c r="BR293" s="737"/>
      <c r="BS293" s="737"/>
      <c r="BT293" s="737"/>
      <c r="BU293" s="737"/>
      <c r="BV293" s="737"/>
      <c r="BW293" s="737"/>
      <c r="BX293" s="737"/>
      <c r="BY293" s="737"/>
      <c r="BZ293" s="737"/>
      <c r="CA293" s="737"/>
      <c r="CB293" s="737"/>
      <c r="CC293" s="737"/>
      <c r="CD293" s="737"/>
      <c r="CE293" s="737"/>
      <c r="CF293" s="737"/>
      <c r="CG293" s="737"/>
      <c r="CH293" s="737"/>
      <c r="CI293" s="737"/>
      <c r="CJ293" s="737"/>
      <c r="CK293" s="737"/>
      <c r="CL293" s="737"/>
      <c r="CM293" s="737"/>
      <c r="CN293" s="737"/>
      <c r="CO293" s="737"/>
      <c r="CP293" s="737"/>
      <c r="CQ293" s="737"/>
      <c r="CR293" s="737"/>
      <c r="CS293" s="737"/>
      <c r="CT293" s="46"/>
      <c r="CW293" s="970" t="str">
        <f>IF(AND(ISNUMBER(VALUE(TRIM(SUBSTITUTE(AD293,".","")))),TRIM(SUBSTITUTE(AD293,".",""))&lt;&gt;""),"P"&amp;SUBSTITUTE(AD293,".",""),"")</f>
        <v/>
      </c>
      <c r="CX293" s="975"/>
      <c r="CY293" s="975"/>
      <c r="CZ293" s="975"/>
      <c r="DA293" s="976"/>
      <c r="DB293" s="976"/>
    </row>
    <row r="294" spans="1:106" s="1229" customFormat="1" ht="16.5" customHeight="1">
      <c r="A294" s="1155"/>
      <c r="B294" s="783"/>
      <c r="C294" s="1155"/>
      <c r="D294" s="1155"/>
      <c r="E294" s="676">
        <v>17.100000000000001</v>
      </c>
      <c r="F294" s="779" t="str" cm="1">
        <f t="array" aca="1" ref="F294" ca="1">OFFSET(G294,-1,-1)</f>
        <v>1</v>
      </c>
      <c r="G294" s="814"/>
      <c r="H294" s="814"/>
      <c r="I294" s="814"/>
      <c r="J294" s="814"/>
      <c r="K294" s="814"/>
      <c r="L294" s="779" t="b" cm="1">
        <f t="array" aca="1" ref="L294" ca="1">OFFSET(M294,-1,-1)</f>
        <v>0</v>
      </c>
      <c r="M294" s="814"/>
      <c r="N294" s="814"/>
      <c r="O294" s="814"/>
      <c r="P294" s="814"/>
      <c r="Q294" s="814"/>
      <c r="R294" s="1155"/>
      <c r="S294" s="110" t="b" cm="1">
        <f t="array" aca="1" ref="S294" ca="1">OFFSET(T294,-1,-1)</f>
        <v>1</v>
      </c>
      <c r="T294" s="1155"/>
      <c r="U294" s="698" t="b">
        <f t="shared" ca="1" si="343"/>
        <v>1</v>
      </c>
      <c r="V294" s="1155"/>
      <c r="W294" s="1155"/>
      <c r="X294" s="1155"/>
      <c r="Y294" s="1687"/>
      <c r="Z294" s="1687"/>
      <c r="AA294" s="699"/>
      <c r="AB294" s="1764"/>
      <c r="AD294" s="124" t="s">
        <v>923</v>
      </c>
      <c r="AE294" s="1754" t="s">
        <v>924</v>
      </c>
      <c r="AF294" s="1734"/>
      <c r="AG294" s="849"/>
      <c r="AH294" s="735"/>
      <c r="AI294" s="737"/>
      <c r="AJ294" s="737"/>
      <c r="AK294" s="737"/>
      <c r="AL294" s="737"/>
      <c r="AM294" s="737"/>
      <c r="AN294" s="737"/>
      <c r="AO294" s="737"/>
      <c r="AP294" s="737"/>
      <c r="AQ294" s="737"/>
      <c r="AR294" s="737"/>
      <c r="AS294" s="737"/>
      <c r="AT294" s="737"/>
      <c r="AU294" s="737"/>
      <c r="AV294" s="737"/>
      <c r="AW294" s="737"/>
      <c r="AX294" s="737"/>
      <c r="AY294" s="737"/>
      <c r="AZ294" s="737"/>
      <c r="BA294" s="737"/>
      <c r="BB294" s="737"/>
      <c r="BC294" s="737"/>
      <c r="BD294" s="737"/>
      <c r="BE294" s="737"/>
      <c r="BF294" s="737"/>
      <c r="BG294" s="737"/>
      <c r="BH294" s="737"/>
      <c r="BI294" s="737"/>
      <c r="BJ294" s="737"/>
      <c r="BK294" s="737"/>
      <c r="BL294" s="737"/>
      <c r="BM294" s="737"/>
      <c r="BN294" s="737"/>
      <c r="BO294" s="737"/>
      <c r="BP294" s="737"/>
      <c r="BQ294" s="737"/>
      <c r="BR294" s="737"/>
      <c r="BS294" s="737"/>
      <c r="BT294" s="737"/>
      <c r="BU294" s="737"/>
      <c r="BV294" s="737"/>
      <c r="BW294" s="737"/>
      <c r="BX294" s="737"/>
      <c r="BY294" s="737"/>
      <c r="BZ294" s="737"/>
      <c r="CA294" s="737"/>
      <c r="CB294" s="737"/>
      <c r="CC294" s="737"/>
      <c r="CD294" s="737"/>
      <c r="CE294" s="737"/>
      <c r="CF294" s="737"/>
      <c r="CG294" s="737"/>
      <c r="CH294" s="737"/>
      <c r="CI294" s="737"/>
      <c r="CJ294" s="737"/>
      <c r="CK294" s="737"/>
      <c r="CL294" s="737"/>
      <c r="CM294" s="737"/>
      <c r="CN294" s="737"/>
      <c r="CO294" s="737"/>
      <c r="CP294" s="737"/>
      <c r="CQ294" s="737"/>
      <c r="CR294" s="737"/>
      <c r="CS294" s="737"/>
      <c r="CT294" s="1290"/>
      <c r="CW294" s="970" t="s">
        <v>925</v>
      </c>
      <c r="CX294" s="975"/>
      <c r="CY294" s="975"/>
      <c r="CZ294" s="975"/>
      <c r="DA294" s="976"/>
      <c r="DB294" s="976"/>
    </row>
    <row r="295" spans="1:106" s="1229" customFormat="1" ht="16.5" hidden="1" customHeight="1">
      <c r="E295" s="676">
        <v>17.100000000000001</v>
      </c>
      <c r="F295" s="779" t="str" cm="1">
        <f t="array" aca="1" ref="F295" ca="1">OFFSET(G295,-1,-1)</f>
        <v>1</v>
      </c>
      <c r="L295" s="779" t="b" cm="1">
        <f t="array" aca="1" ref="L295" ca="1">OFFSET(M295,-1,-1)</f>
        <v>0</v>
      </c>
      <c r="S295" s="110" t="b" cm="1">
        <f t="array" aca="1" ref="S295" ca="1">OFFSET(T295,-1,-1)</f>
        <v>1</v>
      </c>
      <c r="T295" s="110" t="b">
        <f>AD295&lt;&gt;"42.0"</f>
        <v>0</v>
      </c>
      <c r="U295" s="698" t="b">
        <f t="shared" ca="1" si="343"/>
        <v>0</v>
      </c>
      <c r="X295" s="110" t="s">
        <v>236</v>
      </c>
      <c r="Y295" s="1722"/>
      <c r="Z295" s="1722"/>
      <c r="AB295" s="1764"/>
      <c r="AD295" s="111" t="s">
        <v>926</v>
      </c>
      <c r="AE295" s="821"/>
      <c r="AF295" s="524"/>
      <c r="AG295" s="894" t="str">
        <f>"руб./"&amp;IFERROR(INDEX(fuel_ed_izm_list,MATCH(AE295,fuel_list,0)),"")</f>
        <v>руб./</v>
      </c>
      <c r="AH295" s="942">
        <f t="shared" ref="AH295:BM295" si="360">IFERROR(AH284/AH181,0)*1000</f>
        <v>0</v>
      </c>
      <c r="AI295" s="942">
        <f t="shared" si="360"/>
        <v>0</v>
      </c>
      <c r="AJ295" s="942">
        <f t="shared" si="360"/>
        <v>0</v>
      </c>
      <c r="AK295" s="942">
        <f t="shared" si="360"/>
        <v>0</v>
      </c>
      <c r="AL295" s="942">
        <f t="shared" ca="1" si="360"/>
        <v>0</v>
      </c>
      <c r="AM295" s="942">
        <f t="shared" si="360"/>
        <v>0</v>
      </c>
      <c r="AN295" s="942">
        <f t="shared" ca="1" si="360"/>
        <v>0</v>
      </c>
      <c r="AO295" s="942">
        <f t="shared" ca="1" si="360"/>
        <v>0</v>
      </c>
      <c r="AP295" s="942">
        <f t="shared" si="360"/>
        <v>0</v>
      </c>
      <c r="AQ295" s="942">
        <f t="shared" ca="1" si="360"/>
        <v>0</v>
      </c>
      <c r="AR295" s="942">
        <f t="shared" ca="1" si="360"/>
        <v>0</v>
      </c>
      <c r="AS295" s="942">
        <f t="shared" si="360"/>
        <v>0</v>
      </c>
      <c r="AT295" s="942">
        <f t="shared" ca="1" si="360"/>
        <v>0</v>
      </c>
      <c r="AU295" s="942">
        <f t="shared" ca="1" si="360"/>
        <v>0</v>
      </c>
      <c r="AV295" s="942">
        <f t="shared" si="360"/>
        <v>0</v>
      </c>
      <c r="AW295" s="942">
        <f t="shared" ca="1" si="360"/>
        <v>0</v>
      </c>
      <c r="AX295" s="942">
        <f t="shared" ca="1" si="360"/>
        <v>0</v>
      </c>
      <c r="AY295" s="942">
        <f t="shared" si="360"/>
        <v>0</v>
      </c>
      <c r="AZ295" s="942">
        <f t="shared" ca="1" si="360"/>
        <v>0</v>
      </c>
      <c r="BA295" s="942">
        <f t="shared" ca="1" si="360"/>
        <v>0</v>
      </c>
      <c r="BB295" s="942">
        <f t="shared" si="360"/>
        <v>0</v>
      </c>
      <c r="BC295" s="942">
        <f t="shared" ca="1" si="360"/>
        <v>0</v>
      </c>
      <c r="BD295" s="942">
        <f t="shared" ca="1" si="360"/>
        <v>0</v>
      </c>
      <c r="BE295" s="942">
        <f t="shared" si="360"/>
        <v>0</v>
      </c>
      <c r="BF295" s="942">
        <f t="shared" ca="1" si="360"/>
        <v>0</v>
      </c>
      <c r="BG295" s="942">
        <f t="shared" ca="1" si="360"/>
        <v>0</v>
      </c>
      <c r="BH295" s="942">
        <f t="shared" si="360"/>
        <v>0</v>
      </c>
      <c r="BI295" s="942">
        <f t="shared" ca="1" si="360"/>
        <v>0</v>
      </c>
      <c r="BJ295" s="942">
        <f t="shared" ca="1" si="360"/>
        <v>0</v>
      </c>
      <c r="BK295" s="942">
        <f t="shared" si="360"/>
        <v>0</v>
      </c>
      <c r="BL295" s="942">
        <f t="shared" ca="1" si="360"/>
        <v>0</v>
      </c>
      <c r="BM295" s="942">
        <f t="shared" ca="1" si="360"/>
        <v>0</v>
      </c>
      <c r="BN295" s="942">
        <f t="shared" ref="BN295:CS295" si="361">IFERROR(BN284/BN181,0)*1000</f>
        <v>0</v>
      </c>
      <c r="BO295" s="942">
        <f t="shared" ca="1" si="361"/>
        <v>0</v>
      </c>
      <c r="BP295" s="942">
        <f t="shared" ca="1" si="361"/>
        <v>0</v>
      </c>
      <c r="BQ295" s="942">
        <f t="shared" si="361"/>
        <v>0</v>
      </c>
      <c r="BR295" s="942">
        <f t="shared" ca="1" si="361"/>
        <v>0</v>
      </c>
      <c r="BS295" s="942">
        <f t="shared" ca="1" si="361"/>
        <v>0</v>
      </c>
      <c r="BT295" s="942">
        <f t="shared" si="361"/>
        <v>0</v>
      </c>
      <c r="BU295" s="942">
        <f t="shared" ca="1" si="361"/>
        <v>0</v>
      </c>
      <c r="BV295" s="942">
        <f t="shared" ca="1" si="361"/>
        <v>0</v>
      </c>
      <c r="BW295" s="942">
        <f t="shared" si="361"/>
        <v>0</v>
      </c>
      <c r="BX295" s="942">
        <f t="shared" ca="1" si="361"/>
        <v>0</v>
      </c>
      <c r="BY295" s="942">
        <f t="shared" ca="1" si="361"/>
        <v>0</v>
      </c>
      <c r="BZ295" s="942">
        <f t="shared" si="361"/>
        <v>0</v>
      </c>
      <c r="CA295" s="942">
        <f t="shared" ca="1" si="361"/>
        <v>0</v>
      </c>
      <c r="CB295" s="942">
        <f t="shared" ca="1" si="361"/>
        <v>0</v>
      </c>
      <c r="CC295" s="942">
        <f t="shared" si="361"/>
        <v>0</v>
      </c>
      <c r="CD295" s="942">
        <f t="shared" ca="1" si="361"/>
        <v>0</v>
      </c>
      <c r="CE295" s="942">
        <f t="shared" ca="1" si="361"/>
        <v>0</v>
      </c>
      <c r="CF295" s="942">
        <f t="shared" si="361"/>
        <v>0</v>
      </c>
      <c r="CG295" s="942">
        <f t="shared" ca="1" si="361"/>
        <v>0</v>
      </c>
      <c r="CH295" s="942">
        <f t="shared" ca="1" si="361"/>
        <v>0</v>
      </c>
      <c r="CI295" s="942">
        <f t="shared" si="361"/>
        <v>0</v>
      </c>
      <c r="CJ295" s="942">
        <f t="shared" ca="1" si="361"/>
        <v>0</v>
      </c>
      <c r="CK295" s="942">
        <f t="shared" ca="1" si="361"/>
        <v>0</v>
      </c>
      <c r="CL295" s="942">
        <f t="shared" si="361"/>
        <v>0</v>
      </c>
      <c r="CM295" s="942">
        <f t="shared" ca="1" si="361"/>
        <v>0</v>
      </c>
      <c r="CN295" s="942">
        <f t="shared" ca="1" si="361"/>
        <v>0</v>
      </c>
      <c r="CO295" s="942">
        <f t="shared" si="361"/>
        <v>0</v>
      </c>
      <c r="CP295" s="942">
        <f t="shared" ca="1" si="361"/>
        <v>0</v>
      </c>
      <c r="CQ295" s="942">
        <f t="shared" ca="1" si="361"/>
        <v>0</v>
      </c>
      <c r="CR295" s="942">
        <f t="shared" si="361"/>
        <v>0</v>
      </c>
      <c r="CS295" s="942">
        <f t="shared" ca="1" si="361"/>
        <v>0</v>
      </c>
      <c r="CT295" s="28"/>
      <c r="CW295" s="970" t="s">
        <v>925</v>
      </c>
      <c r="CX295" s="975" t="s">
        <v>821</v>
      </c>
      <c r="CY295" s="979" cm="1">
        <f t="array" ref="CY295">AE295</f>
        <v>0</v>
      </c>
      <c r="CZ295" s="979" cm="1">
        <f t="array" ref="CZ295">AF295</f>
        <v>0</v>
      </c>
      <c r="DA295" s="976"/>
      <c r="DB295" s="976"/>
    </row>
    <row r="296" spans="1:106" s="1229" customFormat="1" ht="16.5" customHeight="1">
      <c r="E296" s="676">
        <v>17.100000000000001</v>
      </c>
      <c r="F296" s="779" t="str" cm="1">
        <f t="array" aca="1" ref="F296" ca="1">OFFSET(G296,-1,-1)</f>
        <v>1</v>
      </c>
      <c r="L296" s="779" t="b" cm="1">
        <f t="array" aca="1" ref="L296" ca="1">OFFSET(M296,-1,-1)</f>
        <v>0</v>
      </c>
      <c r="S296" s="110" t="b" cm="1">
        <f t="array" aca="1" ref="S296" ca="1">OFFSET(T296,-1,-1)</f>
        <v>1</v>
      </c>
      <c r="T296" s="110" t="b">
        <f>AD296&lt;&gt;"42.0"</f>
        <v>1</v>
      </c>
      <c r="U296" s="698" t="b">
        <f t="shared" ca="1" si="343"/>
        <v>1</v>
      </c>
      <c r="X296" s="110" t="str">
        <f>'Топливо 4.4'!$AE$291&amp;'Топливо 4.4'!$AF$291</f>
        <v>Уголь длиннопламенный</v>
      </c>
      <c r="Y296" s="1722"/>
      <c r="Z296" s="1722"/>
      <c r="AB296" s="1764"/>
      <c r="AD296" s="111" t="s">
        <v>979</v>
      </c>
      <c r="AE296" s="821" t="str" cm="1">
        <f t="array" ref="AE296">IF(ISBLANK('Топливо 4.4'!$AE$291),"",'Топливо 4.4'!$AE$291)</f>
        <v>Уголь длиннопламенный</v>
      </c>
      <c r="AF296" s="524" t="str" cm="1">
        <f t="array" ref="AF296">IF(ISBLANK('Топливо 4.4'!$AF$291),"",'Топливо 4.4'!$AF$291)</f>
        <v/>
      </c>
      <c r="AG296" s="894" t="str">
        <f>"руб./"&amp;IFERROR(INDEX(fuel_ed_izm_list,MATCH(AE296,fuel_list,0)),"")</f>
        <v>руб./тнт</v>
      </c>
      <c r="AH296" s="942">
        <f t="shared" ref="AH296:BM296" si="362">IFERROR(AH285/AH182,0)*1000</f>
        <v>0</v>
      </c>
      <c r="AI296" s="942">
        <f t="shared" si="362"/>
        <v>0</v>
      </c>
      <c r="AJ296" s="942">
        <f t="shared" si="362"/>
        <v>0</v>
      </c>
      <c r="AK296" s="942">
        <f t="shared" si="362"/>
        <v>3036.5717014610359</v>
      </c>
      <c r="AL296" s="942">
        <f t="shared" ca="1" si="362"/>
        <v>0</v>
      </c>
      <c r="AM296" s="942">
        <f t="shared" si="362"/>
        <v>0</v>
      </c>
      <c r="AN296" s="942">
        <f t="shared" ca="1" si="362"/>
        <v>0</v>
      </c>
      <c r="AO296" s="942">
        <f t="shared" ca="1" si="362"/>
        <v>0</v>
      </c>
      <c r="AP296" s="942">
        <f t="shared" si="362"/>
        <v>0</v>
      </c>
      <c r="AQ296" s="942">
        <f t="shared" ca="1" si="362"/>
        <v>0</v>
      </c>
      <c r="AR296" s="942">
        <f t="shared" ca="1" si="362"/>
        <v>0</v>
      </c>
      <c r="AS296" s="942">
        <f t="shared" si="362"/>
        <v>0</v>
      </c>
      <c r="AT296" s="942">
        <f t="shared" ca="1" si="362"/>
        <v>0</v>
      </c>
      <c r="AU296" s="942">
        <f t="shared" ca="1" si="362"/>
        <v>0</v>
      </c>
      <c r="AV296" s="942">
        <f t="shared" si="362"/>
        <v>0</v>
      </c>
      <c r="AW296" s="942">
        <f t="shared" ca="1" si="362"/>
        <v>0</v>
      </c>
      <c r="AX296" s="942">
        <f t="shared" ca="1" si="362"/>
        <v>0</v>
      </c>
      <c r="AY296" s="942">
        <f t="shared" si="362"/>
        <v>0</v>
      </c>
      <c r="AZ296" s="942">
        <f t="shared" ca="1" si="362"/>
        <v>0</v>
      </c>
      <c r="BA296" s="942">
        <f t="shared" ca="1" si="362"/>
        <v>0</v>
      </c>
      <c r="BB296" s="942">
        <f t="shared" si="362"/>
        <v>0</v>
      </c>
      <c r="BC296" s="942">
        <f t="shared" ca="1" si="362"/>
        <v>0</v>
      </c>
      <c r="BD296" s="942">
        <f t="shared" ca="1" si="362"/>
        <v>0</v>
      </c>
      <c r="BE296" s="942">
        <f t="shared" si="362"/>
        <v>0</v>
      </c>
      <c r="BF296" s="942">
        <f t="shared" ca="1" si="362"/>
        <v>0</v>
      </c>
      <c r="BG296" s="942">
        <f t="shared" ca="1" si="362"/>
        <v>0</v>
      </c>
      <c r="BH296" s="942">
        <f t="shared" si="362"/>
        <v>0</v>
      </c>
      <c r="BI296" s="942">
        <f t="shared" ca="1" si="362"/>
        <v>0</v>
      </c>
      <c r="BJ296" s="942">
        <f t="shared" ca="1" si="362"/>
        <v>0</v>
      </c>
      <c r="BK296" s="942">
        <f t="shared" si="362"/>
        <v>0</v>
      </c>
      <c r="BL296" s="942">
        <f t="shared" ca="1" si="362"/>
        <v>0</v>
      </c>
      <c r="BM296" s="942">
        <f t="shared" ca="1" si="362"/>
        <v>0</v>
      </c>
      <c r="BN296" s="942">
        <f t="shared" ref="BN296:CS296" si="363">IFERROR(BN285/BN182,0)*1000</f>
        <v>0</v>
      </c>
      <c r="BO296" s="942">
        <f t="shared" ca="1" si="363"/>
        <v>0</v>
      </c>
      <c r="BP296" s="942">
        <f t="shared" ca="1" si="363"/>
        <v>3572.8389999591654</v>
      </c>
      <c r="BQ296" s="942">
        <f t="shared" si="363"/>
        <v>3572.838999955668</v>
      </c>
      <c r="BR296" s="942">
        <f t="shared" ca="1" si="363"/>
        <v>3572.8389999679548</v>
      </c>
      <c r="BS296" s="942">
        <f t="shared" ca="1" si="363"/>
        <v>0</v>
      </c>
      <c r="BT296" s="942">
        <f t="shared" si="363"/>
        <v>0</v>
      </c>
      <c r="BU296" s="942">
        <f t="shared" ca="1" si="363"/>
        <v>0</v>
      </c>
      <c r="BV296" s="942">
        <f t="shared" ca="1" si="363"/>
        <v>0</v>
      </c>
      <c r="BW296" s="942">
        <f t="shared" si="363"/>
        <v>0</v>
      </c>
      <c r="BX296" s="942">
        <f t="shared" ca="1" si="363"/>
        <v>0</v>
      </c>
      <c r="BY296" s="942">
        <f t="shared" ca="1" si="363"/>
        <v>0</v>
      </c>
      <c r="BZ296" s="942">
        <f t="shared" si="363"/>
        <v>0</v>
      </c>
      <c r="CA296" s="942">
        <f t="shared" ca="1" si="363"/>
        <v>0</v>
      </c>
      <c r="CB296" s="942">
        <f t="shared" ca="1" si="363"/>
        <v>0</v>
      </c>
      <c r="CC296" s="942">
        <f t="shared" si="363"/>
        <v>0</v>
      </c>
      <c r="CD296" s="942">
        <f t="shared" ca="1" si="363"/>
        <v>0</v>
      </c>
      <c r="CE296" s="942">
        <f t="shared" ca="1" si="363"/>
        <v>0</v>
      </c>
      <c r="CF296" s="942">
        <f t="shared" si="363"/>
        <v>0</v>
      </c>
      <c r="CG296" s="942">
        <f t="shared" ca="1" si="363"/>
        <v>0</v>
      </c>
      <c r="CH296" s="942">
        <f t="shared" ca="1" si="363"/>
        <v>0</v>
      </c>
      <c r="CI296" s="942">
        <f t="shared" si="363"/>
        <v>0</v>
      </c>
      <c r="CJ296" s="942">
        <f t="shared" ca="1" si="363"/>
        <v>0</v>
      </c>
      <c r="CK296" s="942">
        <f t="shared" ca="1" si="363"/>
        <v>0</v>
      </c>
      <c r="CL296" s="942">
        <f t="shared" si="363"/>
        <v>0</v>
      </c>
      <c r="CM296" s="942">
        <f t="shared" ca="1" si="363"/>
        <v>0</v>
      </c>
      <c r="CN296" s="942">
        <f t="shared" ca="1" si="363"/>
        <v>0</v>
      </c>
      <c r="CO296" s="942">
        <f t="shared" si="363"/>
        <v>0</v>
      </c>
      <c r="CP296" s="942">
        <f t="shared" ca="1" si="363"/>
        <v>0</v>
      </c>
      <c r="CQ296" s="942">
        <f t="shared" ca="1" si="363"/>
        <v>0</v>
      </c>
      <c r="CR296" s="942">
        <f t="shared" si="363"/>
        <v>0</v>
      </c>
      <c r="CS296" s="942">
        <f t="shared" ca="1" si="363"/>
        <v>0</v>
      </c>
      <c r="CT296" s="1290"/>
      <c r="CW296" s="970" t="s">
        <v>925</v>
      </c>
      <c r="CX296" s="975" t="s">
        <v>821</v>
      </c>
      <c r="CY296" s="979" t="str" cm="1">
        <f t="array" ref="CY296">AE296</f>
        <v>Уголь длиннопламенный</v>
      </c>
      <c r="CZ296" s="979" t="str" cm="1">
        <f t="array" ref="CZ296">AF296</f>
        <v/>
      </c>
      <c r="DA296" s="976"/>
      <c r="DB296" s="976"/>
    </row>
    <row r="297" spans="1:106" s="1229" customFormat="1" ht="16.5" customHeight="1">
      <c r="E297" s="676">
        <v>17.100000000000001</v>
      </c>
      <c r="F297" s="779" t="str" cm="1">
        <f t="array" aca="1" ref="F297" ca="1">OFFSET(G297,-1,-1)</f>
        <v>1</v>
      </c>
      <c r="L297" s="779" t="b" cm="1">
        <f t="array" aca="1" ref="L297" ca="1">OFFSET(M297,-1,-1)</f>
        <v>0</v>
      </c>
      <c r="S297" s="110" t="b" cm="1">
        <f t="array" aca="1" ref="S297" ca="1">OFFSET(T297,-1,-1)</f>
        <v>1</v>
      </c>
      <c r="T297" s="110" t="b">
        <f>AD297&lt;&gt;"42.0"</f>
        <v>1</v>
      </c>
      <c r="U297" s="698" t="b">
        <f t="shared" ca="1" si="343"/>
        <v>1</v>
      </c>
      <c r="X297" s="110" t="str">
        <f>'Топливо 4.4'!$AE$292&amp;'Топливо 4.4'!$AF$292</f>
        <v>Уголь бурый</v>
      </c>
      <c r="Y297" s="1722"/>
      <c r="Z297" s="1722"/>
      <c r="AB297" s="1764"/>
      <c r="AD297" s="111" t="s">
        <v>980</v>
      </c>
      <c r="AE297" s="821" t="str" cm="1">
        <f t="array" ref="AE297">IF(ISBLANK('Топливо 4.4'!$AE$292),"",'Топливо 4.4'!$AE$292)</f>
        <v>Уголь бурый</v>
      </c>
      <c r="AF297" s="524" t="str" cm="1">
        <f t="array" ref="AF297">IF(ISBLANK('Топливо 4.4'!$AF$292),"",'Топливо 4.4'!$AF$292)</f>
        <v/>
      </c>
      <c r="AG297" s="894" t="str">
        <f>"руб./"&amp;IFERROR(INDEX(fuel_ed_izm_list,MATCH(AE297,fuel_list,0)),"")</f>
        <v>руб./тнт</v>
      </c>
      <c r="AH297" s="942">
        <f t="shared" ref="AH297:BM297" si="364">IFERROR(AH286/AH183,0)*1000</f>
        <v>0</v>
      </c>
      <c r="AI297" s="942">
        <f t="shared" si="364"/>
        <v>0</v>
      </c>
      <c r="AJ297" s="942">
        <f t="shared" si="364"/>
        <v>0</v>
      </c>
      <c r="AK297" s="942">
        <f t="shared" si="364"/>
        <v>6030.0430088277035</v>
      </c>
      <c r="AL297" s="942">
        <f t="shared" ca="1" si="364"/>
        <v>0</v>
      </c>
      <c r="AM297" s="942">
        <f t="shared" si="364"/>
        <v>0</v>
      </c>
      <c r="AN297" s="942">
        <f t="shared" ca="1" si="364"/>
        <v>0</v>
      </c>
      <c r="AO297" s="942">
        <f t="shared" ca="1" si="364"/>
        <v>0</v>
      </c>
      <c r="AP297" s="942">
        <f t="shared" si="364"/>
        <v>0</v>
      </c>
      <c r="AQ297" s="942">
        <f t="shared" ca="1" si="364"/>
        <v>0</v>
      </c>
      <c r="AR297" s="942">
        <f t="shared" ca="1" si="364"/>
        <v>0</v>
      </c>
      <c r="AS297" s="942">
        <f t="shared" si="364"/>
        <v>0</v>
      </c>
      <c r="AT297" s="942">
        <f t="shared" ca="1" si="364"/>
        <v>0</v>
      </c>
      <c r="AU297" s="942">
        <f t="shared" ca="1" si="364"/>
        <v>0</v>
      </c>
      <c r="AV297" s="942">
        <f t="shared" si="364"/>
        <v>0</v>
      </c>
      <c r="AW297" s="942">
        <f t="shared" ca="1" si="364"/>
        <v>0</v>
      </c>
      <c r="AX297" s="942">
        <f t="shared" ca="1" si="364"/>
        <v>0</v>
      </c>
      <c r="AY297" s="942">
        <f t="shared" si="364"/>
        <v>0</v>
      </c>
      <c r="AZ297" s="942">
        <f t="shared" ca="1" si="364"/>
        <v>0</v>
      </c>
      <c r="BA297" s="942">
        <f t="shared" ca="1" si="364"/>
        <v>0</v>
      </c>
      <c r="BB297" s="942">
        <f t="shared" si="364"/>
        <v>0</v>
      </c>
      <c r="BC297" s="942">
        <f t="shared" ca="1" si="364"/>
        <v>0</v>
      </c>
      <c r="BD297" s="942">
        <f t="shared" ca="1" si="364"/>
        <v>0</v>
      </c>
      <c r="BE297" s="942">
        <f t="shared" si="364"/>
        <v>0</v>
      </c>
      <c r="BF297" s="942">
        <f t="shared" ca="1" si="364"/>
        <v>0</v>
      </c>
      <c r="BG297" s="942">
        <f t="shared" ca="1" si="364"/>
        <v>0</v>
      </c>
      <c r="BH297" s="942">
        <f t="shared" si="364"/>
        <v>0</v>
      </c>
      <c r="BI297" s="942">
        <f t="shared" ca="1" si="364"/>
        <v>0</v>
      </c>
      <c r="BJ297" s="942">
        <f t="shared" ca="1" si="364"/>
        <v>0</v>
      </c>
      <c r="BK297" s="942">
        <f t="shared" si="364"/>
        <v>0</v>
      </c>
      <c r="BL297" s="942">
        <f t="shared" ca="1" si="364"/>
        <v>0</v>
      </c>
      <c r="BM297" s="942">
        <f t="shared" ca="1" si="364"/>
        <v>0</v>
      </c>
      <c r="BN297" s="942">
        <f t="shared" ref="BN297:CS297" si="365">IFERROR(BN286/BN183,0)*1000</f>
        <v>0</v>
      </c>
      <c r="BO297" s="942">
        <f t="shared" ca="1" si="365"/>
        <v>0</v>
      </c>
      <c r="BP297" s="942">
        <f t="shared" ca="1" si="365"/>
        <v>0</v>
      </c>
      <c r="BQ297" s="942">
        <f t="shared" si="365"/>
        <v>0</v>
      </c>
      <c r="BR297" s="942">
        <f t="shared" ca="1" si="365"/>
        <v>0</v>
      </c>
      <c r="BS297" s="942">
        <f t="shared" ca="1" si="365"/>
        <v>0</v>
      </c>
      <c r="BT297" s="942">
        <f t="shared" si="365"/>
        <v>0</v>
      </c>
      <c r="BU297" s="942">
        <f t="shared" ca="1" si="365"/>
        <v>0</v>
      </c>
      <c r="BV297" s="942">
        <f t="shared" ca="1" si="365"/>
        <v>0</v>
      </c>
      <c r="BW297" s="942">
        <f t="shared" si="365"/>
        <v>0</v>
      </c>
      <c r="BX297" s="942">
        <f t="shared" ca="1" si="365"/>
        <v>0</v>
      </c>
      <c r="BY297" s="942">
        <f t="shared" ca="1" si="365"/>
        <v>0</v>
      </c>
      <c r="BZ297" s="942">
        <f t="shared" si="365"/>
        <v>0</v>
      </c>
      <c r="CA297" s="942">
        <f t="shared" ca="1" si="365"/>
        <v>0</v>
      </c>
      <c r="CB297" s="942">
        <f t="shared" ca="1" si="365"/>
        <v>0</v>
      </c>
      <c r="CC297" s="942">
        <f t="shared" si="365"/>
        <v>0</v>
      </c>
      <c r="CD297" s="942">
        <f t="shared" ca="1" si="365"/>
        <v>0</v>
      </c>
      <c r="CE297" s="942">
        <f t="shared" ca="1" si="365"/>
        <v>0</v>
      </c>
      <c r="CF297" s="942">
        <f t="shared" si="365"/>
        <v>0</v>
      </c>
      <c r="CG297" s="942">
        <f t="shared" ca="1" si="365"/>
        <v>0</v>
      </c>
      <c r="CH297" s="942">
        <f t="shared" ca="1" si="365"/>
        <v>0</v>
      </c>
      <c r="CI297" s="942">
        <f t="shared" si="365"/>
        <v>0</v>
      </c>
      <c r="CJ297" s="942">
        <f t="shared" ca="1" si="365"/>
        <v>0</v>
      </c>
      <c r="CK297" s="942">
        <f t="shared" ca="1" si="365"/>
        <v>0</v>
      </c>
      <c r="CL297" s="942">
        <f t="shared" si="365"/>
        <v>0</v>
      </c>
      <c r="CM297" s="942">
        <f t="shared" ca="1" si="365"/>
        <v>0</v>
      </c>
      <c r="CN297" s="942">
        <f t="shared" ca="1" si="365"/>
        <v>0</v>
      </c>
      <c r="CO297" s="942">
        <f t="shared" si="365"/>
        <v>0</v>
      </c>
      <c r="CP297" s="942">
        <f t="shared" ca="1" si="365"/>
        <v>0</v>
      </c>
      <c r="CQ297" s="942">
        <f t="shared" ca="1" si="365"/>
        <v>0</v>
      </c>
      <c r="CR297" s="942">
        <f t="shared" si="365"/>
        <v>0</v>
      </c>
      <c r="CS297" s="942">
        <f t="shared" ca="1" si="365"/>
        <v>0</v>
      </c>
      <c r="CT297" s="1290"/>
      <c r="CW297" s="970" t="s">
        <v>925</v>
      </c>
      <c r="CX297" s="975" t="s">
        <v>821</v>
      </c>
      <c r="CY297" s="979" t="str" cm="1">
        <f t="array" ref="CY297">AE297</f>
        <v>Уголь бурый</v>
      </c>
      <c r="CZ297" s="979" t="str" cm="1">
        <f t="array" ref="CZ297">AF297</f>
        <v/>
      </c>
      <c r="DA297" s="976"/>
      <c r="DB297" s="976"/>
    </row>
    <row r="298" spans="1:106" s="1229" customFormat="1" ht="15" hidden="1" customHeight="1">
      <c r="A298" s="1155"/>
      <c r="B298" s="783"/>
      <c r="C298" s="1155"/>
      <c r="D298" s="1155"/>
      <c r="E298" s="676">
        <v>0</v>
      </c>
      <c r="F298" s="779" t="str" cm="1">
        <f t="array" aca="1" ref="F298" ca="1">OFFSET(G298,-1,-1)</f>
        <v>1</v>
      </c>
      <c r="G298" s="814"/>
      <c r="H298" s="814"/>
      <c r="I298" s="814"/>
      <c r="J298" s="814"/>
      <c r="K298" s="814"/>
      <c r="L298" s="779" t="b" cm="1">
        <f t="array" aca="1" ref="L298" ca="1">OFFSET(M298,-1,-1)</f>
        <v>0</v>
      </c>
      <c r="M298" s="814"/>
      <c r="N298" s="814"/>
      <c r="O298" s="814"/>
      <c r="P298" s="814"/>
      <c r="Q298" s="814"/>
      <c r="R298" s="1155"/>
      <c r="S298" s="110" t="b" cm="1">
        <f t="array" aca="1" ref="S298" ca="1">OFFSET(T298,-1,-1)</f>
        <v>1</v>
      </c>
      <c r="T298" s="1155"/>
      <c r="U298" s="698" t="b">
        <f t="shared" ca="1" si="343"/>
        <v>1</v>
      </c>
      <c r="V298" s="1155"/>
      <c r="W298" s="1155"/>
      <c r="X298" s="820" t="str">
        <f>"{                  
         funcDyn: 'msg1',
         blok: '',
         wsCross: '',
         linkFormula: '',
         levelDyn: "&amp;Y139&amp;"
}"</f>
        <v>{                  
         funcDyn: 'msg1',
         blok: '',
         wsCross: '',
         linkFormula: '',
         levelDyn: 1
}</v>
      </c>
      <c r="Y298" s="1687"/>
      <c r="Z298" s="1687"/>
      <c r="AA298" s="699"/>
      <c r="AB298" s="1764"/>
      <c r="AD298" s="823"/>
      <c r="AE298" s="822" t="s">
        <v>238</v>
      </c>
      <c r="AF298" s="745"/>
      <c r="AG298" s="733"/>
      <c r="AH298" s="747"/>
      <c r="AI298" s="748"/>
      <c r="AJ298" s="748"/>
      <c r="AK298" s="748"/>
      <c r="AL298" s="748"/>
      <c r="AM298" s="748"/>
      <c r="AN298" s="748"/>
      <c r="AO298" s="748"/>
      <c r="AP298" s="748"/>
      <c r="AQ298" s="748"/>
      <c r="AR298" s="748"/>
      <c r="AS298" s="748"/>
      <c r="AT298" s="748"/>
      <c r="AU298" s="748"/>
      <c r="AV298" s="748"/>
      <c r="AW298" s="748"/>
      <c r="AX298" s="748"/>
      <c r="AY298" s="748"/>
      <c r="AZ298" s="748"/>
      <c r="BA298" s="748"/>
      <c r="BB298" s="748"/>
      <c r="BC298" s="748"/>
      <c r="BD298" s="748"/>
      <c r="BE298" s="748"/>
      <c r="BF298" s="748"/>
      <c r="BG298" s="748"/>
      <c r="BH298" s="748"/>
      <c r="BI298" s="748"/>
      <c r="BJ298" s="748"/>
      <c r="BK298" s="748"/>
      <c r="BL298" s="748"/>
      <c r="BM298" s="748"/>
      <c r="BN298" s="748"/>
      <c r="BO298" s="748"/>
      <c r="BP298" s="748"/>
      <c r="BQ298" s="748"/>
      <c r="BR298" s="748"/>
      <c r="BS298" s="748"/>
      <c r="BT298" s="748"/>
      <c r="BU298" s="748"/>
      <c r="BV298" s="748"/>
      <c r="BW298" s="748"/>
      <c r="BX298" s="748"/>
      <c r="BY298" s="748"/>
      <c r="BZ298" s="748"/>
      <c r="CA298" s="748"/>
      <c r="CB298" s="748"/>
      <c r="CC298" s="748"/>
      <c r="CD298" s="748"/>
      <c r="CE298" s="748"/>
      <c r="CF298" s="748"/>
      <c r="CG298" s="748"/>
      <c r="CH298" s="748"/>
      <c r="CI298" s="748"/>
      <c r="CJ298" s="748"/>
      <c r="CK298" s="748"/>
      <c r="CL298" s="748"/>
      <c r="CM298" s="748"/>
      <c r="CN298" s="748"/>
      <c r="CO298" s="748"/>
      <c r="CP298" s="748"/>
      <c r="CQ298" s="748"/>
      <c r="CR298" s="748"/>
      <c r="CS298" s="748"/>
      <c r="CT298" s="46"/>
      <c r="CW298" s="970" t="str">
        <f>IF(AND(ISNUMBER(VALUE(TRIM(SUBSTITUTE(AD298,".","")))),TRIM(SUBSTITUTE(AD298,".",""))&lt;&gt;""),"P"&amp;SUBSTITUTE(AD298,".",""),"")</f>
        <v/>
      </c>
      <c r="CX298" s="975"/>
      <c r="CY298" s="975"/>
      <c r="CZ298" s="975"/>
      <c r="DA298" s="976"/>
      <c r="DB298" s="976"/>
    </row>
    <row r="299" spans="1:106" s="1229" customFormat="1" ht="16.5" customHeight="1">
      <c r="A299" s="1155"/>
      <c r="B299" s="783"/>
      <c r="C299" s="1155"/>
      <c r="D299" s="1155"/>
      <c r="E299" s="676">
        <v>17.100000000000001</v>
      </c>
      <c r="F299" s="779" t="str" cm="1">
        <f t="array" aca="1" ref="F299" ca="1">OFFSET(G299,-1,-1)</f>
        <v>1</v>
      </c>
      <c r="G299" s="814"/>
      <c r="H299" s="814"/>
      <c r="I299" s="814"/>
      <c r="J299" s="814"/>
      <c r="K299" s="814"/>
      <c r="L299" s="779" t="b" cm="1">
        <f t="array" aca="1" ref="L299" ca="1">OFFSET(M299,-1,-1)</f>
        <v>0</v>
      </c>
      <c r="M299" s="814"/>
      <c r="N299" s="814"/>
      <c r="O299" s="814"/>
      <c r="P299" s="814"/>
      <c r="Q299" s="814"/>
      <c r="R299" s="1155"/>
      <c r="S299" s="110" t="b" cm="1">
        <f t="array" aca="1" ref="S299" ca="1">OFFSET(T299,-1,-1)</f>
        <v>1</v>
      </c>
      <c r="T299" s="1155"/>
      <c r="U299" s="698" t="b">
        <f t="shared" ca="1" si="343"/>
        <v>1</v>
      </c>
      <c r="V299" s="1155"/>
      <c r="W299" s="1155"/>
      <c r="X299" s="1155"/>
      <c r="Y299" s="1687"/>
      <c r="Z299" s="1687"/>
      <c r="AA299" s="699"/>
      <c r="AB299" s="1765"/>
      <c r="AC299" s="825"/>
      <c r="AD299" s="124" t="s">
        <v>927</v>
      </c>
      <c r="AE299" s="1754" t="s">
        <v>928</v>
      </c>
      <c r="AF299" s="1734"/>
      <c r="AG299" s="733" t="s">
        <v>929</v>
      </c>
      <c r="AH299" s="734">
        <f t="shared" ref="AH299:BM299" ca="1" si="366">IFERROR(AH281/AH155*1000,0)</f>
        <v>0</v>
      </c>
      <c r="AI299" s="734">
        <f t="shared" ca="1" si="366"/>
        <v>0</v>
      </c>
      <c r="AJ299" s="734">
        <f t="shared" ca="1" si="366"/>
        <v>0</v>
      </c>
      <c r="AK299" s="734">
        <f t="shared" ca="1" si="366"/>
        <v>754.00014651776451</v>
      </c>
      <c r="AL299" s="734">
        <f t="shared" ca="1" si="366"/>
        <v>0</v>
      </c>
      <c r="AM299" s="734">
        <f t="shared" si="366"/>
        <v>0</v>
      </c>
      <c r="AN299" s="734">
        <f t="shared" ca="1" si="366"/>
        <v>0</v>
      </c>
      <c r="AO299" s="734">
        <f t="shared" ca="1" si="366"/>
        <v>0</v>
      </c>
      <c r="AP299" s="734">
        <f t="shared" si="366"/>
        <v>0</v>
      </c>
      <c r="AQ299" s="734">
        <f t="shared" ca="1" si="366"/>
        <v>0</v>
      </c>
      <c r="AR299" s="734">
        <f t="shared" ca="1" si="366"/>
        <v>0</v>
      </c>
      <c r="AS299" s="734">
        <f t="shared" si="366"/>
        <v>0</v>
      </c>
      <c r="AT299" s="734">
        <f t="shared" ca="1" si="366"/>
        <v>0</v>
      </c>
      <c r="AU299" s="734">
        <f t="shared" ca="1" si="366"/>
        <v>0</v>
      </c>
      <c r="AV299" s="734">
        <f t="shared" si="366"/>
        <v>0</v>
      </c>
      <c r="AW299" s="734">
        <f t="shared" ca="1" si="366"/>
        <v>0</v>
      </c>
      <c r="AX299" s="734">
        <f t="shared" ca="1" si="366"/>
        <v>0</v>
      </c>
      <c r="AY299" s="734">
        <f t="shared" si="366"/>
        <v>0</v>
      </c>
      <c r="AZ299" s="734">
        <f t="shared" ca="1" si="366"/>
        <v>0</v>
      </c>
      <c r="BA299" s="734">
        <f t="shared" ca="1" si="366"/>
        <v>0</v>
      </c>
      <c r="BB299" s="734">
        <f t="shared" si="366"/>
        <v>0</v>
      </c>
      <c r="BC299" s="734">
        <f t="shared" ca="1" si="366"/>
        <v>0</v>
      </c>
      <c r="BD299" s="734">
        <f t="shared" ca="1" si="366"/>
        <v>0</v>
      </c>
      <c r="BE299" s="734">
        <f t="shared" si="366"/>
        <v>0</v>
      </c>
      <c r="BF299" s="734">
        <f t="shared" ca="1" si="366"/>
        <v>0</v>
      </c>
      <c r="BG299" s="734">
        <f t="shared" ca="1" si="366"/>
        <v>0</v>
      </c>
      <c r="BH299" s="734">
        <f t="shared" si="366"/>
        <v>0</v>
      </c>
      <c r="BI299" s="734">
        <f t="shared" ca="1" si="366"/>
        <v>0</v>
      </c>
      <c r="BJ299" s="734">
        <f t="shared" ca="1" si="366"/>
        <v>0</v>
      </c>
      <c r="BK299" s="734">
        <f t="shared" si="366"/>
        <v>0</v>
      </c>
      <c r="BL299" s="734">
        <f t="shared" ca="1" si="366"/>
        <v>0</v>
      </c>
      <c r="BM299" s="734">
        <f t="shared" ca="1" si="366"/>
        <v>0</v>
      </c>
      <c r="BN299" s="734">
        <f t="shared" ref="BN299:CS299" si="367">IFERROR(BN281/BN155*1000,0)</f>
        <v>0</v>
      </c>
      <c r="BO299" s="734">
        <f t="shared" ca="1" si="367"/>
        <v>0</v>
      </c>
      <c r="BP299" s="734">
        <f t="shared" ca="1" si="367"/>
        <v>919.59448354073322</v>
      </c>
      <c r="BQ299" s="734">
        <f t="shared" si="367"/>
        <v>919.59448353983316</v>
      </c>
      <c r="BR299" s="734">
        <f t="shared" ca="1" si="367"/>
        <v>919.5944835429957</v>
      </c>
      <c r="BS299" s="734">
        <f t="shared" ca="1" si="367"/>
        <v>0</v>
      </c>
      <c r="BT299" s="734">
        <f t="shared" si="367"/>
        <v>0</v>
      </c>
      <c r="BU299" s="734">
        <f t="shared" ca="1" si="367"/>
        <v>0</v>
      </c>
      <c r="BV299" s="734">
        <f t="shared" ca="1" si="367"/>
        <v>0</v>
      </c>
      <c r="BW299" s="734">
        <f t="shared" si="367"/>
        <v>0</v>
      </c>
      <c r="BX299" s="734">
        <f t="shared" ca="1" si="367"/>
        <v>0</v>
      </c>
      <c r="BY299" s="734">
        <f t="shared" ca="1" si="367"/>
        <v>0</v>
      </c>
      <c r="BZ299" s="734">
        <f t="shared" si="367"/>
        <v>0</v>
      </c>
      <c r="CA299" s="734">
        <f t="shared" ca="1" si="367"/>
        <v>0</v>
      </c>
      <c r="CB299" s="734">
        <f t="shared" ca="1" si="367"/>
        <v>0</v>
      </c>
      <c r="CC299" s="734">
        <f t="shared" si="367"/>
        <v>0</v>
      </c>
      <c r="CD299" s="734">
        <f t="shared" ca="1" si="367"/>
        <v>0</v>
      </c>
      <c r="CE299" s="734">
        <f t="shared" ca="1" si="367"/>
        <v>0</v>
      </c>
      <c r="CF299" s="734">
        <f t="shared" si="367"/>
        <v>0</v>
      </c>
      <c r="CG299" s="734">
        <f t="shared" ca="1" si="367"/>
        <v>0</v>
      </c>
      <c r="CH299" s="734">
        <f t="shared" ca="1" si="367"/>
        <v>0</v>
      </c>
      <c r="CI299" s="734">
        <f t="shared" si="367"/>
        <v>0</v>
      </c>
      <c r="CJ299" s="734">
        <f t="shared" ca="1" si="367"/>
        <v>0</v>
      </c>
      <c r="CK299" s="734">
        <f t="shared" ca="1" si="367"/>
        <v>0</v>
      </c>
      <c r="CL299" s="734">
        <f t="shared" si="367"/>
        <v>0</v>
      </c>
      <c r="CM299" s="734">
        <f t="shared" ca="1" si="367"/>
        <v>0</v>
      </c>
      <c r="CN299" s="734">
        <f t="shared" ca="1" si="367"/>
        <v>0</v>
      </c>
      <c r="CO299" s="734">
        <f t="shared" si="367"/>
        <v>0</v>
      </c>
      <c r="CP299" s="734">
        <f t="shared" ca="1" si="367"/>
        <v>0</v>
      </c>
      <c r="CQ299" s="734">
        <f t="shared" ca="1" si="367"/>
        <v>0</v>
      </c>
      <c r="CR299" s="734">
        <f t="shared" si="367"/>
        <v>0</v>
      </c>
      <c r="CS299" s="734">
        <f t="shared" ca="1" si="367"/>
        <v>0</v>
      </c>
      <c r="CT299" s="1290"/>
      <c r="CW299" s="970" t="s">
        <v>930</v>
      </c>
      <c r="CX299" s="975"/>
      <c r="CY299" s="975"/>
      <c r="CZ299" s="975"/>
      <c r="DA299" s="976"/>
      <c r="DB299" s="976"/>
    </row>
    <row r="300" spans="1:106" s="1229" customFormat="1" ht="16.5" customHeight="1">
      <c r="A300" s="1155"/>
      <c r="B300" s="783"/>
      <c r="C300" s="1155"/>
      <c r="D300" s="1155"/>
      <c r="E300" s="676">
        <v>17.100000000000001</v>
      </c>
      <c r="F300" s="779" t="str" cm="1">
        <f t="array" ref="F300">Y300</f>
        <v>2</v>
      </c>
      <c r="G300" s="163" t="str" cm="1">
        <f t="array" ref="G300">INDEX('Общие сведения'!$AE$187:$AE$236,MATCH($F300,'Общие сведения'!$Z$187:$Z$236,0))</f>
        <v>Теплоснабжение</v>
      </c>
      <c r="H300" s="163" t="str" cm="1">
        <f t="array" ref="H300">INDEX('Общие сведения'!$AK$187:$AK$236,MATCH($F300,'Общие сведения'!$Z$187:$Z$236,0))</f>
        <v>одноставочный</v>
      </c>
      <c r="I300" s="163" cm="1">
        <f t="array" ref="I300">INDEX('Общие сведения'!$AH$187:$AH$236,MATCH($F300,'Общие сведения'!$Z$187:$Z$236,0))</f>
        <v>0</v>
      </c>
      <c r="J300" s="163" t="str" cm="1">
        <f t="array" ref="J300">INDEX('Общие сведения'!$AI$187:$AI$236,MATCH($F300,'Общие сведения'!$Z$187:$Z$236,0))</f>
        <v>вода</v>
      </c>
      <c r="K300" s="163" t="str" cm="1">
        <f t="array" ref="K300">INDEX('Общие сведения'!$AJ$187:$AJ$236,MATCH($F300,'Общие сведения'!$Z$187:$Z$236,0))</f>
        <v>Не определено</v>
      </c>
      <c r="L300" s="164" t="b" cm="1">
        <f t="array" ref="L300">INDEX('Общие сведения'!$AN$187:$AN$236,MATCH($F300,'Общие сведения'!$Z$187:$Z$236,0))</f>
        <v>0</v>
      </c>
      <c r="M300" s="814"/>
      <c r="N300" s="814"/>
      <c r="O300" s="814"/>
      <c r="P300" s="814"/>
      <c r="Q300" s="814"/>
      <c r="R300" s="1155"/>
      <c r="S300" s="110" t="b">
        <f>Y300&gt;0</f>
        <v>1</v>
      </c>
      <c r="T300" s="1155"/>
      <c r="U300" s="698" t="b">
        <f t="shared" si="343"/>
        <v>1</v>
      </c>
      <c r="V300" s="1155"/>
      <c r="W300" s="126" t="str" cm="1">
        <f t="array" ref="W300">'Баланс Тр'!$AB$42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00" s="1155"/>
      <c r="Y300" s="1751" t="s">
        <v>348</v>
      </c>
      <c r="Z300" s="1687"/>
      <c r="AA300" s="699"/>
      <c r="AB300" s="398" t="str" cm="1">
        <f t="array" ref="AB300">IF(ISBLANK('Баланс Тр'!$AB$42),"",'Баланс Тр'!$AB$42)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00" s="398"/>
      <c r="AD300" s="213"/>
      <c r="AE300" s="210"/>
      <c r="AF300" s="210"/>
      <c r="AG300" s="210"/>
      <c r="AH300" s="210"/>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c r="BI300" s="210"/>
      <c r="BJ300" s="210"/>
      <c r="BK300" s="210"/>
      <c r="BL300" s="210"/>
      <c r="BM300" s="210"/>
      <c r="BN300" s="210"/>
      <c r="BO300" s="210"/>
      <c r="BP300" s="210"/>
      <c r="BQ300" s="210"/>
      <c r="BR300" s="210"/>
      <c r="BS300" s="210"/>
      <c r="BT300" s="210"/>
      <c r="BU300" s="210"/>
      <c r="BV300" s="210"/>
      <c r="BW300" s="210"/>
      <c r="BX300" s="210"/>
      <c r="BY300" s="210"/>
      <c r="BZ300" s="210"/>
      <c r="CA300" s="210"/>
      <c r="CB300" s="210"/>
      <c r="CC300" s="210"/>
      <c r="CD300" s="267"/>
      <c r="CE300" s="267"/>
      <c r="CF300" s="210"/>
      <c r="CG300" s="210"/>
      <c r="CH300" s="210"/>
      <c r="CI300" s="210"/>
      <c r="CJ300" s="210"/>
      <c r="CK300" s="210"/>
      <c r="CL300" s="210"/>
      <c r="CM300" s="210"/>
      <c r="CN300" s="210"/>
      <c r="CO300" s="210"/>
      <c r="CP300" s="210"/>
      <c r="CQ300" s="210"/>
      <c r="CR300" s="210"/>
      <c r="CS300" s="210"/>
      <c r="CT300" s="210"/>
      <c r="CW300" s="970" t="str">
        <f>IF(AND(ISNUMBER(VALUE(TRIM(SUBSTITUTE(AD300,".","")))),TRIM(SUBSTITUTE(AD300,".",""))&lt;&gt;""),"P"&amp;SUBSTITUTE(AD300,".",""),"")</f>
        <v/>
      </c>
      <c r="CX300" s="975"/>
      <c r="CY300" s="975"/>
      <c r="CZ300" s="975"/>
      <c r="DA300" s="976"/>
      <c r="DB300" s="976"/>
    </row>
    <row r="301" spans="1:106" s="1229" customFormat="1" ht="16.5" hidden="1" customHeight="1">
      <c r="A301" s="1155"/>
      <c r="B301" s="783"/>
      <c r="C301" s="1155"/>
      <c r="D301" s="1155"/>
      <c r="E301" s="676">
        <v>17.100000000000001</v>
      </c>
      <c r="F301" s="779" t="str" cm="1">
        <f t="array" aca="1" ref="F301" ca="1">OFFSET(G301,-1,-1)</f>
        <v>2</v>
      </c>
      <c r="G301" s="814"/>
      <c r="H301" s="814"/>
      <c r="I301" s="814"/>
      <c r="J301" s="814"/>
      <c r="K301" s="814"/>
      <c r="L301" s="779" t="b" cm="1">
        <f t="array" aca="1" ref="L301" ca="1">OFFSET(M301,-1,-1)</f>
        <v>0</v>
      </c>
      <c r="M301" s="814"/>
      <c r="N301" s="814"/>
      <c r="O301" s="814"/>
      <c r="P301" s="814"/>
      <c r="Q301" s="814"/>
      <c r="R301" s="779" t="s">
        <v>759</v>
      </c>
      <c r="S301" s="110" t="b" cm="1">
        <f t="array" aca="1" ref="S301" ca="1">OFFSET(T301,-1,-1)</f>
        <v>1</v>
      </c>
      <c r="T301" s="110" t="b" cm="1">
        <f t="array" aca="1" ref="T301" ca="1">L301</f>
        <v>0</v>
      </c>
      <c r="U301" s="698" t="b">
        <f t="shared" ca="1" si="343"/>
        <v>0</v>
      </c>
      <c r="V301" s="1155"/>
      <c r="W301" s="1155"/>
      <c r="X301" s="1155"/>
      <c r="Y301" s="1687"/>
      <c r="Z301" s="1687"/>
      <c r="AA301" s="699"/>
      <c r="AB301" s="1752" t="s">
        <v>760</v>
      </c>
      <c r="AD301" s="111">
        <v>1</v>
      </c>
      <c r="AE301" s="1759" t="s">
        <v>761</v>
      </c>
      <c r="AF301" s="1760"/>
      <c r="AG301" s="111" t="s">
        <v>762</v>
      </c>
      <c r="AH301" s="41"/>
      <c r="AI301" s="42"/>
      <c r="AJ301" s="42"/>
      <c r="AK301" s="42"/>
      <c r="AL301" s="736">
        <f>AM301+AN301</f>
        <v>0</v>
      </c>
      <c r="AM301" s="42"/>
      <c r="AN301" s="42"/>
      <c r="AO301" s="736">
        <f>AP301+AQ301</f>
        <v>0</v>
      </c>
      <c r="AP301" s="826"/>
      <c r="AQ301" s="826"/>
      <c r="AR301" s="736">
        <f>AS301+AT301</f>
        <v>0</v>
      </c>
      <c r="AS301" s="826"/>
      <c r="AT301" s="826"/>
      <c r="AU301" s="736">
        <f>AV301+AW301</f>
        <v>0</v>
      </c>
      <c r="AV301" s="826"/>
      <c r="AW301" s="826"/>
      <c r="AX301" s="736">
        <f>AY301+AZ301</f>
        <v>0</v>
      </c>
      <c r="AY301" s="826"/>
      <c r="AZ301" s="826"/>
      <c r="BA301" s="736">
        <f>BB301+BC301</f>
        <v>0</v>
      </c>
      <c r="BB301" s="42"/>
      <c r="BC301" s="42"/>
      <c r="BD301" s="736">
        <f>BE301+BF301</f>
        <v>0</v>
      </c>
      <c r="BE301" s="42"/>
      <c r="BF301" s="42"/>
      <c r="BG301" s="736">
        <f>BH301+BI301</f>
        <v>0</v>
      </c>
      <c r="BH301" s="42"/>
      <c r="BI301" s="42"/>
      <c r="BJ301" s="736">
        <f>BK301+BL301</f>
        <v>0</v>
      </c>
      <c r="BK301" s="42"/>
      <c r="BL301" s="42"/>
      <c r="BM301" s="736">
        <f>BN301+BO301</f>
        <v>0</v>
      </c>
      <c r="BN301" s="42"/>
      <c r="BO301" s="42"/>
      <c r="BP301" s="736">
        <f>BQ301+BR301</f>
        <v>0</v>
      </c>
      <c r="BQ301" s="826"/>
      <c r="BR301" s="826"/>
      <c r="BS301" s="736">
        <f>BT301+BU301</f>
        <v>0</v>
      </c>
      <c r="BT301" s="826"/>
      <c r="BU301" s="826"/>
      <c r="BV301" s="736">
        <f>BW301+BX301</f>
        <v>0</v>
      </c>
      <c r="BW301" s="826"/>
      <c r="BX301" s="826"/>
      <c r="BY301" s="736">
        <f>BZ301+CA301</f>
        <v>0</v>
      </c>
      <c r="BZ301" s="826"/>
      <c r="CA301" s="826"/>
      <c r="CB301" s="736">
        <f>CC301+CD301</f>
        <v>0</v>
      </c>
      <c r="CC301" s="826"/>
      <c r="CD301" s="826"/>
      <c r="CE301" s="736">
        <f>CF301+CG301</f>
        <v>0</v>
      </c>
      <c r="CF301" s="42"/>
      <c r="CG301" s="42"/>
      <c r="CH301" s="736">
        <f>CI301+CJ301</f>
        <v>0</v>
      </c>
      <c r="CI301" s="42"/>
      <c r="CJ301" s="42"/>
      <c r="CK301" s="736">
        <f>CL301+CM301</f>
        <v>0</v>
      </c>
      <c r="CL301" s="42"/>
      <c r="CM301" s="42"/>
      <c r="CN301" s="736">
        <f>CO301+CP301</f>
        <v>0</v>
      </c>
      <c r="CO301" s="42"/>
      <c r="CP301" s="42"/>
      <c r="CQ301" s="736">
        <f>CR301+CS301</f>
        <v>0</v>
      </c>
      <c r="CR301" s="42"/>
      <c r="CS301" s="42"/>
      <c r="CT301" s="28"/>
      <c r="CW301" s="970" t="s">
        <v>763</v>
      </c>
      <c r="CX301" s="975"/>
      <c r="CY301" s="975"/>
      <c r="CZ301" s="975"/>
      <c r="DA301" s="976"/>
      <c r="DB301" s="976"/>
    </row>
    <row r="302" spans="1:106" s="1229" customFormat="1" ht="16.5" hidden="1" customHeight="1">
      <c r="A302" s="1155"/>
      <c r="B302" s="783"/>
      <c r="C302" s="1155"/>
      <c r="D302" s="1155"/>
      <c r="E302" s="676">
        <v>17.100000000000001</v>
      </c>
      <c r="F302" s="779" t="str" cm="1">
        <f t="array" aca="1" ref="F302" ca="1">OFFSET(G302,-1,-1)</f>
        <v>2</v>
      </c>
      <c r="G302" s="814"/>
      <c r="H302" s="814"/>
      <c r="I302" s="814"/>
      <c r="J302" s="814"/>
      <c r="K302" s="814"/>
      <c r="L302" s="779" t="b" cm="1">
        <f t="array" aca="1" ref="L302" ca="1">OFFSET(M302,-1,-1)</f>
        <v>0</v>
      </c>
      <c r="M302" s="814"/>
      <c r="N302" s="814"/>
      <c r="O302" s="814"/>
      <c r="P302" s="814"/>
      <c r="Q302" s="814"/>
      <c r="R302" s="779" t="s">
        <v>759</v>
      </c>
      <c r="S302" s="110" t="b" cm="1">
        <f t="array" aca="1" ref="S302" ca="1">OFFSET(T302,-1,-1)</f>
        <v>1</v>
      </c>
      <c r="T302" s="110" t="b" cm="1">
        <f t="array" aca="1" ref="T302" ca="1">T301</f>
        <v>0</v>
      </c>
      <c r="U302" s="698" t="b">
        <f t="shared" ca="1" si="343"/>
        <v>0</v>
      </c>
      <c r="V302" s="1155"/>
      <c r="W302" s="1155"/>
      <c r="X302" s="1155"/>
      <c r="Y302" s="1687"/>
      <c r="Z302" s="1687"/>
      <c r="AA302" s="699"/>
      <c r="AB302" s="1753"/>
      <c r="AD302" s="111">
        <v>2</v>
      </c>
      <c r="AE302" s="1759" t="s">
        <v>764</v>
      </c>
      <c r="AF302" s="1760"/>
      <c r="AG302" s="111" t="s">
        <v>762</v>
      </c>
      <c r="AH302" s="734">
        <f t="shared" ref="AH302:BM302" si="368">AH303+AH305</f>
        <v>0</v>
      </c>
      <c r="AI302" s="736">
        <f t="shared" si="368"/>
        <v>0</v>
      </c>
      <c r="AJ302" s="736">
        <f t="shared" si="368"/>
        <v>0</v>
      </c>
      <c r="AK302" s="736">
        <f t="shared" si="368"/>
        <v>0</v>
      </c>
      <c r="AL302" s="736">
        <f t="shared" si="368"/>
        <v>0</v>
      </c>
      <c r="AM302" s="736">
        <f t="shared" si="368"/>
        <v>0</v>
      </c>
      <c r="AN302" s="736">
        <f t="shared" si="368"/>
        <v>0</v>
      </c>
      <c r="AO302" s="736">
        <f t="shared" si="368"/>
        <v>0</v>
      </c>
      <c r="AP302" s="736">
        <f t="shared" si="368"/>
        <v>0</v>
      </c>
      <c r="AQ302" s="736">
        <f t="shared" si="368"/>
        <v>0</v>
      </c>
      <c r="AR302" s="736">
        <f t="shared" si="368"/>
        <v>0</v>
      </c>
      <c r="AS302" s="736">
        <f t="shared" si="368"/>
        <v>0</v>
      </c>
      <c r="AT302" s="736">
        <f t="shared" si="368"/>
        <v>0</v>
      </c>
      <c r="AU302" s="736">
        <f t="shared" si="368"/>
        <v>0</v>
      </c>
      <c r="AV302" s="736">
        <f t="shared" si="368"/>
        <v>0</v>
      </c>
      <c r="AW302" s="736">
        <f t="shared" si="368"/>
        <v>0</v>
      </c>
      <c r="AX302" s="736">
        <f t="shared" si="368"/>
        <v>0</v>
      </c>
      <c r="AY302" s="736">
        <f t="shared" si="368"/>
        <v>0</v>
      </c>
      <c r="AZ302" s="736">
        <f t="shared" si="368"/>
        <v>0</v>
      </c>
      <c r="BA302" s="736">
        <f t="shared" si="368"/>
        <v>0</v>
      </c>
      <c r="BB302" s="736">
        <f t="shared" si="368"/>
        <v>0</v>
      </c>
      <c r="BC302" s="736">
        <f t="shared" si="368"/>
        <v>0</v>
      </c>
      <c r="BD302" s="736">
        <f t="shared" si="368"/>
        <v>0</v>
      </c>
      <c r="BE302" s="736">
        <f t="shared" si="368"/>
        <v>0</v>
      </c>
      <c r="BF302" s="736">
        <f t="shared" si="368"/>
        <v>0</v>
      </c>
      <c r="BG302" s="736">
        <f t="shared" si="368"/>
        <v>0</v>
      </c>
      <c r="BH302" s="736">
        <f t="shared" si="368"/>
        <v>0</v>
      </c>
      <c r="BI302" s="736">
        <f t="shared" si="368"/>
        <v>0</v>
      </c>
      <c r="BJ302" s="736">
        <f t="shared" si="368"/>
        <v>0</v>
      </c>
      <c r="BK302" s="736">
        <f t="shared" si="368"/>
        <v>0</v>
      </c>
      <c r="BL302" s="736">
        <f t="shared" si="368"/>
        <v>0</v>
      </c>
      <c r="BM302" s="736">
        <f t="shared" si="368"/>
        <v>0</v>
      </c>
      <c r="BN302" s="736">
        <f t="shared" ref="BN302:CS302" si="369">BN303+BN305</f>
        <v>0</v>
      </c>
      <c r="BO302" s="736">
        <f t="shared" si="369"/>
        <v>0</v>
      </c>
      <c r="BP302" s="736">
        <f t="shared" si="369"/>
        <v>0</v>
      </c>
      <c r="BQ302" s="736">
        <f t="shared" si="369"/>
        <v>0</v>
      </c>
      <c r="BR302" s="736">
        <f t="shared" si="369"/>
        <v>0</v>
      </c>
      <c r="BS302" s="736">
        <f t="shared" si="369"/>
        <v>0</v>
      </c>
      <c r="BT302" s="736">
        <f t="shared" si="369"/>
        <v>0</v>
      </c>
      <c r="BU302" s="736">
        <f t="shared" si="369"/>
        <v>0</v>
      </c>
      <c r="BV302" s="736">
        <f t="shared" si="369"/>
        <v>0</v>
      </c>
      <c r="BW302" s="736">
        <f t="shared" si="369"/>
        <v>0</v>
      </c>
      <c r="BX302" s="736">
        <f t="shared" si="369"/>
        <v>0</v>
      </c>
      <c r="BY302" s="736">
        <f t="shared" si="369"/>
        <v>0</v>
      </c>
      <c r="BZ302" s="736">
        <f t="shared" si="369"/>
        <v>0</v>
      </c>
      <c r="CA302" s="736">
        <f t="shared" si="369"/>
        <v>0</v>
      </c>
      <c r="CB302" s="736">
        <f t="shared" si="369"/>
        <v>0</v>
      </c>
      <c r="CC302" s="736">
        <f t="shared" si="369"/>
        <v>0</v>
      </c>
      <c r="CD302" s="736">
        <f t="shared" si="369"/>
        <v>0</v>
      </c>
      <c r="CE302" s="736">
        <f t="shared" si="369"/>
        <v>0</v>
      </c>
      <c r="CF302" s="736">
        <f t="shared" si="369"/>
        <v>0</v>
      </c>
      <c r="CG302" s="736">
        <f t="shared" si="369"/>
        <v>0</v>
      </c>
      <c r="CH302" s="736">
        <f t="shared" si="369"/>
        <v>0</v>
      </c>
      <c r="CI302" s="736">
        <f t="shared" si="369"/>
        <v>0</v>
      </c>
      <c r="CJ302" s="736">
        <f t="shared" si="369"/>
        <v>0</v>
      </c>
      <c r="CK302" s="736">
        <f t="shared" si="369"/>
        <v>0</v>
      </c>
      <c r="CL302" s="736">
        <f t="shared" si="369"/>
        <v>0</v>
      </c>
      <c r="CM302" s="736">
        <f t="shared" si="369"/>
        <v>0</v>
      </c>
      <c r="CN302" s="736">
        <f t="shared" si="369"/>
        <v>0</v>
      </c>
      <c r="CO302" s="736">
        <f t="shared" si="369"/>
        <v>0</v>
      </c>
      <c r="CP302" s="736">
        <f t="shared" si="369"/>
        <v>0</v>
      </c>
      <c r="CQ302" s="736">
        <f t="shared" si="369"/>
        <v>0</v>
      </c>
      <c r="CR302" s="736">
        <f t="shared" si="369"/>
        <v>0</v>
      </c>
      <c r="CS302" s="736">
        <f t="shared" si="369"/>
        <v>0</v>
      </c>
      <c r="CT302" s="28"/>
      <c r="CW302" s="970" t="s">
        <v>765</v>
      </c>
      <c r="CX302" s="975"/>
      <c r="CY302" s="975"/>
      <c r="CZ302" s="975"/>
      <c r="DA302" s="976"/>
      <c r="DB302" s="976"/>
    </row>
    <row r="303" spans="1:106" s="1229" customFormat="1" ht="16.5" hidden="1" customHeight="1">
      <c r="A303" s="1155"/>
      <c r="B303" s="783"/>
      <c r="C303" s="1155"/>
      <c r="D303" s="1155"/>
      <c r="E303" s="676">
        <v>17.100000000000001</v>
      </c>
      <c r="F303" s="779" t="str" cm="1">
        <f t="array" aca="1" ref="F303" ca="1">OFFSET(G303,-1,-1)</f>
        <v>2</v>
      </c>
      <c r="G303" s="814"/>
      <c r="H303" s="814"/>
      <c r="I303" s="814"/>
      <c r="J303" s="814"/>
      <c r="K303" s="814"/>
      <c r="L303" s="779" t="b" cm="1">
        <f t="array" aca="1" ref="L303" ca="1">OFFSET(M303,-1,-1)</f>
        <v>0</v>
      </c>
      <c r="M303" s="814"/>
      <c r="N303" s="814"/>
      <c r="O303" s="814"/>
      <c r="P303" s="814"/>
      <c r="Q303" s="814"/>
      <c r="R303" s="779" t="s">
        <v>759</v>
      </c>
      <c r="S303" s="110" t="b" cm="1">
        <f t="array" aca="1" ref="S303" ca="1">OFFSET(T303,-1,-1)</f>
        <v>1</v>
      </c>
      <c r="T303" s="110" t="b" cm="1">
        <f t="array" aca="1" ref="T303" ca="1">T302</f>
        <v>0</v>
      </c>
      <c r="U303" s="698" t="b">
        <f t="shared" ca="1" si="343"/>
        <v>0</v>
      </c>
      <c r="V303" s="1155"/>
      <c r="W303" s="1155"/>
      <c r="X303" s="1155"/>
      <c r="Y303" s="1687"/>
      <c r="Z303" s="1687"/>
      <c r="AA303" s="699"/>
      <c r="AB303" s="1753"/>
      <c r="AD303" s="111" t="s">
        <v>491</v>
      </c>
      <c r="AE303" s="1770" t="s">
        <v>766</v>
      </c>
      <c r="AF303" s="1771"/>
      <c r="AG303" s="111" t="s">
        <v>762</v>
      </c>
      <c r="AH303" s="41"/>
      <c r="AI303" s="42"/>
      <c r="AJ303" s="42"/>
      <c r="AK303" s="42"/>
      <c r="AL303" s="736">
        <f>AM303+AN303</f>
        <v>0</v>
      </c>
      <c r="AM303" s="42"/>
      <c r="AN303" s="42"/>
      <c r="AO303" s="736">
        <f>AP303+AQ303</f>
        <v>0</v>
      </c>
      <c r="AP303" s="826"/>
      <c r="AQ303" s="826"/>
      <c r="AR303" s="736">
        <f>AS303+AT303</f>
        <v>0</v>
      </c>
      <c r="AS303" s="826"/>
      <c r="AT303" s="826"/>
      <c r="AU303" s="736">
        <f>AV303+AW303</f>
        <v>0</v>
      </c>
      <c r="AV303" s="826"/>
      <c r="AW303" s="826"/>
      <c r="AX303" s="736">
        <f>AY303+AZ303</f>
        <v>0</v>
      </c>
      <c r="AY303" s="826"/>
      <c r="AZ303" s="826"/>
      <c r="BA303" s="736">
        <f>BB303+BC303</f>
        <v>0</v>
      </c>
      <c r="BB303" s="42"/>
      <c r="BC303" s="42"/>
      <c r="BD303" s="736">
        <f>BE303+BF303</f>
        <v>0</v>
      </c>
      <c r="BE303" s="42"/>
      <c r="BF303" s="42"/>
      <c r="BG303" s="736">
        <f>BH303+BI303</f>
        <v>0</v>
      </c>
      <c r="BH303" s="42"/>
      <c r="BI303" s="42"/>
      <c r="BJ303" s="736">
        <f>BK303+BL303</f>
        <v>0</v>
      </c>
      <c r="BK303" s="42"/>
      <c r="BL303" s="42"/>
      <c r="BM303" s="736">
        <f>BN303+BO303</f>
        <v>0</v>
      </c>
      <c r="BN303" s="42"/>
      <c r="BO303" s="42"/>
      <c r="BP303" s="736">
        <f>BQ303+BR303</f>
        <v>0</v>
      </c>
      <c r="BQ303" s="826"/>
      <c r="BR303" s="826"/>
      <c r="BS303" s="736">
        <f>BT303+BU303</f>
        <v>0</v>
      </c>
      <c r="BT303" s="826"/>
      <c r="BU303" s="826"/>
      <c r="BV303" s="736">
        <f>BW303+BX303</f>
        <v>0</v>
      </c>
      <c r="BW303" s="826"/>
      <c r="BX303" s="826"/>
      <c r="BY303" s="736">
        <f>BZ303+CA303</f>
        <v>0</v>
      </c>
      <c r="BZ303" s="826"/>
      <c r="CA303" s="826"/>
      <c r="CB303" s="736">
        <f>CC303+CD303</f>
        <v>0</v>
      </c>
      <c r="CC303" s="826"/>
      <c r="CD303" s="826"/>
      <c r="CE303" s="736">
        <f>CF303+CG303</f>
        <v>0</v>
      </c>
      <c r="CF303" s="42"/>
      <c r="CG303" s="42"/>
      <c r="CH303" s="736">
        <f>CI303+CJ303</f>
        <v>0</v>
      </c>
      <c r="CI303" s="42"/>
      <c r="CJ303" s="42"/>
      <c r="CK303" s="736">
        <f>CL303+CM303</f>
        <v>0</v>
      </c>
      <c r="CL303" s="42"/>
      <c r="CM303" s="42"/>
      <c r="CN303" s="736">
        <f>CO303+CP303</f>
        <v>0</v>
      </c>
      <c r="CO303" s="42"/>
      <c r="CP303" s="42"/>
      <c r="CQ303" s="736">
        <f>CR303+CS303</f>
        <v>0</v>
      </c>
      <c r="CR303" s="42"/>
      <c r="CS303" s="42"/>
      <c r="CT303" s="28"/>
      <c r="CW303" s="970" t="s">
        <v>767</v>
      </c>
      <c r="CX303" s="975"/>
      <c r="CY303" s="975"/>
      <c r="CZ303" s="975"/>
      <c r="DA303" s="976"/>
      <c r="DB303" s="976"/>
    </row>
    <row r="304" spans="1:106" s="1229" customFormat="1" ht="16.5" hidden="1" customHeight="1">
      <c r="A304" s="1155"/>
      <c r="B304" s="783"/>
      <c r="C304" s="1155"/>
      <c r="D304" s="1155"/>
      <c r="E304" s="676">
        <v>17.100000000000001</v>
      </c>
      <c r="F304" s="779" t="str" cm="1">
        <f t="array" aca="1" ref="F304" ca="1">OFFSET(G304,-1,-1)</f>
        <v>2</v>
      </c>
      <c r="G304" s="814"/>
      <c r="H304" s="814"/>
      <c r="I304" s="814"/>
      <c r="J304" s="814"/>
      <c r="K304" s="814"/>
      <c r="L304" s="779" t="b" cm="1">
        <f t="array" aca="1" ref="L304" ca="1">OFFSET(M304,-1,-1)</f>
        <v>0</v>
      </c>
      <c r="M304" s="814"/>
      <c r="N304" s="814"/>
      <c r="O304" s="814"/>
      <c r="P304" s="814"/>
      <c r="Q304" s="814"/>
      <c r="R304" s="779" t="s">
        <v>759</v>
      </c>
      <c r="S304" s="110" t="b" cm="1">
        <f t="array" aca="1" ref="S304" ca="1">OFFSET(T304,-1,-1)</f>
        <v>1</v>
      </c>
      <c r="T304" s="110" t="b" cm="1">
        <f t="array" aca="1" ref="T304" ca="1">T303</f>
        <v>0</v>
      </c>
      <c r="U304" s="698" t="b">
        <f t="shared" ca="1" si="343"/>
        <v>0</v>
      </c>
      <c r="V304" s="1155"/>
      <c r="W304" s="1155"/>
      <c r="X304" s="1155"/>
      <c r="Y304" s="1687"/>
      <c r="Z304" s="1687"/>
      <c r="AA304" s="699"/>
      <c r="AB304" s="1753"/>
      <c r="AD304" s="111" t="s">
        <v>494</v>
      </c>
      <c r="AE304" s="1772" t="s">
        <v>768</v>
      </c>
      <c r="AF304" s="1773"/>
      <c r="AG304" s="111" t="s">
        <v>533</v>
      </c>
      <c r="AH304" s="740">
        <f t="shared" ref="AH304:BM304" si="370">IFERROR(AH303/AH301,0)</f>
        <v>0</v>
      </c>
      <c r="AI304" s="741">
        <f t="shared" si="370"/>
        <v>0</v>
      </c>
      <c r="AJ304" s="741">
        <f t="shared" si="370"/>
        <v>0</v>
      </c>
      <c r="AK304" s="741">
        <f t="shared" si="370"/>
        <v>0</v>
      </c>
      <c r="AL304" s="741">
        <f t="shared" si="370"/>
        <v>0</v>
      </c>
      <c r="AM304" s="741">
        <f t="shared" si="370"/>
        <v>0</v>
      </c>
      <c r="AN304" s="741">
        <f t="shared" si="370"/>
        <v>0</v>
      </c>
      <c r="AO304" s="741">
        <f t="shared" si="370"/>
        <v>0</v>
      </c>
      <c r="AP304" s="741">
        <f t="shared" si="370"/>
        <v>0</v>
      </c>
      <c r="AQ304" s="741">
        <f t="shared" si="370"/>
        <v>0</v>
      </c>
      <c r="AR304" s="741">
        <f t="shared" si="370"/>
        <v>0</v>
      </c>
      <c r="AS304" s="741">
        <f t="shared" si="370"/>
        <v>0</v>
      </c>
      <c r="AT304" s="741">
        <f t="shared" si="370"/>
        <v>0</v>
      </c>
      <c r="AU304" s="741">
        <f t="shared" si="370"/>
        <v>0</v>
      </c>
      <c r="AV304" s="741">
        <f t="shared" si="370"/>
        <v>0</v>
      </c>
      <c r="AW304" s="741">
        <f t="shared" si="370"/>
        <v>0</v>
      </c>
      <c r="AX304" s="741">
        <f t="shared" si="370"/>
        <v>0</v>
      </c>
      <c r="AY304" s="741">
        <f t="shared" si="370"/>
        <v>0</v>
      </c>
      <c r="AZ304" s="741">
        <f t="shared" si="370"/>
        <v>0</v>
      </c>
      <c r="BA304" s="741">
        <f t="shared" si="370"/>
        <v>0</v>
      </c>
      <c r="BB304" s="741">
        <f t="shared" si="370"/>
        <v>0</v>
      </c>
      <c r="BC304" s="741">
        <f t="shared" si="370"/>
        <v>0</v>
      </c>
      <c r="BD304" s="741">
        <f t="shared" si="370"/>
        <v>0</v>
      </c>
      <c r="BE304" s="741">
        <f t="shared" si="370"/>
        <v>0</v>
      </c>
      <c r="BF304" s="741">
        <f t="shared" si="370"/>
        <v>0</v>
      </c>
      <c r="BG304" s="741">
        <f t="shared" si="370"/>
        <v>0</v>
      </c>
      <c r="BH304" s="741">
        <f t="shared" si="370"/>
        <v>0</v>
      </c>
      <c r="BI304" s="741">
        <f t="shared" si="370"/>
        <v>0</v>
      </c>
      <c r="BJ304" s="741">
        <f t="shared" si="370"/>
        <v>0</v>
      </c>
      <c r="BK304" s="741">
        <f t="shared" si="370"/>
        <v>0</v>
      </c>
      <c r="BL304" s="741">
        <f t="shared" si="370"/>
        <v>0</v>
      </c>
      <c r="BM304" s="741">
        <f t="shared" si="370"/>
        <v>0</v>
      </c>
      <c r="BN304" s="741">
        <f t="shared" ref="BN304:CS304" si="371">IFERROR(BN303/BN301,0)</f>
        <v>0</v>
      </c>
      <c r="BO304" s="741">
        <f t="shared" si="371"/>
        <v>0</v>
      </c>
      <c r="BP304" s="741">
        <f t="shared" si="371"/>
        <v>0</v>
      </c>
      <c r="BQ304" s="741">
        <f t="shared" si="371"/>
        <v>0</v>
      </c>
      <c r="BR304" s="741">
        <f t="shared" si="371"/>
        <v>0</v>
      </c>
      <c r="BS304" s="741">
        <f t="shared" si="371"/>
        <v>0</v>
      </c>
      <c r="BT304" s="741">
        <f t="shared" si="371"/>
        <v>0</v>
      </c>
      <c r="BU304" s="741">
        <f t="shared" si="371"/>
        <v>0</v>
      </c>
      <c r="BV304" s="741">
        <f t="shared" si="371"/>
        <v>0</v>
      </c>
      <c r="BW304" s="741">
        <f t="shared" si="371"/>
        <v>0</v>
      </c>
      <c r="BX304" s="741">
        <f t="shared" si="371"/>
        <v>0</v>
      </c>
      <c r="BY304" s="741">
        <f t="shared" si="371"/>
        <v>0</v>
      </c>
      <c r="BZ304" s="741">
        <f t="shared" si="371"/>
        <v>0</v>
      </c>
      <c r="CA304" s="741">
        <f t="shared" si="371"/>
        <v>0</v>
      </c>
      <c r="CB304" s="741">
        <f t="shared" si="371"/>
        <v>0</v>
      </c>
      <c r="CC304" s="741">
        <f t="shared" si="371"/>
        <v>0</v>
      </c>
      <c r="CD304" s="741">
        <f t="shared" si="371"/>
        <v>0</v>
      </c>
      <c r="CE304" s="741">
        <f t="shared" si="371"/>
        <v>0</v>
      </c>
      <c r="CF304" s="741">
        <f t="shared" si="371"/>
        <v>0</v>
      </c>
      <c r="CG304" s="741">
        <f t="shared" si="371"/>
        <v>0</v>
      </c>
      <c r="CH304" s="741">
        <f t="shared" si="371"/>
        <v>0</v>
      </c>
      <c r="CI304" s="741">
        <f t="shared" si="371"/>
        <v>0</v>
      </c>
      <c r="CJ304" s="741">
        <f t="shared" si="371"/>
        <v>0</v>
      </c>
      <c r="CK304" s="741">
        <f t="shared" si="371"/>
        <v>0</v>
      </c>
      <c r="CL304" s="741">
        <f t="shared" si="371"/>
        <v>0</v>
      </c>
      <c r="CM304" s="741">
        <f t="shared" si="371"/>
        <v>0</v>
      </c>
      <c r="CN304" s="741">
        <f t="shared" si="371"/>
        <v>0</v>
      </c>
      <c r="CO304" s="741">
        <f t="shared" si="371"/>
        <v>0</v>
      </c>
      <c r="CP304" s="741">
        <f t="shared" si="371"/>
        <v>0</v>
      </c>
      <c r="CQ304" s="741">
        <f t="shared" si="371"/>
        <v>0</v>
      </c>
      <c r="CR304" s="741">
        <f t="shared" si="371"/>
        <v>0</v>
      </c>
      <c r="CS304" s="741">
        <f t="shared" si="371"/>
        <v>0</v>
      </c>
      <c r="CT304" s="28"/>
      <c r="CW304" s="970" t="s">
        <v>769</v>
      </c>
      <c r="CX304" s="975"/>
      <c r="CY304" s="975"/>
      <c r="CZ304" s="975"/>
      <c r="DA304" s="976"/>
      <c r="DB304" s="976"/>
    </row>
    <row r="305" spans="1:106" s="1229" customFormat="1" ht="16.5" hidden="1" customHeight="1">
      <c r="A305" s="1155"/>
      <c r="B305" s="783"/>
      <c r="C305" s="1155"/>
      <c r="D305" s="1155"/>
      <c r="E305" s="676">
        <v>17.100000000000001</v>
      </c>
      <c r="F305" s="779" t="str" cm="1">
        <f t="array" aca="1" ref="F305" ca="1">OFFSET(G305,-1,-1)</f>
        <v>2</v>
      </c>
      <c r="G305" s="814"/>
      <c r="H305" s="814"/>
      <c r="I305" s="814"/>
      <c r="J305" s="814"/>
      <c r="K305" s="814"/>
      <c r="L305" s="779" t="b" cm="1">
        <f t="array" aca="1" ref="L305" ca="1">OFFSET(M305,-1,-1)</f>
        <v>0</v>
      </c>
      <c r="M305" s="814"/>
      <c r="N305" s="814"/>
      <c r="O305" s="814"/>
      <c r="P305" s="814"/>
      <c r="Q305" s="814"/>
      <c r="R305" s="779" t="s">
        <v>759</v>
      </c>
      <c r="S305" s="110" t="b" cm="1">
        <f t="array" aca="1" ref="S305" ca="1">OFFSET(T305,-1,-1)</f>
        <v>1</v>
      </c>
      <c r="T305" s="110" t="b" cm="1">
        <f t="array" aca="1" ref="T305" ca="1">T304</f>
        <v>0</v>
      </c>
      <c r="U305" s="698" t="b">
        <f t="shared" ca="1" si="343"/>
        <v>0</v>
      </c>
      <c r="V305" s="1155"/>
      <c r="W305" s="1155"/>
      <c r="X305" s="1155"/>
      <c r="Y305" s="1687"/>
      <c r="Z305" s="1687"/>
      <c r="AA305" s="699"/>
      <c r="AB305" s="1753"/>
      <c r="AD305" s="111" t="s">
        <v>518</v>
      </c>
      <c r="AE305" s="1770" t="s">
        <v>770</v>
      </c>
      <c r="AF305" s="1771"/>
      <c r="AG305" s="111" t="s">
        <v>762</v>
      </c>
      <c r="AH305" s="41"/>
      <c r="AI305" s="42"/>
      <c r="AJ305" s="42"/>
      <c r="AK305" s="42"/>
      <c r="AL305" s="736">
        <f>AM305+AN305</f>
        <v>0</v>
      </c>
      <c r="AM305" s="42"/>
      <c r="AN305" s="42"/>
      <c r="AO305" s="736">
        <f>AP305+AQ305</f>
        <v>0</v>
      </c>
      <c r="AP305" s="826"/>
      <c r="AQ305" s="826"/>
      <c r="AR305" s="736">
        <f>AS305+AT305</f>
        <v>0</v>
      </c>
      <c r="AS305" s="826"/>
      <c r="AT305" s="826"/>
      <c r="AU305" s="736">
        <f>AV305+AW305</f>
        <v>0</v>
      </c>
      <c r="AV305" s="826"/>
      <c r="AW305" s="826"/>
      <c r="AX305" s="736">
        <f>AY305+AZ305</f>
        <v>0</v>
      </c>
      <c r="AY305" s="826"/>
      <c r="AZ305" s="826"/>
      <c r="BA305" s="736">
        <f>BB305+BC305</f>
        <v>0</v>
      </c>
      <c r="BB305" s="42"/>
      <c r="BC305" s="42"/>
      <c r="BD305" s="736">
        <f>BE305+BF305</f>
        <v>0</v>
      </c>
      <c r="BE305" s="42"/>
      <c r="BF305" s="42"/>
      <c r="BG305" s="736">
        <f>BH305+BI305</f>
        <v>0</v>
      </c>
      <c r="BH305" s="42"/>
      <c r="BI305" s="42"/>
      <c r="BJ305" s="736">
        <f>BK305+BL305</f>
        <v>0</v>
      </c>
      <c r="BK305" s="42"/>
      <c r="BL305" s="42"/>
      <c r="BM305" s="736">
        <f>BN305+BO305</f>
        <v>0</v>
      </c>
      <c r="BN305" s="42"/>
      <c r="BO305" s="42"/>
      <c r="BP305" s="736">
        <f>BQ305+BR305</f>
        <v>0</v>
      </c>
      <c r="BQ305" s="826"/>
      <c r="BR305" s="826"/>
      <c r="BS305" s="736">
        <f>BT305+BU305</f>
        <v>0</v>
      </c>
      <c r="BT305" s="826"/>
      <c r="BU305" s="826"/>
      <c r="BV305" s="736">
        <f>BW305+BX305</f>
        <v>0</v>
      </c>
      <c r="BW305" s="826"/>
      <c r="BX305" s="826"/>
      <c r="BY305" s="736">
        <f>BZ305+CA305</f>
        <v>0</v>
      </c>
      <c r="BZ305" s="826"/>
      <c r="CA305" s="826"/>
      <c r="CB305" s="736">
        <f>CC305+CD305</f>
        <v>0</v>
      </c>
      <c r="CC305" s="826"/>
      <c r="CD305" s="826"/>
      <c r="CE305" s="736">
        <f>CF305+CG305</f>
        <v>0</v>
      </c>
      <c r="CF305" s="42"/>
      <c r="CG305" s="42"/>
      <c r="CH305" s="736">
        <f>CI305+CJ305</f>
        <v>0</v>
      </c>
      <c r="CI305" s="42"/>
      <c r="CJ305" s="42"/>
      <c r="CK305" s="736">
        <f>CL305+CM305</f>
        <v>0</v>
      </c>
      <c r="CL305" s="42"/>
      <c r="CM305" s="42"/>
      <c r="CN305" s="736">
        <f>CO305+CP305</f>
        <v>0</v>
      </c>
      <c r="CO305" s="42"/>
      <c r="CP305" s="42"/>
      <c r="CQ305" s="736">
        <f>CR305+CS305</f>
        <v>0</v>
      </c>
      <c r="CR305" s="42"/>
      <c r="CS305" s="42"/>
      <c r="CT305" s="28"/>
      <c r="CW305" s="970" t="s">
        <v>771</v>
      </c>
      <c r="CX305" s="975"/>
      <c r="CY305" s="975"/>
      <c r="CZ305" s="975"/>
      <c r="DA305" s="976"/>
      <c r="DB305" s="976"/>
    </row>
    <row r="306" spans="1:106" s="1229" customFormat="1" ht="16.5" hidden="1" customHeight="1">
      <c r="A306" s="1155"/>
      <c r="B306" s="783"/>
      <c r="C306" s="1155"/>
      <c r="D306" s="1155"/>
      <c r="E306" s="676">
        <v>17.100000000000001</v>
      </c>
      <c r="F306" s="779" t="str" cm="1">
        <f t="array" aca="1" ref="F306" ca="1">OFFSET(G306,-1,-1)</f>
        <v>2</v>
      </c>
      <c r="G306" s="814"/>
      <c r="H306" s="814"/>
      <c r="I306" s="814"/>
      <c r="J306" s="814"/>
      <c r="K306" s="814"/>
      <c r="L306" s="779" t="b" cm="1">
        <f t="array" aca="1" ref="L306" ca="1">OFFSET(M306,-1,-1)</f>
        <v>0</v>
      </c>
      <c r="M306" s="814"/>
      <c r="N306" s="814"/>
      <c r="O306" s="814"/>
      <c r="P306" s="814"/>
      <c r="Q306" s="814"/>
      <c r="R306" s="779" t="s">
        <v>759</v>
      </c>
      <c r="S306" s="110" t="b" cm="1">
        <f t="array" aca="1" ref="S306" ca="1">OFFSET(T306,-1,-1)</f>
        <v>1</v>
      </c>
      <c r="T306" s="110" t="b" cm="1">
        <f t="array" aca="1" ref="T306" ca="1">T305</f>
        <v>0</v>
      </c>
      <c r="U306" s="698" t="b">
        <f t="shared" ca="1" si="343"/>
        <v>0</v>
      </c>
      <c r="V306" s="1155"/>
      <c r="W306" s="1155"/>
      <c r="X306" s="1155"/>
      <c r="Y306" s="1687"/>
      <c r="Z306" s="1687"/>
      <c r="AA306" s="699"/>
      <c r="AB306" s="1753"/>
      <c r="AD306" s="111" t="s">
        <v>772</v>
      </c>
      <c r="AE306" s="1772" t="s">
        <v>773</v>
      </c>
      <c r="AF306" s="1773"/>
      <c r="AG306" s="111" t="s">
        <v>774</v>
      </c>
      <c r="AH306" s="41"/>
      <c r="AI306" s="42"/>
      <c r="AJ306" s="42"/>
      <c r="AK306" s="42"/>
      <c r="AL306" s="42"/>
      <c r="AM306" s="42"/>
      <c r="AN306" s="42"/>
      <c r="AO306" s="826"/>
      <c r="AP306" s="826"/>
      <c r="AQ306" s="826"/>
      <c r="AR306" s="826"/>
      <c r="AS306" s="826"/>
      <c r="AT306" s="826"/>
      <c r="AU306" s="826"/>
      <c r="AV306" s="826"/>
      <c r="AW306" s="826"/>
      <c r="AX306" s="826"/>
      <c r="AY306" s="826"/>
      <c r="AZ306" s="826"/>
      <c r="BA306" s="42"/>
      <c r="BB306" s="42"/>
      <c r="BC306" s="42"/>
      <c r="BD306" s="42"/>
      <c r="BE306" s="42"/>
      <c r="BF306" s="42"/>
      <c r="BG306" s="42"/>
      <c r="BH306" s="42"/>
      <c r="BI306" s="42"/>
      <c r="BJ306" s="42"/>
      <c r="BK306" s="42"/>
      <c r="BL306" s="42"/>
      <c r="BM306" s="42"/>
      <c r="BN306" s="42"/>
      <c r="BO306" s="42"/>
      <c r="BP306" s="826"/>
      <c r="BQ306" s="826"/>
      <c r="BR306" s="826"/>
      <c r="BS306" s="826"/>
      <c r="BT306" s="826"/>
      <c r="BU306" s="826"/>
      <c r="BV306" s="826"/>
      <c r="BW306" s="826"/>
      <c r="BX306" s="826"/>
      <c r="BY306" s="826"/>
      <c r="BZ306" s="826"/>
      <c r="CA306" s="826"/>
      <c r="CB306" s="826"/>
      <c r="CC306" s="826"/>
      <c r="CD306" s="826"/>
      <c r="CE306" s="42"/>
      <c r="CF306" s="42"/>
      <c r="CG306" s="42"/>
      <c r="CH306" s="42"/>
      <c r="CI306" s="42"/>
      <c r="CJ306" s="42"/>
      <c r="CK306" s="42"/>
      <c r="CL306" s="42"/>
      <c r="CM306" s="42"/>
      <c r="CN306" s="42"/>
      <c r="CO306" s="42"/>
      <c r="CP306" s="42"/>
      <c r="CQ306" s="42"/>
      <c r="CR306" s="42"/>
      <c r="CS306" s="42"/>
      <c r="CT306" s="28"/>
      <c r="CW306" s="970" t="s">
        <v>775</v>
      </c>
      <c r="CX306" s="975"/>
      <c r="CY306" s="975"/>
      <c r="CZ306" s="975"/>
      <c r="DA306" s="976"/>
      <c r="DB306" s="976"/>
    </row>
    <row r="307" spans="1:106" s="1229" customFormat="1" ht="16.5" hidden="1" customHeight="1">
      <c r="A307" s="1155"/>
      <c r="B307" s="783"/>
      <c r="C307" s="1155"/>
      <c r="D307" s="1155"/>
      <c r="E307" s="676">
        <v>17.100000000000001</v>
      </c>
      <c r="F307" s="779" t="str" cm="1">
        <f t="array" aca="1" ref="F307" ca="1">OFFSET(G307,-1,-1)</f>
        <v>2</v>
      </c>
      <c r="G307" s="814"/>
      <c r="H307" s="814"/>
      <c r="I307" s="814"/>
      <c r="J307" s="814"/>
      <c r="K307" s="814"/>
      <c r="L307" s="779" t="b" cm="1">
        <f t="array" aca="1" ref="L307" ca="1">OFFSET(M307,-1,-1)</f>
        <v>0</v>
      </c>
      <c r="M307" s="814"/>
      <c r="N307" s="814"/>
      <c r="O307" s="814"/>
      <c r="P307" s="814"/>
      <c r="Q307" s="814"/>
      <c r="R307" s="779" t="s">
        <v>759</v>
      </c>
      <c r="S307" s="110" t="b" cm="1">
        <f t="array" aca="1" ref="S307" ca="1">OFFSET(T307,-1,-1)</f>
        <v>1</v>
      </c>
      <c r="T307" s="110" t="b" cm="1">
        <f t="array" aca="1" ref="T307" ca="1">T306</f>
        <v>0</v>
      </c>
      <c r="U307" s="698" t="b">
        <f t="shared" ca="1" si="343"/>
        <v>0</v>
      </c>
      <c r="V307" s="1155"/>
      <c r="W307" s="1155"/>
      <c r="X307" s="1155"/>
      <c r="Y307" s="1687"/>
      <c r="Z307" s="1687"/>
      <c r="AA307" s="699"/>
      <c r="AB307" s="1753"/>
      <c r="AD307" s="111">
        <v>3</v>
      </c>
      <c r="AE307" s="1759" t="s">
        <v>776</v>
      </c>
      <c r="AF307" s="1760"/>
      <c r="AG307" s="111" t="s">
        <v>762</v>
      </c>
      <c r="AH307" s="734">
        <f t="shared" ref="AH307:BM307" si="372">AH301-AH302</f>
        <v>0</v>
      </c>
      <c r="AI307" s="736">
        <f t="shared" si="372"/>
        <v>0</v>
      </c>
      <c r="AJ307" s="736">
        <f t="shared" si="372"/>
        <v>0</v>
      </c>
      <c r="AK307" s="736">
        <f t="shared" si="372"/>
        <v>0</v>
      </c>
      <c r="AL307" s="736">
        <f t="shared" si="372"/>
        <v>0</v>
      </c>
      <c r="AM307" s="736">
        <f t="shared" si="372"/>
        <v>0</v>
      </c>
      <c r="AN307" s="736">
        <f t="shared" si="372"/>
        <v>0</v>
      </c>
      <c r="AO307" s="736">
        <f t="shared" si="372"/>
        <v>0</v>
      </c>
      <c r="AP307" s="736">
        <f t="shared" si="372"/>
        <v>0</v>
      </c>
      <c r="AQ307" s="736">
        <f t="shared" si="372"/>
        <v>0</v>
      </c>
      <c r="AR307" s="736">
        <f t="shared" si="372"/>
        <v>0</v>
      </c>
      <c r="AS307" s="736">
        <f t="shared" si="372"/>
        <v>0</v>
      </c>
      <c r="AT307" s="736">
        <f t="shared" si="372"/>
        <v>0</v>
      </c>
      <c r="AU307" s="736">
        <f t="shared" si="372"/>
        <v>0</v>
      </c>
      <c r="AV307" s="736">
        <f t="shared" si="372"/>
        <v>0</v>
      </c>
      <c r="AW307" s="736">
        <f t="shared" si="372"/>
        <v>0</v>
      </c>
      <c r="AX307" s="736">
        <f t="shared" si="372"/>
        <v>0</v>
      </c>
      <c r="AY307" s="736">
        <f t="shared" si="372"/>
        <v>0</v>
      </c>
      <c r="AZ307" s="736">
        <f t="shared" si="372"/>
        <v>0</v>
      </c>
      <c r="BA307" s="736">
        <f t="shared" si="372"/>
        <v>0</v>
      </c>
      <c r="BB307" s="736">
        <f t="shared" si="372"/>
        <v>0</v>
      </c>
      <c r="BC307" s="736">
        <f t="shared" si="372"/>
        <v>0</v>
      </c>
      <c r="BD307" s="736">
        <f t="shared" si="372"/>
        <v>0</v>
      </c>
      <c r="BE307" s="736">
        <f t="shared" si="372"/>
        <v>0</v>
      </c>
      <c r="BF307" s="736">
        <f t="shared" si="372"/>
        <v>0</v>
      </c>
      <c r="BG307" s="736">
        <f t="shared" si="372"/>
        <v>0</v>
      </c>
      <c r="BH307" s="736">
        <f t="shared" si="372"/>
        <v>0</v>
      </c>
      <c r="BI307" s="736">
        <f t="shared" si="372"/>
        <v>0</v>
      </c>
      <c r="BJ307" s="736">
        <f t="shared" si="372"/>
        <v>0</v>
      </c>
      <c r="BK307" s="736">
        <f t="shared" si="372"/>
        <v>0</v>
      </c>
      <c r="BL307" s="736">
        <f t="shared" si="372"/>
        <v>0</v>
      </c>
      <c r="BM307" s="736">
        <f t="shared" si="372"/>
        <v>0</v>
      </c>
      <c r="BN307" s="736">
        <f t="shared" ref="BN307:CS307" si="373">BN301-BN302</f>
        <v>0</v>
      </c>
      <c r="BO307" s="736">
        <f t="shared" si="373"/>
        <v>0</v>
      </c>
      <c r="BP307" s="736">
        <f t="shared" si="373"/>
        <v>0</v>
      </c>
      <c r="BQ307" s="736">
        <f t="shared" si="373"/>
        <v>0</v>
      </c>
      <c r="BR307" s="736">
        <f t="shared" si="373"/>
        <v>0</v>
      </c>
      <c r="BS307" s="736">
        <f t="shared" si="373"/>
        <v>0</v>
      </c>
      <c r="BT307" s="736">
        <f t="shared" si="373"/>
        <v>0</v>
      </c>
      <c r="BU307" s="736">
        <f t="shared" si="373"/>
        <v>0</v>
      </c>
      <c r="BV307" s="736">
        <f t="shared" si="373"/>
        <v>0</v>
      </c>
      <c r="BW307" s="736">
        <f t="shared" si="373"/>
        <v>0</v>
      </c>
      <c r="BX307" s="736">
        <f t="shared" si="373"/>
        <v>0</v>
      </c>
      <c r="BY307" s="736">
        <f t="shared" si="373"/>
        <v>0</v>
      </c>
      <c r="BZ307" s="736">
        <f t="shared" si="373"/>
        <v>0</v>
      </c>
      <c r="CA307" s="736">
        <f t="shared" si="373"/>
        <v>0</v>
      </c>
      <c r="CB307" s="736">
        <f t="shared" si="373"/>
        <v>0</v>
      </c>
      <c r="CC307" s="736">
        <f t="shared" si="373"/>
        <v>0</v>
      </c>
      <c r="CD307" s="736">
        <f t="shared" si="373"/>
        <v>0</v>
      </c>
      <c r="CE307" s="736">
        <f t="shared" si="373"/>
        <v>0</v>
      </c>
      <c r="CF307" s="736">
        <f t="shared" si="373"/>
        <v>0</v>
      </c>
      <c r="CG307" s="736">
        <f t="shared" si="373"/>
        <v>0</v>
      </c>
      <c r="CH307" s="736">
        <f t="shared" si="373"/>
        <v>0</v>
      </c>
      <c r="CI307" s="736">
        <f t="shared" si="373"/>
        <v>0</v>
      </c>
      <c r="CJ307" s="736">
        <f t="shared" si="373"/>
        <v>0</v>
      </c>
      <c r="CK307" s="736">
        <f t="shared" si="373"/>
        <v>0</v>
      </c>
      <c r="CL307" s="736">
        <f t="shared" si="373"/>
        <v>0</v>
      </c>
      <c r="CM307" s="736">
        <f t="shared" si="373"/>
        <v>0</v>
      </c>
      <c r="CN307" s="736">
        <f t="shared" si="373"/>
        <v>0</v>
      </c>
      <c r="CO307" s="736">
        <f t="shared" si="373"/>
        <v>0</v>
      </c>
      <c r="CP307" s="736">
        <f t="shared" si="373"/>
        <v>0</v>
      </c>
      <c r="CQ307" s="736">
        <f t="shared" si="373"/>
        <v>0</v>
      </c>
      <c r="CR307" s="736">
        <f t="shared" si="373"/>
        <v>0</v>
      </c>
      <c r="CS307" s="736">
        <f t="shared" si="373"/>
        <v>0</v>
      </c>
      <c r="CT307" s="28"/>
      <c r="CW307" s="970" t="s">
        <v>777</v>
      </c>
      <c r="CX307" s="975"/>
      <c r="CY307" s="975"/>
      <c r="CZ307" s="975"/>
      <c r="DA307" s="976"/>
      <c r="DB307" s="976"/>
    </row>
    <row r="308" spans="1:106" s="1229" customFormat="1" ht="16.5" hidden="1" customHeight="1">
      <c r="A308" s="1155"/>
      <c r="B308" s="783"/>
      <c r="C308" s="1155"/>
      <c r="D308" s="1155"/>
      <c r="E308" s="676">
        <v>17.100000000000001</v>
      </c>
      <c r="F308" s="779" t="str" cm="1">
        <f t="array" aca="1" ref="F308" ca="1">OFFSET(G308,-1,-1)</f>
        <v>2</v>
      </c>
      <c r="G308" s="814"/>
      <c r="H308" s="814"/>
      <c r="I308" s="814"/>
      <c r="J308" s="814"/>
      <c r="K308" s="814"/>
      <c r="L308" s="779" t="b" cm="1">
        <f t="array" aca="1" ref="L308" ca="1">OFFSET(M308,-1,-1)</f>
        <v>0</v>
      </c>
      <c r="M308" s="814"/>
      <c r="N308" s="814"/>
      <c r="O308" s="814"/>
      <c r="P308" s="814"/>
      <c r="Q308" s="814"/>
      <c r="R308" s="779" t="s">
        <v>759</v>
      </c>
      <c r="S308" s="110" t="b" cm="1">
        <f t="array" aca="1" ref="S308" ca="1">OFFSET(T308,-1,-1)</f>
        <v>1</v>
      </c>
      <c r="T308" s="110" t="b" cm="1">
        <f t="array" aca="1" ref="T308" ca="1">T307</f>
        <v>0</v>
      </c>
      <c r="U308" s="698" t="b">
        <f t="shared" ca="1" si="343"/>
        <v>0</v>
      </c>
      <c r="V308" s="1155"/>
      <c r="W308" s="1155"/>
      <c r="X308" s="1155"/>
      <c r="Y308" s="1687"/>
      <c r="Z308" s="1687"/>
      <c r="AA308" s="699"/>
      <c r="AB308" s="1753"/>
      <c r="AD308" s="111">
        <v>4</v>
      </c>
      <c r="AE308" s="1759" t="s">
        <v>778</v>
      </c>
      <c r="AF308" s="1760"/>
      <c r="AG308" s="111" t="s">
        <v>762</v>
      </c>
      <c r="AH308" s="41"/>
      <c r="AI308" s="42"/>
      <c r="AJ308" s="42"/>
      <c r="AK308" s="42"/>
      <c r="AL308" s="736">
        <f>AM308+AN308</f>
        <v>0</v>
      </c>
      <c r="AM308" s="42"/>
      <c r="AN308" s="42"/>
      <c r="AO308" s="736">
        <f>AP308+AQ308</f>
        <v>0</v>
      </c>
      <c r="AP308" s="826"/>
      <c r="AQ308" s="826"/>
      <c r="AR308" s="736">
        <f>AS308+AT308</f>
        <v>0</v>
      </c>
      <c r="AS308" s="826"/>
      <c r="AT308" s="826"/>
      <c r="AU308" s="736">
        <f>AV308+AW308</f>
        <v>0</v>
      </c>
      <c r="AV308" s="826"/>
      <c r="AW308" s="826"/>
      <c r="AX308" s="736">
        <f>AY308+AZ308</f>
        <v>0</v>
      </c>
      <c r="AY308" s="826"/>
      <c r="AZ308" s="826"/>
      <c r="BA308" s="736">
        <f>BB308+BC308</f>
        <v>0</v>
      </c>
      <c r="BB308" s="42"/>
      <c r="BC308" s="42"/>
      <c r="BD308" s="736">
        <f>BE308+BF308</f>
        <v>0</v>
      </c>
      <c r="BE308" s="42"/>
      <c r="BF308" s="42"/>
      <c r="BG308" s="736">
        <f>BH308+BI308</f>
        <v>0</v>
      </c>
      <c r="BH308" s="42"/>
      <c r="BI308" s="42"/>
      <c r="BJ308" s="736">
        <f>BK308+BL308</f>
        <v>0</v>
      </c>
      <c r="BK308" s="42"/>
      <c r="BL308" s="42"/>
      <c r="BM308" s="736">
        <f>BN308+BO308</f>
        <v>0</v>
      </c>
      <c r="BN308" s="42"/>
      <c r="BO308" s="42"/>
      <c r="BP308" s="736">
        <f>BQ308+BR308</f>
        <v>0</v>
      </c>
      <c r="BQ308" s="826"/>
      <c r="BR308" s="826"/>
      <c r="BS308" s="736">
        <f>BT308+BU308</f>
        <v>0</v>
      </c>
      <c r="BT308" s="826"/>
      <c r="BU308" s="826"/>
      <c r="BV308" s="736">
        <f>BW308+BX308</f>
        <v>0</v>
      </c>
      <c r="BW308" s="826"/>
      <c r="BX308" s="826"/>
      <c r="BY308" s="736">
        <f>BZ308+CA308</f>
        <v>0</v>
      </c>
      <c r="BZ308" s="826"/>
      <c r="CA308" s="826"/>
      <c r="CB308" s="736">
        <f>CC308+CD308</f>
        <v>0</v>
      </c>
      <c r="CC308" s="826"/>
      <c r="CD308" s="826"/>
      <c r="CE308" s="736">
        <f>CF308+CG308</f>
        <v>0</v>
      </c>
      <c r="CF308" s="42"/>
      <c r="CG308" s="42"/>
      <c r="CH308" s="736">
        <f>CI308+CJ308</f>
        <v>0</v>
      </c>
      <c r="CI308" s="42"/>
      <c r="CJ308" s="42"/>
      <c r="CK308" s="736">
        <f>CL308+CM308</f>
        <v>0</v>
      </c>
      <c r="CL308" s="42"/>
      <c r="CM308" s="42"/>
      <c r="CN308" s="736">
        <f>CO308+CP308</f>
        <v>0</v>
      </c>
      <c r="CO308" s="42"/>
      <c r="CP308" s="42"/>
      <c r="CQ308" s="736">
        <f>CR308+CS308</f>
        <v>0</v>
      </c>
      <c r="CR308" s="42"/>
      <c r="CS308" s="42"/>
      <c r="CT308" s="28"/>
      <c r="CW308" s="970" t="s">
        <v>779</v>
      </c>
      <c r="CX308" s="975"/>
      <c r="CY308" s="975"/>
      <c r="CZ308" s="975"/>
      <c r="DA308" s="976"/>
      <c r="DB308" s="976"/>
    </row>
    <row r="309" spans="1:106" s="1229" customFormat="1" ht="16.5" hidden="1" customHeight="1">
      <c r="A309" s="1155"/>
      <c r="B309" s="783"/>
      <c r="C309" s="1155"/>
      <c r="D309" s="1155"/>
      <c r="E309" s="676">
        <v>17.100000000000001</v>
      </c>
      <c r="F309" s="779" t="str" cm="1">
        <f t="array" aca="1" ref="F309" ca="1">OFFSET(G309,-1,-1)</f>
        <v>2</v>
      </c>
      <c r="G309" s="814"/>
      <c r="H309" s="814"/>
      <c r="I309" s="814"/>
      <c r="J309" s="814"/>
      <c r="K309" s="814"/>
      <c r="L309" s="779" t="b" cm="1">
        <f t="array" aca="1" ref="L309" ca="1">OFFSET(M309,-1,-1)</f>
        <v>0</v>
      </c>
      <c r="M309" s="814"/>
      <c r="N309" s="814"/>
      <c r="O309" s="814"/>
      <c r="P309" s="814"/>
      <c r="Q309" s="814"/>
      <c r="R309" s="779" t="s">
        <v>759</v>
      </c>
      <c r="S309" s="110" t="b" cm="1">
        <f t="array" aca="1" ref="S309" ca="1">OFFSET(T309,-1,-1)</f>
        <v>1</v>
      </c>
      <c r="T309" s="110" t="b" cm="1">
        <f t="array" aca="1" ref="T309" ca="1">T308</f>
        <v>0</v>
      </c>
      <c r="U309" s="698" t="b">
        <f t="shared" ca="1" si="343"/>
        <v>0</v>
      </c>
      <c r="V309" s="1155"/>
      <c r="W309" s="1155"/>
      <c r="X309" s="1155"/>
      <c r="Y309" s="1687"/>
      <c r="Z309" s="1687"/>
      <c r="AA309" s="699"/>
      <c r="AB309" s="1753"/>
      <c r="AD309" s="111" t="s">
        <v>780</v>
      </c>
      <c r="AE309" s="1770" t="s">
        <v>781</v>
      </c>
      <c r="AF309" s="1771"/>
      <c r="AG309" s="111" t="s">
        <v>533</v>
      </c>
      <c r="AH309" s="740">
        <f t="shared" ref="AH309:BM309" si="374">IFERROR(AH308/AH307,0)</f>
        <v>0</v>
      </c>
      <c r="AI309" s="741">
        <f t="shared" si="374"/>
        <v>0</v>
      </c>
      <c r="AJ309" s="741">
        <f t="shared" si="374"/>
        <v>0</v>
      </c>
      <c r="AK309" s="741">
        <f t="shared" si="374"/>
        <v>0</v>
      </c>
      <c r="AL309" s="741">
        <f t="shared" si="374"/>
        <v>0</v>
      </c>
      <c r="AM309" s="741">
        <f t="shared" si="374"/>
        <v>0</v>
      </c>
      <c r="AN309" s="741">
        <f t="shared" si="374"/>
        <v>0</v>
      </c>
      <c r="AO309" s="741">
        <f t="shared" si="374"/>
        <v>0</v>
      </c>
      <c r="AP309" s="741">
        <f t="shared" si="374"/>
        <v>0</v>
      </c>
      <c r="AQ309" s="741">
        <f t="shared" si="374"/>
        <v>0</v>
      </c>
      <c r="AR309" s="741">
        <f t="shared" si="374"/>
        <v>0</v>
      </c>
      <c r="AS309" s="741">
        <f t="shared" si="374"/>
        <v>0</v>
      </c>
      <c r="AT309" s="741">
        <f t="shared" si="374"/>
        <v>0</v>
      </c>
      <c r="AU309" s="741">
        <f t="shared" si="374"/>
        <v>0</v>
      </c>
      <c r="AV309" s="741">
        <f t="shared" si="374"/>
        <v>0</v>
      </c>
      <c r="AW309" s="741">
        <f t="shared" si="374"/>
        <v>0</v>
      </c>
      <c r="AX309" s="741">
        <f t="shared" si="374"/>
        <v>0</v>
      </c>
      <c r="AY309" s="741">
        <f t="shared" si="374"/>
        <v>0</v>
      </c>
      <c r="AZ309" s="741">
        <f t="shared" si="374"/>
        <v>0</v>
      </c>
      <c r="BA309" s="741">
        <f t="shared" si="374"/>
        <v>0</v>
      </c>
      <c r="BB309" s="741">
        <f t="shared" si="374"/>
        <v>0</v>
      </c>
      <c r="BC309" s="741">
        <f t="shared" si="374"/>
        <v>0</v>
      </c>
      <c r="BD309" s="741">
        <f t="shared" si="374"/>
        <v>0</v>
      </c>
      <c r="BE309" s="741">
        <f t="shared" si="374"/>
        <v>0</v>
      </c>
      <c r="BF309" s="741">
        <f t="shared" si="374"/>
        <v>0</v>
      </c>
      <c r="BG309" s="741">
        <f t="shared" si="374"/>
        <v>0</v>
      </c>
      <c r="BH309" s="741">
        <f t="shared" si="374"/>
        <v>0</v>
      </c>
      <c r="BI309" s="741">
        <f t="shared" si="374"/>
        <v>0</v>
      </c>
      <c r="BJ309" s="741">
        <f t="shared" si="374"/>
        <v>0</v>
      </c>
      <c r="BK309" s="741">
        <f t="shared" si="374"/>
        <v>0</v>
      </c>
      <c r="BL309" s="741">
        <f t="shared" si="374"/>
        <v>0</v>
      </c>
      <c r="BM309" s="741">
        <f t="shared" si="374"/>
        <v>0</v>
      </c>
      <c r="BN309" s="741">
        <f t="shared" ref="BN309:CS309" si="375">IFERROR(BN308/BN307,0)</f>
        <v>0</v>
      </c>
      <c r="BO309" s="741">
        <f t="shared" si="375"/>
        <v>0</v>
      </c>
      <c r="BP309" s="741">
        <f t="shared" si="375"/>
        <v>0</v>
      </c>
      <c r="BQ309" s="741">
        <f t="shared" si="375"/>
        <v>0</v>
      </c>
      <c r="BR309" s="741">
        <f t="shared" si="375"/>
        <v>0</v>
      </c>
      <c r="BS309" s="741">
        <f t="shared" si="375"/>
        <v>0</v>
      </c>
      <c r="BT309" s="741">
        <f t="shared" si="375"/>
        <v>0</v>
      </c>
      <c r="BU309" s="741">
        <f t="shared" si="375"/>
        <v>0</v>
      </c>
      <c r="BV309" s="741">
        <f t="shared" si="375"/>
        <v>0</v>
      </c>
      <c r="BW309" s="741">
        <f t="shared" si="375"/>
        <v>0</v>
      </c>
      <c r="BX309" s="741">
        <f t="shared" si="375"/>
        <v>0</v>
      </c>
      <c r="BY309" s="741">
        <f t="shared" si="375"/>
        <v>0</v>
      </c>
      <c r="BZ309" s="741">
        <f t="shared" si="375"/>
        <v>0</v>
      </c>
      <c r="CA309" s="741">
        <f t="shared" si="375"/>
        <v>0</v>
      </c>
      <c r="CB309" s="741">
        <f t="shared" si="375"/>
        <v>0</v>
      </c>
      <c r="CC309" s="741">
        <f t="shared" si="375"/>
        <v>0</v>
      </c>
      <c r="CD309" s="741">
        <f t="shared" si="375"/>
        <v>0</v>
      </c>
      <c r="CE309" s="741">
        <f t="shared" si="375"/>
        <v>0</v>
      </c>
      <c r="CF309" s="741">
        <f t="shared" si="375"/>
        <v>0</v>
      </c>
      <c r="CG309" s="741">
        <f t="shared" si="375"/>
        <v>0</v>
      </c>
      <c r="CH309" s="741">
        <f t="shared" si="375"/>
        <v>0</v>
      </c>
      <c r="CI309" s="741">
        <f t="shared" si="375"/>
        <v>0</v>
      </c>
      <c r="CJ309" s="741">
        <f t="shared" si="375"/>
        <v>0</v>
      </c>
      <c r="CK309" s="741">
        <f t="shared" si="375"/>
        <v>0</v>
      </c>
      <c r="CL309" s="741">
        <f t="shared" si="375"/>
        <v>0</v>
      </c>
      <c r="CM309" s="741">
        <f t="shared" si="375"/>
        <v>0</v>
      </c>
      <c r="CN309" s="741">
        <f t="shared" si="375"/>
        <v>0</v>
      </c>
      <c r="CO309" s="741">
        <f t="shared" si="375"/>
        <v>0</v>
      </c>
      <c r="CP309" s="741">
        <f t="shared" si="375"/>
        <v>0</v>
      </c>
      <c r="CQ309" s="741">
        <f t="shared" si="375"/>
        <v>0</v>
      </c>
      <c r="CR309" s="741">
        <f t="shared" si="375"/>
        <v>0</v>
      </c>
      <c r="CS309" s="741">
        <f t="shared" si="375"/>
        <v>0</v>
      </c>
      <c r="CT309" s="28"/>
      <c r="CW309" s="970" t="s">
        <v>782</v>
      </c>
      <c r="CX309" s="975"/>
      <c r="CY309" s="975"/>
      <c r="CZ309" s="975"/>
      <c r="DA309" s="976"/>
      <c r="DB309" s="976"/>
    </row>
    <row r="310" spans="1:106" s="1229" customFormat="1" ht="16.5" hidden="1" customHeight="1">
      <c r="A310" s="1155"/>
      <c r="B310" s="783"/>
      <c r="C310" s="1155"/>
      <c r="D310" s="1155"/>
      <c r="E310" s="676">
        <v>17.100000000000001</v>
      </c>
      <c r="F310" s="779" t="str" cm="1">
        <f t="array" aca="1" ref="F310" ca="1">OFFSET(G310,-1,-1)</f>
        <v>2</v>
      </c>
      <c r="G310" s="814"/>
      <c r="H310" s="814"/>
      <c r="I310" s="814"/>
      <c r="J310" s="814"/>
      <c r="K310" s="814"/>
      <c r="L310" s="779" t="b" cm="1">
        <f t="array" aca="1" ref="L310" ca="1">OFFSET(M310,-1,-1)</f>
        <v>0</v>
      </c>
      <c r="M310" s="814"/>
      <c r="N310" s="814"/>
      <c r="O310" s="814"/>
      <c r="P310" s="814"/>
      <c r="Q310" s="814"/>
      <c r="R310" s="779" t="s">
        <v>759</v>
      </c>
      <c r="S310" s="110" t="b" cm="1">
        <f t="array" aca="1" ref="S310" ca="1">OFFSET(T310,-1,-1)</f>
        <v>1</v>
      </c>
      <c r="T310" s="110" t="b" cm="1">
        <f t="array" aca="1" ref="T310" ca="1">T309</f>
        <v>0</v>
      </c>
      <c r="U310" s="698" t="b">
        <f t="shared" ca="1" si="343"/>
        <v>0</v>
      </c>
      <c r="V310" s="1155"/>
      <c r="W310" s="1155"/>
      <c r="X310" s="1155"/>
      <c r="Y310" s="1687"/>
      <c r="Z310" s="1687"/>
      <c r="AA310" s="699"/>
      <c r="AB310" s="1753"/>
      <c r="AD310" s="111">
        <v>5</v>
      </c>
      <c r="AE310" s="1777" t="s">
        <v>783</v>
      </c>
      <c r="AF310" s="1778"/>
      <c r="AG310" s="111" t="s">
        <v>762</v>
      </c>
      <c r="AH310" s="41"/>
      <c r="AI310" s="42"/>
      <c r="AJ310" s="42"/>
      <c r="AK310" s="42"/>
      <c r="AL310" s="736">
        <f>AM310+AN310</f>
        <v>0</v>
      </c>
      <c r="AM310" s="42"/>
      <c r="AN310" s="42"/>
      <c r="AO310" s="736">
        <f>AP310+AQ310</f>
        <v>0</v>
      </c>
      <c r="AP310" s="826"/>
      <c r="AQ310" s="826"/>
      <c r="AR310" s="736">
        <f>AS310+AT310</f>
        <v>0</v>
      </c>
      <c r="AS310" s="826"/>
      <c r="AT310" s="826"/>
      <c r="AU310" s="736">
        <f>AV310+AW310</f>
        <v>0</v>
      </c>
      <c r="AV310" s="826"/>
      <c r="AW310" s="826"/>
      <c r="AX310" s="736">
        <f>AY310+AZ310</f>
        <v>0</v>
      </c>
      <c r="AY310" s="826"/>
      <c r="AZ310" s="826"/>
      <c r="BA310" s="736">
        <f>BB310+BC310</f>
        <v>0</v>
      </c>
      <c r="BB310" s="42"/>
      <c r="BC310" s="42"/>
      <c r="BD310" s="736">
        <f>BE310+BF310</f>
        <v>0</v>
      </c>
      <c r="BE310" s="42"/>
      <c r="BF310" s="42"/>
      <c r="BG310" s="736">
        <f>BH310+BI310</f>
        <v>0</v>
      </c>
      <c r="BH310" s="42"/>
      <c r="BI310" s="42"/>
      <c r="BJ310" s="736">
        <f>BK310+BL310</f>
        <v>0</v>
      </c>
      <c r="BK310" s="42"/>
      <c r="BL310" s="42"/>
      <c r="BM310" s="736">
        <f>BN310+BO310</f>
        <v>0</v>
      </c>
      <c r="BN310" s="42"/>
      <c r="BO310" s="42"/>
      <c r="BP310" s="736">
        <f>BQ310+BR310</f>
        <v>0</v>
      </c>
      <c r="BQ310" s="826"/>
      <c r="BR310" s="826"/>
      <c r="BS310" s="736">
        <f>BT310+BU310</f>
        <v>0</v>
      </c>
      <c r="BT310" s="826"/>
      <c r="BU310" s="826"/>
      <c r="BV310" s="736">
        <f>BW310+BX310</f>
        <v>0</v>
      </c>
      <c r="BW310" s="826"/>
      <c r="BX310" s="826"/>
      <c r="BY310" s="736">
        <f>BZ310+CA310</f>
        <v>0</v>
      </c>
      <c r="BZ310" s="826"/>
      <c r="CA310" s="826"/>
      <c r="CB310" s="736">
        <f>CC310+CD310</f>
        <v>0</v>
      </c>
      <c r="CC310" s="826"/>
      <c r="CD310" s="826"/>
      <c r="CE310" s="736">
        <f>CF310+CG310</f>
        <v>0</v>
      </c>
      <c r="CF310" s="42"/>
      <c r="CG310" s="42"/>
      <c r="CH310" s="736">
        <f>CI310+CJ310</f>
        <v>0</v>
      </c>
      <c r="CI310" s="42"/>
      <c r="CJ310" s="42"/>
      <c r="CK310" s="736">
        <f>CL310+CM310</f>
        <v>0</v>
      </c>
      <c r="CL310" s="42"/>
      <c r="CM310" s="42"/>
      <c r="CN310" s="736">
        <f>CO310+CP310</f>
        <v>0</v>
      </c>
      <c r="CO310" s="42"/>
      <c r="CP310" s="42"/>
      <c r="CQ310" s="736">
        <f>CR310+CS310</f>
        <v>0</v>
      </c>
      <c r="CR310" s="42"/>
      <c r="CS310" s="42"/>
      <c r="CT310" s="28"/>
      <c r="CW310" s="970" t="s">
        <v>784</v>
      </c>
      <c r="CX310" s="975"/>
      <c r="CY310" s="975"/>
      <c r="CZ310" s="975"/>
      <c r="DA310" s="976"/>
      <c r="DB310" s="976"/>
    </row>
    <row r="311" spans="1:106" s="1229" customFormat="1" ht="16.5" hidden="1" customHeight="1">
      <c r="A311" s="1155"/>
      <c r="B311" s="783"/>
      <c r="C311" s="1155"/>
      <c r="D311" s="1155"/>
      <c r="E311" s="676">
        <v>17.100000000000001</v>
      </c>
      <c r="F311" s="779" t="str" cm="1">
        <f t="array" aca="1" ref="F311" ca="1">OFFSET(G311,-1,-1)</f>
        <v>2</v>
      </c>
      <c r="G311" s="814"/>
      <c r="H311" s="814"/>
      <c r="I311" s="814"/>
      <c r="J311" s="814"/>
      <c r="K311" s="814"/>
      <c r="L311" s="779" t="b" cm="1">
        <f t="array" aca="1" ref="L311" ca="1">OFFSET(M311,-1,-1)</f>
        <v>0</v>
      </c>
      <c r="M311" s="814"/>
      <c r="N311" s="814"/>
      <c r="O311" s="814"/>
      <c r="P311" s="814"/>
      <c r="Q311" s="814"/>
      <c r="R311" s="779" t="s">
        <v>759</v>
      </c>
      <c r="S311" s="110" t="b" cm="1">
        <f t="array" aca="1" ref="S311" ca="1">OFFSET(T311,-1,-1)</f>
        <v>1</v>
      </c>
      <c r="T311" s="110" t="b" cm="1">
        <f t="array" aca="1" ref="T311" ca="1">T310</f>
        <v>0</v>
      </c>
      <c r="U311" s="698" t="b">
        <f t="shared" ca="1" si="343"/>
        <v>0</v>
      </c>
      <c r="V311" s="1155"/>
      <c r="W311" s="1155"/>
      <c r="X311" s="1155"/>
      <c r="Y311" s="1687"/>
      <c r="Z311" s="1687"/>
      <c r="AA311" s="699"/>
      <c r="AB311" s="1753"/>
      <c r="AD311" s="111" t="s">
        <v>785</v>
      </c>
      <c r="AE311" s="1770" t="s">
        <v>781</v>
      </c>
      <c r="AF311" s="1771"/>
      <c r="AG311" s="111" t="s">
        <v>533</v>
      </c>
      <c r="AH311" s="740">
        <f t="shared" ref="AH311:BM311" si="376">IFERROR(AH310/AH307,0)</f>
        <v>0</v>
      </c>
      <c r="AI311" s="741">
        <f t="shared" si="376"/>
        <v>0</v>
      </c>
      <c r="AJ311" s="741">
        <f t="shared" si="376"/>
        <v>0</v>
      </c>
      <c r="AK311" s="741">
        <f t="shared" si="376"/>
        <v>0</v>
      </c>
      <c r="AL311" s="741">
        <f t="shared" si="376"/>
        <v>0</v>
      </c>
      <c r="AM311" s="741">
        <f t="shared" si="376"/>
        <v>0</v>
      </c>
      <c r="AN311" s="741">
        <f t="shared" si="376"/>
        <v>0</v>
      </c>
      <c r="AO311" s="741">
        <f t="shared" si="376"/>
        <v>0</v>
      </c>
      <c r="AP311" s="741">
        <f t="shared" si="376"/>
        <v>0</v>
      </c>
      <c r="AQ311" s="741">
        <f t="shared" si="376"/>
        <v>0</v>
      </c>
      <c r="AR311" s="741">
        <f t="shared" si="376"/>
        <v>0</v>
      </c>
      <c r="AS311" s="741">
        <f t="shared" si="376"/>
        <v>0</v>
      </c>
      <c r="AT311" s="741">
        <f t="shared" si="376"/>
        <v>0</v>
      </c>
      <c r="AU311" s="741">
        <f t="shared" si="376"/>
        <v>0</v>
      </c>
      <c r="AV311" s="741">
        <f t="shared" si="376"/>
        <v>0</v>
      </c>
      <c r="AW311" s="741">
        <f t="shared" si="376"/>
        <v>0</v>
      </c>
      <c r="AX311" s="741">
        <f t="shared" si="376"/>
        <v>0</v>
      </c>
      <c r="AY311" s="741">
        <f t="shared" si="376"/>
        <v>0</v>
      </c>
      <c r="AZ311" s="741">
        <f t="shared" si="376"/>
        <v>0</v>
      </c>
      <c r="BA311" s="741">
        <f t="shared" si="376"/>
        <v>0</v>
      </c>
      <c r="BB311" s="741">
        <f t="shared" si="376"/>
        <v>0</v>
      </c>
      <c r="BC311" s="741">
        <f t="shared" si="376"/>
        <v>0</v>
      </c>
      <c r="BD311" s="741">
        <f t="shared" si="376"/>
        <v>0</v>
      </c>
      <c r="BE311" s="741">
        <f t="shared" si="376"/>
        <v>0</v>
      </c>
      <c r="BF311" s="741">
        <f t="shared" si="376"/>
        <v>0</v>
      </c>
      <c r="BG311" s="741">
        <f t="shared" si="376"/>
        <v>0</v>
      </c>
      <c r="BH311" s="741">
        <f t="shared" si="376"/>
        <v>0</v>
      </c>
      <c r="BI311" s="741">
        <f t="shared" si="376"/>
        <v>0</v>
      </c>
      <c r="BJ311" s="741">
        <f t="shared" si="376"/>
        <v>0</v>
      </c>
      <c r="BK311" s="741">
        <f t="shared" si="376"/>
        <v>0</v>
      </c>
      <c r="BL311" s="741">
        <f t="shared" si="376"/>
        <v>0</v>
      </c>
      <c r="BM311" s="741">
        <f t="shared" si="376"/>
        <v>0</v>
      </c>
      <c r="BN311" s="741">
        <f t="shared" ref="BN311:CS311" si="377">IFERROR(BN310/BN307,0)</f>
        <v>0</v>
      </c>
      <c r="BO311" s="741">
        <f t="shared" si="377"/>
        <v>0</v>
      </c>
      <c r="BP311" s="741">
        <f t="shared" si="377"/>
        <v>0</v>
      </c>
      <c r="BQ311" s="741">
        <f t="shared" si="377"/>
        <v>0</v>
      </c>
      <c r="BR311" s="741">
        <f t="shared" si="377"/>
        <v>0</v>
      </c>
      <c r="BS311" s="741">
        <f t="shared" si="377"/>
        <v>0</v>
      </c>
      <c r="BT311" s="741">
        <f t="shared" si="377"/>
        <v>0</v>
      </c>
      <c r="BU311" s="741">
        <f t="shared" si="377"/>
        <v>0</v>
      </c>
      <c r="BV311" s="741">
        <f t="shared" si="377"/>
        <v>0</v>
      </c>
      <c r="BW311" s="741">
        <f t="shared" si="377"/>
        <v>0</v>
      </c>
      <c r="BX311" s="741">
        <f t="shared" si="377"/>
        <v>0</v>
      </c>
      <c r="BY311" s="741">
        <f t="shared" si="377"/>
        <v>0</v>
      </c>
      <c r="BZ311" s="741">
        <f t="shared" si="377"/>
        <v>0</v>
      </c>
      <c r="CA311" s="741">
        <f t="shared" si="377"/>
        <v>0</v>
      </c>
      <c r="CB311" s="741">
        <f t="shared" si="377"/>
        <v>0</v>
      </c>
      <c r="CC311" s="741">
        <f t="shared" si="377"/>
        <v>0</v>
      </c>
      <c r="CD311" s="741">
        <f t="shared" si="377"/>
        <v>0</v>
      </c>
      <c r="CE311" s="741">
        <f t="shared" si="377"/>
        <v>0</v>
      </c>
      <c r="CF311" s="741">
        <f t="shared" si="377"/>
        <v>0</v>
      </c>
      <c r="CG311" s="741">
        <f t="shared" si="377"/>
        <v>0</v>
      </c>
      <c r="CH311" s="741">
        <f t="shared" si="377"/>
        <v>0</v>
      </c>
      <c r="CI311" s="741">
        <f t="shared" si="377"/>
        <v>0</v>
      </c>
      <c r="CJ311" s="741">
        <f t="shared" si="377"/>
        <v>0</v>
      </c>
      <c r="CK311" s="741">
        <f t="shared" si="377"/>
        <v>0</v>
      </c>
      <c r="CL311" s="741">
        <f t="shared" si="377"/>
        <v>0</v>
      </c>
      <c r="CM311" s="741">
        <f t="shared" si="377"/>
        <v>0</v>
      </c>
      <c r="CN311" s="741">
        <f t="shared" si="377"/>
        <v>0</v>
      </c>
      <c r="CO311" s="741">
        <f t="shared" si="377"/>
        <v>0</v>
      </c>
      <c r="CP311" s="741">
        <f t="shared" si="377"/>
        <v>0</v>
      </c>
      <c r="CQ311" s="741">
        <f t="shared" si="377"/>
        <v>0</v>
      </c>
      <c r="CR311" s="741">
        <f t="shared" si="377"/>
        <v>0</v>
      </c>
      <c r="CS311" s="741">
        <f t="shared" si="377"/>
        <v>0</v>
      </c>
      <c r="CT311" s="28"/>
      <c r="CW311" s="970" t="s">
        <v>786</v>
      </c>
      <c r="CX311" s="975"/>
      <c r="CY311" s="975"/>
      <c r="CZ311" s="975"/>
      <c r="DA311" s="976"/>
      <c r="DB311" s="976"/>
    </row>
    <row r="312" spans="1:106" s="1229" customFormat="1" ht="16.5" hidden="1" customHeight="1">
      <c r="A312" s="1155"/>
      <c r="B312" s="783"/>
      <c r="C312" s="1155"/>
      <c r="D312" s="1155"/>
      <c r="E312" s="676">
        <v>17.100000000000001</v>
      </c>
      <c r="F312" s="779" t="str" cm="1">
        <f t="array" aca="1" ref="F312" ca="1">OFFSET(G312,-1,-1)</f>
        <v>2</v>
      </c>
      <c r="G312" s="814"/>
      <c r="H312" s="814"/>
      <c r="I312" s="814"/>
      <c r="J312" s="814"/>
      <c r="K312" s="814"/>
      <c r="L312" s="779" t="b" cm="1">
        <f t="array" aca="1" ref="L312" ca="1">OFFSET(M312,-1,-1)</f>
        <v>0</v>
      </c>
      <c r="M312" s="814"/>
      <c r="N312" s="814"/>
      <c r="O312" s="814"/>
      <c r="P312" s="814"/>
      <c r="Q312" s="814"/>
      <c r="R312" s="779" t="s">
        <v>759</v>
      </c>
      <c r="S312" s="110" t="b" cm="1">
        <f t="array" aca="1" ref="S312" ca="1">OFFSET(T312,-1,-1)</f>
        <v>1</v>
      </c>
      <c r="T312" s="110" t="b" cm="1">
        <f t="array" aca="1" ref="T312" ca="1">T311</f>
        <v>0</v>
      </c>
      <c r="U312" s="698" t="b">
        <f t="shared" ca="1" si="343"/>
        <v>0</v>
      </c>
      <c r="V312" s="1155"/>
      <c r="W312" s="1155"/>
      <c r="X312" s="1155"/>
      <c r="Y312" s="1687"/>
      <c r="Z312" s="1687"/>
      <c r="AA312" s="699"/>
      <c r="AB312" s="1753"/>
      <c r="AD312" s="111">
        <v>6</v>
      </c>
      <c r="AE312" s="1777" t="s">
        <v>787</v>
      </c>
      <c r="AF312" s="1778"/>
      <c r="AG312" s="111" t="s">
        <v>762</v>
      </c>
      <c r="AH312" s="734">
        <f t="shared" ref="AH312:BM312" si="378">AH307-AH308-AH310</f>
        <v>0</v>
      </c>
      <c r="AI312" s="736">
        <f t="shared" si="378"/>
        <v>0</v>
      </c>
      <c r="AJ312" s="736">
        <f t="shared" si="378"/>
        <v>0</v>
      </c>
      <c r="AK312" s="736">
        <f t="shared" si="378"/>
        <v>0</v>
      </c>
      <c r="AL312" s="736">
        <f t="shared" si="378"/>
        <v>0</v>
      </c>
      <c r="AM312" s="736">
        <f t="shared" si="378"/>
        <v>0</v>
      </c>
      <c r="AN312" s="736">
        <f t="shared" si="378"/>
        <v>0</v>
      </c>
      <c r="AO312" s="736">
        <f t="shared" si="378"/>
        <v>0</v>
      </c>
      <c r="AP312" s="736">
        <f t="shared" si="378"/>
        <v>0</v>
      </c>
      <c r="AQ312" s="736">
        <f t="shared" si="378"/>
        <v>0</v>
      </c>
      <c r="AR312" s="736">
        <f t="shared" si="378"/>
        <v>0</v>
      </c>
      <c r="AS312" s="736">
        <f t="shared" si="378"/>
        <v>0</v>
      </c>
      <c r="AT312" s="736">
        <f t="shared" si="378"/>
        <v>0</v>
      </c>
      <c r="AU312" s="736">
        <f t="shared" si="378"/>
        <v>0</v>
      </c>
      <c r="AV312" s="736">
        <f t="shared" si="378"/>
        <v>0</v>
      </c>
      <c r="AW312" s="736">
        <f t="shared" si="378"/>
        <v>0</v>
      </c>
      <c r="AX312" s="736">
        <f t="shared" si="378"/>
        <v>0</v>
      </c>
      <c r="AY312" s="736">
        <f t="shared" si="378"/>
        <v>0</v>
      </c>
      <c r="AZ312" s="736">
        <f t="shared" si="378"/>
        <v>0</v>
      </c>
      <c r="BA312" s="736">
        <f t="shared" si="378"/>
        <v>0</v>
      </c>
      <c r="BB312" s="736">
        <f t="shared" si="378"/>
        <v>0</v>
      </c>
      <c r="BC312" s="736">
        <f t="shared" si="378"/>
        <v>0</v>
      </c>
      <c r="BD312" s="736">
        <f t="shared" si="378"/>
        <v>0</v>
      </c>
      <c r="BE312" s="736">
        <f t="shared" si="378"/>
        <v>0</v>
      </c>
      <c r="BF312" s="736">
        <f t="shared" si="378"/>
        <v>0</v>
      </c>
      <c r="BG312" s="736">
        <f t="shared" si="378"/>
        <v>0</v>
      </c>
      <c r="BH312" s="736">
        <f t="shared" si="378"/>
        <v>0</v>
      </c>
      <c r="BI312" s="736">
        <f t="shared" si="378"/>
        <v>0</v>
      </c>
      <c r="BJ312" s="736">
        <f t="shared" si="378"/>
        <v>0</v>
      </c>
      <c r="BK312" s="736">
        <f t="shared" si="378"/>
        <v>0</v>
      </c>
      <c r="BL312" s="736">
        <f t="shared" si="378"/>
        <v>0</v>
      </c>
      <c r="BM312" s="736">
        <f t="shared" si="378"/>
        <v>0</v>
      </c>
      <c r="BN312" s="736">
        <f t="shared" ref="BN312:CS312" si="379">BN307-BN308-BN310</f>
        <v>0</v>
      </c>
      <c r="BO312" s="736">
        <f t="shared" si="379"/>
        <v>0</v>
      </c>
      <c r="BP312" s="736">
        <f t="shared" si="379"/>
        <v>0</v>
      </c>
      <c r="BQ312" s="736">
        <f t="shared" si="379"/>
        <v>0</v>
      </c>
      <c r="BR312" s="736">
        <f t="shared" si="379"/>
        <v>0</v>
      </c>
      <c r="BS312" s="736">
        <f t="shared" si="379"/>
        <v>0</v>
      </c>
      <c r="BT312" s="736">
        <f t="shared" si="379"/>
        <v>0</v>
      </c>
      <c r="BU312" s="736">
        <f t="shared" si="379"/>
        <v>0</v>
      </c>
      <c r="BV312" s="736">
        <f t="shared" si="379"/>
        <v>0</v>
      </c>
      <c r="BW312" s="736">
        <f t="shared" si="379"/>
        <v>0</v>
      </c>
      <c r="BX312" s="736">
        <f t="shared" si="379"/>
        <v>0</v>
      </c>
      <c r="BY312" s="736">
        <f t="shared" si="379"/>
        <v>0</v>
      </c>
      <c r="BZ312" s="736">
        <f t="shared" si="379"/>
        <v>0</v>
      </c>
      <c r="CA312" s="736">
        <f t="shared" si="379"/>
        <v>0</v>
      </c>
      <c r="CB312" s="736">
        <f t="shared" si="379"/>
        <v>0</v>
      </c>
      <c r="CC312" s="736">
        <f t="shared" si="379"/>
        <v>0</v>
      </c>
      <c r="CD312" s="736">
        <f t="shared" si="379"/>
        <v>0</v>
      </c>
      <c r="CE312" s="736">
        <f t="shared" si="379"/>
        <v>0</v>
      </c>
      <c r="CF312" s="736">
        <f t="shared" si="379"/>
        <v>0</v>
      </c>
      <c r="CG312" s="736">
        <f t="shared" si="379"/>
        <v>0</v>
      </c>
      <c r="CH312" s="736">
        <f t="shared" si="379"/>
        <v>0</v>
      </c>
      <c r="CI312" s="736">
        <f t="shared" si="379"/>
        <v>0</v>
      </c>
      <c r="CJ312" s="736">
        <f t="shared" si="379"/>
        <v>0</v>
      </c>
      <c r="CK312" s="736">
        <f t="shared" si="379"/>
        <v>0</v>
      </c>
      <c r="CL312" s="736">
        <f t="shared" si="379"/>
        <v>0</v>
      </c>
      <c r="CM312" s="736">
        <f t="shared" si="379"/>
        <v>0</v>
      </c>
      <c r="CN312" s="736">
        <f t="shared" si="379"/>
        <v>0</v>
      </c>
      <c r="CO312" s="736">
        <f t="shared" si="379"/>
        <v>0</v>
      </c>
      <c r="CP312" s="736">
        <f t="shared" si="379"/>
        <v>0</v>
      </c>
      <c r="CQ312" s="736">
        <f t="shared" si="379"/>
        <v>0</v>
      </c>
      <c r="CR312" s="736">
        <f t="shared" si="379"/>
        <v>0</v>
      </c>
      <c r="CS312" s="736">
        <f t="shared" si="379"/>
        <v>0</v>
      </c>
      <c r="CT312" s="28"/>
      <c r="CW312" s="970" t="s">
        <v>788</v>
      </c>
      <c r="CX312" s="975"/>
      <c r="CY312" s="975"/>
      <c r="CZ312" s="975"/>
      <c r="DA312" s="976"/>
      <c r="DB312" s="976"/>
    </row>
    <row r="313" spans="1:106" s="1229" customFormat="1" ht="29.25" customHeight="1">
      <c r="A313" s="1155"/>
      <c r="B313" s="783"/>
      <c r="C313" s="1155"/>
      <c r="D313" s="1155"/>
      <c r="E313" s="676">
        <v>30</v>
      </c>
      <c r="F313" s="779" t="str" cm="1">
        <f t="array" aca="1" ref="F313" ca="1">OFFSET(G313,-1,-1)</f>
        <v>2</v>
      </c>
      <c r="G313" s="814"/>
      <c r="H313" s="814"/>
      <c r="I313" s="814"/>
      <c r="J313" s="814"/>
      <c r="K313" s="814"/>
      <c r="L313" s="779" t="b" cm="1">
        <f t="array" aca="1" ref="L313" ca="1">OFFSET(M313,-1,-1)</f>
        <v>0</v>
      </c>
      <c r="M313" s="814"/>
      <c r="N313" s="814"/>
      <c r="O313" s="814"/>
      <c r="P313" s="814"/>
      <c r="Q313" s="814"/>
      <c r="R313" s="1155"/>
      <c r="S313" s="110" t="b" cm="1">
        <f t="array" aca="1" ref="S313" ca="1">OFFSET(T313,-1,-1)</f>
        <v>1</v>
      </c>
      <c r="T313" s="1155"/>
      <c r="U313" s="698" t="b">
        <f t="shared" ca="1" si="343"/>
        <v>1</v>
      </c>
      <c r="V313" s="1155"/>
      <c r="W313" s="1155"/>
      <c r="X313" s="1155"/>
      <c r="Y313" s="1687"/>
      <c r="Z313" s="1687"/>
      <c r="AA313" s="699"/>
      <c r="AB313" s="1753"/>
      <c r="AD313" s="111">
        <v>7</v>
      </c>
      <c r="AE313" s="1766" t="s">
        <v>789</v>
      </c>
      <c r="AF313" s="1767"/>
      <c r="AG313" s="744" t="s">
        <v>634</v>
      </c>
      <c r="AH313" s="734">
        <f ca="1">SUMIFS('Баланс Пр'!AE$27:AE$233,'Баланс Пр'!$AB$27:$AB$233,"3.1",'Баланс Пр'!$F$27:$F$233,$F313)+SUMIFS('Баланс Пр'!AE$27:AE$233,'Баланс Пр'!$AB$27:$AB$233,"3.2",'Баланс Пр'!$F$27:$F$233,$F313)</f>
        <v>0</v>
      </c>
      <c r="AI313" s="734">
        <f ca="1">SUMIFS('Баланс Пр'!AF$27:AF$233,'Баланс Пр'!$AB$27:$AB$233,"3.1",'Баланс Пр'!$F$27:$F$233,$F313)+SUMIFS('Баланс Пр'!AF$27:AF$233,'Баланс Пр'!$AB$27:$AB$233,"3.2",'Баланс Пр'!$F$27:$F$233,$F313)</f>
        <v>0</v>
      </c>
      <c r="AJ313" s="734">
        <f ca="1">SUMIFS('Баланс Пр'!AG$27:AG$233,'Баланс Пр'!$AB$27:$AB$233,"3.1",'Баланс Пр'!$F$27:$F$233,$F313)+SUMIFS('Баланс Пр'!AG$27:AG$233,'Баланс Пр'!$AB$27:$AB$233,"3.2",'Баланс Пр'!$F$27:$F$233,$F313)</f>
        <v>0</v>
      </c>
      <c r="AK313" s="734">
        <f ca="1">SUMIFS('Баланс Пр'!AH$27:AH$233,'Баланс Пр'!$AB$27:$AB$233,"3.1",'Баланс Пр'!$F$27:$F$233,$F313)+SUMIFS('Баланс Пр'!AH$27:AH$233,'Баланс Пр'!$AB$27:$AB$233,"3.2",'Баланс Пр'!$F$27:$F$233,$F313)</f>
        <v>134025</v>
      </c>
      <c r="AL313" s="734">
        <f ca="1">SUMIFS('Баланс Пр'!AI$27:AI$233,'Баланс Пр'!$AB$27:$AB$233,"3.1",'Баланс Пр'!$F$27:$F$233,$F313)+SUMIFS('Баланс Пр'!AI$27:AI$233,'Баланс Пр'!$AB$27:$AB$233,"3.2",'Баланс Пр'!$F$27:$F$233,$F313)</f>
        <v>0</v>
      </c>
      <c r="AM313" s="1302"/>
      <c r="AN313" s="736">
        <f ca="1">AL313-AM313</f>
        <v>0</v>
      </c>
      <c r="AO313" s="734">
        <f ca="1">SUMIFS('Баланс Пр'!AJ$27:AJ$233,'Баланс Пр'!$AB$27:$AB$233,"3.1",'Баланс Пр'!$F$27:$F$233,$F313)+SUMIFS('Баланс Пр'!AJ$27:AJ$233,'Баланс Пр'!$AB$27:$AB$233,"3.2",'Баланс Пр'!$F$27:$F$233,$F313)</f>
        <v>0</v>
      </c>
      <c r="AP313" s="826"/>
      <c r="AQ313" s="736">
        <f ca="1">AO313-AP313</f>
        <v>0</v>
      </c>
      <c r="AR313" s="734">
        <f ca="1">SUMIFS('Баланс Пр'!AK$27:AK$233,'Баланс Пр'!$AB$27:$AB$233,"3.1",'Баланс Пр'!$F$27:$F$233,$F313)+SUMIFS('Баланс Пр'!AK$27:AK$233,'Баланс Пр'!$AB$27:$AB$233,"3.2",'Баланс Пр'!$F$27:$F$233,$F313)</f>
        <v>0</v>
      </c>
      <c r="AS313" s="826"/>
      <c r="AT313" s="736">
        <f ca="1">AR313-AS313</f>
        <v>0</v>
      </c>
      <c r="AU313" s="734">
        <f ca="1">SUMIFS('Баланс Пр'!AL$27:AL$233,'Баланс Пр'!$AB$27:$AB$233,"3.1",'Баланс Пр'!$F$27:$F$233,$F313)+SUMIFS('Баланс Пр'!AL$27:AL$233,'Баланс Пр'!$AB$27:$AB$233,"3.2",'Баланс Пр'!$F$27:$F$233,$F313)</f>
        <v>0</v>
      </c>
      <c r="AV313" s="826"/>
      <c r="AW313" s="736">
        <f ca="1">AU313-AV313</f>
        <v>0</v>
      </c>
      <c r="AX313" s="734">
        <f ca="1">SUMIFS('Баланс Пр'!AM$27:AM$233,'Баланс Пр'!$AB$27:$AB$233,"3.1",'Баланс Пр'!$F$27:$F$233,$F313)+SUMIFS('Баланс Пр'!AM$27:AM$233,'Баланс Пр'!$AB$27:$AB$233,"3.2",'Баланс Пр'!$F$27:$F$233,$F313)</f>
        <v>0</v>
      </c>
      <c r="AY313" s="826"/>
      <c r="AZ313" s="736">
        <f ca="1">AX313-AY313</f>
        <v>0</v>
      </c>
      <c r="BA313" s="734">
        <f ca="1">SUMIFS('Баланс Пр'!AN$27:AN$233,'Баланс Пр'!$AB$27:$AB$233,"3.1",'Баланс Пр'!$F$27:$F$233,$F313)+SUMIFS('Баланс Пр'!AN$27:AN$233,'Баланс Пр'!$AB$27:$AB$233,"3.2",'Баланс Пр'!$F$27:$F$233,$F313)</f>
        <v>0</v>
      </c>
      <c r="BB313" s="1302"/>
      <c r="BC313" s="736">
        <f ca="1">BA313-BB313</f>
        <v>0</v>
      </c>
      <c r="BD313" s="734">
        <f ca="1">SUMIFS('Баланс Пр'!AO$27:AO$233,'Баланс Пр'!$AB$27:$AB$233,"3.1",'Баланс Пр'!$F$27:$F$233,$F313)+SUMIFS('Баланс Пр'!AO$27:AO$233,'Баланс Пр'!$AB$27:$AB$233,"3.2",'Баланс Пр'!$F$27:$F$233,$F313)</f>
        <v>0</v>
      </c>
      <c r="BE313" s="1302"/>
      <c r="BF313" s="736">
        <f ca="1">BD313-BE313</f>
        <v>0</v>
      </c>
      <c r="BG313" s="734">
        <f ca="1">SUMIFS('Баланс Пр'!AP$27:AP$233,'Баланс Пр'!$AB$27:$AB$233,"3.1",'Баланс Пр'!$F$27:$F$233,$F313)+SUMIFS('Баланс Пр'!AP$27:AP$233,'Баланс Пр'!$AB$27:$AB$233,"3.2",'Баланс Пр'!$F$27:$F$233,$F313)</f>
        <v>0</v>
      </c>
      <c r="BH313" s="1302"/>
      <c r="BI313" s="736">
        <f ca="1">BG313-BH313</f>
        <v>0</v>
      </c>
      <c r="BJ313" s="734">
        <f ca="1">SUMIFS('Баланс Пр'!AQ$27:AQ$233,'Баланс Пр'!$AB$27:$AB$233,"3.1",'Баланс Пр'!$F$27:$F$233,$F313)+SUMIFS('Баланс Пр'!AQ$27:AQ$233,'Баланс Пр'!$AB$27:$AB$233,"3.2",'Баланс Пр'!$F$27:$F$233,$F313)</f>
        <v>0</v>
      </c>
      <c r="BK313" s="1302"/>
      <c r="BL313" s="736">
        <f ca="1">BJ313-BK313</f>
        <v>0</v>
      </c>
      <c r="BM313" s="734">
        <f ca="1">SUMIFS('Баланс Пр'!AR$27:AR$233,'Баланс Пр'!$AB$27:$AB$233,"3.1",'Баланс Пр'!$F$27:$F$233,$F313)+SUMIFS('Баланс Пр'!AR$27:AR$233,'Баланс Пр'!$AB$27:$AB$233,"3.2",'Баланс Пр'!$F$27:$F$233,$F313)</f>
        <v>0</v>
      </c>
      <c r="BN313" s="1302"/>
      <c r="BO313" s="736">
        <f ca="1">BM313-BN313</f>
        <v>0</v>
      </c>
      <c r="BP313" s="734">
        <f ca="1">SUMIFS('Баланс Пр'!AS$27:AS$233,'Баланс Пр'!$AB$27:$AB$233,"3.1",'Баланс Пр'!$F$27:$F$233,$F313)+SUMIFS('Баланс Пр'!AS$27:AS$233,'Баланс Пр'!$AB$27:$AB$233,"3.2",'Баланс Пр'!$F$27:$F$233,$F313)</f>
        <v>134025</v>
      </c>
      <c r="BQ313" s="826">
        <f>134025*0.7137</f>
        <v>95653.642500000002</v>
      </c>
      <c r="BR313" s="736">
        <f ca="1">BP313-BQ313</f>
        <v>38371.357499999998</v>
      </c>
      <c r="BS313" s="734">
        <f ca="1">SUMIFS('Баланс Пр'!AT$27:AT$233,'Баланс Пр'!$AB$27:$AB$233,"3.1",'Баланс Пр'!$F$27:$F$233,$F313)+SUMIFS('Баланс Пр'!AT$27:AT$233,'Баланс Пр'!$AB$27:$AB$233,"3.2",'Баланс Пр'!$F$27:$F$233,$F313)</f>
        <v>0</v>
      </c>
      <c r="BT313" s="826"/>
      <c r="BU313" s="736">
        <f ca="1">BS313-BT313</f>
        <v>0</v>
      </c>
      <c r="BV313" s="734">
        <f ca="1">SUMIFS('Баланс Пр'!AU$27:AU$233,'Баланс Пр'!$AB$27:$AB$233,"3.1",'Баланс Пр'!$F$27:$F$233,$F313)+SUMIFS('Баланс Пр'!AU$27:AU$233,'Баланс Пр'!$AB$27:$AB$233,"3.2",'Баланс Пр'!$F$27:$F$233,$F313)</f>
        <v>0</v>
      </c>
      <c r="BW313" s="826"/>
      <c r="BX313" s="736">
        <f ca="1">BV313-BW313</f>
        <v>0</v>
      </c>
      <c r="BY313" s="734">
        <f ca="1">SUMIFS('Баланс Пр'!AV$27:AV$233,'Баланс Пр'!$AB$27:$AB$233,"3.1",'Баланс Пр'!$F$27:$F$233,$F313)+SUMIFS('Баланс Пр'!AV$27:AV$233,'Баланс Пр'!$AB$27:$AB$233,"3.2",'Баланс Пр'!$F$27:$F$233,$F313)</f>
        <v>0</v>
      </c>
      <c r="BZ313" s="826"/>
      <c r="CA313" s="736">
        <f ca="1">BY313-BZ313</f>
        <v>0</v>
      </c>
      <c r="CB313" s="734">
        <f ca="1">SUMIFS('Баланс Пр'!AW$27:AW$233,'Баланс Пр'!$AB$27:$AB$233,"3.1",'Баланс Пр'!$F$27:$F$233,$F313)+SUMIFS('Баланс Пр'!AW$27:AW$233,'Баланс Пр'!$AB$27:$AB$233,"3.2",'Баланс Пр'!$F$27:$F$233,$F313)</f>
        <v>0</v>
      </c>
      <c r="CC313" s="826"/>
      <c r="CD313" s="736">
        <f ca="1">CB313-CC313</f>
        <v>0</v>
      </c>
      <c r="CE313" s="734">
        <f ca="1">SUMIFS('Баланс Пр'!AX$27:AX$233,'Баланс Пр'!$AB$27:$AB$233,"3.1",'Баланс Пр'!$F$27:$F$233,$F313)+SUMIFS('Баланс Пр'!AX$27:AX$233,'Баланс Пр'!$AB$27:$AB$233,"3.2",'Баланс Пр'!$F$27:$F$233,$F313)</f>
        <v>0</v>
      </c>
      <c r="CF313" s="1302"/>
      <c r="CG313" s="736">
        <f ca="1">CE313-CF313</f>
        <v>0</v>
      </c>
      <c r="CH313" s="734">
        <f ca="1">SUMIFS('Баланс Пр'!AY$27:AY$233,'Баланс Пр'!$AB$27:$AB$233,"3.1",'Баланс Пр'!$F$27:$F$233,$F313)+SUMIFS('Баланс Пр'!AY$27:AY$233,'Баланс Пр'!$AB$27:$AB$233,"3.2",'Баланс Пр'!$F$27:$F$233,$F313)</f>
        <v>0</v>
      </c>
      <c r="CI313" s="1302"/>
      <c r="CJ313" s="736">
        <f ca="1">CH313-CI313</f>
        <v>0</v>
      </c>
      <c r="CK313" s="734">
        <f ca="1">SUMIFS('Баланс Пр'!AZ$27:AZ$233,'Баланс Пр'!$AB$27:$AB$233,"3.1",'Баланс Пр'!$F$27:$F$233,$F313)+SUMIFS('Баланс Пр'!AZ$27:AZ$233,'Баланс Пр'!$AB$27:$AB$233,"3.2",'Баланс Пр'!$F$27:$F$233,$F313)</f>
        <v>0</v>
      </c>
      <c r="CL313" s="1302"/>
      <c r="CM313" s="736">
        <f ca="1">CK313-CL313</f>
        <v>0</v>
      </c>
      <c r="CN313" s="734">
        <f ca="1">SUMIFS('Баланс Пр'!BA$27:BA$233,'Баланс Пр'!$AB$27:$AB$233,"3.1",'Баланс Пр'!$F$27:$F$233,$F313)+SUMIFS('Баланс Пр'!BA$27:BA$233,'Баланс Пр'!$AB$27:$AB$233,"3.2",'Баланс Пр'!$F$27:$F$233,$F313)</f>
        <v>0</v>
      </c>
      <c r="CO313" s="1302"/>
      <c r="CP313" s="736">
        <f ca="1">CN313-CO313</f>
        <v>0</v>
      </c>
      <c r="CQ313" s="734">
        <f ca="1">SUMIFS('Баланс Пр'!BB$27:BB$233,'Баланс Пр'!$AB$27:$AB$233,"3.1",'Баланс Пр'!$F$27:$F$233,$F313)+SUMIFS('Баланс Пр'!BB$27:BB$233,'Баланс Пр'!$AB$27:$AB$233,"3.2",'Баланс Пр'!$F$27:$F$233,$F313)</f>
        <v>0</v>
      </c>
      <c r="CR313" s="1302"/>
      <c r="CS313" s="736">
        <f ca="1">CQ313-CR313</f>
        <v>0</v>
      </c>
      <c r="CT313" s="1290"/>
      <c r="CW313" s="970" t="s">
        <v>790</v>
      </c>
      <c r="CX313" s="975"/>
      <c r="CY313" s="975"/>
      <c r="CZ313" s="975"/>
      <c r="DA313" s="976"/>
      <c r="DB313" s="976"/>
    </row>
    <row r="314" spans="1:106" s="1229" customFormat="1" ht="16.5" customHeight="1">
      <c r="A314" s="1155"/>
      <c r="B314" s="783"/>
      <c r="C314" s="1155"/>
      <c r="D314" s="1155"/>
      <c r="E314" s="676">
        <v>17.100000000000001</v>
      </c>
      <c r="F314" s="779" t="str" cm="1">
        <f t="array" aca="1" ref="F314" ca="1">OFFSET(G314,-1,-1)</f>
        <v>2</v>
      </c>
      <c r="G314" s="814"/>
      <c r="H314" s="814"/>
      <c r="I314" s="814"/>
      <c r="J314" s="814"/>
      <c r="K314" s="814"/>
      <c r="L314" s="779" t="b" cm="1">
        <f t="array" aca="1" ref="L314" ca="1">OFFSET(M314,-1,-1)</f>
        <v>0</v>
      </c>
      <c r="M314" s="814"/>
      <c r="N314" s="814"/>
      <c r="O314" s="814"/>
      <c r="P314" s="814"/>
      <c r="Q314" s="814"/>
      <c r="R314" s="1155"/>
      <c r="S314" s="110" t="b" cm="1">
        <f t="array" aca="1" ref="S314" ca="1">OFFSET(T314,-1,-1)</f>
        <v>1</v>
      </c>
      <c r="T314" s="1155"/>
      <c r="U314" s="698" t="b">
        <f t="shared" ca="1" si="343"/>
        <v>1</v>
      </c>
      <c r="V314" s="1155"/>
      <c r="W314" s="1155"/>
      <c r="X314" s="1155"/>
      <c r="Y314" s="1687"/>
      <c r="Z314" s="1687"/>
      <c r="AA314" s="699"/>
      <c r="AB314" s="1753"/>
      <c r="AD314" s="111">
        <v>8</v>
      </c>
      <c r="AE314" s="1766" t="s">
        <v>791</v>
      </c>
      <c r="AF314" s="1767"/>
      <c r="AG314" s="744" t="s">
        <v>634</v>
      </c>
      <c r="AH314" s="734">
        <f ca="1">SUMIFS('Баланс Пр'!AE$27:AE$233,'Баланс Пр'!$AB$27:$AB$233,"5",'Баланс Пр'!$F$27:$F$233,$F313)</f>
        <v>0</v>
      </c>
      <c r="AI314" s="734">
        <f ca="1">SUMIFS('Баланс Пр'!AF$27:AF$233,'Баланс Пр'!$AB$27:$AB$233,"5",'Баланс Пр'!$F$27:$F$233,$F313)</f>
        <v>0</v>
      </c>
      <c r="AJ314" s="734">
        <f ca="1">SUMIFS('Баланс Пр'!AG$27:AG$233,'Баланс Пр'!$AB$27:$AB$233,"5",'Баланс Пр'!$F$27:$F$233,$F313)</f>
        <v>0</v>
      </c>
      <c r="AK314" s="734">
        <f ca="1">SUMIFS('Баланс Пр'!AH$27:AH$233,'Баланс Пр'!$AB$27:$AB$233,"5",'Баланс Пр'!$F$27:$F$233,$F313)</f>
        <v>0</v>
      </c>
      <c r="AL314" s="734">
        <f ca="1">SUMIFS('Баланс Пр'!AI$27:AI$233,'Баланс Пр'!$AB$27:$AB$233,"5",'Баланс Пр'!$F$27:$F$233,$F313)</f>
        <v>0</v>
      </c>
      <c r="AM314" s="1302"/>
      <c r="AN314" s="736">
        <f ca="1">AL314-AM314</f>
        <v>0</v>
      </c>
      <c r="AO314" s="734">
        <f ca="1">SUMIFS('Баланс Пр'!AJ$27:AJ$233,'Баланс Пр'!$AB$27:$AB$233,"5",'Баланс Пр'!$F$27:$F$233,$F313)</f>
        <v>0</v>
      </c>
      <c r="AP314" s="826"/>
      <c r="AQ314" s="736">
        <f ca="1">AO314-AP314</f>
        <v>0</v>
      </c>
      <c r="AR314" s="734">
        <f ca="1">SUMIFS('Баланс Пр'!AK$27:AK$233,'Баланс Пр'!$AB$27:$AB$233,"5",'Баланс Пр'!$F$27:$F$233,$F313)</f>
        <v>0</v>
      </c>
      <c r="AS314" s="826"/>
      <c r="AT314" s="736">
        <f ca="1">AR314-AS314</f>
        <v>0</v>
      </c>
      <c r="AU314" s="734">
        <f ca="1">SUMIFS('Баланс Пр'!AL$27:AL$233,'Баланс Пр'!$AB$27:$AB$233,"5",'Баланс Пр'!$F$27:$F$233,$F313)</f>
        <v>0</v>
      </c>
      <c r="AV314" s="826"/>
      <c r="AW314" s="736">
        <f ca="1">AU314-AV314</f>
        <v>0</v>
      </c>
      <c r="AX314" s="734">
        <f ca="1">SUMIFS('Баланс Пр'!AM$27:AM$233,'Баланс Пр'!$AB$27:$AB$233,"5",'Баланс Пр'!$F$27:$F$233,$F313)</f>
        <v>0</v>
      </c>
      <c r="AY314" s="826"/>
      <c r="AZ314" s="736">
        <f ca="1">AX314-AY314</f>
        <v>0</v>
      </c>
      <c r="BA314" s="734">
        <f ca="1">SUMIFS('Баланс Пр'!AN$27:AN$233,'Баланс Пр'!$AB$27:$AB$233,"5",'Баланс Пр'!$F$27:$F$233,$F313)</f>
        <v>0</v>
      </c>
      <c r="BB314" s="1302"/>
      <c r="BC314" s="736">
        <f ca="1">BA314-BB314</f>
        <v>0</v>
      </c>
      <c r="BD314" s="734">
        <f ca="1">SUMIFS('Баланс Пр'!AO$27:AO$233,'Баланс Пр'!$AB$27:$AB$233,"5",'Баланс Пр'!$F$27:$F$233,$F313)</f>
        <v>0</v>
      </c>
      <c r="BE314" s="1302"/>
      <c r="BF314" s="736">
        <f ca="1">BD314-BE314</f>
        <v>0</v>
      </c>
      <c r="BG314" s="734">
        <f ca="1">SUMIFS('Баланс Пр'!AP$27:AP$233,'Баланс Пр'!$AB$27:$AB$233,"5",'Баланс Пр'!$F$27:$F$233,$F313)</f>
        <v>0</v>
      </c>
      <c r="BH314" s="1302"/>
      <c r="BI314" s="736">
        <f ca="1">BG314-BH314</f>
        <v>0</v>
      </c>
      <c r="BJ314" s="734">
        <f ca="1">SUMIFS('Баланс Пр'!AQ$27:AQ$233,'Баланс Пр'!$AB$27:$AB$233,"5",'Баланс Пр'!$F$27:$F$233,$F313)</f>
        <v>0</v>
      </c>
      <c r="BK314" s="1302"/>
      <c r="BL314" s="736">
        <f ca="1">BJ314-BK314</f>
        <v>0</v>
      </c>
      <c r="BM314" s="734">
        <f ca="1">SUMIFS('Баланс Пр'!AR$27:AR$233,'Баланс Пр'!$AB$27:$AB$233,"5",'Баланс Пр'!$F$27:$F$233,$F313)</f>
        <v>0</v>
      </c>
      <c r="BN314" s="1302"/>
      <c r="BO314" s="736">
        <f ca="1">BM314-BN314</f>
        <v>0</v>
      </c>
      <c r="BP314" s="734">
        <f ca="1">SUMIFS('Баланс Пр'!AS$27:AS$233,'Баланс Пр'!$AB$27:$AB$233,"5",'Баланс Пр'!$F$27:$F$233,$F313)</f>
        <v>0</v>
      </c>
      <c r="BQ314" s="826"/>
      <c r="BR314" s="736">
        <f ca="1">BP314-BQ314</f>
        <v>0</v>
      </c>
      <c r="BS314" s="734">
        <f ca="1">SUMIFS('Баланс Пр'!AT$27:AT$233,'Баланс Пр'!$AB$27:$AB$233,"5",'Баланс Пр'!$F$27:$F$233,$F313)</f>
        <v>0</v>
      </c>
      <c r="BT314" s="826"/>
      <c r="BU314" s="736">
        <f ca="1">BS314-BT314</f>
        <v>0</v>
      </c>
      <c r="BV314" s="734">
        <f ca="1">SUMIFS('Баланс Пр'!AU$27:AU$233,'Баланс Пр'!$AB$27:$AB$233,"5",'Баланс Пр'!$F$27:$F$233,$F313)</f>
        <v>0</v>
      </c>
      <c r="BW314" s="826"/>
      <c r="BX314" s="736">
        <f ca="1">BV314-BW314</f>
        <v>0</v>
      </c>
      <c r="BY314" s="734">
        <f ca="1">SUMIFS('Баланс Пр'!AV$27:AV$233,'Баланс Пр'!$AB$27:$AB$233,"5",'Баланс Пр'!$F$27:$F$233,$F313)</f>
        <v>0</v>
      </c>
      <c r="BZ314" s="826"/>
      <c r="CA314" s="736">
        <f ca="1">BY314-BZ314</f>
        <v>0</v>
      </c>
      <c r="CB314" s="734">
        <f ca="1">SUMIFS('Баланс Пр'!AW$27:AW$233,'Баланс Пр'!$AB$27:$AB$233,"5",'Баланс Пр'!$F$27:$F$233,$F313)</f>
        <v>0</v>
      </c>
      <c r="CC314" s="826"/>
      <c r="CD314" s="736">
        <f ca="1">CB314-CC314</f>
        <v>0</v>
      </c>
      <c r="CE314" s="734">
        <f ca="1">SUMIFS('Баланс Пр'!AX$27:AX$233,'Баланс Пр'!$AB$27:$AB$233,"5",'Баланс Пр'!$F$27:$F$233,$F313)</f>
        <v>0</v>
      </c>
      <c r="CF314" s="1302"/>
      <c r="CG314" s="736">
        <f ca="1">CE314-CF314</f>
        <v>0</v>
      </c>
      <c r="CH314" s="734">
        <f ca="1">SUMIFS('Баланс Пр'!AY$27:AY$233,'Баланс Пр'!$AB$27:$AB$233,"5",'Баланс Пр'!$F$27:$F$233,$F313)</f>
        <v>0</v>
      </c>
      <c r="CI314" s="1302"/>
      <c r="CJ314" s="736">
        <f ca="1">CH314-CI314</f>
        <v>0</v>
      </c>
      <c r="CK314" s="734">
        <f ca="1">SUMIFS('Баланс Пр'!AZ$27:AZ$233,'Баланс Пр'!$AB$27:$AB$233,"5",'Баланс Пр'!$F$27:$F$233,$F313)</f>
        <v>0</v>
      </c>
      <c r="CL314" s="1302"/>
      <c r="CM314" s="736">
        <f ca="1">CK314-CL314</f>
        <v>0</v>
      </c>
      <c r="CN314" s="734">
        <f ca="1">SUMIFS('Баланс Пр'!BA$27:BA$233,'Баланс Пр'!$AB$27:$AB$233,"5",'Баланс Пр'!$F$27:$F$233,$F313)</f>
        <v>0</v>
      </c>
      <c r="CO314" s="1302"/>
      <c r="CP314" s="736">
        <f ca="1">CN314-CO314</f>
        <v>0</v>
      </c>
      <c r="CQ314" s="734">
        <f ca="1">SUMIFS('Баланс Пр'!BB$27:BB$233,'Баланс Пр'!$AB$27:$AB$233,"5",'Баланс Пр'!$F$27:$F$233,$F313)</f>
        <v>0</v>
      </c>
      <c r="CR314" s="1302"/>
      <c r="CS314" s="736">
        <f ca="1">CQ314-CR314</f>
        <v>0</v>
      </c>
      <c r="CT314" s="1290"/>
      <c r="CW314" s="970" t="s">
        <v>792</v>
      </c>
      <c r="CX314" s="975"/>
      <c r="CY314" s="975"/>
      <c r="CZ314" s="975"/>
      <c r="DA314" s="976"/>
      <c r="DB314" s="976"/>
    </row>
    <row r="315" spans="1:106" s="1229" customFormat="1" ht="16.5" customHeight="1">
      <c r="A315" s="1155"/>
      <c r="B315" s="783"/>
      <c r="C315" s="1155"/>
      <c r="D315" s="1155"/>
      <c r="E315" s="676">
        <v>17.100000000000001</v>
      </c>
      <c r="F315" s="779" t="str" cm="1">
        <f t="array" aca="1" ref="F315" ca="1">OFFSET(G315,-1,-1)</f>
        <v>2</v>
      </c>
      <c r="G315" s="814"/>
      <c r="H315" s="814"/>
      <c r="I315" s="814"/>
      <c r="J315" s="814"/>
      <c r="K315" s="814"/>
      <c r="L315" s="779" t="b" cm="1">
        <f t="array" aca="1" ref="L315" ca="1">OFFSET(M315,-1,-1)</f>
        <v>0</v>
      </c>
      <c r="M315" s="814"/>
      <c r="N315" s="814"/>
      <c r="O315" s="814"/>
      <c r="P315" s="814"/>
      <c r="Q315" s="814"/>
      <c r="R315" s="1155"/>
      <c r="S315" s="110" t="b" cm="1">
        <f t="array" aca="1" ref="S315" ca="1">OFFSET(T315,-1,-1)</f>
        <v>1</v>
      </c>
      <c r="T315" s="1155"/>
      <c r="U315" s="698" t="b">
        <f t="shared" ca="1" si="343"/>
        <v>1</v>
      </c>
      <c r="V315" s="1155"/>
      <c r="W315" s="1155"/>
      <c r="X315" s="1155"/>
      <c r="Y315" s="1687"/>
      <c r="Z315" s="1687"/>
      <c r="AA315" s="699"/>
      <c r="AB315" s="1753"/>
      <c r="AD315" s="111" t="s">
        <v>793</v>
      </c>
      <c r="AE315" s="1768" t="s">
        <v>794</v>
      </c>
      <c r="AF315" s="1769"/>
      <c r="AG315" s="547" t="s">
        <v>533</v>
      </c>
      <c r="AH315" s="740">
        <f t="shared" ref="AH315:BM315" ca="1" si="380">IFERROR(AH314/AH313,0)</f>
        <v>0</v>
      </c>
      <c r="AI315" s="741">
        <f t="shared" ca="1" si="380"/>
        <v>0</v>
      </c>
      <c r="AJ315" s="741">
        <f t="shared" ca="1" si="380"/>
        <v>0</v>
      </c>
      <c r="AK315" s="741">
        <f t="shared" ca="1" si="380"/>
        <v>0</v>
      </c>
      <c r="AL315" s="741">
        <f t="shared" ca="1" si="380"/>
        <v>0</v>
      </c>
      <c r="AM315" s="741">
        <f t="shared" si="380"/>
        <v>0</v>
      </c>
      <c r="AN315" s="741">
        <f t="shared" ca="1" si="380"/>
        <v>0</v>
      </c>
      <c r="AO315" s="741">
        <f t="shared" ca="1" si="380"/>
        <v>0</v>
      </c>
      <c r="AP315" s="741">
        <f t="shared" si="380"/>
        <v>0</v>
      </c>
      <c r="AQ315" s="741">
        <f t="shared" ca="1" si="380"/>
        <v>0</v>
      </c>
      <c r="AR315" s="741">
        <f t="shared" ca="1" si="380"/>
        <v>0</v>
      </c>
      <c r="AS315" s="741">
        <f t="shared" si="380"/>
        <v>0</v>
      </c>
      <c r="AT315" s="741">
        <f t="shared" ca="1" si="380"/>
        <v>0</v>
      </c>
      <c r="AU315" s="741">
        <f t="shared" ca="1" si="380"/>
        <v>0</v>
      </c>
      <c r="AV315" s="741">
        <f t="shared" si="380"/>
        <v>0</v>
      </c>
      <c r="AW315" s="741">
        <f t="shared" ca="1" si="380"/>
        <v>0</v>
      </c>
      <c r="AX315" s="741">
        <f t="shared" ca="1" si="380"/>
        <v>0</v>
      </c>
      <c r="AY315" s="741">
        <f t="shared" si="380"/>
        <v>0</v>
      </c>
      <c r="AZ315" s="741">
        <f t="shared" ca="1" si="380"/>
        <v>0</v>
      </c>
      <c r="BA315" s="741">
        <f t="shared" ca="1" si="380"/>
        <v>0</v>
      </c>
      <c r="BB315" s="741">
        <f t="shared" si="380"/>
        <v>0</v>
      </c>
      <c r="BC315" s="741">
        <f t="shared" ca="1" si="380"/>
        <v>0</v>
      </c>
      <c r="BD315" s="741">
        <f t="shared" ca="1" si="380"/>
        <v>0</v>
      </c>
      <c r="BE315" s="741">
        <f t="shared" si="380"/>
        <v>0</v>
      </c>
      <c r="BF315" s="741">
        <f t="shared" ca="1" si="380"/>
        <v>0</v>
      </c>
      <c r="BG315" s="741">
        <f t="shared" ca="1" si="380"/>
        <v>0</v>
      </c>
      <c r="BH315" s="741">
        <f t="shared" si="380"/>
        <v>0</v>
      </c>
      <c r="BI315" s="741">
        <f t="shared" ca="1" si="380"/>
        <v>0</v>
      </c>
      <c r="BJ315" s="741">
        <f t="shared" ca="1" si="380"/>
        <v>0</v>
      </c>
      <c r="BK315" s="741">
        <f t="shared" si="380"/>
        <v>0</v>
      </c>
      <c r="BL315" s="741">
        <f t="shared" ca="1" si="380"/>
        <v>0</v>
      </c>
      <c r="BM315" s="741">
        <f t="shared" ca="1" si="380"/>
        <v>0</v>
      </c>
      <c r="BN315" s="741">
        <f t="shared" ref="BN315:CS315" si="381">IFERROR(BN314/BN313,0)</f>
        <v>0</v>
      </c>
      <c r="BO315" s="741">
        <f t="shared" ca="1" si="381"/>
        <v>0</v>
      </c>
      <c r="BP315" s="741">
        <f t="shared" ca="1" si="381"/>
        <v>0</v>
      </c>
      <c r="BQ315" s="741">
        <f t="shared" si="381"/>
        <v>0</v>
      </c>
      <c r="BR315" s="741">
        <f t="shared" ca="1" si="381"/>
        <v>0</v>
      </c>
      <c r="BS315" s="741">
        <f t="shared" ca="1" si="381"/>
        <v>0</v>
      </c>
      <c r="BT315" s="741">
        <f t="shared" si="381"/>
        <v>0</v>
      </c>
      <c r="BU315" s="741">
        <f t="shared" ca="1" si="381"/>
        <v>0</v>
      </c>
      <c r="BV315" s="741">
        <f t="shared" ca="1" si="381"/>
        <v>0</v>
      </c>
      <c r="BW315" s="741">
        <f t="shared" si="381"/>
        <v>0</v>
      </c>
      <c r="BX315" s="741">
        <f t="shared" ca="1" si="381"/>
        <v>0</v>
      </c>
      <c r="BY315" s="741">
        <f t="shared" ca="1" si="381"/>
        <v>0</v>
      </c>
      <c r="BZ315" s="741">
        <f t="shared" si="381"/>
        <v>0</v>
      </c>
      <c r="CA315" s="741">
        <f t="shared" ca="1" si="381"/>
        <v>0</v>
      </c>
      <c r="CB315" s="741">
        <f t="shared" ca="1" si="381"/>
        <v>0</v>
      </c>
      <c r="CC315" s="741">
        <f t="shared" si="381"/>
        <v>0</v>
      </c>
      <c r="CD315" s="741">
        <f t="shared" ca="1" si="381"/>
        <v>0</v>
      </c>
      <c r="CE315" s="741">
        <f t="shared" ca="1" si="381"/>
        <v>0</v>
      </c>
      <c r="CF315" s="741">
        <f t="shared" si="381"/>
        <v>0</v>
      </c>
      <c r="CG315" s="741">
        <f t="shared" ca="1" si="381"/>
        <v>0</v>
      </c>
      <c r="CH315" s="741">
        <f t="shared" ca="1" si="381"/>
        <v>0</v>
      </c>
      <c r="CI315" s="741">
        <f t="shared" si="381"/>
        <v>0</v>
      </c>
      <c r="CJ315" s="741">
        <f t="shared" ca="1" si="381"/>
        <v>0</v>
      </c>
      <c r="CK315" s="741">
        <f t="shared" ca="1" si="381"/>
        <v>0</v>
      </c>
      <c r="CL315" s="741">
        <f t="shared" si="381"/>
        <v>0</v>
      </c>
      <c r="CM315" s="741">
        <f t="shared" ca="1" si="381"/>
        <v>0</v>
      </c>
      <c r="CN315" s="741">
        <f t="shared" ca="1" si="381"/>
        <v>0</v>
      </c>
      <c r="CO315" s="741">
        <f t="shared" si="381"/>
        <v>0</v>
      </c>
      <c r="CP315" s="741">
        <f t="shared" ca="1" si="381"/>
        <v>0</v>
      </c>
      <c r="CQ315" s="741">
        <f t="shared" ca="1" si="381"/>
        <v>0</v>
      </c>
      <c r="CR315" s="741">
        <f t="shared" si="381"/>
        <v>0</v>
      </c>
      <c r="CS315" s="741">
        <f t="shared" ca="1" si="381"/>
        <v>0</v>
      </c>
      <c r="CT315" s="1290"/>
      <c r="CW315" s="970" t="s">
        <v>795</v>
      </c>
      <c r="CX315" s="975"/>
      <c r="CY315" s="975"/>
      <c r="CZ315" s="975"/>
      <c r="DA315" s="976"/>
      <c r="DB315" s="976"/>
    </row>
    <row r="316" spans="1:106" s="1229" customFormat="1" ht="29.25" customHeight="1">
      <c r="A316" s="1155"/>
      <c r="B316" s="783"/>
      <c r="C316" s="1155"/>
      <c r="D316" s="1155"/>
      <c r="E316" s="676">
        <v>30</v>
      </c>
      <c r="F316" s="779" t="str" cm="1">
        <f t="array" aca="1" ref="F316" ca="1">OFFSET(G316,-1,-1)</f>
        <v>2</v>
      </c>
      <c r="G316" s="814"/>
      <c r="H316" s="814"/>
      <c r="I316" s="814"/>
      <c r="J316" s="814"/>
      <c r="K316" s="814"/>
      <c r="L316" s="779" t="b" cm="1">
        <f t="array" aca="1" ref="L316" ca="1">OFFSET(M316,-1,-1)</f>
        <v>0</v>
      </c>
      <c r="M316" s="814"/>
      <c r="N316" s="814"/>
      <c r="O316" s="814"/>
      <c r="P316" s="814"/>
      <c r="Q316" s="814"/>
      <c r="R316" s="1155"/>
      <c r="S316" s="110" t="b" cm="1">
        <f t="array" aca="1" ref="S316" ca="1">OFFSET(T316,-1,-1)</f>
        <v>1</v>
      </c>
      <c r="T316" s="1155"/>
      <c r="U316" s="698" t="b">
        <f t="shared" ca="1" si="343"/>
        <v>1</v>
      </c>
      <c r="V316" s="1155"/>
      <c r="W316" s="1155"/>
      <c r="X316" s="1155"/>
      <c r="Y316" s="1687"/>
      <c r="Z316" s="1687"/>
      <c r="AA316" s="699"/>
      <c r="AB316" s="1753"/>
      <c r="AD316" s="111">
        <v>9</v>
      </c>
      <c r="AE316" s="1759" t="s">
        <v>796</v>
      </c>
      <c r="AF316" s="1760"/>
      <c r="AG316" s="744" t="s">
        <v>634</v>
      </c>
      <c r="AH316" s="734">
        <f t="shared" ref="AH316:BM316" ca="1" si="382">AH313-AH314</f>
        <v>0</v>
      </c>
      <c r="AI316" s="736">
        <f t="shared" ca="1" si="382"/>
        <v>0</v>
      </c>
      <c r="AJ316" s="736">
        <f t="shared" ca="1" si="382"/>
        <v>0</v>
      </c>
      <c r="AK316" s="736">
        <f t="shared" ca="1" si="382"/>
        <v>134025</v>
      </c>
      <c r="AL316" s="736">
        <f t="shared" ca="1" si="382"/>
        <v>0</v>
      </c>
      <c r="AM316" s="736">
        <f t="shared" si="382"/>
        <v>0</v>
      </c>
      <c r="AN316" s="736">
        <f t="shared" ca="1" si="382"/>
        <v>0</v>
      </c>
      <c r="AO316" s="736">
        <f t="shared" ca="1" si="382"/>
        <v>0</v>
      </c>
      <c r="AP316" s="736">
        <f t="shared" si="382"/>
        <v>0</v>
      </c>
      <c r="AQ316" s="736">
        <f t="shared" ca="1" si="382"/>
        <v>0</v>
      </c>
      <c r="AR316" s="736">
        <f t="shared" ca="1" si="382"/>
        <v>0</v>
      </c>
      <c r="AS316" s="736">
        <f t="shared" si="382"/>
        <v>0</v>
      </c>
      <c r="AT316" s="736">
        <f t="shared" ca="1" si="382"/>
        <v>0</v>
      </c>
      <c r="AU316" s="736">
        <f t="shared" ca="1" si="382"/>
        <v>0</v>
      </c>
      <c r="AV316" s="736">
        <f t="shared" si="382"/>
        <v>0</v>
      </c>
      <c r="AW316" s="736">
        <f t="shared" ca="1" si="382"/>
        <v>0</v>
      </c>
      <c r="AX316" s="736">
        <f t="shared" ca="1" si="382"/>
        <v>0</v>
      </c>
      <c r="AY316" s="736">
        <f t="shared" si="382"/>
        <v>0</v>
      </c>
      <c r="AZ316" s="736">
        <f t="shared" ca="1" si="382"/>
        <v>0</v>
      </c>
      <c r="BA316" s="736">
        <f t="shared" ca="1" si="382"/>
        <v>0</v>
      </c>
      <c r="BB316" s="736">
        <f t="shared" si="382"/>
        <v>0</v>
      </c>
      <c r="BC316" s="736">
        <f t="shared" ca="1" si="382"/>
        <v>0</v>
      </c>
      <c r="BD316" s="736">
        <f t="shared" ca="1" si="382"/>
        <v>0</v>
      </c>
      <c r="BE316" s="736">
        <f t="shared" si="382"/>
        <v>0</v>
      </c>
      <c r="BF316" s="736">
        <f t="shared" ca="1" si="382"/>
        <v>0</v>
      </c>
      <c r="BG316" s="736">
        <f t="shared" ca="1" si="382"/>
        <v>0</v>
      </c>
      <c r="BH316" s="736">
        <f t="shared" si="382"/>
        <v>0</v>
      </c>
      <c r="BI316" s="736">
        <f t="shared" ca="1" si="382"/>
        <v>0</v>
      </c>
      <c r="BJ316" s="736">
        <f t="shared" ca="1" si="382"/>
        <v>0</v>
      </c>
      <c r="BK316" s="736">
        <f t="shared" si="382"/>
        <v>0</v>
      </c>
      <c r="BL316" s="736">
        <f t="shared" ca="1" si="382"/>
        <v>0</v>
      </c>
      <c r="BM316" s="736">
        <f t="shared" ca="1" si="382"/>
        <v>0</v>
      </c>
      <c r="BN316" s="736">
        <f t="shared" ref="BN316:CS316" si="383">BN313-BN314</f>
        <v>0</v>
      </c>
      <c r="BO316" s="736">
        <f t="shared" ca="1" si="383"/>
        <v>0</v>
      </c>
      <c r="BP316" s="736">
        <f t="shared" ca="1" si="383"/>
        <v>134025</v>
      </c>
      <c r="BQ316" s="736">
        <f t="shared" si="383"/>
        <v>95653.642500000002</v>
      </c>
      <c r="BR316" s="736">
        <f t="shared" ca="1" si="383"/>
        <v>38371.357499999998</v>
      </c>
      <c r="BS316" s="736">
        <f t="shared" ca="1" si="383"/>
        <v>0</v>
      </c>
      <c r="BT316" s="736">
        <f t="shared" si="383"/>
        <v>0</v>
      </c>
      <c r="BU316" s="736">
        <f t="shared" ca="1" si="383"/>
        <v>0</v>
      </c>
      <c r="BV316" s="736">
        <f t="shared" ca="1" si="383"/>
        <v>0</v>
      </c>
      <c r="BW316" s="736">
        <f t="shared" si="383"/>
        <v>0</v>
      </c>
      <c r="BX316" s="736">
        <f t="shared" ca="1" si="383"/>
        <v>0</v>
      </c>
      <c r="BY316" s="736">
        <f t="shared" ca="1" si="383"/>
        <v>0</v>
      </c>
      <c r="BZ316" s="736">
        <f t="shared" si="383"/>
        <v>0</v>
      </c>
      <c r="CA316" s="736">
        <f t="shared" ca="1" si="383"/>
        <v>0</v>
      </c>
      <c r="CB316" s="736">
        <f t="shared" ca="1" si="383"/>
        <v>0</v>
      </c>
      <c r="CC316" s="736">
        <f t="shared" si="383"/>
        <v>0</v>
      </c>
      <c r="CD316" s="736">
        <f t="shared" ca="1" si="383"/>
        <v>0</v>
      </c>
      <c r="CE316" s="736">
        <f t="shared" ca="1" si="383"/>
        <v>0</v>
      </c>
      <c r="CF316" s="736">
        <f t="shared" si="383"/>
        <v>0</v>
      </c>
      <c r="CG316" s="736">
        <f t="shared" ca="1" si="383"/>
        <v>0</v>
      </c>
      <c r="CH316" s="736">
        <f t="shared" ca="1" si="383"/>
        <v>0</v>
      </c>
      <c r="CI316" s="736">
        <f t="shared" si="383"/>
        <v>0</v>
      </c>
      <c r="CJ316" s="736">
        <f t="shared" ca="1" si="383"/>
        <v>0</v>
      </c>
      <c r="CK316" s="736">
        <f t="shared" ca="1" si="383"/>
        <v>0</v>
      </c>
      <c r="CL316" s="736">
        <f t="shared" si="383"/>
        <v>0</v>
      </c>
      <c r="CM316" s="736">
        <f t="shared" ca="1" si="383"/>
        <v>0</v>
      </c>
      <c r="CN316" s="736">
        <f t="shared" ca="1" si="383"/>
        <v>0</v>
      </c>
      <c r="CO316" s="736">
        <f t="shared" si="383"/>
        <v>0</v>
      </c>
      <c r="CP316" s="736">
        <f t="shared" ca="1" si="383"/>
        <v>0</v>
      </c>
      <c r="CQ316" s="736">
        <f t="shared" ca="1" si="383"/>
        <v>0</v>
      </c>
      <c r="CR316" s="736">
        <f t="shared" si="383"/>
        <v>0</v>
      </c>
      <c r="CS316" s="736">
        <f t="shared" ca="1" si="383"/>
        <v>0</v>
      </c>
      <c r="CT316" s="1290"/>
      <c r="CW316" s="970" t="s">
        <v>797</v>
      </c>
      <c r="CX316" s="975"/>
      <c r="CY316" s="975"/>
      <c r="CZ316" s="975"/>
      <c r="DA316" s="976"/>
      <c r="DB316" s="976"/>
    </row>
    <row r="317" spans="1:106" s="1229" customFormat="1" ht="16.5" hidden="1" customHeight="1">
      <c r="A317" s="1155"/>
      <c r="B317" s="783"/>
      <c r="C317" s="1155"/>
      <c r="D317" s="1155"/>
      <c r="E317" s="676">
        <v>17.100000000000001</v>
      </c>
      <c r="F317" s="779" t="str" cm="1">
        <f t="array" aca="1" ref="F317" ca="1">OFFSET(G317,-1,-1)</f>
        <v>2</v>
      </c>
      <c r="G317" s="814"/>
      <c r="H317" s="814"/>
      <c r="I317" s="814"/>
      <c r="J317" s="814"/>
      <c r="K317" s="814"/>
      <c r="L317" s="779" t="b" cm="1">
        <f t="array" aca="1" ref="L317" ca="1">OFFSET(M317,-1,-1)</f>
        <v>0</v>
      </c>
      <c r="M317" s="814"/>
      <c r="N317" s="814"/>
      <c r="O317" s="814"/>
      <c r="P317" s="814"/>
      <c r="Q317" s="814"/>
      <c r="R317" s="779" t="s">
        <v>759</v>
      </c>
      <c r="S317" s="110" t="b" cm="1">
        <f t="array" aca="1" ref="S317" ca="1">OFFSET(T317,-1,-1)</f>
        <v>1</v>
      </c>
      <c r="T317" s="110" t="b" cm="1">
        <f t="array" aca="1" ref="T317" ca="1">L317</f>
        <v>0</v>
      </c>
      <c r="U317" s="698" t="b">
        <f t="shared" ca="1" si="343"/>
        <v>0</v>
      </c>
      <c r="V317" s="1155"/>
      <c r="W317" s="1155"/>
      <c r="X317" s="1155"/>
      <c r="Y317" s="1687"/>
      <c r="Z317" s="1687"/>
      <c r="AA317" s="699"/>
      <c r="AB317" s="1753"/>
      <c r="AD317" s="111">
        <v>10</v>
      </c>
      <c r="AE317" s="1759" t="s">
        <v>776</v>
      </c>
      <c r="AF317" s="1760"/>
      <c r="AG317" s="547" t="s">
        <v>762</v>
      </c>
      <c r="AH317" s="41"/>
      <c r="AI317" s="42"/>
      <c r="AJ317" s="42"/>
      <c r="AK317" s="42"/>
      <c r="AL317" s="736">
        <f>AM317+AN317</f>
        <v>0</v>
      </c>
      <c r="AM317" s="42"/>
      <c r="AN317" s="42"/>
      <c r="AO317" s="736">
        <f>AP317+AQ317</f>
        <v>0</v>
      </c>
      <c r="AP317" s="826"/>
      <c r="AQ317" s="826"/>
      <c r="AR317" s="736">
        <f>AS317+AT317</f>
        <v>0</v>
      </c>
      <c r="AS317" s="826"/>
      <c r="AT317" s="826"/>
      <c r="AU317" s="736">
        <f>AV317+AW317</f>
        <v>0</v>
      </c>
      <c r="AV317" s="826"/>
      <c r="AW317" s="826"/>
      <c r="AX317" s="736">
        <f>AY317+AZ317</f>
        <v>0</v>
      </c>
      <c r="AY317" s="826"/>
      <c r="AZ317" s="826"/>
      <c r="BA317" s="736">
        <f>BB317+BC317</f>
        <v>0</v>
      </c>
      <c r="BB317" s="42"/>
      <c r="BC317" s="42"/>
      <c r="BD317" s="736">
        <f>BE317+BF317</f>
        <v>0</v>
      </c>
      <c r="BE317" s="42"/>
      <c r="BF317" s="42"/>
      <c r="BG317" s="736">
        <f>BH317+BI317</f>
        <v>0</v>
      </c>
      <c r="BH317" s="42"/>
      <c r="BI317" s="42"/>
      <c r="BJ317" s="736">
        <f>BK317+BL317</f>
        <v>0</v>
      </c>
      <c r="BK317" s="42"/>
      <c r="BL317" s="42"/>
      <c r="BM317" s="736">
        <f>BN317+BO317</f>
        <v>0</v>
      </c>
      <c r="BN317" s="42"/>
      <c r="BO317" s="42"/>
      <c r="BP317" s="736">
        <f>BQ317+BR317</f>
        <v>0</v>
      </c>
      <c r="BQ317" s="826"/>
      <c r="BR317" s="826"/>
      <c r="BS317" s="736">
        <f>BT317+BU317</f>
        <v>0</v>
      </c>
      <c r="BT317" s="826"/>
      <c r="BU317" s="826"/>
      <c r="BV317" s="736">
        <f>BW317+BX317</f>
        <v>0</v>
      </c>
      <c r="BW317" s="826"/>
      <c r="BX317" s="826"/>
      <c r="BY317" s="736">
        <f>BZ317+CA317</f>
        <v>0</v>
      </c>
      <c r="BZ317" s="826"/>
      <c r="CA317" s="826"/>
      <c r="CB317" s="736">
        <f>CC317+CD317</f>
        <v>0</v>
      </c>
      <c r="CC317" s="826"/>
      <c r="CD317" s="826"/>
      <c r="CE317" s="736">
        <f>CF317+CG317</f>
        <v>0</v>
      </c>
      <c r="CF317" s="42"/>
      <c r="CG317" s="42"/>
      <c r="CH317" s="736">
        <f>CI317+CJ317</f>
        <v>0</v>
      </c>
      <c r="CI317" s="42"/>
      <c r="CJ317" s="42"/>
      <c r="CK317" s="736">
        <f>CL317+CM317</f>
        <v>0</v>
      </c>
      <c r="CL317" s="42"/>
      <c r="CM317" s="42"/>
      <c r="CN317" s="736">
        <f>CO317+CP317</f>
        <v>0</v>
      </c>
      <c r="CO317" s="42"/>
      <c r="CP317" s="42"/>
      <c r="CQ317" s="736">
        <f>CR317+CS317</f>
        <v>0</v>
      </c>
      <c r="CR317" s="42"/>
      <c r="CS317" s="42"/>
      <c r="CT317" s="28"/>
      <c r="CW317" s="970" t="s">
        <v>798</v>
      </c>
      <c r="CX317" s="975"/>
      <c r="CY317" s="975"/>
      <c r="CZ317" s="975"/>
      <c r="DA317" s="976"/>
      <c r="DB317" s="976"/>
    </row>
    <row r="318" spans="1:106" s="1229" customFormat="1" ht="29.25" hidden="1" customHeight="1">
      <c r="A318" s="1155"/>
      <c r="B318" s="783"/>
      <c r="C318" s="1155"/>
      <c r="D318" s="1155"/>
      <c r="E318" s="676">
        <v>30</v>
      </c>
      <c r="F318" s="779" t="str" cm="1">
        <f t="array" aca="1" ref="F318" ca="1">OFFSET(G318,-1,-1)</f>
        <v>2</v>
      </c>
      <c r="G318" s="814"/>
      <c r="H318" s="814"/>
      <c r="I318" s="814"/>
      <c r="J318" s="814"/>
      <c r="K318" s="814"/>
      <c r="L318" s="779" t="b" cm="1">
        <f t="array" aca="1" ref="L318" ca="1">OFFSET(M318,-1,-1)</f>
        <v>0</v>
      </c>
      <c r="M318" s="814"/>
      <c r="N318" s="814"/>
      <c r="O318" s="814"/>
      <c r="P318" s="814"/>
      <c r="Q318" s="814"/>
      <c r="R318" s="779" t="s">
        <v>759</v>
      </c>
      <c r="S318" s="110" t="b" cm="1">
        <f t="array" aca="1" ref="S318" ca="1">OFFSET(T318,-1,-1)</f>
        <v>1</v>
      </c>
      <c r="T318" s="110" t="b" cm="1">
        <f t="array" aca="1" ref="T318" ca="1">L318</f>
        <v>0</v>
      </c>
      <c r="U318" s="698" t="b">
        <f t="shared" ca="1" si="343"/>
        <v>0</v>
      </c>
      <c r="V318" s="1155"/>
      <c r="W318" s="1155"/>
      <c r="X318" s="1155"/>
      <c r="Y318" s="1687"/>
      <c r="Z318" s="1687"/>
      <c r="AA318" s="699"/>
      <c r="AB318" s="1753"/>
      <c r="AD318" s="111">
        <v>11</v>
      </c>
      <c r="AE318" s="1759" t="s">
        <v>799</v>
      </c>
      <c r="AF318" s="1760"/>
      <c r="AG318" s="547" t="s">
        <v>800</v>
      </c>
      <c r="AH318" s="41"/>
      <c r="AI318" s="42"/>
      <c r="AJ318" s="42"/>
      <c r="AK318" s="42"/>
      <c r="AL318" s="736">
        <f>IFERROR(AL319*1000/AL317,0)</f>
        <v>0</v>
      </c>
      <c r="AM318" s="42"/>
      <c r="AN318" s="42" cm="1">
        <f t="array" ref="AN318">AM318</f>
        <v>0</v>
      </c>
      <c r="AO318" s="736">
        <f>IFERROR(AO319*1000/AO317,0)</f>
        <v>0</v>
      </c>
      <c r="AP318" s="826"/>
      <c r="AQ318" s="826" cm="1">
        <f t="array" ref="AQ318">AP318</f>
        <v>0</v>
      </c>
      <c r="AR318" s="736">
        <f>IFERROR(AR319*1000/AR317,0)</f>
        <v>0</v>
      </c>
      <c r="AS318" s="826"/>
      <c r="AT318" s="826" cm="1">
        <f t="array" ref="AT318">AS318</f>
        <v>0</v>
      </c>
      <c r="AU318" s="736">
        <f>IFERROR(AU319*1000/AU317,0)</f>
        <v>0</v>
      </c>
      <c r="AV318" s="826"/>
      <c r="AW318" s="826" cm="1">
        <f t="array" ref="AW318">AV318</f>
        <v>0</v>
      </c>
      <c r="AX318" s="736">
        <f>IFERROR(AX319*1000/AX317,0)</f>
        <v>0</v>
      </c>
      <c r="AY318" s="826"/>
      <c r="AZ318" s="826" cm="1">
        <f t="array" ref="AZ318">AY318</f>
        <v>0</v>
      </c>
      <c r="BA318" s="736">
        <f>IFERROR(BA319*1000/BA317,0)</f>
        <v>0</v>
      </c>
      <c r="BB318" s="42"/>
      <c r="BC318" s="42" cm="1">
        <f t="array" ref="BC318">BB318</f>
        <v>0</v>
      </c>
      <c r="BD318" s="736">
        <f>IFERROR(BD319*1000/BD317,0)</f>
        <v>0</v>
      </c>
      <c r="BE318" s="42"/>
      <c r="BF318" s="42" cm="1">
        <f t="array" ref="BF318">BE318</f>
        <v>0</v>
      </c>
      <c r="BG318" s="736">
        <f>IFERROR(BG319*1000/BG317,0)</f>
        <v>0</v>
      </c>
      <c r="BH318" s="42"/>
      <c r="BI318" s="42" cm="1">
        <f t="array" ref="BI318">BH318</f>
        <v>0</v>
      </c>
      <c r="BJ318" s="736">
        <f>IFERROR(BJ319*1000/BJ317,0)</f>
        <v>0</v>
      </c>
      <c r="BK318" s="42"/>
      <c r="BL318" s="42" cm="1">
        <f t="array" ref="BL318">BK318</f>
        <v>0</v>
      </c>
      <c r="BM318" s="736">
        <f>IFERROR(BM319*1000/BM317,0)</f>
        <v>0</v>
      </c>
      <c r="BN318" s="42"/>
      <c r="BO318" s="42" cm="1">
        <f t="array" ref="BO318">BN318</f>
        <v>0</v>
      </c>
      <c r="BP318" s="736">
        <f>IFERROR(BP319*1000/BP317,0)</f>
        <v>0</v>
      </c>
      <c r="BQ318" s="826"/>
      <c r="BR318" s="826" cm="1">
        <f t="array" ref="BR318">BQ318</f>
        <v>0</v>
      </c>
      <c r="BS318" s="736">
        <f>IFERROR(BS319*1000/BS317,0)</f>
        <v>0</v>
      </c>
      <c r="BT318" s="826"/>
      <c r="BU318" s="826" cm="1">
        <f t="array" ref="BU318">BT318</f>
        <v>0</v>
      </c>
      <c r="BV318" s="736">
        <f>IFERROR(BV319*1000/BV317,0)</f>
        <v>0</v>
      </c>
      <c r="BW318" s="826"/>
      <c r="BX318" s="826" cm="1">
        <f t="array" ref="BX318">BW318</f>
        <v>0</v>
      </c>
      <c r="BY318" s="736">
        <f>IFERROR(BY319*1000/BY317,0)</f>
        <v>0</v>
      </c>
      <c r="BZ318" s="826"/>
      <c r="CA318" s="826" cm="1">
        <f t="array" ref="CA318">BZ318</f>
        <v>0</v>
      </c>
      <c r="CB318" s="736">
        <f>IFERROR(CB319*1000/CB317,0)</f>
        <v>0</v>
      </c>
      <c r="CC318" s="826"/>
      <c r="CD318" s="826" cm="1">
        <f t="array" ref="CD318">CC318</f>
        <v>0</v>
      </c>
      <c r="CE318" s="736">
        <f>IFERROR(CE319*1000/CE317,0)</f>
        <v>0</v>
      </c>
      <c r="CF318" s="42"/>
      <c r="CG318" s="42" cm="1">
        <f t="array" ref="CG318">CF318</f>
        <v>0</v>
      </c>
      <c r="CH318" s="736">
        <f>IFERROR(CH319*1000/CH317,0)</f>
        <v>0</v>
      </c>
      <c r="CI318" s="42"/>
      <c r="CJ318" s="42" cm="1">
        <f t="array" ref="CJ318">CI318</f>
        <v>0</v>
      </c>
      <c r="CK318" s="736">
        <f>IFERROR(CK319*1000/CK317,0)</f>
        <v>0</v>
      </c>
      <c r="CL318" s="42"/>
      <c r="CM318" s="42" cm="1">
        <f t="array" ref="CM318">CL318</f>
        <v>0</v>
      </c>
      <c r="CN318" s="736">
        <f>IFERROR(CN319*1000/CN317,0)</f>
        <v>0</v>
      </c>
      <c r="CO318" s="42"/>
      <c r="CP318" s="42" cm="1">
        <f t="array" ref="CP318">CO318</f>
        <v>0</v>
      </c>
      <c r="CQ318" s="736">
        <f>IFERROR(CQ319*1000/CQ317,0)</f>
        <v>0</v>
      </c>
      <c r="CR318" s="42"/>
      <c r="CS318" s="42" cm="1">
        <f t="array" ref="CS318">CR318</f>
        <v>0</v>
      </c>
      <c r="CT318" s="28"/>
      <c r="CW318" s="970" t="s">
        <v>801</v>
      </c>
      <c r="CX318" s="975"/>
      <c r="CY318" s="975"/>
      <c r="CZ318" s="975"/>
      <c r="DA318" s="976"/>
      <c r="DB318" s="976"/>
    </row>
    <row r="319" spans="1:106" s="1229" customFormat="1" ht="16.5" hidden="1" customHeight="1">
      <c r="A319" s="1155"/>
      <c r="B319" s="783"/>
      <c r="C319" s="1155"/>
      <c r="D319" s="1155"/>
      <c r="E319" s="676">
        <v>17.100000000000001</v>
      </c>
      <c r="F319" s="779" t="str" cm="1">
        <f t="array" aca="1" ref="F319" ca="1">OFFSET(G319,-1,-1)</f>
        <v>2</v>
      </c>
      <c r="G319" s="814"/>
      <c r="H319" s="814"/>
      <c r="I319" s="814"/>
      <c r="J319" s="814"/>
      <c r="K319" s="814"/>
      <c r="L319" s="779" t="b" cm="1">
        <f t="array" aca="1" ref="L319" ca="1">OFFSET(M319,-1,-1)</f>
        <v>0</v>
      </c>
      <c r="M319" s="814"/>
      <c r="N319" s="814"/>
      <c r="O319" s="814"/>
      <c r="P319" s="814"/>
      <c r="Q319" s="814"/>
      <c r="R319" s="779" t="s">
        <v>759</v>
      </c>
      <c r="S319" s="110" t="b" cm="1">
        <f t="array" aca="1" ref="S319" ca="1">OFFSET(T319,-1,-1)</f>
        <v>1</v>
      </c>
      <c r="T319" s="110" t="b" cm="1">
        <f t="array" aca="1" ref="T319" ca="1">L319</f>
        <v>0</v>
      </c>
      <c r="U319" s="698" t="b">
        <f t="shared" ca="1" si="343"/>
        <v>0</v>
      </c>
      <c r="V319" s="1155"/>
      <c r="W319" s="1155"/>
      <c r="X319" s="1155"/>
      <c r="Y319" s="1687"/>
      <c r="Z319" s="1687"/>
      <c r="AA319" s="699"/>
      <c r="AB319" s="1753"/>
      <c r="AD319" s="111">
        <v>12</v>
      </c>
      <c r="AE319" s="1759" t="s">
        <v>802</v>
      </c>
      <c r="AF319" s="1760"/>
      <c r="AG319" s="547" t="s">
        <v>803</v>
      </c>
      <c r="AH319" s="467">
        <f>AH317*AH318/1000</f>
        <v>0</v>
      </c>
      <c r="AI319" s="311">
        <f>AI317*AI318/1000</f>
        <v>0</v>
      </c>
      <c r="AJ319" s="311">
        <f>AJ317*AJ318/1000</f>
        <v>0</v>
      </c>
      <c r="AK319" s="311">
        <f>AK317*AK318/1000</f>
        <v>0</v>
      </c>
      <c r="AL319" s="736">
        <f>AM319+AN319</f>
        <v>0</v>
      </c>
      <c r="AM319" s="311">
        <f>AM317*AM318/1000</f>
        <v>0</v>
      </c>
      <c r="AN319" s="311">
        <f>AN317*AN318/1000</f>
        <v>0</v>
      </c>
      <c r="AO319" s="736">
        <f>AP319+AQ319</f>
        <v>0</v>
      </c>
      <c r="AP319" s="311">
        <f>AP317*AP318/1000</f>
        <v>0</v>
      </c>
      <c r="AQ319" s="311">
        <f>AQ317*AQ318/1000</f>
        <v>0</v>
      </c>
      <c r="AR319" s="736">
        <f>AS319+AT319</f>
        <v>0</v>
      </c>
      <c r="AS319" s="311">
        <f>AS317*AS318/1000</f>
        <v>0</v>
      </c>
      <c r="AT319" s="311">
        <f>AT317*AT318/1000</f>
        <v>0</v>
      </c>
      <c r="AU319" s="736">
        <f>AV319+AW319</f>
        <v>0</v>
      </c>
      <c r="AV319" s="311">
        <f>AV317*AV318/1000</f>
        <v>0</v>
      </c>
      <c r="AW319" s="311">
        <f>AW317*AW318/1000</f>
        <v>0</v>
      </c>
      <c r="AX319" s="736">
        <f>AY319+AZ319</f>
        <v>0</v>
      </c>
      <c r="AY319" s="311">
        <f>AY317*AY318/1000</f>
        <v>0</v>
      </c>
      <c r="AZ319" s="311">
        <f>AZ317*AZ318/1000</f>
        <v>0</v>
      </c>
      <c r="BA319" s="736">
        <f>BB319+BC319</f>
        <v>0</v>
      </c>
      <c r="BB319" s="311">
        <f>BB317*BB318/1000</f>
        <v>0</v>
      </c>
      <c r="BC319" s="311">
        <f>BC317*BC318/1000</f>
        <v>0</v>
      </c>
      <c r="BD319" s="736">
        <f>BE319+BF319</f>
        <v>0</v>
      </c>
      <c r="BE319" s="311">
        <f>BE317*BE318/1000</f>
        <v>0</v>
      </c>
      <c r="BF319" s="311">
        <f>BF317*BF318/1000</f>
        <v>0</v>
      </c>
      <c r="BG319" s="736">
        <f>BH319+BI319</f>
        <v>0</v>
      </c>
      <c r="BH319" s="311">
        <f>BH317*BH318/1000</f>
        <v>0</v>
      </c>
      <c r="BI319" s="311">
        <f>BI317*BI318/1000</f>
        <v>0</v>
      </c>
      <c r="BJ319" s="736">
        <f>BK319+BL319</f>
        <v>0</v>
      </c>
      <c r="BK319" s="311">
        <f>BK317*BK318/1000</f>
        <v>0</v>
      </c>
      <c r="BL319" s="311">
        <f>BL317*BL318/1000</f>
        <v>0</v>
      </c>
      <c r="BM319" s="736">
        <f>BN319+BO319</f>
        <v>0</v>
      </c>
      <c r="BN319" s="311">
        <f>BN317*BN318/1000</f>
        <v>0</v>
      </c>
      <c r="BO319" s="311">
        <f>BO317*BO318/1000</f>
        <v>0</v>
      </c>
      <c r="BP319" s="736">
        <f>BQ319+BR319</f>
        <v>0</v>
      </c>
      <c r="BQ319" s="311">
        <f>BQ317*BQ318/1000</f>
        <v>0</v>
      </c>
      <c r="BR319" s="311">
        <f>BR317*BR318/1000</f>
        <v>0</v>
      </c>
      <c r="BS319" s="736">
        <f>BT319+BU319</f>
        <v>0</v>
      </c>
      <c r="BT319" s="311">
        <f>BT317*BT318/1000</f>
        <v>0</v>
      </c>
      <c r="BU319" s="311">
        <f>BU317*BU318/1000</f>
        <v>0</v>
      </c>
      <c r="BV319" s="736">
        <f>BW319+BX319</f>
        <v>0</v>
      </c>
      <c r="BW319" s="311">
        <f>BW317*BW318/1000</f>
        <v>0</v>
      </c>
      <c r="BX319" s="311">
        <f>BX317*BX318/1000</f>
        <v>0</v>
      </c>
      <c r="BY319" s="736">
        <f>BZ319+CA319</f>
        <v>0</v>
      </c>
      <c r="BZ319" s="311">
        <f>BZ317*BZ318/1000</f>
        <v>0</v>
      </c>
      <c r="CA319" s="311">
        <f>CA317*CA318/1000</f>
        <v>0</v>
      </c>
      <c r="CB319" s="736">
        <f>CC319+CD319</f>
        <v>0</v>
      </c>
      <c r="CC319" s="311">
        <f>CC317*CC318/1000</f>
        <v>0</v>
      </c>
      <c r="CD319" s="311">
        <f>CD317*CD318/1000</f>
        <v>0</v>
      </c>
      <c r="CE319" s="736">
        <f>CF319+CG319</f>
        <v>0</v>
      </c>
      <c r="CF319" s="311">
        <f>CF317*CF318/1000</f>
        <v>0</v>
      </c>
      <c r="CG319" s="311">
        <f>CG317*CG318/1000</f>
        <v>0</v>
      </c>
      <c r="CH319" s="736">
        <f>CI319+CJ319</f>
        <v>0</v>
      </c>
      <c r="CI319" s="311">
        <f>CI317*CI318/1000</f>
        <v>0</v>
      </c>
      <c r="CJ319" s="311">
        <f>CJ317*CJ318/1000</f>
        <v>0</v>
      </c>
      <c r="CK319" s="736">
        <f>CL319+CM319</f>
        <v>0</v>
      </c>
      <c r="CL319" s="311">
        <f>CL317*CL318/1000</f>
        <v>0</v>
      </c>
      <c r="CM319" s="311">
        <f>CM317*CM318/1000</f>
        <v>0</v>
      </c>
      <c r="CN319" s="736">
        <f>CO319+CP319</f>
        <v>0</v>
      </c>
      <c r="CO319" s="311">
        <f>CO317*CO318/1000</f>
        <v>0</v>
      </c>
      <c r="CP319" s="311">
        <f>CP317*CP318/1000</f>
        <v>0</v>
      </c>
      <c r="CQ319" s="736">
        <f>CR319+CS319</f>
        <v>0</v>
      </c>
      <c r="CR319" s="311">
        <f>CR317*CR318/1000</f>
        <v>0</v>
      </c>
      <c r="CS319" s="311">
        <f>CS317*CS318/1000</f>
        <v>0</v>
      </c>
      <c r="CT319" s="28"/>
      <c r="CW319" s="970" t="s">
        <v>804</v>
      </c>
      <c r="CX319" s="975"/>
      <c r="CY319" s="975"/>
      <c r="CZ319" s="975"/>
      <c r="DA319" s="976"/>
      <c r="DB319" s="976"/>
    </row>
    <row r="320" spans="1:106" s="1229" customFormat="1" ht="29.25" customHeight="1">
      <c r="A320" s="1155"/>
      <c r="B320" s="783"/>
      <c r="C320" s="1155"/>
      <c r="D320" s="1155"/>
      <c r="E320" s="676">
        <v>30</v>
      </c>
      <c r="F320" s="779" t="str" cm="1">
        <f t="array" aca="1" ref="F320" ca="1">OFFSET(G320,-1,-1)</f>
        <v>2</v>
      </c>
      <c r="G320" s="814"/>
      <c r="H320" s="814"/>
      <c r="I320" s="814"/>
      <c r="J320" s="814"/>
      <c r="K320" s="814"/>
      <c r="L320" s="779" t="b" cm="1">
        <f t="array" aca="1" ref="L320" ca="1">OFFSET(M320,-1,-1)</f>
        <v>0</v>
      </c>
      <c r="M320" s="814"/>
      <c r="N320" s="814"/>
      <c r="O320" s="814"/>
      <c r="P320" s="814"/>
      <c r="Q320" s="814"/>
      <c r="R320" s="1155"/>
      <c r="S320" s="110" t="b" cm="1">
        <f t="array" aca="1" ref="S320" ca="1">OFFSET(T320,-1,-1)</f>
        <v>1</v>
      </c>
      <c r="T320" s="1155"/>
      <c r="U320" s="698" t="b">
        <f t="shared" ca="1" si="343"/>
        <v>1</v>
      </c>
      <c r="V320" s="1155"/>
      <c r="W320" s="1155"/>
      <c r="X320" s="1155"/>
      <c r="Y320" s="1687"/>
      <c r="Z320" s="1687"/>
      <c r="AA320" s="699"/>
      <c r="AB320" s="1753"/>
      <c r="AD320" s="111">
        <v>13</v>
      </c>
      <c r="AE320" s="1759" t="s">
        <v>789</v>
      </c>
      <c r="AF320" s="1760"/>
      <c r="AG320" s="547" t="s">
        <v>634</v>
      </c>
      <c r="AH320" s="1303" cm="1">
        <f t="array" aca="1" ref="AH320" ca="1">AH313</f>
        <v>0</v>
      </c>
      <c r="AI320" s="1303" cm="1">
        <f t="array" aca="1" ref="AI320" ca="1">AI313</f>
        <v>0</v>
      </c>
      <c r="AJ320" s="1303" cm="1">
        <f t="array" aca="1" ref="AJ320" ca="1">AJ313</f>
        <v>0</v>
      </c>
      <c r="AK320" s="1303" cm="1">
        <f t="array" aca="1" ref="AK320" ca="1">AK313</f>
        <v>134025</v>
      </c>
      <c r="AL320" s="1303" cm="1">
        <f t="array" aca="1" ref="AL320" ca="1">AL313</f>
        <v>0</v>
      </c>
      <c r="AM320" s="1303" cm="1">
        <f t="array" ref="AM320">AM313</f>
        <v>0</v>
      </c>
      <c r="AN320" s="1303" cm="1">
        <f t="array" aca="1" ref="AN320" ca="1">AN313</f>
        <v>0</v>
      </c>
      <c r="AO320" s="827" cm="1">
        <f t="array" aca="1" ref="AO320" ca="1">AO313</f>
        <v>0</v>
      </c>
      <c r="AP320" s="827" cm="1">
        <f t="array" ref="AP320">AP313</f>
        <v>0</v>
      </c>
      <c r="AQ320" s="827" cm="1">
        <f t="array" aca="1" ref="AQ320" ca="1">AQ313</f>
        <v>0</v>
      </c>
      <c r="AR320" s="827" cm="1">
        <f t="array" aca="1" ref="AR320" ca="1">AR313</f>
        <v>0</v>
      </c>
      <c r="AS320" s="827" cm="1">
        <f t="array" ref="AS320">AS313</f>
        <v>0</v>
      </c>
      <c r="AT320" s="827" cm="1">
        <f t="array" aca="1" ref="AT320" ca="1">AT313</f>
        <v>0</v>
      </c>
      <c r="AU320" s="827" cm="1">
        <f t="array" aca="1" ref="AU320" ca="1">AU313</f>
        <v>0</v>
      </c>
      <c r="AV320" s="827" cm="1">
        <f t="array" ref="AV320">AV313</f>
        <v>0</v>
      </c>
      <c r="AW320" s="827" cm="1">
        <f t="array" aca="1" ref="AW320" ca="1">AW313</f>
        <v>0</v>
      </c>
      <c r="AX320" s="827" cm="1">
        <f t="array" aca="1" ref="AX320" ca="1">AX313</f>
        <v>0</v>
      </c>
      <c r="AY320" s="827" cm="1">
        <f t="array" ref="AY320">AY313</f>
        <v>0</v>
      </c>
      <c r="AZ320" s="827" cm="1">
        <f t="array" aca="1" ref="AZ320" ca="1">AZ313</f>
        <v>0</v>
      </c>
      <c r="BA320" s="1303" cm="1">
        <f t="array" aca="1" ref="BA320" ca="1">BA313</f>
        <v>0</v>
      </c>
      <c r="BB320" s="1303" cm="1">
        <f t="array" ref="BB320">BB313</f>
        <v>0</v>
      </c>
      <c r="BC320" s="1303" cm="1">
        <f t="array" aca="1" ref="BC320" ca="1">BC313</f>
        <v>0</v>
      </c>
      <c r="BD320" s="1303" cm="1">
        <f t="array" aca="1" ref="BD320" ca="1">BD313</f>
        <v>0</v>
      </c>
      <c r="BE320" s="1303" cm="1">
        <f t="array" ref="BE320">BE313</f>
        <v>0</v>
      </c>
      <c r="BF320" s="1303" cm="1">
        <f t="array" aca="1" ref="BF320" ca="1">BF313</f>
        <v>0</v>
      </c>
      <c r="BG320" s="1303" cm="1">
        <f t="array" aca="1" ref="BG320" ca="1">BG313</f>
        <v>0</v>
      </c>
      <c r="BH320" s="1303" cm="1">
        <f t="array" ref="BH320">BH313</f>
        <v>0</v>
      </c>
      <c r="BI320" s="1303" cm="1">
        <f t="array" aca="1" ref="BI320" ca="1">BI313</f>
        <v>0</v>
      </c>
      <c r="BJ320" s="1303" cm="1">
        <f t="array" aca="1" ref="BJ320" ca="1">BJ313</f>
        <v>0</v>
      </c>
      <c r="BK320" s="1303" cm="1">
        <f t="array" ref="BK320">BK313</f>
        <v>0</v>
      </c>
      <c r="BL320" s="1303" cm="1">
        <f t="array" aca="1" ref="BL320" ca="1">BL313</f>
        <v>0</v>
      </c>
      <c r="BM320" s="1303" cm="1">
        <f t="array" aca="1" ref="BM320" ca="1">BM313</f>
        <v>0</v>
      </c>
      <c r="BN320" s="1303" cm="1">
        <f t="array" ref="BN320">BN313</f>
        <v>0</v>
      </c>
      <c r="BO320" s="1303" cm="1">
        <f t="array" aca="1" ref="BO320" ca="1">BO313</f>
        <v>0</v>
      </c>
      <c r="BP320" s="827" cm="1">
        <f t="array" aca="1" ref="BP320" ca="1">BP313</f>
        <v>134025</v>
      </c>
      <c r="BQ320" s="827" cm="1">
        <f t="array" ref="BQ320">BQ313</f>
        <v>95653.642500000002</v>
      </c>
      <c r="BR320" s="827" cm="1">
        <f t="array" aca="1" ref="BR320" ca="1">BR313</f>
        <v>38371.357499999998</v>
      </c>
      <c r="BS320" s="827" cm="1">
        <f t="array" aca="1" ref="BS320" ca="1">BS313</f>
        <v>0</v>
      </c>
      <c r="BT320" s="827" cm="1">
        <f t="array" ref="BT320">BT313</f>
        <v>0</v>
      </c>
      <c r="BU320" s="827" cm="1">
        <f t="array" aca="1" ref="BU320" ca="1">BU313</f>
        <v>0</v>
      </c>
      <c r="BV320" s="827" cm="1">
        <f t="array" aca="1" ref="BV320" ca="1">BV313</f>
        <v>0</v>
      </c>
      <c r="BW320" s="827" cm="1">
        <f t="array" ref="BW320">BW313</f>
        <v>0</v>
      </c>
      <c r="BX320" s="827" cm="1">
        <f t="array" aca="1" ref="BX320" ca="1">BX313</f>
        <v>0</v>
      </c>
      <c r="BY320" s="827" cm="1">
        <f t="array" aca="1" ref="BY320" ca="1">BY313</f>
        <v>0</v>
      </c>
      <c r="BZ320" s="827" cm="1">
        <f t="array" ref="BZ320">BZ313</f>
        <v>0</v>
      </c>
      <c r="CA320" s="827" cm="1">
        <f t="array" aca="1" ref="CA320" ca="1">CA313</f>
        <v>0</v>
      </c>
      <c r="CB320" s="827" cm="1">
        <f t="array" aca="1" ref="CB320" ca="1">CB313</f>
        <v>0</v>
      </c>
      <c r="CC320" s="827" cm="1">
        <f t="array" ref="CC320">CC313</f>
        <v>0</v>
      </c>
      <c r="CD320" s="827" cm="1">
        <f t="array" aca="1" ref="CD320" ca="1">CD313</f>
        <v>0</v>
      </c>
      <c r="CE320" s="1303" cm="1">
        <f t="array" aca="1" ref="CE320" ca="1">CE313</f>
        <v>0</v>
      </c>
      <c r="CF320" s="1303" cm="1">
        <f t="array" ref="CF320">CF313</f>
        <v>0</v>
      </c>
      <c r="CG320" s="1303" cm="1">
        <f t="array" aca="1" ref="CG320" ca="1">CG313</f>
        <v>0</v>
      </c>
      <c r="CH320" s="1303" cm="1">
        <f t="array" aca="1" ref="CH320" ca="1">CH313</f>
        <v>0</v>
      </c>
      <c r="CI320" s="1303" cm="1">
        <f t="array" ref="CI320">CI313</f>
        <v>0</v>
      </c>
      <c r="CJ320" s="1303" cm="1">
        <f t="array" aca="1" ref="CJ320" ca="1">CJ313</f>
        <v>0</v>
      </c>
      <c r="CK320" s="1303" cm="1">
        <f t="array" aca="1" ref="CK320" ca="1">CK313</f>
        <v>0</v>
      </c>
      <c r="CL320" s="1303" cm="1">
        <f t="array" ref="CL320">CL313</f>
        <v>0</v>
      </c>
      <c r="CM320" s="1303" cm="1">
        <f t="array" aca="1" ref="CM320" ca="1">CM313</f>
        <v>0</v>
      </c>
      <c r="CN320" s="1303" cm="1">
        <f t="array" aca="1" ref="CN320" ca="1">CN313</f>
        <v>0</v>
      </c>
      <c r="CO320" s="1303" cm="1">
        <f t="array" ref="CO320">CO313</f>
        <v>0</v>
      </c>
      <c r="CP320" s="1303" cm="1">
        <f t="array" aca="1" ref="CP320" ca="1">CP313</f>
        <v>0</v>
      </c>
      <c r="CQ320" s="1303" cm="1">
        <f t="array" aca="1" ref="CQ320" ca="1">CQ313</f>
        <v>0</v>
      </c>
      <c r="CR320" s="1303" cm="1">
        <f t="array" ref="CR320">CR313</f>
        <v>0</v>
      </c>
      <c r="CS320" s="1303" cm="1">
        <f t="array" aca="1" ref="CS320" ca="1">CS313</f>
        <v>0</v>
      </c>
      <c r="CT320" s="1290"/>
      <c r="CW320" s="970" t="s">
        <v>805</v>
      </c>
      <c r="CX320" s="975"/>
      <c r="CY320" s="975"/>
      <c r="CZ320" s="975"/>
      <c r="DA320" s="976"/>
      <c r="DB320" s="976"/>
    </row>
    <row r="321" spans="1:106" s="1229" customFormat="1" ht="29.25" customHeight="1">
      <c r="A321" s="1155"/>
      <c r="B321" s="783"/>
      <c r="C321" s="1155"/>
      <c r="D321" s="1155"/>
      <c r="E321" s="676">
        <v>30</v>
      </c>
      <c r="F321" s="779" t="str" cm="1">
        <f t="array" aca="1" ref="F321" ca="1">OFFSET(G321,-1,-1)</f>
        <v>2</v>
      </c>
      <c r="G321" s="814"/>
      <c r="H321" s="814"/>
      <c r="I321" s="814"/>
      <c r="J321" s="814"/>
      <c r="K321" s="814"/>
      <c r="L321" s="779" t="b" cm="1">
        <f t="array" aca="1" ref="L321" ca="1">OFFSET(M321,-1,-1)</f>
        <v>0</v>
      </c>
      <c r="M321" s="814"/>
      <c r="N321" s="814"/>
      <c r="O321" s="814"/>
      <c r="P321" s="814"/>
      <c r="Q321" s="814"/>
      <c r="R321" s="1155"/>
      <c r="S321" s="110" t="b" cm="1">
        <f t="array" aca="1" ref="S321" ca="1">OFFSET(T321,-1,-1)</f>
        <v>1</v>
      </c>
      <c r="T321" s="1155"/>
      <c r="U321" s="698" t="b">
        <f t="shared" ca="1" si="343"/>
        <v>1</v>
      </c>
      <c r="V321" s="1155"/>
      <c r="W321" s="1155"/>
      <c r="X321" s="1155"/>
      <c r="Y321" s="1687"/>
      <c r="Z321" s="1687"/>
      <c r="AA321" s="699"/>
      <c r="AB321" s="1753"/>
      <c r="AD321" s="111">
        <v>14</v>
      </c>
      <c r="AE321" s="1759" t="s">
        <v>806</v>
      </c>
      <c r="AF321" s="1760"/>
      <c r="AG321" s="111" t="s">
        <v>807</v>
      </c>
      <c r="AH321" s="1303">
        <f ca="1">IFERROR(AH322/AH320*1000,0)</f>
        <v>0</v>
      </c>
      <c r="AI321" s="1303">
        <f ca="1">IFERROR(AI322/AI320*1000,0)</f>
        <v>0</v>
      </c>
      <c r="AJ321" s="1303">
        <f ca="1">IFERROR(AJ322/AJ320*1000,0)</f>
        <v>0</v>
      </c>
      <c r="AK321" s="1303">
        <f ca="1">IFERROR(AK322/AK320*1000,0)</f>
        <v>183.92837157246782</v>
      </c>
      <c r="AL321" s="1303"/>
      <c r="AM321" s="1303" cm="1">
        <f t="array" ref="AM321">AL321</f>
        <v>0</v>
      </c>
      <c r="AN321" s="1303" cm="1">
        <f t="array" ref="AN321">AL321</f>
        <v>0</v>
      </c>
      <c r="AO321" s="827"/>
      <c r="AP321" s="827" cm="1">
        <f t="array" ref="AP321">AO321</f>
        <v>0</v>
      </c>
      <c r="AQ321" s="827" cm="1">
        <f t="array" ref="AQ321">AO321</f>
        <v>0</v>
      </c>
      <c r="AR321" s="827"/>
      <c r="AS321" s="827" cm="1">
        <f t="array" ref="AS321">AR321</f>
        <v>0</v>
      </c>
      <c r="AT321" s="827" cm="1">
        <f t="array" ref="AT321">AR321</f>
        <v>0</v>
      </c>
      <c r="AU321" s="827"/>
      <c r="AV321" s="827" cm="1">
        <f t="array" ref="AV321">AU321</f>
        <v>0</v>
      </c>
      <c r="AW321" s="827" cm="1">
        <f t="array" ref="AW321">AU321</f>
        <v>0</v>
      </c>
      <c r="AX321" s="827"/>
      <c r="AY321" s="827" cm="1">
        <f t="array" ref="AY321">AX321</f>
        <v>0</v>
      </c>
      <c r="AZ321" s="827" cm="1">
        <f t="array" ref="AZ321">AX321</f>
        <v>0</v>
      </c>
      <c r="BA321" s="1303"/>
      <c r="BB321" s="1303" cm="1">
        <f t="array" ref="BB321">BA321</f>
        <v>0</v>
      </c>
      <c r="BC321" s="1303" cm="1">
        <f t="array" ref="BC321">BA321</f>
        <v>0</v>
      </c>
      <c r="BD321" s="1303"/>
      <c r="BE321" s="1303" cm="1">
        <f t="array" ref="BE321">BD321</f>
        <v>0</v>
      </c>
      <c r="BF321" s="1303" cm="1">
        <f t="array" ref="BF321">BD321</f>
        <v>0</v>
      </c>
      <c r="BG321" s="1303"/>
      <c r="BH321" s="1303" cm="1">
        <f t="array" ref="BH321">BG321</f>
        <v>0</v>
      </c>
      <c r="BI321" s="1303" cm="1">
        <f t="array" ref="BI321">BG321</f>
        <v>0</v>
      </c>
      <c r="BJ321" s="1303"/>
      <c r="BK321" s="1303" cm="1">
        <f t="array" ref="BK321">BJ321</f>
        <v>0</v>
      </c>
      <c r="BL321" s="1303" cm="1">
        <f t="array" ref="BL321">BJ321</f>
        <v>0</v>
      </c>
      <c r="BM321" s="1303"/>
      <c r="BN321" s="1303" cm="1">
        <f t="array" ref="BN321">BM321</f>
        <v>0</v>
      </c>
      <c r="BO321" s="1303" cm="1">
        <f t="array" ref="BO321">BM321</f>
        <v>0</v>
      </c>
      <c r="BP321" s="827">
        <v>183.93</v>
      </c>
      <c r="BQ321" s="827" cm="1">
        <f t="array" ref="BQ321">BP321</f>
        <v>183.93</v>
      </c>
      <c r="BR321" s="827" cm="1">
        <f t="array" ref="BR321">BP321</f>
        <v>183.93</v>
      </c>
      <c r="BS321" s="827"/>
      <c r="BT321" s="827" cm="1">
        <f t="array" ref="BT321">BS321</f>
        <v>0</v>
      </c>
      <c r="BU321" s="827" cm="1">
        <f t="array" ref="BU321">BS321</f>
        <v>0</v>
      </c>
      <c r="BV321" s="827"/>
      <c r="BW321" s="827" cm="1">
        <f t="array" ref="BW321">BV321</f>
        <v>0</v>
      </c>
      <c r="BX321" s="827" cm="1">
        <f t="array" ref="BX321">BV321</f>
        <v>0</v>
      </c>
      <c r="BY321" s="827"/>
      <c r="BZ321" s="827" cm="1">
        <f t="array" ref="BZ321">BY321</f>
        <v>0</v>
      </c>
      <c r="CA321" s="827" cm="1">
        <f t="array" ref="CA321">BY321</f>
        <v>0</v>
      </c>
      <c r="CB321" s="827"/>
      <c r="CC321" s="827" cm="1">
        <f t="array" ref="CC321">CB321</f>
        <v>0</v>
      </c>
      <c r="CD321" s="827" cm="1">
        <f t="array" ref="CD321">CB321</f>
        <v>0</v>
      </c>
      <c r="CE321" s="1303"/>
      <c r="CF321" s="1303" cm="1">
        <f t="array" ref="CF321">CE321</f>
        <v>0</v>
      </c>
      <c r="CG321" s="1303" cm="1">
        <f t="array" ref="CG321">CE321</f>
        <v>0</v>
      </c>
      <c r="CH321" s="1303"/>
      <c r="CI321" s="1303" cm="1">
        <f t="array" ref="CI321">CH321</f>
        <v>0</v>
      </c>
      <c r="CJ321" s="1303" cm="1">
        <f t="array" ref="CJ321">CH321</f>
        <v>0</v>
      </c>
      <c r="CK321" s="1303"/>
      <c r="CL321" s="1303" cm="1">
        <f t="array" ref="CL321">CK321</f>
        <v>0</v>
      </c>
      <c r="CM321" s="1303" cm="1">
        <f t="array" ref="CM321">CK321</f>
        <v>0</v>
      </c>
      <c r="CN321" s="1303"/>
      <c r="CO321" s="1303" cm="1">
        <f t="array" ref="CO321">CN321</f>
        <v>0</v>
      </c>
      <c r="CP321" s="1303" cm="1">
        <f t="array" ref="CP321">CN321</f>
        <v>0</v>
      </c>
      <c r="CQ321" s="1303"/>
      <c r="CR321" s="1303" cm="1">
        <f t="array" ref="CR321">CQ321</f>
        <v>0</v>
      </c>
      <c r="CS321" s="1303" cm="1">
        <f t="array" ref="CS321">CQ321</f>
        <v>0</v>
      </c>
      <c r="CT321" s="1290"/>
      <c r="CW321" s="970" t="s">
        <v>808</v>
      </c>
      <c r="CX321" s="975"/>
      <c r="CY321" s="975"/>
      <c r="CZ321" s="975"/>
      <c r="DA321" s="976"/>
      <c r="DB321" s="976"/>
    </row>
    <row r="322" spans="1:106" s="1229" customFormat="1" ht="16.5" customHeight="1">
      <c r="A322" s="1155"/>
      <c r="B322" s="783"/>
      <c r="C322" s="1155"/>
      <c r="D322" s="1155"/>
      <c r="E322" s="676">
        <v>17.100000000000001</v>
      </c>
      <c r="F322" s="779" t="str" cm="1">
        <f t="array" aca="1" ref="F322" ca="1">OFFSET(G322,-1,-1)</f>
        <v>2</v>
      </c>
      <c r="G322" s="814"/>
      <c r="H322" s="814"/>
      <c r="I322" s="814"/>
      <c r="J322" s="814"/>
      <c r="K322" s="814"/>
      <c r="L322" s="779" t="b" cm="1">
        <f t="array" aca="1" ref="L322" ca="1">OFFSET(M322,-1,-1)</f>
        <v>0</v>
      </c>
      <c r="M322" s="814"/>
      <c r="N322" s="814"/>
      <c r="O322" s="814"/>
      <c r="P322" s="814"/>
      <c r="Q322" s="814"/>
      <c r="R322" s="1155"/>
      <c r="S322" s="110" t="b" cm="1">
        <f t="array" aca="1" ref="S322" ca="1">OFFSET(T322,-1,-1)</f>
        <v>1</v>
      </c>
      <c r="T322" s="1155"/>
      <c r="U322" s="698" t="b">
        <f t="shared" ca="1" si="343"/>
        <v>1</v>
      </c>
      <c r="V322" s="1155"/>
      <c r="W322" s="1155"/>
      <c r="X322" s="1155"/>
      <c r="Y322" s="1687"/>
      <c r="Z322" s="1687"/>
      <c r="AA322" s="699"/>
      <c r="AB322" s="1786" t="s">
        <v>809</v>
      </c>
      <c r="AD322" s="111">
        <v>15</v>
      </c>
      <c r="AE322" s="1759" t="s">
        <v>810</v>
      </c>
      <c r="AF322" s="1760"/>
      <c r="AG322" s="111" t="s">
        <v>803</v>
      </c>
      <c r="AH322" s="1303"/>
      <c r="AI322" s="1303"/>
      <c r="AJ322" s="1303"/>
      <c r="AK322" s="1303">
        <v>24651</v>
      </c>
      <c r="AL322" s="734">
        <f ca="1">AM322+AN322</f>
        <v>0</v>
      </c>
      <c r="AM322" s="1303">
        <f>AM321*AM320/1000</f>
        <v>0</v>
      </c>
      <c r="AN322" s="1303">
        <f ca="1">AN321*AN320/1000</f>
        <v>0</v>
      </c>
      <c r="AO322" s="734">
        <f ca="1">AP322+AQ322</f>
        <v>0</v>
      </c>
      <c r="AP322" s="827">
        <f>AP321*AP320/1000</f>
        <v>0</v>
      </c>
      <c r="AQ322" s="827">
        <f ca="1">AQ321*AQ320/1000</f>
        <v>0</v>
      </c>
      <c r="AR322" s="734">
        <f ca="1">AS322+AT322</f>
        <v>0</v>
      </c>
      <c r="AS322" s="827">
        <f>AS321*AS320/1000</f>
        <v>0</v>
      </c>
      <c r="AT322" s="827">
        <f ca="1">AT321*AT320/1000</f>
        <v>0</v>
      </c>
      <c r="AU322" s="734">
        <f ca="1">AV322+AW322</f>
        <v>0</v>
      </c>
      <c r="AV322" s="827">
        <f>AV321*AV320/1000</f>
        <v>0</v>
      </c>
      <c r="AW322" s="827">
        <f ca="1">AW321*AW320/1000</f>
        <v>0</v>
      </c>
      <c r="AX322" s="734">
        <f ca="1">AY322+AZ322</f>
        <v>0</v>
      </c>
      <c r="AY322" s="827">
        <f>AY321*AY320/1000</f>
        <v>0</v>
      </c>
      <c r="AZ322" s="827">
        <f ca="1">AZ321*AZ320/1000</f>
        <v>0</v>
      </c>
      <c r="BA322" s="734">
        <f ca="1">BB322+BC322</f>
        <v>0</v>
      </c>
      <c r="BB322" s="1303">
        <f>BB321*BB320/1000</f>
        <v>0</v>
      </c>
      <c r="BC322" s="1303">
        <f ca="1">BC321*BC320/1000</f>
        <v>0</v>
      </c>
      <c r="BD322" s="734">
        <f ca="1">BE322+BF322</f>
        <v>0</v>
      </c>
      <c r="BE322" s="1303">
        <f>BE321*BE320/1000</f>
        <v>0</v>
      </c>
      <c r="BF322" s="1303">
        <f ca="1">BF321*BF320/1000</f>
        <v>0</v>
      </c>
      <c r="BG322" s="734">
        <f ca="1">BH322+BI322</f>
        <v>0</v>
      </c>
      <c r="BH322" s="1303">
        <f>BH321*BH320/1000</f>
        <v>0</v>
      </c>
      <c r="BI322" s="1303">
        <f ca="1">BI321*BI320/1000</f>
        <v>0</v>
      </c>
      <c r="BJ322" s="734">
        <f ca="1">BK322+BL322</f>
        <v>0</v>
      </c>
      <c r="BK322" s="1303">
        <f>BK321*BK320/1000</f>
        <v>0</v>
      </c>
      <c r="BL322" s="1303">
        <f ca="1">BL321*BL320/1000</f>
        <v>0</v>
      </c>
      <c r="BM322" s="734">
        <f ca="1">BN322+BO322</f>
        <v>0</v>
      </c>
      <c r="BN322" s="1303">
        <f>BN321*BN320/1000</f>
        <v>0</v>
      </c>
      <c r="BO322" s="1303">
        <f ca="1">BO321*BO320/1000</f>
        <v>0</v>
      </c>
      <c r="BP322" s="734">
        <f ca="1">BQ322+BR322</f>
        <v>24651.218250000002</v>
      </c>
      <c r="BQ322" s="827">
        <f>BQ321*BQ320/1000</f>
        <v>17593.574465025002</v>
      </c>
      <c r="BR322" s="827">
        <f ca="1">BR321*BR320/1000</f>
        <v>7057.643784975</v>
      </c>
      <c r="BS322" s="734">
        <f ca="1">BT322+BU322</f>
        <v>0</v>
      </c>
      <c r="BT322" s="827">
        <f>BT321*BT320/1000</f>
        <v>0</v>
      </c>
      <c r="BU322" s="827">
        <f ca="1">BU321*BU320/1000</f>
        <v>0</v>
      </c>
      <c r="BV322" s="734">
        <f ca="1">BW322+BX322</f>
        <v>0</v>
      </c>
      <c r="BW322" s="827">
        <f>BW321*BW320/1000</f>
        <v>0</v>
      </c>
      <c r="BX322" s="827">
        <f ca="1">BX321*BX320/1000</f>
        <v>0</v>
      </c>
      <c r="BY322" s="734">
        <f ca="1">BZ322+CA322</f>
        <v>0</v>
      </c>
      <c r="BZ322" s="827">
        <f>BZ321*BZ320/1000</f>
        <v>0</v>
      </c>
      <c r="CA322" s="827">
        <f ca="1">CA321*CA320/1000</f>
        <v>0</v>
      </c>
      <c r="CB322" s="734">
        <f ca="1">CC322+CD322</f>
        <v>0</v>
      </c>
      <c r="CC322" s="827">
        <f>CC321*CC320/1000</f>
        <v>0</v>
      </c>
      <c r="CD322" s="827">
        <f ca="1">CD321*CD320/1000</f>
        <v>0</v>
      </c>
      <c r="CE322" s="734">
        <f ca="1">CF322+CG322</f>
        <v>0</v>
      </c>
      <c r="CF322" s="1303">
        <f>CF321*CF320/1000</f>
        <v>0</v>
      </c>
      <c r="CG322" s="1303">
        <f ca="1">CG321*CG320/1000</f>
        <v>0</v>
      </c>
      <c r="CH322" s="734">
        <f ca="1">CI322+CJ322</f>
        <v>0</v>
      </c>
      <c r="CI322" s="1303">
        <f>CI321*CI320/1000</f>
        <v>0</v>
      </c>
      <c r="CJ322" s="1303">
        <f ca="1">CJ321*CJ320/1000</f>
        <v>0</v>
      </c>
      <c r="CK322" s="734">
        <f ca="1">CL322+CM322</f>
        <v>0</v>
      </c>
      <c r="CL322" s="1303">
        <f>CL321*CL320/1000</f>
        <v>0</v>
      </c>
      <c r="CM322" s="1303">
        <f ca="1">CM321*CM320/1000</f>
        <v>0</v>
      </c>
      <c r="CN322" s="734">
        <f ca="1">CO322+CP322</f>
        <v>0</v>
      </c>
      <c r="CO322" s="1303">
        <f>CO321*CO320/1000</f>
        <v>0</v>
      </c>
      <c r="CP322" s="1303">
        <f ca="1">CP321*CP320/1000</f>
        <v>0</v>
      </c>
      <c r="CQ322" s="734">
        <f ca="1">CR322+CS322</f>
        <v>0</v>
      </c>
      <c r="CR322" s="1303">
        <f>CR321*CR320/1000</f>
        <v>0</v>
      </c>
      <c r="CS322" s="1303">
        <f ca="1">CS321*CS320/1000</f>
        <v>0</v>
      </c>
      <c r="CT322" s="1290"/>
      <c r="CW322" s="970" t="s">
        <v>811</v>
      </c>
      <c r="CX322" s="975"/>
      <c r="CY322" s="975"/>
      <c r="CZ322" s="975"/>
      <c r="DA322" s="976"/>
      <c r="DB322" s="976"/>
    </row>
    <row r="323" spans="1:106" s="1229" customFormat="1" ht="16.5" customHeight="1">
      <c r="A323" s="1155"/>
      <c r="B323" s="783"/>
      <c r="C323" s="1155"/>
      <c r="D323" s="1155"/>
      <c r="E323" s="676">
        <v>17.100000000000001</v>
      </c>
      <c r="F323" s="779" t="str" cm="1">
        <f t="array" aca="1" ref="F323" ca="1">OFFSET(G323,-1,-1)</f>
        <v>2</v>
      </c>
      <c r="G323" s="814"/>
      <c r="H323" s="814"/>
      <c r="I323" s="814"/>
      <c r="J323" s="814"/>
      <c r="K323" s="814"/>
      <c r="L323" s="779" t="b" cm="1">
        <f t="array" aca="1" ref="L323" ca="1">OFFSET(M323,-1,-1)</f>
        <v>0</v>
      </c>
      <c r="M323" s="814"/>
      <c r="N323" s="814"/>
      <c r="O323" s="814"/>
      <c r="P323" s="814"/>
      <c r="Q323" s="814"/>
      <c r="R323" s="1155"/>
      <c r="S323" s="110" t="b" cm="1">
        <f t="array" aca="1" ref="S323" ca="1">OFFSET(T323,-1,-1)</f>
        <v>1</v>
      </c>
      <c r="T323" s="1155"/>
      <c r="U323" s="698" t="b">
        <f t="shared" ca="1" si="343"/>
        <v>1</v>
      </c>
      <c r="V323" s="1155"/>
      <c r="W323" s="1155"/>
      <c r="X323" s="1155"/>
      <c r="Y323" s="1687"/>
      <c r="Z323" s="1687"/>
      <c r="AA323" s="699"/>
      <c r="AB323" s="1787"/>
      <c r="AD323" s="111">
        <v>16</v>
      </c>
      <c r="AE323" s="1759" t="s">
        <v>812</v>
      </c>
      <c r="AF323" s="1760"/>
      <c r="AG323" s="111" t="s">
        <v>803</v>
      </c>
      <c r="AH323" s="734">
        <f>AH322+AH319</f>
        <v>0</v>
      </c>
      <c r="AI323" s="734">
        <f>AI322+AI319</f>
        <v>0</v>
      </c>
      <c r="AJ323" s="734">
        <f>AJ322+AJ319</f>
        <v>0</v>
      </c>
      <c r="AK323" s="734">
        <f>AK322+AK319</f>
        <v>24651</v>
      </c>
      <c r="AL323" s="734">
        <f ca="1">AM323+AN323</f>
        <v>0</v>
      </c>
      <c r="AM323" s="734">
        <f>AM322+AM319</f>
        <v>0</v>
      </c>
      <c r="AN323" s="734">
        <f ca="1">AN322+AN319</f>
        <v>0</v>
      </c>
      <c r="AO323" s="734">
        <f ca="1">AP323+AQ323</f>
        <v>0</v>
      </c>
      <c r="AP323" s="734">
        <f>AP322+AP319</f>
        <v>0</v>
      </c>
      <c r="AQ323" s="734">
        <f ca="1">AQ322+AQ319</f>
        <v>0</v>
      </c>
      <c r="AR323" s="734">
        <f ca="1">AS323+AT323</f>
        <v>0</v>
      </c>
      <c r="AS323" s="734">
        <f>AS322+AS319</f>
        <v>0</v>
      </c>
      <c r="AT323" s="734">
        <f ca="1">AT322+AT319</f>
        <v>0</v>
      </c>
      <c r="AU323" s="734">
        <f ca="1">AV323+AW323</f>
        <v>0</v>
      </c>
      <c r="AV323" s="734">
        <f>AV322+AV319</f>
        <v>0</v>
      </c>
      <c r="AW323" s="734">
        <f ca="1">AW322+AW319</f>
        <v>0</v>
      </c>
      <c r="AX323" s="734">
        <f ca="1">AY323+AZ323</f>
        <v>0</v>
      </c>
      <c r="AY323" s="734">
        <f>AY322+AY319</f>
        <v>0</v>
      </c>
      <c r="AZ323" s="734">
        <f ca="1">AZ322+AZ319</f>
        <v>0</v>
      </c>
      <c r="BA323" s="734">
        <f ca="1">BB323+BC323</f>
        <v>0</v>
      </c>
      <c r="BB323" s="734">
        <f>BB322+BB319</f>
        <v>0</v>
      </c>
      <c r="BC323" s="734">
        <f ca="1">BC322+BC319</f>
        <v>0</v>
      </c>
      <c r="BD323" s="734">
        <f ca="1">BE323+BF323</f>
        <v>0</v>
      </c>
      <c r="BE323" s="734">
        <f>BE322+BE319</f>
        <v>0</v>
      </c>
      <c r="BF323" s="734">
        <f ca="1">BF322+BF319</f>
        <v>0</v>
      </c>
      <c r="BG323" s="734">
        <f ca="1">BH323+BI323</f>
        <v>0</v>
      </c>
      <c r="BH323" s="734">
        <f>BH322+BH319</f>
        <v>0</v>
      </c>
      <c r="BI323" s="734">
        <f ca="1">BI322+BI319</f>
        <v>0</v>
      </c>
      <c r="BJ323" s="734">
        <f ca="1">BK323+BL323</f>
        <v>0</v>
      </c>
      <c r="BK323" s="734">
        <f>BK322+BK319</f>
        <v>0</v>
      </c>
      <c r="BL323" s="734">
        <f ca="1">BL322+BL319</f>
        <v>0</v>
      </c>
      <c r="BM323" s="734">
        <f ca="1">BN323+BO323</f>
        <v>0</v>
      </c>
      <c r="BN323" s="734">
        <f>BN322+BN319</f>
        <v>0</v>
      </c>
      <c r="BO323" s="734">
        <f ca="1">BO322+BO319</f>
        <v>0</v>
      </c>
      <c r="BP323" s="734">
        <f ca="1">BQ323+BR323</f>
        <v>24651.218250000002</v>
      </c>
      <c r="BQ323" s="734">
        <f>BQ322+BQ319</f>
        <v>17593.574465025002</v>
      </c>
      <c r="BR323" s="734">
        <f ca="1">BR322+BR319</f>
        <v>7057.643784975</v>
      </c>
      <c r="BS323" s="734">
        <f ca="1">BT323+BU323</f>
        <v>0</v>
      </c>
      <c r="BT323" s="734">
        <f>BT322+BT319</f>
        <v>0</v>
      </c>
      <c r="BU323" s="734">
        <f ca="1">BU322+BU319</f>
        <v>0</v>
      </c>
      <c r="BV323" s="734">
        <f ca="1">BW323+BX323</f>
        <v>0</v>
      </c>
      <c r="BW323" s="734">
        <f>BW322+BW319</f>
        <v>0</v>
      </c>
      <c r="BX323" s="734">
        <f ca="1">BX322+BX319</f>
        <v>0</v>
      </c>
      <c r="BY323" s="734">
        <f ca="1">BZ323+CA323</f>
        <v>0</v>
      </c>
      <c r="BZ323" s="734">
        <f>BZ322+BZ319</f>
        <v>0</v>
      </c>
      <c r="CA323" s="734">
        <f ca="1">CA322+CA319</f>
        <v>0</v>
      </c>
      <c r="CB323" s="734">
        <f ca="1">CC323+CD323</f>
        <v>0</v>
      </c>
      <c r="CC323" s="734">
        <f>CC322+CC319</f>
        <v>0</v>
      </c>
      <c r="CD323" s="734">
        <f ca="1">CD322+CD319</f>
        <v>0</v>
      </c>
      <c r="CE323" s="734">
        <f ca="1">CF323+CG323</f>
        <v>0</v>
      </c>
      <c r="CF323" s="734">
        <f>CF322+CF319</f>
        <v>0</v>
      </c>
      <c r="CG323" s="734">
        <f ca="1">CG322+CG319</f>
        <v>0</v>
      </c>
      <c r="CH323" s="734">
        <f ca="1">CI323+CJ323</f>
        <v>0</v>
      </c>
      <c r="CI323" s="734">
        <f>CI322+CI319</f>
        <v>0</v>
      </c>
      <c r="CJ323" s="734">
        <f ca="1">CJ322+CJ319</f>
        <v>0</v>
      </c>
      <c r="CK323" s="734">
        <f ca="1">CL323+CM323</f>
        <v>0</v>
      </c>
      <c r="CL323" s="734">
        <f>CL322+CL319</f>
        <v>0</v>
      </c>
      <c r="CM323" s="734">
        <f ca="1">CM322+CM319</f>
        <v>0</v>
      </c>
      <c r="CN323" s="734">
        <f ca="1">CO323+CP323</f>
        <v>0</v>
      </c>
      <c r="CO323" s="734">
        <f>CO322+CO319</f>
        <v>0</v>
      </c>
      <c r="CP323" s="734">
        <f ca="1">CP322+CP319</f>
        <v>0</v>
      </c>
      <c r="CQ323" s="734">
        <f ca="1">CR323+CS323</f>
        <v>0</v>
      </c>
      <c r="CR323" s="734">
        <f>CR322+CR319</f>
        <v>0</v>
      </c>
      <c r="CS323" s="734">
        <f ca="1">CS322+CS319</f>
        <v>0</v>
      </c>
      <c r="CT323" s="1290"/>
      <c r="CW323" s="970" t="s">
        <v>813</v>
      </c>
      <c r="CX323" s="975"/>
      <c r="CY323" s="975"/>
      <c r="CZ323" s="975"/>
      <c r="DA323" s="976"/>
      <c r="DB323" s="976"/>
    </row>
    <row r="324" spans="1:106" s="1229" customFormat="1" ht="16.5" hidden="1" customHeight="1">
      <c r="A324" s="1155"/>
      <c r="B324" s="783"/>
      <c r="C324" s="1155"/>
      <c r="D324" s="1155"/>
      <c r="E324" s="676">
        <v>17.100000000000001</v>
      </c>
      <c r="F324" s="779" t="str" cm="1">
        <f t="array" aca="1" ref="F324" ca="1">OFFSET(G324,-1,-1)</f>
        <v>2</v>
      </c>
      <c r="G324" s="814"/>
      <c r="H324" s="814"/>
      <c r="I324" s="814"/>
      <c r="J324" s="814"/>
      <c r="K324" s="814"/>
      <c r="L324" s="779" t="b" cm="1">
        <f t="array" aca="1" ref="L324" ca="1">OFFSET(M324,-1,-1)</f>
        <v>0</v>
      </c>
      <c r="M324" s="814"/>
      <c r="N324" s="814"/>
      <c r="O324" s="814"/>
      <c r="P324" s="814"/>
      <c r="Q324" s="814"/>
      <c r="R324" s="779" t="s">
        <v>759</v>
      </c>
      <c r="S324" s="110" t="b" cm="1">
        <f t="array" aca="1" ref="S324" ca="1">OFFSET(T324,-1,-1)</f>
        <v>1</v>
      </c>
      <c r="T324" s="110" t="b" cm="1">
        <f t="array" aca="1" ref="T324" ca="1">L324</f>
        <v>0</v>
      </c>
      <c r="U324" s="698" t="b">
        <f t="shared" ca="1" si="343"/>
        <v>0</v>
      </c>
      <c r="V324" s="1155"/>
      <c r="W324" s="1155"/>
      <c r="X324" s="1155"/>
      <c r="Y324" s="1687"/>
      <c r="Z324" s="1687"/>
      <c r="AA324" s="699"/>
      <c r="AB324" s="1787"/>
      <c r="AD324" s="111">
        <v>17</v>
      </c>
      <c r="AE324" s="1759" t="s">
        <v>814</v>
      </c>
      <c r="AF324" s="1760"/>
      <c r="AG324" s="111" t="s">
        <v>533</v>
      </c>
      <c r="AH324" s="740">
        <f t="shared" ref="AH324:BM324" si="384">IFERROR(AH322/AH323,0)</f>
        <v>0</v>
      </c>
      <c r="AI324" s="741">
        <f t="shared" si="384"/>
        <v>0</v>
      </c>
      <c r="AJ324" s="741">
        <f t="shared" si="384"/>
        <v>0</v>
      </c>
      <c r="AK324" s="741">
        <f t="shared" si="384"/>
        <v>1</v>
      </c>
      <c r="AL324" s="741">
        <f t="shared" ca="1" si="384"/>
        <v>0</v>
      </c>
      <c r="AM324" s="741">
        <f t="shared" si="384"/>
        <v>0</v>
      </c>
      <c r="AN324" s="741">
        <f t="shared" ca="1" si="384"/>
        <v>0</v>
      </c>
      <c r="AO324" s="741">
        <f t="shared" ca="1" si="384"/>
        <v>0</v>
      </c>
      <c r="AP324" s="741">
        <f t="shared" si="384"/>
        <v>0</v>
      </c>
      <c r="AQ324" s="741">
        <f t="shared" ca="1" si="384"/>
        <v>0</v>
      </c>
      <c r="AR324" s="741">
        <f t="shared" ca="1" si="384"/>
        <v>0</v>
      </c>
      <c r="AS324" s="741">
        <f t="shared" si="384"/>
        <v>0</v>
      </c>
      <c r="AT324" s="741">
        <f t="shared" ca="1" si="384"/>
        <v>0</v>
      </c>
      <c r="AU324" s="741">
        <f t="shared" ca="1" si="384"/>
        <v>0</v>
      </c>
      <c r="AV324" s="741">
        <f t="shared" si="384"/>
        <v>0</v>
      </c>
      <c r="AW324" s="741">
        <f t="shared" ca="1" si="384"/>
        <v>0</v>
      </c>
      <c r="AX324" s="741">
        <f t="shared" ca="1" si="384"/>
        <v>0</v>
      </c>
      <c r="AY324" s="741">
        <f t="shared" si="384"/>
        <v>0</v>
      </c>
      <c r="AZ324" s="741">
        <f t="shared" ca="1" si="384"/>
        <v>0</v>
      </c>
      <c r="BA324" s="741">
        <f t="shared" ca="1" si="384"/>
        <v>0</v>
      </c>
      <c r="BB324" s="741">
        <f t="shared" si="384"/>
        <v>0</v>
      </c>
      <c r="BC324" s="741">
        <f t="shared" ca="1" si="384"/>
        <v>0</v>
      </c>
      <c r="BD324" s="741">
        <f t="shared" ca="1" si="384"/>
        <v>0</v>
      </c>
      <c r="BE324" s="741">
        <f t="shared" si="384"/>
        <v>0</v>
      </c>
      <c r="BF324" s="741">
        <f t="shared" ca="1" si="384"/>
        <v>0</v>
      </c>
      <c r="BG324" s="741">
        <f t="shared" ca="1" si="384"/>
        <v>0</v>
      </c>
      <c r="BH324" s="741">
        <f t="shared" si="384"/>
        <v>0</v>
      </c>
      <c r="BI324" s="741">
        <f t="shared" ca="1" si="384"/>
        <v>0</v>
      </c>
      <c r="BJ324" s="741">
        <f t="shared" ca="1" si="384"/>
        <v>0</v>
      </c>
      <c r="BK324" s="741">
        <f t="shared" si="384"/>
        <v>0</v>
      </c>
      <c r="BL324" s="741">
        <f t="shared" ca="1" si="384"/>
        <v>0</v>
      </c>
      <c r="BM324" s="741">
        <f t="shared" ca="1" si="384"/>
        <v>0</v>
      </c>
      <c r="BN324" s="741">
        <f t="shared" ref="BN324:CS324" si="385">IFERROR(BN322/BN323,0)</f>
        <v>0</v>
      </c>
      <c r="BO324" s="741">
        <f t="shared" ca="1" si="385"/>
        <v>0</v>
      </c>
      <c r="BP324" s="741">
        <f t="shared" ca="1" si="385"/>
        <v>1</v>
      </c>
      <c r="BQ324" s="741">
        <f t="shared" si="385"/>
        <v>1</v>
      </c>
      <c r="BR324" s="741">
        <f t="shared" ca="1" si="385"/>
        <v>1</v>
      </c>
      <c r="BS324" s="741">
        <f t="shared" ca="1" si="385"/>
        <v>0</v>
      </c>
      <c r="BT324" s="741">
        <f t="shared" si="385"/>
        <v>0</v>
      </c>
      <c r="BU324" s="741">
        <f t="shared" ca="1" si="385"/>
        <v>0</v>
      </c>
      <c r="BV324" s="741">
        <f t="shared" ca="1" si="385"/>
        <v>0</v>
      </c>
      <c r="BW324" s="741">
        <f t="shared" si="385"/>
        <v>0</v>
      </c>
      <c r="BX324" s="741">
        <f t="shared" ca="1" si="385"/>
        <v>0</v>
      </c>
      <c r="BY324" s="741">
        <f t="shared" ca="1" si="385"/>
        <v>0</v>
      </c>
      <c r="BZ324" s="741">
        <f t="shared" si="385"/>
        <v>0</v>
      </c>
      <c r="CA324" s="741">
        <f t="shared" ca="1" si="385"/>
        <v>0</v>
      </c>
      <c r="CB324" s="741">
        <f t="shared" ca="1" si="385"/>
        <v>0</v>
      </c>
      <c r="CC324" s="741">
        <f t="shared" si="385"/>
        <v>0</v>
      </c>
      <c r="CD324" s="741">
        <f t="shared" ca="1" si="385"/>
        <v>0</v>
      </c>
      <c r="CE324" s="741">
        <f t="shared" ca="1" si="385"/>
        <v>0</v>
      </c>
      <c r="CF324" s="741">
        <f t="shared" si="385"/>
        <v>0</v>
      </c>
      <c r="CG324" s="741">
        <f t="shared" ca="1" si="385"/>
        <v>0</v>
      </c>
      <c r="CH324" s="741">
        <f t="shared" ca="1" si="385"/>
        <v>0</v>
      </c>
      <c r="CI324" s="741">
        <f t="shared" si="385"/>
        <v>0</v>
      </c>
      <c r="CJ324" s="741">
        <f t="shared" ca="1" si="385"/>
        <v>0</v>
      </c>
      <c r="CK324" s="741">
        <f t="shared" ca="1" si="385"/>
        <v>0</v>
      </c>
      <c r="CL324" s="741">
        <f t="shared" si="385"/>
        <v>0</v>
      </c>
      <c r="CM324" s="741">
        <f t="shared" ca="1" si="385"/>
        <v>0</v>
      </c>
      <c r="CN324" s="741">
        <f t="shared" ca="1" si="385"/>
        <v>0</v>
      </c>
      <c r="CO324" s="741">
        <f t="shared" si="385"/>
        <v>0</v>
      </c>
      <c r="CP324" s="741">
        <f t="shared" ca="1" si="385"/>
        <v>0</v>
      </c>
      <c r="CQ324" s="741">
        <f t="shared" ca="1" si="385"/>
        <v>0</v>
      </c>
      <c r="CR324" s="741">
        <f t="shared" si="385"/>
        <v>0</v>
      </c>
      <c r="CS324" s="741">
        <f t="shared" ca="1" si="385"/>
        <v>0</v>
      </c>
      <c r="CT324" s="28"/>
      <c r="CW324" s="970" t="s">
        <v>815</v>
      </c>
      <c r="CX324" s="975"/>
      <c r="CY324" s="975"/>
      <c r="CZ324" s="975"/>
      <c r="DA324" s="976"/>
      <c r="DB324" s="976"/>
    </row>
    <row r="325" spans="1:106" s="1229" customFormat="1" ht="16.5" customHeight="1">
      <c r="A325" s="1155"/>
      <c r="B325" s="783"/>
      <c r="C325" s="1155"/>
      <c r="D325" s="1155"/>
      <c r="E325" s="676">
        <v>17.100000000000001</v>
      </c>
      <c r="F325" s="779" t="str" cm="1">
        <f t="array" aca="1" ref="F325" ca="1">OFFSET(G325,-1,-1)</f>
        <v>2</v>
      </c>
      <c r="G325" s="814"/>
      <c r="H325" s="814"/>
      <c r="I325" s="814"/>
      <c r="J325" s="814"/>
      <c r="K325" s="814"/>
      <c r="L325" s="779" t="b" cm="1">
        <f t="array" aca="1" ref="L325" ca="1">OFFSET(M325,-1,-1)</f>
        <v>0</v>
      </c>
      <c r="M325" s="814"/>
      <c r="N325" s="814"/>
      <c r="O325" s="814"/>
      <c r="P325" s="814"/>
      <c r="Q325" s="814"/>
      <c r="R325" s="1155"/>
      <c r="S325" s="110" t="b" cm="1">
        <f t="array" aca="1" ref="S325" ca="1">OFFSET(T325,-1,-1)</f>
        <v>1</v>
      </c>
      <c r="T325" s="1155"/>
      <c r="U325" s="698" t="b">
        <f t="shared" ca="1" si="343"/>
        <v>1</v>
      </c>
      <c r="V325" s="1155"/>
      <c r="W325" s="1155"/>
      <c r="X325" s="1155"/>
      <c r="Y325" s="1687"/>
      <c r="Z325" s="1687"/>
      <c r="AA325" s="699"/>
      <c r="AB325" s="1787"/>
      <c r="AD325" s="111">
        <v>18</v>
      </c>
      <c r="AE325" s="1759" t="s">
        <v>816</v>
      </c>
      <c r="AF325" s="1760"/>
      <c r="AG325" s="111" t="s">
        <v>803</v>
      </c>
      <c r="AH325" s="734">
        <f t="shared" ref="AH325:BM325" si="386">SUM(AH327:AH329)</f>
        <v>0</v>
      </c>
      <c r="AI325" s="734">
        <f t="shared" si="386"/>
        <v>0</v>
      </c>
      <c r="AJ325" s="734">
        <f t="shared" si="386"/>
        <v>0</v>
      </c>
      <c r="AK325" s="734">
        <f t="shared" si="386"/>
        <v>24651</v>
      </c>
      <c r="AL325" s="734">
        <f t="shared" ca="1" si="386"/>
        <v>0</v>
      </c>
      <c r="AM325" s="734">
        <f t="shared" si="386"/>
        <v>0</v>
      </c>
      <c r="AN325" s="734">
        <f t="shared" ca="1" si="386"/>
        <v>0</v>
      </c>
      <c r="AO325" s="734">
        <f t="shared" ca="1" si="386"/>
        <v>0</v>
      </c>
      <c r="AP325" s="734">
        <f t="shared" si="386"/>
        <v>0</v>
      </c>
      <c r="AQ325" s="734">
        <f t="shared" ca="1" si="386"/>
        <v>0</v>
      </c>
      <c r="AR325" s="734">
        <f t="shared" ca="1" si="386"/>
        <v>0</v>
      </c>
      <c r="AS325" s="734">
        <f t="shared" si="386"/>
        <v>0</v>
      </c>
      <c r="AT325" s="734">
        <f t="shared" ca="1" si="386"/>
        <v>0</v>
      </c>
      <c r="AU325" s="734">
        <f t="shared" ca="1" si="386"/>
        <v>0</v>
      </c>
      <c r="AV325" s="734">
        <f t="shared" si="386"/>
        <v>0</v>
      </c>
      <c r="AW325" s="734">
        <f t="shared" ca="1" si="386"/>
        <v>0</v>
      </c>
      <c r="AX325" s="734">
        <f t="shared" ca="1" si="386"/>
        <v>0</v>
      </c>
      <c r="AY325" s="734">
        <f t="shared" si="386"/>
        <v>0</v>
      </c>
      <c r="AZ325" s="734">
        <f t="shared" ca="1" si="386"/>
        <v>0</v>
      </c>
      <c r="BA325" s="734">
        <f t="shared" ca="1" si="386"/>
        <v>0</v>
      </c>
      <c r="BB325" s="734">
        <f t="shared" si="386"/>
        <v>0</v>
      </c>
      <c r="BC325" s="734">
        <f t="shared" ca="1" si="386"/>
        <v>0</v>
      </c>
      <c r="BD325" s="734">
        <f t="shared" ca="1" si="386"/>
        <v>0</v>
      </c>
      <c r="BE325" s="734">
        <f t="shared" si="386"/>
        <v>0</v>
      </c>
      <c r="BF325" s="734">
        <f t="shared" ca="1" si="386"/>
        <v>0</v>
      </c>
      <c r="BG325" s="734">
        <f t="shared" ca="1" si="386"/>
        <v>0</v>
      </c>
      <c r="BH325" s="734">
        <f t="shared" si="386"/>
        <v>0</v>
      </c>
      <c r="BI325" s="734">
        <f t="shared" ca="1" si="386"/>
        <v>0</v>
      </c>
      <c r="BJ325" s="734">
        <f t="shared" ca="1" si="386"/>
        <v>0</v>
      </c>
      <c r="BK325" s="734">
        <f t="shared" si="386"/>
        <v>0</v>
      </c>
      <c r="BL325" s="734">
        <f t="shared" ca="1" si="386"/>
        <v>0</v>
      </c>
      <c r="BM325" s="734">
        <f t="shared" ca="1" si="386"/>
        <v>0</v>
      </c>
      <c r="BN325" s="734">
        <f t="shared" ref="BN325:CS325" si="387">SUM(BN327:BN329)</f>
        <v>0</v>
      </c>
      <c r="BO325" s="734">
        <f t="shared" ca="1" si="387"/>
        <v>0</v>
      </c>
      <c r="BP325" s="734">
        <f t="shared" ca="1" si="387"/>
        <v>24651.218250000002</v>
      </c>
      <c r="BQ325" s="734">
        <f t="shared" si="387"/>
        <v>17593.574465025002</v>
      </c>
      <c r="BR325" s="734">
        <f t="shared" ca="1" si="387"/>
        <v>7057.643784975</v>
      </c>
      <c r="BS325" s="734">
        <f t="shared" ca="1" si="387"/>
        <v>0</v>
      </c>
      <c r="BT325" s="734">
        <f t="shared" si="387"/>
        <v>0</v>
      </c>
      <c r="BU325" s="734">
        <f t="shared" ca="1" si="387"/>
        <v>0</v>
      </c>
      <c r="BV325" s="734">
        <f t="shared" ca="1" si="387"/>
        <v>0</v>
      </c>
      <c r="BW325" s="734">
        <f t="shared" si="387"/>
        <v>0</v>
      </c>
      <c r="BX325" s="734">
        <f t="shared" ca="1" si="387"/>
        <v>0</v>
      </c>
      <c r="BY325" s="734">
        <f t="shared" ca="1" si="387"/>
        <v>0</v>
      </c>
      <c r="BZ325" s="734">
        <f t="shared" si="387"/>
        <v>0</v>
      </c>
      <c r="CA325" s="734">
        <f t="shared" ca="1" si="387"/>
        <v>0</v>
      </c>
      <c r="CB325" s="734">
        <f t="shared" ca="1" si="387"/>
        <v>0</v>
      </c>
      <c r="CC325" s="734">
        <f t="shared" si="387"/>
        <v>0</v>
      </c>
      <c r="CD325" s="734">
        <f t="shared" ca="1" si="387"/>
        <v>0</v>
      </c>
      <c r="CE325" s="734">
        <f t="shared" ca="1" si="387"/>
        <v>0</v>
      </c>
      <c r="CF325" s="734">
        <f t="shared" si="387"/>
        <v>0</v>
      </c>
      <c r="CG325" s="734">
        <f t="shared" ca="1" si="387"/>
        <v>0</v>
      </c>
      <c r="CH325" s="734">
        <f t="shared" ca="1" si="387"/>
        <v>0</v>
      </c>
      <c r="CI325" s="734">
        <f t="shared" si="387"/>
        <v>0</v>
      </c>
      <c r="CJ325" s="734">
        <f t="shared" ca="1" si="387"/>
        <v>0</v>
      </c>
      <c r="CK325" s="734">
        <f t="shared" ca="1" si="387"/>
        <v>0</v>
      </c>
      <c r="CL325" s="734">
        <f t="shared" si="387"/>
        <v>0</v>
      </c>
      <c r="CM325" s="734">
        <f t="shared" ca="1" si="387"/>
        <v>0</v>
      </c>
      <c r="CN325" s="734">
        <f t="shared" ca="1" si="387"/>
        <v>0</v>
      </c>
      <c r="CO325" s="734">
        <f t="shared" si="387"/>
        <v>0</v>
      </c>
      <c r="CP325" s="734">
        <f t="shared" ca="1" si="387"/>
        <v>0</v>
      </c>
      <c r="CQ325" s="734">
        <f t="shared" ca="1" si="387"/>
        <v>0</v>
      </c>
      <c r="CR325" s="734">
        <f t="shared" si="387"/>
        <v>0</v>
      </c>
      <c r="CS325" s="734">
        <f t="shared" ca="1" si="387"/>
        <v>0</v>
      </c>
      <c r="CT325" s="1290"/>
      <c r="CW325" s="970" t="s">
        <v>817</v>
      </c>
      <c r="CX325" s="975"/>
      <c r="CY325" s="975"/>
      <c r="CZ325" s="975"/>
      <c r="DA325" s="976"/>
      <c r="DB325" s="976"/>
    </row>
    <row r="326" spans="1:106" s="1229" customFormat="1" ht="16.5" hidden="1" customHeight="1">
      <c r="A326" s="1155"/>
      <c r="B326" s="783"/>
      <c r="C326" s="1155"/>
      <c r="D326" s="1155"/>
      <c r="E326" s="676">
        <v>17.100000000000001</v>
      </c>
      <c r="F326" s="779" t="str" cm="1">
        <f t="array" aca="1" ref="F326" ca="1">OFFSET(G326,-1,-1)</f>
        <v>2</v>
      </c>
      <c r="G326" s="814"/>
      <c r="H326" s="814"/>
      <c r="I326" s="814"/>
      <c r="J326" s="814"/>
      <c r="K326" s="814"/>
      <c r="L326" s="779" t="b" cm="1">
        <f t="array" aca="1" ref="L326" ca="1">OFFSET(M326,-1,-1)</f>
        <v>0</v>
      </c>
      <c r="M326" s="814"/>
      <c r="N326" s="814"/>
      <c r="O326" s="814"/>
      <c r="P326" s="814"/>
      <c r="Q326" s="814"/>
      <c r="R326" s="779" t="s">
        <v>759</v>
      </c>
      <c r="S326" s="110" t="b" cm="1">
        <f t="array" aca="1" ref="S326" ca="1">OFFSET(T326,-1,-1)</f>
        <v>1</v>
      </c>
      <c r="T326" s="110" t="b" cm="1">
        <f t="array" aca="1" ref="T326" ca="1">L326</f>
        <v>0</v>
      </c>
      <c r="U326" s="698" t="b">
        <f t="shared" ca="1" si="343"/>
        <v>0</v>
      </c>
      <c r="V326" s="1155"/>
      <c r="W326" s="1155"/>
      <c r="X326" s="1155"/>
      <c r="Y326" s="1687"/>
      <c r="Z326" s="1687"/>
      <c r="AA326" s="699"/>
      <c r="AB326" s="1787"/>
      <c r="AD326" s="111" t="s">
        <v>818</v>
      </c>
      <c r="AE326" s="1759" t="s">
        <v>770</v>
      </c>
      <c r="AF326" s="1760"/>
      <c r="AG326" s="111" t="s">
        <v>803</v>
      </c>
      <c r="AH326" s="41">
        <f>AH$324*AH325</f>
        <v>0</v>
      </c>
      <c r="AI326" s="42">
        <f>AI$324*AI325</f>
        <v>0</v>
      </c>
      <c r="AJ326" s="42">
        <f>AJ$324*AJ325</f>
        <v>0</v>
      </c>
      <c r="AK326" s="42">
        <f>AK$324*AK325</f>
        <v>24651</v>
      </c>
      <c r="AL326" s="734">
        <f ca="1">AM326+AN326</f>
        <v>0</v>
      </c>
      <c r="AM326" s="42">
        <f>AM$324*AM325</f>
        <v>0</v>
      </c>
      <c r="AN326" s="42">
        <f ca="1">AN$324*AN325</f>
        <v>0</v>
      </c>
      <c r="AO326" s="734">
        <f ca="1">AP326+AQ326</f>
        <v>0</v>
      </c>
      <c r="AP326" s="826">
        <f>AP$324*AP325</f>
        <v>0</v>
      </c>
      <c r="AQ326" s="826">
        <f ca="1">AQ$324*AQ325</f>
        <v>0</v>
      </c>
      <c r="AR326" s="734">
        <f ca="1">AS326+AT326</f>
        <v>0</v>
      </c>
      <c r="AS326" s="826">
        <f>AS$324*AS325</f>
        <v>0</v>
      </c>
      <c r="AT326" s="826">
        <f ca="1">AT$324*AT325</f>
        <v>0</v>
      </c>
      <c r="AU326" s="734">
        <f ca="1">AV326+AW326</f>
        <v>0</v>
      </c>
      <c r="AV326" s="826">
        <f>AV$324*AV325</f>
        <v>0</v>
      </c>
      <c r="AW326" s="826">
        <f ca="1">AW$324*AW325</f>
        <v>0</v>
      </c>
      <c r="AX326" s="734">
        <f ca="1">AY326+AZ326</f>
        <v>0</v>
      </c>
      <c r="AY326" s="826">
        <f>AY$324*AY325</f>
        <v>0</v>
      </c>
      <c r="AZ326" s="826">
        <f ca="1">AZ$324*AZ325</f>
        <v>0</v>
      </c>
      <c r="BA326" s="734">
        <f ca="1">BB326+BC326</f>
        <v>0</v>
      </c>
      <c r="BB326" s="42">
        <f>BB$324*BB325</f>
        <v>0</v>
      </c>
      <c r="BC326" s="42">
        <f ca="1">BC$324*BC325</f>
        <v>0</v>
      </c>
      <c r="BD326" s="734">
        <f ca="1">BE326+BF326</f>
        <v>0</v>
      </c>
      <c r="BE326" s="42">
        <f>BE$324*BE325</f>
        <v>0</v>
      </c>
      <c r="BF326" s="42">
        <f ca="1">BF$324*BF325</f>
        <v>0</v>
      </c>
      <c r="BG326" s="734">
        <f ca="1">BH326+BI326</f>
        <v>0</v>
      </c>
      <c r="BH326" s="42">
        <f>BH$324*BH325</f>
        <v>0</v>
      </c>
      <c r="BI326" s="42">
        <f ca="1">BI$324*BI325</f>
        <v>0</v>
      </c>
      <c r="BJ326" s="734">
        <f ca="1">BK326+BL326</f>
        <v>0</v>
      </c>
      <c r="BK326" s="42">
        <f>BK$324*BK325</f>
        <v>0</v>
      </c>
      <c r="BL326" s="42">
        <f ca="1">BL$324*BL325</f>
        <v>0</v>
      </c>
      <c r="BM326" s="734">
        <f ca="1">BN326+BO326</f>
        <v>0</v>
      </c>
      <c r="BN326" s="42">
        <f>BN$324*BN325</f>
        <v>0</v>
      </c>
      <c r="BO326" s="42">
        <f ca="1">BO$324*BO325</f>
        <v>0</v>
      </c>
      <c r="BP326" s="734">
        <f ca="1">BQ326+BR326</f>
        <v>24651.218250000002</v>
      </c>
      <c r="BQ326" s="826">
        <f>BQ$324*BQ325</f>
        <v>17593.574465025002</v>
      </c>
      <c r="BR326" s="826">
        <f ca="1">BR$324*BR325</f>
        <v>7057.643784975</v>
      </c>
      <c r="BS326" s="734">
        <f ca="1">BT326+BU326</f>
        <v>0</v>
      </c>
      <c r="BT326" s="826">
        <f>BT$324*BT325</f>
        <v>0</v>
      </c>
      <c r="BU326" s="826">
        <f ca="1">BU$324*BU325</f>
        <v>0</v>
      </c>
      <c r="BV326" s="734">
        <f ca="1">BW326+BX326</f>
        <v>0</v>
      </c>
      <c r="BW326" s="826">
        <f>BW$324*BW325</f>
        <v>0</v>
      </c>
      <c r="BX326" s="826">
        <f ca="1">BX$324*BX325</f>
        <v>0</v>
      </c>
      <c r="BY326" s="734">
        <f ca="1">BZ326+CA326</f>
        <v>0</v>
      </c>
      <c r="BZ326" s="826">
        <f>BZ$324*BZ325</f>
        <v>0</v>
      </c>
      <c r="CA326" s="826">
        <f ca="1">CA$324*CA325</f>
        <v>0</v>
      </c>
      <c r="CB326" s="734">
        <f ca="1">CC326+CD326</f>
        <v>0</v>
      </c>
      <c r="CC326" s="826">
        <f>CC$324*CC325</f>
        <v>0</v>
      </c>
      <c r="CD326" s="826">
        <f ca="1">CD$324*CD325</f>
        <v>0</v>
      </c>
      <c r="CE326" s="734">
        <f ca="1">CF326+CG326</f>
        <v>0</v>
      </c>
      <c r="CF326" s="42">
        <f>CF$324*CF325</f>
        <v>0</v>
      </c>
      <c r="CG326" s="42">
        <f ca="1">CG$324*CG325</f>
        <v>0</v>
      </c>
      <c r="CH326" s="734">
        <f ca="1">CI326+CJ326</f>
        <v>0</v>
      </c>
      <c r="CI326" s="42">
        <f>CI$324*CI325</f>
        <v>0</v>
      </c>
      <c r="CJ326" s="42">
        <f ca="1">CJ$324*CJ325</f>
        <v>0</v>
      </c>
      <c r="CK326" s="734">
        <f ca="1">CL326+CM326</f>
        <v>0</v>
      </c>
      <c r="CL326" s="42">
        <f>CL$324*CL325</f>
        <v>0</v>
      </c>
      <c r="CM326" s="42">
        <f ca="1">CM$324*CM325</f>
        <v>0</v>
      </c>
      <c r="CN326" s="734">
        <f ca="1">CO326+CP326</f>
        <v>0</v>
      </c>
      <c r="CO326" s="42">
        <f>CO$324*CO325</f>
        <v>0</v>
      </c>
      <c r="CP326" s="42">
        <f ca="1">CP$324*CP325</f>
        <v>0</v>
      </c>
      <c r="CQ326" s="734">
        <f ca="1">CR326+CS326</f>
        <v>0</v>
      </c>
      <c r="CR326" s="42">
        <f>CR$324*CR325</f>
        <v>0</v>
      </c>
      <c r="CS326" s="42">
        <f ca="1">CS$324*CS325</f>
        <v>0</v>
      </c>
      <c r="CT326" s="28"/>
      <c r="CW326" s="970" t="s">
        <v>819</v>
      </c>
      <c r="CX326" s="975"/>
      <c r="CY326" s="975"/>
      <c r="CZ326" s="975"/>
      <c r="DA326" s="976"/>
      <c r="DB326" s="976"/>
    </row>
    <row r="327" spans="1:106" s="1229" customFormat="1" ht="16.5" hidden="1" customHeight="1">
      <c r="E327" s="676">
        <v>17.100000000000001</v>
      </c>
      <c r="F327" s="779" t="str" cm="1">
        <f t="array" aca="1" ref="F327" ca="1">OFFSET(G327,-1,-1)</f>
        <v>2</v>
      </c>
      <c r="L327" s="779" t="b" cm="1">
        <f t="array" aca="1" ref="L327" ca="1">OFFSET(M327,-1,-1)</f>
        <v>0</v>
      </c>
      <c r="S327" s="110" t="b" cm="1">
        <f t="array" aca="1" ref="S327" ca="1">OFFSET(T327,-1,-1)</f>
        <v>1</v>
      </c>
      <c r="T327" s="110" t="b">
        <f>AD327&lt;&gt;"18.0"</f>
        <v>0</v>
      </c>
      <c r="U327" s="698" t="b">
        <f t="shared" ca="1" si="343"/>
        <v>0</v>
      </c>
      <c r="X327" s="110" t="s">
        <v>236</v>
      </c>
      <c r="Y327" s="1722"/>
      <c r="Z327" s="1722"/>
      <c r="AB327" s="1787"/>
      <c r="AC327" s="11" t="s">
        <v>218</v>
      </c>
      <c r="AD327" s="111" t="s">
        <v>818</v>
      </c>
      <c r="AE327" s="43"/>
      <c r="AF327" s="44"/>
      <c r="AG327" s="111" t="s">
        <v>803</v>
      </c>
      <c r="AH327" s="41">
        <f>AH$323*AH331</f>
        <v>0</v>
      </c>
      <c r="AI327" s="41">
        <f>AI339*AI335</f>
        <v>0</v>
      </c>
      <c r="AJ327" s="41">
        <f>AJ339*AJ335</f>
        <v>0</v>
      </c>
      <c r="AK327" s="41">
        <f>AK$323*AK331</f>
        <v>0</v>
      </c>
      <c r="AL327" s="734">
        <f ca="1">AM327+AN327</f>
        <v>0</v>
      </c>
      <c r="AM327" s="41">
        <f>AM$323*AM331</f>
        <v>0</v>
      </c>
      <c r="AN327" s="41">
        <f ca="1">AN$323*AN331</f>
        <v>0</v>
      </c>
      <c r="AO327" s="734">
        <f ca="1">AP327+AQ327</f>
        <v>0</v>
      </c>
      <c r="AP327" s="827">
        <f>AP$323*AP331</f>
        <v>0</v>
      </c>
      <c r="AQ327" s="827">
        <f ca="1">AQ$323*AQ331</f>
        <v>0</v>
      </c>
      <c r="AR327" s="734">
        <f ca="1">AS327+AT327</f>
        <v>0</v>
      </c>
      <c r="AS327" s="827">
        <f>AS$323*AS331</f>
        <v>0</v>
      </c>
      <c r="AT327" s="827">
        <f ca="1">AT$323*AT331</f>
        <v>0</v>
      </c>
      <c r="AU327" s="734">
        <f ca="1">AV327+AW327</f>
        <v>0</v>
      </c>
      <c r="AV327" s="827">
        <f>AV$323*AV331</f>
        <v>0</v>
      </c>
      <c r="AW327" s="827">
        <f ca="1">AW$323*AW331</f>
        <v>0</v>
      </c>
      <c r="AX327" s="734">
        <f ca="1">AY327+AZ327</f>
        <v>0</v>
      </c>
      <c r="AY327" s="827">
        <f>AY$323*AY331</f>
        <v>0</v>
      </c>
      <c r="AZ327" s="827">
        <f ca="1">AZ$323*AZ331</f>
        <v>0</v>
      </c>
      <c r="BA327" s="734">
        <f ca="1">BB327+BC327</f>
        <v>0</v>
      </c>
      <c r="BB327" s="41">
        <f>BB$323*BB331</f>
        <v>0</v>
      </c>
      <c r="BC327" s="41">
        <f ca="1">BC$323*BC331</f>
        <v>0</v>
      </c>
      <c r="BD327" s="734">
        <f ca="1">BE327+BF327</f>
        <v>0</v>
      </c>
      <c r="BE327" s="41">
        <f>BE$323*BE331</f>
        <v>0</v>
      </c>
      <c r="BF327" s="41">
        <f ca="1">BF$323*BF331</f>
        <v>0</v>
      </c>
      <c r="BG327" s="734">
        <f ca="1">BH327+BI327</f>
        <v>0</v>
      </c>
      <c r="BH327" s="41">
        <f>BH$323*BH331</f>
        <v>0</v>
      </c>
      <c r="BI327" s="41">
        <f ca="1">BI$323*BI331</f>
        <v>0</v>
      </c>
      <c r="BJ327" s="734">
        <f ca="1">BK327+BL327</f>
        <v>0</v>
      </c>
      <c r="BK327" s="41">
        <f>BK$323*BK331</f>
        <v>0</v>
      </c>
      <c r="BL327" s="41">
        <f ca="1">BL$323*BL331</f>
        <v>0</v>
      </c>
      <c r="BM327" s="734">
        <f ca="1">BN327+BO327</f>
        <v>0</v>
      </c>
      <c r="BN327" s="41">
        <f>BN$323*BN331</f>
        <v>0</v>
      </c>
      <c r="BO327" s="41">
        <f ca="1">BO$323*BO331</f>
        <v>0</v>
      </c>
      <c r="BP327" s="734">
        <f ca="1">BQ327+BR327</f>
        <v>0</v>
      </c>
      <c r="BQ327" s="827">
        <f>BQ$323*BQ331</f>
        <v>0</v>
      </c>
      <c r="BR327" s="827">
        <f ca="1">BR$323*BR331</f>
        <v>0</v>
      </c>
      <c r="BS327" s="734">
        <f ca="1">BT327+BU327</f>
        <v>0</v>
      </c>
      <c r="BT327" s="827">
        <f>BT$323*BT331</f>
        <v>0</v>
      </c>
      <c r="BU327" s="827">
        <f ca="1">BU$323*BU331</f>
        <v>0</v>
      </c>
      <c r="BV327" s="734">
        <f ca="1">BW327+BX327</f>
        <v>0</v>
      </c>
      <c r="BW327" s="827">
        <f>BW$323*BW331</f>
        <v>0</v>
      </c>
      <c r="BX327" s="827">
        <f ca="1">BX$323*BX331</f>
        <v>0</v>
      </c>
      <c r="BY327" s="734">
        <f ca="1">BZ327+CA327</f>
        <v>0</v>
      </c>
      <c r="BZ327" s="827">
        <f>BZ$323*BZ331</f>
        <v>0</v>
      </c>
      <c r="CA327" s="827">
        <f ca="1">CA$323*CA331</f>
        <v>0</v>
      </c>
      <c r="CB327" s="734">
        <f ca="1">CC327+CD327</f>
        <v>0</v>
      </c>
      <c r="CC327" s="827">
        <f>CC$323*CC331</f>
        <v>0</v>
      </c>
      <c r="CD327" s="827">
        <f ca="1">CD$323*CD331</f>
        <v>0</v>
      </c>
      <c r="CE327" s="734">
        <f ca="1">CF327+CG327</f>
        <v>0</v>
      </c>
      <c r="CF327" s="41">
        <f>CF$323*CF331</f>
        <v>0</v>
      </c>
      <c r="CG327" s="41">
        <f ca="1">CG$323*CG331</f>
        <v>0</v>
      </c>
      <c r="CH327" s="734">
        <f ca="1">CI327+CJ327</f>
        <v>0</v>
      </c>
      <c r="CI327" s="41">
        <f>CI$323*CI331</f>
        <v>0</v>
      </c>
      <c r="CJ327" s="41">
        <f ca="1">CJ$323*CJ331</f>
        <v>0</v>
      </c>
      <c r="CK327" s="734">
        <f ca="1">CL327+CM327</f>
        <v>0</v>
      </c>
      <c r="CL327" s="41">
        <f>CL$323*CL331</f>
        <v>0</v>
      </c>
      <c r="CM327" s="41">
        <f ca="1">CM$323*CM331</f>
        <v>0</v>
      </c>
      <c r="CN327" s="734">
        <f ca="1">CO327+CP327</f>
        <v>0</v>
      </c>
      <c r="CO327" s="41">
        <f>CO$323*CO331</f>
        <v>0</v>
      </c>
      <c r="CP327" s="41">
        <f ca="1">CP$323*CP331</f>
        <v>0</v>
      </c>
      <c r="CQ327" s="734">
        <f ca="1">CR327+CS327</f>
        <v>0</v>
      </c>
      <c r="CR327" s="41">
        <f>CR$323*CR331</f>
        <v>0</v>
      </c>
      <c r="CS327" s="41">
        <f ca="1">CS$323*CS331</f>
        <v>0</v>
      </c>
      <c r="CT327" s="28"/>
      <c r="CW327" s="970" t="s">
        <v>820</v>
      </c>
      <c r="CX327" s="975" t="s">
        <v>821</v>
      </c>
      <c r="CY327" s="979" cm="1">
        <f t="array" ref="CY327">AE327</f>
        <v>0</v>
      </c>
      <c r="CZ327" s="979" cm="1">
        <f t="array" ref="CZ327">AF327</f>
        <v>0</v>
      </c>
      <c r="DA327" s="976"/>
      <c r="DB327" s="976" t="b">
        <v>1</v>
      </c>
    </row>
    <row r="328" spans="1:106" s="1229" customFormat="1" ht="16.5" customHeight="1">
      <c r="E328" s="676">
        <v>17.100000000000001</v>
      </c>
      <c r="F328" s="779" t="str" cm="1">
        <f t="array" aca="1" ref="F328" ca="1">OFFSET(G328,-1,-1)</f>
        <v>2</v>
      </c>
      <c r="L328" s="779" t="b" cm="1">
        <f t="array" aca="1" ref="L328" ca="1">OFFSET(M328,-1,-1)</f>
        <v>0</v>
      </c>
      <c r="S328" s="110" t="b" cm="1">
        <f t="array" aca="1" ref="S328" ca="1">OFFSET(T328,-1,-1)</f>
        <v>1</v>
      </c>
      <c r="T328" s="110" t="b">
        <f>AD328&lt;&gt;"18.0"</f>
        <v>1</v>
      </c>
      <c r="U328" s="698" t="b">
        <f t="shared" ca="1" si="343"/>
        <v>1</v>
      </c>
      <c r="X328" s="110"/>
      <c r="Y328" s="1722"/>
      <c r="Z328" s="1722"/>
      <c r="AB328" s="1787"/>
      <c r="AC328" s="11" t="s">
        <v>218</v>
      </c>
      <c r="AD328" s="111" t="s">
        <v>600</v>
      </c>
      <c r="AE328" s="1304" t="s">
        <v>931</v>
      </c>
      <c r="AF328" s="1305"/>
      <c r="AG328" s="111" t="s">
        <v>803</v>
      </c>
      <c r="AH328" s="1303">
        <f>AH$323*AH332</f>
        <v>0</v>
      </c>
      <c r="AI328" s="1303">
        <f>AI340*AI336</f>
        <v>0</v>
      </c>
      <c r="AJ328" s="1303">
        <f>AJ340*AJ336</f>
        <v>0</v>
      </c>
      <c r="AK328" s="1303">
        <f>AK$323*AK332</f>
        <v>24651</v>
      </c>
      <c r="AL328" s="734">
        <f ca="1">AM328+AN328</f>
        <v>0</v>
      </c>
      <c r="AM328" s="1303">
        <f>AM$323*AM332</f>
        <v>0</v>
      </c>
      <c r="AN328" s="1303">
        <f ca="1">AN$323*AN332</f>
        <v>0</v>
      </c>
      <c r="AO328" s="734">
        <f ca="1">AP328+AQ328</f>
        <v>0</v>
      </c>
      <c r="AP328" s="827">
        <f>AP$323*AP332</f>
        <v>0</v>
      </c>
      <c r="AQ328" s="827">
        <f ca="1">AQ$323*AQ332</f>
        <v>0</v>
      </c>
      <c r="AR328" s="734">
        <f ca="1">AS328+AT328</f>
        <v>0</v>
      </c>
      <c r="AS328" s="827">
        <f>AS$323*AS332</f>
        <v>0</v>
      </c>
      <c r="AT328" s="827">
        <f ca="1">AT$323*AT332</f>
        <v>0</v>
      </c>
      <c r="AU328" s="734">
        <f ca="1">AV328+AW328</f>
        <v>0</v>
      </c>
      <c r="AV328" s="827">
        <f>AV$323*AV332</f>
        <v>0</v>
      </c>
      <c r="AW328" s="827">
        <f ca="1">AW$323*AW332</f>
        <v>0</v>
      </c>
      <c r="AX328" s="734">
        <f ca="1">AY328+AZ328</f>
        <v>0</v>
      </c>
      <c r="AY328" s="827">
        <f>AY$323*AY332</f>
        <v>0</v>
      </c>
      <c r="AZ328" s="827">
        <f ca="1">AZ$323*AZ332</f>
        <v>0</v>
      </c>
      <c r="BA328" s="734">
        <f ca="1">BB328+BC328</f>
        <v>0</v>
      </c>
      <c r="BB328" s="1303">
        <f>BB$323*BB332</f>
        <v>0</v>
      </c>
      <c r="BC328" s="1303">
        <f ca="1">BC$323*BC332</f>
        <v>0</v>
      </c>
      <c r="BD328" s="734">
        <f ca="1">BE328+BF328</f>
        <v>0</v>
      </c>
      <c r="BE328" s="1303">
        <f>BE$323*BE332</f>
        <v>0</v>
      </c>
      <c r="BF328" s="1303">
        <f ca="1">BF$323*BF332</f>
        <v>0</v>
      </c>
      <c r="BG328" s="734">
        <f ca="1">BH328+BI328</f>
        <v>0</v>
      </c>
      <c r="BH328" s="1303">
        <f>BH$323*BH332</f>
        <v>0</v>
      </c>
      <c r="BI328" s="1303">
        <f ca="1">BI$323*BI332</f>
        <v>0</v>
      </c>
      <c r="BJ328" s="734">
        <f ca="1">BK328+BL328</f>
        <v>0</v>
      </c>
      <c r="BK328" s="1303">
        <f>BK$323*BK332</f>
        <v>0</v>
      </c>
      <c r="BL328" s="1303">
        <f ca="1">BL$323*BL332</f>
        <v>0</v>
      </c>
      <c r="BM328" s="734">
        <f ca="1">BN328+BO328</f>
        <v>0</v>
      </c>
      <c r="BN328" s="1303">
        <f>BN$323*BN332</f>
        <v>0</v>
      </c>
      <c r="BO328" s="1303">
        <f ca="1">BO$323*BO332</f>
        <v>0</v>
      </c>
      <c r="BP328" s="734">
        <f ca="1">BQ328+BR328</f>
        <v>24651.218250000002</v>
      </c>
      <c r="BQ328" s="827">
        <f>BQ$323*BQ332</f>
        <v>17593.574465025002</v>
      </c>
      <c r="BR328" s="827">
        <f ca="1">BR$323*BR332</f>
        <v>7057.643784975</v>
      </c>
      <c r="BS328" s="734">
        <f ca="1">BT328+BU328</f>
        <v>0</v>
      </c>
      <c r="BT328" s="827">
        <f>BT$323*BT332</f>
        <v>0</v>
      </c>
      <c r="BU328" s="827">
        <f ca="1">BU$323*BU332</f>
        <v>0</v>
      </c>
      <c r="BV328" s="734">
        <f ca="1">BW328+BX328</f>
        <v>0</v>
      </c>
      <c r="BW328" s="827">
        <f>BW$323*BW332</f>
        <v>0</v>
      </c>
      <c r="BX328" s="827">
        <f ca="1">BX$323*BX332</f>
        <v>0</v>
      </c>
      <c r="BY328" s="734">
        <f ca="1">BZ328+CA328</f>
        <v>0</v>
      </c>
      <c r="BZ328" s="827">
        <f>BZ$323*BZ332</f>
        <v>0</v>
      </c>
      <c r="CA328" s="827">
        <f ca="1">CA$323*CA332</f>
        <v>0</v>
      </c>
      <c r="CB328" s="734">
        <f ca="1">CC328+CD328</f>
        <v>0</v>
      </c>
      <c r="CC328" s="827">
        <f>CC$323*CC332</f>
        <v>0</v>
      </c>
      <c r="CD328" s="827">
        <f ca="1">CD$323*CD332</f>
        <v>0</v>
      </c>
      <c r="CE328" s="734">
        <f ca="1">CF328+CG328</f>
        <v>0</v>
      </c>
      <c r="CF328" s="1303">
        <f>CF$323*CF332</f>
        <v>0</v>
      </c>
      <c r="CG328" s="1303">
        <f ca="1">CG$323*CG332</f>
        <v>0</v>
      </c>
      <c r="CH328" s="734">
        <f ca="1">CI328+CJ328</f>
        <v>0</v>
      </c>
      <c r="CI328" s="1303">
        <f>CI$323*CI332</f>
        <v>0</v>
      </c>
      <c r="CJ328" s="1303">
        <f ca="1">CJ$323*CJ332</f>
        <v>0</v>
      </c>
      <c r="CK328" s="734">
        <f ca="1">CL328+CM328</f>
        <v>0</v>
      </c>
      <c r="CL328" s="1303">
        <f>CL$323*CL332</f>
        <v>0</v>
      </c>
      <c r="CM328" s="1303">
        <f ca="1">CM$323*CM332</f>
        <v>0</v>
      </c>
      <c r="CN328" s="734">
        <f ca="1">CO328+CP328</f>
        <v>0</v>
      </c>
      <c r="CO328" s="1303">
        <f>CO$323*CO332</f>
        <v>0</v>
      </c>
      <c r="CP328" s="1303">
        <f ca="1">CP$323*CP332</f>
        <v>0</v>
      </c>
      <c r="CQ328" s="734">
        <f ca="1">CR328+CS328</f>
        <v>0</v>
      </c>
      <c r="CR328" s="1303">
        <f>CR$323*CR332</f>
        <v>0</v>
      </c>
      <c r="CS328" s="1303">
        <f ca="1">CS$323*CS332</f>
        <v>0</v>
      </c>
      <c r="CT328" s="1290"/>
      <c r="CW328" s="970" t="s">
        <v>820</v>
      </c>
      <c r="CX328" s="975" t="s">
        <v>821</v>
      </c>
      <c r="CY328" s="979" t="str" cm="1">
        <f t="array" ref="CY328">AE328</f>
        <v>Уголь длиннопламенный</v>
      </c>
      <c r="CZ328" s="979" cm="1">
        <f t="array" ref="CZ328">AF328</f>
        <v>0</v>
      </c>
      <c r="DA328" s="976"/>
      <c r="DB328" s="976" t="b">
        <v>1</v>
      </c>
    </row>
    <row r="329" spans="1:106" s="1229" customFormat="1" ht="16.5" customHeight="1">
      <c r="A329" s="1155"/>
      <c r="B329" s="783"/>
      <c r="C329" s="1155"/>
      <c r="D329" s="1155"/>
      <c r="E329" s="676">
        <v>17.100000000000001</v>
      </c>
      <c r="F329" s="779" t="str" cm="1">
        <f t="array" aca="1" ref="F329" ca="1">OFFSET(G329,-1,-1)</f>
        <v>2</v>
      </c>
      <c r="G329" s="814"/>
      <c r="H329" s="814"/>
      <c r="I329" s="814"/>
      <c r="J329" s="814"/>
      <c r="K329" s="814"/>
      <c r="L329" s="779" t="b" cm="1">
        <f t="array" aca="1" ref="L329" ca="1">OFFSET(M329,-1,-1)</f>
        <v>0</v>
      </c>
      <c r="M329" s="814"/>
      <c r="N329" s="814"/>
      <c r="O329" s="814"/>
      <c r="P329" s="814"/>
      <c r="Q329" s="814"/>
      <c r="R329" s="1155"/>
      <c r="S329" s="110" t="b" cm="1">
        <f t="array" aca="1" ref="S329" ca="1">OFFSET(T329,-1,-1)</f>
        <v>1</v>
      </c>
      <c r="T329" s="1155"/>
      <c r="U329" s="698" t="b">
        <f t="shared" ca="1" si="343"/>
        <v>1</v>
      </c>
      <c r="V329" s="1155"/>
      <c r="W329" s="1155"/>
      <c r="X329" s="820" t="str">
        <f>"{                  
         funcDyn: 'msg',
         blok: 'blok_2',
         wsCross: 'Топливо 4.4',
         linkFormula: 'AE-AE#AF-AF',
         levelDyn: "&amp;Y300&amp;"
}"</f>
        <v>{                  
         funcDyn: 'msg',
         blok: 'blok_2',
         wsCross: 'Топливо 4.4',
         linkFormula: 'AE-AE#AF-AF',
         levelDyn: 2
}</v>
      </c>
      <c r="Y329" s="1687"/>
      <c r="Z329" s="1687"/>
      <c r="AA329" s="699"/>
      <c r="AB329" s="1787"/>
      <c r="AD329" s="249"/>
      <c r="AE329" s="763" t="s">
        <v>238</v>
      </c>
      <c r="AF329" s="763"/>
      <c r="AG329" s="763"/>
      <c r="AH329" s="763"/>
      <c r="AI329" s="763"/>
      <c r="AJ329" s="763"/>
      <c r="AK329" s="763"/>
      <c r="AL329" s="763"/>
      <c r="AM329" s="763"/>
      <c r="AN329" s="763"/>
      <c r="AO329" s="763"/>
      <c r="AP329" s="763"/>
      <c r="AQ329" s="763"/>
      <c r="AR329" s="763"/>
      <c r="AS329" s="763"/>
      <c r="AT329" s="763"/>
      <c r="AU329" s="763"/>
      <c r="AV329" s="763"/>
      <c r="AW329" s="763"/>
      <c r="AX329" s="763"/>
      <c r="AY329" s="763"/>
      <c r="AZ329" s="763"/>
      <c r="BA329" s="763"/>
      <c r="BB329" s="763"/>
      <c r="BC329" s="763"/>
      <c r="BD329" s="763"/>
      <c r="BE329" s="763"/>
      <c r="BF329" s="763"/>
      <c r="BG329" s="763"/>
      <c r="BH329" s="763"/>
      <c r="BI329" s="763"/>
      <c r="BJ329" s="763"/>
      <c r="BK329" s="763"/>
      <c r="BL329" s="763"/>
      <c r="BM329" s="763"/>
      <c r="BN329" s="763"/>
      <c r="BO329" s="763"/>
      <c r="BP329" s="763"/>
      <c r="BQ329" s="763"/>
      <c r="BR329" s="763"/>
      <c r="BS329" s="763"/>
      <c r="BT329" s="763"/>
      <c r="BU329" s="763"/>
      <c r="BV329" s="763"/>
      <c r="BW329" s="763"/>
      <c r="BX329" s="763"/>
      <c r="BY329" s="763"/>
      <c r="BZ329" s="763"/>
      <c r="CA329" s="763"/>
      <c r="CB329" s="763"/>
      <c r="CC329" s="763"/>
      <c r="CD329" s="763"/>
      <c r="CE329" s="763"/>
      <c r="CF329" s="763"/>
      <c r="CG329" s="763"/>
      <c r="CH329" s="763"/>
      <c r="CI329" s="763"/>
      <c r="CJ329" s="763"/>
      <c r="CK329" s="763"/>
      <c r="CL329" s="763"/>
      <c r="CM329" s="763"/>
      <c r="CN329" s="763"/>
      <c r="CO329" s="763"/>
      <c r="CP329" s="763"/>
      <c r="CQ329" s="763"/>
      <c r="CR329" s="763"/>
      <c r="CS329" s="763"/>
      <c r="CT329" s="904"/>
      <c r="CW329" s="970" t="str">
        <f>IF(AND(ISNUMBER(VALUE(TRIM(SUBSTITUTE(AD329,".","")))),TRIM(SUBSTITUTE(AD329,".",""))&lt;&gt;""),"P"&amp;SUBSTITUTE(AD329,".",""),"")</f>
        <v/>
      </c>
      <c r="CX329" s="975"/>
      <c r="CY329" s="975"/>
      <c r="CZ329" s="975"/>
      <c r="DA329" s="976" t="s">
        <v>821</v>
      </c>
      <c r="DB329" s="976"/>
    </row>
    <row r="330" spans="1:106" s="1229" customFormat="1" ht="16.5" customHeight="1">
      <c r="A330" s="1155"/>
      <c r="B330" s="783"/>
      <c r="C330" s="1155"/>
      <c r="D330" s="1155"/>
      <c r="E330" s="676">
        <v>17.100000000000001</v>
      </c>
      <c r="F330" s="779" t="str" cm="1">
        <f t="array" aca="1" ref="F330" ca="1">OFFSET(G330,-1,-1)</f>
        <v>2</v>
      </c>
      <c r="G330" s="814"/>
      <c r="H330" s="814"/>
      <c r="I330" s="814"/>
      <c r="J330" s="814"/>
      <c r="K330" s="814"/>
      <c r="L330" s="779" t="b" cm="1">
        <f t="array" aca="1" ref="L330" ca="1">OFFSET(M330,-1,-1)</f>
        <v>0</v>
      </c>
      <c r="M330" s="814"/>
      <c r="N330" s="814"/>
      <c r="O330" s="814"/>
      <c r="P330" s="814"/>
      <c r="Q330" s="814"/>
      <c r="R330" s="1155"/>
      <c r="S330" s="110" t="b" cm="1">
        <f t="array" aca="1" ref="S330" ca="1">OFFSET(T330,-1,-1)</f>
        <v>1</v>
      </c>
      <c r="T330" s="1155"/>
      <c r="U330" s="698" t="b">
        <f t="shared" ca="1" si="343"/>
        <v>1</v>
      </c>
      <c r="V330" s="1155"/>
      <c r="W330" s="1155"/>
      <c r="X330" s="1155"/>
      <c r="Y330" s="1687"/>
      <c r="Z330" s="1687"/>
      <c r="AA330" s="699"/>
      <c r="AB330" s="1787"/>
      <c r="AD330" s="111">
        <v>19</v>
      </c>
      <c r="AE330" s="1761" t="s">
        <v>822</v>
      </c>
      <c r="AF330" s="1762"/>
      <c r="AG330" s="540" t="s">
        <v>533</v>
      </c>
      <c r="AH330" s="762">
        <f t="shared" ref="AH330:BM330" si="388">SUM(AH331:AH333)</f>
        <v>0</v>
      </c>
      <c r="AI330" s="762">
        <f t="shared" si="388"/>
        <v>0</v>
      </c>
      <c r="AJ330" s="762">
        <f t="shared" si="388"/>
        <v>0</v>
      </c>
      <c r="AK330" s="762">
        <f t="shared" si="388"/>
        <v>1</v>
      </c>
      <c r="AL330" s="762">
        <f t="shared" ca="1" si="388"/>
        <v>0</v>
      </c>
      <c r="AM330" s="762">
        <f t="shared" si="388"/>
        <v>0</v>
      </c>
      <c r="AN330" s="762">
        <f t="shared" si="388"/>
        <v>0</v>
      </c>
      <c r="AO330" s="762">
        <f t="shared" ca="1" si="388"/>
        <v>0</v>
      </c>
      <c r="AP330" s="762">
        <f t="shared" si="388"/>
        <v>0</v>
      </c>
      <c r="AQ330" s="762">
        <f t="shared" si="388"/>
        <v>0</v>
      </c>
      <c r="AR330" s="762">
        <f t="shared" ca="1" si="388"/>
        <v>0</v>
      </c>
      <c r="AS330" s="762">
        <f t="shared" si="388"/>
        <v>0</v>
      </c>
      <c r="AT330" s="762">
        <f t="shared" si="388"/>
        <v>0</v>
      </c>
      <c r="AU330" s="762">
        <f t="shared" ca="1" si="388"/>
        <v>0</v>
      </c>
      <c r="AV330" s="762">
        <f t="shared" si="388"/>
        <v>0</v>
      </c>
      <c r="AW330" s="762">
        <f t="shared" si="388"/>
        <v>0</v>
      </c>
      <c r="AX330" s="762">
        <f t="shared" ca="1" si="388"/>
        <v>0</v>
      </c>
      <c r="AY330" s="762">
        <f t="shared" si="388"/>
        <v>0</v>
      </c>
      <c r="AZ330" s="762">
        <f t="shared" si="388"/>
        <v>0</v>
      </c>
      <c r="BA330" s="762">
        <f t="shared" ca="1" si="388"/>
        <v>0</v>
      </c>
      <c r="BB330" s="762">
        <f t="shared" si="388"/>
        <v>0</v>
      </c>
      <c r="BC330" s="762">
        <f t="shared" si="388"/>
        <v>0</v>
      </c>
      <c r="BD330" s="762">
        <f t="shared" ca="1" si="388"/>
        <v>0</v>
      </c>
      <c r="BE330" s="762">
        <f t="shared" si="388"/>
        <v>0</v>
      </c>
      <c r="BF330" s="762">
        <f t="shared" si="388"/>
        <v>0</v>
      </c>
      <c r="BG330" s="762">
        <f t="shared" ca="1" si="388"/>
        <v>0</v>
      </c>
      <c r="BH330" s="762">
        <f t="shared" si="388"/>
        <v>0</v>
      </c>
      <c r="BI330" s="762">
        <f t="shared" si="388"/>
        <v>0</v>
      </c>
      <c r="BJ330" s="762">
        <f t="shared" ca="1" si="388"/>
        <v>0</v>
      </c>
      <c r="BK330" s="762">
        <f t="shared" si="388"/>
        <v>0</v>
      </c>
      <c r="BL330" s="762">
        <f t="shared" si="388"/>
        <v>0</v>
      </c>
      <c r="BM330" s="762">
        <f t="shared" ca="1" si="388"/>
        <v>0</v>
      </c>
      <c r="BN330" s="762">
        <f t="shared" ref="BN330:CS330" si="389">SUM(BN331:BN333)</f>
        <v>0</v>
      </c>
      <c r="BO330" s="762">
        <f t="shared" si="389"/>
        <v>0</v>
      </c>
      <c r="BP330" s="762">
        <f t="shared" ca="1" si="389"/>
        <v>1</v>
      </c>
      <c r="BQ330" s="762">
        <f t="shared" si="389"/>
        <v>1</v>
      </c>
      <c r="BR330" s="762">
        <f t="shared" si="389"/>
        <v>1</v>
      </c>
      <c r="BS330" s="762">
        <f t="shared" ca="1" si="389"/>
        <v>0</v>
      </c>
      <c r="BT330" s="762">
        <f t="shared" si="389"/>
        <v>0</v>
      </c>
      <c r="BU330" s="762">
        <f t="shared" si="389"/>
        <v>0</v>
      </c>
      <c r="BV330" s="762">
        <f t="shared" ca="1" si="389"/>
        <v>0</v>
      </c>
      <c r="BW330" s="762">
        <f t="shared" si="389"/>
        <v>0</v>
      </c>
      <c r="BX330" s="762">
        <f t="shared" si="389"/>
        <v>0</v>
      </c>
      <c r="BY330" s="762">
        <f t="shared" ca="1" si="389"/>
        <v>0</v>
      </c>
      <c r="BZ330" s="762">
        <f t="shared" si="389"/>
        <v>0</v>
      </c>
      <c r="CA330" s="762">
        <f t="shared" si="389"/>
        <v>0</v>
      </c>
      <c r="CB330" s="762">
        <f t="shared" ca="1" si="389"/>
        <v>0</v>
      </c>
      <c r="CC330" s="762">
        <f t="shared" si="389"/>
        <v>0</v>
      </c>
      <c r="CD330" s="762">
        <f t="shared" si="389"/>
        <v>0</v>
      </c>
      <c r="CE330" s="762">
        <f t="shared" ca="1" si="389"/>
        <v>0</v>
      </c>
      <c r="CF330" s="762">
        <f t="shared" si="389"/>
        <v>0</v>
      </c>
      <c r="CG330" s="762">
        <f t="shared" si="389"/>
        <v>0</v>
      </c>
      <c r="CH330" s="762">
        <f t="shared" ca="1" si="389"/>
        <v>0</v>
      </c>
      <c r="CI330" s="762">
        <f t="shared" si="389"/>
        <v>0</v>
      </c>
      <c r="CJ330" s="762">
        <f t="shared" si="389"/>
        <v>0</v>
      </c>
      <c r="CK330" s="762">
        <f t="shared" ca="1" si="389"/>
        <v>0</v>
      </c>
      <c r="CL330" s="762">
        <f t="shared" si="389"/>
        <v>0</v>
      </c>
      <c r="CM330" s="762">
        <f t="shared" si="389"/>
        <v>0</v>
      </c>
      <c r="CN330" s="762">
        <f t="shared" ca="1" si="389"/>
        <v>0</v>
      </c>
      <c r="CO330" s="762">
        <f t="shared" si="389"/>
        <v>0</v>
      </c>
      <c r="CP330" s="762">
        <f t="shared" si="389"/>
        <v>0</v>
      </c>
      <c r="CQ330" s="762">
        <f t="shared" ca="1" si="389"/>
        <v>0</v>
      </c>
      <c r="CR330" s="762">
        <f t="shared" si="389"/>
        <v>0</v>
      </c>
      <c r="CS330" s="762">
        <f t="shared" si="389"/>
        <v>0</v>
      </c>
      <c r="CT330" s="1298"/>
      <c r="CW330" s="970" t="s">
        <v>823</v>
      </c>
      <c r="CX330" s="975"/>
      <c r="CY330" s="975"/>
      <c r="CZ330" s="975"/>
      <c r="DA330" s="976"/>
      <c r="DB330" s="976"/>
    </row>
    <row r="331" spans="1:106" s="1229" customFormat="1" ht="16.5" hidden="1" customHeight="1">
      <c r="E331" s="676">
        <v>17.100000000000001</v>
      </c>
      <c r="F331" s="779" t="str" cm="1">
        <f t="array" aca="1" ref="F331" ca="1">OFFSET(G331,-1,-1)</f>
        <v>2</v>
      </c>
      <c r="L331" s="779" t="b" cm="1">
        <f t="array" aca="1" ref="L331" ca="1">OFFSET(M331,-1,-1)</f>
        <v>0</v>
      </c>
      <c r="S331" s="110" t="b" cm="1">
        <f t="array" aca="1" ref="S331" ca="1">OFFSET(T331,-1,-1)</f>
        <v>1</v>
      </c>
      <c r="T331" s="110" t="b">
        <f>AD331&lt;&gt;"19.0"</f>
        <v>0</v>
      </c>
      <c r="U331" s="698" t="b">
        <f t="shared" ca="1" si="343"/>
        <v>0</v>
      </c>
      <c r="X331" s="110" t="s">
        <v>236</v>
      </c>
      <c r="Y331" s="1722"/>
      <c r="Z331" s="1722"/>
      <c r="AB331" s="1787"/>
      <c r="AD331" s="111" t="s">
        <v>824</v>
      </c>
      <c r="AE331" s="821"/>
      <c r="AF331" s="524"/>
      <c r="AG331" s="111" t="s">
        <v>533</v>
      </c>
      <c r="AH331" s="45"/>
      <c r="AI331" s="45">
        <f>IFERROR(AI327/AI$325,0)</f>
        <v>0</v>
      </c>
      <c r="AJ331" s="45">
        <f>IFERROR(AJ327/AJ$325,0)</f>
        <v>0</v>
      </c>
      <c r="AK331" s="45"/>
      <c r="AL331" s="740">
        <f ca="1">IFERROR(AL327/AL$323,0)</f>
        <v>0</v>
      </c>
      <c r="AM331" s="45"/>
      <c r="AN331" s="45"/>
      <c r="AO331" s="740">
        <f ca="1">IFERROR(AO327/AO$323,0)</f>
        <v>0</v>
      </c>
      <c r="AP331" s="828"/>
      <c r="AQ331" s="828"/>
      <c r="AR331" s="740">
        <f ca="1">IFERROR(AR327/AR$323,0)</f>
        <v>0</v>
      </c>
      <c r="AS331" s="828"/>
      <c r="AT331" s="828"/>
      <c r="AU331" s="740">
        <f ca="1">IFERROR(AU327/AU$323,0)</f>
        <v>0</v>
      </c>
      <c r="AV331" s="828"/>
      <c r="AW331" s="828"/>
      <c r="AX331" s="740">
        <f ca="1">IFERROR(AX327/AX$323,0)</f>
        <v>0</v>
      </c>
      <c r="AY331" s="828"/>
      <c r="AZ331" s="828"/>
      <c r="BA331" s="740">
        <f ca="1">IFERROR(BA327/BA$323,0)</f>
        <v>0</v>
      </c>
      <c r="BB331" s="45"/>
      <c r="BC331" s="45"/>
      <c r="BD331" s="740">
        <f ca="1">IFERROR(BD327/BD$323,0)</f>
        <v>0</v>
      </c>
      <c r="BE331" s="45"/>
      <c r="BF331" s="45"/>
      <c r="BG331" s="740">
        <f ca="1">IFERROR(BG327/BG$323,0)</f>
        <v>0</v>
      </c>
      <c r="BH331" s="45"/>
      <c r="BI331" s="45"/>
      <c r="BJ331" s="740">
        <f ca="1">IFERROR(BJ327/BJ$323,0)</f>
        <v>0</v>
      </c>
      <c r="BK331" s="45"/>
      <c r="BL331" s="45"/>
      <c r="BM331" s="740">
        <f ca="1">IFERROR(BM327/BM$323,0)</f>
        <v>0</v>
      </c>
      <c r="BN331" s="45"/>
      <c r="BO331" s="45"/>
      <c r="BP331" s="740">
        <f ca="1">IFERROR(BP327/BP$323,0)</f>
        <v>0</v>
      </c>
      <c r="BQ331" s="828"/>
      <c r="BR331" s="828"/>
      <c r="BS331" s="740">
        <f ca="1">IFERROR(BS327/BS$323,0)</f>
        <v>0</v>
      </c>
      <c r="BT331" s="828"/>
      <c r="BU331" s="828"/>
      <c r="BV331" s="740">
        <f ca="1">IFERROR(BV327/BV$323,0)</f>
        <v>0</v>
      </c>
      <c r="BW331" s="828"/>
      <c r="BX331" s="828"/>
      <c r="BY331" s="740">
        <f ca="1">IFERROR(BY327/BY$323,0)</f>
        <v>0</v>
      </c>
      <c r="BZ331" s="828"/>
      <c r="CA331" s="828"/>
      <c r="CB331" s="740">
        <f ca="1">IFERROR(CB327/CB$323,0)</f>
        <v>0</v>
      </c>
      <c r="CC331" s="828"/>
      <c r="CD331" s="828"/>
      <c r="CE331" s="740">
        <f ca="1">IFERROR(CE327/CE$323,0)</f>
        <v>0</v>
      </c>
      <c r="CF331" s="45"/>
      <c r="CG331" s="45"/>
      <c r="CH331" s="740">
        <f ca="1">IFERROR(CH327/CH$323,0)</f>
        <v>0</v>
      </c>
      <c r="CI331" s="45"/>
      <c r="CJ331" s="45"/>
      <c r="CK331" s="740">
        <f ca="1">IFERROR(CK327/CK$323,0)</f>
        <v>0</v>
      </c>
      <c r="CL331" s="45"/>
      <c r="CM331" s="45"/>
      <c r="CN331" s="740">
        <f ca="1">IFERROR(CN327/CN$323,0)</f>
        <v>0</v>
      </c>
      <c r="CO331" s="45"/>
      <c r="CP331" s="45"/>
      <c r="CQ331" s="740">
        <f ca="1">IFERROR(CQ327/CQ$323,0)</f>
        <v>0</v>
      </c>
      <c r="CR331" s="45"/>
      <c r="CS331" s="45"/>
      <c r="CT331" s="28"/>
      <c r="CW331" s="970" t="s">
        <v>823</v>
      </c>
      <c r="CX331" s="975" t="s">
        <v>821</v>
      </c>
      <c r="CY331" s="979" cm="1">
        <f t="array" ref="CY331">AE331</f>
        <v>0</v>
      </c>
      <c r="CZ331" s="979" cm="1">
        <f t="array" ref="CZ331">AF331</f>
        <v>0</v>
      </c>
      <c r="DA331" s="976"/>
      <c r="DB331" s="976"/>
    </row>
    <row r="332" spans="1:106" s="1229" customFormat="1" ht="16.5" customHeight="1">
      <c r="E332" s="676">
        <v>17.100000000000001</v>
      </c>
      <c r="F332" s="779" t="str" cm="1">
        <f t="array" aca="1" ref="F332" ca="1">OFFSET(G332,-1,-1)</f>
        <v>2</v>
      </c>
      <c r="L332" s="779" t="b" cm="1">
        <f t="array" aca="1" ref="L332" ca="1">OFFSET(M332,-1,-1)</f>
        <v>0</v>
      </c>
      <c r="S332" s="110" t="b" cm="1">
        <f t="array" aca="1" ref="S332" ca="1">OFFSET(T332,-1,-1)</f>
        <v>1</v>
      </c>
      <c r="T332" s="110" t="b">
        <f>AD332&lt;&gt;"19.0"</f>
        <v>1</v>
      </c>
      <c r="U332" s="698" t="b">
        <f t="shared" ca="1" si="343"/>
        <v>1</v>
      </c>
      <c r="X332" s="110" t="str">
        <f>'Топливо 4.4'!$AE$328&amp;'Топливо 4.4'!$AF$328</f>
        <v>Уголь длиннопламенный</v>
      </c>
      <c r="Y332" s="1722"/>
      <c r="Z332" s="1722"/>
      <c r="AB332" s="1787"/>
      <c r="AD332" s="111" t="s">
        <v>933</v>
      </c>
      <c r="AE332" s="821" t="str" cm="1">
        <f t="array" ref="AE332">IF(ISBLANK('Топливо 4.4'!$AE$328),"",'Топливо 4.4'!$AE$328)</f>
        <v>Уголь длиннопламенный</v>
      </c>
      <c r="AF332" s="524" t="str">
        <f>IF(ISBLANK('Топливо 4.4'!$AF$328),"",'Топливо 4.4'!$AF$328)</f>
        <v/>
      </c>
      <c r="AG332" s="111" t="s">
        <v>533</v>
      </c>
      <c r="AH332" s="1306"/>
      <c r="AI332" s="1306">
        <f>IFERROR(AI328/AI$325,0)</f>
        <v>0</v>
      </c>
      <c r="AJ332" s="1306">
        <f>IFERROR(AJ328/AJ$325,0)</f>
        <v>0</v>
      </c>
      <c r="AK332" s="1306">
        <v>1</v>
      </c>
      <c r="AL332" s="740">
        <f ca="1">IFERROR(AL328/AL$323,0)</f>
        <v>0</v>
      </c>
      <c r="AM332" s="1306"/>
      <c r="AN332" s="1306"/>
      <c r="AO332" s="740">
        <f ca="1">IFERROR(AO328/AO$323,0)</f>
        <v>0</v>
      </c>
      <c r="AP332" s="828"/>
      <c r="AQ332" s="828"/>
      <c r="AR332" s="740">
        <f ca="1">IFERROR(AR328/AR$323,0)</f>
        <v>0</v>
      </c>
      <c r="AS332" s="828"/>
      <c r="AT332" s="828"/>
      <c r="AU332" s="740">
        <f ca="1">IFERROR(AU328/AU$323,0)</f>
        <v>0</v>
      </c>
      <c r="AV332" s="828"/>
      <c r="AW332" s="828"/>
      <c r="AX332" s="740">
        <f ca="1">IFERROR(AX328/AX$323,0)</f>
        <v>0</v>
      </c>
      <c r="AY332" s="828"/>
      <c r="AZ332" s="828"/>
      <c r="BA332" s="740">
        <f ca="1">IFERROR(BA328/BA$323,0)</f>
        <v>0</v>
      </c>
      <c r="BB332" s="1306"/>
      <c r="BC332" s="1306"/>
      <c r="BD332" s="740">
        <f ca="1">IFERROR(BD328/BD$323,0)</f>
        <v>0</v>
      </c>
      <c r="BE332" s="1306"/>
      <c r="BF332" s="1306"/>
      <c r="BG332" s="740">
        <f ca="1">IFERROR(BG328/BG$323,0)</f>
        <v>0</v>
      </c>
      <c r="BH332" s="1306"/>
      <c r="BI332" s="1306"/>
      <c r="BJ332" s="740">
        <f ca="1">IFERROR(BJ328/BJ$323,0)</f>
        <v>0</v>
      </c>
      <c r="BK332" s="1306"/>
      <c r="BL332" s="1306"/>
      <c r="BM332" s="740">
        <f ca="1">IFERROR(BM328/BM$323,0)</f>
        <v>0</v>
      </c>
      <c r="BN332" s="1306"/>
      <c r="BO332" s="1306"/>
      <c r="BP332" s="740">
        <f ca="1">IFERROR(BP328/BP$323,0)</f>
        <v>1</v>
      </c>
      <c r="BQ332" s="828">
        <v>1</v>
      </c>
      <c r="BR332" s="828">
        <v>1</v>
      </c>
      <c r="BS332" s="740">
        <f ca="1">IFERROR(BS328/BS$323,0)</f>
        <v>0</v>
      </c>
      <c r="BT332" s="828"/>
      <c r="BU332" s="828"/>
      <c r="BV332" s="740">
        <f ca="1">IFERROR(BV328/BV$323,0)</f>
        <v>0</v>
      </c>
      <c r="BW332" s="828"/>
      <c r="BX332" s="828"/>
      <c r="BY332" s="740">
        <f ca="1">IFERROR(BY328/BY$323,0)</f>
        <v>0</v>
      </c>
      <c r="BZ332" s="828"/>
      <c r="CA332" s="828"/>
      <c r="CB332" s="740">
        <f ca="1">IFERROR(CB328/CB$323,0)</f>
        <v>0</v>
      </c>
      <c r="CC332" s="828"/>
      <c r="CD332" s="828"/>
      <c r="CE332" s="740">
        <f ca="1">IFERROR(CE328/CE$323,0)</f>
        <v>0</v>
      </c>
      <c r="CF332" s="1306"/>
      <c r="CG332" s="1306"/>
      <c r="CH332" s="740">
        <f ca="1">IFERROR(CH328/CH$323,0)</f>
        <v>0</v>
      </c>
      <c r="CI332" s="1306"/>
      <c r="CJ332" s="1306"/>
      <c r="CK332" s="740">
        <f ca="1">IFERROR(CK328/CK$323,0)</f>
        <v>0</v>
      </c>
      <c r="CL332" s="1306"/>
      <c r="CM332" s="1306"/>
      <c r="CN332" s="740">
        <f ca="1">IFERROR(CN328/CN$323,0)</f>
        <v>0</v>
      </c>
      <c r="CO332" s="1306"/>
      <c r="CP332" s="1306"/>
      <c r="CQ332" s="740">
        <f ca="1">IFERROR(CQ328/CQ$323,0)</f>
        <v>0</v>
      </c>
      <c r="CR332" s="1306"/>
      <c r="CS332" s="1306"/>
      <c r="CT332" s="1290"/>
      <c r="CW332" s="970" t="s">
        <v>823</v>
      </c>
      <c r="CX332" s="975" t="s">
        <v>821</v>
      </c>
      <c r="CY332" s="979" t="str" cm="1">
        <f t="array" ref="CY332">AE332</f>
        <v>Уголь длиннопламенный</v>
      </c>
      <c r="CZ332" s="979" t="str" cm="1">
        <f t="array" ref="CZ332">AF332</f>
        <v/>
      </c>
      <c r="DA332" s="976"/>
      <c r="DB332" s="976"/>
    </row>
    <row r="333" spans="1:106" s="1229" customFormat="1" ht="17.25" hidden="1" customHeight="1">
      <c r="A333" s="1155"/>
      <c r="B333" s="783"/>
      <c r="C333" s="1155"/>
      <c r="D333" s="1155"/>
      <c r="E333" s="676">
        <v>0</v>
      </c>
      <c r="F333" s="779" t="str" cm="1">
        <f t="array" aca="1" ref="F333" ca="1">OFFSET(G333,-1,-1)</f>
        <v>2</v>
      </c>
      <c r="G333" s="814"/>
      <c r="H333" s="814"/>
      <c r="I333" s="814"/>
      <c r="J333" s="814"/>
      <c r="K333" s="814"/>
      <c r="L333" s="779" t="b" cm="1">
        <f t="array" aca="1" ref="L333" ca="1">OFFSET(M333,-1,-1)</f>
        <v>0</v>
      </c>
      <c r="M333" s="814"/>
      <c r="N333" s="814"/>
      <c r="O333" s="814"/>
      <c r="P333" s="814"/>
      <c r="Q333" s="814"/>
      <c r="R333" s="1155"/>
      <c r="S333" s="110" t="b" cm="1">
        <f t="array" aca="1" ref="S333" ca="1">OFFSET(T333,-1,-1)</f>
        <v>1</v>
      </c>
      <c r="T333" s="1155"/>
      <c r="U333" s="698" t="b">
        <f t="shared" ca="1" si="343"/>
        <v>1</v>
      </c>
      <c r="V333" s="1155"/>
      <c r="W333" s="1155"/>
      <c r="X333" s="820" t="str">
        <f>"{                  
         funcDyn: 'msg1',
         blok: 'blok_2',
         wsCross: 'Топливо 4.4',
         linkFormula: 'AE-AE#AF-AF',
         levelDyn: "&amp;Y300&amp;"
}"</f>
        <v>{                  
         funcDyn: 'msg1',
         blok: 'blok_2',
         wsCross: 'Топливо 4.4',
         linkFormula: 'AE-AE#AF-AF',
         levelDyn: 2
}</v>
      </c>
      <c r="Y333" s="1687"/>
      <c r="Z333" s="1687"/>
      <c r="AA333" s="699"/>
      <c r="AB333" s="1787"/>
      <c r="AD333" s="823"/>
      <c r="AE333" s="822" t="s">
        <v>238</v>
      </c>
      <c r="AF333" s="745"/>
      <c r="AG333" s="547"/>
      <c r="AH333" s="746"/>
      <c r="AI333" s="746"/>
      <c r="AJ333" s="746"/>
      <c r="AK333" s="746"/>
      <c r="AL333" s="746"/>
      <c r="AM333" s="746"/>
      <c r="AN333" s="746"/>
      <c r="AO333" s="746"/>
      <c r="AP333" s="746"/>
      <c r="AQ333" s="746"/>
      <c r="AR333" s="746"/>
      <c r="AS333" s="746"/>
      <c r="AT333" s="746"/>
      <c r="AU333" s="746"/>
      <c r="AV333" s="746"/>
      <c r="AW333" s="746"/>
      <c r="AX333" s="746"/>
      <c r="AY333" s="746"/>
      <c r="AZ333" s="746"/>
      <c r="BA333" s="746"/>
      <c r="BB333" s="746"/>
      <c r="BC333" s="746"/>
      <c r="BD333" s="746"/>
      <c r="BE333" s="746"/>
      <c r="BF333" s="746"/>
      <c r="BG333" s="746"/>
      <c r="BH333" s="746"/>
      <c r="BI333" s="746"/>
      <c r="BJ333" s="746"/>
      <c r="BK333" s="746"/>
      <c r="BL333" s="746"/>
      <c r="BM333" s="746"/>
      <c r="BN333" s="746"/>
      <c r="BO333" s="746"/>
      <c r="BP333" s="746"/>
      <c r="BQ333" s="746"/>
      <c r="BR333" s="746"/>
      <c r="BS333" s="746"/>
      <c r="BT333" s="746"/>
      <c r="BU333" s="746"/>
      <c r="BV333" s="746"/>
      <c r="BW333" s="746"/>
      <c r="BX333" s="746"/>
      <c r="BY333" s="746"/>
      <c r="BZ333" s="746"/>
      <c r="CA333" s="746"/>
      <c r="CB333" s="746"/>
      <c r="CC333" s="746"/>
      <c r="CD333" s="746"/>
      <c r="CE333" s="746"/>
      <c r="CF333" s="746"/>
      <c r="CG333" s="746"/>
      <c r="CH333" s="746"/>
      <c r="CI333" s="746"/>
      <c r="CJ333" s="746"/>
      <c r="CK333" s="746"/>
      <c r="CL333" s="746"/>
      <c r="CM333" s="746"/>
      <c r="CN333" s="746"/>
      <c r="CO333" s="746"/>
      <c r="CP333" s="746"/>
      <c r="CQ333" s="746"/>
      <c r="CR333" s="746"/>
      <c r="CS333" s="746"/>
      <c r="CT333" s="46"/>
      <c r="CW333" s="970" t="str">
        <f>IF(AND(ISNUMBER(VALUE(TRIM(SUBSTITUTE(AD333,".","")))),TRIM(SUBSTITUTE(AD333,".",""))&lt;&gt;""),"P"&amp;SUBSTITUTE(AD333,".",""),"")</f>
        <v/>
      </c>
      <c r="CX333" s="975"/>
      <c r="CY333" s="975"/>
      <c r="CZ333" s="975"/>
      <c r="DA333" s="976"/>
      <c r="DB333" s="976"/>
    </row>
    <row r="334" spans="1:106" s="1229" customFormat="1" ht="16.5" customHeight="1">
      <c r="A334" s="1155"/>
      <c r="B334" s="783"/>
      <c r="C334" s="1155"/>
      <c r="D334" s="1155"/>
      <c r="E334" s="676">
        <v>17.100000000000001</v>
      </c>
      <c r="F334" s="779" t="str" cm="1">
        <f t="array" aca="1" ref="F334" ca="1">OFFSET(G334,-1,-1)</f>
        <v>2</v>
      </c>
      <c r="G334" s="814"/>
      <c r="H334" s="814"/>
      <c r="I334" s="814"/>
      <c r="J334" s="814"/>
      <c r="K334" s="814"/>
      <c r="L334" s="779" t="b" cm="1">
        <f t="array" aca="1" ref="L334" ca="1">OFFSET(M334,-1,-1)</f>
        <v>0</v>
      </c>
      <c r="M334" s="814"/>
      <c r="N334" s="814"/>
      <c r="O334" s="814"/>
      <c r="P334" s="814"/>
      <c r="Q334" s="814"/>
      <c r="R334" s="1155"/>
      <c r="S334" s="110" t="b" cm="1">
        <f t="array" aca="1" ref="S334" ca="1">OFFSET(T334,-1,-1)</f>
        <v>1</v>
      </c>
      <c r="T334" s="1155"/>
      <c r="U334" s="698" t="b">
        <f t="shared" ca="1" si="343"/>
        <v>1</v>
      </c>
      <c r="V334" s="1155"/>
      <c r="W334" s="1155"/>
      <c r="X334" s="1155"/>
      <c r="Y334" s="1687"/>
      <c r="Z334" s="1687"/>
      <c r="AA334" s="699"/>
      <c r="AB334" s="1787"/>
      <c r="AD334" s="111">
        <v>20</v>
      </c>
      <c r="AE334" s="1759" t="s">
        <v>825</v>
      </c>
      <c r="AF334" s="1760"/>
      <c r="AG334" s="622"/>
      <c r="AH334" s="735"/>
      <c r="AI334" s="737"/>
      <c r="AJ334" s="737"/>
      <c r="AK334" s="737"/>
      <c r="AL334" s="737"/>
      <c r="AM334" s="737"/>
      <c r="AN334" s="737"/>
      <c r="AO334" s="737"/>
      <c r="AP334" s="737"/>
      <c r="AQ334" s="737"/>
      <c r="AR334" s="737"/>
      <c r="AS334" s="737"/>
      <c r="AT334" s="737"/>
      <c r="AU334" s="737"/>
      <c r="AV334" s="737"/>
      <c r="AW334" s="737"/>
      <c r="AX334" s="737"/>
      <c r="AY334" s="737"/>
      <c r="AZ334" s="737"/>
      <c r="BA334" s="737"/>
      <c r="BB334" s="737"/>
      <c r="BC334" s="737"/>
      <c r="BD334" s="737"/>
      <c r="BE334" s="737"/>
      <c r="BF334" s="737"/>
      <c r="BG334" s="737"/>
      <c r="BH334" s="737"/>
      <c r="BI334" s="737"/>
      <c r="BJ334" s="737"/>
      <c r="BK334" s="737"/>
      <c r="BL334" s="737"/>
      <c r="BM334" s="737"/>
      <c r="BN334" s="737"/>
      <c r="BO334" s="737"/>
      <c r="BP334" s="737"/>
      <c r="BQ334" s="737"/>
      <c r="BR334" s="737"/>
      <c r="BS334" s="737"/>
      <c r="BT334" s="737"/>
      <c r="BU334" s="737"/>
      <c r="BV334" s="737"/>
      <c r="BW334" s="737"/>
      <c r="BX334" s="737"/>
      <c r="BY334" s="737"/>
      <c r="BZ334" s="737"/>
      <c r="CA334" s="737"/>
      <c r="CB334" s="737"/>
      <c r="CC334" s="737"/>
      <c r="CD334" s="737"/>
      <c r="CE334" s="737"/>
      <c r="CF334" s="737"/>
      <c r="CG334" s="737"/>
      <c r="CH334" s="737"/>
      <c r="CI334" s="737"/>
      <c r="CJ334" s="737"/>
      <c r="CK334" s="737"/>
      <c r="CL334" s="737"/>
      <c r="CM334" s="737"/>
      <c r="CN334" s="737"/>
      <c r="CO334" s="737"/>
      <c r="CP334" s="737"/>
      <c r="CQ334" s="737"/>
      <c r="CR334" s="737"/>
      <c r="CS334" s="737"/>
      <c r="CT334" s="1290"/>
      <c r="CW334" s="970" t="s">
        <v>826</v>
      </c>
      <c r="CX334" s="975"/>
      <c r="CY334" s="975"/>
      <c r="CZ334" s="975"/>
      <c r="DA334" s="976"/>
      <c r="DB334" s="976"/>
    </row>
    <row r="335" spans="1:106" s="1229" customFormat="1" ht="16.5" hidden="1" customHeight="1">
      <c r="E335" s="676">
        <v>17.100000000000001</v>
      </c>
      <c r="F335" s="779" t="str" cm="1">
        <f t="array" aca="1" ref="F335" ca="1">OFFSET(G335,-1,-1)</f>
        <v>2</v>
      </c>
      <c r="L335" s="779" t="b" cm="1">
        <f t="array" aca="1" ref="L335" ca="1">OFFSET(M335,-1,-1)</f>
        <v>0</v>
      </c>
      <c r="S335" s="110" t="b" cm="1">
        <f t="array" aca="1" ref="S335" ca="1">OFFSET(T335,-1,-1)</f>
        <v>1</v>
      </c>
      <c r="T335" s="110" t="b">
        <f>AD335&lt;&gt;"20.0"</f>
        <v>0</v>
      </c>
      <c r="U335" s="698" t="b">
        <f t="shared" ca="1" si="343"/>
        <v>0</v>
      </c>
      <c r="X335" s="110" t="s">
        <v>236</v>
      </c>
      <c r="Y335" s="1722"/>
      <c r="Z335" s="1722"/>
      <c r="AB335" s="1787"/>
      <c r="AD335" s="111" t="s">
        <v>827</v>
      </c>
      <c r="AE335" s="821"/>
      <c r="AF335" s="524"/>
      <c r="AG335" s="622"/>
      <c r="AH335" s="41"/>
      <c r="AI335" s="42"/>
      <c r="AJ335" s="42"/>
      <c r="AK335" s="42"/>
      <c r="AL335" s="736">
        <f ca="1">IFERROR(AL327/AL339,0)</f>
        <v>0</v>
      </c>
      <c r="AM335" s="42"/>
      <c r="AN335" s="42" cm="1">
        <f t="array" ref="AN335">AM335</f>
        <v>0</v>
      </c>
      <c r="AO335" s="736">
        <f ca="1">IFERROR(AO327/AO339,0)</f>
        <v>0</v>
      </c>
      <c r="AP335" s="826"/>
      <c r="AQ335" s="826" cm="1">
        <f t="array" ref="AQ335">AP335</f>
        <v>0</v>
      </c>
      <c r="AR335" s="736">
        <f ca="1">IFERROR(AR327/AR339,0)</f>
        <v>0</v>
      </c>
      <c r="AS335" s="826"/>
      <c r="AT335" s="826" cm="1">
        <f t="array" ref="AT335">AS335</f>
        <v>0</v>
      </c>
      <c r="AU335" s="736">
        <f ca="1">IFERROR(AU327/AU339,0)</f>
        <v>0</v>
      </c>
      <c r="AV335" s="826"/>
      <c r="AW335" s="826" cm="1">
        <f t="array" ref="AW335">AV335</f>
        <v>0</v>
      </c>
      <c r="AX335" s="736">
        <f ca="1">IFERROR(AX327/AX339,0)</f>
        <v>0</v>
      </c>
      <c r="AY335" s="826"/>
      <c r="AZ335" s="826" cm="1">
        <f t="array" ref="AZ335">AY335</f>
        <v>0</v>
      </c>
      <c r="BA335" s="736">
        <f ca="1">IFERROR(BA327/BA339,0)</f>
        <v>0</v>
      </c>
      <c r="BB335" s="42"/>
      <c r="BC335" s="42" cm="1">
        <f t="array" ref="BC335">BB335</f>
        <v>0</v>
      </c>
      <c r="BD335" s="736">
        <f ca="1">IFERROR(BD327/BD339,0)</f>
        <v>0</v>
      </c>
      <c r="BE335" s="42"/>
      <c r="BF335" s="42" cm="1">
        <f t="array" ref="BF335">BE335</f>
        <v>0</v>
      </c>
      <c r="BG335" s="736">
        <f ca="1">IFERROR(BG327/BG339,0)</f>
        <v>0</v>
      </c>
      <c r="BH335" s="42"/>
      <c r="BI335" s="42" cm="1">
        <f t="array" ref="BI335">BH335</f>
        <v>0</v>
      </c>
      <c r="BJ335" s="736">
        <f ca="1">IFERROR(BJ327/BJ339,0)</f>
        <v>0</v>
      </c>
      <c r="BK335" s="42"/>
      <c r="BL335" s="42" cm="1">
        <f t="array" ref="BL335">BK335</f>
        <v>0</v>
      </c>
      <c r="BM335" s="736">
        <f ca="1">IFERROR(BM327/BM339,0)</f>
        <v>0</v>
      </c>
      <c r="BN335" s="42"/>
      <c r="BO335" s="42" cm="1">
        <f t="array" ref="BO335">BN335</f>
        <v>0</v>
      </c>
      <c r="BP335" s="736">
        <f ca="1">IFERROR(BP327/BP339,0)</f>
        <v>0</v>
      </c>
      <c r="BQ335" s="826"/>
      <c r="BR335" s="826" cm="1">
        <f t="array" ref="BR335">BQ335</f>
        <v>0</v>
      </c>
      <c r="BS335" s="736">
        <f ca="1">IFERROR(BS327/BS339,0)</f>
        <v>0</v>
      </c>
      <c r="BT335" s="826"/>
      <c r="BU335" s="826" cm="1">
        <f t="array" ref="BU335">BT335</f>
        <v>0</v>
      </c>
      <c r="BV335" s="736">
        <f ca="1">IFERROR(BV327/BV339,0)</f>
        <v>0</v>
      </c>
      <c r="BW335" s="826"/>
      <c r="BX335" s="826" cm="1">
        <f t="array" ref="BX335">BW335</f>
        <v>0</v>
      </c>
      <c r="BY335" s="736">
        <f ca="1">IFERROR(BY327/BY339,0)</f>
        <v>0</v>
      </c>
      <c r="BZ335" s="826"/>
      <c r="CA335" s="826" cm="1">
        <f t="array" ref="CA335">BZ335</f>
        <v>0</v>
      </c>
      <c r="CB335" s="736">
        <f ca="1">IFERROR(CB327/CB339,0)</f>
        <v>0</v>
      </c>
      <c r="CC335" s="826"/>
      <c r="CD335" s="826" cm="1">
        <f t="array" ref="CD335">CC335</f>
        <v>0</v>
      </c>
      <c r="CE335" s="736">
        <f ca="1">IFERROR(CE327/CE339,0)</f>
        <v>0</v>
      </c>
      <c r="CF335" s="42"/>
      <c r="CG335" s="42" cm="1">
        <f t="array" ref="CG335">CF335</f>
        <v>0</v>
      </c>
      <c r="CH335" s="736">
        <f ca="1">IFERROR(CH327/CH339,0)</f>
        <v>0</v>
      </c>
      <c r="CI335" s="42"/>
      <c r="CJ335" s="42" cm="1">
        <f t="array" ref="CJ335">CI335</f>
        <v>0</v>
      </c>
      <c r="CK335" s="736">
        <f ca="1">IFERROR(CK327/CK339,0)</f>
        <v>0</v>
      </c>
      <c r="CL335" s="42"/>
      <c r="CM335" s="42" cm="1">
        <f t="array" ref="CM335">CL335</f>
        <v>0</v>
      </c>
      <c r="CN335" s="736">
        <f ca="1">IFERROR(CN327/CN339,0)</f>
        <v>0</v>
      </c>
      <c r="CO335" s="42"/>
      <c r="CP335" s="42" cm="1">
        <f t="array" ref="CP335">CO335</f>
        <v>0</v>
      </c>
      <c r="CQ335" s="736">
        <f ca="1">IFERROR(CQ327/CQ339,0)</f>
        <v>0</v>
      </c>
      <c r="CR335" s="42"/>
      <c r="CS335" s="42" cm="1">
        <f t="array" ref="CS335">CR335</f>
        <v>0</v>
      </c>
      <c r="CT335" s="28"/>
      <c r="CW335" s="970" t="s">
        <v>826</v>
      </c>
      <c r="CX335" s="975" t="s">
        <v>821</v>
      </c>
      <c r="CY335" s="979" cm="1">
        <f t="array" ref="CY335">AE335</f>
        <v>0</v>
      </c>
      <c r="CZ335" s="979" cm="1">
        <f t="array" ref="CZ335">AF335</f>
        <v>0</v>
      </c>
      <c r="DA335" s="976"/>
      <c r="DB335" s="976"/>
    </row>
    <row r="336" spans="1:106" s="1229" customFormat="1" ht="16.5" customHeight="1">
      <c r="E336" s="676">
        <v>17.100000000000001</v>
      </c>
      <c r="F336" s="779" t="str" cm="1">
        <f t="array" aca="1" ref="F336" ca="1">OFFSET(G336,-1,-1)</f>
        <v>2</v>
      </c>
      <c r="L336" s="779" t="b" cm="1">
        <f t="array" aca="1" ref="L336" ca="1">OFFSET(M336,-1,-1)</f>
        <v>0</v>
      </c>
      <c r="S336" s="110" t="b" cm="1">
        <f t="array" aca="1" ref="S336" ca="1">OFFSET(T336,-1,-1)</f>
        <v>1</v>
      </c>
      <c r="T336" s="110" t="b">
        <f>AD336&lt;&gt;"20.0"</f>
        <v>1</v>
      </c>
      <c r="U336" s="698" t="b">
        <f t="shared" ca="1" si="343"/>
        <v>1</v>
      </c>
      <c r="X336" s="110" t="str">
        <f>'Топливо 4.4'!$AE$332&amp;'Топливо 4.4'!$AF$332</f>
        <v>Уголь длиннопламенный</v>
      </c>
      <c r="Y336" s="1722"/>
      <c r="Z336" s="1722"/>
      <c r="AB336" s="1787"/>
      <c r="AD336" s="111" t="s">
        <v>935</v>
      </c>
      <c r="AE336" s="821" t="str" cm="1">
        <f t="array" ref="AE336">IF(ISBLANK('Топливо 4.4'!$AE$332),"",'Топливо 4.4'!$AE$332)</f>
        <v>Уголь длиннопламенный</v>
      </c>
      <c r="AF336" s="524" t="str" cm="1">
        <f t="array" ref="AF336">IF(ISBLANK('Топливо 4.4'!$AF$332),"",'Топливо 4.4'!$AF$332)</f>
        <v/>
      </c>
      <c r="AG336" s="622"/>
      <c r="AH336" s="1303"/>
      <c r="AI336" s="1302"/>
      <c r="AJ336" s="1302"/>
      <c r="AK336" s="1302">
        <v>0.78571428571428603</v>
      </c>
      <c r="AL336" s="736">
        <f ca="1">IFERROR(AL328/AL340,0)</f>
        <v>0</v>
      </c>
      <c r="AM336" s="1302"/>
      <c r="AN336" s="1302" cm="1">
        <f t="array" ref="AN336">AM336</f>
        <v>0</v>
      </c>
      <c r="AO336" s="736">
        <f ca="1">IFERROR(AO328/AO340,0)</f>
        <v>0</v>
      </c>
      <c r="AP336" s="826"/>
      <c r="AQ336" s="826" cm="1">
        <f t="array" ref="AQ336">AP336</f>
        <v>0</v>
      </c>
      <c r="AR336" s="736">
        <f ca="1">IFERROR(AR328/AR340,0)</f>
        <v>0</v>
      </c>
      <c r="AS336" s="826"/>
      <c r="AT336" s="826" cm="1">
        <f t="array" ref="AT336">AS336</f>
        <v>0</v>
      </c>
      <c r="AU336" s="736">
        <f ca="1">IFERROR(AU328/AU340,0)</f>
        <v>0</v>
      </c>
      <c r="AV336" s="826"/>
      <c r="AW336" s="826" cm="1">
        <f t="array" ref="AW336">AV336</f>
        <v>0</v>
      </c>
      <c r="AX336" s="736">
        <f ca="1">IFERROR(AX328/AX340,0)</f>
        <v>0</v>
      </c>
      <c r="AY336" s="826"/>
      <c r="AZ336" s="826" cm="1">
        <f t="array" ref="AZ336">AY336</f>
        <v>0</v>
      </c>
      <c r="BA336" s="736">
        <f ca="1">IFERROR(BA328/BA340,0)</f>
        <v>0</v>
      </c>
      <c r="BB336" s="1302"/>
      <c r="BC336" s="1302" cm="1">
        <f t="array" ref="BC336">BB336</f>
        <v>0</v>
      </c>
      <c r="BD336" s="736">
        <f ca="1">IFERROR(BD328/BD340,0)</f>
        <v>0</v>
      </c>
      <c r="BE336" s="1302"/>
      <c r="BF336" s="1302" cm="1">
        <f t="array" ref="BF336">BE336</f>
        <v>0</v>
      </c>
      <c r="BG336" s="736">
        <f ca="1">IFERROR(BG328/BG340,0)</f>
        <v>0</v>
      </c>
      <c r="BH336" s="1302"/>
      <c r="BI336" s="1302" cm="1">
        <f t="array" ref="BI336">BH336</f>
        <v>0</v>
      </c>
      <c r="BJ336" s="736">
        <f ca="1">IFERROR(BJ328/BJ340,0)</f>
        <v>0</v>
      </c>
      <c r="BK336" s="1302"/>
      <c r="BL336" s="1302" cm="1">
        <f t="array" ref="BL336">BK336</f>
        <v>0</v>
      </c>
      <c r="BM336" s="736">
        <f ca="1">IFERROR(BM328/BM340,0)</f>
        <v>0</v>
      </c>
      <c r="BN336" s="1302"/>
      <c r="BO336" s="1302" cm="1">
        <f t="array" ref="BO336">BN336</f>
        <v>0</v>
      </c>
      <c r="BP336" s="736">
        <f ca="1">IFERROR(BP328/BP340,0)</f>
        <v>0.73076369275679598</v>
      </c>
      <c r="BQ336" s="826">
        <v>0.73076369275679598</v>
      </c>
      <c r="BR336" s="826" cm="1">
        <f t="array" ref="BR336">BQ336</f>
        <v>0.73076369275679598</v>
      </c>
      <c r="BS336" s="736">
        <f ca="1">IFERROR(BS328/BS340,0)</f>
        <v>0</v>
      </c>
      <c r="BT336" s="826"/>
      <c r="BU336" s="826" cm="1">
        <f t="array" ref="BU336">BT336</f>
        <v>0</v>
      </c>
      <c r="BV336" s="736">
        <f ca="1">IFERROR(BV328/BV340,0)</f>
        <v>0</v>
      </c>
      <c r="BW336" s="826"/>
      <c r="BX336" s="826" cm="1">
        <f t="array" ref="BX336">BW336</f>
        <v>0</v>
      </c>
      <c r="BY336" s="736">
        <f ca="1">IFERROR(BY328/BY340,0)</f>
        <v>0</v>
      </c>
      <c r="BZ336" s="826"/>
      <c r="CA336" s="826" cm="1">
        <f t="array" ref="CA336">BZ336</f>
        <v>0</v>
      </c>
      <c r="CB336" s="736">
        <f ca="1">IFERROR(CB328/CB340,0)</f>
        <v>0</v>
      </c>
      <c r="CC336" s="826"/>
      <c r="CD336" s="826" cm="1">
        <f t="array" ref="CD336">CC336</f>
        <v>0</v>
      </c>
      <c r="CE336" s="736">
        <f ca="1">IFERROR(CE328/CE340,0)</f>
        <v>0</v>
      </c>
      <c r="CF336" s="1302"/>
      <c r="CG336" s="1302" cm="1">
        <f t="array" ref="CG336">CF336</f>
        <v>0</v>
      </c>
      <c r="CH336" s="736">
        <f ca="1">IFERROR(CH328/CH340,0)</f>
        <v>0</v>
      </c>
      <c r="CI336" s="1302"/>
      <c r="CJ336" s="1302" cm="1">
        <f t="array" ref="CJ336">CI336</f>
        <v>0</v>
      </c>
      <c r="CK336" s="736">
        <f ca="1">IFERROR(CK328/CK340,0)</f>
        <v>0</v>
      </c>
      <c r="CL336" s="1302"/>
      <c r="CM336" s="1302" cm="1">
        <f t="array" ref="CM336">CL336</f>
        <v>0</v>
      </c>
      <c r="CN336" s="736">
        <f ca="1">IFERROR(CN328/CN340,0)</f>
        <v>0</v>
      </c>
      <c r="CO336" s="1302"/>
      <c r="CP336" s="1302" cm="1">
        <f t="array" ref="CP336">CO336</f>
        <v>0</v>
      </c>
      <c r="CQ336" s="736">
        <f ca="1">IFERROR(CQ328/CQ340,0)</f>
        <v>0</v>
      </c>
      <c r="CR336" s="1302"/>
      <c r="CS336" s="1302" cm="1">
        <f t="array" ref="CS336">CR336</f>
        <v>0</v>
      </c>
      <c r="CT336" s="1290"/>
      <c r="CW336" s="970" t="s">
        <v>826</v>
      </c>
      <c r="CX336" s="975" t="s">
        <v>821</v>
      </c>
      <c r="CY336" s="979" t="str" cm="1">
        <f t="array" ref="CY336">AE336</f>
        <v>Уголь длиннопламенный</v>
      </c>
      <c r="CZ336" s="979" t="str" cm="1">
        <f t="array" ref="CZ336">AF336</f>
        <v/>
      </c>
      <c r="DA336" s="976"/>
      <c r="DB336" s="976"/>
    </row>
    <row r="337" spans="1:106" s="1229" customFormat="1" ht="17.25" hidden="1" customHeight="1">
      <c r="A337" s="1155"/>
      <c r="B337" s="783"/>
      <c r="C337" s="1155"/>
      <c r="D337" s="1155"/>
      <c r="E337" s="676">
        <v>0</v>
      </c>
      <c r="F337" s="779" t="str" cm="1">
        <f t="array" aca="1" ref="F337" ca="1">OFFSET(G337,-1,-1)</f>
        <v>2</v>
      </c>
      <c r="G337" s="814"/>
      <c r="H337" s="814"/>
      <c r="I337" s="814"/>
      <c r="J337" s="814"/>
      <c r="K337" s="814"/>
      <c r="L337" s="779" t="b" cm="1">
        <f t="array" aca="1" ref="L337" ca="1">OFFSET(M337,-1,-1)</f>
        <v>0</v>
      </c>
      <c r="M337" s="814"/>
      <c r="N337" s="814"/>
      <c r="O337" s="814"/>
      <c r="P337" s="814"/>
      <c r="Q337" s="814"/>
      <c r="R337" s="1155"/>
      <c r="S337" s="110" t="b" cm="1">
        <f t="array" aca="1" ref="S337" ca="1">OFFSET(T337,-1,-1)</f>
        <v>1</v>
      </c>
      <c r="T337" s="1155"/>
      <c r="U337" s="698" t="b">
        <f t="shared" ca="1" si="343"/>
        <v>1</v>
      </c>
      <c r="V337" s="1155"/>
      <c r="W337" s="1155"/>
      <c r="X337" s="820" t="str">
        <f>"{                  
         funcDyn: 'msg1',
         blok: 'blok_2',
         wsCross: 'Топливо 4.4',
         linkFormula: 'AE-AE#AF-AF',
         levelDyn: "&amp;Y300&amp;"
}"</f>
        <v>{                  
         funcDyn: 'msg1',
         blok: 'blok_2',
         wsCross: 'Топливо 4.4',
         linkFormula: 'AE-AE#AF-AF',
         levelDyn: 2
}</v>
      </c>
      <c r="Y337" s="1687"/>
      <c r="Z337" s="1687"/>
      <c r="AA337" s="699"/>
      <c r="AB337" s="1787"/>
      <c r="AD337" s="823"/>
      <c r="AE337" s="822" t="s">
        <v>238</v>
      </c>
      <c r="AF337" s="745"/>
      <c r="AG337" s="853"/>
      <c r="AH337" s="735"/>
      <c r="AI337" s="737"/>
      <c r="AJ337" s="737"/>
      <c r="AK337" s="737"/>
      <c r="AL337" s="737"/>
      <c r="AM337" s="737"/>
      <c r="AN337" s="737"/>
      <c r="AO337" s="737"/>
      <c r="AP337" s="737"/>
      <c r="AQ337" s="737"/>
      <c r="AR337" s="737"/>
      <c r="AS337" s="737"/>
      <c r="AT337" s="737"/>
      <c r="AU337" s="737"/>
      <c r="AV337" s="737"/>
      <c r="AW337" s="737"/>
      <c r="AX337" s="737"/>
      <c r="AY337" s="737"/>
      <c r="AZ337" s="737"/>
      <c r="BA337" s="737"/>
      <c r="BB337" s="737"/>
      <c r="BC337" s="737"/>
      <c r="BD337" s="737"/>
      <c r="BE337" s="737"/>
      <c r="BF337" s="737"/>
      <c r="BG337" s="737"/>
      <c r="BH337" s="737"/>
      <c r="BI337" s="737"/>
      <c r="BJ337" s="737"/>
      <c r="BK337" s="737"/>
      <c r="BL337" s="737"/>
      <c r="BM337" s="737"/>
      <c r="BN337" s="737"/>
      <c r="BO337" s="737"/>
      <c r="BP337" s="737"/>
      <c r="BQ337" s="737"/>
      <c r="BR337" s="737"/>
      <c r="BS337" s="737"/>
      <c r="BT337" s="737"/>
      <c r="BU337" s="737"/>
      <c r="BV337" s="737"/>
      <c r="BW337" s="737"/>
      <c r="BX337" s="737"/>
      <c r="BY337" s="737"/>
      <c r="BZ337" s="737"/>
      <c r="CA337" s="737"/>
      <c r="CB337" s="737"/>
      <c r="CC337" s="737"/>
      <c r="CD337" s="737"/>
      <c r="CE337" s="737"/>
      <c r="CF337" s="737"/>
      <c r="CG337" s="737"/>
      <c r="CH337" s="737"/>
      <c r="CI337" s="737"/>
      <c r="CJ337" s="737"/>
      <c r="CK337" s="737"/>
      <c r="CL337" s="737"/>
      <c r="CM337" s="737"/>
      <c r="CN337" s="737"/>
      <c r="CO337" s="737"/>
      <c r="CP337" s="737"/>
      <c r="CQ337" s="737"/>
      <c r="CR337" s="737"/>
      <c r="CS337" s="737"/>
      <c r="CT337" s="46"/>
      <c r="CW337" s="970" t="str">
        <f>IF(AND(ISNUMBER(VALUE(TRIM(SUBSTITUTE(AD337,".","")))),TRIM(SUBSTITUTE(AD337,".",""))&lt;&gt;""),"P"&amp;SUBSTITUTE(AD337,".",""),"")</f>
        <v/>
      </c>
      <c r="CX337" s="975"/>
      <c r="CY337" s="975"/>
      <c r="CZ337" s="975"/>
      <c r="DA337" s="976"/>
      <c r="DB337" s="976"/>
    </row>
    <row r="338" spans="1:106" s="1229" customFormat="1" ht="16.5" customHeight="1">
      <c r="A338" s="1155"/>
      <c r="B338" s="783"/>
      <c r="C338" s="1155"/>
      <c r="D338" s="1155"/>
      <c r="E338" s="676">
        <v>17.100000000000001</v>
      </c>
      <c r="F338" s="779" t="str" cm="1">
        <f t="array" aca="1" ref="F338" ca="1">OFFSET(G338,-1,-1)</f>
        <v>2</v>
      </c>
      <c r="G338" s="814"/>
      <c r="H338" s="814"/>
      <c r="I338" s="814"/>
      <c r="J338" s="814"/>
      <c r="K338" s="814"/>
      <c r="L338" s="779" t="b" cm="1">
        <f t="array" aca="1" ref="L338" ca="1">OFFSET(M338,-1,-1)</f>
        <v>0</v>
      </c>
      <c r="M338" s="814"/>
      <c r="N338" s="814"/>
      <c r="O338" s="814"/>
      <c r="P338" s="814"/>
      <c r="Q338" s="814"/>
      <c r="R338" s="1155"/>
      <c r="S338" s="110" t="b" cm="1">
        <f t="array" aca="1" ref="S338" ca="1">OFFSET(T338,-1,-1)</f>
        <v>1</v>
      </c>
      <c r="T338" s="1155"/>
      <c r="U338" s="698" t="b">
        <f t="shared" ca="1" si="343"/>
        <v>1</v>
      </c>
      <c r="V338" s="1155"/>
      <c r="W338" s="1155"/>
      <c r="X338" s="1155"/>
      <c r="Y338" s="1687"/>
      <c r="Z338" s="1687"/>
      <c r="AA338" s="699"/>
      <c r="AB338" s="1787"/>
      <c r="AD338" s="111">
        <v>21</v>
      </c>
      <c r="AE338" s="1775" t="s">
        <v>828</v>
      </c>
      <c r="AF338" s="1776"/>
      <c r="AG338" s="622"/>
      <c r="AH338" s="735"/>
      <c r="AI338" s="737"/>
      <c r="AJ338" s="737"/>
      <c r="AK338" s="737"/>
      <c r="AL338" s="737"/>
      <c r="AM338" s="737"/>
      <c r="AN338" s="737"/>
      <c r="AO338" s="737"/>
      <c r="AP338" s="737"/>
      <c r="AQ338" s="737"/>
      <c r="AR338" s="737"/>
      <c r="AS338" s="737"/>
      <c r="AT338" s="737"/>
      <c r="AU338" s="737"/>
      <c r="AV338" s="737"/>
      <c r="AW338" s="737"/>
      <c r="AX338" s="737"/>
      <c r="AY338" s="737"/>
      <c r="AZ338" s="737"/>
      <c r="BA338" s="737"/>
      <c r="BB338" s="737"/>
      <c r="BC338" s="737"/>
      <c r="BD338" s="737"/>
      <c r="BE338" s="737"/>
      <c r="BF338" s="737"/>
      <c r="BG338" s="737"/>
      <c r="BH338" s="737"/>
      <c r="BI338" s="737"/>
      <c r="BJ338" s="737"/>
      <c r="BK338" s="737"/>
      <c r="BL338" s="737"/>
      <c r="BM338" s="737"/>
      <c r="BN338" s="737"/>
      <c r="BO338" s="737"/>
      <c r="BP338" s="737"/>
      <c r="BQ338" s="737"/>
      <c r="BR338" s="737"/>
      <c r="BS338" s="737"/>
      <c r="BT338" s="737"/>
      <c r="BU338" s="737"/>
      <c r="BV338" s="737"/>
      <c r="BW338" s="737"/>
      <c r="BX338" s="737"/>
      <c r="BY338" s="737"/>
      <c r="BZ338" s="737"/>
      <c r="CA338" s="737"/>
      <c r="CB338" s="737"/>
      <c r="CC338" s="737"/>
      <c r="CD338" s="737"/>
      <c r="CE338" s="737"/>
      <c r="CF338" s="737"/>
      <c r="CG338" s="737"/>
      <c r="CH338" s="737"/>
      <c r="CI338" s="737"/>
      <c r="CJ338" s="737"/>
      <c r="CK338" s="737"/>
      <c r="CL338" s="737"/>
      <c r="CM338" s="737"/>
      <c r="CN338" s="737"/>
      <c r="CO338" s="737"/>
      <c r="CP338" s="737"/>
      <c r="CQ338" s="737"/>
      <c r="CR338" s="737"/>
      <c r="CS338" s="737"/>
      <c r="CT338" s="1290"/>
      <c r="CW338" s="970" t="s">
        <v>829</v>
      </c>
      <c r="CX338" s="975"/>
      <c r="CY338" s="975"/>
      <c r="CZ338" s="975"/>
      <c r="DA338" s="976"/>
      <c r="DB338" s="976"/>
    </row>
    <row r="339" spans="1:106" s="1229" customFormat="1" ht="16.5" hidden="1" customHeight="1">
      <c r="E339" s="676">
        <v>17.100000000000001</v>
      </c>
      <c r="F339" s="779" t="str" cm="1">
        <f t="array" aca="1" ref="F339" ca="1">OFFSET(G339,-1,-1)</f>
        <v>2</v>
      </c>
      <c r="L339" s="779" t="b" cm="1">
        <f t="array" aca="1" ref="L339" ca="1">OFFSET(M339,-1,-1)</f>
        <v>0</v>
      </c>
      <c r="S339" s="110" t="b" cm="1">
        <f t="array" aca="1" ref="S339" ca="1">OFFSET(T339,-1,-1)</f>
        <v>1</v>
      </c>
      <c r="T339" s="110" t="b">
        <f>AD339&lt;&gt;"21.0"</f>
        <v>0</v>
      </c>
      <c r="U339" s="698" t="b">
        <f t="shared" ca="1" si="343"/>
        <v>0</v>
      </c>
      <c r="X339" s="110" t="s">
        <v>236</v>
      </c>
      <c r="Y339" s="1722"/>
      <c r="Z339" s="1722"/>
      <c r="AB339" s="1787"/>
      <c r="AD339" s="111" t="s">
        <v>830</v>
      </c>
      <c r="AE339" s="821"/>
      <c r="AF339" s="524"/>
      <c r="AG339" s="894" t="str">
        <f>IFERROR(INDEX(fuel_ed_izm_list,MATCH(AE339,fuel_list,0)),"тнт")</f>
        <v>тнт</v>
      </c>
      <c r="AH339" s="42">
        <f>IFERROR(AH327/AH335,0)</f>
        <v>0</v>
      </c>
      <c r="AI339" s="42"/>
      <c r="AJ339" s="42"/>
      <c r="AK339" s="42">
        <f>IFERROR(AK327/AK335,0)</f>
        <v>0</v>
      </c>
      <c r="AL339" s="734">
        <f ca="1">AM339+AN339</f>
        <v>0</v>
      </c>
      <c r="AM339" s="42">
        <f>IFERROR(AM327/AM335,0)</f>
        <v>0</v>
      </c>
      <c r="AN339" s="42">
        <f ca="1">IFERROR(AN327/AN335,0)</f>
        <v>0</v>
      </c>
      <c r="AO339" s="734">
        <f ca="1">AP339+AQ339</f>
        <v>0</v>
      </c>
      <c r="AP339" s="826">
        <f>IFERROR(AP327/AP335,0)</f>
        <v>0</v>
      </c>
      <c r="AQ339" s="826">
        <f ca="1">IFERROR(AQ327/AQ335,0)</f>
        <v>0</v>
      </c>
      <c r="AR339" s="734">
        <f ca="1">AS339+AT339</f>
        <v>0</v>
      </c>
      <c r="AS339" s="826">
        <f>IFERROR(AS327/AS335,0)</f>
        <v>0</v>
      </c>
      <c r="AT339" s="826">
        <f ca="1">IFERROR(AT327/AT335,0)</f>
        <v>0</v>
      </c>
      <c r="AU339" s="734">
        <f ca="1">AV339+AW339</f>
        <v>0</v>
      </c>
      <c r="AV339" s="826">
        <f>IFERROR(AV327/AV335,0)</f>
        <v>0</v>
      </c>
      <c r="AW339" s="826">
        <f ca="1">IFERROR(AW327/AW335,0)</f>
        <v>0</v>
      </c>
      <c r="AX339" s="734">
        <f ca="1">AY339+AZ339</f>
        <v>0</v>
      </c>
      <c r="AY339" s="826">
        <f>IFERROR(AY327/AY335,0)</f>
        <v>0</v>
      </c>
      <c r="AZ339" s="826">
        <f ca="1">IFERROR(AZ327/AZ335,0)</f>
        <v>0</v>
      </c>
      <c r="BA339" s="734">
        <f ca="1">BB339+BC339</f>
        <v>0</v>
      </c>
      <c r="BB339" s="42">
        <f>IFERROR(BB327/BB335,0)</f>
        <v>0</v>
      </c>
      <c r="BC339" s="42">
        <f ca="1">IFERROR(BC327/BC335,0)</f>
        <v>0</v>
      </c>
      <c r="BD339" s="734">
        <f ca="1">BE339+BF339</f>
        <v>0</v>
      </c>
      <c r="BE339" s="42">
        <f>IFERROR(BE327/BE335,0)</f>
        <v>0</v>
      </c>
      <c r="BF339" s="42">
        <f ca="1">IFERROR(BF327/BF335,0)</f>
        <v>0</v>
      </c>
      <c r="BG339" s="734">
        <f ca="1">BH339+BI339</f>
        <v>0</v>
      </c>
      <c r="BH339" s="42">
        <f>IFERROR(BH327/BH335,0)</f>
        <v>0</v>
      </c>
      <c r="BI339" s="42">
        <f ca="1">IFERROR(BI327/BI335,0)</f>
        <v>0</v>
      </c>
      <c r="BJ339" s="734">
        <f ca="1">BK339+BL339</f>
        <v>0</v>
      </c>
      <c r="BK339" s="42">
        <f>IFERROR(BK327/BK335,0)</f>
        <v>0</v>
      </c>
      <c r="BL339" s="42">
        <f ca="1">IFERROR(BL327/BL335,0)</f>
        <v>0</v>
      </c>
      <c r="BM339" s="734">
        <f ca="1">BN339+BO339</f>
        <v>0</v>
      </c>
      <c r="BN339" s="42">
        <f>IFERROR(BN327/BN335,0)</f>
        <v>0</v>
      </c>
      <c r="BO339" s="42">
        <f ca="1">IFERROR(BO327/BO335,0)</f>
        <v>0</v>
      </c>
      <c r="BP339" s="734">
        <f ca="1">BQ339+BR339</f>
        <v>0</v>
      </c>
      <c r="BQ339" s="826">
        <f>IFERROR(BQ327/BQ335,0)</f>
        <v>0</v>
      </c>
      <c r="BR339" s="826">
        <f ca="1">IFERROR(BR327/BR335,0)</f>
        <v>0</v>
      </c>
      <c r="BS339" s="734">
        <f ca="1">BT339+BU339</f>
        <v>0</v>
      </c>
      <c r="BT339" s="826">
        <f>IFERROR(BT327/BT335,0)</f>
        <v>0</v>
      </c>
      <c r="BU339" s="826">
        <f ca="1">IFERROR(BU327/BU335,0)</f>
        <v>0</v>
      </c>
      <c r="BV339" s="734">
        <f ca="1">BW339+BX339</f>
        <v>0</v>
      </c>
      <c r="BW339" s="826">
        <f>IFERROR(BW327/BW335,0)</f>
        <v>0</v>
      </c>
      <c r="BX339" s="826">
        <f ca="1">IFERROR(BX327/BX335,0)</f>
        <v>0</v>
      </c>
      <c r="BY339" s="734">
        <f ca="1">BZ339+CA339</f>
        <v>0</v>
      </c>
      <c r="BZ339" s="826">
        <f>IFERROR(BZ327/BZ335,0)</f>
        <v>0</v>
      </c>
      <c r="CA339" s="826">
        <f ca="1">IFERROR(CA327/CA335,0)</f>
        <v>0</v>
      </c>
      <c r="CB339" s="734">
        <f ca="1">CC339+CD339</f>
        <v>0</v>
      </c>
      <c r="CC339" s="826">
        <f>IFERROR(CC327/CC335,0)</f>
        <v>0</v>
      </c>
      <c r="CD339" s="826">
        <f ca="1">IFERROR(CD327/CD335,0)</f>
        <v>0</v>
      </c>
      <c r="CE339" s="734">
        <f ca="1">CF339+CG339</f>
        <v>0</v>
      </c>
      <c r="CF339" s="42">
        <f>IFERROR(CF327/CF335,0)</f>
        <v>0</v>
      </c>
      <c r="CG339" s="42">
        <f ca="1">IFERROR(CG327/CG335,0)</f>
        <v>0</v>
      </c>
      <c r="CH339" s="734">
        <f ca="1">CI339+CJ339</f>
        <v>0</v>
      </c>
      <c r="CI339" s="42">
        <f>IFERROR(CI327/CI335,0)</f>
        <v>0</v>
      </c>
      <c r="CJ339" s="42">
        <f ca="1">IFERROR(CJ327/CJ335,0)</f>
        <v>0</v>
      </c>
      <c r="CK339" s="734">
        <f ca="1">CL339+CM339</f>
        <v>0</v>
      </c>
      <c r="CL339" s="42">
        <f>IFERROR(CL327/CL335,0)</f>
        <v>0</v>
      </c>
      <c r="CM339" s="42">
        <f ca="1">IFERROR(CM327/CM335,0)</f>
        <v>0</v>
      </c>
      <c r="CN339" s="734">
        <f ca="1">CO339+CP339</f>
        <v>0</v>
      </c>
      <c r="CO339" s="42">
        <f>IFERROR(CO327/CO335,0)</f>
        <v>0</v>
      </c>
      <c r="CP339" s="42">
        <f ca="1">IFERROR(CP327/CP335,0)</f>
        <v>0</v>
      </c>
      <c r="CQ339" s="734">
        <f ca="1">CR339+CS339</f>
        <v>0</v>
      </c>
      <c r="CR339" s="42">
        <f>IFERROR(CR327/CR335,0)</f>
        <v>0</v>
      </c>
      <c r="CS339" s="42">
        <f ca="1">IFERROR(CS327/CS335,0)</f>
        <v>0</v>
      </c>
      <c r="CT339" s="28"/>
      <c r="CW339" s="970" t="s">
        <v>829</v>
      </c>
      <c r="CX339" s="975" t="s">
        <v>821</v>
      </c>
      <c r="CY339" s="979" cm="1">
        <f t="array" ref="CY339">AE339</f>
        <v>0</v>
      </c>
      <c r="CZ339" s="979" cm="1">
        <f t="array" ref="CZ339">AF339</f>
        <v>0</v>
      </c>
      <c r="DA339" s="976"/>
      <c r="DB339" s="976"/>
    </row>
    <row r="340" spans="1:106" s="1229" customFormat="1" ht="16.5" customHeight="1">
      <c r="E340" s="676">
        <v>17.100000000000001</v>
      </c>
      <c r="F340" s="779" t="str" cm="1">
        <f t="array" aca="1" ref="F340" ca="1">OFFSET(G340,-1,-1)</f>
        <v>2</v>
      </c>
      <c r="L340" s="779" t="b" cm="1">
        <f t="array" aca="1" ref="L340" ca="1">OFFSET(M340,-1,-1)</f>
        <v>0</v>
      </c>
      <c r="S340" s="110" t="b" cm="1">
        <f t="array" aca="1" ref="S340" ca="1">OFFSET(T340,-1,-1)</f>
        <v>1</v>
      </c>
      <c r="T340" s="110" t="b">
        <f>AD340&lt;&gt;"21.0"</f>
        <v>1</v>
      </c>
      <c r="U340" s="698" t="b">
        <f t="shared" ca="1" si="343"/>
        <v>1</v>
      </c>
      <c r="X340" s="110" t="str">
        <f>'Топливо 4.4'!$AE$336&amp;'Топливо 4.4'!$AF$336</f>
        <v>Уголь длиннопламенный</v>
      </c>
      <c r="Y340" s="1722"/>
      <c r="Z340" s="1722"/>
      <c r="AB340" s="1787"/>
      <c r="AD340" s="111" t="s">
        <v>937</v>
      </c>
      <c r="AE340" s="821" t="str" cm="1">
        <f t="array" ref="AE340">IF(ISBLANK('Топливо 4.4'!$AE$336),"",'Топливо 4.4'!$AE$336)</f>
        <v>Уголь длиннопламенный</v>
      </c>
      <c r="AF340" s="524" t="str" cm="1">
        <f t="array" ref="AF340">IF(ISBLANK('Топливо 4.4'!$AF$336),"",'Топливо 4.4'!$AF$336)</f>
        <v/>
      </c>
      <c r="AG340" s="894" t="str">
        <f>IFERROR(INDEX(fuel_ed_izm_list,MATCH(AE340,fuel_list,0)),"тнт")</f>
        <v>тнт</v>
      </c>
      <c r="AH340" s="1302">
        <f>IFERROR(AH328/AH336,0)</f>
        <v>0</v>
      </c>
      <c r="AI340" s="1302"/>
      <c r="AJ340" s="1302"/>
      <c r="AK340" s="1302">
        <f>IFERROR(AK328/AK336,0)</f>
        <v>31373.999999999989</v>
      </c>
      <c r="AL340" s="734">
        <f ca="1">AM340+AN340</f>
        <v>0</v>
      </c>
      <c r="AM340" s="1302">
        <f>IFERROR(AM328/AM336,0)</f>
        <v>0</v>
      </c>
      <c r="AN340" s="1302">
        <f ca="1">IFERROR(AN328/AN336,0)</f>
        <v>0</v>
      </c>
      <c r="AO340" s="734">
        <f ca="1">AP340+AQ340</f>
        <v>0</v>
      </c>
      <c r="AP340" s="826">
        <f>IFERROR(AP328/AP336,0)</f>
        <v>0</v>
      </c>
      <c r="AQ340" s="826">
        <f ca="1">IFERROR(AQ328/AQ336,0)</f>
        <v>0</v>
      </c>
      <c r="AR340" s="734">
        <f ca="1">AS340+AT340</f>
        <v>0</v>
      </c>
      <c r="AS340" s="826">
        <f>IFERROR(AS328/AS336,0)</f>
        <v>0</v>
      </c>
      <c r="AT340" s="826">
        <f ca="1">IFERROR(AT328/AT336,0)</f>
        <v>0</v>
      </c>
      <c r="AU340" s="734">
        <f ca="1">AV340+AW340</f>
        <v>0</v>
      </c>
      <c r="AV340" s="826">
        <f>IFERROR(AV328/AV336,0)</f>
        <v>0</v>
      </c>
      <c r="AW340" s="826">
        <f ca="1">IFERROR(AW328/AW336,0)</f>
        <v>0</v>
      </c>
      <c r="AX340" s="734">
        <f ca="1">AY340+AZ340</f>
        <v>0</v>
      </c>
      <c r="AY340" s="826">
        <f>IFERROR(AY328/AY336,0)</f>
        <v>0</v>
      </c>
      <c r="AZ340" s="826">
        <f ca="1">IFERROR(AZ328/AZ336,0)</f>
        <v>0</v>
      </c>
      <c r="BA340" s="734">
        <f ca="1">BB340+BC340</f>
        <v>0</v>
      </c>
      <c r="BB340" s="1302">
        <f>IFERROR(BB328/BB336,0)</f>
        <v>0</v>
      </c>
      <c r="BC340" s="1302">
        <f ca="1">IFERROR(BC328/BC336,0)</f>
        <v>0</v>
      </c>
      <c r="BD340" s="734">
        <f ca="1">BE340+BF340</f>
        <v>0</v>
      </c>
      <c r="BE340" s="1302">
        <f>IFERROR(BE328/BE336,0)</f>
        <v>0</v>
      </c>
      <c r="BF340" s="1302">
        <f ca="1">IFERROR(BF328/BF336,0)</f>
        <v>0</v>
      </c>
      <c r="BG340" s="734">
        <f ca="1">BH340+BI340</f>
        <v>0</v>
      </c>
      <c r="BH340" s="1302">
        <f>IFERROR(BH328/BH336,0)</f>
        <v>0</v>
      </c>
      <c r="BI340" s="1302">
        <f ca="1">IFERROR(BI328/BI336,0)</f>
        <v>0</v>
      </c>
      <c r="BJ340" s="734">
        <f ca="1">BK340+BL340</f>
        <v>0</v>
      </c>
      <c r="BK340" s="1302">
        <f>IFERROR(BK328/BK336,0)</f>
        <v>0</v>
      </c>
      <c r="BL340" s="1302">
        <f ca="1">IFERROR(BL328/BL336,0)</f>
        <v>0</v>
      </c>
      <c r="BM340" s="734">
        <f ca="1">BN340+BO340</f>
        <v>0</v>
      </c>
      <c r="BN340" s="1302">
        <f>IFERROR(BN328/BN336,0)</f>
        <v>0</v>
      </c>
      <c r="BO340" s="1302">
        <f ca="1">IFERROR(BO328/BO336,0)</f>
        <v>0</v>
      </c>
      <c r="BP340" s="734">
        <f ca="1">BQ340+BR340</f>
        <v>33733.501670018144</v>
      </c>
      <c r="BQ340" s="826">
        <f>IFERROR(BQ328/BQ336,0)</f>
        <v>24075.600141891948</v>
      </c>
      <c r="BR340" s="826">
        <f ca="1">IFERROR(BR328/BR336,0)</f>
        <v>9657.9015281261927</v>
      </c>
      <c r="BS340" s="734">
        <f ca="1">BT340+BU340</f>
        <v>0</v>
      </c>
      <c r="BT340" s="826">
        <f>IFERROR(BT328/BT336,0)</f>
        <v>0</v>
      </c>
      <c r="BU340" s="826">
        <f ca="1">IFERROR(BU328/BU336,0)</f>
        <v>0</v>
      </c>
      <c r="BV340" s="734">
        <f ca="1">BW340+BX340</f>
        <v>0</v>
      </c>
      <c r="BW340" s="826">
        <f>IFERROR(BW328/BW336,0)</f>
        <v>0</v>
      </c>
      <c r="BX340" s="826">
        <f ca="1">IFERROR(BX328/BX336,0)</f>
        <v>0</v>
      </c>
      <c r="BY340" s="734">
        <f ca="1">BZ340+CA340</f>
        <v>0</v>
      </c>
      <c r="BZ340" s="826">
        <f>IFERROR(BZ328/BZ336,0)</f>
        <v>0</v>
      </c>
      <c r="CA340" s="826">
        <f ca="1">IFERROR(CA328/CA336,0)</f>
        <v>0</v>
      </c>
      <c r="CB340" s="734">
        <f ca="1">CC340+CD340</f>
        <v>0</v>
      </c>
      <c r="CC340" s="826">
        <f>IFERROR(CC328/CC336,0)</f>
        <v>0</v>
      </c>
      <c r="CD340" s="826">
        <f ca="1">IFERROR(CD328/CD336,0)</f>
        <v>0</v>
      </c>
      <c r="CE340" s="734">
        <f ca="1">CF340+CG340</f>
        <v>0</v>
      </c>
      <c r="CF340" s="1302">
        <f>IFERROR(CF328/CF336,0)</f>
        <v>0</v>
      </c>
      <c r="CG340" s="1302">
        <f ca="1">IFERROR(CG328/CG336,0)</f>
        <v>0</v>
      </c>
      <c r="CH340" s="734">
        <f ca="1">CI340+CJ340</f>
        <v>0</v>
      </c>
      <c r="CI340" s="1302">
        <f>IFERROR(CI328/CI336,0)</f>
        <v>0</v>
      </c>
      <c r="CJ340" s="1302">
        <f ca="1">IFERROR(CJ328/CJ336,0)</f>
        <v>0</v>
      </c>
      <c r="CK340" s="734">
        <f ca="1">CL340+CM340</f>
        <v>0</v>
      </c>
      <c r="CL340" s="1302">
        <f>IFERROR(CL328/CL336,0)</f>
        <v>0</v>
      </c>
      <c r="CM340" s="1302">
        <f ca="1">IFERROR(CM328/CM336,0)</f>
        <v>0</v>
      </c>
      <c r="CN340" s="734">
        <f ca="1">CO340+CP340</f>
        <v>0</v>
      </c>
      <c r="CO340" s="1302">
        <f>IFERROR(CO328/CO336,0)</f>
        <v>0</v>
      </c>
      <c r="CP340" s="1302">
        <f ca="1">IFERROR(CP328/CP336,0)</f>
        <v>0</v>
      </c>
      <c r="CQ340" s="734">
        <f ca="1">CR340+CS340</f>
        <v>0</v>
      </c>
      <c r="CR340" s="1302">
        <f>IFERROR(CR328/CR336,0)</f>
        <v>0</v>
      </c>
      <c r="CS340" s="1302">
        <f ca="1">IFERROR(CS328/CS336,0)</f>
        <v>0</v>
      </c>
      <c r="CT340" s="1290"/>
      <c r="CW340" s="970" t="s">
        <v>829</v>
      </c>
      <c r="CX340" s="975" t="s">
        <v>821</v>
      </c>
      <c r="CY340" s="979" t="str" cm="1">
        <f t="array" ref="CY340">AE340</f>
        <v>Уголь длиннопламенный</v>
      </c>
      <c r="CZ340" s="979" t="str" cm="1">
        <f t="array" ref="CZ340">AF340</f>
        <v/>
      </c>
      <c r="DA340" s="976"/>
      <c r="DB340" s="976"/>
    </row>
    <row r="341" spans="1:106" s="1229" customFormat="1" ht="17.25" hidden="1" customHeight="1">
      <c r="A341" s="1155"/>
      <c r="B341" s="783"/>
      <c r="C341" s="1155"/>
      <c r="D341" s="1155"/>
      <c r="E341" s="676">
        <v>0</v>
      </c>
      <c r="F341" s="779" t="str" cm="1">
        <f t="array" aca="1" ref="F341" ca="1">OFFSET(G341,-1,-1)</f>
        <v>2</v>
      </c>
      <c r="G341" s="814"/>
      <c r="H341" s="814"/>
      <c r="I341" s="814"/>
      <c r="J341" s="814"/>
      <c r="K341" s="814"/>
      <c r="L341" s="779" t="b" cm="1">
        <f t="array" aca="1" ref="L341" ca="1">OFFSET(M341,-1,-1)</f>
        <v>0</v>
      </c>
      <c r="M341" s="814"/>
      <c r="N341" s="814"/>
      <c r="O341" s="814"/>
      <c r="P341" s="814"/>
      <c r="Q341" s="814"/>
      <c r="R341" s="1155"/>
      <c r="S341" s="110" t="b" cm="1">
        <f t="array" aca="1" ref="S341" ca="1">OFFSET(T341,-1,-1)</f>
        <v>1</v>
      </c>
      <c r="T341" s="1155"/>
      <c r="U341" s="698" t="b">
        <f t="shared" ca="1" si="343"/>
        <v>1</v>
      </c>
      <c r="V341" s="1155"/>
      <c r="W341" s="1155"/>
      <c r="X341" s="820" t="str">
        <f>"{                  
         funcDyn: 'msg1',
         blok: 'blok_2',
         wsCross: 'Топливо 4.4',
         linkFormula: 'AE-AE#AF-AF',
         levelDyn: "&amp;Y300&amp;"
}"</f>
        <v>{                  
         funcDyn: 'msg1',
         blok: 'blok_2',
         wsCross: 'Топливо 4.4',
         linkFormula: 'AE-AE#AF-AF',
         levelDyn: 2
}</v>
      </c>
      <c r="Y341" s="1687"/>
      <c r="Z341" s="1687"/>
      <c r="AA341" s="699"/>
      <c r="AB341" s="1788"/>
      <c r="AD341" s="823"/>
      <c r="AE341" s="822" t="s">
        <v>238</v>
      </c>
      <c r="AF341" s="745"/>
      <c r="AG341" s="853"/>
      <c r="AH341" s="735"/>
      <c r="AI341" s="737"/>
      <c r="AJ341" s="737"/>
      <c r="AK341" s="737"/>
      <c r="AL341" s="735"/>
      <c r="AM341" s="737"/>
      <c r="AN341" s="737"/>
      <c r="AO341" s="735"/>
      <c r="AP341" s="737"/>
      <c r="AQ341" s="737"/>
      <c r="AR341" s="735"/>
      <c r="AS341" s="737"/>
      <c r="AT341" s="737"/>
      <c r="AU341" s="735"/>
      <c r="AV341" s="737"/>
      <c r="AW341" s="737"/>
      <c r="AX341" s="735"/>
      <c r="AY341" s="737"/>
      <c r="AZ341" s="737"/>
      <c r="BA341" s="735"/>
      <c r="BB341" s="737"/>
      <c r="BC341" s="737"/>
      <c r="BD341" s="735"/>
      <c r="BE341" s="737"/>
      <c r="BF341" s="737"/>
      <c r="BG341" s="735"/>
      <c r="BH341" s="737"/>
      <c r="BI341" s="737"/>
      <c r="BJ341" s="735"/>
      <c r="BK341" s="737"/>
      <c r="BL341" s="737"/>
      <c r="BM341" s="735"/>
      <c r="BN341" s="737"/>
      <c r="BO341" s="737"/>
      <c r="BP341" s="735"/>
      <c r="BQ341" s="737"/>
      <c r="BR341" s="737"/>
      <c r="BS341" s="735"/>
      <c r="BT341" s="737"/>
      <c r="BU341" s="737"/>
      <c r="BV341" s="735"/>
      <c r="BW341" s="737"/>
      <c r="BX341" s="737"/>
      <c r="BY341" s="735"/>
      <c r="BZ341" s="737"/>
      <c r="CA341" s="737"/>
      <c r="CB341" s="735"/>
      <c r="CC341" s="737"/>
      <c r="CD341" s="737"/>
      <c r="CE341" s="735"/>
      <c r="CF341" s="737"/>
      <c r="CG341" s="737"/>
      <c r="CH341" s="735"/>
      <c r="CI341" s="737"/>
      <c r="CJ341" s="737"/>
      <c r="CK341" s="735"/>
      <c r="CL341" s="737"/>
      <c r="CM341" s="737"/>
      <c r="CN341" s="735"/>
      <c r="CO341" s="737"/>
      <c r="CP341" s="737"/>
      <c r="CQ341" s="735"/>
      <c r="CR341" s="737"/>
      <c r="CS341" s="737"/>
      <c r="CT341" s="46"/>
      <c r="CW341" s="970" t="str">
        <f>IF(AND(ISNUMBER(VALUE(TRIM(SUBSTITUTE(AD341,".","")))),TRIM(SUBSTITUTE(AD341,".",""))&lt;&gt;""),"P"&amp;SUBSTITUTE(AD341,".",""),"")</f>
        <v/>
      </c>
      <c r="CX341" s="975"/>
      <c r="CY341" s="975"/>
      <c r="CZ341" s="975"/>
      <c r="DA341" s="976"/>
      <c r="DB341" s="976"/>
    </row>
    <row r="342" spans="1:106" s="1229" customFormat="1" ht="16.5" customHeight="1">
      <c r="A342" s="1155"/>
      <c r="B342" s="783"/>
      <c r="C342" s="1155"/>
      <c r="D342" s="1155"/>
      <c r="E342" s="676">
        <v>17.100000000000001</v>
      </c>
      <c r="F342" s="779" t="str" cm="1">
        <f t="array" aca="1" ref="F342" ca="1">OFFSET(G342,-1,-1)</f>
        <v>2</v>
      </c>
      <c r="G342" s="814"/>
      <c r="H342" s="814"/>
      <c r="I342" s="814"/>
      <c r="J342" s="814"/>
      <c r="K342" s="814"/>
      <c r="L342" s="779" t="b" cm="1">
        <f t="array" aca="1" ref="L342" ca="1">OFFSET(M342,-1,-1)</f>
        <v>0</v>
      </c>
      <c r="M342" s="814"/>
      <c r="N342" s="814"/>
      <c r="O342" s="814"/>
      <c r="P342" s="814"/>
      <c r="Q342" s="814"/>
      <c r="R342" s="1155"/>
      <c r="S342" s="110" t="b" cm="1">
        <f t="array" aca="1" ref="S342" ca="1">OFFSET(T342,-1,-1)</f>
        <v>1</v>
      </c>
      <c r="T342" s="1155"/>
      <c r="U342" s="698" t="b">
        <f t="shared" ca="1" si="343"/>
        <v>1</v>
      </c>
      <c r="V342" s="1155"/>
      <c r="W342" s="1155"/>
      <c r="X342" s="1155"/>
      <c r="Y342" s="1687"/>
      <c r="Z342" s="1687"/>
      <c r="AA342" s="699"/>
      <c r="AB342" s="1783" t="s">
        <v>831</v>
      </c>
      <c r="AD342" s="111">
        <v>22</v>
      </c>
      <c r="AE342" s="1759" t="s">
        <v>832</v>
      </c>
      <c r="AF342" s="1760"/>
      <c r="AG342" s="622"/>
      <c r="AH342" s="735"/>
      <c r="AI342" s="737"/>
      <c r="AJ342" s="737"/>
      <c r="AK342" s="737"/>
      <c r="AL342" s="737"/>
      <c r="AM342" s="737"/>
      <c r="AN342" s="737"/>
      <c r="AO342" s="737"/>
      <c r="AP342" s="737"/>
      <c r="AQ342" s="737"/>
      <c r="AR342" s="737"/>
      <c r="AS342" s="737"/>
      <c r="AT342" s="737"/>
      <c r="AU342" s="737"/>
      <c r="AV342" s="737"/>
      <c r="AW342" s="737"/>
      <c r="AX342" s="737"/>
      <c r="AY342" s="737"/>
      <c r="AZ342" s="737"/>
      <c r="BA342" s="737"/>
      <c r="BB342" s="737"/>
      <c r="BC342" s="737"/>
      <c r="BD342" s="737"/>
      <c r="BE342" s="737"/>
      <c r="BF342" s="737"/>
      <c r="BG342" s="737"/>
      <c r="BH342" s="737"/>
      <c r="BI342" s="737"/>
      <c r="BJ342" s="737"/>
      <c r="BK342" s="737"/>
      <c r="BL342" s="737"/>
      <c r="BM342" s="737"/>
      <c r="BN342" s="737"/>
      <c r="BO342" s="737"/>
      <c r="BP342" s="737"/>
      <c r="BQ342" s="737"/>
      <c r="BR342" s="737"/>
      <c r="BS342" s="737"/>
      <c r="BT342" s="737"/>
      <c r="BU342" s="737"/>
      <c r="BV342" s="737"/>
      <c r="BW342" s="737"/>
      <c r="BX342" s="737"/>
      <c r="BY342" s="737"/>
      <c r="BZ342" s="737"/>
      <c r="CA342" s="737"/>
      <c r="CB342" s="737"/>
      <c r="CC342" s="737"/>
      <c r="CD342" s="737"/>
      <c r="CE342" s="737"/>
      <c r="CF342" s="737"/>
      <c r="CG342" s="737"/>
      <c r="CH342" s="737"/>
      <c r="CI342" s="737"/>
      <c r="CJ342" s="737"/>
      <c r="CK342" s="737"/>
      <c r="CL342" s="737"/>
      <c r="CM342" s="737"/>
      <c r="CN342" s="737"/>
      <c r="CO342" s="737"/>
      <c r="CP342" s="737"/>
      <c r="CQ342" s="737"/>
      <c r="CR342" s="737"/>
      <c r="CS342" s="737"/>
      <c r="CT342" s="1290"/>
      <c r="CW342" s="970" t="s">
        <v>833</v>
      </c>
      <c r="CX342" s="975"/>
      <c r="CY342" s="975"/>
      <c r="CZ342" s="975"/>
      <c r="DA342" s="976"/>
      <c r="DB342" s="976"/>
    </row>
    <row r="343" spans="1:106" s="1229" customFormat="1" ht="16.5" hidden="1" customHeight="1">
      <c r="E343" s="676">
        <v>17.100000000000001</v>
      </c>
      <c r="F343" s="779" t="str" cm="1">
        <f t="array" aca="1" ref="F343" ca="1">OFFSET(G343,-1,-1)</f>
        <v>2</v>
      </c>
      <c r="L343" s="779" t="b" cm="1">
        <f t="array" aca="1" ref="L343" ca="1">OFFSET(M343,-1,-1)</f>
        <v>0</v>
      </c>
      <c r="S343" s="110" t="b" cm="1">
        <f t="array" aca="1" ref="S343" ca="1">OFFSET(T343,-1,-1)</f>
        <v>1</v>
      </c>
      <c r="T343" s="110" t="b">
        <f>AD343&lt;&gt;"22.0"</f>
        <v>0</v>
      </c>
      <c r="U343" s="698" t="b">
        <f t="shared" ca="1" si="343"/>
        <v>0</v>
      </c>
      <c r="X343" s="110" t="s">
        <v>236</v>
      </c>
      <c r="Y343" s="1722"/>
      <c r="Z343" s="1722"/>
      <c r="AB343" s="1784"/>
      <c r="AD343" s="111" t="s">
        <v>834</v>
      </c>
      <c r="AE343" s="821"/>
      <c r="AF343" s="524"/>
      <c r="AG343" s="853" t="s">
        <v>533</v>
      </c>
      <c r="AH343" s="47"/>
      <c r="AI343" s="48"/>
      <c r="AJ343" s="48"/>
      <c r="AK343" s="48"/>
      <c r="AL343" s="873"/>
      <c r="AM343" s="48"/>
      <c r="AN343" s="48"/>
      <c r="AO343" s="873"/>
      <c r="AP343" s="872"/>
      <c r="AQ343" s="872"/>
      <c r="AR343" s="873"/>
      <c r="AS343" s="872"/>
      <c r="AT343" s="872"/>
      <c r="AU343" s="873"/>
      <c r="AV343" s="872"/>
      <c r="AW343" s="872"/>
      <c r="AX343" s="873"/>
      <c r="AY343" s="872"/>
      <c r="AZ343" s="872"/>
      <c r="BA343" s="873"/>
      <c r="BB343" s="48"/>
      <c r="BC343" s="48"/>
      <c r="BD343" s="873"/>
      <c r="BE343" s="48"/>
      <c r="BF343" s="48"/>
      <c r="BG343" s="873"/>
      <c r="BH343" s="48"/>
      <c r="BI343" s="48"/>
      <c r="BJ343" s="873"/>
      <c r="BK343" s="48"/>
      <c r="BL343" s="48"/>
      <c r="BM343" s="873"/>
      <c r="BN343" s="48"/>
      <c r="BO343" s="48"/>
      <c r="BP343" s="873"/>
      <c r="BQ343" s="872"/>
      <c r="BR343" s="872"/>
      <c r="BS343" s="873"/>
      <c r="BT343" s="872"/>
      <c r="BU343" s="872"/>
      <c r="BV343" s="873"/>
      <c r="BW343" s="872"/>
      <c r="BX343" s="872"/>
      <c r="BY343" s="873"/>
      <c r="BZ343" s="872"/>
      <c r="CA343" s="872"/>
      <c r="CB343" s="873"/>
      <c r="CC343" s="872"/>
      <c r="CD343" s="872"/>
      <c r="CE343" s="873"/>
      <c r="CF343" s="48"/>
      <c r="CG343" s="48"/>
      <c r="CH343" s="873"/>
      <c r="CI343" s="48"/>
      <c r="CJ343" s="48"/>
      <c r="CK343" s="873"/>
      <c r="CL343" s="48"/>
      <c r="CM343" s="48"/>
      <c r="CN343" s="873"/>
      <c r="CO343" s="48"/>
      <c r="CP343" s="48"/>
      <c r="CQ343" s="873"/>
      <c r="CR343" s="48"/>
      <c r="CS343" s="48"/>
      <c r="CT343" s="28"/>
      <c r="CW343" s="970" t="s">
        <v>833</v>
      </c>
      <c r="CX343" s="975" t="s">
        <v>821</v>
      </c>
      <c r="CY343" s="979" cm="1">
        <f t="array" ref="CY343">AE343</f>
        <v>0</v>
      </c>
      <c r="CZ343" s="979" cm="1">
        <f t="array" ref="CZ343">AF343</f>
        <v>0</v>
      </c>
      <c r="DA343" s="976"/>
      <c r="DB343" s="976"/>
    </row>
    <row r="344" spans="1:106" s="1229" customFormat="1" ht="16.5" customHeight="1">
      <c r="E344" s="676">
        <v>17.100000000000001</v>
      </c>
      <c r="F344" s="779" t="str" cm="1">
        <f t="array" aca="1" ref="F344" ca="1">OFFSET(G344,-1,-1)</f>
        <v>2</v>
      </c>
      <c r="L344" s="779" t="b" cm="1">
        <f t="array" aca="1" ref="L344" ca="1">OFFSET(M344,-1,-1)</f>
        <v>0</v>
      </c>
      <c r="S344" s="110" t="b" cm="1">
        <f t="array" aca="1" ref="S344" ca="1">OFFSET(T344,-1,-1)</f>
        <v>1</v>
      </c>
      <c r="T344" s="110" t="b">
        <f>AD344&lt;&gt;"22.0"</f>
        <v>1</v>
      </c>
      <c r="U344" s="698" t="b">
        <f t="shared" ca="1" si="343"/>
        <v>1</v>
      </c>
      <c r="X344" s="110" t="str">
        <f>'Топливо 4.4'!$AE$340&amp;'Топливо 4.4'!$AF$340</f>
        <v>Уголь длиннопламенный</v>
      </c>
      <c r="Y344" s="1722"/>
      <c r="Z344" s="1722"/>
      <c r="AB344" s="1784"/>
      <c r="AD344" s="111" t="s">
        <v>939</v>
      </c>
      <c r="AE344" s="821" t="str" cm="1">
        <f t="array" ref="AE344">IF(ISBLANK('Топливо 4.4'!$AE$340),"",'Топливо 4.4'!$AE$340)</f>
        <v>Уголь длиннопламенный</v>
      </c>
      <c r="AF344" s="524" t="str" cm="1">
        <f t="array" ref="AF344">IF(ISBLANK('Топливо 4.4'!$AF$340),"",'Топливо 4.4'!$AF$340)</f>
        <v/>
      </c>
      <c r="AG344" s="853" t="s">
        <v>533</v>
      </c>
      <c r="AH344" s="1307"/>
      <c r="AI344" s="1308"/>
      <c r="AJ344" s="1308"/>
      <c r="AK344" s="1308"/>
      <c r="AL344" s="873"/>
      <c r="AM344" s="1308"/>
      <c r="AN344" s="1308"/>
      <c r="AO344" s="873"/>
      <c r="AP344" s="872"/>
      <c r="AQ344" s="872"/>
      <c r="AR344" s="873"/>
      <c r="AS344" s="872"/>
      <c r="AT344" s="872"/>
      <c r="AU344" s="873"/>
      <c r="AV344" s="872"/>
      <c r="AW344" s="872"/>
      <c r="AX344" s="873"/>
      <c r="AY344" s="872"/>
      <c r="AZ344" s="872"/>
      <c r="BA344" s="873"/>
      <c r="BB344" s="1308"/>
      <c r="BC344" s="1308"/>
      <c r="BD344" s="873"/>
      <c r="BE344" s="1308"/>
      <c r="BF344" s="1308"/>
      <c r="BG344" s="873"/>
      <c r="BH344" s="1308"/>
      <c r="BI344" s="1308"/>
      <c r="BJ344" s="873"/>
      <c r="BK344" s="1308"/>
      <c r="BL344" s="1308"/>
      <c r="BM344" s="873"/>
      <c r="BN344" s="1308"/>
      <c r="BO344" s="1308"/>
      <c r="BP344" s="873"/>
      <c r="BQ344" s="872"/>
      <c r="BR344" s="872"/>
      <c r="BS344" s="873"/>
      <c r="BT344" s="872"/>
      <c r="BU344" s="872"/>
      <c r="BV344" s="873"/>
      <c r="BW344" s="872"/>
      <c r="BX344" s="872"/>
      <c r="BY344" s="873"/>
      <c r="BZ344" s="872"/>
      <c r="CA344" s="872"/>
      <c r="CB344" s="873"/>
      <c r="CC344" s="872"/>
      <c r="CD344" s="872"/>
      <c r="CE344" s="873"/>
      <c r="CF344" s="1308"/>
      <c r="CG344" s="1308"/>
      <c r="CH344" s="873"/>
      <c r="CI344" s="1308"/>
      <c r="CJ344" s="1308"/>
      <c r="CK344" s="873"/>
      <c r="CL344" s="1308"/>
      <c r="CM344" s="1308"/>
      <c r="CN344" s="873"/>
      <c r="CO344" s="1308"/>
      <c r="CP344" s="1308"/>
      <c r="CQ344" s="873"/>
      <c r="CR344" s="1308"/>
      <c r="CS344" s="1308"/>
      <c r="CT344" s="1290"/>
      <c r="CW344" s="970" t="s">
        <v>833</v>
      </c>
      <c r="CX344" s="975" t="s">
        <v>821</v>
      </c>
      <c r="CY344" s="979" t="str" cm="1">
        <f t="array" ref="CY344">AE344</f>
        <v>Уголь длиннопламенный</v>
      </c>
      <c r="CZ344" s="979" t="str" cm="1">
        <f t="array" ref="CZ344">AF344</f>
        <v/>
      </c>
      <c r="DA344" s="976"/>
      <c r="DB344" s="976"/>
    </row>
    <row r="345" spans="1:106" s="1229" customFormat="1" ht="17.25" hidden="1" customHeight="1">
      <c r="A345" s="1155"/>
      <c r="B345" s="783"/>
      <c r="C345" s="1155"/>
      <c r="D345" s="1155"/>
      <c r="E345" s="676">
        <v>0</v>
      </c>
      <c r="F345" s="779" t="str" cm="1">
        <f t="array" aca="1" ref="F345" ca="1">OFFSET(G345,-1,-1)</f>
        <v>2</v>
      </c>
      <c r="G345" s="814"/>
      <c r="H345" s="814"/>
      <c r="I345" s="814"/>
      <c r="J345" s="814"/>
      <c r="K345" s="814"/>
      <c r="L345" s="779" t="b" cm="1">
        <f t="array" aca="1" ref="L345" ca="1">OFFSET(M345,-1,-1)</f>
        <v>0</v>
      </c>
      <c r="M345" s="814"/>
      <c r="N345" s="814"/>
      <c r="O345" s="814"/>
      <c r="P345" s="814"/>
      <c r="Q345" s="814"/>
      <c r="R345" s="1155"/>
      <c r="S345" s="110" t="b" cm="1">
        <f t="array" aca="1" ref="S345" ca="1">OFFSET(T345,-1,-1)</f>
        <v>1</v>
      </c>
      <c r="T345" s="1155"/>
      <c r="U345" s="698" t="b">
        <f t="shared" ca="1" si="343"/>
        <v>1</v>
      </c>
      <c r="V345" s="1155"/>
      <c r="W345" s="1155"/>
      <c r="X345" s="820" t="str">
        <f>"{                  
         funcDyn: 'msg1',
         blok: 'blok_2',
         wsCross: 'Топливо 4.4',
         linkFormula: 'AE-AE#AF-AF',
         levelDyn: "&amp;Y300&amp;"
}"</f>
        <v>{                  
         funcDyn: 'msg1',
         blok: 'blok_2',
         wsCross: 'Топливо 4.4',
         linkFormula: 'AE-AE#AF-AF',
         levelDyn: 2
}</v>
      </c>
      <c r="Y345" s="1687"/>
      <c r="Z345" s="1687"/>
      <c r="AA345" s="699"/>
      <c r="AB345" s="1784"/>
      <c r="AD345" s="823"/>
      <c r="AE345" s="822" t="s">
        <v>238</v>
      </c>
      <c r="AF345" s="745"/>
      <c r="AG345" s="853"/>
      <c r="AH345" s="735"/>
      <c r="AI345" s="737"/>
      <c r="AJ345" s="737"/>
      <c r="AK345" s="737"/>
      <c r="AL345" s="737"/>
      <c r="AM345" s="737"/>
      <c r="AN345" s="737"/>
      <c r="AO345" s="737"/>
      <c r="AP345" s="737"/>
      <c r="AQ345" s="737"/>
      <c r="AR345" s="737"/>
      <c r="AS345" s="737"/>
      <c r="AT345" s="737"/>
      <c r="AU345" s="737"/>
      <c r="AV345" s="737"/>
      <c r="AW345" s="737"/>
      <c r="AX345" s="737"/>
      <c r="AY345" s="737"/>
      <c r="AZ345" s="737"/>
      <c r="BA345" s="737"/>
      <c r="BB345" s="737"/>
      <c r="BC345" s="737"/>
      <c r="BD345" s="737"/>
      <c r="BE345" s="737"/>
      <c r="BF345" s="737"/>
      <c r="BG345" s="737"/>
      <c r="BH345" s="737"/>
      <c r="BI345" s="737"/>
      <c r="BJ345" s="737"/>
      <c r="BK345" s="737"/>
      <c r="BL345" s="737"/>
      <c r="BM345" s="737"/>
      <c r="BN345" s="737"/>
      <c r="BO345" s="737"/>
      <c r="BP345" s="737"/>
      <c r="BQ345" s="737"/>
      <c r="BR345" s="737"/>
      <c r="BS345" s="737"/>
      <c r="BT345" s="737"/>
      <c r="BU345" s="737"/>
      <c r="BV345" s="737"/>
      <c r="BW345" s="737"/>
      <c r="BX345" s="737"/>
      <c r="BY345" s="737"/>
      <c r="BZ345" s="737"/>
      <c r="CA345" s="737"/>
      <c r="CB345" s="737"/>
      <c r="CC345" s="737"/>
      <c r="CD345" s="737"/>
      <c r="CE345" s="737"/>
      <c r="CF345" s="737"/>
      <c r="CG345" s="737"/>
      <c r="CH345" s="737"/>
      <c r="CI345" s="737"/>
      <c r="CJ345" s="737"/>
      <c r="CK345" s="737"/>
      <c r="CL345" s="737"/>
      <c r="CM345" s="737"/>
      <c r="CN345" s="737"/>
      <c r="CO345" s="737"/>
      <c r="CP345" s="737"/>
      <c r="CQ345" s="737"/>
      <c r="CR345" s="737"/>
      <c r="CS345" s="737"/>
      <c r="CT345" s="46"/>
      <c r="CW345" s="970" t="str">
        <f>IF(AND(ISNUMBER(VALUE(TRIM(SUBSTITUTE(AD345,".","")))),TRIM(SUBSTITUTE(AD345,".",""))&lt;&gt;""),"P"&amp;SUBSTITUTE(AD345,".",""),"")</f>
        <v/>
      </c>
      <c r="CX345" s="975"/>
      <c r="CY345" s="975"/>
      <c r="CZ345" s="975"/>
      <c r="DA345" s="976"/>
      <c r="DB345" s="976"/>
    </row>
    <row r="346" spans="1:106" s="1229" customFormat="1" ht="16.5" customHeight="1">
      <c r="A346" s="1155"/>
      <c r="B346" s="783"/>
      <c r="C346" s="1155"/>
      <c r="D346" s="1155"/>
      <c r="E346" s="676">
        <v>17.100000000000001</v>
      </c>
      <c r="F346" s="779" t="str" cm="1">
        <f t="array" aca="1" ref="F346" ca="1">OFFSET(G346,-1,-1)</f>
        <v>2</v>
      </c>
      <c r="G346" s="814"/>
      <c r="H346" s="814"/>
      <c r="I346" s="814"/>
      <c r="J346" s="814"/>
      <c r="K346" s="814"/>
      <c r="L346" s="779" t="b" cm="1">
        <f t="array" aca="1" ref="L346" ca="1">OFFSET(M346,-1,-1)</f>
        <v>0</v>
      </c>
      <c r="M346" s="814"/>
      <c r="N346" s="814"/>
      <c r="O346" s="814"/>
      <c r="P346" s="814"/>
      <c r="Q346" s="814"/>
      <c r="R346" s="1155"/>
      <c r="S346" s="110" t="b" cm="1">
        <f t="array" aca="1" ref="S346" ca="1">OFFSET(T346,-1,-1)</f>
        <v>1</v>
      </c>
      <c r="T346" s="1155"/>
      <c r="U346" s="698" t="b">
        <f t="shared" ca="1" si="343"/>
        <v>1</v>
      </c>
      <c r="V346" s="1155"/>
      <c r="W346" s="1155"/>
      <c r="X346" s="1155"/>
      <c r="Y346" s="1687"/>
      <c r="Z346" s="1687"/>
      <c r="AA346" s="699"/>
      <c r="AB346" s="1784"/>
      <c r="AD346" s="111">
        <v>23</v>
      </c>
      <c r="AE346" s="1759" t="s">
        <v>835</v>
      </c>
      <c r="AF346" s="1760"/>
      <c r="AG346" s="622"/>
      <c r="AH346" s="735"/>
      <c r="AI346" s="737"/>
      <c r="AJ346" s="737"/>
      <c r="AK346" s="737"/>
      <c r="AL346" s="737"/>
      <c r="AM346" s="737"/>
      <c r="AN346" s="737"/>
      <c r="AO346" s="737"/>
      <c r="AP346" s="737"/>
      <c r="AQ346" s="737"/>
      <c r="AR346" s="737"/>
      <c r="AS346" s="737"/>
      <c r="AT346" s="737"/>
      <c r="AU346" s="737"/>
      <c r="AV346" s="737"/>
      <c r="AW346" s="737"/>
      <c r="AX346" s="737"/>
      <c r="AY346" s="737"/>
      <c r="AZ346" s="737"/>
      <c r="BA346" s="737"/>
      <c r="BB346" s="737"/>
      <c r="BC346" s="737"/>
      <c r="BD346" s="737"/>
      <c r="BE346" s="737"/>
      <c r="BF346" s="737"/>
      <c r="BG346" s="737"/>
      <c r="BH346" s="737"/>
      <c r="BI346" s="737"/>
      <c r="BJ346" s="737"/>
      <c r="BK346" s="737"/>
      <c r="BL346" s="737"/>
      <c r="BM346" s="737"/>
      <c r="BN346" s="737"/>
      <c r="BO346" s="737"/>
      <c r="BP346" s="737"/>
      <c r="BQ346" s="737"/>
      <c r="BR346" s="737"/>
      <c r="BS346" s="737"/>
      <c r="BT346" s="737"/>
      <c r="BU346" s="737"/>
      <c r="BV346" s="737"/>
      <c r="BW346" s="737"/>
      <c r="BX346" s="737"/>
      <c r="BY346" s="737"/>
      <c r="BZ346" s="737"/>
      <c r="CA346" s="737"/>
      <c r="CB346" s="737"/>
      <c r="CC346" s="737"/>
      <c r="CD346" s="737"/>
      <c r="CE346" s="737"/>
      <c r="CF346" s="737"/>
      <c r="CG346" s="737"/>
      <c r="CH346" s="737"/>
      <c r="CI346" s="737"/>
      <c r="CJ346" s="737"/>
      <c r="CK346" s="737"/>
      <c r="CL346" s="737"/>
      <c r="CM346" s="737"/>
      <c r="CN346" s="737"/>
      <c r="CO346" s="737"/>
      <c r="CP346" s="737"/>
      <c r="CQ346" s="737"/>
      <c r="CR346" s="737"/>
      <c r="CS346" s="737"/>
      <c r="CT346" s="1290"/>
      <c r="CW346" s="970" t="s">
        <v>836</v>
      </c>
      <c r="CX346" s="975"/>
      <c r="CY346" s="975"/>
      <c r="CZ346" s="975"/>
      <c r="DA346" s="976"/>
      <c r="DB346" s="976"/>
    </row>
    <row r="347" spans="1:106" s="1229" customFormat="1" ht="16.5" hidden="1" customHeight="1">
      <c r="E347" s="676">
        <v>17.100000000000001</v>
      </c>
      <c r="F347" s="779" t="str" cm="1">
        <f t="array" aca="1" ref="F347" ca="1">OFFSET(G347,-1,-1)</f>
        <v>2</v>
      </c>
      <c r="L347" s="779" t="b" cm="1">
        <f t="array" aca="1" ref="L347" ca="1">OFFSET(M347,-1,-1)</f>
        <v>0</v>
      </c>
      <c r="S347" s="110" t="b" cm="1">
        <f t="array" aca="1" ref="S347" ca="1">OFFSET(T347,-1,-1)</f>
        <v>1</v>
      </c>
      <c r="T347" s="110" t="b">
        <f>AD347&lt;&gt;"23.0"</f>
        <v>0</v>
      </c>
      <c r="U347" s="698" t="b">
        <f t="shared" ca="1" si="343"/>
        <v>0</v>
      </c>
      <c r="X347" s="110" t="s">
        <v>236</v>
      </c>
      <c r="Y347" s="1722"/>
      <c r="Z347" s="1722"/>
      <c r="AB347" s="1784"/>
      <c r="AD347" s="111" t="s">
        <v>837</v>
      </c>
      <c r="AE347" s="821"/>
      <c r="AF347" s="524"/>
      <c r="AG347" s="894" t="str">
        <f>"руб./"&amp;IFERROR(INDEX(fuel_ed_izm_list,MATCH(AE347,fuel_list,0)),"")</f>
        <v>руб./</v>
      </c>
      <c r="AH347" s="41">
        <f t="shared" ref="AH347:AL348" si="390">IFERROR(AH352/AH339,0)*1000</f>
        <v>0</v>
      </c>
      <c r="AI347" s="42">
        <f t="shared" si="390"/>
        <v>0</v>
      </c>
      <c r="AJ347" s="42">
        <f t="shared" si="390"/>
        <v>0</v>
      </c>
      <c r="AK347" s="42">
        <f t="shared" si="390"/>
        <v>0</v>
      </c>
      <c r="AL347" s="736">
        <f t="shared" ca="1" si="390"/>
        <v>0</v>
      </c>
      <c r="AM347" s="42"/>
      <c r="AN347" s="42"/>
      <c r="AO347" s="736">
        <f ca="1">IFERROR(AO352/AO339,0)*1000</f>
        <v>0</v>
      </c>
      <c r="AP347" s="826"/>
      <c r="AQ347" s="826"/>
      <c r="AR347" s="736">
        <f ca="1">IFERROR(AR352/AR339,0)*1000</f>
        <v>0</v>
      </c>
      <c r="AS347" s="826"/>
      <c r="AT347" s="826"/>
      <c r="AU347" s="736">
        <f ca="1">IFERROR(AU352/AU339,0)*1000</f>
        <v>0</v>
      </c>
      <c r="AV347" s="826"/>
      <c r="AW347" s="826"/>
      <c r="AX347" s="736">
        <f ca="1">IFERROR(AX352/AX339,0)*1000</f>
        <v>0</v>
      </c>
      <c r="AY347" s="826"/>
      <c r="AZ347" s="826"/>
      <c r="BA347" s="736">
        <f ca="1">IFERROR(BA352/BA339,0)*1000</f>
        <v>0</v>
      </c>
      <c r="BB347" s="42"/>
      <c r="BC347" s="42"/>
      <c r="BD347" s="736">
        <f ca="1">IFERROR(BD352/BD339,0)*1000</f>
        <v>0</v>
      </c>
      <c r="BE347" s="42"/>
      <c r="BF347" s="42"/>
      <c r="BG347" s="736">
        <f ca="1">IFERROR(BG352/BG339,0)*1000</f>
        <v>0</v>
      </c>
      <c r="BH347" s="42"/>
      <c r="BI347" s="42"/>
      <c r="BJ347" s="736">
        <f ca="1">IFERROR(BJ352/BJ339,0)*1000</f>
        <v>0</v>
      </c>
      <c r="BK347" s="42"/>
      <c r="BL347" s="42"/>
      <c r="BM347" s="736">
        <f ca="1">IFERROR(BM352/BM339,0)*1000</f>
        <v>0</v>
      </c>
      <c r="BN347" s="42"/>
      <c r="BO347" s="42"/>
      <c r="BP347" s="736">
        <f ca="1">IFERROR(BP352/BP339,0)*1000</f>
        <v>0</v>
      </c>
      <c r="BQ347" s="826"/>
      <c r="BR347" s="826"/>
      <c r="BS347" s="736">
        <f ca="1">IFERROR(BS352/BS339,0)*1000</f>
        <v>0</v>
      </c>
      <c r="BT347" s="826"/>
      <c r="BU347" s="826"/>
      <c r="BV347" s="736">
        <f ca="1">IFERROR(BV352/BV339,0)*1000</f>
        <v>0</v>
      </c>
      <c r="BW347" s="826"/>
      <c r="BX347" s="826"/>
      <c r="BY347" s="736">
        <f ca="1">IFERROR(BY352/BY339,0)*1000</f>
        <v>0</v>
      </c>
      <c r="BZ347" s="826"/>
      <c r="CA347" s="826"/>
      <c r="CB347" s="736">
        <f ca="1">IFERROR(CB352/CB339,0)*1000</f>
        <v>0</v>
      </c>
      <c r="CC347" s="826"/>
      <c r="CD347" s="826"/>
      <c r="CE347" s="736">
        <f ca="1">IFERROR(CE352/CE339,0)*1000</f>
        <v>0</v>
      </c>
      <c r="CF347" s="42"/>
      <c r="CG347" s="42"/>
      <c r="CH347" s="736">
        <f ca="1">IFERROR(CH352/CH339,0)*1000</f>
        <v>0</v>
      </c>
      <c r="CI347" s="42"/>
      <c r="CJ347" s="42"/>
      <c r="CK347" s="736">
        <f ca="1">IFERROR(CK352/CK339,0)*1000</f>
        <v>0</v>
      </c>
      <c r="CL347" s="42"/>
      <c r="CM347" s="42"/>
      <c r="CN347" s="736">
        <f ca="1">IFERROR(CN352/CN339,0)*1000</f>
        <v>0</v>
      </c>
      <c r="CO347" s="42"/>
      <c r="CP347" s="42"/>
      <c r="CQ347" s="736">
        <f ca="1">IFERROR(CQ352/CQ339,0)*1000</f>
        <v>0</v>
      </c>
      <c r="CR347" s="42"/>
      <c r="CS347" s="42"/>
      <c r="CT347" s="28"/>
      <c r="CW347" s="970" t="s">
        <v>836</v>
      </c>
      <c r="CX347" s="975" t="s">
        <v>821</v>
      </c>
      <c r="CY347" s="979" cm="1">
        <f t="array" ref="CY347">AE347</f>
        <v>0</v>
      </c>
      <c r="CZ347" s="979" cm="1">
        <f t="array" ref="CZ347">AF347</f>
        <v>0</v>
      </c>
      <c r="DA347" s="976"/>
      <c r="DB347" s="976"/>
    </row>
    <row r="348" spans="1:106" s="1229" customFormat="1" ht="16.5" customHeight="1">
      <c r="E348" s="676">
        <v>17.100000000000001</v>
      </c>
      <c r="F348" s="779" t="str" cm="1">
        <f t="array" aca="1" ref="F348" ca="1">OFFSET(G348,-1,-1)</f>
        <v>2</v>
      </c>
      <c r="L348" s="779" t="b" cm="1">
        <f t="array" aca="1" ref="L348" ca="1">OFFSET(M348,-1,-1)</f>
        <v>0</v>
      </c>
      <c r="S348" s="110" t="b" cm="1">
        <f t="array" aca="1" ref="S348" ca="1">OFFSET(T348,-1,-1)</f>
        <v>1</v>
      </c>
      <c r="T348" s="110" t="b">
        <f>AD348&lt;&gt;"23.0"</f>
        <v>1</v>
      </c>
      <c r="U348" s="698" t="b">
        <f t="shared" ref="U348:U411" ca="1" si="391">AND(S348,IF(ISBLANK(T348),TRUE,T348))</f>
        <v>1</v>
      </c>
      <c r="X348" s="110" t="str">
        <f>'Топливо 4.4'!$AE$344&amp;'Топливо 4.4'!$AF$344</f>
        <v>Уголь длиннопламенный</v>
      </c>
      <c r="Y348" s="1722"/>
      <c r="Z348" s="1722"/>
      <c r="AB348" s="1784"/>
      <c r="AD348" s="111" t="s">
        <v>941</v>
      </c>
      <c r="AE348" s="821" t="str" cm="1">
        <f t="array" ref="AE348">IF(ISBLANK('Топливо 4.4'!$AE$344),"",'Топливо 4.4'!$AE$344)</f>
        <v>Уголь длиннопламенный</v>
      </c>
      <c r="AF348" s="524" t="str" cm="1">
        <f t="array" ref="AF348">IF(ISBLANK('Топливо 4.4'!$AF$344),"",'Топливо 4.4'!$AF$344)</f>
        <v/>
      </c>
      <c r="AG348" s="894" t="str">
        <f>"руб./"&amp;IFERROR(INDEX(fuel_ed_izm_list,MATCH(AE348,fuel_list,0)),"")</f>
        <v>руб./тнт</v>
      </c>
      <c r="AH348" s="1303">
        <f t="shared" si="390"/>
        <v>0</v>
      </c>
      <c r="AI348" s="1302">
        <f t="shared" si="390"/>
        <v>0</v>
      </c>
      <c r="AJ348" s="1302">
        <f t="shared" si="390"/>
        <v>0</v>
      </c>
      <c r="AK348" s="1302">
        <f t="shared" si="390"/>
        <v>1975.0490852298087</v>
      </c>
      <c r="AL348" s="736">
        <f t="shared" ca="1" si="390"/>
        <v>0</v>
      </c>
      <c r="AM348" s="1302"/>
      <c r="AN348" s="1302"/>
      <c r="AO348" s="736">
        <f ca="1">IFERROR(AO353/AO340,0)*1000</f>
        <v>0</v>
      </c>
      <c r="AP348" s="826"/>
      <c r="AQ348" s="826"/>
      <c r="AR348" s="736">
        <f ca="1">IFERROR(AR353/AR340,0)*1000</f>
        <v>0</v>
      </c>
      <c r="AS348" s="826"/>
      <c r="AT348" s="826"/>
      <c r="AU348" s="736">
        <f ca="1">IFERROR(AU353/AU340,0)*1000</f>
        <v>0</v>
      </c>
      <c r="AV348" s="826"/>
      <c r="AW348" s="826"/>
      <c r="AX348" s="736">
        <f ca="1">IFERROR(AX353/AX340,0)*1000</f>
        <v>0</v>
      </c>
      <c r="AY348" s="826"/>
      <c r="AZ348" s="826"/>
      <c r="BA348" s="736">
        <f ca="1">IFERROR(BA353/BA340,0)*1000</f>
        <v>0</v>
      </c>
      <c r="BB348" s="1302"/>
      <c r="BC348" s="1302"/>
      <c r="BD348" s="736">
        <f ca="1">IFERROR(BD353/BD340,0)*1000</f>
        <v>0</v>
      </c>
      <c r="BE348" s="1302"/>
      <c r="BF348" s="1302"/>
      <c r="BG348" s="736">
        <f ca="1">IFERROR(BG353/BG340,0)*1000</f>
        <v>0</v>
      </c>
      <c r="BH348" s="1302"/>
      <c r="BI348" s="1302"/>
      <c r="BJ348" s="736">
        <f ca="1">IFERROR(BJ353/BJ340,0)*1000</f>
        <v>0</v>
      </c>
      <c r="BK348" s="1302"/>
      <c r="BL348" s="1302"/>
      <c r="BM348" s="736">
        <f ca="1">IFERROR(BM353/BM340,0)*1000</f>
        <v>0</v>
      </c>
      <c r="BN348" s="1302"/>
      <c r="BO348" s="1302"/>
      <c r="BP348" s="736">
        <f ca="1">IFERROR(BP353/BP340,0)*1000</f>
        <v>1860.4950568425998</v>
      </c>
      <c r="BQ348" s="826">
        <v>1860.4950568426</v>
      </c>
      <c r="BR348" s="826" cm="1">
        <f t="array" ref="BR348">BQ348</f>
        <v>1860.4950568426</v>
      </c>
      <c r="BS348" s="736">
        <f ca="1">IFERROR(BS353/BS340,0)*1000</f>
        <v>0</v>
      </c>
      <c r="BT348" s="826"/>
      <c r="BU348" s="826"/>
      <c r="BV348" s="736">
        <f ca="1">IFERROR(BV353/BV340,0)*1000</f>
        <v>0</v>
      </c>
      <c r="BW348" s="826"/>
      <c r="BX348" s="826"/>
      <c r="BY348" s="736">
        <f ca="1">IFERROR(BY353/BY340,0)*1000</f>
        <v>0</v>
      </c>
      <c r="BZ348" s="826"/>
      <c r="CA348" s="826"/>
      <c r="CB348" s="736">
        <f ca="1">IFERROR(CB353/CB340,0)*1000</f>
        <v>0</v>
      </c>
      <c r="CC348" s="826"/>
      <c r="CD348" s="826"/>
      <c r="CE348" s="736">
        <f ca="1">IFERROR(CE353/CE340,0)*1000</f>
        <v>0</v>
      </c>
      <c r="CF348" s="1302"/>
      <c r="CG348" s="1302"/>
      <c r="CH348" s="736">
        <f ca="1">IFERROR(CH353/CH340,0)*1000</f>
        <v>0</v>
      </c>
      <c r="CI348" s="1302"/>
      <c r="CJ348" s="1302"/>
      <c r="CK348" s="736">
        <f ca="1">IFERROR(CK353/CK340,0)*1000</f>
        <v>0</v>
      </c>
      <c r="CL348" s="1302"/>
      <c r="CM348" s="1302"/>
      <c r="CN348" s="736">
        <f ca="1">IFERROR(CN353/CN340,0)*1000</f>
        <v>0</v>
      </c>
      <c r="CO348" s="1302"/>
      <c r="CP348" s="1302"/>
      <c r="CQ348" s="736">
        <f ca="1">IFERROR(CQ353/CQ340,0)*1000</f>
        <v>0</v>
      </c>
      <c r="CR348" s="1302"/>
      <c r="CS348" s="1302"/>
      <c r="CT348" s="1290"/>
      <c r="CW348" s="970" t="s">
        <v>836</v>
      </c>
      <c r="CX348" s="975" t="s">
        <v>821</v>
      </c>
      <c r="CY348" s="979" t="str" cm="1">
        <f t="array" ref="CY348">AE348</f>
        <v>Уголь длиннопламенный</v>
      </c>
      <c r="CZ348" s="979" t="str" cm="1">
        <f t="array" ref="CZ348">AF348</f>
        <v/>
      </c>
      <c r="DA348" s="976"/>
      <c r="DB348" s="976"/>
    </row>
    <row r="349" spans="1:106" s="1229" customFormat="1" ht="17.25" hidden="1" customHeight="1">
      <c r="A349" s="1155"/>
      <c r="B349" s="783"/>
      <c r="C349" s="1155"/>
      <c r="D349" s="1155"/>
      <c r="E349" s="676">
        <v>0</v>
      </c>
      <c r="F349" s="779" t="str" cm="1">
        <f t="array" aca="1" ref="F349" ca="1">OFFSET(G349,-1,-1)</f>
        <v>2</v>
      </c>
      <c r="G349" s="814"/>
      <c r="H349" s="814"/>
      <c r="I349" s="814"/>
      <c r="J349" s="814"/>
      <c r="K349" s="814"/>
      <c r="L349" s="779" t="b" cm="1">
        <f t="array" aca="1" ref="L349" ca="1">OFFSET(M349,-1,-1)</f>
        <v>0</v>
      </c>
      <c r="M349" s="814"/>
      <c r="N349" s="814"/>
      <c r="O349" s="814"/>
      <c r="P349" s="814"/>
      <c r="Q349" s="814"/>
      <c r="R349" s="1155"/>
      <c r="S349" s="110" t="b" cm="1">
        <f t="array" aca="1" ref="S349" ca="1">OFFSET(T349,-1,-1)</f>
        <v>1</v>
      </c>
      <c r="T349" s="1155"/>
      <c r="U349" s="698" t="b">
        <f t="shared" ca="1" si="391"/>
        <v>1</v>
      </c>
      <c r="V349" s="1155"/>
      <c r="W349" s="1155"/>
      <c r="X349" s="820" t="str">
        <f>"{                  
         funcDyn: 'msg1',
         blok: 'blok_2',
         wsCross: 'Топливо 4.4',
         linkFormula: 'AE-AE#AF-AF',
         levelDyn: "&amp;Y300&amp;"
}"</f>
        <v>{                  
         funcDyn: 'msg1',
         blok: 'blok_2',
         wsCross: 'Топливо 4.4',
         linkFormula: 'AE-AE#AF-AF',
         levelDyn: 2
}</v>
      </c>
      <c r="Y349" s="1687"/>
      <c r="Z349" s="1687"/>
      <c r="AA349" s="699"/>
      <c r="AB349" s="1784"/>
      <c r="AD349" s="823"/>
      <c r="AE349" s="822" t="s">
        <v>238</v>
      </c>
      <c r="AF349" s="745"/>
      <c r="AG349" s="853"/>
      <c r="AH349" s="735"/>
      <c r="AI349" s="737"/>
      <c r="AJ349" s="737"/>
      <c r="AK349" s="737"/>
      <c r="AL349" s="737"/>
      <c r="AM349" s="737"/>
      <c r="AN349" s="737"/>
      <c r="AO349" s="737"/>
      <c r="AP349" s="737"/>
      <c r="AQ349" s="737"/>
      <c r="AR349" s="737"/>
      <c r="AS349" s="737"/>
      <c r="AT349" s="737"/>
      <c r="AU349" s="737"/>
      <c r="AV349" s="737"/>
      <c r="AW349" s="737"/>
      <c r="AX349" s="737"/>
      <c r="AY349" s="737"/>
      <c r="AZ349" s="737"/>
      <c r="BA349" s="737"/>
      <c r="BB349" s="737"/>
      <c r="BC349" s="737"/>
      <c r="BD349" s="737"/>
      <c r="BE349" s="737"/>
      <c r="BF349" s="737"/>
      <c r="BG349" s="737"/>
      <c r="BH349" s="737"/>
      <c r="BI349" s="737"/>
      <c r="BJ349" s="737"/>
      <c r="BK349" s="737"/>
      <c r="BL349" s="737"/>
      <c r="BM349" s="737"/>
      <c r="BN349" s="737"/>
      <c r="BO349" s="737"/>
      <c r="BP349" s="737"/>
      <c r="BQ349" s="737"/>
      <c r="BR349" s="737"/>
      <c r="BS349" s="737"/>
      <c r="BT349" s="737"/>
      <c r="BU349" s="737"/>
      <c r="BV349" s="737"/>
      <c r="BW349" s="737"/>
      <c r="BX349" s="737"/>
      <c r="BY349" s="737"/>
      <c r="BZ349" s="737"/>
      <c r="CA349" s="737"/>
      <c r="CB349" s="737"/>
      <c r="CC349" s="737"/>
      <c r="CD349" s="737"/>
      <c r="CE349" s="737"/>
      <c r="CF349" s="737"/>
      <c r="CG349" s="737"/>
      <c r="CH349" s="737"/>
      <c r="CI349" s="737"/>
      <c r="CJ349" s="737"/>
      <c r="CK349" s="737"/>
      <c r="CL349" s="737"/>
      <c r="CM349" s="737"/>
      <c r="CN349" s="737"/>
      <c r="CO349" s="737"/>
      <c r="CP349" s="737"/>
      <c r="CQ349" s="737"/>
      <c r="CR349" s="737"/>
      <c r="CS349" s="737"/>
      <c r="CT349" s="46"/>
      <c r="CW349" s="970" t="str">
        <f>IF(AND(ISNUMBER(VALUE(TRIM(SUBSTITUTE(AD349,".","")))),TRIM(SUBSTITUTE(AD349,".",""))&lt;&gt;""),"P"&amp;SUBSTITUTE(AD349,".",""),"")</f>
        <v/>
      </c>
      <c r="CX349" s="975"/>
      <c r="CY349" s="975"/>
      <c r="CZ349" s="975"/>
      <c r="DA349" s="976"/>
      <c r="DB349" s="976"/>
    </row>
    <row r="350" spans="1:106" s="1229" customFormat="1" ht="16.5" customHeight="1">
      <c r="A350" s="1155"/>
      <c r="B350" s="783"/>
      <c r="C350" s="1155"/>
      <c r="D350" s="1155"/>
      <c r="E350" s="676">
        <v>17.100000000000001</v>
      </c>
      <c r="F350" s="779" t="str" cm="1">
        <f t="array" aca="1" ref="F350" ca="1">OFFSET(G350,-1,-1)</f>
        <v>2</v>
      </c>
      <c r="G350" s="814"/>
      <c r="H350" s="814"/>
      <c r="I350" s="814"/>
      <c r="J350" s="814"/>
      <c r="K350" s="814"/>
      <c r="L350" s="779" t="b" cm="1">
        <f t="array" aca="1" ref="L350" ca="1">OFFSET(M350,-1,-1)</f>
        <v>0</v>
      </c>
      <c r="M350" s="814"/>
      <c r="N350" s="814"/>
      <c r="O350" s="814"/>
      <c r="P350" s="814"/>
      <c r="Q350" s="814"/>
      <c r="R350" s="1155"/>
      <c r="S350" s="110" t="b" cm="1">
        <f t="array" aca="1" ref="S350" ca="1">OFFSET(T350,-1,-1)</f>
        <v>1</v>
      </c>
      <c r="T350" s="1155"/>
      <c r="U350" s="698" t="b">
        <f t="shared" ca="1" si="391"/>
        <v>1</v>
      </c>
      <c r="V350" s="1155"/>
      <c r="W350" s="1155"/>
      <c r="X350" s="1155"/>
      <c r="Y350" s="1687"/>
      <c r="Z350" s="1687"/>
      <c r="AA350" s="699"/>
      <c r="AB350" s="1784"/>
      <c r="AD350" s="111">
        <v>24</v>
      </c>
      <c r="AE350" s="1759" t="s">
        <v>838</v>
      </c>
      <c r="AF350" s="1760"/>
      <c r="AG350" s="853" t="s">
        <v>839</v>
      </c>
      <c r="AH350" s="734">
        <f t="shared" ref="AH350:BM350" si="392">SUM(AH352:AH354)</f>
        <v>0</v>
      </c>
      <c r="AI350" s="734">
        <f t="shared" si="392"/>
        <v>0</v>
      </c>
      <c r="AJ350" s="734">
        <f t="shared" si="392"/>
        <v>0</v>
      </c>
      <c r="AK350" s="734">
        <f t="shared" si="392"/>
        <v>61965.19</v>
      </c>
      <c r="AL350" s="734">
        <f t="shared" ca="1" si="392"/>
        <v>0</v>
      </c>
      <c r="AM350" s="734">
        <f t="shared" si="392"/>
        <v>0</v>
      </c>
      <c r="AN350" s="734">
        <f t="shared" ca="1" si="392"/>
        <v>0</v>
      </c>
      <c r="AO350" s="734">
        <f t="shared" ca="1" si="392"/>
        <v>0</v>
      </c>
      <c r="AP350" s="734">
        <f t="shared" si="392"/>
        <v>0</v>
      </c>
      <c r="AQ350" s="734">
        <f t="shared" ca="1" si="392"/>
        <v>0</v>
      </c>
      <c r="AR350" s="734">
        <f t="shared" ca="1" si="392"/>
        <v>0</v>
      </c>
      <c r="AS350" s="734">
        <f t="shared" si="392"/>
        <v>0</v>
      </c>
      <c r="AT350" s="734">
        <f t="shared" ca="1" si="392"/>
        <v>0</v>
      </c>
      <c r="AU350" s="734">
        <f t="shared" ca="1" si="392"/>
        <v>0</v>
      </c>
      <c r="AV350" s="734">
        <f t="shared" si="392"/>
        <v>0</v>
      </c>
      <c r="AW350" s="734">
        <f t="shared" ca="1" si="392"/>
        <v>0</v>
      </c>
      <c r="AX350" s="734">
        <f t="shared" ca="1" si="392"/>
        <v>0</v>
      </c>
      <c r="AY350" s="734">
        <f t="shared" si="392"/>
        <v>0</v>
      </c>
      <c r="AZ350" s="734">
        <f t="shared" ca="1" si="392"/>
        <v>0</v>
      </c>
      <c r="BA350" s="734">
        <f t="shared" ca="1" si="392"/>
        <v>0</v>
      </c>
      <c r="BB350" s="734">
        <f t="shared" si="392"/>
        <v>0</v>
      </c>
      <c r="BC350" s="734">
        <f t="shared" ca="1" si="392"/>
        <v>0</v>
      </c>
      <c r="BD350" s="734">
        <f t="shared" ca="1" si="392"/>
        <v>0</v>
      </c>
      <c r="BE350" s="734">
        <f t="shared" si="392"/>
        <v>0</v>
      </c>
      <c r="BF350" s="734">
        <f t="shared" ca="1" si="392"/>
        <v>0</v>
      </c>
      <c r="BG350" s="734">
        <f t="shared" ca="1" si="392"/>
        <v>0</v>
      </c>
      <c r="BH350" s="734">
        <f t="shared" si="392"/>
        <v>0</v>
      </c>
      <c r="BI350" s="734">
        <f t="shared" ca="1" si="392"/>
        <v>0</v>
      </c>
      <c r="BJ350" s="734">
        <f t="shared" ca="1" si="392"/>
        <v>0</v>
      </c>
      <c r="BK350" s="734">
        <f t="shared" si="392"/>
        <v>0</v>
      </c>
      <c r="BL350" s="734">
        <f t="shared" ca="1" si="392"/>
        <v>0</v>
      </c>
      <c r="BM350" s="734">
        <f t="shared" ca="1" si="392"/>
        <v>0</v>
      </c>
      <c r="BN350" s="734">
        <f t="shared" ref="BN350:CS350" si="393">SUM(BN352:BN354)</f>
        <v>0</v>
      </c>
      <c r="BO350" s="734">
        <f t="shared" ca="1" si="393"/>
        <v>0</v>
      </c>
      <c r="BP350" s="734">
        <f t="shared" ca="1" si="393"/>
        <v>62761.013107060338</v>
      </c>
      <c r="BQ350" s="734">
        <f t="shared" si="393"/>
        <v>44792.535054508968</v>
      </c>
      <c r="BR350" s="734">
        <f t="shared" ca="1" si="393"/>
        <v>17968.478052551374</v>
      </c>
      <c r="BS350" s="734">
        <f t="shared" ca="1" si="393"/>
        <v>0</v>
      </c>
      <c r="BT350" s="734">
        <f t="shared" si="393"/>
        <v>0</v>
      </c>
      <c r="BU350" s="734">
        <f t="shared" ca="1" si="393"/>
        <v>0</v>
      </c>
      <c r="BV350" s="734">
        <f t="shared" ca="1" si="393"/>
        <v>0</v>
      </c>
      <c r="BW350" s="734">
        <f t="shared" si="393"/>
        <v>0</v>
      </c>
      <c r="BX350" s="734">
        <f t="shared" ca="1" si="393"/>
        <v>0</v>
      </c>
      <c r="BY350" s="734">
        <f t="shared" ca="1" si="393"/>
        <v>0</v>
      </c>
      <c r="BZ350" s="734">
        <f t="shared" si="393"/>
        <v>0</v>
      </c>
      <c r="CA350" s="734">
        <f t="shared" ca="1" si="393"/>
        <v>0</v>
      </c>
      <c r="CB350" s="734">
        <f t="shared" ca="1" si="393"/>
        <v>0</v>
      </c>
      <c r="CC350" s="734">
        <f t="shared" si="393"/>
        <v>0</v>
      </c>
      <c r="CD350" s="734">
        <f t="shared" ca="1" si="393"/>
        <v>0</v>
      </c>
      <c r="CE350" s="734">
        <f t="shared" ca="1" si="393"/>
        <v>0</v>
      </c>
      <c r="CF350" s="734">
        <f t="shared" si="393"/>
        <v>0</v>
      </c>
      <c r="CG350" s="734">
        <f t="shared" ca="1" si="393"/>
        <v>0</v>
      </c>
      <c r="CH350" s="734">
        <f t="shared" ca="1" si="393"/>
        <v>0</v>
      </c>
      <c r="CI350" s="734">
        <f t="shared" si="393"/>
        <v>0</v>
      </c>
      <c r="CJ350" s="734">
        <f t="shared" ca="1" si="393"/>
        <v>0</v>
      </c>
      <c r="CK350" s="734">
        <f t="shared" ca="1" si="393"/>
        <v>0</v>
      </c>
      <c r="CL350" s="734">
        <f t="shared" si="393"/>
        <v>0</v>
      </c>
      <c r="CM350" s="734">
        <f t="shared" ca="1" si="393"/>
        <v>0</v>
      </c>
      <c r="CN350" s="734">
        <f t="shared" ca="1" si="393"/>
        <v>0</v>
      </c>
      <c r="CO350" s="734">
        <f t="shared" si="393"/>
        <v>0</v>
      </c>
      <c r="CP350" s="734">
        <f t="shared" ca="1" si="393"/>
        <v>0</v>
      </c>
      <c r="CQ350" s="734">
        <f t="shared" ca="1" si="393"/>
        <v>0</v>
      </c>
      <c r="CR350" s="734">
        <f t="shared" si="393"/>
        <v>0</v>
      </c>
      <c r="CS350" s="734">
        <f t="shared" ca="1" si="393"/>
        <v>0</v>
      </c>
      <c r="CT350" s="1290"/>
      <c r="CW350" s="970" t="s">
        <v>840</v>
      </c>
      <c r="CX350" s="975"/>
      <c r="CY350" s="975"/>
      <c r="CZ350" s="975"/>
      <c r="DA350" s="976"/>
      <c r="DB350" s="976"/>
    </row>
    <row r="351" spans="1:106" s="1229" customFormat="1" ht="16.5" hidden="1" customHeight="1">
      <c r="A351" s="1155"/>
      <c r="B351" s="783"/>
      <c r="C351" s="1155"/>
      <c r="D351" s="1155"/>
      <c r="E351" s="676">
        <v>17.100000000000001</v>
      </c>
      <c r="F351" s="779" t="str" cm="1">
        <f t="array" aca="1" ref="F351" ca="1">OFFSET(G351,-1,-1)</f>
        <v>2</v>
      </c>
      <c r="G351" s="814"/>
      <c r="H351" s="814"/>
      <c r="I351" s="814"/>
      <c r="J351" s="814"/>
      <c r="K351" s="814"/>
      <c r="L351" s="779" t="b" cm="1">
        <f t="array" aca="1" ref="L351" ca="1">OFFSET(M351,-1,-1)</f>
        <v>0</v>
      </c>
      <c r="M351" s="814"/>
      <c r="N351" s="814"/>
      <c r="O351" s="814"/>
      <c r="P351" s="814"/>
      <c r="Q351" s="814"/>
      <c r="R351" s="779" t="s">
        <v>759</v>
      </c>
      <c r="S351" s="110" t="b" cm="1">
        <f t="array" aca="1" ref="S351" ca="1">OFFSET(T351,-1,-1)</f>
        <v>1</v>
      </c>
      <c r="T351" s="779" t="b">
        <v>0</v>
      </c>
      <c r="U351" s="698" t="b">
        <f t="shared" ca="1" si="391"/>
        <v>0</v>
      </c>
      <c r="V351" s="1155"/>
      <c r="W351" s="1155"/>
      <c r="X351" s="1155"/>
      <c r="Y351" s="1687"/>
      <c r="Z351" s="1687"/>
      <c r="AA351" s="699"/>
      <c r="AB351" s="1784"/>
      <c r="AD351" s="111" t="str">
        <f>AD350&amp;".0"</f>
        <v>24.0</v>
      </c>
      <c r="AE351" s="1770" t="s">
        <v>770</v>
      </c>
      <c r="AF351" s="1771"/>
      <c r="AG351" s="853" t="s">
        <v>839</v>
      </c>
      <c r="AH351" s="41">
        <f>AH$324*AH350/1000</f>
        <v>0</v>
      </c>
      <c r="AI351" s="41">
        <f>AI$324*AI350/1000</f>
        <v>0</v>
      </c>
      <c r="AJ351" s="41">
        <f>AJ$324*AJ350/1000</f>
        <v>0</v>
      </c>
      <c r="AK351" s="41">
        <f>AK$324*AK350/1000</f>
        <v>61.96519</v>
      </c>
      <c r="AL351" s="736">
        <f ca="1">AM351+AN351</f>
        <v>0</v>
      </c>
      <c r="AM351" s="42">
        <f>AM$324*AM350</f>
        <v>0</v>
      </c>
      <c r="AN351" s="42">
        <f ca="1">AN$324*AN350</f>
        <v>0</v>
      </c>
      <c r="AO351" s="736">
        <f ca="1">AP351+AQ351</f>
        <v>0</v>
      </c>
      <c r="AP351" s="826">
        <f>AP$324*AP350</f>
        <v>0</v>
      </c>
      <c r="AQ351" s="826">
        <f ca="1">AQ$324*AQ350</f>
        <v>0</v>
      </c>
      <c r="AR351" s="736">
        <f ca="1">AS351+AT351</f>
        <v>0</v>
      </c>
      <c r="AS351" s="826">
        <f>AS$324*AS350</f>
        <v>0</v>
      </c>
      <c r="AT351" s="826">
        <f ca="1">AT$324*AT350</f>
        <v>0</v>
      </c>
      <c r="AU351" s="736">
        <f ca="1">AV351+AW351</f>
        <v>0</v>
      </c>
      <c r="AV351" s="826">
        <f>AV$324*AV350</f>
        <v>0</v>
      </c>
      <c r="AW351" s="826">
        <f ca="1">AW$324*AW350</f>
        <v>0</v>
      </c>
      <c r="AX351" s="736">
        <f ca="1">AY351+AZ351</f>
        <v>0</v>
      </c>
      <c r="AY351" s="826">
        <f>AY$324*AY350</f>
        <v>0</v>
      </c>
      <c r="AZ351" s="826">
        <f ca="1">AZ$324*AZ350</f>
        <v>0</v>
      </c>
      <c r="BA351" s="736">
        <f ca="1">BB351+BC351</f>
        <v>0</v>
      </c>
      <c r="BB351" s="42">
        <f>BB$324*BB350</f>
        <v>0</v>
      </c>
      <c r="BC351" s="42">
        <f ca="1">BC$324*BC350</f>
        <v>0</v>
      </c>
      <c r="BD351" s="736">
        <f ca="1">BE351+BF351</f>
        <v>0</v>
      </c>
      <c r="BE351" s="42">
        <f>BE$324*BE350</f>
        <v>0</v>
      </c>
      <c r="BF351" s="42">
        <f ca="1">BF$324*BF350</f>
        <v>0</v>
      </c>
      <c r="BG351" s="736">
        <f ca="1">BH351+BI351</f>
        <v>0</v>
      </c>
      <c r="BH351" s="42">
        <f>BH$324*BH350</f>
        <v>0</v>
      </c>
      <c r="BI351" s="42">
        <f ca="1">BI$324*BI350</f>
        <v>0</v>
      </c>
      <c r="BJ351" s="736">
        <f ca="1">BK351+BL351</f>
        <v>0</v>
      </c>
      <c r="BK351" s="42">
        <f>BK$324*BK350</f>
        <v>0</v>
      </c>
      <c r="BL351" s="42">
        <f ca="1">BL$324*BL350</f>
        <v>0</v>
      </c>
      <c r="BM351" s="736">
        <f ca="1">BN351+BO351</f>
        <v>0</v>
      </c>
      <c r="BN351" s="42">
        <f>BN$324*BN350</f>
        <v>0</v>
      </c>
      <c r="BO351" s="42">
        <f ca="1">BO$324*BO350</f>
        <v>0</v>
      </c>
      <c r="BP351" s="736">
        <f ca="1">BQ351+BR351</f>
        <v>62761.013107060338</v>
      </c>
      <c r="BQ351" s="826">
        <f>BQ$324*BQ350</f>
        <v>44792.535054508968</v>
      </c>
      <c r="BR351" s="826">
        <f ca="1">BR$324*BR350</f>
        <v>17968.478052551374</v>
      </c>
      <c r="BS351" s="736">
        <f ca="1">BT351+BU351</f>
        <v>0</v>
      </c>
      <c r="BT351" s="826">
        <f>BT$324*BT350</f>
        <v>0</v>
      </c>
      <c r="BU351" s="826">
        <f ca="1">BU$324*BU350</f>
        <v>0</v>
      </c>
      <c r="BV351" s="736">
        <f ca="1">BW351+BX351</f>
        <v>0</v>
      </c>
      <c r="BW351" s="826">
        <f>BW$324*BW350</f>
        <v>0</v>
      </c>
      <c r="BX351" s="826">
        <f ca="1">BX$324*BX350</f>
        <v>0</v>
      </c>
      <c r="BY351" s="736">
        <f ca="1">BZ351+CA351</f>
        <v>0</v>
      </c>
      <c r="BZ351" s="826">
        <f>BZ$324*BZ350</f>
        <v>0</v>
      </c>
      <c r="CA351" s="826">
        <f ca="1">CA$324*CA350</f>
        <v>0</v>
      </c>
      <c r="CB351" s="736">
        <f ca="1">CC351+CD351</f>
        <v>0</v>
      </c>
      <c r="CC351" s="826">
        <f>CC$324*CC350</f>
        <v>0</v>
      </c>
      <c r="CD351" s="826">
        <f ca="1">CD$324*CD350</f>
        <v>0</v>
      </c>
      <c r="CE351" s="736">
        <f ca="1">CF351+CG351</f>
        <v>0</v>
      </c>
      <c r="CF351" s="42">
        <f>CF$324*CF350</f>
        <v>0</v>
      </c>
      <c r="CG351" s="42">
        <f ca="1">CG$324*CG350</f>
        <v>0</v>
      </c>
      <c r="CH351" s="736">
        <f ca="1">CI351+CJ351</f>
        <v>0</v>
      </c>
      <c r="CI351" s="42">
        <f>CI$324*CI350</f>
        <v>0</v>
      </c>
      <c r="CJ351" s="42">
        <f ca="1">CJ$324*CJ350</f>
        <v>0</v>
      </c>
      <c r="CK351" s="736">
        <f ca="1">CL351+CM351</f>
        <v>0</v>
      </c>
      <c r="CL351" s="42">
        <f>CL$324*CL350</f>
        <v>0</v>
      </c>
      <c r="CM351" s="42">
        <f ca="1">CM$324*CM350</f>
        <v>0</v>
      </c>
      <c r="CN351" s="736">
        <f ca="1">CO351+CP351</f>
        <v>0</v>
      </c>
      <c r="CO351" s="42">
        <f>CO$324*CO350</f>
        <v>0</v>
      </c>
      <c r="CP351" s="42">
        <f ca="1">CP$324*CP350</f>
        <v>0</v>
      </c>
      <c r="CQ351" s="736">
        <f ca="1">CR351+CS351</f>
        <v>0</v>
      </c>
      <c r="CR351" s="42">
        <f>CR$324*CR350</f>
        <v>0</v>
      </c>
      <c r="CS351" s="42">
        <f ca="1">CS$324*CS350</f>
        <v>0</v>
      </c>
      <c r="CT351" s="28"/>
      <c r="CW351" s="970" t="s">
        <v>841</v>
      </c>
      <c r="CX351" s="975"/>
      <c r="CY351" s="975"/>
      <c r="CZ351" s="975"/>
      <c r="DA351" s="976"/>
      <c r="DB351" s="976"/>
    </row>
    <row r="352" spans="1:106" s="1229" customFormat="1" ht="16.5" hidden="1" customHeight="1">
      <c r="E352" s="676">
        <v>17.100000000000001</v>
      </c>
      <c r="F352" s="779" t="str" cm="1">
        <f t="array" aca="1" ref="F352" ca="1">OFFSET(G352,-1,-1)</f>
        <v>2</v>
      </c>
      <c r="L352" s="779" t="b" cm="1">
        <f t="array" aca="1" ref="L352" ca="1">OFFSET(M352,-1,-1)</f>
        <v>0</v>
      </c>
      <c r="S352" s="110" t="b" cm="1">
        <f t="array" aca="1" ref="S352" ca="1">OFFSET(T352,-1,-1)</f>
        <v>1</v>
      </c>
      <c r="T352" s="110" t="b">
        <f>AD352&lt;&gt;"24.0"</f>
        <v>0</v>
      </c>
      <c r="U352" s="698" t="b">
        <f t="shared" ca="1" si="391"/>
        <v>0</v>
      </c>
      <c r="X352" s="110" t="s">
        <v>236</v>
      </c>
      <c r="Y352" s="1722"/>
      <c r="Z352" s="1722"/>
      <c r="AB352" s="1784"/>
      <c r="AD352" s="111" t="s">
        <v>842</v>
      </c>
      <c r="AE352" s="821"/>
      <c r="AF352" s="524"/>
      <c r="AG352" s="853" t="s">
        <v>839</v>
      </c>
      <c r="AH352" s="41"/>
      <c r="AI352" s="42"/>
      <c r="AJ352" s="42"/>
      <c r="AK352" s="42"/>
      <c r="AL352" s="736">
        <f ca="1">AM352+AN352</f>
        <v>0</v>
      </c>
      <c r="AM352" s="42">
        <f>AM347*AM339/1000</f>
        <v>0</v>
      </c>
      <c r="AN352" s="42">
        <f ca="1">AN347*AN339/1000</f>
        <v>0</v>
      </c>
      <c r="AO352" s="736">
        <f ca="1">AP352+AQ352</f>
        <v>0</v>
      </c>
      <c r="AP352" s="826">
        <f>AP347*AP339/1000</f>
        <v>0</v>
      </c>
      <c r="AQ352" s="826">
        <f ca="1">AQ347*AQ339/1000</f>
        <v>0</v>
      </c>
      <c r="AR352" s="736">
        <f ca="1">AS352+AT352</f>
        <v>0</v>
      </c>
      <c r="AS352" s="826">
        <f>AS347*AS339/1000</f>
        <v>0</v>
      </c>
      <c r="AT352" s="826">
        <f ca="1">AT347*AT339/1000</f>
        <v>0</v>
      </c>
      <c r="AU352" s="736">
        <f ca="1">AV352+AW352</f>
        <v>0</v>
      </c>
      <c r="AV352" s="826">
        <f>AV347*AV339/1000</f>
        <v>0</v>
      </c>
      <c r="AW352" s="826">
        <f ca="1">AW347*AW339/1000</f>
        <v>0</v>
      </c>
      <c r="AX352" s="736">
        <f ca="1">AY352+AZ352</f>
        <v>0</v>
      </c>
      <c r="AY352" s="826">
        <f>AY347*AY339/1000</f>
        <v>0</v>
      </c>
      <c r="AZ352" s="826">
        <f ca="1">AZ347*AZ339/1000</f>
        <v>0</v>
      </c>
      <c r="BA352" s="736">
        <f ca="1">BB352+BC352</f>
        <v>0</v>
      </c>
      <c r="BB352" s="42">
        <f>BB347*BB339/1000</f>
        <v>0</v>
      </c>
      <c r="BC352" s="42">
        <f ca="1">BC347*BC339/1000</f>
        <v>0</v>
      </c>
      <c r="BD352" s="736">
        <f ca="1">BE352+BF352</f>
        <v>0</v>
      </c>
      <c r="BE352" s="42">
        <f>BE347*BE339/1000</f>
        <v>0</v>
      </c>
      <c r="BF352" s="42">
        <f ca="1">BF347*BF339/1000</f>
        <v>0</v>
      </c>
      <c r="BG352" s="736">
        <f ca="1">BH352+BI352</f>
        <v>0</v>
      </c>
      <c r="BH352" s="42">
        <f>BH347*BH339/1000</f>
        <v>0</v>
      </c>
      <c r="BI352" s="42">
        <f ca="1">BI347*BI339/1000</f>
        <v>0</v>
      </c>
      <c r="BJ352" s="736">
        <f ca="1">BK352+BL352</f>
        <v>0</v>
      </c>
      <c r="BK352" s="42">
        <f>BK347*BK339/1000</f>
        <v>0</v>
      </c>
      <c r="BL352" s="42">
        <f ca="1">BL347*BL339/1000</f>
        <v>0</v>
      </c>
      <c r="BM352" s="736">
        <f ca="1">BN352+BO352</f>
        <v>0</v>
      </c>
      <c r="BN352" s="42">
        <f>BN347*BN339/1000</f>
        <v>0</v>
      </c>
      <c r="BO352" s="42">
        <f ca="1">BO347*BO339/1000</f>
        <v>0</v>
      </c>
      <c r="BP352" s="736">
        <f ca="1">BQ352+BR352</f>
        <v>0</v>
      </c>
      <c r="BQ352" s="826">
        <f>BQ347*BQ339/1000</f>
        <v>0</v>
      </c>
      <c r="BR352" s="826">
        <f ca="1">BR347*BR339/1000</f>
        <v>0</v>
      </c>
      <c r="BS352" s="736">
        <f ca="1">BT352+BU352</f>
        <v>0</v>
      </c>
      <c r="BT352" s="826">
        <f>BT347*BT339/1000</f>
        <v>0</v>
      </c>
      <c r="BU352" s="826">
        <f ca="1">BU347*BU339/1000</f>
        <v>0</v>
      </c>
      <c r="BV352" s="736">
        <f ca="1">BW352+BX352</f>
        <v>0</v>
      </c>
      <c r="BW352" s="826">
        <f>BW347*BW339/1000</f>
        <v>0</v>
      </c>
      <c r="BX352" s="826">
        <f ca="1">BX347*BX339/1000</f>
        <v>0</v>
      </c>
      <c r="BY352" s="736">
        <f ca="1">BZ352+CA352</f>
        <v>0</v>
      </c>
      <c r="BZ352" s="826">
        <f>BZ347*BZ339/1000</f>
        <v>0</v>
      </c>
      <c r="CA352" s="826">
        <f ca="1">CA347*CA339/1000</f>
        <v>0</v>
      </c>
      <c r="CB352" s="736">
        <f ca="1">CC352+CD352</f>
        <v>0</v>
      </c>
      <c r="CC352" s="826">
        <f>CC347*CC339/1000</f>
        <v>0</v>
      </c>
      <c r="CD352" s="826">
        <f ca="1">CD347*CD339/1000</f>
        <v>0</v>
      </c>
      <c r="CE352" s="736">
        <f ca="1">CF352+CG352</f>
        <v>0</v>
      </c>
      <c r="CF352" s="42">
        <f>CF347*CF339/1000</f>
        <v>0</v>
      </c>
      <c r="CG352" s="42">
        <f ca="1">CG347*CG339/1000</f>
        <v>0</v>
      </c>
      <c r="CH352" s="736">
        <f ca="1">CI352+CJ352</f>
        <v>0</v>
      </c>
      <c r="CI352" s="42">
        <f>CI347*CI339/1000</f>
        <v>0</v>
      </c>
      <c r="CJ352" s="42">
        <f ca="1">CJ347*CJ339/1000</f>
        <v>0</v>
      </c>
      <c r="CK352" s="736">
        <f ca="1">CL352+CM352</f>
        <v>0</v>
      </c>
      <c r="CL352" s="42">
        <f>CL347*CL339/1000</f>
        <v>0</v>
      </c>
      <c r="CM352" s="42">
        <f ca="1">CM347*CM339/1000</f>
        <v>0</v>
      </c>
      <c r="CN352" s="736">
        <f ca="1">CO352+CP352</f>
        <v>0</v>
      </c>
      <c r="CO352" s="42">
        <f>CO347*CO339/1000</f>
        <v>0</v>
      </c>
      <c r="CP352" s="42">
        <f ca="1">CP347*CP339/1000</f>
        <v>0</v>
      </c>
      <c r="CQ352" s="736">
        <f ca="1">CR352+CS352</f>
        <v>0</v>
      </c>
      <c r="CR352" s="42">
        <f>CR347*CR339/1000</f>
        <v>0</v>
      </c>
      <c r="CS352" s="42">
        <f ca="1">CS347*CS339/1000</f>
        <v>0</v>
      </c>
      <c r="CT352" s="28"/>
      <c r="CW352" s="970" t="s">
        <v>841</v>
      </c>
      <c r="CX352" s="975" t="s">
        <v>821</v>
      </c>
      <c r="CY352" s="979" cm="1">
        <f t="array" ref="CY352">AE352</f>
        <v>0</v>
      </c>
      <c r="CZ352" s="979" cm="1">
        <f t="array" ref="CZ352">AF352</f>
        <v>0</v>
      </c>
      <c r="DA352" s="976"/>
      <c r="DB352" s="976"/>
    </row>
    <row r="353" spans="1:106" s="1229" customFormat="1" ht="16.5" customHeight="1">
      <c r="E353" s="676">
        <v>17.100000000000001</v>
      </c>
      <c r="F353" s="779" t="str" cm="1">
        <f t="array" aca="1" ref="F353" ca="1">OFFSET(G353,-1,-1)</f>
        <v>2</v>
      </c>
      <c r="L353" s="779" t="b" cm="1">
        <f t="array" aca="1" ref="L353" ca="1">OFFSET(M353,-1,-1)</f>
        <v>0</v>
      </c>
      <c r="S353" s="110" t="b" cm="1">
        <f t="array" aca="1" ref="S353" ca="1">OFFSET(T353,-1,-1)</f>
        <v>1</v>
      </c>
      <c r="T353" s="110" t="b">
        <f>AD353&lt;&gt;"24.0"</f>
        <v>1</v>
      </c>
      <c r="U353" s="698" t="b">
        <f t="shared" ca="1" si="391"/>
        <v>1</v>
      </c>
      <c r="X353" s="110" t="str">
        <f>'Топливо 4.4'!$AE$348&amp;'Топливо 4.4'!$AF$348</f>
        <v>Уголь длиннопламенный</v>
      </c>
      <c r="Y353" s="1722"/>
      <c r="Z353" s="1722"/>
      <c r="AB353" s="1784"/>
      <c r="AD353" s="111" t="s">
        <v>943</v>
      </c>
      <c r="AE353" s="821" t="str" cm="1">
        <f t="array" ref="AE353">IF(ISBLANK('Топливо 4.4'!$AE$348),"",'Топливо 4.4'!$AE$348)</f>
        <v>Уголь длиннопламенный</v>
      </c>
      <c r="AF353" s="524" t="str" cm="1">
        <f t="array" ref="AF353">IF(ISBLANK('Топливо 4.4'!$AF$348),"",'Топливо 4.4'!$AF$348)</f>
        <v/>
      </c>
      <c r="AG353" s="853" t="s">
        <v>839</v>
      </c>
      <c r="AH353" s="1303"/>
      <c r="AI353" s="1302"/>
      <c r="AJ353" s="1302"/>
      <c r="AK353" s="1302">
        <v>61965.19</v>
      </c>
      <c r="AL353" s="736">
        <f ca="1">AM353+AN353</f>
        <v>0</v>
      </c>
      <c r="AM353" s="1302">
        <f>AM348*AM340/1000</f>
        <v>0</v>
      </c>
      <c r="AN353" s="1302">
        <f ca="1">AN348*AN340/1000</f>
        <v>0</v>
      </c>
      <c r="AO353" s="736">
        <f ca="1">AP353+AQ353</f>
        <v>0</v>
      </c>
      <c r="AP353" s="826">
        <f>AP348*AP340/1000</f>
        <v>0</v>
      </c>
      <c r="AQ353" s="826">
        <f ca="1">AQ348*AQ340/1000</f>
        <v>0</v>
      </c>
      <c r="AR353" s="736">
        <f ca="1">AS353+AT353</f>
        <v>0</v>
      </c>
      <c r="AS353" s="826">
        <f>AS348*AS340/1000</f>
        <v>0</v>
      </c>
      <c r="AT353" s="826">
        <f ca="1">AT348*AT340/1000</f>
        <v>0</v>
      </c>
      <c r="AU353" s="736">
        <f ca="1">AV353+AW353</f>
        <v>0</v>
      </c>
      <c r="AV353" s="826">
        <f>AV348*AV340/1000</f>
        <v>0</v>
      </c>
      <c r="AW353" s="826">
        <f ca="1">AW348*AW340/1000</f>
        <v>0</v>
      </c>
      <c r="AX353" s="736">
        <f ca="1">AY353+AZ353</f>
        <v>0</v>
      </c>
      <c r="AY353" s="826">
        <f>AY348*AY340/1000</f>
        <v>0</v>
      </c>
      <c r="AZ353" s="826">
        <f ca="1">AZ348*AZ340/1000</f>
        <v>0</v>
      </c>
      <c r="BA353" s="736">
        <f ca="1">BB353+BC353</f>
        <v>0</v>
      </c>
      <c r="BB353" s="1302">
        <f>BB348*BB340/1000</f>
        <v>0</v>
      </c>
      <c r="BC353" s="1302">
        <f ca="1">BC348*BC340/1000</f>
        <v>0</v>
      </c>
      <c r="BD353" s="736">
        <f ca="1">BE353+BF353</f>
        <v>0</v>
      </c>
      <c r="BE353" s="1302">
        <f>BE348*BE340/1000</f>
        <v>0</v>
      </c>
      <c r="BF353" s="1302">
        <f ca="1">BF348*BF340/1000</f>
        <v>0</v>
      </c>
      <c r="BG353" s="736">
        <f ca="1">BH353+BI353</f>
        <v>0</v>
      </c>
      <c r="BH353" s="1302">
        <f>BH348*BH340/1000</f>
        <v>0</v>
      </c>
      <c r="BI353" s="1302">
        <f ca="1">BI348*BI340/1000</f>
        <v>0</v>
      </c>
      <c r="BJ353" s="736">
        <f ca="1">BK353+BL353</f>
        <v>0</v>
      </c>
      <c r="BK353" s="1302">
        <f>BK348*BK340/1000</f>
        <v>0</v>
      </c>
      <c r="BL353" s="1302">
        <f ca="1">BL348*BL340/1000</f>
        <v>0</v>
      </c>
      <c r="BM353" s="736">
        <f ca="1">BN353+BO353</f>
        <v>0</v>
      </c>
      <c r="BN353" s="1302">
        <f>BN348*BN340/1000</f>
        <v>0</v>
      </c>
      <c r="BO353" s="1302">
        <f ca="1">BO348*BO340/1000</f>
        <v>0</v>
      </c>
      <c r="BP353" s="736">
        <f ca="1">BQ353+BR353</f>
        <v>62761.013107060338</v>
      </c>
      <c r="BQ353" s="826">
        <f>BQ348*BQ340/1000</f>
        <v>44792.535054508968</v>
      </c>
      <c r="BR353" s="826">
        <f ca="1">BR348*BR340/1000</f>
        <v>17968.478052551374</v>
      </c>
      <c r="BS353" s="736">
        <f ca="1">BT353+BU353</f>
        <v>0</v>
      </c>
      <c r="BT353" s="826">
        <f>BT348*BT340/1000</f>
        <v>0</v>
      </c>
      <c r="BU353" s="826">
        <f ca="1">BU348*BU340/1000</f>
        <v>0</v>
      </c>
      <c r="BV353" s="736">
        <f ca="1">BW353+BX353</f>
        <v>0</v>
      </c>
      <c r="BW353" s="826">
        <f>BW348*BW340/1000</f>
        <v>0</v>
      </c>
      <c r="BX353" s="826">
        <f ca="1">BX348*BX340/1000</f>
        <v>0</v>
      </c>
      <c r="BY353" s="736">
        <f ca="1">BZ353+CA353</f>
        <v>0</v>
      </c>
      <c r="BZ353" s="826">
        <f>BZ348*BZ340/1000</f>
        <v>0</v>
      </c>
      <c r="CA353" s="826">
        <f ca="1">CA348*CA340/1000</f>
        <v>0</v>
      </c>
      <c r="CB353" s="736">
        <f ca="1">CC353+CD353</f>
        <v>0</v>
      </c>
      <c r="CC353" s="826">
        <f>CC348*CC340/1000</f>
        <v>0</v>
      </c>
      <c r="CD353" s="826">
        <f ca="1">CD348*CD340/1000</f>
        <v>0</v>
      </c>
      <c r="CE353" s="736">
        <f ca="1">CF353+CG353</f>
        <v>0</v>
      </c>
      <c r="CF353" s="1302">
        <f>CF348*CF340/1000</f>
        <v>0</v>
      </c>
      <c r="CG353" s="1302">
        <f ca="1">CG348*CG340/1000</f>
        <v>0</v>
      </c>
      <c r="CH353" s="736">
        <f ca="1">CI353+CJ353</f>
        <v>0</v>
      </c>
      <c r="CI353" s="1302">
        <f>CI348*CI340/1000</f>
        <v>0</v>
      </c>
      <c r="CJ353" s="1302">
        <f ca="1">CJ348*CJ340/1000</f>
        <v>0</v>
      </c>
      <c r="CK353" s="736">
        <f ca="1">CL353+CM353</f>
        <v>0</v>
      </c>
      <c r="CL353" s="1302">
        <f>CL348*CL340/1000</f>
        <v>0</v>
      </c>
      <c r="CM353" s="1302">
        <f ca="1">CM348*CM340/1000</f>
        <v>0</v>
      </c>
      <c r="CN353" s="736">
        <f ca="1">CO353+CP353</f>
        <v>0</v>
      </c>
      <c r="CO353" s="1302">
        <f>CO348*CO340/1000</f>
        <v>0</v>
      </c>
      <c r="CP353" s="1302">
        <f ca="1">CP348*CP340/1000</f>
        <v>0</v>
      </c>
      <c r="CQ353" s="736">
        <f ca="1">CR353+CS353</f>
        <v>0</v>
      </c>
      <c r="CR353" s="1302">
        <f>CR348*CR340/1000</f>
        <v>0</v>
      </c>
      <c r="CS353" s="1302">
        <f ca="1">CS348*CS340/1000</f>
        <v>0</v>
      </c>
      <c r="CT353" s="1290"/>
      <c r="CW353" s="970" t="s">
        <v>841</v>
      </c>
      <c r="CX353" s="975" t="s">
        <v>821</v>
      </c>
      <c r="CY353" s="979" t="str" cm="1">
        <f t="array" ref="CY353">AE353</f>
        <v>Уголь длиннопламенный</v>
      </c>
      <c r="CZ353" s="979" t="str" cm="1">
        <f t="array" ref="CZ353">AF353</f>
        <v/>
      </c>
      <c r="DA353" s="976"/>
      <c r="DB353" s="976"/>
    </row>
    <row r="354" spans="1:106" s="1229" customFormat="1" ht="17.25" hidden="1" customHeight="1">
      <c r="A354" s="1155"/>
      <c r="B354" s="783"/>
      <c r="C354" s="1155"/>
      <c r="D354" s="1155"/>
      <c r="E354" s="676">
        <v>0</v>
      </c>
      <c r="F354" s="779" t="str" cm="1">
        <f t="array" aca="1" ref="F354" ca="1">OFFSET(G354,-1,-1)</f>
        <v>2</v>
      </c>
      <c r="G354" s="814"/>
      <c r="H354" s="814"/>
      <c r="I354" s="814"/>
      <c r="J354" s="814"/>
      <c r="K354" s="814"/>
      <c r="L354" s="779" t="b" cm="1">
        <f t="array" aca="1" ref="L354" ca="1">OFFSET(M354,-1,-1)</f>
        <v>0</v>
      </c>
      <c r="M354" s="814"/>
      <c r="N354" s="814"/>
      <c r="O354" s="814"/>
      <c r="P354" s="814"/>
      <c r="Q354" s="814"/>
      <c r="R354" s="1155"/>
      <c r="S354" s="110" t="b" cm="1">
        <f t="array" aca="1" ref="S354" ca="1">OFFSET(T354,-1,-1)</f>
        <v>1</v>
      </c>
      <c r="T354" s="1155"/>
      <c r="U354" s="698" t="b">
        <f t="shared" ca="1" si="391"/>
        <v>1</v>
      </c>
      <c r="V354" s="1155"/>
      <c r="W354" s="1155"/>
      <c r="X354" s="820" t="str">
        <f>"{                  
         funcDyn: 'msg1',
         blok: 'blok_2',
         wsCross: 'Топливо 4.4',
         linkFormula: 'AE-AE#AF-AF',
         levelDyn: "&amp;Y300&amp;"
}"</f>
        <v>{                  
         funcDyn: 'msg1',
         blok: 'blok_2',
         wsCross: 'Топливо 4.4',
         linkFormula: 'AE-AE#AF-AF',
         levelDyn: 2
}</v>
      </c>
      <c r="Y354" s="1687"/>
      <c r="Z354" s="1687"/>
      <c r="AA354" s="699"/>
      <c r="AB354" s="1784"/>
      <c r="AD354" s="823"/>
      <c r="AE354" s="822" t="s">
        <v>238</v>
      </c>
      <c r="AF354" s="745"/>
      <c r="AG354" s="733"/>
      <c r="AH354" s="735"/>
      <c r="AI354" s="737"/>
      <c r="AJ354" s="737"/>
      <c r="AK354" s="737"/>
      <c r="AL354" s="737"/>
      <c r="AM354" s="737"/>
      <c r="AN354" s="737"/>
      <c r="AO354" s="737"/>
      <c r="AP354" s="737"/>
      <c r="AQ354" s="737"/>
      <c r="AR354" s="737"/>
      <c r="AS354" s="737"/>
      <c r="AT354" s="737"/>
      <c r="AU354" s="737"/>
      <c r="AV354" s="737"/>
      <c r="AW354" s="737"/>
      <c r="AX354" s="737"/>
      <c r="AY354" s="737"/>
      <c r="AZ354" s="737"/>
      <c r="BA354" s="737"/>
      <c r="BB354" s="737"/>
      <c r="BC354" s="737"/>
      <c r="BD354" s="737"/>
      <c r="BE354" s="737"/>
      <c r="BF354" s="737"/>
      <c r="BG354" s="737"/>
      <c r="BH354" s="737"/>
      <c r="BI354" s="737"/>
      <c r="BJ354" s="737"/>
      <c r="BK354" s="737"/>
      <c r="BL354" s="737"/>
      <c r="BM354" s="737"/>
      <c r="BN354" s="737"/>
      <c r="BO354" s="737"/>
      <c r="BP354" s="737"/>
      <c r="BQ354" s="737"/>
      <c r="BR354" s="737"/>
      <c r="BS354" s="737"/>
      <c r="BT354" s="737"/>
      <c r="BU354" s="737"/>
      <c r="BV354" s="737"/>
      <c r="BW354" s="737"/>
      <c r="BX354" s="737"/>
      <c r="BY354" s="737"/>
      <c r="BZ354" s="737"/>
      <c r="CA354" s="737"/>
      <c r="CB354" s="737"/>
      <c r="CC354" s="737"/>
      <c r="CD354" s="737"/>
      <c r="CE354" s="737"/>
      <c r="CF354" s="737"/>
      <c r="CG354" s="737"/>
      <c r="CH354" s="737"/>
      <c r="CI354" s="737"/>
      <c r="CJ354" s="737"/>
      <c r="CK354" s="737"/>
      <c r="CL354" s="737"/>
      <c r="CM354" s="737"/>
      <c r="CN354" s="737"/>
      <c r="CO354" s="737"/>
      <c r="CP354" s="737"/>
      <c r="CQ354" s="737"/>
      <c r="CR354" s="737"/>
      <c r="CS354" s="737"/>
      <c r="CT354" s="46"/>
      <c r="CW354" s="970" t="str">
        <f>IF(AND(ISNUMBER(VALUE(TRIM(SUBSTITUTE(AD354,".","")))),TRIM(SUBSTITUTE(AD354,".",""))&lt;&gt;""),"P"&amp;SUBSTITUTE(AD354,".",""),"")</f>
        <v/>
      </c>
      <c r="CX354" s="975"/>
      <c r="CY354" s="975"/>
      <c r="CZ354" s="975"/>
      <c r="DA354" s="976"/>
      <c r="DB354" s="976"/>
    </row>
    <row r="355" spans="1:106" s="1229" customFormat="1" ht="21.75" hidden="1" customHeight="1">
      <c r="A355" s="1155"/>
      <c r="B355" s="783"/>
      <c r="C355" s="1155"/>
      <c r="D355" s="1155"/>
      <c r="E355" s="676">
        <v>22.5</v>
      </c>
      <c r="F355" s="779" t="str" cm="1">
        <f t="array" aca="1" ref="F355" ca="1">OFFSET(G355,-1,-1)</f>
        <v>2</v>
      </c>
      <c r="G355" s="814"/>
      <c r="H355" s="814"/>
      <c r="I355" s="814"/>
      <c r="J355" s="814"/>
      <c r="K355" s="814"/>
      <c r="L355" s="779" t="b" cm="1">
        <f t="array" aca="1" ref="L355" ca="1">OFFSET(M355,-1,-1)</f>
        <v>0</v>
      </c>
      <c r="M355" s="814"/>
      <c r="N355" s="814"/>
      <c r="O355" s="814"/>
      <c r="P355" s="814"/>
      <c r="Q355" s="814"/>
      <c r="R355" s="779" t="s">
        <v>759</v>
      </c>
      <c r="S355" s="110" t="b" cm="1">
        <f t="array" aca="1" ref="S355" ca="1">OFFSET(T355,-1,-1)</f>
        <v>1</v>
      </c>
      <c r="T355" s="110" t="b" cm="1">
        <f t="array" aca="1" ref="T355" ca="1">L355</f>
        <v>0</v>
      </c>
      <c r="U355" s="698" t="b">
        <f t="shared" ca="1" si="391"/>
        <v>0</v>
      </c>
      <c r="V355" s="1155"/>
      <c r="W355" s="1155"/>
      <c r="X355" s="1155"/>
      <c r="Y355" s="1687"/>
      <c r="Z355" s="1687"/>
      <c r="AA355" s="699"/>
      <c r="AB355" s="1784"/>
      <c r="AD355" s="111">
        <v>25</v>
      </c>
      <c r="AE355" s="1775" t="s">
        <v>843</v>
      </c>
      <c r="AF355" s="1776"/>
      <c r="AG355" s="853" t="s">
        <v>839</v>
      </c>
      <c r="AH355" s="734">
        <f t="shared" ref="AH355:BM355" si="394">SUM(AH356:AH358)</f>
        <v>0</v>
      </c>
      <c r="AI355" s="734">
        <f t="shared" si="394"/>
        <v>0</v>
      </c>
      <c r="AJ355" s="734">
        <f t="shared" si="394"/>
        <v>0</v>
      </c>
      <c r="AK355" s="734">
        <f t="shared" si="394"/>
        <v>61965.19</v>
      </c>
      <c r="AL355" s="734">
        <f t="shared" ca="1" si="394"/>
        <v>0</v>
      </c>
      <c r="AM355" s="734">
        <f t="shared" si="394"/>
        <v>0</v>
      </c>
      <c r="AN355" s="734">
        <f t="shared" ca="1" si="394"/>
        <v>0</v>
      </c>
      <c r="AO355" s="734">
        <f t="shared" ca="1" si="394"/>
        <v>0</v>
      </c>
      <c r="AP355" s="734">
        <f t="shared" si="394"/>
        <v>0</v>
      </c>
      <c r="AQ355" s="734">
        <f t="shared" ca="1" si="394"/>
        <v>0</v>
      </c>
      <c r="AR355" s="734">
        <f t="shared" ca="1" si="394"/>
        <v>0</v>
      </c>
      <c r="AS355" s="734">
        <f t="shared" si="394"/>
        <v>0</v>
      </c>
      <c r="AT355" s="734">
        <f t="shared" ca="1" si="394"/>
        <v>0</v>
      </c>
      <c r="AU355" s="734">
        <f t="shared" ca="1" si="394"/>
        <v>0</v>
      </c>
      <c r="AV355" s="734">
        <f t="shared" si="394"/>
        <v>0</v>
      </c>
      <c r="AW355" s="734">
        <f t="shared" ca="1" si="394"/>
        <v>0</v>
      </c>
      <c r="AX355" s="734">
        <f t="shared" ca="1" si="394"/>
        <v>0</v>
      </c>
      <c r="AY355" s="734">
        <f t="shared" si="394"/>
        <v>0</v>
      </c>
      <c r="AZ355" s="734">
        <f t="shared" ca="1" si="394"/>
        <v>0</v>
      </c>
      <c r="BA355" s="734">
        <f t="shared" ca="1" si="394"/>
        <v>0</v>
      </c>
      <c r="BB355" s="734">
        <f t="shared" si="394"/>
        <v>0</v>
      </c>
      <c r="BC355" s="734">
        <f t="shared" ca="1" si="394"/>
        <v>0</v>
      </c>
      <c r="BD355" s="734">
        <f t="shared" ca="1" si="394"/>
        <v>0</v>
      </c>
      <c r="BE355" s="734">
        <f t="shared" si="394"/>
        <v>0</v>
      </c>
      <c r="BF355" s="734">
        <f t="shared" ca="1" si="394"/>
        <v>0</v>
      </c>
      <c r="BG355" s="734">
        <f t="shared" ca="1" si="394"/>
        <v>0</v>
      </c>
      <c r="BH355" s="734">
        <f t="shared" si="394"/>
        <v>0</v>
      </c>
      <c r="BI355" s="734">
        <f t="shared" ca="1" si="394"/>
        <v>0</v>
      </c>
      <c r="BJ355" s="734">
        <f t="shared" ca="1" si="394"/>
        <v>0</v>
      </c>
      <c r="BK355" s="734">
        <f t="shared" si="394"/>
        <v>0</v>
      </c>
      <c r="BL355" s="734">
        <f t="shared" ca="1" si="394"/>
        <v>0</v>
      </c>
      <c r="BM355" s="734">
        <f t="shared" ca="1" si="394"/>
        <v>0</v>
      </c>
      <c r="BN355" s="734">
        <f t="shared" ref="BN355:CS355" si="395">SUM(BN356:BN358)</f>
        <v>0</v>
      </c>
      <c r="BO355" s="734">
        <f t="shared" ca="1" si="395"/>
        <v>0</v>
      </c>
      <c r="BP355" s="734">
        <f t="shared" ca="1" si="395"/>
        <v>62761.013107060338</v>
      </c>
      <c r="BQ355" s="734">
        <f t="shared" si="395"/>
        <v>44792.535054508968</v>
      </c>
      <c r="BR355" s="734">
        <f t="shared" ca="1" si="395"/>
        <v>17968.478052551374</v>
      </c>
      <c r="BS355" s="734">
        <f t="shared" ca="1" si="395"/>
        <v>0</v>
      </c>
      <c r="BT355" s="734">
        <f t="shared" si="395"/>
        <v>0</v>
      </c>
      <c r="BU355" s="734">
        <f t="shared" ca="1" si="395"/>
        <v>0</v>
      </c>
      <c r="BV355" s="734">
        <f t="shared" ca="1" si="395"/>
        <v>0</v>
      </c>
      <c r="BW355" s="734">
        <f t="shared" si="395"/>
        <v>0</v>
      </c>
      <c r="BX355" s="734">
        <f t="shared" ca="1" si="395"/>
        <v>0</v>
      </c>
      <c r="BY355" s="734">
        <f t="shared" ca="1" si="395"/>
        <v>0</v>
      </c>
      <c r="BZ355" s="734">
        <f t="shared" si="395"/>
        <v>0</v>
      </c>
      <c r="CA355" s="734">
        <f t="shared" ca="1" si="395"/>
        <v>0</v>
      </c>
      <c r="CB355" s="734">
        <f t="shared" ca="1" si="395"/>
        <v>0</v>
      </c>
      <c r="CC355" s="734">
        <f t="shared" si="395"/>
        <v>0</v>
      </c>
      <c r="CD355" s="734">
        <f t="shared" ca="1" si="395"/>
        <v>0</v>
      </c>
      <c r="CE355" s="734">
        <f t="shared" ca="1" si="395"/>
        <v>0</v>
      </c>
      <c r="CF355" s="734">
        <f t="shared" si="395"/>
        <v>0</v>
      </c>
      <c r="CG355" s="734">
        <f t="shared" ca="1" si="395"/>
        <v>0</v>
      </c>
      <c r="CH355" s="734">
        <f t="shared" ca="1" si="395"/>
        <v>0</v>
      </c>
      <c r="CI355" s="734">
        <f t="shared" si="395"/>
        <v>0</v>
      </c>
      <c r="CJ355" s="734">
        <f t="shared" ca="1" si="395"/>
        <v>0</v>
      </c>
      <c r="CK355" s="734">
        <f t="shared" ca="1" si="395"/>
        <v>0</v>
      </c>
      <c r="CL355" s="734">
        <f t="shared" si="395"/>
        <v>0</v>
      </c>
      <c r="CM355" s="734">
        <f t="shared" ca="1" si="395"/>
        <v>0</v>
      </c>
      <c r="CN355" s="734">
        <f t="shared" ca="1" si="395"/>
        <v>0</v>
      </c>
      <c r="CO355" s="734">
        <f t="shared" si="395"/>
        <v>0</v>
      </c>
      <c r="CP355" s="734">
        <f t="shared" ca="1" si="395"/>
        <v>0</v>
      </c>
      <c r="CQ355" s="734">
        <f t="shared" ca="1" si="395"/>
        <v>0</v>
      </c>
      <c r="CR355" s="734">
        <f t="shared" si="395"/>
        <v>0</v>
      </c>
      <c r="CS355" s="734">
        <f t="shared" ca="1" si="395"/>
        <v>0</v>
      </c>
      <c r="CT355" s="28"/>
      <c r="CW355" s="970" t="s">
        <v>844</v>
      </c>
      <c r="CX355" s="975"/>
      <c r="CY355" s="975"/>
      <c r="CZ355" s="975"/>
      <c r="DA355" s="976"/>
      <c r="DB355" s="976"/>
    </row>
    <row r="356" spans="1:106" s="1229" customFormat="1" ht="16.5" hidden="1" customHeight="1">
      <c r="E356" s="676">
        <v>17.100000000000001</v>
      </c>
      <c r="F356" s="779" t="str" cm="1">
        <f t="array" aca="1" ref="F356" ca="1">OFFSET(G356,-1,-1)</f>
        <v>2</v>
      </c>
      <c r="L356" s="779" t="b" cm="1">
        <f t="array" aca="1" ref="L356" ca="1">OFFSET(M356,-1,-1)</f>
        <v>0</v>
      </c>
      <c r="R356" s="779" t="s">
        <v>759</v>
      </c>
      <c r="S356" s="110" t="b" cm="1">
        <f t="array" aca="1" ref="S356" ca="1">OFFSET(T356,-1,-1)</f>
        <v>1</v>
      </c>
      <c r="T356" s="110" t="b">
        <f ca="1">AND(L356,AD356&lt;&gt;"25.0")</f>
        <v>0</v>
      </c>
      <c r="U356" s="698" t="b">
        <f t="shared" ca="1" si="391"/>
        <v>0</v>
      </c>
      <c r="X356" s="110" t="s">
        <v>236</v>
      </c>
      <c r="Y356" s="1722"/>
      <c r="Z356" s="1722"/>
      <c r="AB356" s="1784"/>
      <c r="AD356" s="111" t="s">
        <v>845</v>
      </c>
      <c r="AE356" s="821"/>
      <c r="AF356" s="524"/>
      <c r="AG356" s="853" t="s">
        <v>839</v>
      </c>
      <c r="AH356" s="41">
        <f t="shared" ref="AH356:AK357" si="396">AH$324*AH352</f>
        <v>0</v>
      </c>
      <c r="AI356" s="42">
        <f t="shared" si="396"/>
        <v>0</v>
      </c>
      <c r="AJ356" s="42">
        <f t="shared" si="396"/>
        <v>0</v>
      </c>
      <c r="AK356" s="42">
        <f t="shared" si="396"/>
        <v>0</v>
      </c>
      <c r="AL356" s="736">
        <f ca="1">AM356+AN356</f>
        <v>0</v>
      </c>
      <c r="AM356" s="42">
        <f>AM$324*AM352</f>
        <v>0</v>
      </c>
      <c r="AN356" s="42">
        <f ca="1">AN$324*AN352</f>
        <v>0</v>
      </c>
      <c r="AO356" s="736">
        <f ca="1">AP356+AQ356</f>
        <v>0</v>
      </c>
      <c r="AP356" s="826">
        <f>AP$324*AP352</f>
        <v>0</v>
      </c>
      <c r="AQ356" s="826">
        <f ca="1">AQ$324*AQ352</f>
        <v>0</v>
      </c>
      <c r="AR356" s="736">
        <f ca="1">AS356+AT356</f>
        <v>0</v>
      </c>
      <c r="AS356" s="826">
        <f>AS$324*AS352</f>
        <v>0</v>
      </c>
      <c r="AT356" s="826">
        <f ca="1">AT$324*AT352</f>
        <v>0</v>
      </c>
      <c r="AU356" s="736">
        <f ca="1">AV356+AW356</f>
        <v>0</v>
      </c>
      <c r="AV356" s="826">
        <f>AV$324*AV352</f>
        <v>0</v>
      </c>
      <c r="AW356" s="826">
        <f ca="1">AW$324*AW352</f>
        <v>0</v>
      </c>
      <c r="AX356" s="736">
        <f ca="1">AY356+AZ356</f>
        <v>0</v>
      </c>
      <c r="AY356" s="826">
        <f>AY$324*AY352</f>
        <v>0</v>
      </c>
      <c r="AZ356" s="826">
        <f ca="1">AZ$324*AZ352</f>
        <v>0</v>
      </c>
      <c r="BA356" s="736">
        <f ca="1">BB356+BC356</f>
        <v>0</v>
      </c>
      <c r="BB356" s="42">
        <f>BB$324*BB352</f>
        <v>0</v>
      </c>
      <c r="BC356" s="42">
        <f ca="1">BC$324*BC352</f>
        <v>0</v>
      </c>
      <c r="BD356" s="736">
        <f ca="1">BE356+BF356</f>
        <v>0</v>
      </c>
      <c r="BE356" s="42">
        <f>BE$324*BE352</f>
        <v>0</v>
      </c>
      <c r="BF356" s="42">
        <f ca="1">BF$324*BF352</f>
        <v>0</v>
      </c>
      <c r="BG356" s="736">
        <f ca="1">BH356+BI356</f>
        <v>0</v>
      </c>
      <c r="BH356" s="42">
        <f>BH$324*BH352</f>
        <v>0</v>
      </c>
      <c r="BI356" s="42">
        <f ca="1">BI$324*BI352</f>
        <v>0</v>
      </c>
      <c r="BJ356" s="736">
        <f ca="1">BK356+BL356</f>
        <v>0</v>
      </c>
      <c r="BK356" s="42">
        <f>BK$324*BK352</f>
        <v>0</v>
      </c>
      <c r="BL356" s="42">
        <f ca="1">BL$324*BL352</f>
        <v>0</v>
      </c>
      <c r="BM356" s="736">
        <f ca="1">BN356+BO356</f>
        <v>0</v>
      </c>
      <c r="BN356" s="42">
        <f>BN$324*BN352</f>
        <v>0</v>
      </c>
      <c r="BO356" s="42">
        <f ca="1">BO$324*BO352</f>
        <v>0</v>
      </c>
      <c r="BP356" s="736">
        <f ca="1">BQ356+BR356</f>
        <v>0</v>
      </c>
      <c r="BQ356" s="826">
        <f>BQ$324*BQ352</f>
        <v>0</v>
      </c>
      <c r="BR356" s="826">
        <f ca="1">BR$324*BR352</f>
        <v>0</v>
      </c>
      <c r="BS356" s="736">
        <f ca="1">BT356+BU356</f>
        <v>0</v>
      </c>
      <c r="BT356" s="826">
        <f>BT$324*BT352</f>
        <v>0</v>
      </c>
      <c r="BU356" s="826">
        <f ca="1">BU$324*BU352</f>
        <v>0</v>
      </c>
      <c r="BV356" s="736">
        <f ca="1">BW356+BX356</f>
        <v>0</v>
      </c>
      <c r="BW356" s="826">
        <f>BW$324*BW352</f>
        <v>0</v>
      </c>
      <c r="BX356" s="826">
        <f ca="1">BX$324*BX352</f>
        <v>0</v>
      </c>
      <c r="BY356" s="736">
        <f ca="1">BZ356+CA356</f>
        <v>0</v>
      </c>
      <c r="BZ356" s="826">
        <f>BZ$324*BZ352</f>
        <v>0</v>
      </c>
      <c r="CA356" s="826">
        <f ca="1">CA$324*CA352</f>
        <v>0</v>
      </c>
      <c r="CB356" s="736">
        <f ca="1">CC356+CD356</f>
        <v>0</v>
      </c>
      <c r="CC356" s="826">
        <f>CC$324*CC352</f>
        <v>0</v>
      </c>
      <c r="CD356" s="826">
        <f ca="1">CD$324*CD352</f>
        <v>0</v>
      </c>
      <c r="CE356" s="736">
        <f ca="1">CF356+CG356</f>
        <v>0</v>
      </c>
      <c r="CF356" s="42">
        <f>CF$324*CF352</f>
        <v>0</v>
      </c>
      <c r="CG356" s="42">
        <f ca="1">CG$324*CG352</f>
        <v>0</v>
      </c>
      <c r="CH356" s="736">
        <f ca="1">CI356+CJ356</f>
        <v>0</v>
      </c>
      <c r="CI356" s="42">
        <f>CI$324*CI352</f>
        <v>0</v>
      </c>
      <c r="CJ356" s="42">
        <f ca="1">CJ$324*CJ352</f>
        <v>0</v>
      </c>
      <c r="CK356" s="736">
        <f ca="1">CL356+CM356</f>
        <v>0</v>
      </c>
      <c r="CL356" s="42">
        <f>CL$324*CL352</f>
        <v>0</v>
      </c>
      <c r="CM356" s="42">
        <f ca="1">CM$324*CM352</f>
        <v>0</v>
      </c>
      <c r="CN356" s="736">
        <f ca="1">CO356+CP356</f>
        <v>0</v>
      </c>
      <c r="CO356" s="42">
        <f>CO$324*CO352</f>
        <v>0</v>
      </c>
      <c r="CP356" s="42">
        <f ca="1">CP$324*CP352</f>
        <v>0</v>
      </c>
      <c r="CQ356" s="736">
        <f ca="1">CR356+CS356</f>
        <v>0</v>
      </c>
      <c r="CR356" s="42">
        <f>CR$324*CR352</f>
        <v>0</v>
      </c>
      <c r="CS356" s="42">
        <f ca="1">CS$324*CS352</f>
        <v>0</v>
      </c>
      <c r="CT356" s="28"/>
      <c r="CW356" s="970" t="s">
        <v>844</v>
      </c>
      <c r="CX356" s="975" t="s">
        <v>821</v>
      </c>
      <c r="CY356" s="979" cm="1">
        <f t="array" ref="CY356">AE356</f>
        <v>0</v>
      </c>
      <c r="CZ356" s="979" cm="1">
        <f t="array" ref="CZ356">AF356</f>
        <v>0</v>
      </c>
      <c r="DA356" s="976"/>
      <c r="DB356" s="976"/>
    </row>
    <row r="357" spans="1:106" s="1229" customFormat="1" ht="16.5" hidden="1" customHeight="1">
      <c r="E357" s="676">
        <v>17.100000000000001</v>
      </c>
      <c r="F357" s="779" t="str" cm="1">
        <f t="array" aca="1" ref="F357" ca="1">OFFSET(G357,-1,-1)</f>
        <v>2</v>
      </c>
      <c r="L357" s="779" t="b" cm="1">
        <f t="array" aca="1" ref="L357" ca="1">OFFSET(M357,-1,-1)</f>
        <v>0</v>
      </c>
      <c r="R357" s="779" t="s">
        <v>759</v>
      </c>
      <c r="S357" s="110" t="b" cm="1">
        <f t="array" aca="1" ref="S357" ca="1">OFFSET(T357,-1,-1)</f>
        <v>1</v>
      </c>
      <c r="T357" s="110" t="b">
        <f ca="1">AND(L357,AD357&lt;&gt;"25.0")</f>
        <v>0</v>
      </c>
      <c r="U357" s="698" t="b">
        <f t="shared" ca="1" si="391"/>
        <v>0</v>
      </c>
      <c r="X357" s="110" t="str">
        <f>'Топливо 4.4'!$AE$353&amp;'Топливо 4.4'!$AF$353</f>
        <v>Уголь длиннопламенный</v>
      </c>
      <c r="Y357" s="1722"/>
      <c r="Z357" s="1722"/>
      <c r="AB357" s="1784"/>
      <c r="AD357" s="111" t="s">
        <v>945</v>
      </c>
      <c r="AE357" s="821" t="str" cm="1">
        <f t="array" ref="AE357">IF(ISBLANK('Топливо 4.4'!$AE$353),"",'Топливо 4.4'!$AE$353)</f>
        <v>Уголь длиннопламенный</v>
      </c>
      <c r="AF357" s="524" t="str" cm="1">
        <f t="array" ref="AF357">IF(ISBLANK('Топливо 4.4'!$AF$353),"",'Топливо 4.4'!$AF$353)</f>
        <v/>
      </c>
      <c r="AG357" s="853" t="s">
        <v>839</v>
      </c>
      <c r="AH357" s="41">
        <f t="shared" si="396"/>
        <v>0</v>
      </c>
      <c r="AI357" s="42">
        <f t="shared" si="396"/>
        <v>0</v>
      </c>
      <c r="AJ357" s="42">
        <f t="shared" si="396"/>
        <v>0</v>
      </c>
      <c r="AK357" s="42">
        <f t="shared" si="396"/>
        <v>61965.19</v>
      </c>
      <c r="AL357" s="736">
        <f ca="1">AM357+AN357</f>
        <v>0</v>
      </c>
      <c r="AM357" s="42">
        <f>AM$324*AM353</f>
        <v>0</v>
      </c>
      <c r="AN357" s="42">
        <f ca="1">AN$324*AN353</f>
        <v>0</v>
      </c>
      <c r="AO357" s="736">
        <f ca="1">AP357+AQ357</f>
        <v>0</v>
      </c>
      <c r="AP357" s="826">
        <f>AP$324*AP353</f>
        <v>0</v>
      </c>
      <c r="AQ357" s="826">
        <f ca="1">AQ$324*AQ353</f>
        <v>0</v>
      </c>
      <c r="AR357" s="736">
        <f ca="1">AS357+AT357</f>
        <v>0</v>
      </c>
      <c r="AS357" s="826">
        <f>AS$324*AS353</f>
        <v>0</v>
      </c>
      <c r="AT357" s="826">
        <f ca="1">AT$324*AT353</f>
        <v>0</v>
      </c>
      <c r="AU357" s="736">
        <f ca="1">AV357+AW357</f>
        <v>0</v>
      </c>
      <c r="AV357" s="826">
        <f>AV$324*AV353</f>
        <v>0</v>
      </c>
      <c r="AW357" s="826">
        <f ca="1">AW$324*AW353</f>
        <v>0</v>
      </c>
      <c r="AX357" s="736">
        <f ca="1">AY357+AZ357</f>
        <v>0</v>
      </c>
      <c r="AY357" s="826">
        <f>AY$324*AY353</f>
        <v>0</v>
      </c>
      <c r="AZ357" s="826">
        <f ca="1">AZ$324*AZ353</f>
        <v>0</v>
      </c>
      <c r="BA357" s="736">
        <f ca="1">BB357+BC357</f>
        <v>0</v>
      </c>
      <c r="BB357" s="42">
        <f>BB$324*BB353</f>
        <v>0</v>
      </c>
      <c r="BC357" s="42">
        <f ca="1">BC$324*BC353</f>
        <v>0</v>
      </c>
      <c r="BD357" s="736">
        <f ca="1">BE357+BF357</f>
        <v>0</v>
      </c>
      <c r="BE357" s="42">
        <f>BE$324*BE353</f>
        <v>0</v>
      </c>
      <c r="BF357" s="42">
        <f ca="1">BF$324*BF353</f>
        <v>0</v>
      </c>
      <c r="BG357" s="736">
        <f ca="1">BH357+BI357</f>
        <v>0</v>
      </c>
      <c r="BH357" s="42">
        <f>BH$324*BH353</f>
        <v>0</v>
      </c>
      <c r="BI357" s="42">
        <f ca="1">BI$324*BI353</f>
        <v>0</v>
      </c>
      <c r="BJ357" s="736">
        <f ca="1">BK357+BL357</f>
        <v>0</v>
      </c>
      <c r="BK357" s="42">
        <f>BK$324*BK353</f>
        <v>0</v>
      </c>
      <c r="BL357" s="42">
        <f ca="1">BL$324*BL353</f>
        <v>0</v>
      </c>
      <c r="BM357" s="736">
        <f ca="1">BN357+BO357</f>
        <v>0</v>
      </c>
      <c r="BN357" s="42">
        <f>BN$324*BN353</f>
        <v>0</v>
      </c>
      <c r="BO357" s="42">
        <f ca="1">BO$324*BO353</f>
        <v>0</v>
      </c>
      <c r="BP357" s="736">
        <f ca="1">BQ357+BR357</f>
        <v>62761.013107060338</v>
      </c>
      <c r="BQ357" s="826">
        <f>BQ$324*BQ353</f>
        <v>44792.535054508968</v>
      </c>
      <c r="BR357" s="826">
        <f ca="1">BR$324*BR353</f>
        <v>17968.478052551374</v>
      </c>
      <c r="BS357" s="736">
        <f ca="1">BT357+BU357</f>
        <v>0</v>
      </c>
      <c r="BT357" s="826">
        <f>BT$324*BT353</f>
        <v>0</v>
      </c>
      <c r="BU357" s="826">
        <f ca="1">BU$324*BU353</f>
        <v>0</v>
      </c>
      <c r="BV357" s="736">
        <f ca="1">BW357+BX357</f>
        <v>0</v>
      </c>
      <c r="BW357" s="826">
        <f>BW$324*BW353</f>
        <v>0</v>
      </c>
      <c r="BX357" s="826">
        <f ca="1">BX$324*BX353</f>
        <v>0</v>
      </c>
      <c r="BY357" s="736">
        <f ca="1">BZ357+CA357</f>
        <v>0</v>
      </c>
      <c r="BZ357" s="826">
        <f>BZ$324*BZ353</f>
        <v>0</v>
      </c>
      <c r="CA357" s="826">
        <f ca="1">CA$324*CA353</f>
        <v>0</v>
      </c>
      <c r="CB357" s="736">
        <f ca="1">CC357+CD357</f>
        <v>0</v>
      </c>
      <c r="CC357" s="826">
        <f>CC$324*CC353</f>
        <v>0</v>
      </c>
      <c r="CD357" s="826">
        <f ca="1">CD$324*CD353</f>
        <v>0</v>
      </c>
      <c r="CE357" s="736">
        <f ca="1">CF357+CG357</f>
        <v>0</v>
      </c>
      <c r="CF357" s="42">
        <f>CF$324*CF353</f>
        <v>0</v>
      </c>
      <c r="CG357" s="42">
        <f ca="1">CG$324*CG353</f>
        <v>0</v>
      </c>
      <c r="CH357" s="736">
        <f ca="1">CI357+CJ357</f>
        <v>0</v>
      </c>
      <c r="CI357" s="42">
        <f>CI$324*CI353</f>
        <v>0</v>
      </c>
      <c r="CJ357" s="42">
        <f ca="1">CJ$324*CJ353</f>
        <v>0</v>
      </c>
      <c r="CK357" s="736">
        <f ca="1">CL357+CM357</f>
        <v>0</v>
      </c>
      <c r="CL357" s="42">
        <f>CL$324*CL353</f>
        <v>0</v>
      </c>
      <c r="CM357" s="42">
        <f ca="1">CM$324*CM353</f>
        <v>0</v>
      </c>
      <c r="CN357" s="736">
        <f ca="1">CO357+CP357</f>
        <v>0</v>
      </c>
      <c r="CO357" s="42">
        <f>CO$324*CO353</f>
        <v>0</v>
      </c>
      <c r="CP357" s="42">
        <f ca="1">CP$324*CP353</f>
        <v>0</v>
      </c>
      <c r="CQ357" s="736">
        <f ca="1">CR357+CS357</f>
        <v>0</v>
      </c>
      <c r="CR357" s="42">
        <f>CR$324*CR353</f>
        <v>0</v>
      </c>
      <c r="CS357" s="42">
        <f ca="1">CS$324*CS353</f>
        <v>0</v>
      </c>
      <c r="CT357" s="28"/>
      <c r="CW357" s="970" t="s">
        <v>844</v>
      </c>
      <c r="CX357" s="975" t="s">
        <v>821</v>
      </c>
      <c r="CY357" s="979" t="str" cm="1">
        <f t="array" ref="CY357">AE357</f>
        <v>Уголь длиннопламенный</v>
      </c>
      <c r="CZ357" s="979" t="str" cm="1">
        <f t="array" ref="CZ357">AF357</f>
        <v/>
      </c>
      <c r="DA357" s="976"/>
      <c r="DB357" s="976"/>
    </row>
    <row r="358" spans="1:106" s="1229" customFormat="1" ht="15" hidden="1" customHeight="1">
      <c r="A358" s="1155"/>
      <c r="B358" s="783"/>
      <c r="C358" s="1155"/>
      <c r="D358" s="1155"/>
      <c r="E358" s="676">
        <v>0</v>
      </c>
      <c r="F358" s="779" t="str" cm="1">
        <f t="array" aca="1" ref="F358" ca="1">OFFSET(G358,-1,-1)</f>
        <v>2</v>
      </c>
      <c r="G358" s="814"/>
      <c r="H358" s="814"/>
      <c r="I358" s="814"/>
      <c r="J358" s="814"/>
      <c r="K358" s="814"/>
      <c r="L358" s="779" t="b" cm="1">
        <f t="array" aca="1" ref="L358" ca="1">OFFSET(M358,-1,-1)</f>
        <v>0</v>
      </c>
      <c r="M358" s="814"/>
      <c r="N358" s="814"/>
      <c r="O358" s="814"/>
      <c r="P358" s="814"/>
      <c r="Q358" s="814"/>
      <c r="R358" s="1155"/>
      <c r="S358" s="110" t="b" cm="1">
        <f t="array" aca="1" ref="S358" ca="1">OFFSET(T358,-1,-1)</f>
        <v>1</v>
      </c>
      <c r="T358" s="1155"/>
      <c r="U358" s="698" t="b">
        <f t="shared" ca="1" si="391"/>
        <v>1</v>
      </c>
      <c r="V358" s="1155"/>
      <c r="W358" s="1155"/>
      <c r="X358" s="820" t="str">
        <f>"{                  
         funcDyn: 'msg1',
         blok: 'blok_2',
         wsCross: 'Топливо 4.4',
         linkFormula: 'AE-AE#AF-AF',
         levelDyn: "&amp;Y300&amp;"
}"</f>
        <v>{                  
         funcDyn: 'msg1',
         blok: 'blok_2',
         wsCross: 'Топливо 4.4',
         linkFormula: 'AE-AE#AF-AF',
         levelDyn: 2
}</v>
      </c>
      <c r="Y358" s="1687"/>
      <c r="Z358" s="1687"/>
      <c r="AA358" s="699"/>
      <c r="AB358" s="1785"/>
      <c r="AD358" s="823"/>
      <c r="AE358" s="822" t="s">
        <v>238</v>
      </c>
      <c r="AF358" s="745"/>
      <c r="AG358" s="853"/>
      <c r="AH358" s="735"/>
      <c r="AI358" s="737"/>
      <c r="AJ358" s="737"/>
      <c r="AK358" s="737"/>
      <c r="AL358" s="737"/>
      <c r="AM358" s="737"/>
      <c r="AN358" s="737"/>
      <c r="AO358" s="737"/>
      <c r="AP358" s="737"/>
      <c r="AQ358" s="737"/>
      <c r="AR358" s="737"/>
      <c r="AS358" s="737"/>
      <c r="AT358" s="737"/>
      <c r="AU358" s="737"/>
      <c r="AV358" s="737"/>
      <c r="AW358" s="737"/>
      <c r="AX358" s="737"/>
      <c r="AY358" s="737"/>
      <c r="AZ358" s="737"/>
      <c r="BA358" s="737"/>
      <c r="BB358" s="737"/>
      <c r="BC358" s="737"/>
      <c r="BD358" s="737"/>
      <c r="BE358" s="737"/>
      <c r="BF358" s="737"/>
      <c r="BG358" s="737"/>
      <c r="BH358" s="737"/>
      <c r="BI358" s="737"/>
      <c r="BJ358" s="737"/>
      <c r="BK358" s="737"/>
      <c r="BL358" s="737"/>
      <c r="BM358" s="737"/>
      <c r="BN358" s="737"/>
      <c r="BO358" s="737"/>
      <c r="BP358" s="737"/>
      <c r="BQ358" s="737"/>
      <c r="BR358" s="737"/>
      <c r="BS358" s="737"/>
      <c r="BT358" s="737"/>
      <c r="BU358" s="737"/>
      <c r="BV358" s="737"/>
      <c r="BW358" s="737"/>
      <c r="BX358" s="737"/>
      <c r="BY358" s="737"/>
      <c r="BZ358" s="737"/>
      <c r="CA358" s="737"/>
      <c r="CB358" s="737"/>
      <c r="CC358" s="737"/>
      <c r="CD358" s="737"/>
      <c r="CE358" s="737"/>
      <c r="CF358" s="737"/>
      <c r="CG358" s="737"/>
      <c r="CH358" s="737"/>
      <c r="CI358" s="737"/>
      <c r="CJ358" s="737"/>
      <c r="CK358" s="737"/>
      <c r="CL358" s="737"/>
      <c r="CM358" s="737"/>
      <c r="CN358" s="737"/>
      <c r="CO358" s="737"/>
      <c r="CP358" s="737"/>
      <c r="CQ358" s="737"/>
      <c r="CR358" s="737"/>
      <c r="CS358" s="737"/>
      <c r="CT358" s="46"/>
      <c r="CW358" s="970" t="str">
        <f>IF(AND(ISNUMBER(VALUE(TRIM(SUBSTITUTE(AD358,".","")))),TRIM(SUBSTITUTE(AD358,".",""))&lt;&gt;""),"P"&amp;SUBSTITUTE(AD358,".",""),"")</f>
        <v/>
      </c>
      <c r="CX358" s="975"/>
      <c r="CY358" s="975"/>
      <c r="CZ358" s="975"/>
      <c r="DA358" s="976"/>
      <c r="DB358" s="976"/>
    </row>
    <row r="359" spans="1:106" s="1229" customFormat="1" ht="16.5" customHeight="1">
      <c r="A359" s="1155"/>
      <c r="B359" s="783"/>
      <c r="C359" s="1155"/>
      <c r="D359" s="1155"/>
      <c r="E359" s="676">
        <v>17.100000000000001</v>
      </c>
      <c r="F359" s="779" t="str" cm="1">
        <f t="array" aca="1" ref="F359" ca="1">OFFSET(G359,-1,-1)</f>
        <v>2</v>
      </c>
      <c r="G359" s="814"/>
      <c r="H359" s="814"/>
      <c r="I359" s="814"/>
      <c r="J359" s="814"/>
      <c r="K359" s="814"/>
      <c r="L359" s="779" t="b" cm="1">
        <f t="array" aca="1" ref="L359" ca="1">OFFSET(M359,-1,-1)</f>
        <v>0</v>
      </c>
      <c r="M359" s="814"/>
      <c r="N359" s="814"/>
      <c r="O359" s="814"/>
      <c r="P359" s="814"/>
      <c r="Q359" s="814"/>
      <c r="R359" s="1155"/>
      <c r="S359" s="110" t="b" cm="1">
        <f t="array" aca="1" ref="S359" ca="1">OFFSET(T359,-1,-1)</f>
        <v>1</v>
      </c>
      <c r="T359" s="1155"/>
      <c r="U359" s="698" t="b">
        <f t="shared" ca="1" si="391"/>
        <v>1</v>
      </c>
      <c r="V359" s="1155"/>
      <c r="W359" s="1155"/>
      <c r="X359" s="1155"/>
      <c r="Y359" s="1687"/>
      <c r="Z359" s="1687"/>
      <c r="AA359" s="699"/>
      <c r="AB359" s="1789" t="s">
        <v>846</v>
      </c>
      <c r="AD359" s="124">
        <v>26</v>
      </c>
      <c r="AE359" s="1754" t="s">
        <v>847</v>
      </c>
      <c r="AF359" s="1734"/>
      <c r="AG359" s="849"/>
      <c r="AH359" s="735"/>
      <c r="AI359" s="737"/>
      <c r="AJ359" s="737"/>
      <c r="AK359" s="737"/>
      <c r="AL359" s="737"/>
      <c r="AM359" s="737"/>
      <c r="AN359" s="737"/>
      <c r="AO359" s="737"/>
      <c r="AP359" s="737"/>
      <c r="AQ359" s="737"/>
      <c r="AR359" s="737"/>
      <c r="AS359" s="737"/>
      <c r="AT359" s="737"/>
      <c r="AU359" s="737"/>
      <c r="AV359" s="737"/>
      <c r="AW359" s="737"/>
      <c r="AX359" s="737"/>
      <c r="AY359" s="737"/>
      <c r="AZ359" s="737"/>
      <c r="BA359" s="737"/>
      <c r="BB359" s="737"/>
      <c r="BC359" s="737"/>
      <c r="BD359" s="737"/>
      <c r="BE359" s="737"/>
      <c r="BF359" s="737"/>
      <c r="BG359" s="737"/>
      <c r="BH359" s="737"/>
      <c r="BI359" s="737"/>
      <c r="BJ359" s="737"/>
      <c r="BK359" s="737"/>
      <c r="BL359" s="737"/>
      <c r="BM359" s="737"/>
      <c r="BN359" s="737"/>
      <c r="BO359" s="737"/>
      <c r="BP359" s="737"/>
      <c r="BQ359" s="737"/>
      <c r="BR359" s="737"/>
      <c r="BS359" s="737"/>
      <c r="BT359" s="737"/>
      <c r="BU359" s="737"/>
      <c r="BV359" s="737"/>
      <c r="BW359" s="737"/>
      <c r="BX359" s="737"/>
      <c r="BY359" s="737"/>
      <c r="BZ359" s="737"/>
      <c r="CA359" s="737"/>
      <c r="CB359" s="737"/>
      <c r="CC359" s="737"/>
      <c r="CD359" s="737"/>
      <c r="CE359" s="737"/>
      <c r="CF359" s="737"/>
      <c r="CG359" s="737"/>
      <c r="CH359" s="737"/>
      <c r="CI359" s="737"/>
      <c r="CJ359" s="737"/>
      <c r="CK359" s="737"/>
      <c r="CL359" s="737"/>
      <c r="CM359" s="737"/>
      <c r="CN359" s="737"/>
      <c r="CO359" s="737"/>
      <c r="CP359" s="737"/>
      <c r="CQ359" s="737"/>
      <c r="CR359" s="737"/>
      <c r="CS359" s="737"/>
      <c r="CT359" s="1290"/>
      <c r="CW359" s="970" t="s">
        <v>848</v>
      </c>
      <c r="CX359" s="975"/>
      <c r="CY359" s="975"/>
      <c r="CZ359" s="975"/>
      <c r="DA359" s="976"/>
      <c r="DB359" s="976"/>
    </row>
    <row r="360" spans="1:106" s="1229" customFormat="1" ht="16.5" hidden="1" customHeight="1">
      <c r="E360" s="676">
        <v>17.100000000000001</v>
      </c>
      <c r="F360" s="779" t="str" cm="1">
        <f t="array" aca="1" ref="F360" ca="1">OFFSET(G360,-1,-1)</f>
        <v>2</v>
      </c>
      <c r="L360" s="779" t="b" cm="1">
        <f t="array" aca="1" ref="L360" ca="1">OFFSET(M360,-1,-1)</f>
        <v>0</v>
      </c>
      <c r="S360" s="110" t="b" cm="1">
        <f t="array" aca="1" ref="S360" ca="1">OFFSET(T360,-1,-1)</f>
        <v>1</v>
      </c>
      <c r="T360" s="110" t="b">
        <f>AD360&lt;&gt;"26.0"</f>
        <v>0</v>
      </c>
      <c r="U360" s="698" t="b">
        <f t="shared" ca="1" si="391"/>
        <v>0</v>
      </c>
      <c r="X360" s="110" t="s">
        <v>236</v>
      </c>
      <c r="Y360" s="1722"/>
      <c r="Z360" s="1722"/>
      <c r="AB360" s="1790"/>
      <c r="AD360" s="111" t="s">
        <v>849</v>
      </c>
      <c r="AE360" s="821"/>
      <c r="AF360" s="524"/>
      <c r="AG360" s="733" t="s">
        <v>533</v>
      </c>
      <c r="AH360" s="45"/>
      <c r="AI360" s="49"/>
      <c r="AJ360" s="49"/>
      <c r="AK360" s="49"/>
      <c r="AL360" s="737"/>
      <c r="AM360" s="42"/>
      <c r="AN360" s="42"/>
      <c r="AO360" s="737"/>
      <c r="AP360" s="829"/>
      <c r="AQ360" s="829"/>
      <c r="AR360" s="737"/>
      <c r="AS360" s="829"/>
      <c r="AT360" s="829"/>
      <c r="AU360" s="737"/>
      <c r="AV360" s="829"/>
      <c r="AW360" s="829"/>
      <c r="AX360" s="737"/>
      <c r="AY360" s="829"/>
      <c r="AZ360" s="829"/>
      <c r="BA360" s="737"/>
      <c r="BB360" s="49"/>
      <c r="BC360" s="49"/>
      <c r="BD360" s="737"/>
      <c r="BE360" s="49"/>
      <c r="BF360" s="49"/>
      <c r="BG360" s="737"/>
      <c r="BH360" s="49"/>
      <c r="BI360" s="49"/>
      <c r="BJ360" s="737"/>
      <c r="BK360" s="49"/>
      <c r="BL360" s="49"/>
      <c r="BM360" s="737"/>
      <c r="BN360" s="49"/>
      <c r="BO360" s="49"/>
      <c r="BP360" s="737"/>
      <c r="BQ360" s="829"/>
      <c r="BR360" s="829"/>
      <c r="BS360" s="737"/>
      <c r="BT360" s="829"/>
      <c r="BU360" s="829"/>
      <c r="BV360" s="737"/>
      <c r="BW360" s="829"/>
      <c r="BX360" s="829"/>
      <c r="BY360" s="737"/>
      <c r="BZ360" s="829"/>
      <c r="CA360" s="829"/>
      <c r="CB360" s="737"/>
      <c r="CC360" s="829"/>
      <c r="CD360" s="829"/>
      <c r="CE360" s="737"/>
      <c r="CF360" s="49"/>
      <c r="CG360" s="49"/>
      <c r="CH360" s="737"/>
      <c r="CI360" s="49"/>
      <c r="CJ360" s="49"/>
      <c r="CK360" s="737"/>
      <c r="CL360" s="49"/>
      <c r="CM360" s="49"/>
      <c r="CN360" s="737"/>
      <c r="CO360" s="49"/>
      <c r="CP360" s="49"/>
      <c r="CQ360" s="737"/>
      <c r="CR360" s="49"/>
      <c r="CS360" s="49"/>
      <c r="CT360" s="28"/>
      <c r="CW360" s="970" t="s">
        <v>848</v>
      </c>
      <c r="CX360" s="975" t="s">
        <v>821</v>
      </c>
      <c r="CY360" s="979" cm="1">
        <f t="array" ref="CY360">AE360</f>
        <v>0</v>
      </c>
      <c r="CZ360" s="979" cm="1">
        <f t="array" ref="CZ360">AF360</f>
        <v>0</v>
      </c>
      <c r="DA360" s="976"/>
      <c r="DB360" s="976"/>
    </row>
    <row r="361" spans="1:106" s="1229" customFormat="1" ht="16.5" customHeight="1">
      <c r="E361" s="676">
        <v>17.100000000000001</v>
      </c>
      <c r="F361" s="779" t="str" cm="1">
        <f t="array" aca="1" ref="F361" ca="1">OFFSET(G361,-1,-1)</f>
        <v>2</v>
      </c>
      <c r="L361" s="779" t="b" cm="1">
        <f t="array" aca="1" ref="L361" ca="1">OFFSET(M361,-1,-1)</f>
        <v>0</v>
      </c>
      <c r="S361" s="110" t="b" cm="1">
        <f t="array" aca="1" ref="S361" ca="1">OFFSET(T361,-1,-1)</f>
        <v>1</v>
      </c>
      <c r="T361" s="110" t="b">
        <f>AD361&lt;&gt;"26.0"</f>
        <v>1</v>
      </c>
      <c r="U361" s="698" t="b">
        <f t="shared" ca="1" si="391"/>
        <v>1</v>
      </c>
      <c r="X361" s="110" t="str">
        <f>'Топливо 4.4'!$AE$357&amp;'Топливо 4.4'!$AF$357</f>
        <v>Уголь длиннопламенный</v>
      </c>
      <c r="Y361" s="1722"/>
      <c r="Z361" s="1722"/>
      <c r="AB361" s="1790"/>
      <c r="AD361" s="111" t="s">
        <v>947</v>
      </c>
      <c r="AE361" s="821" t="str" cm="1">
        <f t="array" ref="AE361">IF(ISBLANK('Топливо 4.4'!$AE$357),"",'Топливо 4.4'!$AE$357)</f>
        <v>Уголь длиннопламенный</v>
      </c>
      <c r="AF361" s="524" t="str" cm="1">
        <f t="array" ref="AF361">IF(ISBLANK('Топливо 4.4'!$AF$357),"",'Топливо 4.4'!$AF$357)</f>
        <v/>
      </c>
      <c r="AG361" s="733" t="s">
        <v>533</v>
      </c>
      <c r="AH361" s="1306"/>
      <c r="AI361" s="1309"/>
      <c r="AJ361" s="1309"/>
      <c r="AK361" s="1309"/>
      <c r="AL361" s="737"/>
      <c r="AM361" s="1302"/>
      <c r="AN361" s="1302"/>
      <c r="AO361" s="737"/>
      <c r="AP361" s="829"/>
      <c r="AQ361" s="829"/>
      <c r="AR361" s="737"/>
      <c r="AS361" s="829"/>
      <c r="AT361" s="829"/>
      <c r="AU361" s="737"/>
      <c r="AV361" s="829"/>
      <c r="AW361" s="829"/>
      <c r="AX361" s="737"/>
      <c r="AY361" s="829"/>
      <c r="AZ361" s="829"/>
      <c r="BA361" s="737"/>
      <c r="BB361" s="1309"/>
      <c r="BC361" s="1309"/>
      <c r="BD361" s="737"/>
      <c r="BE361" s="1309"/>
      <c r="BF361" s="1309"/>
      <c r="BG361" s="737"/>
      <c r="BH361" s="1309"/>
      <c r="BI361" s="1309"/>
      <c r="BJ361" s="737"/>
      <c r="BK361" s="1309"/>
      <c r="BL361" s="1309"/>
      <c r="BM361" s="737"/>
      <c r="BN361" s="1309"/>
      <c r="BO361" s="1309"/>
      <c r="BP361" s="737"/>
      <c r="BQ361" s="829"/>
      <c r="BR361" s="829"/>
      <c r="BS361" s="737"/>
      <c r="BT361" s="829"/>
      <c r="BU361" s="829"/>
      <c r="BV361" s="737"/>
      <c r="BW361" s="829"/>
      <c r="BX361" s="829"/>
      <c r="BY361" s="737"/>
      <c r="BZ361" s="829"/>
      <c r="CA361" s="829"/>
      <c r="CB361" s="737"/>
      <c r="CC361" s="829"/>
      <c r="CD361" s="829"/>
      <c r="CE361" s="737"/>
      <c r="CF361" s="1309"/>
      <c r="CG361" s="1309"/>
      <c r="CH361" s="737"/>
      <c r="CI361" s="1309"/>
      <c r="CJ361" s="1309"/>
      <c r="CK361" s="737"/>
      <c r="CL361" s="1309"/>
      <c r="CM361" s="1309"/>
      <c r="CN361" s="737"/>
      <c r="CO361" s="1309"/>
      <c r="CP361" s="1309"/>
      <c r="CQ361" s="737"/>
      <c r="CR361" s="1309"/>
      <c r="CS361" s="1309"/>
      <c r="CT361" s="1290"/>
      <c r="CW361" s="970" t="s">
        <v>848</v>
      </c>
      <c r="CX361" s="975" t="s">
        <v>821</v>
      </c>
      <c r="CY361" s="979" t="str" cm="1">
        <f t="array" ref="CY361">AE361</f>
        <v>Уголь длиннопламенный</v>
      </c>
      <c r="CZ361" s="979" t="str" cm="1">
        <f t="array" ref="CZ361">AF361</f>
        <v/>
      </c>
      <c r="DA361" s="976"/>
      <c r="DB361" s="976"/>
    </row>
    <row r="362" spans="1:106" s="1229" customFormat="1" ht="15" hidden="1" customHeight="1">
      <c r="A362" s="1155"/>
      <c r="B362" s="783"/>
      <c r="C362" s="1155"/>
      <c r="D362" s="1155"/>
      <c r="E362" s="676">
        <v>0</v>
      </c>
      <c r="F362" s="779" t="str" cm="1">
        <f t="array" aca="1" ref="F362" ca="1">OFFSET(G362,-1,-1)</f>
        <v>2</v>
      </c>
      <c r="G362" s="814"/>
      <c r="H362" s="814"/>
      <c r="I362" s="814"/>
      <c r="J362" s="814"/>
      <c r="K362" s="814"/>
      <c r="L362" s="779" t="b" cm="1">
        <f t="array" aca="1" ref="L362" ca="1">OFFSET(M362,-1,-1)</f>
        <v>0</v>
      </c>
      <c r="M362" s="814"/>
      <c r="N362" s="814"/>
      <c r="O362" s="814"/>
      <c r="P362" s="814"/>
      <c r="Q362" s="814"/>
      <c r="R362" s="1155"/>
      <c r="S362" s="110" t="b" cm="1">
        <f t="array" aca="1" ref="S362" ca="1">OFFSET(T362,-1,-1)</f>
        <v>1</v>
      </c>
      <c r="T362" s="1155"/>
      <c r="U362" s="698" t="b">
        <f t="shared" ca="1" si="391"/>
        <v>1</v>
      </c>
      <c r="V362" s="1155"/>
      <c r="W362" s="1155"/>
      <c r="X362" s="820" t="str">
        <f>"{                  
         funcDyn: 'msg1',
         blok: 'blok_2',
         wsCross: 'Топливо 4.4',
         linkFormula: 'AE-AE#AF-AF',
         levelDyn: "&amp;Y300&amp;"
}"</f>
        <v>{                  
         funcDyn: 'msg1',
         blok: 'blok_2',
         wsCross: 'Топливо 4.4',
         linkFormula: 'AE-AE#AF-AF',
         levelDyn: 2
}</v>
      </c>
      <c r="Y362" s="1687"/>
      <c r="Z362" s="1687"/>
      <c r="AA362" s="699"/>
      <c r="AB362" s="1790"/>
      <c r="AD362" s="823"/>
      <c r="AE362" s="822" t="s">
        <v>238</v>
      </c>
      <c r="AF362" s="745"/>
      <c r="AG362" s="733"/>
      <c r="AH362" s="746"/>
      <c r="AI362" s="50"/>
      <c r="AJ362" s="50"/>
      <c r="AK362" s="50"/>
      <c r="AL362" s="737"/>
      <c r="AM362" s="50"/>
      <c r="AN362" s="50"/>
      <c r="AO362" s="737"/>
      <c r="AP362" s="50"/>
      <c r="AQ362" s="50"/>
      <c r="AR362" s="737"/>
      <c r="AS362" s="50"/>
      <c r="AT362" s="50"/>
      <c r="AU362" s="737"/>
      <c r="AV362" s="50"/>
      <c r="AW362" s="50"/>
      <c r="AX362" s="737"/>
      <c r="AY362" s="50"/>
      <c r="AZ362" s="50"/>
      <c r="BA362" s="737"/>
      <c r="BB362" s="50"/>
      <c r="BC362" s="50"/>
      <c r="BD362" s="737"/>
      <c r="BE362" s="50"/>
      <c r="BF362" s="50"/>
      <c r="BG362" s="737"/>
      <c r="BH362" s="50"/>
      <c r="BI362" s="50"/>
      <c r="BJ362" s="737"/>
      <c r="BK362" s="50"/>
      <c r="BL362" s="50"/>
      <c r="BM362" s="737"/>
      <c r="BN362" s="50"/>
      <c r="BO362" s="50"/>
      <c r="BP362" s="737"/>
      <c r="BQ362" s="50"/>
      <c r="BR362" s="50"/>
      <c r="BS362" s="737"/>
      <c r="BT362" s="50"/>
      <c r="BU362" s="50"/>
      <c r="BV362" s="737"/>
      <c r="BW362" s="50"/>
      <c r="BX362" s="50"/>
      <c r="BY362" s="737"/>
      <c r="BZ362" s="50"/>
      <c r="CA362" s="50"/>
      <c r="CB362" s="737"/>
      <c r="CC362" s="50"/>
      <c r="CD362" s="50"/>
      <c r="CE362" s="737"/>
      <c r="CF362" s="50"/>
      <c r="CG362" s="50"/>
      <c r="CH362" s="737"/>
      <c r="CI362" s="50"/>
      <c r="CJ362" s="50"/>
      <c r="CK362" s="737"/>
      <c r="CL362" s="50"/>
      <c r="CM362" s="50"/>
      <c r="CN362" s="737"/>
      <c r="CO362" s="50"/>
      <c r="CP362" s="50"/>
      <c r="CQ362" s="737"/>
      <c r="CR362" s="50"/>
      <c r="CS362" s="50"/>
      <c r="CT362" s="46"/>
      <c r="CW362" s="970" t="str">
        <f>IF(AND(ISNUMBER(VALUE(TRIM(SUBSTITUTE(AD362,".","")))),TRIM(SUBSTITUTE(AD362,".",""))&lt;&gt;""),"P"&amp;SUBSTITUTE(AD362,".",""),"")</f>
        <v/>
      </c>
      <c r="CX362" s="975"/>
      <c r="CY362" s="975"/>
      <c r="CZ362" s="975"/>
      <c r="DA362" s="976"/>
      <c r="DB362" s="976"/>
    </row>
    <row r="363" spans="1:106" s="1229" customFormat="1" ht="16.5" customHeight="1">
      <c r="A363" s="1155"/>
      <c r="B363" s="783"/>
      <c r="C363" s="1155"/>
      <c r="D363" s="1155"/>
      <c r="E363" s="676">
        <v>17.100000000000001</v>
      </c>
      <c r="F363" s="779" t="str" cm="1">
        <f t="array" aca="1" ref="F363" ca="1">OFFSET(G363,-1,-1)</f>
        <v>2</v>
      </c>
      <c r="G363" s="814"/>
      <c r="H363" s="814"/>
      <c r="I363" s="814"/>
      <c r="J363" s="814"/>
      <c r="K363" s="814"/>
      <c r="L363" s="779" t="b" cm="1">
        <f t="array" aca="1" ref="L363" ca="1">OFFSET(M363,-1,-1)</f>
        <v>0</v>
      </c>
      <c r="M363" s="814"/>
      <c r="N363" s="814"/>
      <c r="O363" s="814"/>
      <c r="P363" s="814"/>
      <c r="Q363" s="814"/>
      <c r="R363" s="1155"/>
      <c r="S363" s="110" t="b" cm="1">
        <f t="array" aca="1" ref="S363" ca="1">OFFSET(T363,-1,-1)</f>
        <v>1</v>
      </c>
      <c r="T363" s="1155"/>
      <c r="U363" s="698" t="b">
        <f t="shared" ca="1" si="391"/>
        <v>1</v>
      </c>
      <c r="V363" s="1155"/>
      <c r="W363" s="1155"/>
      <c r="X363" s="1155"/>
      <c r="Y363" s="1687"/>
      <c r="Z363" s="1687"/>
      <c r="AA363" s="699"/>
      <c r="AB363" s="1790"/>
      <c r="AD363" s="124">
        <v>27</v>
      </c>
      <c r="AE363" s="1754" t="s">
        <v>850</v>
      </c>
      <c r="AF363" s="1734"/>
      <c r="AG363" s="849"/>
      <c r="AH363" s="735"/>
      <c r="AI363" s="737"/>
      <c r="AJ363" s="737"/>
      <c r="AK363" s="737"/>
      <c r="AL363" s="737"/>
      <c r="AM363" s="737"/>
      <c r="AN363" s="737"/>
      <c r="AO363" s="737"/>
      <c r="AP363" s="737"/>
      <c r="AQ363" s="737"/>
      <c r="AR363" s="737"/>
      <c r="AS363" s="737"/>
      <c r="AT363" s="737"/>
      <c r="AU363" s="737"/>
      <c r="AV363" s="737"/>
      <c r="AW363" s="737"/>
      <c r="AX363" s="737"/>
      <c r="AY363" s="737"/>
      <c r="AZ363" s="737"/>
      <c r="BA363" s="737"/>
      <c r="BB363" s="737"/>
      <c r="BC363" s="737"/>
      <c r="BD363" s="737"/>
      <c r="BE363" s="737"/>
      <c r="BF363" s="737"/>
      <c r="BG363" s="737"/>
      <c r="BH363" s="737"/>
      <c r="BI363" s="737"/>
      <c r="BJ363" s="737"/>
      <c r="BK363" s="737"/>
      <c r="BL363" s="737"/>
      <c r="BM363" s="737"/>
      <c r="BN363" s="737"/>
      <c r="BO363" s="737"/>
      <c r="BP363" s="737"/>
      <c r="BQ363" s="737"/>
      <c r="BR363" s="737"/>
      <c r="BS363" s="737"/>
      <c r="BT363" s="737"/>
      <c r="BU363" s="737"/>
      <c r="BV363" s="737"/>
      <c r="BW363" s="737"/>
      <c r="BX363" s="737"/>
      <c r="BY363" s="737"/>
      <c r="BZ363" s="737"/>
      <c r="CA363" s="737"/>
      <c r="CB363" s="737"/>
      <c r="CC363" s="737"/>
      <c r="CD363" s="737"/>
      <c r="CE363" s="737"/>
      <c r="CF363" s="737"/>
      <c r="CG363" s="737"/>
      <c r="CH363" s="737"/>
      <c r="CI363" s="737"/>
      <c r="CJ363" s="737"/>
      <c r="CK363" s="737"/>
      <c r="CL363" s="737"/>
      <c r="CM363" s="737"/>
      <c r="CN363" s="737"/>
      <c r="CO363" s="737"/>
      <c r="CP363" s="737"/>
      <c r="CQ363" s="737"/>
      <c r="CR363" s="737"/>
      <c r="CS363" s="737"/>
      <c r="CT363" s="1290"/>
      <c r="CW363" s="970" t="s">
        <v>851</v>
      </c>
      <c r="CX363" s="975"/>
      <c r="CY363" s="975"/>
      <c r="CZ363" s="975"/>
      <c r="DA363" s="976"/>
      <c r="DB363" s="976"/>
    </row>
    <row r="364" spans="1:106" s="1229" customFormat="1" ht="16.5" hidden="1" customHeight="1">
      <c r="E364" s="676">
        <v>17.100000000000001</v>
      </c>
      <c r="F364" s="779" t="str" cm="1">
        <f t="array" aca="1" ref="F364" ca="1">OFFSET(G364,-1,-1)</f>
        <v>2</v>
      </c>
      <c r="L364" s="779" t="b" cm="1">
        <f t="array" aca="1" ref="L364" ca="1">OFFSET(M364,-1,-1)</f>
        <v>0</v>
      </c>
      <c r="S364" s="110" t="b" cm="1">
        <f t="array" aca="1" ref="S364" ca="1">OFFSET(T364,-1,-1)</f>
        <v>1</v>
      </c>
      <c r="T364" s="110" t="b">
        <f>AD364&lt;&gt;"27.0"</f>
        <v>0</v>
      </c>
      <c r="U364" s="698" t="b">
        <f t="shared" ca="1" si="391"/>
        <v>0</v>
      </c>
      <c r="X364" s="110" t="s">
        <v>236</v>
      </c>
      <c r="Y364" s="1722"/>
      <c r="Z364" s="1722"/>
      <c r="AB364" s="1790"/>
      <c r="AD364" s="111" t="s">
        <v>852</v>
      </c>
      <c r="AE364" s="821"/>
      <c r="AF364" s="524"/>
      <c r="AG364" s="894" t="str">
        <f>"руб./"&amp;IFERROR(INDEX(fuel_ed_izm_list,MATCH(AE364,fuel_list,0)),"")</f>
        <v>руб./</v>
      </c>
      <c r="AH364" s="41">
        <f t="shared" ref="AH364:AL365" si="397">IFERROR(AH369/AH339,0)*1000</f>
        <v>0</v>
      </c>
      <c r="AI364" s="41">
        <f t="shared" si="397"/>
        <v>0</v>
      </c>
      <c r="AJ364" s="41">
        <f t="shared" si="397"/>
        <v>0</v>
      </c>
      <c r="AK364" s="41">
        <f t="shared" si="397"/>
        <v>0</v>
      </c>
      <c r="AL364" s="736">
        <f t="shared" ca="1" si="397"/>
        <v>0</v>
      </c>
      <c r="AM364" s="42"/>
      <c r="AN364" s="42"/>
      <c r="AO364" s="736">
        <f ca="1">IFERROR(AO369/AO339,0)*1000</f>
        <v>0</v>
      </c>
      <c r="AP364" s="826"/>
      <c r="AQ364" s="826"/>
      <c r="AR364" s="736">
        <f ca="1">IFERROR(AR369/AR339,0)*1000</f>
        <v>0</v>
      </c>
      <c r="AS364" s="826"/>
      <c r="AT364" s="826"/>
      <c r="AU364" s="736">
        <f ca="1">IFERROR(AU369/AU339,0)*1000</f>
        <v>0</v>
      </c>
      <c r="AV364" s="826"/>
      <c r="AW364" s="826"/>
      <c r="AX364" s="736">
        <f ca="1">IFERROR(AX369/AX339,0)*1000</f>
        <v>0</v>
      </c>
      <c r="AY364" s="826"/>
      <c r="AZ364" s="826"/>
      <c r="BA364" s="736">
        <f ca="1">IFERROR(BA369/BA339,0)*1000</f>
        <v>0</v>
      </c>
      <c r="BB364" s="42"/>
      <c r="BC364" s="42"/>
      <c r="BD364" s="736">
        <f ca="1">IFERROR(BD369/BD339,0)*1000</f>
        <v>0</v>
      </c>
      <c r="BE364" s="42"/>
      <c r="BF364" s="42"/>
      <c r="BG364" s="736">
        <f ca="1">IFERROR(BG369/BG339,0)*1000</f>
        <v>0</v>
      </c>
      <c r="BH364" s="42"/>
      <c r="BI364" s="42"/>
      <c r="BJ364" s="736">
        <f ca="1">IFERROR(BJ369/BJ339,0)*1000</f>
        <v>0</v>
      </c>
      <c r="BK364" s="42"/>
      <c r="BL364" s="42"/>
      <c r="BM364" s="736">
        <f ca="1">IFERROR(BM369/BM339,0)*1000</f>
        <v>0</v>
      </c>
      <c r="BN364" s="42"/>
      <c r="BO364" s="42"/>
      <c r="BP364" s="736">
        <f ca="1">IFERROR(BP369/BP339,0)*1000</f>
        <v>0</v>
      </c>
      <c r="BQ364" s="826"/>
      <c r="BR364" s="826"/>
      <c r="BS364" s="736">
        <f ca="1">IFERROR(BS369/BS339,0)*1000</f>
        <v>0</v>
      </c>
      <c r="BT364" s="826"/>
      <c r="BU364" s="826"/>
      <c r="BV364" s="736">
        <f ca="1">IFERROR(BV369/BV339,0)*1000</f>
        <v>0</v>
      </c>
      <c r="BW364" s="826"/>
      <c r="BX364" s="826"/>
      <c r="BY364" s="736">
        <f ca="1">IFERROR(BY369/BY339,0)*1000</f>
        <v>0</v>
      </c>
      <c r="BZ364" s="826"/>
      <c r="CA364" s="826"/>
      <c r="CB364" s="736">
        <f ca="1">IFERROR(CB369/CB339,0)*1000</f>
        <v>0</v>
      </c>
      <c r="CC364" s="826"/>
      <c r="CD364" s="826"/>
      <c r="CE364" s="736">
        <f ca="1">IFERROR(CE369/CE339,0)*1000</f>
        <v>0</v>
      </c>
      <c r="CF364" s="42"/>
      <c r="CG364" s="42"/>
      <c r="CH364" s="736">
        <f ca="1">IFERROR(CH369/CH339,0)*1000</f>
        <v>0</v>
      </c>
      <c r="CI364" s="42"/>
      <c r="CJ364" s="42"/>
      <c r="CK364" s="736">
        <f ca="1">IFERROR(CK369/CK339,0)*1000</f>
        <v>0</v>
      </c>
      <c r="CL364" s="42"/>
      <c r="CM364" s="42"/>
      <c r="CN364" s="736">
        <f ca="1">IFERROR(CN369/CN339,0)*1000</f>
        <v>0</v>
      </c>
      <c r="CO364" s="42"/>
      <c r="CP364" s="42"/>
      <c r="CQ364" s="736">
        <f ca="1">IFERROR(CQ369/CQ339,0)*1000</f>
        <v>0</v>
      </c>
      <c r="CR364" s="42"/>
      <c r="CS364" s="42"/>
      <c r="CT364" s="28"/>
      <c r="CW364" s="970" t="s">
        <v>851</v>
      </c>
      <c r="CX364" s="975" t="s">
        <v>821</v>
      </c>
      <c r="CY364" s="979" cm="1">
        <f t="array" ref="CY364">AE364</f>
        <v>0</v>
      </c>
      <c r="CZ364" s="979" cm="1">
        <f t="array" ref="CZ364">AF364</f>
        <v>0</v>
      </c>
      <c r="DA364" s="976"/>
      <c r="DB364" s="976"/>
    </row>
    <row r="365" spans="1:106" s="1229" customFormat="1" ht="16.5" customHeight="1">
      <c r="E365" s="676">
        <v>17.100000000000001</v>
      </c>
      <c r="F365" s="779" t="str" cm="1">
        <f t="array" aca="1" ref="F365" ca="1">OFFSET(G365,-1,-1)</f>
        <v>2</v>
      </c>
      <c r="L365" s="779" t="b" cm="1">
        <f t="array" aca="1" ref="L365" ca="1">OFFSET(M365,-1,-1)</f>
        <v>0</v>
      </c>
      <c r="S365" s="110" t="b" cm="1">
        <f t="array" aca="1" ref="S365" ca="1">OFFSET(T365,-1,-1)</f>
        <v>1</v>
      </c>
      <c r="T365" s="110" t="b">
        <f>AD365&lt;&gt;"27.0"</f>
        <v>1</v>
      </c>
      <c r="U365" s="698" t="b">
        <f t="shared" ca="1" si="391"/>
        <v>1</v>
      </c>
      <c r="X365" s="110" t="str">
        <f>'Топливо 4.4'!$AE$361&amp;'Топливо 4.4'!$AF$361</f>
        <v>Уголь длиннопламенный</v>
      </c>
      <c r="Y365" s="1722"/>
      <c r="Z365" s="1722"/>
      <c r="AB365" s="1790"/>
      <c r="AD365" s="111" t="s">
        <v>949</v>
      </c>
      <c r="AE365" s="821" t="str" cm="1">
        <f t="array" ref="AE365">IF(ISBLANK('Топливо 4.4'!$AE$361),"",'Топливо 4.4'!$AE$361)</f>
        <v>Уголь длиннопламенный</v>
      </c>
      <c r="AF365" s="524" t="str" cm="1">
        <f t="array" ref="AF365">IF(ISBLANK('Топливо 4.4'!$AF$361),"",'Топливо 4.4'!$AF$361)</f>
        <v/>
      </c>
      <c r="AG365" s="894" t="str">
        <f>"руб./"&amp;IFERROR(INDEX(fuel_ed_izm_list,MATCH(AE365,fuel_list,0)),"")</f>
        <v>руб./тнт</v>
      </c>
      <c r="AH365" s="1303">
        <f t="shared" si="397"/>
        <v>0</v>
      </c>
      <c r="AI365" s="1303">
        <f t="shared" si="397"/>
        <v>0</v>
      </c>
      <c r="AJ365" s="1303">
        <f t="shared" si="397"/>
        <v>0</v>
      </c>
      <c r="AK365" s="1303">
        <f t="shared" si="397"/>
        <v>949.23216676228753</v>
      </c>
      <c r="AL365" s="736">
        <f t="shared" ca="1" si="397"/>
        <v>0</v>
      </c>
      <c r="AM365" s="1302"/>
      <c r="AN365" s="1302"/>
      <c r="AO365" s="736">
        <f ca="1">IFERROR(AO370/AO340,0)*1000</f>
        <v>0</v>
      </c>
      <c r="AP365" s="826"/>
      <c r="AQ365" s="826"/>
      <c r="AR365" s="736">
        <f ca="1">IFERROR(AR370/AR340,0)*1000</f>
        <v>0</v>
      </c>
      <c r="AS365" s="826"/>
      <c r="AT365" s="826"/>
      <c r="AU365" s="736">
        <f ca="1">IFERROR(AU370/AU340,0)*1000</f>
        <v>0</v>
      </c>
      <c r="AV365" s="826"/>
      <c r="AW365" s="826"/>
      <c r="AX365" s="736">
        <f ca="1">IFERROR(AX370/AX340,0)*1000</f>
        <v>0</v>
      </c>
      <c r="AY365" s="826"/>
      <c r="AZ365" s="826"/>
      <c r="BA365" s="736">
        <f ca="1">IFERROR(BA370/BA340,0)*1000</f>
        <v>0</v>
      </c>
      <c r="BB365" s="1302"/>
      <c r="BC365" s="1302"/>
      <c r="BD365" s="736">
        <f ca="1">IFERROR(BD370/BD340,0)*1000</f>
        <v>0</v>
      </c>
      <c r="BE365" s="1302"/>
      <c r="BF365" s="1302"/>
      <c r="BG365" s="736">
        <f ca="1">IFERROR(BG370/BG340,0)*1000</f>
        <v>0</v>
      </c>
      <c r="BH365" s="1302"/>
      <c r="BI365" s="1302"/>
      <c r="BJ365" s="736">
        <f ca="1">IFERROR(BJ370/BJ340,0)*1000</f>
        <v>0</v>
      </c>
      <c r="BK365" s="1302"/>
      <c r="BL365" s="1302"/>
      <c r="BM365" s="736">
        <f ca="1">IFERROR(BM370/BM340,0)*1000</f>
        <v>0</v>
      </c>
      <c r="BN365" s="1302"/>
      <c r="BO365" s="1302"/>
      <c r="BP365" s="736">
        <f ca="1">IFERROR(BP370/BP340,0)*1000</f>
        <v>1167.6730846190999</v>
      </c>
      <c r="BQ365" s="826">
        <v>1167.6730846191001</v>
      </c>
      <c r="BR365" s="826" cm="1">
        <f t="array" ref="BR365">BQ365</f>
        <v>1167.6730846191001</v>
      </c>
      <c r="BS365" s="736">
        <f ca="1">IFERROR(BS370/BS340,0)*1000</f>
        <v>0</v>
      </c>
      <c r="BT365" s="826"/>
      <c r="BU365" s="826"/>
      <c r="BV365" s="736">
        <f ca="1">IFERROR(BV370/BV340,0)*1000</f>
        <v>0</v>
      </c>
      <c r="BW365" s="826"/>
      <c r="BX365" s="826"/>
      <c r="BY365" s="736">
        <f ca="1">IFERROR(BY370/BY340,0)*1000</f>
        <v>0</v>
      </c>
      <c r="BZ365" s="826"/>
      <c r="CA365" s="826"/>
      <c r="CB365" s="736">
        <f ca="1">IFERROR(CB370/CB340,0)*1000</f>
        <v>0</v>
      </c>
      <c r="CC365" s="826"/>
      <c r="CD365" s="826"/>
      <c r="CE365" s="736">
        <f ca="1">IFERROR(CE370/CE340,0)*1000</f>
        <v>0</v>
      </c>
      <c r="CF365" s="1302"/>
      <c r="CG365" s="1302"/>
      <c r="CH365" s="736">
        <f ca="1">IFERROR(CH370/CH340,0)*1000</f>
        <v>0</v>
      </c>
      <c r="CI365" s="1302"/>
      <c r="CJ365" s="1302"/>
      <c r="CK365" s="736">
        <f ca="1">IFERROR(CK370/CK340,0)*1000</f>
        <v>0</v>
      </c>
      <c r="CL365" s="1302"/>
      <c r="CM365" s="1302"/>
      <c r="CN365" s="736">
        <f ca="1">IFERROR(CN370/CN340,0)*1000</f>
        <v>0</v>
      </c>
      <c r="CO365" s="1302"/>
      <c r="CP365" s="1302"/>
      <c r="CQ365" s="736">
        <f ca="1">IFERROR(CQ370/CQ340,0)*1000</f>
        <v>0</v>
      </c>
      <c r="CR365" s="1302"/>
      <c r="CS365" s="1302"/>
      <c r="CT365" s="1290"/>
      <c r="CW365" s="970" t="s">
        <v>851</v>
      </c>
      <c r="CX365" s="975" t="s">
        <v>821</v>
      </c>
      <c r="CY365" s="979" t="str" cm="1">
        <f t="array" ref="CY365">AE365</f>
        <v>Уголь длиннопламенный</v>
      </c>
      <c r="CZ365" s="979" t="str" cm="1">
        <f t="array" ref="CZ365">AF365</f>
        <v/>
      </c>
      <c r="DA365" s="976"/>
      <c r="DB365" s="976"/>
    </row>
    <row r="366" spans="1:106" s="1229" customFormat="1" ht="15" hidden="1" customHeight="1">
      <c r="A366" s="1155"/>
      <c r="B366" s="783"/>
      <c r="C366" s="1155"/>
      <c r="D366" s="1155"/>
      <c r="E366" s="676">
        <v>0</v>
      </c>
      <c r="F366" s="779" t="str" cm="1">
        <f t="array" aca="1" ref="F366" ca="1">OFFSET(G366,-1,-1)</f>
        <v>2</v>
      </c>
      <c r="G366" s="814"/>
      <c r="H366" s="814"/>
      <c r="I366" s="814"/>
      <c r="J366" s="814"/>
      <c r="K366" s="814"/>
      <c r="L366" s="779" t="b" cm="1">
        <f t="array" aca="1" ref="L366" ca="1">OFFSET(M366,-1,-1)</f>
        <v>0</v>
      </c>
      <c r="M366" s="814"/>
      <c r="N366" s="814"/>
      <c r="O366" s="814"/>
      <c r="P366" s="814"/>
      <c r="Q366" s="814"/>
      <c r="R366" s="1155"/>
      <c r="S366" s="110" t="b" cm="1">
        <f t="array" aca="1" ref="S366" ca="1">OFFSET(T366,-1,-1)</f>
        <v>1</v>
      </c>
      <c r="T366" s="1155"/>
      <c r="U366" s="698" t="b">
        <f t="shared" ca="1" si="391"/>
        <v>1</v>
      </c>
      <c r="V366" s="1155"/>
      <c r="W366" s="1155"/>
      <c r="X366" s="820" t="str">
        <f>"{                  
         funcDyn: 'msg1',
         blok: 'blok_2',
         wsCross: 'Топливо 4.4',
         linkFormula: 'AE-AE#AF-AF',
         levelDyn: "&amp;Y300&amp;"
}"</f>
        <v>{                  
         funcDyn: 'msg1',
         blok: 'blok_2',
         wsCross: 'Топливо 4.4',
         linkFormula: 'AE-AE#AF-AF',
         levelDyn: 2
}</v>
      </c>
      <c r="Y366" s="1687"/>
      <c r="Z366" s="1687"/>
      <c r="AA366" s="699"/>
      <c r="AB366" s="1790"/>
      <c r="AD366" s="823"/>
      <c r="AE366" s="822" t="s">
        <v>238</v>
      </c>
      <c r="AF366" s="745"/>
      <c r="AG366" s="733"/>
      <c r="AH366" s="735"/>
      <c r="AI366" s="737"/>
      <c r="AJ366" s="737"/>
      <c r="AK366" s="737"/>
      <c r="AL366" s="737"/>
      <c r="AM366" s="737"/>
      <c r="AN366" s="737"/>
      <c r="AO366" s="737"/>
      <c r="AP366" s="737"/>
      <c r="AQ366" s="737"/>
      <c r="AR366" s="737"/>
      <c r="AS366" s="737"/>
      <c r="AT366" s="737"/>
      <c r="AU366" s="737"/>
      <c r="AV366" s="737"/>
      <c r="AW366" s="737"/>
      <c r="AX366" s="737"/>
      <c r="AY366" s="737"/>
      <c r="AZ366" s="737"/>
      <c r="BA366" s="737"/>
      <c r="BB366" s="737"/>
      <c r="BC366" s="737"/>
      <c r="BD366" s="737"/>
      <c r="BE366" s="737"/>
      <c r="BF366" s="737"/>
      <c r="BG366" s="737"/>
      <c r="BH366" s="737"/>
      <c r="BI366" s="737"/>
      <c r="BJ366" s="737"/>
      <c r="BK366" s="737"/>
      <c r="BL366" s="737"/>
      <c r="BM366" s="737"/>
      <c r="BN366" s="737"/>
      <c r="BO366" s="737"/>
      <c r="BP366" s="737"/>
      <c r="BQ366" s="737"/>
      <c r="BR366" s="737"/>
      <c r="BS366" s="737"/>
      <c r="BT366" s="737"/>
      <c r="BU366" s="737"/>
      <c r="BV366" s="737"/>
      <c r="BW366" s="737"/>
      <c r="BX366" s="737"/>
      <c r="BY366" s="737"/>
      <c r="BZ366" s="737"/>
      <c r="CA366" s="737"/>
      <c r="CB366" s="737"/>
      <c r="CC366" s="737"/>
      <c r="CD366" s="737"/>
      <c r="CE366" s="737"/>
      <c r="CF366" s="737"/>
      <c r="CG366" s="737"/>
      <c r="CH366" s="737"/>
      <c r="CI366" s="737"/>
      <c r="CJ366" s="737"/>
      <c r="CK366" s="737"/>
      <c r="CL366" s="737"/>
      <c r="CM366" s="737"/>
      <c r="CN366" s="737"/>
      <c r="CO366" s="737"/>
      <c r="CP366" s="737"/>
      <c r="CQ366" s="737"/>
      <c r="CR366" s="737"/>
      <c r="CS366" s="737"/>
      <c r="CT366" s="46"/>
      <c r="CW366" s="970" t="str">
        <f>IF(AND(ISNUMBER(VALUE(TRIM(SUBSTITUTE(AD366,".","")))),TRIM(SUBSTITUTE(AD366,".",""))&lt;&gt;""),"P"&amp;SUBSTITUTE(AD366,".",""),"")</f>
        <v/>
      </c>
      <c r="CX366" s="975"/>
      <c r="CY366" s="975"/>
      <c r="CZ366" s="975"/>
      <c r="DA366" s="976"/>
      <c r="DB366" s="976"/>
    </row>
    <row r="367" spans="1:106" s="1229" customFormat="1" ht="16.5" customHeight="1">
      <c r="A367" s="1155"/>
      <c r="B367" s="783"/>
      <c r="C367" s="1155"/>
      <c r="D367" s="1155"/>
      <c r="E367" s="676">
        <v>17.100000000000001</v>
      </c>
      <c r="F367" s="779" t="str" cm="1">
        <f t="array" aca="1" ref="F367" ca="1">OFFSET(G367,-1,-1)</f>
        <v>2</v>
      </c>
      <c r="G367" s="814"/>
      <c r="H367" s="814"/>
      <c r="I367" s="814"/>
      <c r="J367" s="814"/>
      <c r="K367" s="814"/>
      <c r="L367" s="779" t="b" cm="1">
        <f t="array" aca="1" ref="L367" ca="1">OFFSET(M367,-1,-1)</f>
        <v>0</v>
      </c>
      <c r="M367" s="814"/>
      <c r="N367" s="814"/>
      <c r="O367" s="814"/>
      <c r="P367" s="814"/>
      <c r="Q367" s="814"/>
      <c r="R367" s="1155"/>
      <c r="S367" s="110" t="b" cm="1">
        <f t="array" aca="1" ref="S367" ca="1">OFFSET(T367,-1,-1)</f>
        <v>1</v>
      </c>
      <c r="T367" s="1155"/>
      <c r="U367" s="698" t="b">
        <f t="shared" ca="1" si="391"/>
        <v>1</v>
      </c>
      <c r="V367" s="1155"/>
      <c r="W367" s="1155"/>
      <c r="X367" s="1155"/>
      <c r="Y367" s="1687"/>
      <c r="Z367" s="1687"/>
      <c r="AA367" s="699"/>
      <c r="AB367" s="1790"/>
      <c r="AD367" s="124">
        <v>28</v>
      </c>
      <c r="AE367" s="1754" t="s">
        <v>853</v>
      </c>
      <c r="AF367" s="1734"/>
      <c r="AG367" s="733" t="s">
        <v>839</v>
      </c>
      <c r="AH367" s="734">
        <f t="shared" ref="AH367:BM367" si="398">SUM(AH369:AH371)</f>
        <v>0</v>
      </c>
      <c r="AI367" s="734">
        <f t="shared" si="398"/>
        <v>0</v>
      </c>
      <c r="AJ367" s="734">
        <f t="shared" si="398"/>
        <v>0</v>
      </c>
      <c r="AK367" s="734">
        <f t="shared" si="398"/>
        <v>29781.21</v>
      </c>
      <c r="AL367" s="734">
        <f t="shared" ca="1" si="398"/>
        <v>0</v>
      </c>
      <c r="AM367" s="734">
        <f t="shared" si="398"/>
        <v>0</v>
      </c>
      <c r="AN367" s="734">
        <f t="shared" ca="1" si="398"/>
        <v>0</v>
      </c>
      <c r="AO367" s="734">
        <f t="shared" ca="1" si="398"/>
        <v>0</v>
      </c>
      <c r="AP367" s="734">
        <f t="shared" si="398"/>
        <v>0</v>
      </c>
      <c r="AQ367" s="734">
        <f t="shared" ca="1" si="398"/>
        <v>0</v>
      </c>
      <c r="AR367" s="734">
        <f t="shared" ca="1" si="398"/>
        <v>0</v>
      </c>
      <c r="AS367" s="734">
        <f t="shared" si="398"/>
        <v>0</v>
      </c>
      <c r="AT367" s="734">
        <f t="shared" ca="1" si="398"/>
        <v>0</v>
      </c>
      <c r="AU367" s="734">
        <f t="shared" ca="1" si="398"/>
        <v>0</v>
      </c>
      <c r="AV367" s="734">
        <f t="shared" si="398"/>
        <v>0</v>
      </c>
      <c r="AW367" s="734">
        <f t="shared" ca="1" si="398"/>
        <v>0</v>
      </c>
      <c r="AX367" s="734">
        <f t="shared" ca="1" si="398"/>
        <v>0</v>
      </c>
      <c r="AY367" s="734">
        <f t="shared" si="398"/>
        <v>0</v>
      </c>
      <c r="AZ367" s="734">
        <f t="shared" ca="1" si="398"/>
        <v>0</v>
      </c>
      <c r="BA367" s="734">
        <f t="shared" ca="1" si="398"/>
        <v>0</v>
      </c>
      <c r="BB367" s="734">
        <f t="shared" si="398"/>
        <v>0</v>
      </c>
      <c r="BC367" s="734">
        <f t="shared" ca="1" si="398"/>
        <v>0</v>
      </c>
      <c r="BD367" s="734">
        <f t="shared" ca="1" si="398"/>
        <v>0</v>
      </c>
      <c r="BE367" s="734">
        <f t="shared" si="398"/>
        <v>0</v>
      </c>
      <c r="BF367" s="734">
        <f t="shared" ca="1" si="398"/>
        <v>0</v>
      </c>
      <c r="BG367" s="734">
        <f t="shared" ca="1" si="398"/>
        <v>0</v>
      </c>
      <c r="BH367" s="734">
        <f t="shared" si="398"/>
        <v>0</v>
      </c>
      <c r="BI367" s="734">
        <f t="shared" ca="1" si="398"/>
        <v>0</v>
      </c>
      <c r="BJ367" s="734">
        <f t="shared" ca="1" si="398"/>
        <v>0</v>
      </c>
      <c r="BK367" s="734">
        <f t="shared" si="398"/>
        <v>0</v>
      </c>
      <c r="BL367" s="734">
        <f t="shared" ca="1" si="398"/>
        <v>0</v>
      </c>
      <c r="BM367" s="734">
        <f t="shared" ca="1" si="398"/>
        <v>0</v>
      </c>
      <c r="BN367" s="734">
        <f t="shared" ref="BN367:CS367" si="399">SUM(BN369:BN371)</f>
        <v>0</v>
      </c>
      <c r="BO367" s="734">
        <f t="shared" ca="1" si="399"/>
        <v>0</v>
      </c>
      <c r="BP367" s="734">
        <f t="shared" ca="1" si="399"/>
        <v>39389.701950033646</v>
      </c>
      <c r="BQ367" s="734">
        <f t="shared" si="399"/>
        <v>28112.430281739016</v>
      </c>
      <c r="BR367" s="734">
        <f t="shared" ca="1" si="399"/>
        <v>11277.271668294632</v>
      </c>
      <c r="BS367" s="734">
        <f t="shared" ca="1" si="399"/>
        <v>0</v>
      </c>
      <c r="BT367" s="734">
        <f t="shared" si="399"/>
        <v>0</v>
      </c>
      <c r="BU367" s="734">
        <f t="shared" ca="1" si="399"/>
        <v>0</v>
      </c>
      <c r="BV367" s="734">
        <f t="shared" ca="1" si="399"/>
        <v>0</v>
      </c>
      <c r="BW367" s="734">
        <f t="shared" si="399"/>
        <v>0</v>
      </c>
      <c r="BX367" s="734">
        <f t="shared" ca="1" si="399"/>
        <v>0</v>
      </c>
      <c r="BY367" s="734">
        <f t="shared" ca="1" si="399"/>
        <v>0</v>
      </c>
      <c r="BZ367" s="734">
        <f t="shared" si="399"/>
        <v>0</v>
      </c>
      <c r="CA367" s="734">
        <f t="shared" ca="1" si="399"/>
        <v>0</v>
      </c>
      <c r="CB367" s="734">
        <f t="shared" ca="1" si="399"/>
        <v>0</v>
      </c>
      <c r="CC367" s="734">
        <f t="shared" si="399"/>
        <v>0</v>
      </c>
      <c r="CD367" s="734">
        <f t="shared" ca="1" si="399"/>
        <v>0</v>
      </c>
      <c r="CE367" s="734">
        <f t="shared" ca="1" si="399"/>
        <v>0</v>
      </c>
      <c r="CF367" s="734">
        <f t="shared" si="399"/>
        <v>0</v>
      </c>
      <c r="CG367" s="734">
        <f t="shared" ca="1" si="399"/>
        <v>0</v>
      </c>
      <c r="CH367" s="734">
        <f t="shared" ca="1" si="399"/>
        <v>0</v>
      </c>
      <c r="CI367" s="734">
        <f t="shared" si="399"/>
        <v>0</v>
      </c>
      <c r="CJ367" s="734">
        <f t="shared" ca="1" si="399"/>
        <v>0</v>
      </c>
      <c r="CK367" s="734">
        <f t="shared" ca="1" si="399"/>
        <v>0</v>
      </c>
      <c r="CL367" s="734">
        <f t="shared" si="399"/>
        <v>0</v>
      </c>
      <c r="CM367" s="734">
        <f t="shared" ca="1" si="399"/>
        <v>0</v>
      </c>
      <c r="CN367" s="734">
        <f t="shared" ca="1" si="399"/>
        <v>0</v>
      </c>
      <c r="CO367" s="734">
        <f t="shared" si="399"/>
        <v>0</v>
      </c>
      <c r="CP367" s="734">
        <f t="shared" ca="1" si="399"/>
        <v>0</v>
      </c>
      <c r="CQ367" s="734">
        <f t="shared" ca="1" si="399"/>
        <v>0</v>
      </c>
      <c r="CR367" s="734">
        <f t="shared" si="399"/>
        <v>0</v>
      </c>
      <c r="CS367" s="734">
        <f t="shared" ca="1" si="399"/>
        <v>0</v>
      </c>
      <c r="CT367" s="1290"/>
      <c r="CW367" s="970" t="s">
        <v>854</v>
      </c>
      <c r="CX367" s="975"/>
      <c r="CY367" s="975"/>
      <c r="CZ367" s="975"/>
      <c r="DA367" s="976"/>
      <c r="DB367" s="976"/>
    </row>
    <row r="368" spans="1:106" s="1229" customFormat="1" ht="16.5" hidden="1" customHeight="1">
      <c r="A368" s="1155"/>
      <c r="B368" s="783"/>
      <c r="C368" s="1155"/>
      <c r="D368" s="1155"/>
      <c r="E368" s="676">
        <v>17.100000000000001</v>
      </c>
      <c r="F368" s="779" t="str" cm="1">
        <f t="array" aca="1" ref="F368" ca="1">OFFSET(G368,-1,-1)</f>
        <v>2</v>
      </c>
      <c r="G368" s="814"/>
      <c r="H368" s="814"/>
      <c r="I368" s="814"/>
      <c r="J368" s="814"/>
      <c r="K368" s="814"/>
      <c r="L368" s="779" t="b" cm="1">
        <f t="array" aca="1" ref="L368" ca="1">OFFSET(M368,-1,-1)</f>
        <v>0</v>
      </c>
      <c r="M368" s="814"/>
      <c r="N368" s="814"/>
      <c r="O368" s="814"/>
      <c r="P368" s="814"/>
      <c r="Q368" s="814"/>
      <c r="R368" s="779" t="s">
        <v>759</v>
      </c>
      <c r="S368" s="110" t="b" cm="1">
        <f t="array" aca="1" ref="S368" ca="1">OFFSET(T368,-1,-1)</f>
        <v>1</v>
      </c>
      <c r="T368" s="779" t="b">
        <v>0</v>
      </c>
      <c r="U368" s="698" t="b">
        <f t="shared" ca="1" si="391"/>
        <v>0</v>
      </c>
      <c r="V368" s="1155"/>
      <c r="W368" s="1155"/>
      <c r="X368" s="1155"/>
      <c r="Y368" s="1687"/>
      <c r="Z368" s="1687"/>
      <c r="AA368" s="699"/>
      <c r="AB368" s="1790"/>
      <c r="AD368" s="111" t="str">
        <f>AD367&amp;".0"</f>
        <v>28.0</v>
      </c>
      <c r="AE368" s="1755" t="s">
        <v>770</v>
      </c>
      <c r="AF368" s="1756"/>
      <c r="AG368" s="733" t="s">
        <v>839</v>
      </c>
      <c r="AH368" s="41">
        <f>AH$324*AH367</f>
        <v>0</v>
      </c>
      <c r="AI368" s="42">
        <f>AI$324*AI367</f>
        <v>0</v>
      </c>
      <c r="AJ368" s="42">
        <f>AJ$324*AJ367</f>
        <v>0</v>
      </c>
      <c r="AK368" s="42">
        <f>AK$324*AK367</f>
        <v>29781.21</v>
      </c>
      <c r="AL368" s="736">
        <f ca="1">AM368+AN368</f>
        <v>0</v>
      </c>
      <c r="AM368" s="42">
        <f>AM$324*AM367</f>
        <v>0</v>
      </c>
      <c r="AN368" s="42">
        <f ca="1">AN$324*AN367</f>
        <v>0</v>
      </c>
      <c r="AO368" s="736">
        <f ca="1">AP368+AQ368</f>
        <v>0</v>
      </c>
      <c r="AP368" s="826">
        <f>AP$324*AP367</f>
        <v>0</v>
      </c>
      <c r="AQ368" s="826">
        <f ca="1">AQ$324*AQ367</f>
        <v>0</v>
      </c>
      <c r="AR368" s="736">
        <f ca="1">AS368+AT368</f>
        <v>0</v>
      </c>
      <c r="AS368" s="826">
        <f>AS$324*AS367</f>
        <v>0</v>
      </c>
      <c r="AT368" s="826">
        <f ca="1">AT$324*AT367</f>
        <v>0</v>
      </c>
      <c r="AU368" s="736">
        <f ca="1">AV368+AW368</f>
        <v>0</v>
      </c>
      <c r="AV368" s="826">
        <f>AV$324*AV367</f>
        <v>0</v>
      </c>
      <c r="AW368" s="826">
        <f ca="1">AW$324*AW367</f>
        <v>0</v>
      </c>
      <c r="AX368" s="736">
        <f ca="1">AY368+AZ368</f>
        <v>0</v>
      </c>
      <c r="AY368" s="826">
        <f>AY$324*AY367</f>
        <v>0</v>
      </c>
      <c r="AZ368" s="826">
        <f ca="1">AZ$324*AZ367</f>
        <v>0</v>
      </c>
      <c r="BA368" s="736">
        <f ca="1">BB368+BC368</f>
        <v>0</v>
      </c>
      <c r="BB368" s="42">
        <f>BB$324*BB367</f>
        <v>0</v>
      </c>
      <c r="BC368" s="42">
        <f ca="1">BC$324*BC367</f>
        <v>0</v>
      </c>
      <c r="BD368" s="736">
        <f ca="1">BE368+BF368</f>
        <v>0</v>
      </c>
      <c r="BE368" s="42">
        <f>BE$324*BE367</f>
        <v>0</v>
      </c>
      <c r="BF368" s="42">
        <f ca="1">BF$324*BF367</f>
        <v>0</v>
      </c>
      <c r="BG368" s="736">
        <f ca="1">BH368+BI368</f>
        <v>0</v>
      </c>
      <c r="BH368" s="42">
        <f>BH$324*BH367</f>
        <v>0</v>
      </c>
      <c r="BI368" s="42">
        <f ca="1">BI$324*BI367</f>
        <v>0</v>
      </c>
      <c r="BJ368" s="736">
        <f ca="1">BK368+BL368</f>
        <v>0</v>
      </c>
      <c r="BK368" s="42">
        <f>BK$324*BK367</f>
        <v>0</v>
      </c>
      <c r="BL368" s="42">
        <f ca="1">BL$324*BL367</f>
        <v>0</v>
      </c>
      <c r="BM368" s="736">
        <f ca="1">BN368+BO368</f>
        <v>0</v>
      </c>
      <c r="BN368" s="42">
        <f>BN$324*BN367</f>
        <v>0</v>
      </c>
      <c r="BO368" s="42">
        <f ca="1">BO$324*BO367</f>
        <v>0</v>
      </c>
      <c r="BP368" s="736">
        <f ca="1">BQ368+BR368</f>
        <v>39389.701950033646</v>
      </c>
      <c r="BQ368" s="826">
        <f>BQ$324*BQ367</f>
        <v>28112.430281739016</v>
      </c>
      <c r="BR368" s="826">
        <f ca="1">BR$324*BR367</f>
        <v>11277.271668294632</v>
      </c>
      <c r="BS368" s="736">
        <f ca="1">BT368+BU368</f>
        <v>0</v>
      </c>
      <c r="BT368" s="826">
        <f>BT$324*BT367</f>
        <v>0</v>
      </c>
      <c r="BU368" s="826">
        <f ca="1">BU$324*BU367</f>
        <v>0</v>
      </c>
      <c r="BV368" s="736">
        <f ca="1">BW368+BX368</f>
        <v>0</v>
      </c>
      <c r="BW368" s="826">
        <f>BW$324*BW367</f>
        <v>0</v>
      </c>
      <c r="BX368" s="826">
        <f ca="1">BX$324*BX367</f>
        <v>0</v>
      </c>
      <c r="BY368" s="736">
        <f ca="1">BZ368+CA368</f>
        <v>0</v>
      </c>
      <c r="BZ368" s="826">
        <f>BZ$324*BZ367</f>
        <v>0</v>
      </c>
      <c r="CA368" s="826">
        <f ca="1">CA$324*CA367</f>
        <v>0</v>
      </c>
      <c r="CB368" s="736">
        <f ca="1">CC368+CD368</f>
        <v>0</v>
      </c>
      <c r="CC368" s="826">
        <f>CC$324*CC367</f>
        <v>0</v>
      </c>
      <c r="CD368" s="826">
        <f ca="1">CD$324*CD367</f>
        <v>0</v>
      </c>
      <c r="CE368" s="736">
        <f ca="1">CF368+CG368</f>
        <v>0</v>
      </c>
      <c r="CF368" s="42">
        <f>CF$324*CF367</f>
        <v>0</v>
      </c>
      <c r="CG368" s="42">
        <f ca="1">CG$324*CG367</f>
        <v>0</v>
      </c>
      <c r="CH368" s="736">
        <f ca="1">CI368+CJ368</f>
        <v>0</v>
      </c>
      <c r="CI368" s="42">
        <f>CI$324*CI367</f>
        <v>0</v>
      </c>
      <c r="CJ368" s="42">
        <f ca="1">CJ$324*CJ367</f>
        <v>0</v>
      </c>
      <c r="CK368" s="736">
        <f ca="1">CL368+CM368</f>
        <v>0</v>
      </c>
      <c r="CL368" s="42">
        <f>CL$324*CL367</f>
        <v>0</v>
      </c>
      <c r="CM368" s="42">
        <f ca="1">CM$324*CM367</f>
        <v>0</v>
      </c>
      <c r="CN368" s="736">
        <f ca="1">CO368+CP368</f>
        <v>0</v>
      </c>
      <c r="CO368" s="42">
        <f>CO$324*CO367</f>
        <v>0</v>
      </c>
      <c r="CP368" s="42">
        <f ca="1">CP$324*CP367</f>
        <v>0</v>
      </c>
      <c r="CQ368" s="736">
        <f ca="1">CR368+CS368</f>
        <v>0</v>
      </c>
      <c r="CR368" s="42">
        <f>CR$324*CR367</f>
        <v>0</v>
      </c>
      <c r="CS368" s="42">
        <f ca="1">CS$324*CS367</f>
        <v>0</v>
      </c>
      <c r="CT368" s="28"/>
      <c r="CW368" s="970" t="s">
        <v>855</v>
      </c>
      <c r="CX368" s="975"/>
      <c r="CY368" s="975"/>
      <c r="CZ368" s="975"/>
      <c r="DA368" s="976"/>
      <c r="DB368" s="976"/>
    </row>
    <row r="369" spans="1:106" s="1229" customFormat="1" ht="16.5" hidden="1" customHeight="1">
      <c r="E369" s="676">
        <v>17.100000000000001</v>
      </c>
      <c r="F369" s="779" t="str" cm="1">
        <f t="array" aca="1" ref="F369" ca="1">OFFSET(G369,-1,-1)</f>
        <v>2</v>
      </c>
      <c r="L369" s="779" t="b" cm="1">
        <f t="array" aca="1" ref="L369" ca="1">OFFSET(M369,-1,-1)</f>
        <v>0</v>
      </c>
      <c r="S369" s="110" t="b" cm="1">
        <f t="array" aca="1" ref="S369" ca="1">OFFSET(T369,-1,-1)</f>
        <v>1</v>
      </c>
      <c r="T369" s="110" t="b">
        <f>AD369&lt;&gt;"28.0"</f>
        <v>0</v>
      </c>
      <c r="U369" s="698" t="b">
        <f t="shared" ca="1" si="391"/>
        <v>0</v>
      </c>
      <c r="X369" s="110" t="s">
        <v>236</v>
      </c>
      <c r="Y369" s="1722"/>
      <c r="Z369" s="1722"/>
      <c r="AB369" s="1790"/>
      <c r="AD369" s="111" t="s">
        <v>856</v>
      </c>
      <c r="AE369" s="821"/>
      <c r="AF369" s="524"/>
      <c r="AG369" s="733" t="s">
        <v>839</v>
      </c>
      <c r="AH369" s="41"/>
      <c r="AI369" s="42"/>
      <c r="AJ369" s="42"/>
      <c r="AK369" s="42"/>
      <c r="AL369" s="736">
        <f ca="1">AM369+AN369</f>
        <v>0</v>
      </c>
      <c r="AM369" s="42">
        <f>AM364*AM339/1000</f>
        <v>0</v>
      </c>
      <c r="AN369" s="42">
        <f ca="1">AN364*AN339/1000</f>
        <v>0</v>
      </c>
      <c r="AO369" s="736">
        <f ca="1">AP369+AQ369</f>
        <v>0</v>
      </c>
      <c r="AP369" s="826">
        <f>AP364*AP339/1000</f>
        <v>0</v>
      </c>
      <c r="AQ369" s="826">
        <f ca="1">AQ364*AQ339/1000</f>
        <v>0</v>
      </c>
      <c r="AR369" s="736">
        <f ca="1">AS369+AT369</f>
        <v>0</v>
      </c>
      <c r="AS369" s="826">
        <f>AS364*AS339/1000</f>
        <v>0</v>
      </c>
      <c r="AT369" s="826">
        <f ca="1">AT364*AT339/1000</f>
        <v>0</v>
      </c>
      <c r="AU369" s="736">
        <f ca="1">AV369+AW369</f>
        <v>0</v>
      </c>
      <c r="AV369" s="826">
        <f>AV364*AV339/1000</f>
        <v>0</v>
      </c>
      <c r="AW369" s="826">
        <f ca="1">AW364*AW339/1000</f>
        <v>0</v>
      </c>
      <c r="AX369" s="736">
        <f ca="1">AY369+AZ369</f>
        <v>0</v>
      </c>
      <c r="AY369" s="826">
        <f>AY364*AY339/1000</f>
        <v>0</v>
      </c>
      <c r="AZ369" s="826">
        <f ca="1">AZ364*AZ339/1000</f>
        <v>0</v>
      </c>
      <c r="BA369" s="736">
        <f ca="1">BB369+BC369</f>
        <v>0</v>
      </c>
      <c r="BB369" s="42">
        <f>BB364*BB339/1000</f>
        <v>0</v>
      </c>
      <c r="BC369" s="42">
        <f ca="1">BC364*BC339/1000</f>
        <v>0</v>
      </c>
      <c r="BD369" s="736">
        <f ca="1">BE369+BF369</f>
        <v>0</v>
      </c>
      <c r="BE369" s="42">
        <f>BE364*BE339/1000</f>
        <v>0</v>
      </c>
      <c r="BF369" s="42">
        <f ca="1">BF364*BF339/1000</f>
        <v>0</v>
      </c>
      <c r="BG369" s="736">
        <f ca="1">BH369+BI369</f>
        <v>0</v>
      </c>
      <c r="BH369" s="42">
        <f>BH364*BH339/1000</f>
        <v>0</v>
      </c>
      <c r="BI369" s="42">
        <f ca="1">BI364*BI339/1000</f>
        <v>0</v>
      </c>
      <c r="BJ369" s="736">
        <f ca="1">BK369+BL369</f>
        <v>0</v>
      </c>
      <c r="BK369" s="42">
        <f>BK364*BK339/1000</f>
        <v>0</v>
      </c>
      <c r="BL369" s="42">
        <f ca="1">BL364*BL339/1000</f>
        <v>0</v>
      </c>
      <c r="BM369" s="736">
        <f ca="1">BN369+BO369</f>
        <v>0</v>
      </c>
      <c r="BN369" s="42">
        <f>BN364*BN339/1000</f>
        <v>0</v>
      </c>
      <c r="BO369" s="42">
        <f ca="1">BO364*BO339/1000</f>
        <v>0</v>
      </c>
      <c r="BP369" s="736">
        <f ca="1">BQ369+BR369</f>
        <v>0</v>
      </c>
      <c r="BQ369" s="826">
        <f>BQ364*BQ339/1000</f>
        <v>0</v>
      </c>
      <c r="BR369" s="826">
        <f ca="1">BR364*BR339/1000</f>
        <v>0</v>
      </c>
      <c r="BS369" s="736">
        <f ca="1">BT369+BU369</f>
        <v>0</v>
      </c>
      <c r="BT369" s="826">
        <f>BT364*BT339/1000</f>
        <v>0</v>
      </c>
      <c r="BU369" s="826">
        <f ca="1">BU364*BU339/1000</f>
        <v>0</v>
      </c>
      <c r="BV369" s="736">
        <f ca="1">BW369+BX369</f>
        <v>0</v>
      </c>
      <c r="BW369" s="826">
        <f>BW364*BW339/1000</f>
        <v>0</v>
      </c>
      <c r="BX369" s="826">
        <f ca="1">BX364*BX339/1000</f>
        <v>0</v>
      </c>
      <c r="BY369" s="736">
        <f ca="1">BZ369+CA369</f>
        <v>0</v>
      </c>
      <c r="BZ369" s="826">
        <f>BZ364*BZ339/1000</f>
        <v>0</v>
      </c>
      <c r="CA369" s="826">
        <f ca="1">CA364*CA339/1000</f>
        <v>0</v>
      </c>
      <c r="CB369" s="736">
        <f ca="1">CC369+CD369</f>
        <v>0</v>
      </c>
      <c r="CC369" s="826">
        <f>CC364*CC339/1000</f>
        <v>0</v>
      </c>
      <c r="CD369" s="826">
        <f ca="1">CD364*CD339/1000</f>
        <v>0</v>
      </c>
      <c r="CE369" s="736">
        <f ca="1">CF369+CG369</f>
        <v>0</v>
      </c>
      <c r="CF369" s="42">
        <f>CF364*CF339/1000</f>
        <v>0</v>
      </c>
      <c r="CG369" s="42">
        <f ca="1">CG364*CG339/1000</f>
        <v>0</v>
      </c>
      <c r="CH369" s="736">
        <f ca="1">CI369+CJ369</f>
        <v>0</v>
      </c>
      <c r="CI369" s="42">
        <f>CI364*CI339/1000</f>
        <v>0</v>
      </c>
      <c r="CJ369" s="42">
        <f ca="1">CJ364*CJ339/1000</f>
        <v>0</v>
      </c>
      <c r="CK369" s="736">
        <f ca="1">CL369+CM369</f>
        <v>0</v>
      </c>
      <c r="CL369" s="42">
        <f>CL364*CL339/1000</f>
        <v>0</v>
      </c>
      <c r="CM369" s="42">
        <f ca="1">CM364*CM339/1000</f>
        <v>0</v>
      </c>
      <c r="CN369" s="736">
        <f ca="1">CO369+CP369</f>
        <v>0</v>
      </c>
      <c r="CO369" s="42">
        <f>CO364*CO339/1000</f>
        <v>0</v>
      </c>
      <c r="CP369" s="42">
        <f ca="1">CP364*CP339/1000</f>
        <v>0</v>
      </c>
      <c r="CQ369" s="736">
        <f ca="1">CR369+CS369</f>
        <v>0</v>
      </c>
      <c r="CR369" s="42">
        <f>CR364*CR339/1000</f>
        <v>0</v>
      </c>
      <c r="CS369" s="42">
        <f ca="1">CS364*CS339/1000</f>
        <v>0</v>
      </c>
      <c r="CT369" s="28"/>
      <c r="CW369" s="970" t="s">
        <v>855</v>
      </c>
      <c r="CX369" s="975" t="s">
        <v>821</v>
      </c>
      <c r="CY369" s="979" cm="1">
        <f t="array" ref="CY369">AE369</f>
        <v>0</v>
      </c>
      <c r="CZ369" s="979" cm="1">
        <f t="array" ref="CZ369">AF369</f>
        <v>0</v>
      </c>
      <c r="DA369" s="976"/>
      <c r="DB369" s="976"/>
    </row>
    <row r="370" spans="1:106" s="1229" customFormat="1" ht="16.5" customHeight="1">
      <c r="E370" s="676">
        <v>17.100000000000001</v>
      </c>
      <c r="F370" s="779" t="str" cm="1">
        <f t="array" aca="1" ref="F370" ca="1">OFFSET(G370,-1,-1)</f>
        <v>2</v>
      </c>
      <c r="L370" s="779" t="b" cm="1">
        <f t="array" aca="1" ref="L370" ca="1">OFFSET(M370,-1,-1)</f>
        <v>0</v>
      </c>
      <c r="S370" s="110" t="b" cm="1">
        <f t="array" aca="1" ref="S370" ca="1">OFFSET(T370,-1,-1)</f>
        <v>1</v>
      </c>
      <c r="T370" s="110" t="b">
        <f>AD370&lt;&gt;"28.0"</f>
        <v>1</v>
      </c>
      <c r="U370" s="698" t="b">
        <f t="shared" ca="1" si="391"/>
        <v>1</v>
      </c>
      <c r="X370" s="110" t="str">
        <f>'Топливо 4.4'!$AE$365&amp;'Топливо 4.4'!$AF$365</f>
        <v>Уголь длиннопламенный</v>
      </c>
      <c r="Y370" s="1722"/>
      <c r="Z370" s="1722"/>
      <c r="AB370" s="1790"/>
      <c r="AD370" s="111" t="s">
        <v>951</v>
      </c>
      <c r="AE370" s="821" t="str" cm="1">
        <f t="array" ref="AE370">IF(ISBLANK('Топливо 4.4'!$AE$365),"",'Топливо 4.4'!$AE$365)</f>
        <v>Уголь длиннопламенный</v>
      </c>
      <c r="AF370" s="524" t="str" cm="1">
        <f t="array" ref="AF370">IF(ISBLANK('Топливо 4.4'!$AF$365),"",'Топливо 4.4'!$AF$365)</f>
        <v/>
      </c>
      <c r="AG370" s="733" t="s">
        <v>839</v>
      </c>
      <c r="AH370" s="1303"/>
      <c r="AI370" s="1302"/>
      <c r="AJ370" s="1302"/>
      <c r="AK370" s="1302">
        <v>29781.21</v>
      </c>
      <c r="AL370" s="736">
        <f ca="1">AM370+AN370</f>
        <v>0</v>
      </c>
      <c r="AM370" s="1302">
        <f>AM365*AM340/1000</f>
        <v>0</v>
      </c>
      <c r="AN370" s="1302">
        <f ca="1">AN365*AN340/1000</f>
        <v>0</v>
      </c>
      <c r="AO370" s="736">
        <f ca="1">AP370+AQ370</f>
        <v>0</v>
      </c>
      <c r="AP370" s="826">
        <f>AP365*AP340/1000</f>
        <v>0</v>
      </c>
      <c r="AQ370" s="826">
        <f ca="1">AQ365*AQ340/1000</f>
        <v>0</v>
      </c>
      <c r="AR370" s="736">
        <f ca="1">AS370+AT370</f>
        <v>0</v>
      </c>
      <c r="AS370" s="826">
        <f>AS365*AS340/1000</f>
        <v>0</v>
      </c>
      <c r="AT370" s="826">
        <f ca="1">AT365*AT340/1000</f>
        <v>0</v>
      </c>
      <c r="AU370" s="736">
        <f ca="1">AV370+AW370</f>
        <v>0</v>
      </c>
      <c r="AV370" s="826">
        <f>AV365*AV340/1000</f>
        <v>0</v>
      </c>
      <c r="AW370" s="826">
        <f ca="1">AW365*AW340/1000</f>
        <v>0</v>
      </c>
      <c r="AX370" s="736">
        <f ca="1">AY370+AZ370</f>
        <v>0</v>
      </c>
      <c r="AY370" s="826">
        <f>AY365*AY340/1000</f>
        <v>0</v>
      </c>
      <c r="AZ370" s="826">
        <f ca="1">AZ365*AZ340/1000</f>
        <v>0</v>
      </c>
      <c r="BA370" s="736">
        <f ca="1">BB370+BC370</f>
        <v>0</v>
      </c>
      <c r="BB370" s="1302">
        <f>BB365*BB340/1000</f>
        <v>0</v>
      </c>
      <c r="BC370" s="1302">
        <f ca="1">BC365*BC340/1000</f>
        <v>0</v>
      </c>
      <c r="BD370" s="736">
        <f ca="1">BE370+BF370</f>
        <v>0</v>
      </c>
      <c r="BE370" s="1302">
        <f>BE365*BE340/1000</f>
        <v>0</v>
      </c>
      <c r="BF370" s="1302">
        <f ca="1">BF365*BF340/1000</f>
        <v>0</v>
      </c>
      <c r="BG370" s="736">
        <f ca="1">BH370+BI370</f>
        <v>0</v>
      </c>
      <c r="BH370" s="1302">
        <f>BH365*BH340/1000</f>
        <v>0</v>
      </c>
      <c r="BI370" s="1302">
        <f ca="1">BI365*BI340/1000</f>
        <v>0</v>
      </c>
      <c r="BJ370" s="736">
        <f ca="1">BK370+BL370</f>
        <v>0</v>
      </c>
      <c r="BK370" s="1302">
        <f>BK365*BK340/1000</f>
        <v>0</v>
      </c>
      <c r="BL370" s="1302">
        <f ca="1">BL365*BL340/1000</f>
        <v>0</v>
      </c>
      <c r="BM370" s="736">
        <f ca="1">BN370+BO370</f>
        <v>0</v>
      </c>
      <c r="BN370" s="1302">
        <f>BN365*BN340/1000</f>
        <v>0</v>
      </c>
      <c r="BO370" s="1302">
        <f ca="1">BO365*BO340/1000</f>
        <v>0</v>
      </c>
      <c r="BP370" s="736">
        <f ca="1">BQ370+BR370</f>
        <v>39389.701950033646</v>
      </c>
      <c r="BQ370" s="826">
        <f>BQ365*BQ340/1000</f>
        <v>28112.430281739016</v>
      </c>
      <c r="BR370" s="826">
        <f ca="1">BR365*BR340/1000</f>
        <v>11277.271668294632</v>
      </c>
      <c r="BS370" s="736">
        <f ca="1">BT370+BU370</f>
        <v>0</v>
      </c>
      <c r="BT370" s="826">
        <f>BT365*BT340/1000</f>
        <v>0</v>
      </c>
      <c r="BU370" s="826">
        <f ca="1">BU365*BU340/1000</f>
        <v>0</v>
      </c>
      <c r="BV370" s="736">
        <f ca="1">BW370+BX370</f>
        <v>0</v>
      </c>
      <c r="BW370" s="826">
        <f>BW365*BW340/1000</f>
        <v>0</v>
      </c>
      <c r="BX370" s="826">
        <f ca="1">BX365*BX340/1000</f>
        <v>0</v>
      </c>
      <c r="BY370" s="736">
        <f ca="1">BZ370+CA370</f>
        <v>0</v>
      </c>
      <c r="BZ370" s="826">
        <f>BZ365*BZ340/1000</f>
        <v>0</v>
      </c>
      <c r="CA370" s="826">
        <f ca="1">CA365*CA340/1000</f>
        <v>0</v>
      </c>
      <c r="CB370" s="736">
        <f ca="1">CC370+CD370</f>
        <v>0</v>
      </c>
      <c r="CC370" s="826">
        <f>CC365*CC340/1000</f>
        <v>0</v>
      </c>
      <c r="CD370" s="826">
        <f ca="1">CD365*CD340/1000</f>
        <v>0</v>
      </c>
      <c r="CE370" s="736">
        <f ca="1">CF370+CG370</f>
        <v>0</v>
      </c>
      <c r="CF370" s="1302">
        <f>CF365*CF340/1000</f>
        <v>0</v>
      </c>
      <c r="CG370" s="1302">
        <f ca="1">CG365*CG340/1000</f>
        <v>0</v>
      </c>
      <c r="CH370" s="736">
        <f ca="1">CI370+CJ370</f>
        <v>0</v>
      </c>
      <c r="CI370" s="1302">
        <f>CI365*CI340/1000</f>
        <v>0</v>
      </c>
      <c r="CJ370" s="1302">
        <f ca="1">CJ365*CJ340/1000</f>
        <v>0</v>
      </c>
      <c r="CK370" s="736">
        <f ca="1">CL370+CM370</f>
        <v>0</v>
      </c>
      <c r="CL370" s="1302">
        <f>CL365*CL340/1000</f>
        <v>0</v>
      </c>
      <c r="CM370" s="1302">
        <f ca="1">CM365*CM340/1000</f>
        <v>0</v>
      </c>
      <c r="CN370" s="736">
        <f ca="1">CO370+CP370</f>
        <v>0</v>
      </c>
      <c r="CO370" s="1302">
        <f>CO365*CO340/1000</f>
        <v>0</v>
      </c>
      <c r="CP370" s="1302">
        <f ca="1">CP365*CP340/1000</f>
        <v>0</v>
      </c>
      <c r="CQ370" s="736">
        <f ca="1">CR370+CS370</f>
        <v>0</v>
      </c>
      <c r="CR370" s="1302">
        <f>CR365*CR340/1000</f>
        <v>0</v>
      </c>
      <c r="CS370" s="1302">
        <f ca="1">CS365*CS340/1000</f>
        <v>0</v>
      </c>
      <c r="CT370" s="1290"/>
      <c r="CW370" s="970" t="s">
        <v>855</v>
      </c>
      <c r="CX370" s="975" t="s">
        <v>821</v>
      </c>
      <c r="CY370" s="979" t="str" cm="1">
        <f t="array" ref="CY370">AE370</f>
        <v>Уголь длиннопламенный</v>
      </c>
      <c r="CZ370" s="979" t="str" cm="1">
        <f t="array" ref="CZ370">AF370</f>
        <v/>
      </c>
      <c r="DA370" s="976"/>
      <c r="DB370" s="976"/>
    </row>
    <row r="371" spans="1:106" s="1229" customFormat="1" ht="15" hidden="1" customHeight="1">
      <c r="A371" s="1155"/>
      <c r="B371" s="783"/>
      <c r="C371" s="1155"/>
      <c r="D371" s="1155"/>
      <c r="E371" s="676">
        <v>0</v>
      </c>
      <c r="F371" s="779" t="str" cm="1">
        <f t="array" aca="1" ref="F371" ca="1">OFFSET(G371,-1,-1)</f>
        <v>2</v>
      </c>
      <c r="G371" s="814"/>
      <c r="H371" s="814"/>
      <c r="I371" s="814"/>
      <c r="J371" s="814"/>
      <c r="K371" s="814"/>
      <c r="L371" s="779" t="b" cm="1">
        <f t="array" aca="1" ref="L371" ca="1">OFFSET(M371,-1,-1)</f>
        <v>0</v>
      </c>
      <c r="M371" s="814"/>
      <c r="N371" s="814"/>
      <c r="O371" s="814"/>
      <c r="P371" s="814"/>
      <c r="Q371" s="814"/>
      <c r="R371" s="1155"/>
      <c r="S371" s="110" t="b" cm="1">
        <f t="array" aca="1" ref="S371" ca="1">OFFSET(T371,-1,-1)</f>
        <v>1</v>
      </c>
      <c r="T371" s="1155"/>
      <c r="U371" s="698" t="b">
        <f t="shared" ca="1" si="391"/>
        <v>1</v>
      </c>
      <c r="V371" s="1155"/>
      <c r="W371" s="1155"/>
      <c r="X371" s="820" t="str">
        <f>"{                  
         funcDyn: 'msg1',
         blok: 'blok_2',
         wsCross: 'Топливо 4.4',
         linkFormula: 'AE-AE#AF-AF',
         levelDyn: "&amp;Y300&amp;"
}"</f>
        <v>{                  
         funcDyn: 'msg1',
         blok: 'blok_2',
         wsCross: 'Топливо 4.4',
         linkFormula: 'AE-AE#AF-AF',
         levelDyn: 2
}</v>
      </c>
      <c r="Y371" s="1687"/>
      <c r="Z371" s="1687"/>
      <c r="AA371" s="699"/>
      <c r="AB371" s="1790"/>
      <c r="AD371" s="823"/>
      <c r="AE371" s="822" t="s">
        <v>238</v>
      </c>
      <c r="AF371" s="745"/>
      <c r="AG371" s="733"/>
      <c r="AH371" s="735"/>
      <c r="AI371" s="737"/>
      <c r="AJ371" s="737"/>
      <c r="AK371" s="737"/>
      <c r="AL371" s="737"/>
      <c r="AM371" s="737"/>
      <c r="AN371" s="737"/>
      <c r="AO371" s="737"/>
      <c r="AP371" s="737"/>
      <c r="AQ371" s="737"/>
      <c r="AR371" s="737"/>
      <c r="AS371" s="737"/>
      <c r="AT371" s="737"/>
      <c r="AU371" s="737"/>
      <c r="AV371" s="737"/>
      <c r="AW371" s="737"/>
      <c r="AX371" s="737"/>
      <c r="AY371" s="737"/>
      <c r="AZ371" s="737"/>
      <c r="BA371" s="737"/>
      <c r="BB371" s="737"/>
      <c r="BC371" s="737"/>
      <c r="BD371" s="737"/>
      <c r="BE371" s="737"/>
      <c r="BF371" s="737"/>
      <c r="BG371" s="737"/>
      <c r="BH371" s="737"/>
      <c r="BI371" s="737"/>
      <c r="BJ371" s="737"/>
      <c r="BK371" s="737"/>
      <c r="BL371" s="737"/>
      <c r="BM371" s="737"/>
      <c r="BN371" s="737"/>
      <c r="BO371" s="737"/>
      <c r="BP371" s="737"/>
      <c r="BQ371" s="737"/>
      <c r="BR371" s="737"/>
      <c r="BS371" s="737"/>
      <c r="BT371" s="737"/>
      <c r="BU371" s="737"/>
      <c r="BV371" s="737"/>
      <c r="BW371" s="737"/>
      <c r="BX371" s="737"/>
      <c r="BY371" s="737"/>
      <c r="BZ371" s="737"/>
      <c r="CA371" s="737"/>
      <c r="CB371" s="737"/>
      <c r="CC371" s="737"/>
      <c r="CD371" s="737"/>
      <c r="CE371" s="737"/>
      <c r="CF371" s="737"/>
      <c r="CG371" s="737"/>
      <c r="CH371" s="737"/>
      <c r="CI371" s="737"/>
      <c r="CJ371" s="737"/>
      <c r="CK371" s="737"/>
      <c r="CL371" s="737"/>
      <c r="CM371" s="737"/>
      <c r="CN371" s="737"/>
      <c r="CO371" s="737"/>
      <c r="CP371" s="737"/>
      <c r="CQ371" s="737"/>
      <c r="CR371" s="737"/>
      <c r="CS371" s="737"/>
      <c r="CT371" s="46"/>
      <c r="CW371" s="970" t="str">
        <f>IF(AND(ISNUMBER(VALUE(TRIM(SUBSTITUTE(AD371,".","")))),TRIM(SUBSTITUTE(AD371,".",""))&lt;&gt;""),"P"&amp;SUBSTITUTE(AD371,".",""),"")</f>
        <v/>
      </c>
      <c r="CX371" s="975"/>
      <c r="CY371" s="975"/>
      <c r="CZ371" s="975"/>
      <c r="DA371" s="976"/>
      <c r="DB371" s="976"/>
    </row>
    <row r="372" spans="1:106" s="1229" customFormat="1" ht="29.25" hidden="1" customHeight="1">
      <c r="A372" s="1155"/>
      <c r="B372" s="783"/>
      <c r="C372" s="1155"/>
      <c r="D372" s="1155"/>
      <c r="E372" s="676">
        <v>30</v>
      </c>
      <c r="F372" s="779" t="str" cm="1">
        <f t="array" aca="1" ref="F372" ca="1">OFFSET(G372,-1,-1)</f>
        <v>2</v>
      </c>
      <c r="G372" s="814"/>
      <c r="H372" s="814"/>
      <c r="I372" s="814"/>
      <c r="J372" s="814"/>
      <c r="K372" s="814"/>
      <c r="L372" s="779" t="b" cm="1">
        <f t="array" aca="1" ref="L372" ca="1">OFFSET(M372,-1,-1)</f>
        <v>0</v>
      </c>
      <c r="M372" s="814"/>
      <c r="N372" s="814"/>
      <c r="O372" s="814"/>
      <c r="P372" s="814"/>
      <c r="Q372" s="814"/>
      <c r="R372" s="779" t="s">
        <v>759</v>
      </c>
      <c r="S372" s="110" t="b" cm="1">
        <f t="array" aca="1" ref="S372" ca="1">OFFSET(T372,-1,-1)</f>
        <v>1</v>
      </c>
      <c r="T372" s="110" t="b" cm="1">
        <f t="array" aca="1" ref="T372" ca="1">L372</f>
        <v>0</v>
      </c>
      <c r="U372" s="698" t="b">
        <f t="shared" ca="1" si="391"/>
        <v>0</v>
      </c>
      <c r="V372" s="1155"/>
      <c r="W372" s="1155"/>
      <c r="X372" s="1155"/>
      <c r="Y372" s="1687"/>
      <c r="Z372" s="1687"/>
      <c r="AA372" s="699"/>
      <c r="AB372" s="1790"/>
      <c r="AD372" s="124">
        <v>29</v>
      </c>
      <c r="AE372" s="1757" t="s">
        <v>857</v>
      </c>
      <c r="AF372" s="1758"/>
      <c r="AG372" s="733" t="s">
        <v>839</v>
      </c>
      <c r="AH372" s="734">
        <f t="shared" ref="AH372:BM372" si="400">SUM(AH373:AH375)</f>
        <v>0</v>
      </c>
      <c r="AI372" s="734">
        <f t="shared" si="400"/>
        <v>0</v>
      </c>
      <c r="AJ372" s="734">
        <f t="shared" si="400"/>
        <v>0</v>
      </c>
      <c r="AK372" s="734">
        <f t="shared" si="400"/>
        <v>29781.21</v>
      </c>
      <c r="AL372" s="734">
        <f t="shared" ca="1" si="400"/>
        <v>0</v>
      </c>
      <c r="AM372" s="734">
        <f t="shared" si="400"/>
        <v>0</v>
      </c>
      <c r="AN372" s="734">
        <f t="shared" ca="1" si="400"/>
        <v>0</v>
      </c>
      <c r="AO372" s="734">
        <f t="shared" ca="1" si="400"/>
        <v>0</v>
      </c>
      <c r="AP372" s="734">
        <f t="shared" si="400"/>
        <v>0</v>
      </c>
      <c r="AQ372" s="734">
        <f t="shared" ca="1" si="400"/>
        <v>0</v>
      </c>
      <c r="AR372" s="734">
        <f t="shared" ca="1" si="400"/>
        <v>0</v>
      </c>
      <c r="AS372" s="734">
        <f t="shared" si="400"/>
        <v>0</v>
      </c>
      <c r="AT372" s="734">
        <f t="shared" ca="1" si="400"/>
        <v>0</v>
      </c>
      <c r="AU372" s="734">
        <f t="shared" ca="1" si="400"/>
        <v>0</v>
      </c>
      <c r="AV372" s="734">
        <f t="shared" si="400"/>
        <v>0</v>
      </c>
      <c r="AW372" s="734">
        <f t="shared" ca="1" si="400"/>
        <v>0</v>
      </c>
      <c r="AX372" s="734">
        <f t="shared" ca="1" si="400"/>
        <v>0</v>
      </c>
      <c r="AY372" s="734">
        <f t="shared" si="400"/>
        <v>0</v>
      </c>
      <c r="AZ372" s="734">
        <f t="shared" ca="1" si="400"/>
        <v>0</v>
      </c>
      <c r="BA372" s="734">
        <f t="shared" ca="1" si="400"/>
        <v>0</v>
      </c>
      <c r="BB372" s="734">
        <f t="shared" si="400"/>
        <v>0</v>
      </c>
      <c r="BC372" s="734">
        <f t="shared" ca="1" si="400"/>
        <v>0</v>
      </c>
      <c r="BD372" s="734">
        <f t="shared" ca="1" si="400"/>
        <v>0</v>
      </c>
      <c r="BE372" s="734">
        <f t="shared" si="400"/>
        <v>0</v>
      </c>
      <c r="BF372" s="734">
        <f t="shared" ca="1" si="400"/>
        <v>0</v>
      </c>
      <c r="BG372" s="734">
        <f t="shared" ca="1" si="400"/>
        <v>0</v>
      </c>
      <c r="BH372" s="734">
        <f t="shared" si="400"/>
        <v>0</v>
      </c>
      <c r="BI372" s="734">
        <f t="shared" ca="1" si="400"/>
        <v>0</v>
      </c>
      <c r="BJ372" s="734">
        <f t="shared" ca="1" si="400"/>
        <v>0</v>
      </c>
      <c r="BK372" s="734">
        <f t="shared" si="400"/>
        <v>0</v>
      </c>
      <c r="BL372" s="734">
        <f t="shared" ca="1" si="400"/>
        <v>0</v>
      </c>
      <c r="BM372" s="734">
        <f t="shared" ca="1" si="400"/>
        <v>0</v>
      </c>
      <c r="BN372" s="734">
        <f t="shared" ref="BN372:CS372" si="401">SUM(BN373:BN375)</f>
        <v>0</v>
      </c>
      <c r="BO372" s="734">
        <f t="shared" ca="1" si="401"/>
        <v>0</v>
      </c>
      <c r="BP372" s="734">
        <f t="shared" ca="1" si="401"/>
        <v>39389.701950033646</v>
      </c>
      <c r="BQ372" s="734">
        <f t="shared" si="401"/>
        <v>28112.430281739016</v>
      </c>
      <c r="BR372" s="734">
        <f t="shared" ca="1" si="401"/>
        <v>11277.271668294632</v>
      </c>
      <c r="BS372" s="734">
        <f t="shared" ca="1" si="401"/>
        <v>0</v>
      </c>
      <c r="BT372" s="734">
        <f t="shared" si="401"/>
        <v>0</v>
      </c>
      <c r="BU372" s="734">
        <f t="shared" ca="1" si="401"/>
        <v>0</v>
      </c>
      <c r="BV372" s="734">
        <f t="shared" ca="1" si="401"/>
        <v>0</v>
      </c>
      <c r="BW372" s="734">
        <f t="shared" si="401"/>
        <v>0</v>
      </c>
      <c r="BX372" s="734">
        <f t="shared" ca="1" si="401"/>
        <v>0</v>
      </c>
      <c r="BY372" s="734">
        <f t="shared" ca="1" si="401"/>
        <v>0</v>
      </c>
      <c r="BZ372" s="734">
        <f t="shared" si="401"/>
        <v>0</v>
      </c>
      <c r="CA372" s="734">
        <f t="shared" ca="1" si="401"/>
        <v>0</v>
      </c>
      <c r="CB372" s="734">
        <f t="shared" ca="1" si="401"/>
        <v>0</v>
      </c>
      <c r="CC372" s="734">
        <f t="shared" si="401"/>
        <v>0</v>
      </c>
      <c r="CD372" s="734">
        <f t="shared" ca="1" si="401"/>
        <v>0</v>
      </c>
      <c r="CE372" s="734">
        <f t="shared" ca="1" si="401"/>
        <v>0</v>
      </c>
      <c r="CF372" s="734">
        <f t="shared" si="401"/>
        <v>0</v>
      </c>
      <c r="CG372" s="734">
        <f t="shared" ca="1" si="401"/>
        <v>0</v>
      </c>
      <c r="CH372" s="734">
        <f t="shared" ca="1" si="401"/>
        <v>0</v>
      </c>
      <c r="CI372" s="734">
        <f t="shared" si="401"/>
        <v>0</v>
      </c>
      <c r="CJ372" s="734">
        <f t="shared" ca="1" si="401"/>
        <v>0</v>
      </c>
      <c r="CK372" s="734">
        <f t="shared" ca="1" si="401"/>
        <v>0</v>
      </c>
      <c r="CL372" s="734">
        <f t="shared" si="401"/>
        <v>0</v>
      </c>
      <c r="CM372" s="734">
        <f t="shared" ca="1" si="401"/>
        <v>0</v>
      </c>
      <c r="CN372" s="734">
        <f t="shared" ca="1" si="401"/>
        <v>0</v>
      </c>
      <c r="CO372" s="734">
        <f t="shared" si="401"/>
        <v>0</v>
      </c>
      <c r="CP372" s="734">
        <f t="shared" ca="1" si="401"/>
        <v>0</v>
      </c>
      <c r="CQ372" s="734">
        <f t="shared" ca="1" si="401"/>
        <v>0</v>
      </c>
      <c r="CR372" s="734">
        <f t="shared" si="401"/>
        <v>0</v>
      </c>
      <c r="CS372" s="734">
        <f t="shared" ca="1" si="401"/>
        <v>0</v>
      </c>
      <c r="CT372" s="28"/>
      <c r="CW372" s="970" t="s">
        <v>858</v>
      </c>
      <c r="CX372" s="975"/>
      <c r="CY372" s="975"/>
      <c r="CZ372" s="975"/>
      <c r="DA372" s="976"/>
      <c r="DB372" s="976"/>
    </row>
    <row r="373" spans="1:106" s="1229" customFormat="1" ht="16.5" hidden="1" customHeight="1">
      <c r="E373" s="676">
        <v>17.100000000000001</v>
      </c>
      <c r="F373" s="779" t="str" cm="1">
        <f t="array" aca="1" ref="F373" ca="1">OFFSET(G373,-1,-1)</f>
        <v>2</v>
      </c>
      <c r="L373" s="779" t="b" cm="1">
        <f t="array" aca="1" ref="L373" ca="1">OFFSET(M373,-1,-1)</f>
        <v>0</v>
      </c>
      <c r="R373" s="779" t="s">
        <v>759</v>
      </c>
      <c r="S373" s="110" t="b" cm="1">
        <f t="array" aca="1" ref="S373" ca="1">OFFSET(T373,-1,-1)</f>
        <v>1</v>
      </c>
      <c r="T373" s="110" t="b">
        <f ca="1">AND(L373,AD373&lt;&gt;"29.0")</f>
        <v>0</v>
      </c>
      <c r="U373" s="698" t="b">
        <f t="shared" ca="1" si="391"/>
        <v>0</v>
      </c>
      <c r="X373" s="110" t="s">
        <v>236</v>
      </c>
      <c r="Y373" s="1722"/>
      <c r="Z373" s="1722"/>
      <c r="AB373" s="1790"/>
      <c r="AD373" s="111" t="s">
        <v>859</v>
      </c>
      <c r="AE373" s="821"/>
      <c r="AF373" s="524"/>
      <c r="AG373" s="733" t="s">
        <v>839</v>
      </c>
      <c r="AH373" s="41">
        <f t="shared" ref="AH373:AK374" si="402">AH$324*AH369</f>
        <v>0</v>
      </c>
      <c r="AI373" s="42">
        <f t="shared" si="402"/>
        <v>0</v>
      </c>
      <c r="AJ373" s="42">
        <f t="shared" si="402"/>
        <v>0</v>
      </c>
      <c r="AK373" s="42">
        <f t="shared" si="402"/>
        <v>0</v>
      </c>
      <c r="AL373" s="736">
        <f ca="1">AM373+AN373</f>
        <v>0</v>
      </c>
      <c r="AM373" s="42">
        <f>AM$324*AM369</f>
        <v>0</v>
      </c>
      <c r="AN373" s="42">
        <f ca="1">AN$324*AN369</f>
        <v>0</v>
      </c>
      <c r="AO373" s="736">
        <f ca="1">AP373+AQ373</f>
        <v>0</v>
      </c>
      <c r="AP373" s="826">
        <f>AP$324*AP369</f>
        <v>0</v>
      </c>
      <c r="AQ373" s="826">
        <f ca="1">AQ$324*AQ369</f>
        <v>0</v>
      </c>
      <c r="AR373" s="736">
        <f ca="1">AS373+AT373</f>
        <v>0</v>
      </c>
      <c r="AS373" s="826">
        <f>AS$324*AS369</f>
        <v>0</v>
      </c>
      <c r="AT373" s="826">
        <f ca="1">AT$324*AT369</f>
        <v>0</v>
      </c>
      <c r="AU373" s="736">
        <f ca="1">AV373+AW373</f>
        <v>0</v>
      </c>
      <c r="AV373" s="826">
        <f>AV$324*AV369</f>
        <v>0</v>
      </c>
      <c r="AW373" s="826">
        <f ca="1">AW$324*AW369</f>
        <v>0</v>
      </c>
      <c r="AX373" s="736">
        <f ca="1">AY373+AZ373</f>
        <v>0</v>
      </c>
      <c r="AY373" s="826">
        <f>AY$324*AY369</f>
        <v>0</v>
      </c>
      <c r="AZ373" s="826">
        <f ca="1">AZ$324*AZ369</f>
        <v>0</v>
      </c>
      <c r="BA373" s="736">
        <f ca="1">BB373+BC373</f>
        <v>0</v>
      </c>
      <c r="BB373" s="42">
        <f>BB$324*BB369</f>
        <v>0</v>
      </c>
      <c r="BC373" s="42">
        <f ca="1">BC$324*BC369</f>
        <v>0</v>
      </c>
      <c r="BD373" s="736">
        <f ca="1">BE373+BF373</f>
        <v>0</v>
      </c>
      <c r="BE373" s="42">
        <f>BE$324*BE369</f>
        <v>0</v>
      </c>
      <c r="BF373" s="42">
        <f ca="1">BF$324*BF369</f>
        <v>0</v>
      </c>
      <c r="BG373" s="736">
        <f ca="1">BH373+BI373</f>
        <v>0</v>
      </c>
      <c r="BH373" s="42">
        <f>BH$324*BH369</f>
        <v>0</v>
      </c>
      <c r="BI373" s="42">
        <f ca="1">BI$324*BI369</f>
        <v>0</v>
      </c>
      <c r="BJ373" s="736">
        <f ca="1">BK373+BL373</f>
        <v>0</v>
      </c>
      <c r="BK373" s="42">
        <f>BK$324*BK369</f>
        <v>0</v>
      </c>
      <c r="BL373" s="42">
        <f ca="1">BL$324*BL369</f>
        <v>0</v>
      </c>
      <c r="BM373" s="736">
        <f ca="1">BN373+BO373</f>
        <v>0</v>
      </c>
      <c r="BN373" s="42">
        <f>BN$324*BN369</f>
        <v>0</v>
      </c>
      <c r="BO373" s="42">
        <f ca="1">BO$324*BO369</f>
        <v>0</v>
      </c>
      <c r="BP373" s="736">
        <f ca="1">BQ373+BR373</f>
        <v>0</v>
      </c>
      <c r="BQ373" s="826">
        <f>BQ$324*BQ369</f>
        <v>0</v>
      </c>
      <c r="BR373" s="826">
        <f ca="1">BR$324*BR369</f>
        <v>0</v>
      </c>
      <c r="BS373" s="736">
        <f ca="1">BT373+BU373</f>
        <v>0</v>
      </c>
      <c r="BT373" s="826">
        <f>BT$324*BT369</f>
        <v>0</v>
      </c>
      <c r="BU373" s="826">
        <f ca="1">BU$324*BU369</f>
        <v>0</v>
      </c>
      <c r="BV373" s="736">
        <f ca="1">BW373+BX373</f>
        <v>0</v>
      </c>
      <c r="BW373" s="826">
        <f>BW$324*BW369</f>
        <v>0</v>
      </c>
      <c r="BX373" s="826">
        <f ca="1">BX$324*BX369</f>
        <v>0</v>
      </c>
      <c r="BY373" s="736">
        <f ca="1">BZ373+CA373</f>
        <v>0</v>
      </c>
      <c r="BZ373" s="826">
        <f>BZ$324*BZ369</f>
        <v>0</v>
      </c>
      <c r="CA373" s="826">
        <f ca="1">CA$324*CA369</f>
        <v>0</v>
      </c>
      <c r="CB373" s="736">
        <f ca="1">CC373+CD373</f>
        <v>0</v>
      </c>
      <c r="CC373" s="826">
        <f>CC$324*CC369</f>
        <v>0</v>
      </c>
      <c r="CD373" s="826">
        <f ca="1">CD$324*CD369</f>
        <v>0</v>
      </c>
      <c r="CE373" s="736">
        <f ca="1">CF373+CG373</f>
        <v>0</v>
      </c>
      <c r="CF373" s="42">
        <f>CF$324*CF369</f>
        <v>0</v>
      </c>
      <c r="CG373" s="42">
        <f ca="1">CG$324*CG369</f>
        <v>0</v>
      </c>
      <c r="CH373" s="736">
        <f ca="1">CI373+CJ373</f>
        <v>0</v>
      </c>
      <c r="CI373" s="42">
        <f>CI$324*CI369</f>
        <v>0</v>
      </c>
      <c r="CJ373" s="42">
        <f ca="1">CJ$324*CJ369</f>
        <v>0</v>
      </c>
      <c r="CK373" s="736">
        <f ca="1">CL373+CM373</f>
        <v>0</v>
      </c>
      <c r="CL373" s="42">
        <f>CL$324*CL369</f>
        <v>0</v>
      </c>
      <c r="CM373" s="42">
        <f ca="1">CM$324*CM369</f>
        <v>0</v>
      </c>
      <c r="CN373" s="736">
        <f ca="1">CO373+CP373</f>
        <v>0</v>
      </c>
      <c r="CO373" s="42">
        <f>CO$324*CO369</f>
        <v>0</v>
      </c>
      <c r="CP373" s="42">
        <f ca="1">CP$324*CP369</f>
        <v>0</v>
      </c>
      <c r="CQ373" s="736">
        <f ca="1">CR373+CS373</f>
        <v>0</v>
      </c>
      <c r="CR373" s="42">
        <f>CR$324*CR369</f>
        <v>0</v>
      </c>
      <c r="CS373" s="42">
        <f ca="1">CS$324*CS369</f>
        <v>0</v>
      </c>
      <c r="CT373" s="28"/>
      <c r="CW373" s="970" t="s">
        <v>858</v>
      </c>
      <c r="CX373" s="975" t="s">
        <v>821</v>
      </c>
      <c r="CY373" s="979" cm="1">
        <f t="array" ref="CY373">AE373</f>
        <v>0</v>
      </c>
      <c r="CZ373" s="979" cm="1">
        <f t="array" ref="CZ373">AF373</f>
        <v>0</v>
      </c>
      <c r="DA373" s="976"/>
      <c r="DB373" s="976"/>
    </row>
    <row r="374" spans="1:106" s="1229" customFormat="1" ht="16.5" hidden="1" customHeight="1">
      <c r="E374" s="676">
        <v>17.100000000000001</v>
      </c>
      <c r="F374" s="779" t="str" cm="1">
        <f t="array" aca="1" ref="F374" ca="1">OFFSET(G374,-1,-1)</f>
        <v>2</v>
      </c>
      <c r="L374" s="779" t="b" cm="1">
        <f t="array" aca="1" ref="L374" ca="1">OFFSET(M374,-1,-1)</f>
        <v>0</v>
      </c>
      <c r="R374" s="779" t="s">
        <v>759</v>
      </c>
      <c r="S374" s="110" t="b" cm="1">
        <f t="array" aca="1" ref="S374" ca="1">OFFSET(T374,-1,-1)</f>
        <v>1</v>
      </c>
      <c r="T374" s="110" t="b">
        <f ca="1">AND(L374,AD374&lt;&gt;"29.0")</f>
        <v>0</v>
      </c>
      <c r="U374" s="698" t="b">
        <f t="shared" ca="1" si="391"/>
        <v>0</v>
      </c>
      <c r="X374" s="110" t="str">
        <f>'Топливо 4.4'!$AE$370&amp;'Топливо 4.4'!$AF$370</f>
        <v>Уголь длиннопламенный</v>
      </c>
      <c r="Y374" s="1722"/>
      <c r="Z374" s="1722"/>
      <c r="AB374" s="1790"/>
      <c r="AD374" s="111" t="s">
        <v>953</v>
      </c>
      <c r="AE374" s="821" t="str" cm="1">
        <f t="array" ref="AE374">IF(ISBLANK('Топливо 4.4'!$AE$370),"",'Топливо 4.4'!$AE$370)</f>
        <v>Уголь длиннопламенный</v>
      </c>
      <c r="AF374" s="524" t="str" cm="1">
        <f t="array" ref="AF374">IF(ISBLANK('Топливо 4.4'!$AF$370),"",'Топливо 4.4'!$AF$370)</f>
        <v/>
      </c>
      <c r="AG374" s="733" t="s">
        <v>839</v>
      </c>
      <c r="AH374" s="41">
        <f t="shared" si="402"/>
        <v>0</v>
      </c>
      <c r="AI374" s="42">
        <f t="shared" si="402"/>
        <v>0</v>
      </c>
      <c r="AJ374" s="42">
        <f t="shared" si="402"/>
        <v>0</v>
      </c>
      <c r="AK374" s="42">
        <f t="shared" si="402"/>
        <v>29781.21</v>
      </c>
      <c r="AL374" s="736">
        <f ca="1">AM374+AN374</f>
        <v>0</v>
      </c>
      <c r="AM374" s="42">
        <f>AM$324*AM370</f>
        <v>0</v>
      </c>
      <c r="AN374" s="42">
        <f ca="1">AN$324*AN370</f>
        <v>0</v>
      </c>
      <c r="AO374" s="736">
        <f ca="1">AP374+AQ374</f>
        <v>0</v>
      </c>
      <c r="AP374" s="826">
        <f>AP$324*AP370</f>
        <v>0</v>
      </c>
      <c r="AQ374" s="826">
        <f ca="1">AQ$324*AQ370</f>
        <v>0</v>
      </c>
      <c r="AR374" s="736">
        <f ca="1">AS374+AT374</f>
        <v>0</v>
      </c>
      <c r="AS374" s="826">
        <f>AS$324*AS370</f>
        <v>0</v>
      </c>
      <c r="AT374" s="826">
        <f ca="1">AT$324*AT370</f>
        <v>0</v>
      </c>
      <c r="AU374" s="736">
        <f ca="1">AV374+AW374</f>
        <v>0</v>
      </c>
      <c r="AV374" s="826">
        <f>AV$324*AV370</f>
        <v>0</v>
      </c>
      <c r="AW374" s="826">
        <f ca="1">AW$324*AW370</f>
        <v>0</v>
      </c>
      <c r="AX374" s="736">
        <f ca="1">AY374+AZ374</f>
        <v>0</v>
      </c>
      <c r="AY374" s="826">
        <f>AY$324*AY370</f>
        <v>0</v>
      </c>
      <c r="AZ374" s="826">
        <f ca="1">AZ$324*AZ370</f>
        <v>0</v>
      </c>
      <c r="BA374" s="736">
        <f ca="1">BB374+BC374</f>
        <v>0</v>
      </c>
      <c r="BB374" s="42">
        <f>BB$324*BB370</f>
        <v>0</v>
      </c>
      <c r="BC374" s="42">
        <f ca="1">BC$324*BC370</f>
        <v>0</v>
      </c>
      <c r="BD374" s="736">
        <f ca="1">BE374+BF374</f>
        <v>0</v>
      </c>
      <c r="BE374" s="42">
        <f>BE$324*BE370</f>
        <v>0</v>
      </c>
      <c r="BF374" s="42">
        <f ca="1">BF$324*BF370</f>
        <v>0</v>
      </c>
      <c r="BG374" s="736">
        <f ca="1">BH374+BI374</f>
        <v>0</v>
      </c>
      <c r="BH374" s="42">
        <f>BH$324*BH370</f>
        <v>0</v>
      </c>
      <c r="BI374" s="42">
        <f ca="1">BI$324*BI370</f>
        <v>0</v>
      </c>
      <c r="BJ374" s="736">
        <f ca="1">BK374+BL374</f>
        <v>0</v>
      </c>
      <c r="BK374" s="42">
        <f>BK$324*BK370</f>
        <v>0</v>
      </c>
      <c r="BL374" s="42">
        <f ca="1">BL$324*BL370</f>
        <v>0</v>
      </c>
      <c r="BM374" s="736">
        <f ca="1">BN374+BO374</f>
        <v>0</v>
      </c>
      <c r="BN374" s="42">
        <f>BN$324*BN370</f>
        <v>0</v>
      </c>
      <c r="BO374" s="42">
        <f ca="1">BO$324*BO370</f>
        <v>0</v>
      </c>
      <c r="BP374" s="736">
        <f ca="1">BQ374+BR374</f>
        <v>39389.701950033646</v>
      </c>
      <c r="BQ374" s="826">
        <f>BQ$324*BQ370</f>
        <v>28112.430281739016</v>
      </c>
      <c r="BR374" s="826">
        <f ca="1">BR$324*BR370</f>
        <v>11277.271668294632</v>
      </c>
      <c r="BS374" s="736">
        <f ca="1">BT374+BU374</f>
        <v>0</v>
      </c>
      <c r="BT374" s="826">
        <f>BT$324*BT370</f>
        <v>0</v>
      </c>
      <c r="BU374" s="826">
        <f ca="1">BU$324*BU370</f>
        <v>0</v>
      </c>
      <c r="BV374" s="736">
        <f ca="1">BW374+BX374</f>
        <v>0</v>
      </c>
      <c r="BW374" s="826">
        <f>BW$324*BW370</f>
        <v>0</v>
      </c>
      <c r="BX374" s="826">
        <f ca="1">BX$324*BX370</f>
        <v>0</v>
      </c>
      <c r="BY374" s="736">
        <f ca="1">BZ374+CA374</f>
        <v>0</v>
      </c>
      <c r="BZ374" s="826">
        <f>BZ$324*BZ370</f>
        <v>0</v>
      </c>
      <c r="CA374" s="826">
        <f ca="1">CA$324*CA370</f>
        <v>0</v>
      </c>
      <c r="CB374" s="736">
        <f ca="1">CC374+CD374</f>
        <v>0</v>
      </c>
      <c r="CC374" s="826">
        <f>CC$324*CC370</f>
        <v>0</v>
      </c>
      <c r="CD374" s="826">
        <f ca="1">CD$324*CD370</f>
        <v>0</v>
      </c>
      <c r="CE374" s="736">
        <f ca="1">CF374+CG374</f>
        <v>0</v>
      </c>
      <c r="CF374" s="42">
        <f>CF$324*CF370</f>
        <v>0</v>
      </c>
      <c r="CG374" s="42">
        <f ca="1">CG$324*CG370</f>
        <v>0</v>
      </c>
      <c r="CH374" s="736">
        <f ca="1">CI374+CJ374</f>
        <v>0</v>
      </c>
      <c r="CI374" s="42">
        <f>CI$324*CI370</f>
        <v>0</v>
      </c>
      <c r="CJ374" s="42">
        <f ca="1">CJ$324*CJ370</f>
        <v>0</v>
      </c>
      <c r="CK374" s="736">
        <f ca="1">CL374+CM374</f>
        <v>0</v>
      </c>
      <c r="CL374" s="42">
        <f>CL$324*CL370</f>
        <v>0</v>
      </c>
      <c r="CM374" s="42">
        <f ca="1">CM$324*CM370</f>
        <v>0</v>
      </c>
      <c r="CN374" s="736">
        <f ca="1">CO374+CP374</f>
        <v>0</v>
      </c>
      <c r="CO374" s="42">
        <f>CO$324*CO370</f>
        <v>0</v>
      </c>
      <c r="CP374" s="42">
        <f ca="1">CP$324*CP370</f>
        <v>0</v>
      </c>
      <c r="CQ374" s="736">
        <f ca="1">CR374+CS374</f>
        <v>0</v>
      </c>
      <c r="CR374" s="42">
        <f>CR$324*CR370</f>
        <v>0</v>
      </c>
      <c r="CS374" s="42">
        <f ca="1">CS$324*CS370</f>
        <v>0</v>
      </c>
      <c r="CT374" s="28"/>
      <c r="CW374" s="970" t="s">
        <v>858</v>
      </c>
      <c r="CX374" s="975" t="s">
        <v>821</v>
      </c>
      <c r="CY374" s="979" t="str" cm="1">
        <f t="array" ref="CY374">AE374</f>
        <v>Уголь длиннопламенный</v>
      </c>
      <c r="CZ374" s="979" t="str" cm="1">
        <f t="array" ref="CZ374">AF374</f>
        <v/>
      </c>
      <c r="DA374" s="976"/>
      <c r="DB374" s="976"/>
    </row>
    <row r="375" spans="1:106" s="1229" customFormat="1" ht="15" hidden="1" customHeight="1">
      <c r="A375" s="1155"/>
      <c r="B375" s="783"/>
      <c r="C375" s="1155"/>
      <c r="D375" s="1155"/>
      <c r="E375" s="676">
        <v>0</v>
      </c>
      <c r="F375" s="779" t="str" cm="1">
        <f t="array" aca="1" ref="F375" ca="1">OFFSET(G375,-1,-1)</f>
        <v>2</v>
      </c>
      <c r="G375" s="814"/>
      <c r="H375" s="814"/>
      <c r="I375" s="814"/>
      <c r="J375" s="814"/>
      <c r="K375" s="814"/>
      <c r="L375" s="779" t="b" cm="1">
        <f t="array" aca="1" ref="L375" ca="1">OFFSET(M375,-1,-1)</f>
        <v>0</v>
      </c>
      <c r="M375" s="814"/>
      <c r="N375" s="814"/>
      <c r="O375" s="814"/>
      <c r="P375" s="814"/>
      <c r="Q375" s="814"/>
      <c r="R375" s="1155"/>
      <c r="S375" s="110" t="b" cm="1">
        <f t="array" aca="1" ref="S375" ca="1">OFFSET(T375,-1,-1)</f>
        <v>1</v>
      </c>
      <c r="T375" s="1155"/>
      <c r="U375" s="698" t="b">
        <f t="shared" ca="1" si="391"/>
        <v>1</v>
      </c>
      <c r="V375" s="1155"/>
      <c r="W375" s="1155"/>
      <c r="X375" s="820" t="str">
        <f>"{                  
         funcDyn: 'msg1',
         blok: 'blok_2',
         wsCross: 'Топливо 4.4',
         linkFormula: 'AE-AE#AF-AF',
         levelDyn: "&amp;Y300&amp;"
}"</f>
        <v>{                  
         funcDyn: 'msg1',
         blok: 'blok_2',
         wsCross: 'Топливо 4.4',
         linkFormula: 'AE-AE#AF-AF',
         levelDyn: 2
}</v>
      </c>
      <c r="Y375" s="1687"/>
      <c r="Z375" s="1687"/>
      <c r="AA375" s="699"/>
      <c r="AB375" s="1791"/>
      <c r="AD375" s="823"/>
      <c r="AE375" s="822" t="s">
        <v>238</v>
      </c>
      <c r="AF375" s="745"/>
      <c r="AG375" s="733"/>
      <c r="AH375" s="735"/>
      <c r="AI375" s="737"/>
      <c r="AJ375" s="737"/>
      <c r="AK375" s="737"/>
      <c r="AL375" s="737"/>
      <c r="AM375" s="737"/>
      <c r="AN375" s="737"/>
      <c r="AO375" s="737"/>
      <c r="AP375" s="737"/>
      <c r="AQ375" s="737"/>
      <c r="AR375" s="737"/>
      <c r="AS375" s="737"/>
      <c r="AT375" s="737"/>
      <c r="AU375" s="737"/>
      <c r="AV375" s="737"/>
      <c r="AW375" s="737"/>
      <c r="AX375" s="737"/>
      <c r="AY375" s="737"/>
      <c r="AZ375" s="737"/>
      <c r="BA375" s="737"/>
      <c r="BB375" s="737"/>
      <c r="BC375" s="737"/>
      <c r="BD375" s="737"/>
      <c r="BE375" s="737"/>
      <c r="BF375" s="737"/>
      <c r="BG375" s="737"/>
      <c r="BH375" s="737"/>
      <c r="BI375" s="737"/>
      <c r="BJ375" s="737"/>
      <c r="BK375" s="737"/>
      <c r="BL375" s="737"/>
      <c r="BM375" s="737"/>
      <c r="BN375" s="737"/>
      <c r="BO375" s="737"/>
      <c r="BP375" s="737"/>
      <c r="BQ375" s="737"/>
      <c r="BR375" s="737"/>
      <c r="BS375" s="737"/>
      <c r="BT375" s="737"/>
      <c r="BU375" s="737"/>
      <c r="BV375" s="737"/>
      <c r="BW375" s="737"/>
      <c r="BX375" s="737"/>
      <c r="BY375" s="737"/>
      <c r="BZ375" s="737"/>
      <c r="CA375" s="737"/>
      <c r="CB375" s="737"/>
      <c r="CC375" s="737"/>
      <c r="CD375" s="737"/>
      <c r="CE375" s="737"/>
      <c r="CF375" s="737"/>
      <c r="CG375" s="737"/>
      <c r="CH375" s="737"/>
      <c r="CI375" s="737"/>
      <c r="CJ375" s="737"/>
      <c r="CK375" s="737"/>
      <c r="CL375" s="737"/>
      <c r="CM375" s="737"/>
      <c r="CN375" s="737"/>
      <c r="CO375" s="737"/>
      <c r="CP375" s="737"/>
      <c r="CQ375" s="737"/>
      <c r="CR375" s="737"/>
      <c r="CS375" s="737"/>
      <c r="CT375" s="46"/>
      <c r="CW375" s="970" t="str">
        <f>IF(AND(ISNUMBER(VALUE(TRIM(SUBSTITUTE(AD375,".","")))),TRIM(SUBSTITUTE(AD375,".",""))&lt;&gt;""),"P"&amp;SUBSTITUTE(AD375,".",""),"")</f>
        <v/>
      </c>
      <c r="CX375" s="975"/>
      <c r="CY375" s="975"/>
      <c r="CZ375" s="975"/>
      <c r="DA375" s="976"/>
      <c r="DB375" s="976"/>
    </row>
    <row r="376" spans="1:106" s="1229" customFormat="1" ht="16.5" customHeight="1">
      <c r="A376" s="1155"/>
      <c r="B376" s="783"/>
      <c r="C376" s="1155"/>
      <c r="D376" s="1155"/>
      <c r="E376" s="676">
        <v>17.100000000000001</v>
      </c>
      <c r="F376" s="779" t="str" cm="1">
        <f t="array" aca="1" ref="F376" ca="1">OFFSET(G376,-1,-1)</f>
        <v>2</v>
      </c>
      <c r="G376" s="814"/>
      <c r="H376" s="814"/>
      <c r="I376" s="814"/>
      <c r="J376" s="814"/>
      <c r="K376" s="814"/>
      <c r="L376" s="779" t="b" cm="1">
        <f t="array" aca="1" ref="L376" ca="1">OFFSET(M376,-1,-1)</f>
        <v>0</v>
      </c>
      <c r="M376" s="814"/>
      <c r="N376" s="814"/>
      <c r="O376" s="814"/>
      <c r="P376" s="814"/>
      <c r="Q376" s="814"/>
      <c r="R376" s="1155"/>
      <c r="S376" s="110" t="b" cm="1">
        <f t="array" aca="1" ref="S376" ca="1">OFFSET(T376,-1,-1)</f>
        <v>1</v>
      </c>
      <c r="T376" s="1155"/>
      <c r="U376" s="698" t="b">
        <f t="shared" ca="1" si="391"/>
        <v>1</v>
      </c>
      <c r="V376" s="1155"/>
      <c r="W376" s="1155"/>
      <c r="X376" s="1155"/>
      <c r="Y376" s="1687"/>
      <c r="Z376" s="1687"/>
      <c r="AA376" s="699"/>
      <c r="AB376" s="1792" t="s">
        <v>860</v>
      </c>
      <c r="AD376" s="124" t="s">
        <v>861</v>
      </c>
      <c r="AE376" s="1754" t="s">
        <v>862</v>
      </c>
      <c r="AF376" s="1734"/>
      <c r="AG376" s="849"/>
      <c r="AH376" s="735"/>
      <c r="AI376" s="737"/>
      <c r="AJ376" s="737"/>
      <c r="AK376" s="737"/>
      <c r="AL376" s="737"/>
      <c r="AM376" s="737"/>
      <c r="AN376" s="737"/>
      <c r="AO376" s="737"/>
      <c r="AP376" s="737"/>
      <c r="AQ376" s="737"/>
      <c r="AR376" s="737"/>
      <c r="AS376" s="737"/>
      <c r="AT376" s="737"/>
      <c r="AU376" s="737"/>
      <c r="AV376" s="737"/>
      <c r="AW376" s="737"/>
      <c r="AX376" s="737"/>
      <c r="AY376" s="737"/>
      <c r="AZ376" s="737"/>
      <c r="BA376" s="737"/>
      <c r="BB376" s="737"/>
      <c r="BC376" s="737"/>
      <c r="BD376" s="737"/>
      <c r="BE376" s="737"/>
      <c r="BF376" s="737"/>
      <c r="BG376" s="737"/>
      <c r="BH376" s="737"/>
      <c r="BI376" s="737"/>
      <c r="BJ376" s="737"/>
      <c r="BK376" s="737"/>
      <c r="BL376" s="737"/>
      <c r="BM376" s="737"/>
      <c r="BN376" s="737"/>
      <c r="BO376" s="737"/>
      <c r="BP376" s="737"/>
      <c r="BQ376" s="737"/>
      <c r="BR376" s="737"/>
      <c r="BS376" s="737"/>
      <c r="BT376" s="737"/>
      <c r="BU376" s="737"/>
      <c r="BV376" s="737"/>
      <c r="BW376" s="737"/>
      <c r="BX376" s="737"/>
      <c r="BY376" s="737"/>
      <c r="BZ376" s="737"/>
      <c r="CA376" s="737"/>
      <c r="CB376" s="737"/>
      <c r="CC376" s="737"/>
      <c r="CD376" s="737"/>
      <c r="CE376" s="737"/>
      <c r="CF376" s="737"/>
      <c r="CG376" s="737"/>
      <c r="CH376" s="737"/>
      <c r="CI376" s="737"/>
      <c r="CJ376" s="737"/>
      <c r="CK376" s="737"/>
      <c r="CL376" s="737"/>
      <c r="CM376" s="737"/>
      <c r="CN376" s="737"/>
      <c r="CO376" s="737"/>
      <c r="CP376" s="737"/>
      <c r="CQ376" s="737"/>
      <c r="CR376" s="737"/>
      <c r="CS376" s="737"/>
      <c r="CT376" s="1290"/>
      <c r="CW376" s="970" t="s">
        <v>863</v>
      </c>
      <c r="CX376" s="975"/>
      <c r="CY376" s="975"/>
      <c r="CZ376" s="975"/>
      <c r="DA376" s="976"/>
      <c r="DB376" s="976"/>
    </row>
    <row r="377" spans="1:106" s="1229" customFormat="1" ht="16.5" hidden="1" customHeight="1">
      <c r="E377" s="676">
        <v>17.100000000000001</v>
      </c>
      <c r="F377" s="779" t="str" cm="1">
        <f t="array" aca="1" ref="F377" ca="1">OFFSET(G377,-1,-1)</f>
        <v>2</v>
      </c>
      <c r="L377" s="779" t="b" cm="1">
        <f t="array" aca="1" ref="L377" ca="1">OFFSET(M377,-1,-1)</f>
        <v>0</v>
      </c>
      <c r="S377" s="110" t="b" cm="1">
        <f t="array" aca="1" ref="S377" ca="1">OFFSET(T377,-1,-1)</f>
        <v>1</v>
      </c>
      <c r="T377" s="110" t="b">
        <f>AD377&lt;&gt;"30.0"</f>
        <v>0</v>
      </c>
      <c r="U377" s="698" t="b">
        <f t="shared" ca="1" si="391"/>
        <v>0</v>
      </c>
      <c r="X377" s="110" t="s">
        <v>236</v>
      </c>
      <c r="Y377" s="1722"/>
      <c r="Z377" s="1722"/>
      <c r="AB377" s="1793"/>
      <c r="AD377" s="111" t="s">
        <v>864</v>
      </c>
      <c r="AE377" s="821"/>
      <c r="AF377" s="524"/>
      <c r="AG377" s="733" t="s">
        <v>533</v>
      </c>
      <c r="AH377" s="45"/>
      <c r="AI377" s="49"/>
      <c r="AJ377" s="49"/>
      <c r="AK377" s="49"/>
      <c r="AL377" s="737"/>
      <c r="AM377" s="49"/>
      <c r="AN377" s="49"/>
      <c r="AO377" s="737"/>
      <c r="AP377" s="829"/>
      <c r="AQ377" s="829"/>
      <c r="AR377" s="737"/>
      <c r="AS377" s="829"/>
      <c r="AT377" s="829"/>
      <c r="AU377" s="737"/>
      <c r="AV377" s="829"/>
      <c r="AW377" s="829"/>
      <c r="AX377" s="737"/>
      <c r="AY377" s="829"/>
      <c r="AZ377" s="829"/>
      <c r="BA377" s="737"/>
      <c r="BB377" s="49"/>
      <c r="BC377" s="49"/>
      <c r="BD377" s="737"/>
      <c r="BE377" s="49"/>
      <c r="BF377" s="49"/>
      <c r="BG377" s="737"/>
      <c r="BH377" s="49"/>
      <c r="BI377" s="49"/>
      <c r="BJ377" s="737"/>
      <c r="BK377" s="49"/>
      <c r="BL377" s="49"/>
      <c r="BM377" s="737"/>
      <c r="BN377" s="49"/>
      <c r="BO377" s="49"/>
      <c r="BP377" s="737"/>
      <c r="BQ377" s="829"/>
      <c r="BR377" s="829"/>
      <c r="BS377" s="737"/>
      <c r="BT377" s="829"/>
      <c r="BU377" s="829"/>
      <c r="BV377" s="737"/>
      <c r="BW377" s="829"/>
      <c r="BX377" s="829"/>
      <c r="BY377" s="737"/>
      <c r="BZ377" s="829"/>
      <c r="CA377" s="829"/>
      <c r="CB377" s="737"/>
      <c r="CC377" s="829"/>
      <c r="CD377" s="829"/>
      <c r="CE377" s="737"/>
      <c r="CF377" s="49"/>
      <c r="CG377" s="49"/>
      <c r="CH377" s="737"/>
      <c r="CI377" s="49"/>
      <c r="CJ377" s="49"/>
      <c r="CK377" s="737"/>
      <c r="CL377" s="49"/>
      <c r="CM377" s="49"/>
      <c r="CN377" s="737"/>
      <c r="CO377" s="49"/>
      <c r="CP377" s="49"/>
      <c r="CQ377" s="737"/>
      <c r="CR377" s="49"/>
      <c r="CS377" s="49"/>
      <c r="CT377" s="28"/>
      <c r="CW377" s="970" t="s">
        <v>863</v>
      </c>
      <c r="CX377" s="975" t="s">
        <v>821</v>
      </c>
      <c r="CY377" s="979" cm="1">
        <f t="array" ref="CY377">AE377</f>
        <v>0</v>
      </c>
      <c r="CZ377" s="979" cm="1">
        <f t="array" ref="CZ377">AF377</f>
        <v>0</v>
      </c>
      <c r="DA377" s="976"/>
      <c r="DB377" s="976"/>
    </row>
    <row r="378" spans="1:106" s="1229" customFormat="1" ht="16.5" customHeight="1">
      <c r="E378" s="676">
        <v>17.100000000000001</v>
      </c>
      <c r="F378" s="779" t="str" cm="1">
        <f t="array" aca="1" ref="F378" ca="1">OFFSET(G378,-1,-1)</f>
        <v>2</v>
      </c>
      <c r="L378" s="779" t="b" cm="1">
        <f t="array" aca="1" ref="L378" ca="1">OFFSET(M378,-1,-1)</f>
        <v>0</v>
      </c>
      <c r="S378" s="110" t="b" cm="1">
        <f t="array" aca="1" ref="S378" ca="1">OFFSET(T378,-1,-1)</f>
        <v>1</v>
      </c>
      <c r="T378" s="110" t="b">
        <f>AD378&lt;&gt;"30.0"</f>
        <v>1</v>
      </c>
      <c r="U378" s="698" t="b">
        <f t="shared" ca="1" si="391"/>
        <v>1</v>
      </c>
      <c r="X378" s="110" t="str">
        <f>'Топливо 4.4'!$AE$374&amp;'Топливо 4.4'!$AF$374</f>
        <v>Уголь длиннопламенный</v>
      </c>
      <c r="Y378" s="1722"/>
      <c r="Z378" s="1722"/>
      <c r="AB378" s="1793"/>
      <c r="AD378" s="111" t="s">
        <v>955</v>
      </c>
      <c r="AE378" s="821" t="str" cm="1">
        <f t="array" ref="AE378">IF(ISBLANK('Топливо 4.4'!$AE$374),"",'Топливо 4.4'!$AE$374)</f>
        <v>Уголь длиннопламенный</v>
      </c>
      <c r="AF378" s="524" t="str" cm="1">
        <f t="array" ref="AF378">IF(ISBLANK('Топливо 4.4'!$AF$374),"",'Топливо 4.4'!$AF$374)</f>
        <v/>
      </c>
      <c r="AG378" s="733" t="s">
        <v>533</v>
      </c>
      <c r="AH378" s="1306"/>
      <c r="AI378" s="1309"/>
      <c r="AJ378" s="1309"/>
      <c r="AK378" s="1309"/>
      <c r="AL378" s="737"/>
      <c r="AM378" s="1309"/>
      <c r="AN378" s="1309"/>
      <c r="AO378" s="737"/>
      <c r="AP378" s="829"/>
      <c r="AQ378" s="829"/>
      <c r="AR378" s="737"/>
      <c r="AS378" s="829"/>
      <c r="AT378" s="829"/>
      <c r="AU378" s="737"/>
      <c r="AV378" s="829"/>
      <c r="AW378" s="829"/>
      <c r="AX378" s="737"/>
      <c r="AY378" s="829"/>
      <c r="AZ378" s="829"/>
      <c r="BA378" s="737"/>
      <c r="BB378" s="1309"/>
      <c r="BC378" s="1309"/>
      <c r="BD378" s="737"/>
      <c r="BE378" s="1309"/>
      <c r="BF378" s="1309"/>
      <c r="BG378" s="737"/>
      <c r="BH378" s="1309"/>
      <c r="BI378" s="1309"/>
      <c r="BJ378" s="737"/>
      <c r="BK378" s="1309"/>
      <c r="BL378" s="1309"/>
      <c r="BM378" s="737"/>
      <c r="BN378" s="1309"/>
      <c r="BO378" s="1309"/>
      <c r="BP378" s="737"/>
      <c r="BQ378" s="829"/>
      <c r="BR378" s="829"/>
      <c r="BS378" s="737"/>
      <c r="BT378" s="829"/>
      <c r="BU378" s="829"/>
      <c r="BV378" s="737"/>
      <c r="BW378" s="829"/>
      <c r="BX378" s="829"/>
      <c r="BY378" s="737"/>
      <c r="BZ378" s="829"/>
      <c r="CA378" s="829"/>
      <c r="CB378" s="737"/>
      <c r="CC378" s="829"/>
      <c r="CD378" s="829"/>
      <c r="CE378" s="737"/>
      <c r="CF378" s="1309"/>
      <c r="CG378" s="1309"/>
      <c r="CH378" s="737"/>
      <c r="CI378" s="1309"/>
      <c r="CJ378" s="1309"/>
      <c r="CK378" s="737"/>
      <c r="CL378" s="1309"/>
      <c r="CM378" s="1309"/>
      <c r="CN378" s="737"/>
      <c r="CO378" s="1309"/>
      <c r="CP378" s="1309"/>
      <c r="CQ378" s="737"/>
      <c r="CR378" s="1309"/>
      <c r="CS378" s="1309"/>
      <c r="CT378" s="1290"/>
      <c r="CW378" s="970" t="s">
        <v>863</v>
      </c>
      <c r="CX378" s="975" t="s">
        <v>821</v>
      </c>
      <c r="CY378" s="979" t="str" cm="1">
        <f t="array" ref="CY378">AE378</f>
        <v>Уголь длиннопламенный</v>
      </c>
      <c r="CZ378" s="979" t="str" cm="1">
        <f t="array" ref="CZ378">AF378</f>
        <v/>
      </c>
      <c r="DA378" s="976"/>
      <c r="DB378" s="976"/>
    </row>
    <row r="379" spans="1:106" s="1229" customFormat="1" ht="15" hidden="1" customHeight="1">
      <c r="A379" s="1155"/>
      <c r="B379" s="783"/>
      <c r="C379" s="1155"/>
      <c r="D379" s="1155"/>
      <c r="E379" s="676">
        <v>0</v>
      </c>
      <c r="F379" s="779" t="str" cm="1">
        <f t="array" aca="1" ref="F379" ca="1">OFFSET(G379,-1,-1)</f>
        <v>2</v>
      </c>
      <c r="G379" s="814"/>
      <c r="H379" s="814"/>
      <c r="I379" s="814"/>
      <c r="J379" s="814"/>
      <c r="K379" s="814"/>
      <c r="L379" s="779" t="b" cm="1">
        <f t="array" aca="1" ref="L379" ca="1">OFFSET(M379,-1,-1)</f>
        <v>0</v>
      </c>
      <c r="M379" s="814"/>
      <c r="N379" s="814"/>
      <c r="O379" s="814"/>
      <c r="P379" s="814"/>
      <c r="Q379" s="814"/>
      <c r="R379" s="1155"/>
      <c r="S379" s="110" t="b" cm="1">
        <f t="array" aca="1" ref="S379" ca="1">OFFSET(T379,-1,-1)</f>
        <v>1</v>
      </c>
      <c r="T379" s="1155"/>
      <c r="U379" s="698" t="b">
        <f t="shared" ca="1" si="391"/>
        <v>1</v>
      </c>
      <c r="V379" s="1155"/>
      <c r="W379" s="1155"/>
      <c r="X379" s="820" t="str">
        <f>"{                  
         funcDyn: 'msg1',
         blok: 'blok_2',
         wsCross: 'Топливо 4.4',
         linkFormula: 'AE-AE#AF-AF',
         levelDyn: "&amp;Y300&amp;"
}"</f>
        <v>{                  
         funcDyn: 'msg1',
         blok: 'blok_2',
         wsCross: 'Топливо 4.4',
         linkFormula: 'AE-AE#AF-AF',
         levelDyn: 2
}</v>
      </c>
      <c r="Y379" s="1687"/>
      <c r="Z379" s="1687"/>
      <c r="AA379" s="699"/>
      <c r="AB379" s="1793"/>
      <c r="AD379" s="823"/>
      <c r="AE379" s="822" t="s">
        <v>238</v>
      </c>
      <c r="AF379" s="745"/>
      <c r="AG379" s="733"/>
      <c r="AH379" s="746"/>
      <c r="AI379" s="50"/>
      <c r="AJ379" s="50"/>
      <c r="AK379" s="50"/>
      <c r="AL379" s="737"/>
      <c r="AM379" s="50"/>
      <c r="AN379" s="50"/>
      <c r="AO379" s="737"/>
      <c r="AP379" s="50"/>
      <c r="AQ379" s="50"/>
      <c r="AR379" s="737"/>
      <c r="AS379" s="50"/>
      <c r="AT379" s="50"/>
      <c r="AU379" s="737"/>
      <c r="AV379" s="50"/>
      <c r="AW379" s="50"/>
      <c r="AX379" s="737"/>
      <c r="AY379" s="50"/>
      <c r="AZ379" s="50"/>
      <c r="BA379" s="737"/>
      <c r="BB379" s="50"/>
      <c r="BC379" s="50"/>
      <c r="BD379" s="737"/>
      <c r="BE379" s="50"/>
      <c r="BF379" s="50"/>
      <c r="BG379" s="737"/>
      <c r="BH379" s="50"/>
      <c r="BI379" s="50"/>
      <c r="BJ379" s="737"/>
      <c r="BK379" s="50"/>
      <c r="BL379" s="50"/>
      <c r="BM379" s="737"/>
      <c r="BN379" s="50"/>
      <c r="BO379" s="50"/>
      <c r="BP379" s="737"/>
      <c r="BQ379" s="50"/>
      <c r="BR379" s="50"/>
      <c r="BS379" s="737"/>
      <c r="BT379" s="50"/>
      <c r="BU379" s="50"/>
      <c r="BV379" s="737"/>
      <c r="BW379" s="50"/>
      <c r="BX379" s="50"/>
      <c r="BY379" s="737"/>
      <c r="BZ379" s="50"/>
      <c r="CA379" s="50"/>
      <c r="CB379" s="737"/>
      <c r="CC379" s="50"/>
      <c r="CD379" s="50"/>
      <c r="CE379" s="737"/>
      <c r="CF379" s="50"/>
      <c r="CG379" s="50"/>
      <c r="CH379" s="737"/>
      <c r="CI379" s="50"/>
      <c r="CJ379" s="50"/>
      <c r="CK379" s="737"/>
      <c r="CL379" s="50"/>
      <c r="CM379" s="50"/>
      <c r="CN379" s="737"/>
      <c r="CO379" s="50"/>
      <c r="CP379" s="50"/>
      <c r="CQ379" s="737"/>
      <c r="CR379" s="50"/>
      <c r="CS379" s="50"/>
      <c r="CT379" s="46"/>
      <c r="CW379" s="970" t="str">
        <f>IF(AND(ISNUMBER(VALUE(TRIM(SUBSTITUTE(AD379,".","")))),TRIM(SUBSTITUTE(AD379,".",""))&lt;&gt;""),"P"&amp;SUBSTITUTE(AD379,".",""),"")</f>
        <v/>
      </c>
      <c r="CX379" s="975"/>
      <c r="CY379" s="975"/>
      <c r="CZ379" s="975"/>
      <c r="DA379" s="976"/>
      <c r="DB379" s="976"/>
    </row>
    <row r="380" spans="1:106" s="1229" customFormat="1" ht="16.5" customHeight="1">
      <c r="A380" s="1155"/>
      <c r="B380" s="783"/>
      <c r="C380" s="1155"/>
      <c r="D380" s="1155"/>
      <c r="E380" s="676">
        <v>17.100000000000001</v>
      </c>
      <c r="F380" s="779" t="str" cm="1">
        <f t="array" aca="1" ref="F380" ca="1">OFFSET(G380,-1,-1)</f>
        <v>2</v>
      </c>
      <c r="G380" s="814"/>
      <c r="H380" s="814"/>
      <c r="I380" s="814"/>
      <c r="J380" s="814"/>
      <c r="K380" s="814"/>
      <c r="L380" s="779" t="b" cm="1">
        <f t="array" aca="1" ref="L380" ca="1">OFFSET(M380,-1,-1)</f>
        <v>0</v>
      </c>
      <c r="M380" s="814"/>
      <c r="N380" s="814"/>
      <c r="O380" s="814"/>
      <c r="P380" s="814"/>
      <c r="Q380" s="814"/>
      <c r="R380" s="1155"/>
      <c r="S380" s="110" t="b" cm="1">
        <f t="array" aca="1" ref="S380" ca="1">OFFSET(T380,-1,-1)</f>
        <v>1</v>
      </c>
      <c r="T380" s="1155"/>
      <c r="U380" s="698" t="b">
        <f t="shared" ca="1" si="391"/>
        <v>1</v>
      </c>
      <c r="V380" s="1155"/>
      <c r="W380" s="1155"/>
      <c r="X380" s="1155"/>
      <c r="Y380" s="1687"/>
      <c r="Z380" s="1687"/>
      <c r="AA380" s="699"/>
      <c r="AB380" s="1793"/>
      <c r="AD380" s="124" t="s">
        <v>865</v>
      </c>
      <c r="AE380" s="1754" t="s">
        <v>866</v>
      </c>
      <c r="AF380" s="1734"/>
      <c r="AG380" s="849"/>
      <c r="AH380" s="735"/>
      <c r="AI380" s="737"/>
      <c r="AJ380" s="737"/>
      <c r="AK380" s="737"/>
      <c r="AL380" s="737"/>
      <c r="AM380" s="737"/>
      <c r="AN380" s="737"/>
      <c r="AO380" s="737"/>
      <c r="AP380" s="737"/>
      <c r="AQ380" s="737"/>
      <c r="AR380" s="737"/>
      <c r="AS380" s="737"/>
      <c r="AT380" s="737"/>
      <c r="AU380" s="737"/>
      <c r="AV380" s="737"/>
      <c r="AW380" s="737"/>
      <c r="AX380" s="737"/>
      <c r="AY380" s="737"/>
      <c r="AZ380" s="737"/>
      <c r="BA380" s="737"/>
      <c r="BB380" s="737"/>
      <c r="BC380" s="737"/>
      <c r="BD380" s="737"/>
      <c r="BE380" s="737"/>
      <c r="BF380" s="737"/>
      <c r="BG380" s="737"/>
      <c r="BH380" s="737"/>
      <c r="BI380" s="737"/>
      <c r="BJ380" s="737"/>
      <c r="BK380" s="737"/>
      <c r="BL380" s="737"/>
      <c r="BM380" s="737"/>
      <c r="BN380" s="737"/>
      <c r="BO380" s="737"/>
      <c r="BP380" s="737"/>
      <c r="BQ380" s="737"/>
      <c r="BR380" s="737"/>
      <c r="BS380" s="737"/>
      <c r="BT380" s="737"/>
      <c r="BU380" s="737"/>
      <c r="BV380" s="737"/>
      <c r="BW380" s="737"/>
      <c r="BX380" s="737"/>
      <c r="BY380" s="737"/>
      <c r="BZ380" s="737"/>
      <c r="CA380" s="737"/>
      <c r="CB380" s="737"/>
      <c r="CC380" s="737"/>
      <c r="CD380" s="737"/>
      <c r="CE380" s="737"/>
      <c r="CF380" s="737"/>
      <c r="CG380" s="737"/>
      <c r="CH380" s="737"/>
      <c r="CI380" s="737"/>
      <c r="CJ380" s="737"/>
      <c r="CK380" s="737"/>
      <c r="CL380" s="737"/>
      <c r="CM380" s="737"/>
      <c r="CN380" s="737"/>
      <c r="CO380" s="737"/>
      <c r="CP380" s="737"/>
      <c r="CQ380" s="737"/>
      <c r="CR380" s="737"/>
      <c r="CS380" s="737"/>
      <c r="CT380" s="1290"/>
      <c r="CW380" s="970" t="s">
        <v>867</v>
      </c>
      <c r="CX380" s="975"/>
      <c r="CY380" s="975"/>
      <c r="CZ380" s="975"/>
      <c r="DA380" s="976"/>
      <c r="DB380" s="976"/>
    </row>
    <row r="381" spans="1:106" s="1229" customFormat="1" ht="16.5" hidden="1" customHeight="1">
      <c r="E381" s="676">
        <v>17.100000000000001</v>
      </c>
      <c r="F381" s="779" t="str" cm="1">
        <f t="array" aca="1" ref="F381" ca="1">OFFSET(G381,-1,-1)</f>
        <v>2</v>
      </c>
      <c r="L381" s="779" t="b" cm="1">
        <f t="array" aca="1" ref="L381" ca="1">OFFSET(M381,-1,-1)</f>
        <v>0</v>
      </c>
      <c r="S381" s="110" t="b" cm="1">
        <f t="array" aca="1" ref="S381" ca="1">OFFSET(T381,-1,-1)</f>
        <v>1</v>
      </c>
      <c r="T381" s="110" t="b">
        <f>AD381&lt;&gt;"31.0"</f>
        <v>0</v>
      </c>
      <c r="U381" s="698" t="b">
        <f t="shared" ca="1" si="391"/>
        <v>0</v>
      </c>
      <c r="X381" s="110" t="s">
        <v>236</v>
      </c>
      <c r="Y381" s="1722"/>
      <c r="Z381" s="1722"/>
      <c r="AB381" s="1793"/>
      <c r="AD381" s="111" t="s">
        <v>868</v>
      </c>
      <c r="AE381" s="821"/>
      <c r="AF381" s="524"/>
      <c r="AG381" s="894" t="str">
        <f>"руб./"&amp;IFERROR(INDEX(fuel_ed_izm_list,MATCH(AE381,fuel_list,0)),"")</f>
        <v>руб./</v>
      </c>
      <c r="AH381" s="41">
        <f t="shared" ref="AH381:AL382" si="403">IFERROR(AH386/AH339,0)*1000</f>
        <v>0</v>
      </c>
      <c r="AI381" s="41">
        <f t="shared" si="403"/>
        <v>0</v>
      </c>
      <c r="AJ381" s="41">
        <f t="shared" si="403"/>
        <v>0</v>
      </c>
      <c r="AK381" s="41">
        <f t="shared" si="403"/>
        <v>0</v>
      </c>
      <c r="AL381" s="736">
        <f t="shared" ca="1" si="403"/>
        <v>0</v>
      </c>
      <c r="AM381" s="42"/>
      <c r="AN381" s="42"/>
      <c r="AO381" s="736">
        <f ca="1">IFERROR(AO386/AO339,0)*1000</f>
        <v>0</v>
      </c>
      <c r="AP381" s="826"/>
      <c r="AQ381" s="826"/>
      <c r="AR381" s="736">
        <f ca="1">IFERROR(AR386/AR339,0)*1000</f>
        <v>0</v>
      </c>
      <c r="AS381" s="826"/>
      <c r="AT381" s="826"/>
      <c r="AU381" s="736">
        <f ca="1">IFERROR(AU386/AU339,0)*1000</f>
        <v>0</v>
      </c>
      <c r="AV381" s="826"/>
      <c r="AW381" s="826"/>
      <c r="AX381" s="736">
        <f ca="1">IFERROR(AX386/AX339,0)*1000</f>
        <v>0</v>
      </c>
      <c r="AY381" s="826"/>
      <c r="AZ381" s="826"/>
      <c r="BA381" s="736">
        <f ca="1">IFERROR(BA386/BA339,0)*1000</f>
        <v>0</v>
      </c>
      <c r="BB381" s="42"/>
      <c r="BC381" s="42"/>
      <c r="BD381" s="736">
        <f ca="1">IFERROR(BD386/BD339,0)*1000</f>
        <v>0</v>
      </c>
      <c r="BE381" s="42"/>
      <c r="BF381" s="42"/>
      <c r="BG381" s="736">
        <f ca="1">IFERROR(BG386/BG339,0)*1000</f>
        <v>0</v>
      </c>
      <c r="BH381" s="42"/>
      <c r="BI381" s="42"/>
      <c r="BJ381" s="736">
        <f ca="1">IFERROR(BJ386/BJ339,0)*1000</f>
        <v>0</v>
      </c>
      <c r="BK381" s="42"/>
      <c r="BL381" s="42"/>
      <c r="BM381" s="736">
        <f ca="1">IFERROR(BM386/BM339,0)*1000</f>
        <v>0</v>
      </c>
      <c r="BN381" s="42"/>
      <c r="BO381" s="42"/>
      <c r="BP381" s="736">
        <f ca="1">IFERROR(BP386/BP339,0)*1000</f>
        <v>0</v>
      </c>
      <c r="BQ381" s="826"/>
      <c r="BR381" s="826"/>
      <c r="BS381" s="736">
        <f ca="1">IFERROR(BS386/BS339,0)*1000</f>
        <v>0</v>
      </c>
      <c r="BT381" s="826"/>
      <c r="BU381" s="826"/>
      <c r="BV381" s="736">
        <f ca="1">IFERROR(BV386/BV339,0)*1000</f>
        <v>0</v>
      </c>
      <c r="BW381" s="826"/>
      <c r="BX381" s="826"/>
      <c r="BY381" s="736">
        <f ca="1">IFERROR(BY386/BY339,0)*1000</f>
        <v>0</v>
      </c>
      <c r="BZ381" s="826"/>
      <c r="CA381" s="826"/>
      <c r="CB381" s="736">
        <f ca="1">IFERROR(CB386/CB339,0)*1000</f>
        <v>0</v>
      </c>
      <c r="CC381" s="826"/>
      <c r="CD381" s="826"/>
      <c r="CE381" s="736">
        <f ca="1">IFERROR(CE386/CE339,0)*1000</f>
        <v>0</v>
      </c>
      <c r="CF381" s="42"/>
      <c r="CG381" s="42"/>
      <c r="CH381" s="736">
        <f ca="1">IFERROR(CH386/CH339,0)*1000</f>
        <v>0</v>
      </c>
      <c r="CI381" s="42"/>
      <c r="CJ381" s="42"/>
      <c r="CK381" s="736">
        <f ca="1">IFERROR(CK386/CK339,0)*1000</f>
        <v>0</v>
      </c>
      <c r="CL381" s="42"/>
      <c r="CM381" s="42"/>
      <c r="CN381" s="736">
        <f ca="1">IFERROR(CN386/CN339,0)*1000</f>
        <v>0</v>
      </c>
      <c r="CO381" s="42"/>
      <c r="CP381" s="42"/>
      <c r="CQ381" s="736">
        <f ca="1">IFERROR(CQ386/CQ339,0)*1000</f>
        <v>0</v>
      </c>
      <c r="CR381" s="42"/>
      <c r="CS381" s="42"/>
      <c r="CT381" s="28"/>
      <c r="CW381" s="970" t="s">
        <v>867</v>
      </c>
      <c r="CX381" s="975" t="s">
        <v>821</v>
      </c>
      <c r="CY381" s="979" cm="1">
        <f t="array" ref="CY381">AE381</f>
        <v>0</v>
      </c>
      <c r="CZ381" s="979" cm="1">
        <f t="array" ref="CZ381">AF381</f>
        <v>0</v>
      </c>
      <c r="DA381" s="976"/>
      <c r="DB381" s="976"/>
    </row>
    <row r="382" spans="1:106" s="1229" customFormat="1" ht="16.5" customHeight="1">
      <c r="E382" s="676">
        <v>17.100000000000001</v>
      </c>
      <c r="F382" s="779" t="str" cm="1">
        <f t="array" aca="1" ref="F382" ca="1">OFFSET(G382,-1,-1)</f>
        <v>2</v>
      </c>
      <c r="L382" s="779" t="b" cm="1">
        <f t="array" aca="1" ref="L382" ca="1">OFFSET(M382,-1,-1)</f>
        <v>0</v>
      </c>
      <c r="S382" s="110" t="b" cm="1">
        <f t="array" aca="1" ref="S382" ca="1">OFFSET(T382,-1,-1)</f>
        <v>1</v>
      </c>
      <c r="T382" s="110" t="b">
        <f>AD382&lt;&gt;"31.0"</f>
        <v>1</v>
      </c>
      <c r="U382" s="698" t="b">
        <f t="shared" ca="1" si="391"/>
        <v>1</v>
      </c>
      <c r="X382" s="110" t="str">
        <f>'Топливо 4.4'!$AE$378&amp;'Топливо 4.4'!$AF$378</f>
        <v>Уголь длиннопламенный</v>
      </c>
      <c r="Y382" s="1722"/>
      <c r="Z382" s="1722"/>
      <c r="AB382" s="1793"/>
      <c r="AD382" s="111" t="s">
        <v>957</v>
      </c>
      <c r="AE382" s="821" t="str" cm="1">
        <f t="array" ref="AE382">IF(ISBLANK('Топливо 4.4'!$AE$378),"",'Топливо 4.4'!$AE$378)</f>
        <v>Уголь длиннопламенный</v>
      </c>
      <c r="AF382" s="524" t="str" cm="1">
        <f t="array" ref="AF382">IF(ISBLANK('Топливо 4.4'!$AF$378),"",'Топливо 4.4'!$AF$378)</f>
        <v/>
      </c>
      <c r="AG382" s="894" t="str">
        <f>"руб./"&amp;IFERROR(INDEX(fuel_ed_izm_list,MATCH(AE382,fuel_list,0)),"")</f>
        <v>руб./тнт</v>
      </c>
      <c r="AH382" s="1303">
        <f t="shared" si="403"/>
        <v>0</v>
      </c>
      <c r="AI382" s="1303">
        <f t="shared" si="403"/>
        <v>0</v>
      </c>
      <c r="AJ382" s="1303">
        <f t="shared" si="403"/>
        <v>0</v>
      </c>
      <c r="AK382" s="1303">
        <f t="shared" si="403"/>
        <v>0</v>
      </c>
      <c r="AL382" s="736">
        <f t="shared" ca="1" si="403"/>
        <v>0</v>
      </c>
      <c r="AM382" s="1302"/>
      <c r="AN382" s="1302"/>
      <c r="AO382" s="736">
        <f ca="1">IFERROR(AO387/AO340,0)*1000</f>
        <v>0</v>
      </c>
      <c r="AP382" s="826"/>
      <c r="AQ382" s="826"/>
      <c r="AR382" s="736">
        <f ca="1">IFERROR(AR387/AR340,0)*1000</f>
        <v>0</v>
      </c>
      <c r="AS382" s="826"/>
      <c r="AT382" s="826"/>
      <c r="AU382" s="736">
        <f ca="1">IFERROR(AU387/AU340,0)*1000</f>
        <v>0</v>
      </c>
      <c r="AV382" s="826"/>
      <c r="AW382" s="826"/>
      <c r="AX382" s="736">
        <f ca="1">IFERROR(AX387/AX340,0)*1000</f>
        <v>0</v>
      </c>
      <c r="AY382" s="826"/>
      <c r="AZ382" s="826"/>
      <c r="BA382" s="736">
        <f ca="1">IFERROR(BA387/BA340,0)*1000</f>
        <v>0</v>
      </c>
      <c r="BB382" s="1302"/>
      <c r="BC382" s="1302"/>
      <c r="BD382" s="736">
        <f ca="1">IFERROR(BD387/BD340,0)*1000</f>
        <v>0</v>
      </c>
      <c r="BE382" s="1302"/>
      <c r="BF382" s="1302"/>
      <c r="BG382" s="736">
        <f ca="1">IFERROR(BG387/BG340,0)*1000</f>
        <v>0</v>
      </c>
      <c r="BH382" s="1302"/>
      <c r="BI382" s="1302"/>
      <c r="BJ382" s="736">
        <f ca="1">IFERROR(BJ387/BJ340,0)*1000</f>
        <v>0</v>
      </c>
      <c r="BK382" s="1302"/>
      <c r="BL382" s="1302"/>
      <c r="BM382" s="736">
        <f ca="1">IFERROR(BM387/BM340,0)*1000</f>
        <v>0</v>
      </c>
      <c r="BN382" s="1302"/>
      <c r="BO382" s="1302"/>
      <c r="BP382" s="736">
        <f ca="1">IFERROR(BP387/BP340,0)*1000</f>
        <v>354.74053981939994</v>
      </c>
      <c r="BQ382" s="826">
        <v>354.7405398194</v>
      </c>
      <c r="BR382" s="826" cm="1">
        <f t="array" ref="BR382">BQ382</f>
        <v>354.7405398194</v>
      </c>
      <c r="BS382" s="736">
        <f ca="1">IFERROR(BS387/BS340,0)*1000</f>
        <v>0</v>
      </c>
      <c r="BT382" s="826"/>
      <c r="BU382" s="826"/>
      <c r="BV382" s="736">
        <f ca="1">IFERROR(BV387/BV340,0)*1000</f>
        <v>0</v>
      </c>
      <c r="BW382" s="826"/>
      <c r="BX382" s="826"/>
      <c r="BY382" s="736">
        <f ca="1">IFERROR(BY387/BY340,0)*1000</f>
        <v>0</v>
      </c>
      <c r="BZ382" s="826"/>
      <c r="CA382" s="826"/>
      <c r="CB382" s="736">
        <f ca="1">IFERROR(CB387/CB340,0)*1000</f>
        <v>0</v>
      </c>
      <c r="CC382" s="826"/>
      <c r="CD382" s="826"/>
      <c r="CE382" s="736">
        <f ca="1">IFERROR(CE387/CE340,0)*1000</f>
        <v>0</v>
      </c>
      <c r="CF382" s="1302"/>
      <c r="CG382" s="1302"/>
      <c r="CH382" s="736">
        <f ca="1">IFERROR(CH387/CH340,0)*1000</f>
        <v>0</v>
      </c>
      <c r="CI382" s="1302"/>
      <c r="CJ382" s="1302"/>
      <c r="CK382" s="736">
        <f ca="1">IFERROR(CK387/CK340,0)*1000</f>
        <v>0</v>
      </c>
      <c r="CL382" s="1302"/>
      <c r="CM382" s="1302"/>
      <c r="CN382" s="736">
        <f ca="1">IFERROR(CN387/CN340,0)*1000</f>
        <v>0</v>
      </c>
      <c r="CO382" s="1302"/>
      <c r="CP382" s="1302"/>
      <c r="CQ382" s="736">
        <f ca="1">IFERROR(CQ387/CQ340,0)*1000</f>
        <v>0</v>
      </c>
      <c r="CR382" s="1302"/>
      <c r="CS382" s="1302"/>
      <c r="CT382" s="1290"/>
      <c r="CW382" s="970" t="s">
        <v>867</v>
      </c>
      <c r="CX382" s="975" t="s">
        <v>821</v>
      </c>
      <c r="CY382" s="979" t="str" cm="1">
        <f t="array" ref="CY382">AE382</f>
        <v>Уголь длиннопламенный</v>
      </c>
      <c r="CZ382" s="979" t="str" cm="1">
        <f t="array" ref="CZ382">AF382</f>
        <v/>
      </c>
      <c r="DA382" s="976"/>
      <c r="DB382" s="976"/>
    </row>
    <row r="383" spans="1:106" s="1229" customFormat="1" ht="15" hidden="1" customHeight="1">
      <c r="A383" s="1155"/>
      <c r="B383" s="783"/>
      <c r="C383" s="1155"/>
      <c r="D383" s="1155"/>
      <c r="E383" s="676">
        <v>0</v>
      </c>
      <c r="F383" s="779" t="str" cm="1">
        <f t="array" aca="1" ref="F383" ca="1">OFFSET(G383,-1,-1)</f>
        <v>2</v>
      </c>
      <c r="G383" s="814"/>
      <c r="H383" s="814"/>
      <c r="I383" s="814"/>
      <c r="J383" s="814"/>
      <c r="K383" s="814"/>
      <c r="L383" s="779" t="b" cm="1">
        <f t="array" aca="1" ref="L383" ca="1">OFFSET(M383,-1,-1)</f>
        <v>0</v>
      </c>
      <c r="M383" s="814"/>
      <c r="N383" s="814"/>
      <c r="O383" s="814"/>
      <c r="P383" s="814"/>
      <c r="Q383" s="814"/>
      <c r="R383" s="1155"/>
      <c r="S383" s="110" t="b" cm="1">
        <f t="array" aca="1" ref="S383" ca="1">OFFSET(T383,-1,-1)</f>
        <v>1</v>
      </c>
      <c r="T383" s="1155"/>
      <c r="U383" s="698" t="b">
        <f t="shared" ca="1" si="391"/>
        <v>1</v>
      </c>
      <c r="V383" s="1155"/>
      <c r="W383" s="1155"/>
      <c r="X383" s="820" t="str">
        <f>"{                  
         funcDyn: 'msg1',
         blok: 'blok_2',
         wsCross: 'Топливо 4.4',
         linkFormula: 'AE-AE#AF-AF',
         levelDyn: "&amp;Y300&amp;"
}"</f>
        <v>{                  
         funcDyn: 'msg1',
         blok: 'blok_2',
         wsCross: 'Топливо 4.4',
         linkFormula: 'AE-AE#AF-AF',
         levelDyn: 2
}</v>
      </c>
      <c r="Y383" s="1687"/>
      <c r="Z383" s="1687"/>
      <c r="AA383" s="699"/>
      <c r="AB383" s="1793"/>
      <c r="AD383" s="823"/>
      <c r="AE383" s="822" t="s">
        <v>238</v>
      </c>
      <c r="AF383" s="745"/>
      <c r="AG383" s="733"/>
      <c r="AH383" s="737"/>
      <c r="AI383" s="737"/>
      <c r="AJ383" s="737"/>
      <c r="AK383" s="737"/>
      <c r="AL383" s="737"/>
      <c r="AM383" s="737"/>
      <c r="AN383" s="737"/>
      <c r="AO383" s="737"/>
      <c r="AP383" s="737"/>
      <c r="AQ383" s="737"/>
      <c r="AR383" s="737"/>
      <c r="AS383" s="737"/>
      <c r="AT383" s="737"/>
      <c r="AU383" s="737"/>
      <c r="AV383" s="737"/>
      <c r="AW383" s="737"/>
      <c r="AX383" s="737"/>
      <c r="AY383" s="737"/>
      <c r="AZ383" s="737"/>
      <c r="BA383" s="737"/>
      <c r="BB383" s="737"/>
      <c r="BC383" s="737"/>
      <c r="BD383" s="737"/>
      <c r="BE383" s="737"/>
      <c r="BF383" s="737"/>
      <c r="BG383" s="737"/>
      <c r="BH383" s="737"/>
      <c r="BI383" s="737"/>
      <c r="BJ383" s="737"/>
      <c r="BK383" s="737"/>
      <c r="BL383" s="737"/>
      <c r="BM383" s="737"/>
      <c r="BN383" s="737"/>
      <c r="BO383" s="737"/>
      <c r="BP383" s="737"/>
      <c r="BQ383" s="737"/>
      <c r="BR383" s="737"/>
      <c r="BS383" s="737"/>
      <c r="BT383" s="737"/>
      <c r="BU383" s="737"/>
      <c r="BV383" s="737"/>
      <c r="BW383" s="737"/>
      <c r="BX383" s="737"/>
      <c r="BY383" s="737"/>
      <c r="BZ383" s="737"/>
      <c r="CA383" s="737"/>
      <c r="CB383" s="737"/>
      <c r="CC383" s="737"/>
      <c r="CD383" s="737"/>
      <c r="CE383" s="737"/>
      <c r="CF383" s="737"/>
      <c r="CG383" s="737"/>
      <c r="CH383" s="737"/>
      <c r="CI383" s="737"/>
      <c r="CJ383" s="737"/>
      <c r="CK383" s="737"/>
      <c r="CL383" s="737"/>
      <c r="CM383" s="737"/>
      <c r="CN383" s="737"/>
      <c r="CO383" s="737"/>
      <c r="CP383" s="737"/>
      <c r="CQ383" s="737"/>
      <c r="CR383" s="737"/>
      <c r="CS383" s="737"/>
      <c r="CT383" s="46"/>
      <c r="CW383" s="970" t="str">
        <f>IF(AND(ISNUMBER(VALUE(TRIM(SUBSTITUTE(AD383,".","")))),TRIM(SUBSTITUTE(AD383,".",""))&lt;&gt;""),"P"&amp;SUBSTITUTE(AD383,".",""),"")</f>
        <v/>
      </c>
      <c r="CX383" s="975"/>
      <c r="CY383" s="975"/>
      <c r="CZ383" s="975"/>
      <c r="DA383" s="976"/>
      <c r="DB383" s="976"/>
    </row>
    <row r="384" spans="1:106" s="1229" customFormat="1" ht="16.5" customHeight="1">
      <c r="A384" s="1155"/>
      <c r="B384" s="783"/>
      <c r="C384" s="1155"/>
      <c r="D384" s="1155"/>
      <c r="E384" s="676">
        <v>17.100000000000001</v>
      </c>
      <c r="F384" s="779" t="str" cm="1">
        <f t="array" aca="1" ref="F384" ca="1">OFFSET(G384,-1,-1)</f>
        <v>2</v>
      </c>
      <c r="G384" s="814"/>
      <c r="H384" s="814"/>
      <c r="I384" s="814"/>
      <c r="J384" s="814"/>
      <c r="K384" s="814"/>
      <c r="L384" s="779" t="b" cm="1">
        <f t="array" aca="1" ref="L384" ca="1">OFFSET(M384,-1,-1)</f>
        <v>0</v>
      </c>
      <c r="M384" s="814"/>
      <c r="N384" s="814"/>
      <c r="O384" s="814"/>
      <c r="P384" s="814"/>
      <c r="Q384" s="814"/>
      <c r="R384" s="1155"/>
      <c r="S384" s="110" t="b" cm="1">
        <f t="array" aca="1" ref="S384" ca="1">OFFSET(T384,-1,-1)</f>
        <v>1</v>
      </c>
      <c r="T384" s="1155"/>
      <c r="U384" s="698" t="b">
        <f t="shared" ca="1" si="391"/>
        <v>1</v>
      </c>
      <c r="V384" s="1155"/>
      <c r="W384" s="1155"/>
      <c r="X384" s="1155"/>
      <c r="Y384" s="1687"/>
      <c r="Z384" s="1687"/>
      <c r="AA384" s="699"/>
      <c r="AB384" s="1793"/>
      <c r="AD384" s="124" t="s">
        <v>869</v>
      </c>
      <c r="AE384" s="1754" t="s">
        <v>870</v>
      </c>
      <c r="AF384" s="1734"/>
      <c r="AG384" s="733" t="s">
        <v>839</v>
      </c>
      <c r="AH384" s="734">
        <f t="shared" ref="AH384:BM384" si="404">SUM(AH386:AH388)</f>
        <v>0</v>
      </c>
      <c r="AI384" s="734">
        <f t="shared" si="404"/>
        <v>0</v>
      </c>
      <c r="AJ384" s="734">
        <f t="shared" si="404"/>
        <v>0</v>
      </c>
      <c r="AK384" s="734">
        <f t="shared" si="404"/>
        <v>0</v>
      </c>
      <c r="AL384" s="734">
        <f t="shared" ca="1" si="404"/>
        <v>0</v>
      </c>
      <c r="AM384" s="734">
        <f t="shared" si="404"/>
        <v>0</v>
      </c>
      <c r="AN384" s="734">
        <f t="shared" ca="1" si="404"/>
        <v>0</v>
      </c>
      <c r="AO384" s="734">
        <f t="shared" ca="1" si="404"/>
        <v>0</v>
      </c>
      <c r="AP384" s="734">
        <f t="shared" si="404"/>
        <v>0</v>
      </c>
      <c r="AQ384" s="734">
        <f t="shared" ca="1" si="404"/>
        <v>0</v>
      </c>
      <c r="AR384" s="734">
        <f t="shared" ca="1" si="404"/>
        <v>0</v>
      </c>
      <c r="AS384" s="734">
        <f t="shared" si="404"/>
        <v>0</v>
      </c>
      <c r="AT384" s="734">
        <f t="shared" ca="1" si="404"/>
        <v>0</v>
      </c>
      <c r="AU384" s="734">
        <f t="shared" ca="1" si="404"/>
        <v>0</v>
      </c>
      <c r="AV384" s="734">
        <f t="shared" si="404"/>
        <v>0</v>
      </c>
      <c r="AW384" s="734">
        <f t="shared" ca="1" si="404"/>
        <v>0</v>
      </c>
      <c r="AX384" s="734">
        <f t="shared" ca="1" si="404"/>
        <v>0</v>
      </c>
      <c r="AY384" s="734">
        <f t="shared" si="404"/>
        <v>0</v>
      </c>
      <c r="AZ384" s="734">
        <f t="shared" ca="1" si="404"/>
        <v>0</v>
      </c>
      <c r="BA384" s="734">
        <f t="shared" ca="1" si="404"/>
        <v>0</v>
      </c>
      <c r="BB384" s="734">
        <f t="shared" si="404"/>
        <v>0</v>
      </c>
      <c r="BC384" s="734">
        <f t="shared" ca="1" si="404"/>
        <v>0</v>
      </c>
      <c r="BD384" s="734">
        <f t="shared" ca="1" si="404"/>
        <v>0</v>
      </c>
      <c r="BE384" s="734">
        <f t="shared" si="404"/>
        <v>0</v>
      </c>
      <c r="BF384" s="734">
        <f t="shared" ca="1" si="404"/>
        <v>0</v>
      </c>
      <c r="BG384" s="734">
        <f t="shared" ca="1" si="404"/>
        <v>0</v>
      </c>
      <c r="BH384" s="734">
        <f t="shared" si="404"/>
        <v>0</v>
      </c>
      <c r="BI384" s="734">
        <f t="shared" ca="1" si="404"/>
        <v>0</v>
      </c>
      <c r="BJ384" s="734">
        <f t="shared" ca="1" si="404"/>
        <v>0</v>
      </c>
      <c r="BK384" s="734">
        <f t="shared" si="404"/>
        <v>0</v>
      </c>
      <c r="BL384" s="734">
        <f t="shared" ca="1" si="404"/>
        <v>0</v>
      </c>
      <c r="BM384" s="734">
        <f t="shared" ca="1" si="404"/>
        <v>0</v>
      </c>
      <c r="BN384" s="734">
        <f t="shared" ref="BN384:CS384" si="405">SUM(BN386:BN388)</f>
        <v>0</v>
      </c>
      <c r="BO384" s="734">
        <f t="shared" ca="1" si="405"/>
        <v>0</v>
      </c>
      <c r="BP384" s="734">
        <f t="shared" ca="1" si="405"/>
        <v>11966.640592420867</v>
      </c>
      <c r="BQ384" s="734">
        <f t="shared" si="405"/>
        <v>8540.5913908107723</v>
      </c>
      <c r="BR384" s="734">
        <f t="shared" ca="1" si="405"/>
        <v>3426.0492016100939</v>
      </c>
      <c r="BS384" s="734">
        <f t="shared" ca="1" si="405"/>
        <v>0</v>
      </c>
      <c r="BT384" s="734">
        <f t="shared" si="405"/>
        <v>0</v>
      </c>
      <c r="BU384" s="734">
        <f t="shared" ca="1" si="405"/>
        <v>0</v>
      </c>
      <c r="BV384" s="734">
        <f t="shared" ca="1" si="405"/>
        <v>0</v>
      </c>
      <c r="BW384" s="734">
        <f t="shared" si="405"/>
        <v>0</v>
      </c>
      <c r="BX384" s="734">
        <f t="shared" ca="1" si="405"/>
        <v>0</v>
      </c>
      <c r="BY384" s="734">
        <f t="shared" ca="1" si="405"/>
        <v>0</v>
      </c>
      <c r="BZ384" s="734">
        <f t="shared" si="405"/>
        <v>0</v>
      </c>
      <c r="CA384" s="734">
        <f t="shared" ca="1" si="405"/>
        <v>0</v>
      </c>
      <c r="CB384" s="734">
        <f t="shared" ca="1" si="405"/>
        <v>0</v>
      </c>
      <c r="CC384" s="734">
        <f t="shared" si="405"/>
        <v>0</v>
      </c>
      <c r="CD384" s="734">
        <f t="shared" ca="1" si="405"/>
        <v>0</v>
      </c>
      <c r="CE384" s="734">
        <f t="shared" ca="1" si="405"/>
        <v>0</v>
      </c>
      <c r="CF384" s="734">
        <f t="shared" si="405"/>
        <v>0</v>
      </c>
      <c r="CG384" s="734">
        <f t="shared" ca="1" si="405"/>
        <v>0</v>
      </c>
      <c r="CH384" s="734">
        <f t="shared" ca="1" si="405"/>
        <v>0</v>
      </c>
      <c r="CI384" s="734">
        <f t="shared" si="405"/>
        <v>0</v>
      </c>
      <c r="CJ384" s="734">
        <f t="shared" ca="1" si="405"/>
        <v>0</v>
      </c>
      <c r="CK384" s="734">
        <f t="shared" ca="1" si="405"/>
        <v>0</v>
      </c>
      <c r="CL384" s="734">
        <f t="shared" si="405"/>
        <v>0</v>
      </c>
      <c r="CM384" s="734">
        <f t="shared" ca="1" si="405"/>
        <v>0</v>
      </c>
      <c r="CN384" s="734">
        <f t="shared" ca="1" si="405"/>
        <v>0</v>
      </c>
      <c r="CO384" s="734">
        <f t="shared" si="405"/>
        <v>0</v>
      </c>
      <c r="CP384" s="734">
        <f t="shared" ca="1" si="405"/>
        <v>0</v>
      </c>
      <c r="CQ384" s="734">
        <f t="shared" ca="1" si="405"/>
        <v>0</v>
      </c>
      <c r="CR384" s="734">
        <f t="shared" si="405"/>
        <v>0</v>
      </c>
      <c r="CS384" s="734">
        <f t="shared" ca="1" si="405"/>
        <v>0</v>
      </c>
      <c r="CT384" s="1290"/>
      <c r="CW384" s="970" t="s">
        <v>871</v>
      </c>
      <c r="CX384" s="975"/>
      <c r="CY384" s="975"/>
      <c r="CZ384" s="975"/>
      <c r="DA384" s="976"/>
      <c r="DB384" s="976"/>
    </row>
    <row r="385" spans="1:106" s="1229" customFormat="1" ht="16.5" hidden="1" customHeight="1">
      <c r="A385" s="1155"/>
      <c r="B385" s="783"/>
      <c r="C385" s="1155"/>
      <c r="D385" s="1155"/>
      <c r="E385" s="676">
        <v>17.100000000000001</v>
      </c>
      <c r="F385" s="779" t="str" cm="1">
        <f t="array" aca="1" ref="F385" ca="1">OFFSET(G385,-1,-1)</f>
        <v>2</v>
      </c>
      <c r="G385" s="814"/>
      <c r="H385" s="814"/>
      <c r="I385" s="814"/>
      <c r="J385" s="814"/>
      <c r="K385" s="814"/>
      <c r="L385" s="779" t="b" cm="1">
        <f t="array" aca="1" ref="L385" ca="1">OFFSET(M385,-1,-1)</f>
        <v>0</v>
      </c>
      <c r="M385" s="814"/>
      <c r="N385" s="814"/>
      <c r="O385" s="814"/>
      <c r="P385" s="814"/>
      <c r="Q385" s="814"/>
      <c r="R385" s="779" t="s">
        <v>759</v>
      </c>
      <c r="S385" s="110" t="b" cm="1">
        <f t="array" aca="1" ref="S385" ca="1">OFFSET(T385,-1,-1)</f>
        <v>1</v>
      </c>
      <c r="T385" s="779" t="b">
        <v>0</v>
      </c>
      <c r="U385" s="698" t="b">
        <f t="shared" ca="1" si="391"/>
        <v>0</v>
      </c>
      <c r="V385" s="1155"/>
      <c r="W385" s="1155"/>
      <c r="X385" s="1155"/>
      <c r="Y385" s="1687"/>
      <c r="Z385" s="1687"/>
      <c r="AA385" s="699"/>
      <c r="AB385" s="1793"/>
      <c r="AD385" s="111" t="str">
        <f>AD384&amp;".0"</f>
        <v>32.0</v>
      </c>
      <c r="AE385" s="1755" t="s">
        <v>770</v>
      </c>
      <c r="AF385" s="1756"/>
      <c r="AG385" s="733" t="s">
        <v>839</v>
      </c>
      <c r="AH385" s="41">
        <f>AH324*AH384</f>
        <v>0</v>
      </c>
      <c r="AI385" s="42">
        <f>AI$324*AI384</f>
        <v>0</v>
      </c>
      <c r="AJ385" s="42">
        <f>AJ$324*AJ384</f>
        <v>0</v>
      </c>
      <c r="AK385" s="42">
        <f>AK$324*AK384</f>
        <v>0</v>
      </c>
      <c r="AL385" s="736">
        <f ca="1">AM385+AN385</f>
        <v>0</v>
      </c>
      <c r="AM385" s="42">
        <f>AM$324*AM384</f>
        <v>0</v>
      </c>
      <c r="AN385" s="42">
        <f ca="1">AN$324*AN384</f>
        <v>0</v>
      </c>
      <c r="AO385" s="736">
        <f ca="1">AP385+AQ385</f>
        <v>0</v>
      </c>
      <c r="AP385" s="826">
        <f>AP$324*AP384</f>
        <v>0</v>
      </c>
      <c r="AQ385" s="826">
        <f ca="1">AQ$324*AQ384</f>
        <v>0</v>
      </c>
      <c r="AR385" s="736">
        <f ca="1">AS385+AT385</f>
        <v>0</v>
      </c>
      <c r="AS385" s="826">
        <f>AS$324*AS384</f>
        <v>0</v>
      </c>
      <c r="AT385" s="826">
        <f ca="1">AT$324*AT384</f>
        <v>0</v>
      </c>
      <c r="AU385" s="736">
        <f ca="1">AV385+AW385</f>
        <v>0</v>
      </c>
      <c r="AV385" s="826">
        <f>AV$324*AV384</f>
        <v>0</v>
      </c>
      <c r="AW385" s="826">
        <f ca="1">AW$324*AW384</f>
        <v>0</v>
      </c>
      <c r="AX385" s="736">
        <f ca="1">AY385+AZ385</f>
        <v>0</v>
      </c>
      <c r="AY385" s="826">
        <f>AY$324*AY384</f>
        <v>0</v>
      </c>
      <c r="AZ385" s="826">
        <f ca="1">AZ$324*AZ384</f>
        <v>0</v>
      </c>
      <c r="BA385" s="736">
        <f ca="1">BB385+BC385</f>
        <v>0</v>
      </c>
      <c r="BB385" s="42">
        <f>BB$324*BB384</f>
        <v>0</v>
      </c>
      <c r="BC385" s="42">
        <f ca="1">BC$324*BC384</f>
        <v>0</v>
      </c>
      <c r="BD385" s="736">
        <f ca="1">BE385+BF385</f>
        <v>0</v>
      </c>
      <c r="BE385" s="42">
        <f>BE$324*BE384</f>
        <v>0</v>
      </c>
      <c r="BF385" s="42">
        <f ca="1">BF$324*BF384</f>
        <v>0</v>
      </c>
      <c r="BG385" s="736">
        <f ca="1">BH385+BI385</f>
        <v>0</v>
      </c>
      <c r="BH385" s="42">
        <f>BH$324*BH384</f>
        <v>0</v>
      </c>
      <c r="BI385" s="42">
        <f ca="1">BI$324*BI384</f>
        <v>0</v>
      </c>
      <c r="BJ385" s="736">
        <f ca="1">BK385+BL385</f>
        <v>0</v>
      </c>
      <c r="BK385" s="42">
        <f>BK$324*BK384</f>
        <v>0</v>
      </c>
      <c r="BL385" s="42">
        <f ca="1">BL$324*BL384</f>
        <v>0</v>
      </c>
      <c r="BM385" s="736">
        <f ca="1">BN385+BO385</f>
        <v>0</v>
      </c>
      <c r="BN385" s="42">
        <f>BN$324*BN384</f>
        <v>0</v>
      </c>
      <c r="BO385" s="42">
        <f ca="1">BO$324*BO384</f>
        <v>0</v>
      </c>
      <c r="BP385" s="736">
        <f ca="1">BQ385+BR385</f>
        <v>11966.640592420867</v>
      </c>
      <c r="BQ385" s="826">
        <f>BQ$324*BQ384</f>
        <v>8540.5913908107723</v>
      </c>
      <c r="BR385" s="826">
        <f ca="1">BR$324*BR384</f>
        <v>3426.0492016100939</v>
      </c>
      <c r="BS385" s="736">
        <f ca="1">BT385+BU385</f>
        <v>0</v>
      </c>
      <c r="BT385" s="826">
        <f>BT$324*BT384</f>
        <v>0</v>
      </c>
      <c r="BU385" s="826">
        <f ca="1">BU$324*BU384</f>
        <v>0</v>
      </c>
      <c r="BV385" s="736">
        <f ca="1">BW385+BX385</f>
        <v>0</v>
      </c>
      <c r="BW385" s="826">
        <f>BW$324*BW384</f>
        <v>0</v>
      </c>
      <c r="BX385" s="826">
        <f ca="1">BX$324*BX384</f>
        <v>0</v>
      </c>
      <c r="BY385" s="736">
        <f ca="1">BZ385+CA385</f>
        <v>0</v>
      </c>
      <c r="BZ385" s="826">
        <f>BZ$324*BZ384</f>
        <v>0</v>
      </c>
      <c r="CA385" s="826">
        <f ca="1">CA$324*CA384</f>
        <v>0</v>
      </c>
      <c r="CB385" s="736">
        <f ca="1">CC385+CD385</f>
        <v>0</v>
      </c>
      <c r="CC385" s="826">
        <f>CC$324*CC384</f>
        <v>0</v>
      </c>
      <c r="CD385" s="826">
        <f ca="1">CD$324*CD384</f>
        <v>0</v>
      </c>
      <c r="CE385" s="736">
        <f ca="1">CF385+CG385</f>
        <v>0</v>
      </c>
      <c r="CF385" s="42">
        <f>CF$324*CF384</f>
        <v>0</v>
      </c>
      <c r="CG385" s="42">
        <f ca="1">CG$324*CG384</f>
        <v>0</v>
      </c>
      <c r="CH385" s="736">
        <f ca="1">CI385+CJ385</f>
        <v>0</v>
      </c>
      <c r="CI385" s="42">
        <f>CI$324*CI384</f>
        <v>0</v>
      </c>
      <c r="CJ385" s="42">
        <f ca="1">CJ$324*CJ384</f>
        <v>0</v>
      </c>
      <c r="CK385" s="736">
        <f ca="1">CL385+CM385</f>
        <v>0</v>
      </c>
      <c r="CL385" s="42">
        <f>CL$324*CL384</f>
        <v>0</v>
      </c>
      <c r="CM385" s="42">
        <f ca="1">CM$324*CM384</f>
        <v>0</v>
      </c>
      <c r="CN385" s="736">
        <f ca="1">CO385+CP385</f>
        <v>0</v>
      </c>
      <c r="CO385" s="42">
        <f>CO$324*CO384</f>
        <v>0</v>
      </c>
      <c r="CP385" s="42">
        <f ca="1">CP$324*CP384</f>
        <v>0</v>
      </c>
      <c r="CQ385" s="736">
        <f ca="1">CR385+CS385</f>
        <v>0</v>
      </c>
      <c r="CR385" s="42">
        <f>CR$324*CR384</f>
        <v>0</v>
      </c>
      <c r="CS385" s="42">
        <f ca="1">CS$324*CS384</f>
        <v>0</v>
      </c>
      <c r="CT385" s="28"/>
      <c r="CW385" s="970" t="s">
        <v>872</v>
      </c>
      <c r="CX385" s="975"/>
      <c r="CY385" s="975"/>
      <c r="CZ385" s="975"/>
      <c r="DA385" s="976"/>
      <c r="DB385" s="976"/>
    </row>
    <row r="386" spans="1:106" s="1229" customFormat="1" ht="16.5" hidden="1" customHeight="1">
      <c r="E386" s="676">
        <v>17.100000000000001</v>
      </c>
      <c r="F386" s="779" t="str" cm="1">
        <f t="array" aca="1" ref="F386" ca="1">OFFSET(G386,-1,-1)</f>
        <v>2</v>
      </c>
      <c r="L386" s="779" t="b" cm="1">
        <f t="array" aca="1" ref="L386" ca="1">OFFSET(M386,-1,-1)</f>
        <v>0</v>
      </c>
      <c r="S386" s="110" t="b" cm="1">
        <f t="array" aca="1" ref="S386" ca="1">OFFSET(T386,-1,-1)</f>
        <v>1</v>
      </c>
      <c r="T386" s="110" t="b">
        <f>AD386&lt;&gt;"32.0"</f>
        <v>0</v>
      </c>
      <c r="U386" s="698" t="b">
        <f t="shared" ca="1" si="391"/>
        <v>0</v>
      </c>
      <c r="X386" s="110" t="s">
        <v>236</v>
      </c>
      <c r="Y386" s="1722"/>
      <c r="Z386" s="1722"/>
      <c r="AB386" s="1793"/>
      <c r="AD386" s="111" t="s">
        <v>873</v>
      </c>
      <c r="AE386" s="821"/>
      <c r="AF386" s="524"/>
      <c r="AG386" s="733" t="s">
        <v>839</v>
      </c>
      <c r="AH386" s="41"/>
      <c r="AI386" s="42"/>
      <c r="AJ386" s="42"/>
      <c r="AK386" s="42"/>
      <c r="AL386" s="736">
        <f ca="1">AM386+AN386</f>
        <v>0</v>
      </c>
      <c r="AM386" s="42">
        <f>AM381*AM339/1000</f>
        <v>0</v>
      </c>
      <c r="AN386" s="42">
        <f ca="1">AN381*AN339/1000</f>
        <v>0</v>
      </c>
      <c r="AO386" s="736">
        <f ca="1">AP386+AQ386</f>
        <v>0</v>
      </c>
      <c r="AP386" s="826">
        <f>AP381*AP339/1000</f>
        <v>0</v>
      </c>
      <c r="AQ386" s="826">
        <f ca="1">AQ381*AQ339/1000</f>
        <v>0</v>
      </c>
      <c r="AR386" s="736">
        <f ca="1">AS386+AT386</f>
        <v>0</v>
      </c>
      <c r="AS386" s="826">
        <f>AS381*AS339/1000</f>
        <v>0</v>
      </c>
      <c r="AT386" s="826">
        <f ca="1">AT381*AT339/1000</f>
        <v>0</v>
      </c>
      <c r="AU386" s="736">
        <f ca="1">AV386+AW386</f>
        <v>0</v>
      </c>
      <c r="AV386" s="826">
        <f>AV381*AV339/1000</f>
        <v>0</v>
      </c>
      <c r="AW386" s="826">
        <f ca="1">AW381*AW339/1000</f>
        <v>0</v>
      </c>
      <c r="AX386" s="736">
        <f ca="1">AY386+AZ386</f>
        <v>0</v>
      </c>
      <c r="AY386" s="826">
        <f>AY381*AY339/1000</f>
        <v>0</v>
      </c>
      <c r="AZ386" s="826">
        <f ca="1">AZ381*AZ339/1000</f>
        <v>0</v>
      </c>
      <c r="BA386" s="736">
        <f ca="1">BB386+BC386</f>
        <v>0</v>
      </c>
      <c r="BB386" s="42">
        <f>BB381*BB339/1000</f>
        <v>0</v>
      </c>
      <c r="BC386" s="42">
        <f ca="1">BC381*BC339/1000</f>
        <v>0</v>
      </c>
      <c r="BD386" s="736">
        <f ca="1">BE386+BF386</f>
        <v>0</v>
      </c>
      <c r="BE386" s="42">
        <f>BE381*BE339/1000</f>
        <v>0</v>
      </c>
      <c r="BF386" s="42">
        <f ca="1">BF381*BF339/1000</f>
        <v>0</v>
      </c>
      <c r="BG386" s="736">
        <f ca="1">BH386+BI386</f>
        <v>0</v>
      </c>
      <c r="BH386" s="42">
        <f>BH381*BH339/1000</f>
        <v>0</v>
      </c>
      <c r="BI386" s="42">
        <f ca="1">BI381*BI339/1000</f>
        <v>0</v>
      </c>
      <c r="BJ386" s="736">
        <f ca="1">BK386+BL386</f>
        <v>0</v>
      </c>
      <c r="BK386" s="42">
        <f>BK381*BK339/1000</f>
        <v>0</v>
      </c>
      <c r="BL386" s="42">
        <f ca="1">BL381*BL339/1000</f>
        <v>0</v>
      </c>
      <c r="BM386" s="736">
        <f ca="1">BN386+BO386</f>
        <v>0</v>
      </c>
      <c r="BN386" s="42">
        <f>BN381*BN339/1000</f>
        <v>0</v>
      </c>
      <c r="BO386" s="42">
        <f ca="1">BO381*BO339/1000</f>
        <v>0</v>
      </c>
      <c r="BP386" s="736">
        <f ca="1">BQ386+BR386</f>
        <v>0</v>
      </c>
      <c r="BQ386" s="826">
        <f>BQ381*BQ339/1000</f>
        <v>0</v>
      </c>
      <c r="BR386" s="826">
        <f ca="1">BR381*BR339/1000</f>
        <v>0</v>
      </c>
      <c r="BS386" s="736">
        <f ca="1">BT386+BU386</f>
        <v>0</v>
      </c>
      <c r="BT386" s="826">
        <f>BT381*BT339/1000</f>
        <v>0</v>
      </c>
      <c r="BU386" s="826">
        <f ca="1">BU381*BU339/1000</f>
        <v>0</v>
      </c>
      <c r="BV386" s="736">
        <f ca="1">BW386+BX386</f>
        <v>0</v>
      </c>
      <c r="BW386" s="826">
        <f>BW381*BW339/1000</f>
        <v>0</v>
      </c>
      <c r="BX386" s="826">
        <f ca="1">BX381*BX339/1000</f>
        <v>0</v>
      </c>
      <c r="BY386" s="736">
        <f ca="1">BZ386+CA386</f>
        <v>0</v>
      </c>
      <c r="BZ386" s="826">
        <f>BZ381*BZ339/1000</f>
        <v>0</v>
      </c>
      <c r="CA386" s="826">
        <f ca="1">CA381*CA339/1000</f>
        <v>0</v>
      </c>
      <c r="CB386" s="736">
        <f ca="1">CC386+CD386</f>
        <v>0</v>
      </c>
      <c r="CC386" s="826">
        <f>CC381*CC339/1000</f>
        <v>0</v>
      </c>
      <c r="CD386" s="826">
        <f ca="1">CD381*CD339/1000</f>
        <v>0</v>
      </c>
      <c r="CE386" s="736">
        <f ca="1">CF386+CG386</f>
        <v>0</v>
      </c>
      <c r="CF386" s="42">
        <f>CF381*CF339/1000</f>
        <v>0</v>
      </c>
      <c r="CG386" s="42">
        <f ca="1">CG381*CG339/1000</f>
        <v>0</v>
      </c>
      <c r="CH386" s="736">
        <f ca="1">CI386+CJ386</f>
        <v>0</v>
      </c>
      <c r="CI386" s="42">
        <f>CI381*CI339/1000</f>
        <v>0</v>
      </c>
      <c r="CJ386" s="42">
        <f ca="1">CJ381*CJ339/1000</f>
        <v>0</v>
      </c>
      <c r="CK386" s="736">
        <f ca="1">CL386+CM386</f>
        <v>0</v>
      </c>
      <c r="CL386" s="42">
        <f>CL381*CL339/1000</f>
        <v>0</v>
      </c>
      <c r="CM386" s="42">
        <f ca="1">CM381*CM339/1000</f>
        <v>0</v>
      </c>
      <c r="CN386" s="736">
        <f ca="1">CO386+CP386</f>
        <v>0</v>
      </c>
      <c r="CO386" s="42">
        <f>CO381*CO339/1000</f>
        <v>0</v>
      </c>
      <c r="CP386" s="42">
        <f ca="1">CP381*CP339/1000</f>
        <v>0</v>
      </c>
      <c r="CQ386" s="736">
        <f ca="1">CR386+CS386</f>
        <v>0</v>
      </c>
      <c r="CR386" s="42">
        <f>CR381*CR339/1000</f>
        <v>0</v>
      </c>
      <c r="CS386" s="42">
        <f ca="1">CS381*CS339/1000</f>
        <v>0</v>
      </c>
      <c r="CT386" s="28"/>
      <c r="CW386" s="970" t="s">
        <v>872</v>
      </c>
      <c r="CX386" s="975" t="s">
        <v>821</v>
      </c>
      <c r="CY386" s="979" cm="1">
        <f t="array" ref="CY386">AE386</f>
        <v>0</v>
      </c>
      <c r="CZ386" s="979" cm="1">
        <f t="array" ref="CZ386">AF386</f>
        <v>0</v>
      </c>
      <c r="DA386" s="976"/>
      <c r="DB386" s="976"/>
    </row>
    <row r="387" spans="1:106" s="1229" customFormat="1" ht="16.5" customHeight="1">
      <c r="E387" s="676">
        <v>17.100000000000001</v>
      </c>
      <c r="F387" s="779" t="str" cm="1">
        <f t="array" aca="1" ref="F387" ca="1">OFFSET(G387,-1,-1)</f>
        <v>2</v>
      </c>
      <c r="L387" s="779" t="b" cm="1">
        <f t="array" aca="1" ref="L387" ca="1">OFFSET(M387,-1,-1)</f>
        <v>0</v>
      </c>
      <c r="S387" s="110" t="b" cm="1">
        <f t="array" aca="1" ref="S387" ca="1">OFFSET(T387,-1,-1)</f>
        <v>1</v>
      </c>
      <c r="T387" s="110" t="b">
        <f>AD387&lt;&gt;"32.0"</f>
        <v>1</v>
      </c>
      <c r="U387" s="698" t="b">
        <f t="shared" ca="1" si="391"/>
        <v>1</v>
      </c>
      <c r="X387" s="110" t="str">
        <f>'Топливо 4.4'!$AE$382&amp;'Топливо 4.4'!$AF$382</f>
        <v>Уголь длиннопламенный</v>
      </c>
      <c r="Y387" s="1722"/>
      <c r="Z387" s="1722"/>
      <c r="AB387" s="1793"/>
      <c r="AD387" s="111" t="s">
        <v>959</v>
      </c>
      <c r="AE387" s="821" t="str" cm="1">
        <f t="array" ref="AE387">IF(ISBLANK('Топливо 4.4'!$AE$382),"",'Топливо 4.4'!$AE$382)</f>
        <v>Уголь длиннопламенный</v>
      </c>
      <c r="AF387" s="524" t="str" cm="1">
        <f t="array" ref="AF387">IF(ISBLANK('Топливо 4.4'!$AF$382),"",'Топливо 4.4'!$AF$382)</f>
        <v/>
      </c>
      <c r="AG387" s="733" t="s">
        <v>839</v>
      </c>
      <c r="AH387" s="1303"/>
      <c r="AI387" s="1302"/>
      <c r="AJ387" s="1302"/>
      <c r="AK387" s="1302"/>
      <c r="AL387" s="736">
        <f ca="1">AM387+AN387</f>
        <v>0</v>
      </c>
      <c r="AM387" s="1302">
        <f>AM382*AM340/1000</f>
        <v>0</v>
      </c>
      <c r="AN387" s="1302">
        <f ca="1">AN382*AN340/1000</f>
        <v>0</v>
      </c>
      <c r="AO387" s="736">
        <f ca="1">AP387+AQ387</f>
        <v>0</v>
      </c>
      <c r="AP387" s="826">
        <f>AP382*AP340/1000</f>
        <v>0</v>
      </c>
      <c r="AQ387" s="826">
        <f ca="1">AQ382*AQ340/1000</f>
        <v>0</v>
      </c>
      <c r="AR387" s="736">
        <f ca="1">AS387+AT387</f>
        <v>0</v>
      </c>
      <c r="AS387" s="826">
        <f>AS382*AS340/1000</f>
        <v>0</v>
      </c>
      <c r="AT387" s="826">
        <f ca="1">AT382*AT340/1000</f>
        <v>0</v>
      </c>
      <c r="AU387" s="736">
        <f ca="1">AV387+AW387</f>
        <v>0</v>
      </c>
      <c r="AV387" s="826">
        <f>AV382*AV340/1000</f>
        <v>0</v>
      </c>
      <c r="AW387" s="826">
        <f ca="1">AW382*AW340/1000</f>
        <v>0</v>
      </c>
      <c r="AX387" s="736">
        <f ca="1">AY387+AZ387</f>
        <v>0</v>
      </c>
      <c r="AY387" s="826">
        <f>AY382*AY340/1000</f>
        <v>0</v>
      </c>
      <c r="AZ387" s="826">
        <f ca="1">AZ382*AZ340/1000</f>
        <v>0</v>
      </c>
      <c r="BA387" s="736">
        <f ca="1">BB387+BC387</f>
        <v>0</v>
      </c>
      <c r="BB387" s="1302">
        <f>BB382*BB340/1000</f>
        <v>0</v>
      </c>
      <c r="BC387" s="1302">
        <f ca="1">BC382*BC340/1000</f>
        <v>0</v>
      </c>
      <c r="BD387" s="736">
        <f ca="1">BE387+BF387</f>
        <v>0</v>
      </c>
      <c r="BE387" s="1302">
        <f>BE382*BE340/1000</f>
        <v>0</v>
      </c>
      <c r="BF387" s="1302">
        <f ca="1">BF382*BF340/1000</f>
        <v>0</v>
      </c>
      <c r="BG387" s="736">
        <f ca="1">BH387+BI387</f>
        <v>0</v>
      </c>
      <c r="BH387" s="1302">
        <f>BH382*BH340/1000</f>
        <v>0</v>
      </c>
      <c r="BI387" s="1302">
        <f ca="1">BI382*BI340/1000</f>
        <v>0</v>
      </c>
      <c r="BJ387" s="736">
        <f ca="1">BK387+BL387</f>
        <v>0</v>
      </c>
      <c r="BK387" s="1302">
        <f>BK382*BK340/1000</f>
        <v>0</v>
      </c>
      <c r="BL387" s="1302">
        <f ca="1">BL382*BL340/1000</f>
        <v>0</v>
      </c>
      <c r="BM387" s="736">
        <f ca="1">BN387+BO387</f>
        <v>0</v>
      </c>
      <c r="BN387" s="1302">
        <f>BN382*BN340/1000</f>
        <v>0</v>
      </c>
      <c r="BO387" s="1302">
        <f ca="1">BO382*BO340/1000</f>
        <v>0</v>
      </c>
      <c r="BP387" s="736">
        <f ca="1">BQ387+BR387</f>
        <v>11966.640592420867</v>
      </c>
      <c r="BQ387" s="826">
        <f>BQ382*BQ340/1000</f>
        <v>8540.5913908107723</v>
      </c>
      <c r="BR387" s="826">
        <f ca="1">BR382*BR340/1000</f>
        <v>3426.0492016100939</v>
      </c>
      <c r="BS387" s="736">
        <f ca="1">BT387+BU387</f>
        <v>0</v>
      </c>
      <c r="BT387" s="826">
        <f>BT382*BT340/1000</f>
        <v>0</v>
      </c>
      <c r="BU387" s="826">
        <f ca="1">BU382*BU340/1000</f>
        <v>0</v>
      </c>
      <c r="BV387" s="736">
        <f ca="1">BW387+BX387</f>
        <v>0</v>
      </c>
      <c r="BW387" s="826">
        <f>BW382*BW340/1000</f>
        <v>0</v>
      </c>
      <c r="BX387" s="826">
        <f ca="1">BX382*BX340/1000</f>
        <v>0</v>
      </c>
      <c r="BY387" s="736">
        <f ca="1">BZ387+CA387</f>
        <v>0</v>
      </c>
      <c r="BZ387" s="826">
        <f>BZ382*BZ340/1000</f>
        <v>0</v>
      </c>
      <c r="CA387" s="826">
        <f ca="1">CA382*CA340/1000</f>
        <v>0</v>
      </c>
      <c r="CB387" s="736">
        <f ca="1">CC387+CD387</f>
        <v>0</v>
      </c>
      <c r="CC387" s="826">
        <f>CC382*CC340/1000</f>
        <v>0</v>
      </c>
      <c r="CD387" s="826">
        <f ca="1">CD382*CD340/1000</f>
        <v>0</v>
      </c>
      <c r="CE387" s="736">
        <f ca="1">CF387+CG387</f>
        <v>0</v>
      </c>
      <c r="CF387" s="1302">
        <f>CF382*CF340/1000</f>
        <v>0</v>
      </c>
      <c r="CG387" s="1302">
        <f ca="1">CG382*CG340/1000</f>
        <v>0</v>
      </c>
      <c r="CH387" s="736">
        <f ca="1">CI387+CJ387</f>
        <v>0</v>
      </c>
      <c r="CI387" s="1302">
        <f>CI382*CI340/1000</f>
        <v>0</v>
      </c>
      <c r="CJ387" s="1302">
        <f ca="1">CJ382*CJ340/1000</f>
        <v>0</v>
      </c>
      <c r="CK387" s="736">
        <f ca="1">CL387+CM387</f>
        <v>0</v>
      </c>
      <c r="CL387" s="1302">
        <f>CL382*CL340/1000</f>
        <v>0</v>
      </c>
      <c r="CM387" s="1302">
        <f ca="1">CM382*CM340/1000</f>
        <v>0</v>
      </c>
      <c r="CN387" s="736">
        <f ca="1">CO387+CP387</f>
        <v>0</v>
      </c>
      <c r="CO387" s="1302">
        <f>CO382*CO340/1000</f>
        <v>0</v>
      </c>
      <c r="CP387" s="1302">
        <f ca="1">CP382*CP340/1000</f>
        <v>0</v>
      </c>
      <c r="CQ387" s="736">
        <f ca="1">CR387+CS387</f>
        <v>0</v>
      </c>
      <c r="CR387" s="1302">
        <f>CR382*CR340/1000</f>
        <v>0</v>
      </c>
      <c r="CS387" s="1302">
        <f ca="1">CS382*CS340/1000</f>
        <v>0</v>
      </c>
      <c r="CT387" s="1290"/>
      <c r="CW387" s="970" t="s">
        <v>872</v>
      </c>
      <c r="CX387" s="975" t="s">
        <v>821</v>
      </c>
      <c r="CY387" s="979" t="str" cm="1">
        <f t="array" ref="CY387">AE387</f>
        <v>Уголь длиннопламенный</v>
      </c>
      <c r="CZ387" s="979" t="str" cm="1">
        <f t="array" ref="CZ387">AF387</f>
        <v/>
      </c>
      <c r="DA387" s="976"/>
      <c r="DB387" s="976"/>
    </row>
    <row r="388" spans="1:106" s="1229" customFormat="1" ht="15" hidden="1" customHeight="1">
      <c r="A388" s="1155"/>
      <c r="B388" s="783"/>
      <c r="C388" s="1155"/>
      <c r="D388" s="1155"/>
      <c r="E388" s="676">
        <v>0</v>
      </c>
      <c r="F388" s="779" t="str" cm="1">
        <f t="array" aca="1" ref="F388" ca="1">OFFSET(G388,-1,-1)</f>
        <v>2</v>
      </c>
      <c r="G388" s="814"/>
      <c r="H388" s="814"/>
      <c r="I388" s="814"/>
      <c r="J388" s="814"/>
      <c r="K388" s="814"/>
      <c r="L388" s="779" t="b" cm="1">
        <f t="array" aca="1" ref="L388" ca="1">OFFSET(M388,-1,-1)</f>
        <v>0</v>
      </c>
      <c r="M388" s="814"/>
      <c r="N388" s="814"/>
      <c r="O388" s="814"/>
      <c r="P388" s="814"/>
      <c r="Q388" s="814"/>
      <c r="R388" s="1155"/>
      <c r="S388" s="110" t="b" cm="1">
        <f t="array" aca="1" ref="S388" ca="1">OFFSET(T388,-1,-1)</f>
        <v>1</v>
      </c>
      <c r="T388" s="1155"/>
      <c r="U388" s="698" t="b">
        <f t="shared" ca="1" si="391"/>
        <v>1</v>
      </c>
      <c r="V388" s="1155"/>
      <c r="W388" s="1155"/>
      <c r="X388" s="820" t="str">
        <f>"{                  
         funcDyn: 'msg1',
         blok: 'blok_2',
         wsCross: 'Топливо 4.4',
         linkFormula: 'AE-AE#AF-AF',
         levelDyn: "&amp;Y300&amp;"
}"</f>
        <v>{                  
         funcDyn: 'msg1',
         blok: 'blok_2',
         wsCross: 'Топливо 4.4',
         linkFormula: 'AE-AE#AF-AF',
         levelDyn: 2
}</v>
      </c>
      <c r="Y388" s="1687"/>
      <c r="Z388" s="1687"/>
      <c r="AA388" s="699"/>
      <c r="AB388" s="1793"/>
      <c r="AD388" s="823"/>
      <c r="AE388" s="822" t="s">
        <v>238</v>
      </c>
      <c r="AF388" s="745"/>
      <c r="AG388" s="733"/>
      <c r="AH388" s="735"/>
      <c r="AI388" s="737"/>
      <c r="AJ388" s="737"/>
      <c r="AK388" s="737"/>
      <c r="AL388" s="737"/>
      <c r="AM388" s="737"/>
      <c r="AN388" s="737"/>
      <c r="AO388" s="737"/>
      <c r="AP388" s="737"/>
      <c r="AQ388" s="737"/>
      <c r="AR388" s="737"/>
      <c r="AS388" s="737"/>
      <c r="AT388" s="737"/>
      <c r="AU388" s="737"/>
      <c r="AV388" s="737"/>
      <c r="AW388" s="737"/>
      <c r="AX388" s="737"/>
      <c r="AY388" s="737"/>
      <c r="AZ388" s="737"/>
      <c r="BA388" s="737"/>
      <c r="BB388" s="737"/>
      <c r="BC388" s="737"/>
      <c r="BD388" s="737"/>
      <c r="BE388" s="737"/>
      <c r="BF388" s="737"/>
      <c r="BG388" s="737"/>
      <c r="BH388" s="737"/>
      <c r="BI388" s="737"/>
      <c r="BJ388" s="737"/>
      <c r="BK388" s="737"/>
      <c r="BL388" s="737"/>
      <c r="BM388" s="737"/>
      <c r="BN388" s="737"/>
      <c r="BO388" s="737"/>
      <c r="BP388" s="737"/>
      <c r="BQ388" s="737"/>
      <c r="BR388" s="737"/>
      <c r="BS388" s="737"/>
      <c r="BT388" s="737"/>
      <c r="BU388" s="737"/>
      <c r="BV388" s="737"/>
      <c r="BW388" s="737"/>
      <c r="BX388" s="737"/>
      <c r="BY388" s="737"/>
      <c r="BZ388" s="737"/>
      <c r="CA388" s="737"/>
      <c r="CB388" s="737"/>
      <c r="CC388" s="737"/>
      <c r="CD388" s="737"/>
      <c r="CE388" s="737"/>
      <c r="CF388" s="737"/>
      <c r="CG388" s="737"/>
      <c r="CH388" s="737"/>
      <c r="CI388" s="737"/>
      <c r="CJ388" s="737"/>
      <c r="CK388" s="737"/>
      <c r="CL388" s="737"/>
      <c r="CM388" s="737"/>
      <c r="CN388" s="737"/>
      <c r="CO388" s="737"/>
      <c r="CP388" s="737"/>
      <c r="CQ388" s="737"/>
      <c r="CR388" s="737"/>
      <c r="CS388" s="737"/>
      <c r="CT388" s="46"/>
      <c r="CW388" s="970" t="str">
        <f>IF(AND(ISNUMBER(VALUE(TRIM(SUBSTITUTE(AD388,".","")))),TRIM(SUBSTITUTE(AD388,".",""))&lt;&gt;""),"P"&amp;SUBSTITUTE(AD388,".",""),"")</f>
        <v/>
      </c>
      <c r="CX388" s="975"/>
      <c r="CY388" s="975"/>
      <c r="CZ388" s="975"/>
      <c r="DA388" s="976"/>
      <c r="DB388" s="976"/>
    </row>
    <row r="389" spans="1:106" s="1229" customFormat="1" ht="29.25" hidden="1" customHeight="1">
      <c r="A389" s="1155"/>
      <c r="B389" s="783"/>
      <c r="C389" s="1155"/>
      <c r="D389" s="1155"/>
      <c r="E389" s="676">
        <v>30</v>
      </c>
      <c r="F389" s="779" t="str" cm="1">
        <f t="array" aca="1" ref="F389" ca="1">OFFSET(G389,-1,-1)</f>
        <v>2</v>
      </c>
      <c r="G389" s="814"/>
      <c r="H389" s="814"/>
      <c r="I389" s="814"/>
      <c r="J389" s="814"/>
      <c r="K389" s="814"/>
      <c r="L389" s="779" t="b" cm="1">
        <f t="array" aca="1" ref="L389" ca="1">OFFSET(M389,-1,-1)</f>
        <v>0</v>
      </c>
      <c r="M389" s="814"/>
      <c r="N389" s="814"/>
      <c r="O389" s="814"/>
      <c r="P389" s="814"/>
      <c r="Q389" s="814"/>
      <c r="R389" s="779" t="s">
        <v>759</v>
      </c>
      <c r="S389" s="110" t="b" cm="1">
        <f t="array" aca="1" ref="S389" ca="1">OFFSET(T389,-1,-1)</f>
        <v>1</v>
      </c>
      <c r="T389" s="110" t="b" cm="1">
        <f t="array" aca="1" ref="T389" ca="1">L389</f>
        <v>0</v>
      </c>
      <c r="U389" s="698" t="b">
        <f t="shared" ca="1" si="391"/>
        <v>0</v>
      </c>
      <c r="V389" s="1155"/>
      <c r="W389" s="1155"/>
      <c r="X389" s="1155"/>
      <c r="Y389" s="1687"/>
      <c r="Z389" s="1687"/>
      <c r="AA389" s="699"/>
      <c r="AB389" s="1793"/>
      <c r="AD389" s="124" t="s">
        <v>874</v>
      </c>
      <c r="AE389" s="1757" t="s">
        <v>875</v>
      </c>
      <c r="AF389" s="1758"/>
      <c r="AG389" s="733" t="s">
        <v>839</v>
      </c>
      <c r="AH389" s="734">
        <f t="shared" ref="AH389:BM389" si="406">SUM(AH390:AH392)</f>
        <v>0</v>
      </c>
      <c r="AI389" s="734">
        <f t="shared" si="406"/>
        <v>0</v>
      </c>
      <c r="AJ389" s="734">
        <f t="shared" si="406"/>
        <v>0</v>
      </c>
      <c r="AK389" s="734">
        <f t="shared" si="406"/>
        <v>0</v>
      </c>
      <c r="AL389" s="734">
        <f t="shared" ca="1" si="406"/>
        <v>0</v>
      </c>
      <c r="AM389" s="734">
        <f t="shared" si="406"/>
        <v>0</v>
      </c>
      <c r="AN389" s="734">
        <f t="shared" ca="1" si="406"/>
        <v>0</v>
      </c>
      <c r="AO389" s="734">
        <f t="shared" ca="1" si="406"/>
        <v>0</v>
      </c>
      <c r="AP389" s="734">
        <f t="shared" si="406"/>
        <v>0</v>
      </c>
      <c r="AQ389" s="734">
        <f t="shared" ca="1" si="406"/>
        <v>0</v>
      </c>
      <c r="AR389" s="734">
        <f t="shared" ca="1" si="406"/>
        <v>0</v>
      </c>
      <c r="AS389" s="734">
        <f t="shared" si="406"/>
        <v>0</v>
      </c>
      <c r="AT389" s="734">
        <f t="shared" ca="1" si="406"/>
        <v>0</v>
      </c>
      <c r="AU389" s="734">
        <f t="shared" ca="1" si="406"/>
        <v>0</v>
      </c>
      <c r="AV389" s="734">
        <f t="shared" si="406"/>
        <v>0</v>
      </c>
      <c r="AW389" s="734">
        <f t="shared" ca="1" si="406"/>
        <v>0</v>
      </c>
      <c r="AX389" s="734">
        <f t="shared" ca="1" si="406"/>
        <v>0</v>
      </c>
      <c r="AY389" s="734">
        <f t="shared" si="406"/>
        <v>0</v>
      </c>
      <c r="AZ389" s="734">
        <f t="shared" ca="1" si="406"/>
        <v>0</v>
      </c>
      <c r="BA389" s="734">
        <f t="shared" ca="1" si="406"/>
        <v>0</v>
      </c>
      <c r="BB389" s="734">
        <f t="shared" si="406"/>
        <v>0</v>
      </c>
      <c r="BC389" s="734">
        <f t="shared" ca="1" si="406"/>
        <v>0</v>
      </c>
      <c r="BD389" s="734">
        <f t="shared" ca="1" si="406"/>
        <v>0</v>
      </c>
      <c r="BE389" s="734">
        <f t="shared" si="406"/>
        <v>0</v>
      </c>
      <c r="BF389" s="734">
        <f t="shared" ca="1" si="406"/>
        <v>0</v>
      </c>
      <c r="BG389" s="734">
        <f t="shared" ca="1" si="406"/>
        <v>0</v>
      </c>
      <c r="BH389" s="734">
        <f t="shared" si="406"/>
        <v>0</v>
      </c>
      <c r="BI389" s="734">
        <f t="shared" ca="1" si="406"/>
        <v>0</v>
      </c>
      <c r="BJ389" s="734">
        <f t="shared" ca="1" si="406"/>
        <v>0</v>
      </c>
      <c r="BK389" s="734">
        <f t="shared" si="406"/>
        <v>0</v>
      </c>
      <c r="BL389" s="734">
        <f t="shared" ca="1" si="406"/>
        <v>0</v>
      </c>
      <c r="BM389" s="734">
        <f t="shared" ca="1" si="406"/>
        <v>0</v>
      </c>
      <c r="BN389" s="734">
        <f t="shared" ref="BN389:CS389" si="407">SUM(BN390:BN392)</f>
        <v>0</v>
      </c>
      <c r="BO389" s="734">
        <f t="shared" ca="1" si="407"/>
        <v>0</v>
      </c>
      <c r="BP389" s="734">
        <f t="shared" ca="1" si="407"/>
        <v>11966.640592420867</v>
      </c>
      <c r="BQ389" s="734">
        <f t="shared" si="407"/>
        <v>8540.5913908107723</v>
      </c>
      <c r="BR389" s="734">
        <f t="shared" ca="1" si="407"/>
        <v>3426.0492016100939</v>
      </c>
      <c r="BS389" s="734">
        <f t="shared" ca="1" si="407"/>
        <v>0</v>
      </c>
      <c r="BT389" s="734">
        <f t="shared" si="407"/>
        <v>0</v>
      </c>
      <c r="BU389" s="734">
        <f t="shared" ca="1" si="407"/>
        <v>0</v>
      </c>
      <c r="BV389" s="734">
        <f t="shared" ca="1" si="407"/>
        <v>0</v>
      </c>
      <c r="BW389" s="734">
        <f t="shared" si="407"/>
        <v>0</v>
      </c>
      <c r="BX389" s="734">
        <f t="shared" ca="1" si="407"/>
        <v>0</v>
      </c>
      <c r="BY389" s="734">
        <f t="shared" ca="1" si="407"/>
        <v>0</v>
      </c>
      <c r="BZ389" s="734">
        <f t="shared" si="407"/>
        <v>0</v>
      </c>
      <c r="CA389" s="734">
        <f t="shared" ca="1" si="407"/>
        <v>0</v>
      </c>
      <c r="CB389" s="734">
        <f t="shared" ca="1" si="407"/>
        <v>0</v>
      </c>
      <c r="CC389" s="734">
        <f t="shared" si="407"/>
        <v>0</v>
      </c>
      <c r="CD389" s="734">
        <f t="shared" ca="1" si="407"/>
        <v>0</v>
      </c>
      <c r="CE389" s="734">
        <f t="shared" ca="1" si="407"/>
        <v>0</v>
      </c>
      <c r="CF389" s="734">
        <f t="shared" si="407"/>
        <v>0</v>
      </c>
      <c r="CG389" s="734">
        <f t="shared" ca="1" si="407"/>
        <v>0</v>
      </c>
      <c r="CH389" s="734">
        <f t="shared" ca="1" si="407"/>
        <v>0</v>
      </c>
      <c r="CI389" s="734">
        <f t="shared" si="407"/>
        <v>0</v>
      </c>
      <c r="CJ389" s="734">
        <f t="shared" ca="1" si="407"/>
        <v>0</v>
      </c>
      <c r="CK389" s="734">
        <f t="shared" ca="1" si="407"/>
        <v>0</v>
      </c>
      <c r="CL389" s="734">
        <f t="shared" si="407"/>
        <v>0</v>
      </c>
      <c r="CM389" s="734">
        <f t="shared" ca="1" si="407"/>
        <v>0</v>
      </c>
      <c r="CN389" s="734">
        <f t="shared" ca="1" si="407"/>
        <v>0</v>
      </c>
      <c r="CO389" s="734">
        <f t="shared" si="407"/>
        <v>0</v>
      </c>
      <c r="CP389" s="734">
        <f t="shared" ca="1" si="407"/>
        <v>0</v>
      </c>
      <c r="CQ389" s="734">
        <f t="shared" ca="1" si="407"/>
        <v>0</v>
      </c>
      <c r="CR389" s="734">
        <f t="shared" si="407"/>
        <v>0</v>
      </c>
      <c r="CS389" s="734">
        <f t="shared" ca="1" si="407"/>
        <v>0</v>
      </c>
      <c r="CT389" s="28"/>
      <c r="CW389" s="970" t="s">
        <v>876</v>
      </c>
      <c r="CX389" s="975"/>
      <c r="CY389" s="975"/>
      <c r="CZ389" s="975"/>
      <c r="DA389" s="976"/>
      <c r="DB389" s="976"/>
    </row>
    <row r="390" spans="1:106" s="1229" customFormat="1" ht="16.5" hidden="1" customHeight="1">
      <c r="E390" s="676">
        <v>17.100000000000001</v>
      </c>
      <c r="F390" s="779" t="str" cm="1">
        <f t="array" aca="1" ref="F390" ca="1">OFFSET(G390,-1,-1)</f>
        <v>2</v>
      </c>
      <c r="L390" s="779" t="b" cm="1">
        <f t="array" aca="1" ref="L390" ca="1">OFFSET(M390,-1,-1)</f>
        <v>0</v>
      </c>
      <c r="R390" s="779" t="s">
        <v>759</v>
      </c>
      <c r="S390" s="110" t="b" cm="1">
        <f t="array" aca="1" ref="S390" ca="1">OFFSET(T390,-1,-1)</f>
        <v>1</v>
      </c>
      <c r="T390" s="110" t="b">
        <f ca="1">AND(L390,AD390&lt;&gt;"33.0")</f>
        <v>0</v>
      </c>
      <c r="U390" s="698" t="b">
        <f t="shared" ca="1" si="391"/>
        <v>0</v>
      </c>
      <c r="X390" s="110" t="s">
        <v>236</v>
      </c>
      <c r="Y390" s="1722"/>
      <c r="Z390" s="1722"/>
      <c r="AB390" s="1793"/>
      <c r="AD390" s="111" t="s">
        <v>877</v>
      </c>
      <c r="AE390" s="821"/>
      <c r="AF390" s="524"/>
      <c r="AG390" s="733" t="s">
        <v>839</v>
      </c>
      <c r="AH390" s="41">
        <f t="shared" ref="AH390:AK391" si="408">AH$324*AH386</f>
        <v>0</v>
      </c>
      <c r="AI390" s="42">
        <f t="shared" si="408"/>
        <v>0</v>
      </c>
      <c r="AJ390" s="42">
        <f t="shared" si="408"/>
        <v>0</v>
      </c>
      <c r="AK390" s="42">
        <f t="shared" si="408"/>
        <v>0</v>
      </c>
      <c r="AL390" s="736">
        <f ca="1">AM390+AN390</f>
        <v>0</v>
      </c>
      <c r="AM390" s="42">
        <f>AM$324*AM386</f>
        <v>0</v>
      </c>
      <c r="AN390" s="42">
        <f ca="1">AN$324*AN386</f>
        <v>0</v>
      </c>
      <c r="AO390" s="736">
        <f ca="1">AP390+AQ390</f>
        <v>0</v>
      </c>
      <c r="AP390" s="826">
        <f>AP$324*AP386</f>
        <v>0</v>
      </c>
      <c r="AQ390" s="826">
        <f ca="1">AQ$324*AQ386</f>
        <v>0</v>
      </c>
      <c r="AR390" s="736">
        <f ca="1">AS390+AT390</f>
        <v>0</v>
      </c>
      <c r="AS390" s="826">
        <f>AS$324*AS386</f>
        <v>0</v>
      </c>
      <c r="AT390" s="826">
        <f ca="1">AT$324*AT386</f>
        <v>0</v>
      </c>
      <c r="AU390" s="736">
        <f ca="1">AV390+AW390</f>
        <v>0</v>
      </c>
      <c r="AV390" s="826">
        <f>AV$324*AV386</f>
        <v>0</v>
      </c>
      <c r="AW390" s="826">
        <f ca="1">AW$324*AW386</f>
        <v>0</v>
      </c>
      <c r="AX390" s="736">
        <f ca="1">AY390+AZ390</f>
        <v>0</v>
      </c>
      <c r="AY390" s="826">
        <f>AY$324*AY386</f>
        <v>0</v>
      </c>
      <c r="AZ390" s="826">
        <f ca="1">AZ$324*AZ386</f>
        <v>0</v>
      </c>
      <c r="BA390" s="736">
        <f ca="1">BB390+BC390</f>
        <v>0</v>
      </c>
      <c r="BB390" s="42">
        <f>BB$324*BB386</f>
        <v>0</v>
      </c>
      <c r="BC390" s="42">
        <f ca="1">BC$324*BC386</f>
        <v>0</v>
      </c>
      <c r="BD390" s="736">
        <f ca="1">BE390+BF390</f>
        <v>0</v>
      </c>
      <c r="BE390" s="42">
        <f>BE$324*BE386</f>
        <v>0</v>
      </c>
      <c r="BF390" s="42">
        <f ca="1">BF$324*BF386</f>
        <v>0</v>
      </c>
      <c r="BG390" s="736">
        <f ca="1">BH390+BI390</f>
        <v>0</v>
      </c>
      <c r="BH390" s="42">
        <f>BH$324*BH386</f>
        <v>0</v>
      </c>
      <c r="BI390" s="42">
        <f ca="1">BI$324*BI386</f>
        <v>0</v>
      </c>
      <c r="BJ390" s="736">
        <f ca="1">BK390+BL390</f>
        <v>0</v>
      </c>
      <c r="BK390" s="42">
        <f>BK$324*BK386</f>
        <v>0</v>
      </c>
      <c r="BL390" s="42">
        <f ca="1">BL$324*BL386</f>
        <v>0</v>
      </c>
      <c r="BM390" s="736">
        <f ca="1">BN390+BO390</f>
        <v>0</v>
      </c>
      <c r="BN390" s="42">
        <f>BN$324*BN386</f>
        <v>0</v>
      </c>
      <c r="BO390" s="42">
        <f ca="1">BO$324*BO386</f>
        <v>0</v>
      </c>
      <c r="BP390" s="736">
        <f ca="1">BQ390+BR390</f>
        <v>0</v>
      </c>
      <c r="BQ390" s="826">
        <f>BQ$324*BQ386</f>
        <v>0</v>
      </c>
      <c r="BR390" s="826">
        <f ca="1">BR$324*BR386</f>
        <v>0</v>
      </c>
      <c r="BS390" s="736">
        <f ca="1">BT390+BU390</f>
        <v>0</v>
      </c>
      <c r="BT390" s="826">
        <f>BT$324*BT386</f>
        <v>0</v>
      </c>
      <c r="BU390" s="826">
        <f ca="1">BU$324*BU386</f>
        <v>0</v>
      </c>
      <c r="BV390" s="736">
        <f ca="1">BW390+BX390</f>
        <v>0</v>
      </c>
      <c r="BW390" s="826">
        <f>BW$324*BW386</f>
        <v>0</v>
      </c>
      <c r="BX390" s="826">
        <f ca="1">BX$324*BX386</f>
        <v>0</v>
      </c>
      <c r="BY390" s="736">
        <f ca="1">BZ390+CA390</f>
        <v>0</v>
      </c>
      <c r="BZ390" s="826">
        <f>BZ$324*BZ386</f>
        <v>0</v>
      </c>
      <c r="CA390" s="826">
        <f ca="1">CA$324*CA386</f>
        <v>0</v>
      </c>
      <c r="CB390" s="736">
        <f ca="1">CC390+CD390</f>
        <v>0</v>
      </c>
      <c r="CC390" s="826">
        <f>CC$324*CC386</f>
        <v>0</v>
      </c>
      <c r="CD390" s="826">
        <f ca="1">CD$324*CD386</f>
        <v>0</v>
      </c>
      <c r="CE390" s="736">
        <f ca="1">CF390+CG390</f>
        <v>0</v>
      </c>
      <c r="CF390" s="42">
        <f>CF$324*CF386</f>
        <v>0</v>
      </c>
      <c r="CG390" s="42">
        <f ca="1">CG$324*CG386</f>
        <v>0</v>
      </c>
      <c r="CH390" s="736">
        <f ca="1">CI390+CJ390</f>
        <v>0</v>
      </c>
      <c r="CI390" s="42">
        <f>CI$324*CI386</f>
        <v>0</v>
      </c>
      <c r="CJ390" s="42">
        <f ca="1">CJ$324*CJ386</f>
        <v>0</v>
      </c>
      <c r="CK390" s="736">
        <f ca="1">CL390+CM390</f>
        <v>0</v>
      </c>
      <c r="CL390" s="42">
        <f>CL$324*CL386</f>
        <v>0</v>
      </c>
      <c r="CM390" s="42">
        <f ca="1">CM$324*CM386</f>
        <v>0</v>
      </c>
      <c r="CN390" s="736">
        <f ca="1">CO390+CP390</f>
        <v>0</v>
      </c>
      <c r="CO390" s="42">
        <f>CO$324*CO386</f>
        <v>0</v>
      </c>
      <c r="CP390" s="42">
        <f ca="1">CP$324*CP386</f>
        <v>0</v>
      </c>
      <c r="CQ390" s="736">
        <f ca="1">CR390+CS390</f>
        <v>0</v>
      </c>
      <c r="CR390" s="42">
        <f>CR$324*CR386</f>
        <v>0</v>
      </c>
      <c r="CS390" s="42">
        <f ca="1">CS$324*CS386</f>
        <v>0</v>
      </c>
      <c r="CT390" s="28"/>
      <c r="CW390" s="970" t="s">
        <v>876</v>
      </c>
      <c r="CX390" s="975" t="s">
        <v>821</v>
      </c>
      <c r="CY390" s="979" cm="1">
        <f t="array" ref="CY390">AE390</f>
        <v>0</v>
      </c>
      <c r="CZ390" s="979" cm="1">
        <f t="array" ref="CZ390">AF390</f>
        <v>0</v>
      </c>
      <c r="DA390" s="976"/>
      <c r="DB390" s="976"/>
    </row>
    <row r="391" spans="1:106" s="1229" customFormat="1" ht="16.5" hidden="1" customHeight="1">
      <c r="E391" s="676">
        <v>17.100000000000001</v>
      </c>
      <c r="F391" s="779" t="str" cm="1">
        <f t="array" aca="1" ref="F391" ca="1">OFFSET(G391,-1,-1)</f>
        <v>2</v>
      </c>
      <c r="L391" s="779" t="b" cm="1">
        <f t="array" aca="1" ref="L391" ca="1">OFFSET(M391,-1,-1)</f>
        <v>0</v>
      </c>
      <c r="R391" s="779" t="s">
        <v>759</v>
      </c>
      <c r="S391" s="110" t="b" cm="1">
        <f t="array" aca="1" ref="S391" ca="1">OFFSET(T391,-1,-1)</f>
        <v>1</v>
      </c>
      <c r="T391" s="110" t="b">
        <f ca="1">AND(L391,AD391&lt;&gt;"33.0")</f>
        <v>0</v>
      </c>
      <c r="U391" s="698" t="b">
        <f t="shared" ca="1" si="391"/>
        <v>0</v>
      </c>
      <c r="X391" s="110" t="str">
        <f>'Топливо 4.4'!$AE$387&amp;'Топливо 4.4'!$AF$387</f>
        <v>Уголь длиннопламенный</v>
      </c>
      <c r="Y391" s="1722"/>
      <c r="Z391" s="1722"/>
      <c r="AB391" s="1793"/>
      <c r="AD391" s="111" t="s">
        <v>961</v>
      </c>
      <c r="AE391" s="821" t="str" cm="1">
        <f t="array" ref="AE391">IF(ISBLANK('Топливо 4.4'!$AE$387),"",'Топливо 4.4'!$AE$387)</f>
        <v>Уголь длиннопламенный</v>
      </c>
      <c r="AF391" s="524" t="str" cm="1">
        <f t="array" ref="AF391">IF(ISBLANK('Топливо 4.4'!$AF$387),"",'Топливо 4.4'!$AF$387)</f>
        <v/>
      </c>
      <c r="AG391" s="733" t="s">
        <v>839</v>
      </c>
      <c r="AH391" s="41">
        <f t="shared" si="408"/>
        <v>0</v>
      </c>
      <c r="AI391" s="42">
        <f t="shared" si="408"/>
        <v>0</v>
      </c>
      <c r="AJ391" s="42">
        <f t="shared" si="408"/>
        <v>0</v>
      </c>
      <c r="AK391" s="42">
        <f t="shared" si="408"/>
        <v>0</v>
      </c>
      <c r="AL391" s="736">
        <f ca="1">AM391+AN391</f>
        <v>0</v>
      </c>
      <c r="AM391" s="42">
        <f>AM$324*AM387</f>
        <v>0</v>
      </c>
      <c r="AN391" s="42">
        <f ca="1">AN$324*AN387</f>
        <v>0</v>
      </c>
      <c r="AO391" s="736">
        <f ca="1">AP391+AQ391</f>
        <v>0</v>
      </c>
      <c r="AP391" s="826">
        <f>AP$324*AP387</f>
        <v>0</v>
      </c>
      <c r="AQ391" s="826">
        <f ca="1">AQ$324*AQ387</f>
        <v>0</v>
      </c>
      <c r="AR391" s="736">
        <f ca="1">AS391+AT391</f>
        <v>0</v>
      </c>
      <c r="AS391" s="826">
        <f>AS$324*AS387</f>
        <v>0</v>
      </c>
      <c r="AT391" s="826">
        <f ca="1">AT$324*AT387</f>
        <v>0</v>
      </c>
      <c r="AU391" s="736">
        <f ca="1">AV391+AW391</f>
        <v>0</v>
      </c>
      <c r="AV391" s="826">
        <f>AV$324*AV387</f>
        <v>0</v>
      </c>
      <c r="AW391" s="826">
        <f ca="1">AW$324*AW387</f>
        <v>0</v>
      </c>
      <c r="AX391" s="736">
        <f ca="1">AY391+AZ391</f>
        <v>0</v>
      </c>
      <c r="AY391" s="826">
        <f>AY$324*AY387</f>
        <v>0</v>
      </c>
      <c r="AZ391" s="826">
        <f ca="1">AZ$324*AZ387</f>
        <v>0</v>
      </c>
      <c r="BA391" s="736">
        <f ca="1">BB391+BC391</f>
        <v>0</v>
      </c>
      <c r="BB391" s="42">
        <f>BB$324*BB387</f>
        <v>0</v>
      </c>
      <c r="BC391" s="42">
        <f ca="1">BC$324*BC387</f>
        <v>0</v>
      </c>
      <c r="BD391" s="736">
        <f ca="1">BE391+BF391</f>
        <v>0</v>
      </c>
      <c r="BE391" s="42">
        <f>BE$324*BE387</f>
        <v>0</v>
      </c>
      <c r="BF391" s="42">
        <f ca="1">BF$324*BF387</f>
        <v>0</v>
      </c>
      <c r="BG391" s="736">
        <f ca="1">BH391+BI391</f>
        <v>0</v>
      </c>
      <c r="BH391" s="42">
        <f>BH$324*BH387</f>
        <v>0</v>
      </c>
      <c r="BI391" s="42">
        <f ca="1">BI$324*BI387</f>
        <v>0</v>
      </c>
      <c r="BJ391" s="736">
        <f ca="1">BK391+BL391</f>
        <v>0</v>
      </c>
      <c r="BK391" s="42">
        <f>BK$324*BK387</f>
        <v>0</v>
      </c>
      <c r="BL391" s="42">
        <f ca="1">BL$324*BL387</f>
        <v>0</v>
      </c>
      <c r="BM391" s="736">
        <f ca="1">BN391+BO391</f>
        <v>0</v>
      </c>
      <c r="BN391" s="42">
        <f>BN$324*BN387</f>
        <v>0</v>
      </c>
      <c r="BO391" s="42">
        <f ca="1">BO$324*BO387</f>
        <v>0</v>
      </c>
      <c r="BP391" s="736">
        <f ca="1">BQ391+BR391</f>
        <v>11966.640592420867</v>
      </c>
      <c r="BQ391" s="826">
        <f>BQ$324*BQ387</f>
        <v>8540.5913908107723</v>
      </c>
      <c r="BR391" s="826">
        <f ca="1">BR$324*BR387</f>
        <v>3426.0492016100939</v>
      </c>
      <c r="BS391" s="736">
        <f ca="1">BT391+BU391</f>
        <v>0</v>
      </c>
      <c r="BT391" s="826">
        <f>BT$324*BT387</f>
        <v>0</v>
      </c>
      <c r="BU391" s="826">
        <f ca="1">BU$324*BU387</f>
        <v>0</v>
      </c>
      <c r="BV391" s="736">
        <f ca="1">BW391+BX391</f>
        <v>0</v>
      </c>
      <c r="BW391" s="826">
        <f>BW$324*BW387</f>
        <v>0</v>
      </c>
      <c r="BX391" s="826">
        <f ca="1">BX$324*BX387</f>
        <v>0</v>
      </c>
      <c r="BY391" s="736">
        <f ca="1">BZ391+CA391</f>
        <v>0</v>
      </c>
      <c r="BZ391" s="826">
        <f>BZ$324*BZ387</f>
        <v>0</v>
      </c>
      <c r="CA391" s="826">
        <f ca="1">CA$324*CA387</f>
        <v>0</v>
      </c>
      <c r="CB391" s="736">
        <f ca="1">CC391+CD391</f>
        <v>0</v>
      </c>
      <c r="CC391" s="826">
        <f>CC$324*CC387</f>
        <v>0</v>
      </c>
      <c r="CD391" s="826">
        <f ca="1">CD$324*CD387</f>
        <v>0</v>
      </c>
      <c r="CE391" s="736">
        <f ca="1">CF391+CG391</f>
        <v>0</v>
      </c>
      <c r="CF391" s="42">
        <f>CF$324*CF387</f>
        <v>0</v>
      </c>
      <c r="CG391" s="42">
        <f ca="1">CG$324*CG387</f>
        <v>0</v>
      </c>
      <c r="CH391" s="736">
        <f ca="1">CI391+CJ391</f>
        <v>0</v>
      </c>
      <c r="CI391" s="42">
        <f>CI$324*CI387</f>
        <v>0</v>
      </c>
      <c r="CJ391" s="42">
        <f ca="1">CJ$324*CJ387</f>
        <v>0</v>
      </c>
      <c r="CK391" s="736">
        <f ca="1">CL391+CM391</f>
        <v>0</v>
      </c>
      <c r="CL391" s="42">
        <f>CL$324*CL387</f>
        <v>0</v>
      </c>
      <c r="CM391" s="42">
        <f ca="1">CM$324*CM387</f>
        <v>0</v>
      </c>
      <c r="CN391" s="736">
        <f ca="1">CO391+CP391</f>
        <v>0</v>
      </c>
      <c r="CO391" s="42">
        <f>CO$324*CO387</f>
        <v>0</v>
      </c>
      <c r="CP391" s="42">
        <f ca="1">CP$324*CP387</f>
        <v>0</v>
      </c>
      <c r="CQ391" s="736">
        <f ca="1">CR391+CS391</f>
        <v>0</v>
      </c>
      <c r="CR391" s="42">
        <f>CR$324*CR387</f>
        <v>0</v>
      </c>
      <c r="CS391" s="42">
        <f ca="1">CS$324*CS387</f>
        <v>0</v>
      </c>
      <c r="CT391" s="28"/>
      <c r="CW391" s="970" t="s">
        <v>876</v>
      </c>
      <c r="CX391" s="975" t="s">
        <v>821</v>
      </c>
      <c r="CY391" s="979" t="str" cm="1">
        <f t="array" ref="CY391">AE391</f>
        <v>Уголь длиннопламенный</v>
      </c>
      <c r="CZ391" s="979" t="str" cm="1">
        <f t="array" ref="CZ391">AF391</f>
        <v/>
      </c>
      <c r="DA391" s="976"/>
      <c r="DB391" s="976"/>
    </row>
    <row r="392" spans="1:106" s="1229" customFormat="1" ht="15" hidden="1" customHeight="1">
      <c r="A392" s="1155"/>
      <c r="B392" s="783"/>
      <c r="C392" s="1155"/>
      <c r="D392" s="1155"/>
      <c r="E392" s="676">
        <v>0</v>
      </c>
      <c r="F392" s="779" t="str" cm="1">
        <f t="array" aca="1" ref="F392" ca="1">OFFSET(G392,-1,-1)</f>
        <v>2</v>
      </c>
      <c r="G392" s="814"/>
      <c r="H392" s="814"/>
      <c r="I392" s="814"/>
      <c r="J392" s="814"/>
      <c r="K392" s="814"/>
      <c r="L392" s="779" t="b" cm="1">
        <f t="array" aca="1" ref="L392" ca="1">OFFSET(M392,-1,-1)</f>
        <v>0</v>
      </c>
      <c r="M392" s="814"/>
      <c r="N392" s="814"/>
      <c r="O392" s="814"/>
      <c r="P392" s="814"/>
      <c r="Q392" s="814"/>
      <c r="R392" s="1155"/>
      <c r="S392" s="110" t="b" cm="1">
        <f t="array" aca="1" ref="S392" ca="1">OFFSET(T392,-1,-1)</f>
        <v>1</v>
      </c>
      <c r="T392" s="1155"/>
      <c r="U392" s="698" t="b">
        <f t="shared" ca="1" si="391"/>
        <v>1</v>
      </c>
      <c r="V392" s="1155"/>
      <c r="W392" s="1155"/>
      <c r="X392" s="820" t="str">
        <f>"{                  
         funcDyn: 'msg1',
         blok: 'blok_2',
         wsCross: 'Топливо 4.4',
         linkFormula: 'AE-AE#AF-AF',
         levelDyn: "&amp;Y300&amp;"
}"</f>
        <v>{                  
         funcDyn: 'msg1',
         blok: 'blok_2',
         wsCross: 'Топливо 4.4',
         linkFormula: 'AE-AE#AF-AF',
         levelDyn: 2
}</v>
      </c>
      <c r="Y392" s="1687"/>
      <c r="Z392" s="1687"/>
      <c r="AA392" s="699"/>
      <c r="AB392" s="1794"/>
      <c r="AD392" s="823"/>
      <c r="AE392" s="822" t="s">
        <v>238</v>
      </c>
      <c r="AF392" s="745"/>
      <c r="AG392" s="733"/>
      <c r="AH392" s="735"/>
      <c r="AI392" s="737"/>
      <c r="AJ392" s="737"/>
      <c r="AK392" s="737"/>
      <c r="AL392" s="737"/>
      <c r="AM392" s="737"/>
      <c r="AN392" s="737"/>
      <c r="AO392" s="737"/>
      <c r="AP392" s="737"/>
      <c r="AQ392" s="737"/>
      <c r="AR392" s="737"/>
      <c r="AS392" s="737"/>
      <c r="AT392" s="737"/>
      <c r="AU392" s="737"/>
      <c r="AV392" s="737"/>
      <c r="AW392" s="737"/>
      <c r="AX392" s="737"/>
      <c r="AY392" s="737"/>
      <c r="AZ392" s="737"/>
      <c r="BA392" s="737"/>
      <c r="BB392" s="737"/>
      <c r="BC392" s="737"/>
      <c r="BD392" s="737"/>
      <c r="BE392" s="737"/>
      <c r="BF392" s="737"/>
      <c r="BG392" s="737"/>
      <c r="BH392" s="737"/>
      <c r="BI392" s="737"/>
      <c r="BJ392" s="737"/>
      <c r="BK392" s="737"/>
      <c r="BL392" s="737"/>
      <c r="BM392" s="737"/>
      <c r="BN392" s="737"/>
      <c r="BO392" s="737"/>
      <c r="BP392" s="737"/>
      <c r="BQ392" s="737"/>
      <c r="BR392" s="737"/>
      <c r="BS392" s="737"/>
      <c r="BT392" s="737"/>
      <c r="BU392" s="737"/>
      <c r="BV392" s="737"/>
      <c r="BW392" s="737"/>
      <c r="BX392" s="737"/>
      <c r="BY392" s="737"/>
      <c r="BZ392" s="737"/>
      <c r="CA392" s="737"/>
      <c r="CB392" s="737"/>
      <c r="CC392" s="737"/>
      <c r="CD392" s="737"/>
      <c r="CE392" s="737"/>
      <c r="CF392" s="737"/>
      <c r="CG392" s="737"/>
      <c r="CH392" s="737"/>
      <c r="CI392" s="737"/>
      <c r="CJ392" s="737"/>
      <c r="CK392" s="737"/>
      <c r="CL392" s="737"/>
      <c r="CM392" s="737"/>
      <c r="CN392" s="737"/>
      <c r="CO392" s="737"/>
      <c r="CP392" s="737"/>
      <c r="CQ392" s="737"/>
      <c r="CR392" s="737"/>
      <c r="CS392" s="737"/>
      <c r="CT392" s="46"/>
      <c r="CW392" s="970" t="str">
        <f>IF(AND(ISNUMBER(VALUE(TRIM(SUBSTITUTE(AD392,".","")))),TRIM(SUBSTITUTE(AD392,".",""))&lt;&gt;""),"P"&amp;SUBSTITUTE(AD392,".",""),"")</f>
        <v/>
      </c>
      <c r="CX392" s="975"/>
      <c r="CY392" s="975"/>
      <c r="CZ392" s="975"/>
      <c r="DA392" s="976"/>
      <c r="DB392" s="976"/>
    </row>
    <row r="393" spans="1:106" s="1229" customFormat="1" ht="16.5" customHeight="1">
      <c r="A393" s="1155"/>
      <c r="B393" s="783"/>
      <c r="C393" s="1155"/>
      <c r="D393" s="1155"/>
      <c r="E393" s="676">
        <v>17.100000000000001</v>
      </c>
      <c r="F393" s="779" t="str" cm="1">
        <f t="array" aca="1" ref="F393" ca="1">OFFSET(G393,-1,-1)</f>
        <v>2</v>
      </c>
      <c r="G393" s="814"/>
      <c r="H393" s="814"/>
      <c r="I393" s="814"/>
      <c r="J393" s="814"/>
      <c r="K393" s="814"/>
      <c r="L393" s="779" t="b" cm="1">
        <f t="array" aca="1" ref="L393" ca="1">OFFSET(M393,-1,-1)</f>
        <v>0</v>
      </c>
      <c r="M393" s="814"/>
      <c r="N393" s="814"/>
      <c r="O393" s="814"/>
      <c r="P393" s="814"/>
      <c r="Q393" s="814"/>
      <c r="R393" s="1155"/>
      <c r="S393" s="110" t="b" cm="1">
        <f t="array" aca="1" ref="S393" ca="1">OFFSET(T393,-1,-1)</f>
        <v>1</v>
      </c>
      <c r="T393" s="1155"/>
      <c r="U393" s="698" t="b">
        <f t="shared" ca="1" si="391"/>
        <v>1</v>
      </c>
      <c r="V393" s="1155"/>
      <c r="W393" s="1155"/>
      <c r="X393" s="1155"/>
      <c r="Y393" s="1687"/>
      <c r="Z393" s="1687"/>
      <c r="AA393" s="699"/>
      <c r="AB393" s="1783" t="s">
        <v>878</v>
      </c>
      <c r="AD393" s="124" t="s">
        <v>879</v>
      </c>
      <c r="AE393" s="1754" t="s">
        <v>880</v>
      </c>
      <c r="AF393" s="1734"/>
      <c r="AG393" s="849"/>
      <c r="AH393" s="735"/>
      <c r="AI393" s="737"/>
      <c r="AJ393" s="737"/>
      <c r="AK393" s="737"/>
      <c r="AL393" s="737"/>
      <c r="AM393" s="737"/>
      <c r="AN393" s="737"/>
      <c r="AO393" s="737"/>
      <c r="AP393" s="737"/>
      <c r="AQ393" s="737"/>
      <c r="AR393" s="737"/>
      <c r="AS393" s="737"/>
      <c r="AT393" s="737"/>
      <c r="AU393" s="737"/>
      <c r="AV393" s="737"/>
      <c r="AW393" s="737"/>
      <c r="AX393" s="737"/>
      <c r="AY393" s="737"/>
      <c r="AZ393" s="737"/>
      <c r="BA393" s="737"/>
      <c r="BB393" s="737"/>
      <c r="BC393" s="737"/>
      <c r="BD393" s="737"/>
      <c r="BE393" s="737"/>
      <c r="BF393" s="737"/>
      <c r="BG393" s="737"/>
      <c r="BH393" s="737"/>
      <c r="BI393" s="737"/>
      <c r="BJ393" s="737"/>
      <c r="BK393" s="737"/>
      <c r="BL393" s="737"/>
      <c r="BM393" s="737"/>
      <c r="BN393" s="737"/>
      <c r="BO393" s="737"/>
      <c r="BP393" s="737"/>
      <c r="BQ393" s="737"/>
      <c r="BR393" s="737"/>
      <c r="BS393" s="737"/>
      <c r="BT393" s="737"/>
      <c r="BU393" s="737"/>
      <c r="BV393" s="737"/>
      <c r="BW393" s="737"/>
      <c r="BX393" s="737"/>
      <c r="BY393" s="737"/>
      <c r="BZ393" s="737"/>
      <c r="CA393" s="737"/>
      <c r="CB393" s="737"/>
      <c r="CC393" s="737"/>
      <c r="CD393" s="737"/>
      <c r="CE393" s="737"/>
      <c r="CF393" s="737"/>
      <c r="CG393" s="737"/>
      <c r="CH393" s="737"/>
      <c r="CI393" s="737"/>
      <c r="CJ393" s="737"/>
      <c r="CK393" s="737"/>
      <c r="CL393" s="737"/>
      <c r="CM393" s="737"/>
      <c r="CN393" s="737"/>
      <c r="CO393" s="737"/>
      <c r="CP393" s="737"/>
      <c r="CQ393" s="737"/>
      <c r="CR393" s="737"/>
      <c r="CS393" s="737"/>
      <c r="CT393" s="1290"/>
      <c r="CW393" s="970" t="s">
        <v>881</v>
      </c>
      <c r="CX393" s="975"/>
      <c r="CY393" s="975"/>
      <c r="CZ393" s="975"/>
      <c r="DA393" s="976"/>
      <c r="DB393" s="976"/>
    </row>
    <row r="394" spans="1:106" s="1229" customFormat="1" ht="16.5" hidden="1" customHeight="1">
      <c r="E394" s="676">
        <v>17.100000000000001</v>
      </c>
      <c r="F394" s="779" t="str" cm="1">
        <f t="array" aca="1" ref="F394" ca="1">OFFSET(G394,-1,-1)</f>
        <v>2</v>
      </c>
      <c r="L394" s="779" t="b" cm="1">
        <f t="array" aca="1" ref="L394" ca="1">OFFSET(M394,-1,-1)</f>
        <v>0</v>
      </c>
      <c r="S394" s="110" t="b" cm="1">
        <f t="array" aca="1" ref="S394" ca="1">OFFSET(T394,-1,-1)</f>
        <v>1</v>
      </c>
      <c r="T394" s="110" t="b">
        <f>AD394&lt;&gt;"34.0"</f>
        <v>0</v>
      </c>
      <c r="U394" s="698" t="b">
        <f t="shared" ca="1" si="391"/>
        <v>0</v>
      </c>
      <c r="X394" s="110" t="s">
        <v>236</v>
      </c>
      <c r="Y394" s="1722"/>
      <c r="Z394" s="1722"/>
      <c r="AB394" s="1784"/>
      <c r="AD394" s="111" t="s">
        <v>882</v>
      </c>
      <c r="AE394" s="821"/>
      <c r="AF394" s="524"/>
      <c r="AG394" s="733" t="s">
        <v>533</v>
      </c>
      <c r="AH394" s="45"/>
      <c r="AI394" s="49"/>
      <c r="AJ394" s="49"/>
      <c r="AK394" s="49"/>
      <c r="AL394" s="737"/>
      <c r="AM394" s="49"/>
      <c r="AN394" s="49"/>
      <c r="AO394" s="737"/>
      <c r="AP394" s="829"/>
      <c r="AQ394" s="829"/>
      <c r="AR394" s="737"/>
      <c r="AS394" s="829"/>
      <c r="AT394" s="829"/>
      <c r="AU394" s="737"/>
      <c r="AV394" s="829"/>
      <c r="AW394" s="829"/>
      <c r="AX394" s="737"/>
      <c r="AY394" s="829"/>
      <c r="AZ394" s="829"/>
      <c r="BA394" s="737"/>
      <c r="BB394" s="49"/>
      <c r="BC394" s="49"/>
      <c r="BD394" s="737"/>
      <c r="BE394" s="49"/>
      <c r="BF394" s="49"/>
      <c r="BG394" s="737"/>
      <c r="BH394" s="49"/>
      <c r="BI394" s="49"/>
      <c r="BJ394" s="737"/>
      <c r="BK394" s="49"/>
      <c r="BL394" s="49"/>
      <c r="BM394" s="737"/>
      <c r="BN394" s="49"/>
      <c r="BO394" s="49"/>
      <c r="BP394" s="737"/>
      <c r="BQ394" s="829"/>
      <c r="BR394" s="829"/>
      <c r="BS394" s="737"/>
      <c r="BT394" s="829"/>
      <c r="BU394" s="829"/>
      <c r="BV394" s="737"/>
      <c r="BW394" s="829"/>
      <c r="BX394" s="829"/>
      <c r="BY394" s="737"/>
      <c r="BZ394" s="829"/>
      <c r="CA394" s="829"/>
      <c r="CB394" s="737"/>
      <c r="CC394" s="829"/>
      <c r="CD394" s="829"/>
      <c r="CE394" s="737"/>
      <c r="CF394" s="49"/>
      <c r="CG394" s="49"/>
      <c r="CH394" s="737"/>
      <c r="CI394" s="49"/>
      <c r="CJ394" s="49"/>
      <c r="CK394" s="737"/>
      <c r="CL394" s="49"/>
      <c r="CM394" s="49"/>
      <c r="CN394" s="737"/>
      <c r="CO394" s="49"/>
      <c r="CP394" s="49"/>
      <c r="CQ394" s="737"/>
      <c r="CR394" s="49"/>
      <c r="CS394" s="49"/>
      <c r="CT394" s="28"/>
      <c r="CW394" s="970" t="s">
        <v>881</v>
      </c>
      <c r="CX394" s="975" t="s">
        <v>821</v>
      </c>
      <c r="CY394" s="979" cm="1">
        <f t="array" ref="CY394">AE394</f>
        <v>0</v>
      </c>
      <c r="CZ394" s="979" cm="1">
        <f t="array" ref="CZ394">AF394</f>
        <v>0</v>
      </c>
      <c r="DA394" s="976"/>
      <c r="DB394" s="976"/>
    </row>
    <row r="395" spans="1:106" s="1229" customFormat="1" ht="16.5" customHeight="1">
      <c r="E395" s="676">
        <v>17.100000000000001</v>
      </c>
      <c r="F395" s="779" t="str" cm="1">
        <f t="array" aca="1" ref="F395" ca="1">OFFSET(G395,-1,-1)</f>
        <v>2</v>
      </c>
      <c r="L395" s="779" t="b" cm="1">
        <f t="array" aca="1" ref="L395" ca="1">OFFSET(M395,-1,-1)</f>
        <v>0</v>
      </c>
      <c r="S395" s="110" t="b" cm="1">
        <f t="array" aca="1" ref="S395" ca="1">OFFSET(T395,-1,-1)</f>
        <v>1</v>
      </c>
      <c r="T395" s="110" t="b">
        <f>AD395&lt;&gt;"34.0"</f>
        <v>1</v>
      </c>
      <c r="U395" s="698" t="b">
        <f t="shared" ca="1" si="391"/>
        <v>1</v>
      </c>
      <c r="X395" s="110" t="str">
        <f>'Топливо 4.4'!$AE$391&amp;'Топливо 4.4'!$AF$391</f>
        <v>Уголь длиннопламенный</v>
      </c>
      <c r="Y395" s="1722"/>
      <c r="Z395" s="1722"/>
      <c r="AB395" s="1784"/>
      <c r="AD395" s="111" t="s">
        <v>963</v>
      </c>
      <c r="AE395" s="821" t="str" cm="1">
        <f t="array" ref="AE395">IF(ISBLANK('Топливо 4.4'!$AE$391),"",'Топливо 4.4'!$AE$391)</f>
        <v>Уголь длиннопламенный</v>
      </c>
      <c r="AF395" s="524" t="str" cm="1">
        <f t="array" ref="AF395">IF(ISBLANK('Топливо 4.4'!$AF$391),"",'Топливо 4.4'!$AF$391)</f>
        <v/>
      </c>
      <c r="AG395" s="733" t="s">
        <v>533</v>
      </c>
      <c r="AH395" s="1306"/>
      <c r="AI395" s="1309"/>
      <c r="AJ395" s="1309"/>
      <c r="AK395" s="1309"/>
      <c r="AL395" s="737"/>
      <c r="AM395" s="1309"/>
      <c r="AN395" s="1309"/>
      <c r="AO395" s="737"/>
      <c r="AP395" s="829"/>
      <c r="AQ395" s="829"/>
      <c r="AR395" s="737"/>
      <c r="AS395" s="829"/>
      <c r="AT395" s="829"/>
      <c r="AU395" s="737"/>
      <c r="AV395" s="829"/>
      <c r="AW395" s="829"/>
      <c r="AX395" s="737"/>
      <c r="AY395" s="829"/>
      <c r="AZ395" s="829"/>
      <c r="BA395" s="737"/>
      <c r="BB395" s="1309"/>
      <c r="BC395" s="1309"/>
      <c r="BD395" s="737"/>
      <c r="BE395" s="1309"/>
      <c r="BF395" s="1309"/>
      <c r="BG395" s="737"/>
      <c r="BH395" s="1309"/>
      <c r="BI395" s="1309"/>
      <c r="BJ395" s="737"/>
      <c r="BK395" s="1309"/>
      <c r="BL395" s="1309"/>
      <c r="BM395" s="737"/>
      <c r="BN395" s="1309"/>
      <c r="BO395" s="1309"/>
      <c r="BP395" s="737"/>
      <c r="BQ395" s="829"/>
      <c r="BR395" s="829"/>
      <c r="BS395" s="737"/>
      <c r="BT395" s="829"/>
      <c r="BU395" s="829"/>
      <c r="BV395" s="737"/>
      <c r="BW395" s="829"/>
      <c r="BX395" s="829"/>
      <c r="BY395" s="737"/>
      <c r="BZ395" s="829"/>
      <c r="CA395" s="829"/>
      <c r="CB395" s="737"/>
      <c r="CC395" s="829"/>
      <c r="CD395" s="829"/>
      <c r="CE395" s="737"/>
      <c r="CF395" s="1309"/>
      <c r="CG395" s="1309"/>
      <c r="CH395" s="737"/>
      <c r="CI395" s="1309"/>
      <c r="CJ395" s="1309"/>
      <c r="CK395" s="737"/>
      <c r="CL395" s="1309"/>
      <c r="CM395" s="1309"/>
      <c r="CN395" s="737"/>
      <c r="CO395" s="1309"/>
      <c r="CP395" s="1309"/>
      <c r="CQ395" s="737"/>
      <c r="CR395" s="1309"/>
      <c r="CS395" s="1309"/>
      <c r="CT395" s="1290"/>
      <c r="CW395" s="970" t="s">
        <v>881</v>
      </c>
      <c r="CX395" s="975" t="s">
        <v>821</v>
      </c>
      <c r="CY395" s="979" t="str" cm="1">
        <f t="array" ref="CY395">AE395</f>
        <v>Уголь длиннопламенный</v>
      </c>
      <c r="CZ395" s="979" t="str" cm="1">
        <f t="array" ref="CZ395">AF395</f>
        <v/>
      </c>
      <c r="DA395" s="976"/>
      <c r="DB395" s="976"/>
    </row>
    <row r="396" spans="1:106" s="1229" customFormat="1" ht="15" hidden="1" customHeight="1">
      <c r="A396" s="1155"/>
      <c r="B396" s="783"/>
      <c r="C396" s="1155"/>
      <c r="D396" s="1155"/>
      <c r="E396" s="676">
        <v>0</v>
      </c>
      <c r="F396" s="779" t="str" cm="1">
        <f t="array" aca="1" ref="F396" ca="1">OFFSET(G396,-1,-1)</f>
        <v>2</v>
      </c>
      <c r="G396" s="814"/>
      <c r="H396" s="814"/>
      <c r="I396" s="814"/>
      <c r="J396" s="814"/>
      <c r="K396" s="814"/>
      <c r="L396" s="779" t="b" cm="1">
        <f t="array" aca="1" ref="L396" ca="1">OFFSET(M396,-1,-1)</f>
        <v>0</v>
      </c>
      <c r="M396" s="814"/>
      <c r="N396" s="814"/>
      <c r="O396" s="814"/>
      <c r="P396" s="814"/>
      <c r="Q396" s="814"/>
      <c r="R396" s="1155"/>
      <c r="S396" s="110" t="b" cm="1">
        <f t="array" aca="1" ref="S396" ca="1">OFFSET(T396,-1,-1)</f>
        <v>1</v>
      </c>
      <c r="T396" s="1155"/>
      <c r="U396" s="698" t="b">
        <f t="shared" ca="1" si="391"/>
        <v>1</v>
      </c>
      <c r="V396" s="1155"/>
      <c r="W396" s="1155"/>
      <c r="X396" s="820" t="str">
        <f>"{                  
         funcDyn: 'msg1',
         blok: 'blok_2',
         wsCross: 'Топливо 4.4',
         linkFormula: 'AE-AE#AF-AF',
         levelDyn: "&amp;Y300&amp;"
}"</f>
        <v>{                  
         funcDyn: 'msg1',
         blok: 'blok_2',
         wsCross: 'Топливо 4.4',
         linkFormula: 'AE-AE#AF-AF',
         levelDyn: 2
}</v>
      </c>
      <c r="Y396" s="1687"/>
      <c r="Z396" s="1687"/>
      <c r="AA396" s="699"/>
      <c r="AB396" s="1784"/>
      <c r="AD396" s="823"/>
      <c r="AE396" s="822" t="s">
        <v>238</v>
      </c>
      <c r="AF396" s="745"/>
      <c r="AG396" s="733"/>
      <c r="AH396" s="746"/>
      <c r="AI396" s="50"/>
      <c r="AJ396" s="50"/>
      <c r="AK396" s="50"/>
      <c r="AL396" s="737"/>
      <c r="AM396" s="50"/>
      <c r="AN396" s="50"/>
      <c r="AO396" s="737"/>
      <c r="AP396" s="50"/>
      <c r="AQ396" s="50"/>
      <c r="AR396" s="737"/>
      <c r="AS396" s="50"/>
      <c r="AT396" s="50"/>
      <c r="AU396" s="737"/>
      <c r="AV396" s="50"/>
      <c r="AW396" s="50"/>
      <c r="AX396" s="737"/>
      <c r="AY396" s="50"/>
      <c r="AZ396" s="50"/>
      <c r="BA396" s="737"/>
      <c r="BB396" s="50"/>
      <c r="BC396" s="50"/>
      <c r="BD396" s="737"/>
      <c r="BE396" s="50"/>
      <c r="BF396" s="50"/>
      <c r="BG396" s="737"/>
      <c r="BH396" s="50"/>
      <c r="BI396" s="50"/>
      <c r="BJ396" s="737"/>
      <c r="BK396" s="50"/>
      <c r="BL396" s="50"/>
      <c r="BM396" s="737"/>
      <c r="BN396" s="50"/>
      <c r="BO396" s="50"/>
      <c r="BP396" s="737"/>
      <c r="BQ396" s="50"/>
      <c r="BR396" s="50"/>
      <c r="BS396" s="737"/>
      <c r="BT396" s="50"/>
      <c r="BU396" s="50"/>
      <c r="BV396" s="737"/>
      <c r="BW396" s="50"/>
      <c r="BX396" s="50"/>
      <c r="BY396" s="737"/>
      <c r="BZ396" s="50"/>
      <c r="CA396" s="50"/>
      <c r="CB396" s="737"/>
      <c r="CC396" s="50"/>
      <c r="CD396" s="50"/>
      <c r="CE396" s="737"/>
      <c r="CF396" s="50"/>
      <c r="CG396" s="50"/>
      <c r="CH396" s="737"/>
      <c r="CI396" s="50"/>
      <c r="CJ396" s="50"/>
      <c r="CK396" s="737"/>
      <c r="CL396" s="50"/>
      <c r="CM396" s="50"/>
      <c r="CN396" s="737"/>
      <c r="CO396" s="50"/>
      <c r="CP396" s="50"/>
      <c r="CQ396" s="737"/>
      <c r="CR396" s="50"/>
      <c r="CS396" s="50"/>
      <c r="CT396" s="46"/>
      <c r="CW396" s="970" t="str">
        <f>IF(AND(ISNUMBER(VALUE(TRIM(SUBSTITUTE(AD396,".","")))),TRIM(SUBSTITUTE(AD396,".",""))&lt;&gt;""),"P"&amp;SUBSTITUTE(AD396,".",""),"")</f>
        <v/>
      </c>
      <c r="CX396" s="975"/>
      <c r="CY396" s="975"/>
      <c r="CZ396" s="975"/>
      <c r="DA396" s="976"/>
      <c r="DB396" s="976"/>
    </row>
    <row r="397" spans="1:106" s="1229" customFormat="1" ht="16.5" customHeight="1">
      <c r="A397" s="1155"/>
      <c r="B397" s="783"/>
      <c r="C397" s="1155"/>
      <c r="D397" s="1155"/>
      <c r="E397" s="676">
        <v>17.100000000000001</v>
      </c>
      <c r="F397" s="779" t="str" cm="1">
        <f t="array" aca="1" ref="F397" ca="1">OFFSET(G397,-1,-1)</f>
        <v>2</v>
      </c>
      <c r="G397" s="814"/>
      <c r="H397" s="814"/>
      <c r="I397" s="814"/>
      <c r="J397" s="814"/>
      <c r="K397" s="814"/>
      <c r="L397" s="779" t="b" cm="1">
        <f t="array" aca="1" ref="L397" ca="1">OFFSET(M397,-1,-1)</f>
        <v>0</v>
      </c>
      <c r="M397" s="814"/>
      <c r="N397" s="814"/>
      <c r="O397" s="814"/>
      <c r="P397" s="814"/>
      <c r="Q397" s="814"/>
      <c r="R397" s="1155"/>
      <c r="S397" s="110" t="b" cm="1">
        <f t="array" aca="1" ref="S397" ca="1">OFFSET(T397,-1,-1)</f>
        <v>1</v>
      </c>
      <c r="T397" s="1155"/>
      <c r="U397" s="698" t="b">
        <f t="shared" ca="1" si="391"/>
        <v>1</v>
      </c>
      <c r="V397" s="1155"/>
      <c r="W397" s="1155"/>
      <c r="X397" s="1155"/>
      <c r="Y397" s="1687"/>
      <c r="Z397" s="1687"/>
      <c r="AA397" s="699"/>
      <c r="AB397" s="1784"/>
      <c r="AD397" s="124" t="s">
        <v>883</v>
      </c>
      <c r="AE397" s="1754" t="s">
        <v>884</v>
      </c>
      <c r="AF397" s="1734"/>
      <c r="AG397" s="849"/>
      <c r="AH397" s="735"/>
      <c r="AI397" s="737"/>
      <c r="AJ397" s="737"/>
      <c r="AK397" s="737"/>
      <c r="AL397" s="737"/>
      <c r="AM397" s="737"/>
      <c r="AN397" s="737"/>
      <c r="AO397" s="737"/>
      <c r="AP397" s="737"/>
      <c r="AQ397" s="737"/>
      <c r="AR397" s="737"/>
      <c r="AS397" s="737"/>
      <c r="AT397" s="737"/>
      <c r="AU397" s="737"/>
      <c r="AV397" s="737"/>
      <c r="AW397" s="737"/>
      <c r="AX397" s="737"/>
      <c r="AY397" s="737"/>
      <c r="AZ397" s="737"/>
      <c r="BA397" s="737"/>
      <c r="BB397" s="737"/>
      <c r="BC397" s="737"/>
      <c r="BD397" s="737"/>
      <c r="BE397" s="737"/>
      <c r="BF397" s="737"/>
      <c r="BG397" s="737"/>
      <c r="BH397" s="737"/>
      <c r="BI397" s="737"/>
      <c r="BJ397" s="737"/>
      <c r="BK397" s="737"/>
      <c r="BL397" s="737"/>
      <c r="BM397" s="737"/>
      <c r="BN397" s="737"/>
      <c r="BO397" s="737"/>
      <c r="BP397" s="737"/>
      <c r="BQ397" s="737"/>
      <c r="BR397" s="737"/>
      <c r="BS397" s="737"/>
      <c r="BT397" s="737"/>
      <c r="BU397" s="737"/>
      <c r="BV397" s="737"/>
      <c r="BW397" s="737"/>
      <c r="BX397" s="737"/>
      <c r="BY397" s="737"/>
      <c r="BZ397" s="737"/>
      <c r="CA397" s="737"/>
      <c r="CB397" s="737"/>
      <c r="CC397" s="737"/>
      <c r="CD397" s="737"/>
      <c r="CE397" s="737"/>
      <c r="CF397" s="737"/>
      <c r="CG397" s="737"/>
      <c r="CH397" s="737"/>
      <c r="CI397" s="737"/>
      <c r="CJ397" s="737"/>
      <c r="CK397" s="737"/>
      <c r="CL397" s="737"/>
      <c r="CM397" s="737"/>
      <c r="CN397" s="737"/>
      <c r="CO397" s="737"/>
      <c r="CP397" s="737"/>
      <c r="CQ397" s="737"/>
      <c r="CR397" s="737"/>
      <c r="CS397" s="737"/>
      <c r="CT397" s="1290"/>
      <c r="CW397" s="970" t="s">
        <v>885</v>
      </c>
      <c r="CX397" s="975"/>
      <c r="CY397" s="975"/>
      <c r="CZ397" s="975"/>
      <c r="DA397" s="976"/>
      <c r="DB397" s="976"/>
    </row>
    <row r="398" spans="1:106" s="1229" customFormat="1" ht="16.5" hidden="1" customHeight="1">
      <c r="E398" s="676">
        <v>17.100000000000001</v>
      </c>
      <c r="F398" s="779" t="str" cm="1">
        <f t="array" aca="1" ref="F398" ca="1">OFFSET(G398,-1,-1)</f>
        <v>2</v>
      </c>
      <c r="L398" s="779" t="b" cm="1">
        <f t="array" aca="1" ref="L398" ca="1">OFFSET(M398,-1,-1)</f>
        <v>0</v>
      </c>
      <c r="S398" s="110" t="b" cm="1">
        <f t="array" aca="1" ref="S398" ca="1">OFFSET(T398,-1,-1)</f>
        <v>1</v>
      </c>
      <c r="T398" s="110" t="b">
        <f>AD398&lt;&gt;"35.0"</f>
        <v>0</v>
      </c>
      <c r="U398" s="698" t="b">
        <f t="shared" ca="1" si="391"/>
        <v>0</v>
      </c>
      <c r="X398" s="110" t="s">
        <v>236</v>
      </c>
      <c r="Y398" s="1722"/>
      <c r="Z398" s="1722"/>
      <c r="AB398" s="1784"/>
      <c r="AD398" s="111" t="s">
        <v>886</v>
      </c>
      <c r="AE398" s="821"/>
      <c r="AF398" s="524"/>
      <c r="AG398" s="894" t="str">
        <f>"руб./"&amp;IFERROR(INDEX(fuel_ed_izm_list,MATCH(AE398,fuel_list,0)),"")</f>
        <v>руб./</v>
      </c>
      <c r="AH398" s="41">
        <f t="shared" ref="AH398:AL399" si="409">IFERROR(AH403/AH339,0)*1000</f>
        <v>0</v>
      </c>
      <c r="AI398" s="41">
        <f t="shared" si="409"/>
        <v>0</v>
      </c>
      <c r="AJ398" s="41">
        <f t="shared" si="409"/>
        <v>0</v>
      </c>
      <c r="AK398" s="41">
        <f t="shared" si="409"/>
        <v>0</v>
      </c>
      <c r="AL398" s="736">
        <f t="shared" ca="1" si="409"/>
        <v>0</v>
      </c>
      <c r="AM398" s="42"/>
      <c r="AN398" s="42"/>
      <c r="AO398" s="736">
        <f ca="1">IFERROR(AO403/AO339,0)*1000</f>
        <v>0</v>
      </c>
      <c r="AP398" s="826"/>
      <c r="AQ398" s="826"/>
      <c r="AR398" s="736">
        <f ca="1">IFERROR(AR403/AR339,0)*1000</f>
        <v>0</v>
      </c>
      <c r="AS398" s="826"/>
      <c r="AT398" s="826"/>
      <c r="AU398" s="736">
        <f ca="1">IFERROR(AU403/AU339,0)*1000</f>
        <v>0</v>
      </c>
      <c r="AV398" s="826"/>
      <c r="AW398" s="826"/>
      <c r="AX398" s="736">
        <f ca="1">IFERROR(AX403/AX339,0)*1000</f>
        <v>0</v>
      </c>
      <c r="AY398" s="826"/>
      <c r="AZ398" s="826"/>
      <c r="BA398" s="736">
        <f ca="1">IFERROR(BA403/BA339,0)*1000</f>
        <v>0</v>
      </c>
      <c r="BB398" s="42"/>
      <c r="BC398" s="42"/>
      <c r="BD398" s="736">
        <f ca="1">IFERROR(BD403/BD339,0)*1000</f>
        <v>0</v>
      </c>
      <c r="BE398" s="42"/>
      <c r="BF398" s="42"/>
      <c r="BG398" s="736">
        <f ca="1">IFERROR(BG403/BG339,0)*1000</f>
        <v>0</v>
      </c>
      <c r="BH398" s="42"/>
      <c r="BI398" s="42"/>
      <c r="BJ398" s="736">
        <f ca="1">IFERROR(BJ403/BJ339,0)*1000</f>
        <v>0</v>
      </c>
      <c r="BK398" s="42"/>
      <c r="BL398" s="42"/>
      <c r="BM398" s="736">
        <f ca="1">IFERROR(BM403/BM339,0)*1000</f>
        <v>0</v>
      </c>
      <c r="BN398" s="42"/>
      <c r="BO398" s="42"/>
      <c r="BP398" s="736">
        <f ca="1">IFERROR(BP403/BP339,0)*1000</f>
        <v>0</v>
      </c>
      <c r="BQ398" s="826"/>
      <c r="BR398" s="826"/>
      <c r="BS398" s="736">
        <f ca="1">IFERROR(BS403/BS339,0)*1000</f>
        <v>0</v>
      </c>
      <c r="BT398" s="826"/>
      <c r="BU398" s="826"/>
      <c r="BV398" s="736">
        <f ca="1">IFERROR(BV403/BV339,0)*1000</f>
        <v>0</v>
      </c>
      <c r="BW398" s="826"/>
      <c r="BX398" s="826"/>
      <c r="BY398" s="736">
        <f ca="1">IFERROR(BY403/BY339,0)*1000</f>
        <v>0</v>
      </c>
      <c r="BZ398" s="826"/>
      <c r="CA398" s="826"/>
      <c r="CB398" s="736">
        <f ca="1">IFERROR(CB403/CB339,0)*1000</f>
        <v>0</v>
      </c>
      <c r="CC398" s="826"/>
      <c r="CD398" s="826"/>
      <c r="CE398" s="736">
        <f ca="1">IFERROR(CE403/CE339,0)*1000</f>
        <v>0</v>
      </c>
      <c r="CF398" s="42"/>
      <c r="CG398" s="42"/>
      <c r="CH398" s="736">
        <f ca="1">IFERROR(CH403/CH339,0)*1000</f>
        <v>0</v>
      </c>
      <c r="CI398" s="42"/>
      <c r="CJ398" s="42"/>
      <c r="CK398" s="736">
        <f ca="1">IFERROR(CK403/CK339,0)*1000</f>
        <v>0</v>
      </c>
      <c r="CL398" s="42"/>
      <c r="CM398" s="42"/>
      <c r="CN398" s="736">
        <f ca="1">IFERROR(CN403/CN339,0)*1000</f>
        <v>0</v>
      </c>
      <c r="CO398" s="42"/>
      <c r="CP398" s="42"/>
      <c r="CQ398" s="736">
        <f ca="1">IFERROR(CQ403/CQ339,0)*1000</f>
        <v>0</v>
      </c>
      <c r="CR398" s="42"/>
      <c r="CS398" s="42"/>
      <c r="CT398" s="28"/>
      <c r="CW398" s="970" t="s">
        <v>885</v>
      </c>
      <c r="CX398" s="975" t="s">
        <v>821</v>
      </c>
      <c r="CY398" s="979" cm="1">
        <f t="array" ref="CY398">AE398</f>
        <v>0</v>
      </c>
      <c r="CZ398" s="979" cm="1">
        <f t="array" ref="CZ398">AF398</f>
        <v>0</v>
      </c>
      <c r="DA398" s="976"/>
      <c r="DB398" s="976"/>
    </row>
    <row r="399" spans="1:106" s="1229" customFormat="1" ht="16.5" customHeight="1">
      <c r="E399" s="676">
        <v>17.100000000000001</v>
      </c>
      <c r="F399" s="779" t="str" cm="1">
        <f t="array" aca="1" ref="F399" ca="1">OFFSET(G399,-1,-1)</f>
        <v>2</v>
      </c>
      <c r="L399" s="779" t="b" cm="1">
        <f t="array" aca="1" ref="L399" ca="1">OFFSET(M399,-1,-1)</f>
        <v>0</v>
      </c>
      <c r="S399" s="110" t="b" cm="1">
        <f t="array" aca="1" ref="S399" ca="1">OFFSET(T399,-1,-1)</f>
        <v>1</v>
      </c>
      <c r="T399" s="110" t="b">
        <f>AD399&lt;&gt;"35.0"</f>
        <v>1</v>
      </c>
      <c r="U399" s="698" t="b">
        <f t="shared" ca="1" si="391"/>
        <v>1</v>
      </c>
      <c r="X399" s="110" t="str">
        <f>'Топливо 4.4'!$AE$395&amp;'Топливо 4.4'!$AF$395</f>
        <v>Уголь длиннопламенный</v>
      </c>
      <c r="Y399" s="1722"/>
      <c r="Z399" s="1722"/>
      <c r="AB399" s="1784"/>
      <c r="AD399" s="111" t="s">
        <v>965</v>
      </c>
      <c r="AE399" s="821" t="str" cm="1">
        <f t="array" ref="AE399">IF(ISBLANK('Топливо 4.4'!$AE$395),"",'Топливо 4.4'!$AE$395)</f>
        <v>Уголь длиннопламенный</v>
      </c>
      <c r="AF399" s="524" t="str" cm="1">
        <f t="array" ref="AF399">IF(ISBLANK('Топливо 4.4'!$AF$395),"",'Топливо 4.4'!$AF$395)</f>
        <v/>
      </c>
      <c r="AG399" s="894" t="str">
        <f>"руб./"&amp;IFERROR(INDEX(fuel_ed_izm_list,MATCH(AE399,fuel_list,0)),"")</f>
        <v>руб./тнт</v>
      </c>
      <c r="AH399" s="1303">
        <f t="shared" si="409"/>
        <v>0</v>
      </c>
      <c r="AI399" s="1303">
        <f t="shared" si="409"/>
        <v>0</v>
      </c>
      <c r="AJ399" s="1303">
        <f t="shared" si="409"/>
        <v>0</v>
      </c>
      <c r="AK399" s="1303">
        <f t="shared" si="409"/>
        <v>84.707082297443762</v>
      </c>
      <c r="AL399" s="736">
        <f t="shared" ca="1" si="409"/>
        <v>0</v>
      </c>
      <c r="AM399" s="1302"/>
      <c r="AN399" s="1302"/>
      <c r="AO399" s="736">
        <f ca="1">IFERROR(AO404/AO340,0)*1000</f>
        <v>0</v>
      </c>
      <c r="AP399" s="826"/>
      <c r="AQ399" s="826"/>
      <c r="AR399" s="736">
        <f ca="1">IFERROR(AR404/AR340,0)*1000</f>
        <v>0</v>
      </c>
      <c r="AS399" s="826"/>
      <c r="AT399" s="826"/>
      <c r="AU399" s="736">
        <f ca="1">IFERROR(AU404/AU340,0)*1000</f>
        <v>0</v>
      </c>
      <c r="AV399" s="826"/>
      <c r="AW399" s="826"/>
      <c r="AX399" s="736">
        <f ca="1">IFERROR(AX404/AX340,0)*1000</f>
        <v>0</v>
      </c>
      <c r="AY399" s="826"/>
      <c r="AZ399" s="826"/>
      <c r="BA399" s="736">
        <f ca="1">IFERROR(BA404/BA340,0)*1000</f>
        <v>0</v>
      </c>
      <c r="BB399" s="1302"/>
      <c r="BC399" s="1302"/>
      <c r="BD399" s="736">
        <f ca="1">IFERROR(BD404/BD340,0)*1000</f>
        <v>0</v>
      </c>
      <c r="BE399" s="1302"/>
      <c r="BF399" s="1302"/>
      <c r="BG399" s="736">
        <f ca="1">IFERROR(BG404/BG340,0)*1000</f>
        <v>0</v>
      </c>
      <c r="BH399" s="1302"/>
      <c r="BI399" s="1302"/>
      <c r="BJ399" s="736">
        <f ca="1">IFERROR(BJ404/BJ340,0)*1000</f>
        <v>0</v>
      </c>
      <c r="BK399" s="1302"/>
      <c r="BL399" s="1302"/>
      <c r="BM399" s="736">
        <f ca="1">IFERROR(BM404/BM340,0)*1000</f>
        <v>0</v>
      </c>
      <c r="BN399" s="1302"/>
      <c r="BO399" s="1302"/>
      <c r="BP399" s="736">
        <f ca="1">IFERROR(BP404/BP340,0)*1000</f>
        <v>82.941586256899981</v>
      </c>
      <c r="BQ399" s="826">
        <v>82.941586256899996</v>
      </c>
      <c r="BR399" s="826" cm="1">
        <f t="array" ref="BR399">BQ399</f>
        <v>82.941586256899996</v>
      </c>
      <c r="BS399" s="736">
        <f ca="1">IFERROR(BS404/BS340,0)*1000</f>
        <v>0</v>
      </c>
      <c r="BT399" s="826"/>
      <c r="BU399" s="826"/>
      <c r="BV399" s="736">
        <f ca="1">IFERROR(BV404/BV340,0)*1000</f>
        <v>0</v>
      </c>
      <c r="BW399" s="826"/>
      <c r="BX399" s="826"/>
      <c r="BY399" s="736">
        <f ca="1">IFERROR(BY404/BY340,0)*1000</f>
        <v>0</v>
      </c>
      <c r="BZ399" s="826"/>
      <c r="CA399" s="826"/>
      <c r="CB399" s="736">
        <f ca="1">IFERROR(CB404/CB340,0)*1000</f>
        <v>0</v>
      </c>
      <c r="CC399" s="826"/>
      <c r="CD399" s="826"/>
      <c r="CE399" s="736">
        <f ca="1">IFERROR(CE404/CE340,0)*1000</f>
        <v>0</v>
      </c>
      <c r="CF399" s="1302"/>
      <c r="CG399" s="1302"/>
      <c r="CH399" s="736">
        <f ca="1">IFERROR(CH404/CH340,0)*1000</f>
        <v>0</v>
      </c>
      <c r="CI399" s="1302"/>
      <c r="CJ399" s="1302"/>
      <c r="CK399" s="736">
        <f ca="1">IFERROR(CK404/CK340,0)*1000</f>
        <v>0</v>
      </c>
      <c r="CL399" s="1302"/>
      <c r="CM399" s="1302"/>
      <c r="CN399" s="736">
        <f ca="1">IFERROR(CN404/CN340,0)*1000</f>
        <v>0</v>
      </c>
      <c r="CO399" s="1302"/>
      <c r="CP399" s="1302"/>
      <c r="CQ399" s="736">
        <f ca="1">IFERROR(CQ404/CQ340,0)*1000</f>
        <v>0</v>
      </c>
      <c r="CR399" s="1302"/>
      <c r="CS399" s="1302"/>
      <c r="CT399" s="1290"/>
      <c r="CW399" s="970" t="s">
        <v>885</v>
      </c>
      <c r="CX399" s="975" t="s">
        <v>821</v>
      </c>
      <c r="CY399" s="979" t="str" cm="1">
        <f t="array" ref="CY399">AE399</f>
        <v>Уголь длиннопламенный</v>
      </c>
      <c r="CZ399" s="979" t="str" cm="1">
        <f t="array" ref="CZ399">AF399</f>
        <v/>
      </c>
      <c r="DA399" s="976"/>
      <c r="DB399" s="976"/>
    </row>
    <row r="400" spans="1:106" s="1229" customFormat="1" ht="15" hidden="1" customHeight="1">
      <c r="A400" s="1155"/>
      <c r="B400" s="783"/>
      <c r="C400" s="1155"/>
      <c r="D400" s="1155"/>
      <c r="E400" s="676">
        <v>0</v>
      </c>
      <c r="F400" s="779" t="str" cm="1">
        <f t="array" aca="1" ref="F400" ca="1">OFFSET(G400,-1,-1)</f>
        <v>2</v>
      </c>
      <c r="G400" s="814"/>
      <c r="H400" s="814"/>
      <c r="I400" s="814"/>
      <c r="J400" s="814"/>
      <c r="K400" s="814"/>
      <c r="L400" s="779" t="b" cm="1">
        <f t="array" aca="1" ref="L400" ca="1">OFFSET(M400,-1,-1)</f>
        <v>0</v>
      </c>
      <c r="M400" s="814"/>
      <c r="N400" s="814"/>
      <c r="O400" s="814"/>
      <c r="P400" s="814"/>
      <c r="Q400" s="814"/>
      <c r="R400" s="1155"/>
      <c r="S400" s="110" t="b" cm="1">
        <f t="array" aca="1" ref="S400" ca="1">OFFSET(T400,-1,-1)</f>
        <v>1</v>
      </c>
      <c r="T400" s="1155"/>
      <c r="U400" s="698" t="b">
        <f t="shared" ca="1" si="391"/>
        <v>1</v>
      </c>
      <c r="V400" s="1155"/>
      <c r="W400" s="1155"/>
      <c r="X400" s="820" t="str">
        <f>"{                  
         funcDyn: 'msg1',
         blok: 'blok_2',
         wsCross: 'Топливо 4.4',
         linkFormula: 'AE-AE#AF-AF',
         levelDyn: "&amp;Y300&amp;"
}"</f>
        <v>{                  
         funcDyn: 'msg1',
         blok: 'blok_2',
         wsCross: 'Топливо 4.4',
         linkFormula: 'AE-AE#AF-AF',
         levelDyn: 2
}</v>
      </c>
      <c r="Y400" s="1687"/>
      <c r="Z400" s="1687"/>
      <c r="AA400" s="699"/>
      <c r="AB400" s="1784"/>
      <c r="AD400" s="823"/>
      <c r="AE400" s="822" t="s">
        <v>238</v>
      </c>
      <c r="AF400" s="745"/>
      <c r="AG400" s="733"/>
      <c r="AH400" s="735"/>
      <c r="AI400" s="737"/>
      <c r="AJ400" s="737"/>
      <c r="AK400" s="737"/>
      <c r="AL400" s="737"/>
      <c r="AM400" s="737"/>
      <c r="AN400" s="737"/>
      <c r="AO400" s="737"/>
      <c r="AP400" s="737"/>
      <c r="AQ400" s="737"/>
      <c r="AR400" s="737"/>
      <c r="AS400" s="737"/>
      <c r="AT400" s="737"/>
      <c r="AU400" s="737"/>
      <c r="AV400" s="737"/>
      <c r="AW400" s="737"/>
      <c r="AX400" s="737"/>
      <c r="AY400" s="737"/>
      <c r="AZ400" s="737"/>
      <c r="BA400" s="737"/>
      <c r="BB400" s="737"/>
      <c r="BC400" s="737"/>
      <c r="BD400" s="737"/>
      <c r="BE400" s="737"/>
      <c r="BF400" s="737"/>
      <c r="BG400" s="737"/>
      <c r="BH400" s="737"/>
      <c r="BI400" s="737"/>
      <c r="BJ400" s="737"/>
      <c r="BK400" s="737"/>
      <c r="BL400" s="737"/>
      <c r="BM400" s="737"/>
      <c r="BN400" s="737"/>
      <c r="BO400" s="737"/>
      <c r="BP400" s="737"/>
      <c r="BQ400" s="737"/>
      <c r="BR400" s="737"/>
      <c r="BS400" s="737"/>
      <c r="BT400" s="737"/>
      <c r="BU400" s="737"/>
      <c r="BV400" s="737"/>
      <c r="BW400" s="737"/>
      <c r="BX400" s="737"/>
      <c r="BY400" s="737"/>
      <c r="BZ400" s="737"/>
      <c r="CA400" s="737"/>
      <c r="CB400" s="737"/>
      <c r="CC400" s="737"/>
      <c r="CD400" s="737"/>
      <c r="CE400" s="737"/>
      <c r="CF400" s="737"/>
      <c r="CG400" s="737"/>
      <c r="CH400" s="737"/>
      <c r="CI400" s="737"/>
      <c r="CJ400" s="737"/>
      <c r="CK400" s="737"/>
      <c r="CL400" s="737"/>
      <c r="CM400" s="737"/>
      <c r="CN400" s="737"/>
      <c r="CO400" s="737"/>
      <c r="CP400" s="737"/>
      <c r="CQ400" s="737"/>
      <c r="CR400" s="737"/>
      <c r="CS400" s="737"/>
      <c r="CT400" s="46"/>
      <c r="CW400" s="970" t="str">
        <f>IF(AND(ISNUMBER(VALUE(TRIM(SUBSTITUTE(AD400,".","")))),TRIM(SUBSTITUTE(AD400,".",""))&lt;&gt;""),"P"&amp;SUBSTITUTE(AD400,".",""),"")</f>
        <v/>
      </c>
      <c r="CX400" s="975"/>
      <c r="CY400" s="975"/>
      <c r="CZ400" s="975"/>
      <c r="DA400" s="976"/>
      <c r="DB400" s="976"/>
    </row>
    <row r="401" spans="1:106" s="1229" customFormat="1" ht="16.5" customHeight="1">
      <c r="A401" s="1155"/>
      <c r="B401" s="783"/>
      <c r="C401" s="1155"/>
      <c r="D401" s="1155"/>
      <c r="E401" s="676">
        <v>17.100000000000001</v>
      </c>
      <c r="F401" s="779" t="str" cm="1">
        <f t="array" aca="1" ref="F401" ca="1">OFFSET(G401,-1,-1)</f>
        <v>2</v>
      </c>
      <c r="G401" s="814"/>
      <c r="H401" s="814"/>
      <c r="I401" s="814"/>
      <c r="J401" s="814"/>
      <c r="K401" s="814"/>
      <c r="L401" s="779" t="b" cm="1">
        <f t="array" aca="1" ref="L401" ca="1">OFFSET(M401,-1,-1)</f>
        <v>0</v>
      </c>
      <c r="M401" s="814"/>
      <c r="N401" s="814"/>
      <c r="O401" s="814"/>
      <c r="P401" s="814"/>
      <c r="Q401" s="814"/>
      <c r="R401" s="1155"/>
      <c r="S401" s="110" t="b" cm="1">
        <f t="array" aca="1" ref="S401" ca="1">OFFSET(T401,-1,-1)</f>
        <v>1</v>
      </c>
      <c r="T401" s="1155"/>
      <c r="U401" s="698" t="b">
        <f t="shared" ca="1" si="391"/>
        <v>1</v>
      </c>
      <c r="V401" s="1155"/>
      <c r="W401" s="1155"/>
      <c r="X401" s="1155"/>
      <c r="Y401" s="1687"/>
      <c r="Z401" s="1687"/>
      <c r="AA401" s="699"/>
      <c r="AB401" s="1784"/>
      <c r="AD401" s="124" t="s">
        <v>887</v>
      </c>
      <c r="AE401" s="1754" t="s">
        <v>888</v>
      </c>
      <c r="AF401" s="1734"/>
      <c r="AG401" s="733" t="s">
        <v>839</v>
      </c>
      <c r="AH401" s="734">
        <f t="shared" ref="AH401:BM401" si="410">SUM(AH403:AH405)</f>
        <v>0</v>
      </c>
      <c r="AI401" s="734">
        <f t="shared" si="410"/>
        <v>0</v>
      </c>
      <c r="AJ401" s="734">
        <f t="shared" si="410"/>
        <v>0</v>
      </c>
      <c r="AK401" s="734">
        <f t="shared" si="410"/>
        <v>2657.6</v>
      </c>
      <c r="AL401" s="734">
        <f t="shared" ca="1" si="410"/>
        <v>0</v>
      </c>
      <c r="AM401" s="734">
        <f t="shared" si="410"/>
        <v>0</v>
      </c>
      <c r="AN401" s="734">
        <f t="shared" ca="1" si="410"/>
        <v>0</v>
      </c>
      <c r="AO401" s="734">
        <f t="shared" ca="1" si="410"/>
        <v>0</v>
      </c>
      <c r="AP401" s="734">
        <f t="shared" si="410"/>
        <v>0</v>
      </c>
      <c r="AQ401" s="734">
        <f t="shared" ca="1" si="410"/>
        <v>0</v>
      </c>
      <c r="AR401" s="734">
        <f t="shared" ca="1" si="410"/>
        <v>0</v>
      </c>
      <c r="AS401" s="734">
        <f t="shared" si="410"/>
        <v>0</v>
      </c>
      <c r="AT401" s="734">
        <f t="shared" ca="1" si="410"/>
        <v>0</v>
      </c>
      <c r="AU401" s="734">
        <f t="shared" ca="1" si="410"/>
        <v>0</v>
      </c>
      <c r="AV401" s="734">
        <f t="shared" si="410"/>
        <v>0</v>
      </c>
      <c r="AW401" s="734">
        <f t="shared" ca="1" si="410"/>
        <v>0</v>
      </c>
      <c r="AX401" s="734">
        <f t="shared" ca="1" si="410"/>
        <v>0</v>
      </c>
      <c r="AY401" s="734">
        <f t="shared" si="410"/>
        <v>0</v>
      </c>
      <c r="AZ401" s="734">
        <f t="shared" ca="1" si="410"/>
        <v>0</v>
      </c>
      <c r="BA401" s="734">
        <f t="shared" ca="1" si="410"/>
        <v>0</v>
      </c>
      <c r="BB401" s="734">
        <f t="shared" si="410"/>
        <v>0</v>
      </c>
      <c r="BC401" s="734">
        <f t="shared" ca="1" si="410"/>
        <v>0</v>
      </c>
      <c r="BD401" s="734">
        <f t="shared" ca="1" si="410"/>
        <v>0</v>
      </c>
      <c r="BE401" s="734">
        <f t="shared" si="410"/>
        <v>0</v>
      </c>
      <c r="BF401" s="734">
        <f t="shared" ca="1" si="410"/>
        <v>0</v>
      </c>
      <c r="BG401" s="734">
        <f t="shared" ca="1" si="410"/>
        <v>0</v>
      </c>
      <c r="BH401" s="734">
        <f t="shared" si="410"/>
        <v>0</v>
      </c>
      <c r="BI401" s="734">
        <f t="shared" ca="1" si="410"/>
        <v>0</v>
      </c>
      <c r="BJ401" s="734">
        <f t="shared" ca="1" si="410"/>
        <v>0</v>
      </c>
      <c r="BK401" s="734">
        <f t="shared" si="410"/>
        <v>0</v>
      </c>
      <c r="BL401" s="734">
        <f t="shared" ca="1" si="410"/>
        <v>0</v>
      </c>
      <c r="BM401" s="734">
        <f t="shared" ca="1" si="410"/>
        <v>0</v>
      </c>
      <c r="BN401" s="734">
        <f t="shared" ref="BN401:CS401" si="411">SUM(BN403:BN405)</f>
        <v>0</v>
      </c>
      <c r="BO401" s="734">
        <f t="shared" ca="1" si="411"/>
        <v>0</v>
      </c>
      <c r="BP401" s="734">
        <f t="shared" ca="1" si="411"/>
        <v>2797.9101385110898</v>
      </c>
      <c r="BQ401" s="734">
        <f t="shared" si="411"/>
        <v>1996.8684658553648</v>
      </c>
      <c r="BR401" s="734">
        <f t="shared" ca="1" si="411"/>
        <v>801.04167265572494</v>
      </c>
      <c r="BS401" s="734">
        <f t="shared" ca="1" si="411"/>
        <v>0</v>
      </c>
      <c r="BT401" s="734">
        <f t="shared" si="411"/>
        <v>0</v>
      </c>
      <c r="BU401" s="734">
        <f t="shared" ca="1" si="411"/>
        <v>0</v>
      </c>
      <c r="BV401" s="734">
        <f t="shared" ca="1" si="411"/>
        <v>0</v>
      </c>
      <c r="BW401" s="734">
        <f t="shared" si="411"/>
        <v>0</v>
      </c>
      <c r="BX401" s="734">
        <f t="shared" ca="1" si="411"/>
        <v>0</v>
      </c>
      <c r="BY401" s="734">
        <f t="shared" ca="1" si="411"/>
        <v>0</v>
      </c>
      <c r="BZ401" s="734">
        <f t="shared" si="411"/>
        <v>0</v>
      </c>
      <c r="CA401" s="734">
        <f t="shared" ca="1" si="411"/>
        <v>0</v>
      </c>
      <c r="CB401" s="734">
        <f t="shared" ca="1" si="411"/>
        <v>0</v>
      </c>
      <c r="CC401" s="734">
        <f t="shared" si="411"/>
        <v>0</v>
      </c>
      <c r="CD401" s="734">
        <f t="shared" ca="1" si="411"/>
        <v>0</v>
      </c>
      <c r="CE401" s="734">
        <f t="shared" ca="1" si="411"/>
        <v>0</v>
      </c>
      <c r="CF401" s="734">
        <f t="shared" si="411"/>
        <v>0</v>
      </c>
      <c r="CG401" s="734">
        <f t="shared" ca="1" si="411"/>
        <v>0</v>
      </c>
      <c r="CH401" s="734">
        <f t="shared" ca="1" si="411"/>
        <v>0</v>
      </c>
      <c r="CI401" s="734">
        <f t="shared" si="411"/>
        <v>0</v>
      </c>
      <c r="CJ401" s="734">
        <f t="shared" ca="1" si="411"/>
        <v>0</v>
      </c>
      <c r="CK401" s="734">
        <f t="shared" ca="1" si="411"/>
        <v>0</v>
      </c>
      <c r="CL401" s="734">
        <f t="shared" si="411"/>
        <v>0</v>
      </c>
      <c r="CM401" s="734">
        <f t="shared" ca="1" si="411"/>
        <v>0</v>
      </c>
      <c r="CN401" s="734">
        <f t="shared" ca="1" si="411"/>
        <v>0</v>
      </c>
      <c r="CO401" s="734">
        <f t="shared" si="411"/>
        <v>0</v>
      </c>
      <c r="CP401" s="734">
        <f t="shared" ca="1" si="411"/>
        <v>0</v>
      </c>
      <c r="CQ401" s="734">
        <f t="shared" ca="1" si="411"/>
        <v>0</v>
      </c>
      <c r="CR401" s="734">
        <f t="shared" si="411"/>
        <v>0</v>
      </c>
      <c r="CS401" s="734">
        <f t="shared" ca="1" si="411"/>
        <v>0</v>
      </c>
      <c r="CT401" s="1290"/>
      <c r="CW401" s="970" t="s">
        <v>889</v>
      </c>
      <c r="CX401" s="975"/>
      <c r="CY401" s="975"/>
      <c r="CZ401" s="975"/>
      <c r="DA401" s="976"/>
      <c r="DB401" s="976"/>
    </row>
    <row r="402" spans="1:106" s="1229" customFormat="1" ht="16.5" hidden="1" customHeight="1">
      <c r="A402" s="1155"/>
      <c r="B402" s="783"/>
      <c r="C402" s="1155"/>
      <c r="D402" s="1155"/>
      <c r="E402" s="676">
        <v>17.100000000000001</v>
      </c>
      <c r="F402" s="779" t="str" cm="1">
        <f t="array" aca="1" ref="F402" ca="1">OFFSET(G402,-1,-1)</f>
        <v>2</v>
      </c>
      <c r="G402" s="814"/>
      <c r="H402" s="814"/>
      <c r="I402" s="814"/>
      <c r="J402" s="814"/>
      <c r="K402" s="814"/>
      <c r="L402" s="779" t="b" cm="1">
        <f t="array" aca="1" ref="L402" ca="1">OFFSET(M402,-1,-1)</f>
        <v>0</v>
      </c>
      <c r="M402" s="814"/>
      <c r="N402" s="814"/>
      <c r="O402" s="814"/>
      <c r="P402" s="814"/>
      <c r="Q402" s="814"/>
      <c r="R402" s="779" t="s">
        <v>759</v>
      </c>
      <c r="S402" s="110" t="b" cm="1">
        <f t="array" aca="1" ref="S402" ca="1">OFFSET(T402,-1,-1)</f>
        <v>1</v>
      </c>
      <c r="T402" s="779" t="b">
        <v>0</v>
      </c>
      <c r="U402" s="698" t="b">
        <f t="shared" ca="1" si="391"/>
        <v>0</v>
      </c>
      <c r="V402" s="1155"/>
      <c r="W402" s="1155"/>
      <c r="X402" s="1155"/>
      <c r="Y402" s="1687"/>
      <c r="Z402" s="1687"/>
      <c r="AA402" s="699"/>
      <c r="AB402" s="1784"/>
      <c r="AD402" s="111" t="str">
        <f>AD401&amp;".0"</f>
        <v>36.0</v>
      </c>
      <c r="AE402" s="1755" t="s">
        <v>770</v>
      </c>
      <c r="AF402" s="1756"/>
      <c r="AG402" s="733" t="s">
        <v>839</v>
      </c>
      <c r="AH402" s="41">
        <f>AH$324*AH401</f>
        <v>0</v>
      </c>
      <c r="AI402" s="42">
        <f>AI$324*AI401</f>
        <v>0</v>
      </c>
      <c r="AJ402" s="42">
        <f>AJ$324*AJ401</f>
        <v>0</v>
      </c>
      <c r="AK402" s="42">
        <f>AK$324*AK401</f>
        <v>2657.6</v>
      </c>
      <c r="AL402" s="736">
        <f ca="1">AM402+AN402</f>
        <v>0</v>
      </c>
      <c r="AM402" s="42">
        <f>AM$324*AM401</f>
        <v>0</v>
      </c>
      <c r="AN402" s="42">
        <f ca="1">AN$324*AN401</f>
        <v>0</v>
      </c>
      <c r="AO402" s="736">
        <f ca="1">AP402+AQ402</f>
        <v>0</v>
      </c>
      <c r="AP402" s="826">
        <f>AP$324*AP401</f>
        <v>0</v>
      </c>
      <c r="AQ402" s="826">
        <f ca="1">AQ$324*AQ401</f>
        <v>0</v>
      </c>
      <c r="AR402" s="736">
        <f ca="1">AS402+AT402</f>
        <v>0</v>
      </c>
      <c r="AS402" s="826">
        <f>AS$324*AS401</f>
        <v>0</v>
      </c>
      <c r="AT402" s="826">
        <f ca="1">AT$324*AT401</f>
        <v>0</v>
      </c>
      <c r="AU402" s="736">
        <f ca="1">AV402+AW402</f>
        <v>0</v>
      </c>
      <c r="AV402" s="826">
        <f>AV$324*AV401</f>
        <v>0</v>
      </c>
      <c r="AW402" s="826">
        <f ca="1">AW$324*AW401</f>
        <v>0</v>
      </c>
      <c r="AX402" s="736">
        <f ca="1">AY402+AZ402</f>
        <v>0</v>
      </c>
      <c r="AY402" s="826">
        <f>AY$324*AY401</f>
        <v>0</v>
      </c>
      <c r="AZ402" s="826">
        <f ca="1">AZ$324*AZ401</f>
        <v>0</v>
      </c>
      <c r="BA402" s="736">
        <f ca="1">BB402+BC402</f>
        <v>0</v>
      </c>
      <c r="BB402" s="42">
        <f>BB$324*BB401</f>
        <v>0</v>
      </c>
      <c r="BC402" s="42">
        <f ca="1">BC$324*BC401</f>
        <v>0</v>
      </c>
      <c r="BD402" s="736">
        <f ca="1">BE402+BF402</f>
        <v>0</v>
      </c>
      <c r="BE402" s="42">
        <f>BE$324*BE401</f>
        <v>0</v>
      </c>
      <c r="BF402" s="42">
        <f ca="1">BF$324*BF401</f>
        <v>0</v>
      </c>
      <c r="BG402" s="736">
        <f ca="1">BH402+BI402</f>
        <v>0</v>
      </c>
      <c r="BH402" s="42">
        <f>BH$324*BH401</f>
        <v>0</v>
      </c>
      <c r="BI402" s="42">
        <f ca="1">BI$324*BI401</f>
        <v>0</v>
      </c>
      <c r="BJ402" s="736">
        <f ca="1">BK402+BL402</f>
        <v>0</v>
      </c>
      <c r="BK402" s="42">
        <f>BK$324*BK401</f>
        <v>0</v>
      </c>
      <c r="BL402" s="42">
        <f ca="1">BL$324*BL401</f>
        <v>0</v>
      </c>
      <c r="BM402" s="736">
        <f ca="1">BN402+BO402</f>
        <v>0</v>
      </c>
      <c r="BN402" s="42">
        <f>BN$324*BN401</f>
        <v>0</v>
      </c>
      <c r="BO402" s="42">
        <f ca="1">BO$324*BO401</f>
        <v>0</v>
      </c>
      <c r="BP402" s="736">
        <f ca="1">BQ402+BR402</f>
        <v>2797.9101385110898</v>
      </c>
      <c r="BQ402" s="826">
        <f>BQ$324*BQ401</f>
        <v>1996.8684658553648</v>
      </c>
      <c r="BR402" s="826">
        <f ca="1">BR$324*BR401</f>
        <v>801.04167265572494</v>
      </c>
      <c r="BS402" s="736">
        <f ca="1">BT402+BU402</f>
        <v>0</v>
      </c>
      <c r="BT402" s="826">
        <f>BT$324*BT401</f>
        <v>0</v>
      </c>
      <c r="BU402" s="826">
        <f ca="1">BU$324*BU401</f>
        <v>0</v>
      </c>
      <c r="BV402" s="736">
        <f ca="1">BW402+BX402</f>
        <v>0</v>
      </c>
      <c r="BW402" s="826">
        <f>BW$324*BW401</f>
        <v>0</v>
      </c>
      <c r="BX402" s="826">
        <f ca="1">BX$324*BX401</f>
        <v>0</v>
      </c>
      <c r="BY402" s="736">
        <f ca="1">BZ402+CA402</f>
        <v>0</v>
      </c>
      <c r="BZ402" s="826">
        <f>BZ$324*BZ401</f>
        <v>0</v>
      </c>
      <c r="CA402" s="826">
        <f ca="1">CA$324*CA401</f>
        <v>0</v>
      </c>
      <c r="CB402" s="736">
        <f ca="1">CC402+CD402</f>
        <v>0</v>
      </c>
      <c r="CC402" s="826">
        <f>CC$324*CC401</f>
        <v>0</v>
      </c>
      <c r="CD402" s="826">
        <f ca="1">CD$324*CD401</f>
        <v>0</v>
      </c>
      <c r="CE402" s="736">
        <f ca="1">CF402+CG402</f>
        <v>0</v>
      </c>
      <c r="CF402" s="42">
        <f>CF$324*CF401</f>
        <v>0</v>
      </c>
      <c r="CG402" s="42">
        <f ca="1">CG$324*CG401</f>
        <v>0</v>
      </c>
      <c r="CH402" s="736">
        <f ca="1">CI402+CJ402</f>
        <v>0</v>
      </c>
      <c r="CI402" s="42">
        <f>CI$324*CI401</f>
        <v>0</v>
      </c>
      <c r="CJ402" s="42">
        <f ca="1">CJ$324*CJ401</f>
        <v>0</v>
      </c>
      <c r="CK402" s="736">
        <f ca="1">CL402+CM402</f>
        <v>0</v>
      </c>
      <c r="CL402" s="42">
        <f>CL$324*CL401</f>
        <v>0</v>
      </c>
      <c r="CM402" s="42">
        <f ca="1">CM$324*CM401</f>
        <v>0</v>
      </c>
      <c r="CN402" s="736">
        <f ca="1">CO402+CP402</f>
        <v>0</v>
      </c>
      <c r="CO402" s="42">
        <f>CO$324*CO401</f>
        <v>0</v>
      </c>
      <c r="CP402" s="42">
        <f ca="1">CP$324*CP401</f>
        <v>0</v>
      </c>
      <c r="CQ402" s="736">
        <f ca="1">CR402+CS402</f>
        <v>0</v>
      </c>
      <c r="CR402" s="42">
        <f>CR$324*CR401</f>
        <v>0</v>
      </c>
      <c r="CS402" s="42">
        <f ca="1">CS$324*CS401</f>
        <v>0</v>
      </c>
      <c r="CT402" s="28"/>
      <c r="CW402" s="970" t="s">
        <v>890</v>
      </c>
      <c r="CX402" s="975"/>
      <c r="CY402" s="975"/>
      <c r="CZ402" s="975"/>
      <c r="DA402" s="976"/>
      <c r="DB402" s="976"/>
    </row>
    <row r="403" spans="1:106" s="1229" customFormat="1" ht="16.5" hidden="1" customHeight="1">
      <c r="E403" s="676">
        <v>17.100000000000001</v>
      </c>
      <c r="F403" s="779" t="str" cm="1">
        <f t="array" aca="1" ref="F403" ca="1">OFFSET(G403,-1,-1)</f>
        <v>2</v>
      </c>
      <c r="L403" s="779" t="b" cm="1">
        <f t="array" aca="1" ref="L403" ca="1">OFFSET(M403,-1,-1)</f>
        <v>0</v>
      </c>
      <c r="S403" s="110" t="b" cm="1">
        <f t="array" aca="1" ref="S403" ca="1">OFFSET(T403,-1,-1)</f>
        <v>1</v>
      </c>
      <c r="T403" s="110" t="b">
        <f>AD403&lt;&gt;"36.0"</f>
        <v>0</v>
      </c>
      <c r="U403" s="698" t="b">
        <f t="shared" ca="1" si="391"/>
        <v>0</v>
      </c>
      <c r="X403" s="110" t="s">
        <v>236</v>
      </c>
      <c r="Y403" s="1722"/>
      <c r="Z403" s="1722"/>
      <c r="AB403" s="1784"/>
      <c r="AD403" s="111" t="s">
        <v>891</v>
      </c>
      <c r="AE403" s="821"/>
      <c r="AF403" s="524"/>
      <c r="AG403" s="733" t="s">
        <v>839</v>
      </c>
      <c r="AH403" s="41"/>
      <c r="AI403" s="42"/>
      <c r="AJ403" s="42"/>
      <c r="AK403" s="42"/>
      <c r="AL403" s="736">
        <f ca="1">AM403+AN403</f>
        <v>0</v>
      </c>
      <c r="AM403" s="42">
        <f>AM398*AM339/1000</f>
        <v>0</v>
      </c>
      <c r="AN403" s="42">
        <f ca="1">AN398*AN339/1000</f>
        <v>0</v>
      </c>
      <c r="AO403" s="736">
        <f ca="1">AP403+AQ403</f>
        <v>0</v>
      </c>
      <c r="AP403" s="826">
        <f>AP398*AP339/1000</f>
        <v>0</v>
      </c>
      <c r="AQ403" s="826">
        <f ca="1">AQ398*AQ339/1000</f>
        <v>0</v>
      </c>
      <c r="AR403" s="736">
        <f ca="1">AS403+AT403</f>
        <v>0</v>
      </c>
      <c r="AS403" s="826">
        <f>AS398*AS339/1000</f>
        <v>0</v>
      </c>
      <c r="AT403" s="826">
        <f ca="1">AT398*AT339/1000</f>
        <v>0</v>
      </c>
      <c r="AU403" s="736">
        <f ca="1">AV403+AW403</f>
        <v>0</v>
      </c>
      <c r="AV403" s="826">
        <f>AV398*AV339/1000</f>
        <v>0</v>
      </c>
      <c r="AW403" s="826">
        <f ca="1">AW398*AW339/1000</f>
        <v>0</v>
      </c>
      <c r="AX403" s="736">
        <f ca="1">AY403+AZ403</f>
        <v>0</v>
      </c>
      <c r="AY403" s="826">
        <f>AY398*AY339/1000</f>
        <v>0</v>
      </c>
      <c r="AZ403" s="826">
        <f ca="1">AZ398*AZ339/1000</f>
        <v>0</v>
      </c>
      <c r="BA403" s="736">
        <f ca="1">BB403+BC403</f>
        <v>0</v>
      </c>
      <c r="BB403" s="42">
        <f>BB398*BB339/1000</f>
        <v>0</v>
      </c>
      <c r="BC403" s="42">
        <f ca="1">BC398*BC339/1000</f>
        <v>0</v>
      </c>
      <c r="BD403" s="736">
        <f ca="1">BE403+BF403</f>
        <v>0</v>
      </c>
      <c r="BE403" s="42">
        <f>BE398*BE339/1000</f>
        <v>0</v>
      </c>
      <c r="BF403" s="42">
        <f ca="1">BF398*BF339/1000</f>
        <v>0</v>
      </c>
      <c r="BG403" s="736">
        <f ca="1">BH403+BI403</f>
        <v>0</v>
      </c>
      <c r="BH403" s="42">
        <f>BH398*BH339/1000</f>
        <v>0</v>
      </c>
      <c r="BI403" s="42">
        <f ca="1">BI398*BI339/1000</f>
        <v>0</v>
      </c>
      <c r="BJ403" s="736">
        <f ca="1">BK403+BL403</f>
        <v>0</v>
      </c>
      <c r="BK403" s="42">
        <f>BK398*BK339/1000</f>
        <v>0</v>
      </c>
      <c r="BL403" s="42">
        <f ca="1">BL398*BL339/1000</f>
        <v>0</v>
      </c>
      <c r="BM403" s="736">
        <f ca="1">BN403+BO403</f>
        <v>0</v>
      </c>
      <c r="BN403" s="42">
        <f>BN398*BN339/1000</f>
        <v>0</v>
      </c>
      <c r="BO403" s="42">
        <f ca="1">BO398*BO339/1000</f>
        <v>0</v>
      </c>
      <c r="BP403" s="736">
        <f ca="1">BQ403+BR403</f>
        <v>0</v>
      </c>
      <c r="BQ403" s="826">
        <f>BQ398*BQ339/1000</f>
        <v>0</v>
      </c>
      <c r="BR403" s="826">
        <f ca="1">BR398*BR339/1000</f>
        <v>0</v>
      </c>
      <c r="BS403" s="736">
        <f ca="1">BT403+BU403</f>
        <v>0</v>
      </c>
      <c r="BT403" s="826">
        <f>BT398*BT339/1000</f>
        <v>0</v>
      </c>
      <c r="BU403" s="826">
        <f ca="1">BU398*BU339/1000</f>
        <v>0</v>
      </c>
      <c r="BV403" s="736">
        <f ca="1">BW403+BX403</f>
        <v>0</v>
      </c>
      <c r="BW403" s="826">
        <f>BW398*BW339/1000</f>
        <v>0</v>
      </c>
      <c r="BX403" s="826">
        <f ca="1">BX398*BX339/1000</f>
        <v>0</v>
      </c>
      <c r="BY403" s="736">
        <f ca="1">BZ403+CA403</f>
        <v>0</v>
      </c>
      <c r="BZ403" s="826">
        <f>BZ398*BZ339/1000</f>
        <v>0</v>
      </c>
      <c r="CA403" s="826">
        <f ca="1">CA398*CA339/1000</f>
        <v>0</v>
      </c>
      <c r="CB403" s="736">
        <f ca="1">CC403+CD403</f>
        <v>0</v>
      </c>
      <c r="CC403" s="826">
        <f>CC398*CC339/1000</f>
        <v>0</v>
      </c>
      <c r="CD403" s="826">
        <f ca="1">CD398*CD339/1000</f>
        <v>0</v>
      </c>
      <c r="CE403" s="736">
        <f ca="1">CF403+CG403</f>
        <v>0</v>
      </c>
      <c r="CF403" s="42">
        <f>CF398*CF339/1000</f>
        <v>0</v>
      </c>
      <c r="CG403" s="42">
        <f ca="1">CG398*CG339/1000</f>
        <v>0</v>
      </c>
      <c r="CH403" s="736">
        <f ca="1">CI403+CJ403</f>
        <v>0</v>
      </c>
      <c r="CI403" s="42">
        <f>CI398*CI339/1000</f>
        <v>0</v>
      </c>
      <c r="CJ403" s="42">
        <f ca="1">CJ398*CJ339/1000</f>
        <v>0</v>
      </c>
      <c r="CK403" s="736">
        <f ca="1">CL403+CM403</f>
        <v>0</v>
      </c>
      <c r="CL403" s="42">
        <f>CL398*CL339/1000</f>
        <v>0</v>
      </c>
      <c r="CM403" s="42">
        <f ca="1">CM398*CM339/1000</f>
        <v>0</v>
      </c>
      <c r="CN403" s="736">
        <f ca="1">CO403+CP403</f>
        <v>0</v>
      </c>
      <c r="CO403" s="42">
        <f>CO398*CO339/1000</f>
        <v>0</v>
      </c>
      <c r="CP403" s="42">
        <f ca="1">CP398*CP339/1000</f>
        <v>0</v>
      </c>
      <c r="CQ403" s="736">
        <f ca="1">CR403+CS403</f>
        <v>0</v>
      </c>
      <c r="CR403" s="42">
        <f>CR398*CR339/1000</f>
        <v>0</v>
      </c>
      <c r="CS403" s="42">
        <f ca="1">CS398*CS339/1000</f>
        <v>0</v>
      </c>
      <c r="CT403" s="28"/>
      <c r="CW403" s="970" t="s">
        <v>890</v>
      </c>
      <c r="CX403" s="975" t="s">
        <v>821</v>
      </c>
      <c r="CY403" s="979" cm="1">
        <f t="array" ref="CY403">AE403</f>
        <v>0</v>
      </c>
      <c r="CZ403" s="979" cm="1">
        <f t="array" ref="CZ403">AF403</f>
        <v>0</v>
      </c>
      <c r="DA403" s="976"/>
      <c r="DB403" s="976"/>
    </row>
    <row r="404" spans="1:106" s="1229" customFormat="1" ht="16.5" customHeight="1">
      <c r="E404" s="676">
        <v>17.100000000000001</v>
      </c>
      <c r="F404" s="779" t="str" cm="1">
        <f t="array" aca="1" ref="F404" ca="1">OFFSET(G404,-1,-1)</f>
        <v>2</v>
      </c>
      <c r="L404" s="779" t="b" cm="1">
        <f t="array" aca="1" ref="L404" ca="1">OFFSET(M404,-1,-1)</f>
        <v>0</v>
      </c>
      <c r="S404" s="110" t="b" cm="1">
        <f t="array" aca="1" ref="S404" ca="1">OFFSET(T404,-1,-1)</f>
        <v>1</v>
      </c>
      <c r="T404" s="110" t="b">
        <f>AD404&lt;&gt;"36.0"</f>
        <v>1</v>
      </c>
      <c r="U404" s="698" t="b">
        <f t="shared" ca="1" si="391"/>
        <v>1</v>
      </c>
      <c r="X404" s="110" t="str">
        <f>'Топливо 4.4'!$AE$399&amp;'Топливо 4.4'!$AF$399</f>
        <v>Уголь длиннопламенный</v>
      </c>
      <c r="Y404" s="1722"/>
      <c r="Z404" s="1722"/>
      <c r="AB404" s="1784"/>
      <c r="AD404" s="111" t="s">
        <v>967</v>
      </c>
      <c r="AE404" s="821" t="str" cm="1">
        <f t="array" ref="AE404">IF(ISBLANK('Топливо 4.4'!$AE$399),"",'Топливо 4.4'!$AE$399)</f>
        <v>Уголь длиннопламенный</v>
      </c>
      <c r="AF404" s="524" t="str" cm="1">
        <f t="array" ref="AF404">IF(ISBLANK('Топливо 4.4'!$AF$399),"",'Топливо 4.4'!$AF$399)</f>
        <v/>
      </c>
      <c r="AG404" s="733" t="s">
        <v>839</v>
      </c>
      <c r="AH404" s="1303"/>
      <c r="AI404" s="1302"/>
      <c r="AJ404" s="1302"/>
      <c r="AK404" s="1302">
        <v>2657.6</v>
      </c>
      <c r="AL404" s="736">
        <f ca="1">AM404+AN404</f>
        <v>0</v>
      </c>
      <c r="AM404" s="1302">
        <f>AM399*AM340/1000</f>
        <v>0</v>
      </c>
      <c r="AN404" s="1302">
        <f ca="1">AN399*AN340/1000</f>
        <v>0</v>
      </c>
      <c r="AO404" s="736">
        <f ca="1">AP404+AQ404</f>
        <v>0</v>
      </c>
      <c r="AP404" s="826">
        <f>AP399*AP340/1000</f>
        <v>0</v>
      </c>
      <c r="AQ404" s="826">
        <f ca="1">AQ399*AQ340/1000</f>
        <v>0</v>
      </c>
      <c r="AR404" s="736">
        <f ca="1">AS404+AT404</f>
        <v>0</v>
      </c>
      <c r="AS404" s="826">
        <f>AS399*AS340/1000</f>
        <v>0</v>
      </c>
      <c r="AT404" s="826">
        <f ca="1">AT399*AT340/1000</f>
        <v>0</v>
      </c>
      <c r="AU404" s="736">
        <f ca="1">AV404+AW404</f>
        <v>0</v>
      </c>
      <c r="AV404" s="826">
        <f>AV399*AV340/1000</f>
        <v>0</v>
      </c>
      <c r="AW404" s="826">
        <f ca="1">AW399*AW340/1000</f>
        <v>0</v>
      </c>
      <c r="AX404" s="736">
        <f ca="1">AY404+AZ404</f>
        <v>0</v>
      </c>
      <c r="AY404" s="826">
        <f>AY399*AY340/1000</f>
        <v>0</v>
      </c>
      <c r="AZ404" s="826">
        <f ca="1">AZ399*AZ340/1000</f>
        <v>0</v>
      </c>
      <c r="BA404" s="736">
        <f ca="1">BB404+BC404</f>
        <v>0</v>
      </c>
      <c r="BB404" s="1302">
        <f>BB399*BB340/1000</f>
        <v>0</v>
      </c>
      <c r="BC404" s="1302">
        <f ca="1">BC399*BC340/1000</f>
        <v>0</v>
      </c>
      <c r="BD404" s="736">
        <f ca="1">BE404+BF404</f>
        <v>0</v>
      </c>
      <c r="BE404" s="1302">
        <f>BE399*BE340/1000</f>
        <v>0</v>
      </c>
      <c r="BF404" s="1302">
        <f ca="1">BF399*BF340/1000</f>
        <v>0</v>
      </c>
      <c r="BG404" s="736">
        <f ca="1">BH404+BI404</f>
        <v>0</v>
      </c>
      <c r="BH404" s="1302">
        <f>BH399*BH340/1000</f>
        <v>0</v>
      </c>
      <c r="BI404" s="1302">
        <f ca="1">BI399*BI340/1000</f>
        <v>0</v>
      </c>
      <c r="BJ404" s="736">
        <f ca="1">BK404+BL404</f>
        <v>0</v>
      </c>
      <c r="BK404" s="1302">
        <f>BK399*BK340/1000</f>
        <v>0</v>
      </c>
      <c r="BL404" s="1302">
        <f ca="1">BL399*BL340/1000</f>
        <v>0</v>
      </c>
      <c r="BM404" s="736">
        <f ca="1">BN404+BO404</f>
        <v>0</v>
      </c>
      <c r="BN404" s="1302">
        <f>BN399*BN340/1000</f>
        <v>0</v>
      </c>
      <c r="BO404" s="1302">
        <f ca="1">BO399*BO340/1000</f>
        <v>0</v>
      </c>
      <c r="BP404" s="736">
        <f ca="1">BQ404+BR404</f>
        <v>2797.9101385110898</v>
      </c>
      <c r="BQ404" s="826">
        <f>BQ399*BQ340/1000</f>
        <v>1996.8684658553648</v>
      </c>
      <c r="BR404" s="826">
        <f ca="1">BR399*BR340/1000</f>
        <v>801.04167265572494</v>
      </c>
      <c r="BS404" s="736">
        <f ca="1">BT404+BU404</f>
        <v>0</v>
      </c>
      <c r="BT404" s="826">
        <f>BT399*BT340/1000</f>
        <v>0</v>
      </c>
      <c r="BU404" s="826">
        <f ca="1">BU399*BU340/1000</f>
        <v>0</v>
      </c>
      <c r="BV404" s="736">
        <f ca="1">BW404+BX404</f>
        <v>0</v>
      </c>
      <c r="BW404" s="826">
        <f>BW399*BW340/1000</f>
        <v>0</v>
      </c>
      <c r="BX404" s="826">
        <f ca="1">BX399*BX340/1000</f>
        <v>0</v>
      </c>
      <c r="BY404" s="736">
        <f ca="1">BZ404+CA404</f>
        <v>0</v>
      </c>
      <c r="BZ404" s="826">
        <f>BZ399*BZ340/1000</f>
        <v>0</v>
      </c>
      <c r="CA404" s="826">
        <f ca="1">CA399*CA340/1000</f>
        <v>0</v>
      </c>
      <c r="CB404" s="736">
        <f ca="1">CC404+CD404</f>
        <v>0</v>
      </c>
      <c r="CC404" s="826">
        <f>CC399*CC340/1000</f>
        <v>0</v>
      </c>
      <c r="CD404" s="826">
        <f ca="1">CD399*CD340/1000</f>
        <v>0</v>
      </c>
      <c r="CE404" s="736">
        <f ca="1">CF404+CG404</f>
        <v>0</v>
      </c>
      <c r="CF404" s="1302">
        <f>CF399*CF340/1000</f>
        <v>0</v>
      </c>
      <c r="CG404" s="1302">
        <f ca="1">CG399*CG340/1000</f>
        <v>0</v>
      </c>
      <c r="CH404" s="736">
        <f ca="1">CI404+CJ404</f>
        <v>0</v>
      </c>
      <c r="CI404" s="1302">
        <f>CI399*CI340/1000</f>
        <v>0</v>
      </c>
      <c r="CJ404" s="1302">
        <f ca="1">CJ399*CJ340/1000</f>
        <v>0</v>
      </c>
      <c r="CK404" s="736">
        <f ca="1">CL404+CM404</f>
        <v>0</v>
      </c>
      <c r="CL404" s="1302">
        <f>CL399*CL340/1000</f>
        <v>0</v>
      </c>
      <c r="CM404" s="1302">
        <f ca="1">CM399*CM340/1000</f>
        <v>0</v>
      </c>
      <c r="CN404" s="736">
        <f ca="1">CO404+CP404</f>
        <v>0</v>
      </c>
      <c r="CO404" s="1302">
        <f>CO399*CO340/1000</f>
        <v>0</v>
      </c>
      <c r="CP404" s="1302">
        <f ca="1">CP399*CP340/1000</f>
        <v>0</v>
      </c>
      <c r="CQ404" s="736">
        <f ca="1">CR404+CS404</f>
        <v>0</v>
      </c>
      <c r="CR404" s="1302">
        <f>CR399*CR340/1000</f>
        <v>0</v>
      </c>
      <c r="CS404" s="1302">
        <f ca="1">CS399*CS340/1000</f>
        <v>0</v>
      </c>
      <c r="CT404" s="1290"/>
      <c r="CW404" s="970" t="s">
        <v>890</v>
      </c>
      <c r="CX404" s="975" t="s">
        <v>821</v>
      </c>
      <c r="CY404" s="979" t="str" cm="1">
        <f t="array" ref="CY404">AE404</f>
        <v>Уголь длиннопламенный</v>
      </c>
      <c r="CZ404" s="979" t="str" cm="1">
        <f t="array" ref="CZ404">AF404</f>
        <v/>
      </c>
      <c r="DA404" s="976"/>
      <c r="DB404" s="976"/>
    </row>
    <row r="405" spans="1:106" s="1229" customFormat="1" ht="15" hidden="1" customHeight="1">
      <c r="A405" s="1155"/>
      <c r="B405" s="783"/>
      <c r="C405" s="1155"/>
      <c r="D405" s="1155"/>
      <c r="E405" s="676">
        <v>0</v>
      </c>
      <c r="F405" s="779" t="str" cm="1">
        <f t="array" aca="1" ref="F405" ca="1">OFFSET(G405,-1,-1)</f>
        <v>2</v>
      </c>
      <c r="G405" s="814"/>
      <c r="H405" s="814"/>
      <c r="I405" s="814"/>
      <c r="J405" s="814"/>
      <c r="K405" s="814"/>
      <c r="L405" s="779" t="b" cm="1">
        <f t="array" aca="1" ref="L405" ca="1">OFFSET(M405,-1,-1)</f>
        <v>0</v>
      </c>
      <c r="M405" s="814"/>
      <c r="N405" s="814"/>
      <c r="O405" s="814"/>
      <c r="P405" s="814"/>
      <c r="Q405" s="814"/>
      <c r="R405" s="1155"/>
      <c r="S405" s="110" t="b" cm="1">
        <f t="array" aca="1" ref="S405" ca="1">OFFSET(T405,-1,-1)</f>
        <v>1</v>
      </c>
      <c r="T405" s="1155"/>
      <c r="U405" s="698" t="b">
        <f t="shared" ca="1" si="391"/>
        <v>1</v>
      </c>
      <c r="V405" s="1155"/>
      <c r="W405" s="1155"/>
      <c r="X405" s="820" t="str">
        <f>"{                  
         funcDyn: 'msg1',
         blok: 'blok_2',
         wsCross: 'Топливо 4.4',
         linkFormula: 'AE-AE#AF-AF',
         levelDyn: "&amp;Y300&amp;"
}"</f>
        <v>{                  
         funcDyn: 'msg1',
         blok: 'blok_2',
         wsCross: 'Топливо 4.4',
         linkFormula: 'AE-AE#AF-AF',
         levelDyn: 2
}</v>
      </c>
      <c r="Y405" s="1687"/>
      <c r="Z405" s="1687"/>
      <c r="AA405" s="699"/>
      <c r="AB405" s="1784"/>
      <c r="AD405" s="823"/>
      <c r="AE405" s="822" t="s">
        <v>238</v>
      </c>
      <c r="AF405" s="745"/>
      <c r="AG405" s="733"/>
      <c r="AH405" s="735"/>
      <c r="AI405" s="737"/>
      <c r="AJ405" s="737"/>
      <c r="AK405" s="737"/>
      <c r="AL405" s="737"/>
      <c r="AM405" s="737"/>
      <c r="AN405" s="737"/>
      <c r="AO405" s="737"/>
      <c r="AP405" s="737"/>
      <c r="AQ405" s="737"/>
      <c r="AR405" s="737"/>
      <c r="AS405" s="737"/>
      <c r="AT405" s="737"/>
      <c r="AU405" s="737"/>
      <c r="AV405" s="737"/>
      <c r="AW405" s="737"/>
      <c r="AX405" s="737"/>
      <c r="AY405" s="737"/>
      <c r="AZ405" s="737"/>
      <c r="BA405" s="737"/>
      <c r="BB405" s="737"/>
      <c r="BC405" s="737"/>
      <c r="BD405" s="737"/>
      <c r="BE405" s="737"/>
      <c r="BF405" s="737"/>
      <c r="BG405" s="737"/>
      <c r="BH405" s="737"/>
      <c r="BI405" s="737"/>
      <c r="BJ405" s="737"/>
      <c r="BK405" s="737"/>
      <c r="BL405" s="737"/>
      <c r="BM405" s="737"/>
      <c r="BN405" s="737"/>
      <c r="BO405" s="737"/>
      <c r="BP405" s="737"/>
      <c r="BQ405" s="737"/>
      <c r="BR405" s="737"/>
      <c r="BS405" s="737"/>
      <c r="BT405" s="737"/>
      <c r="BU405" s="737"/>
      <c r="BV405" s="737"/>
      <c r="BW405" s="737"/>
      <c r="BX405" s="737"/>
      <c r="BY405" s="737"/>
      <c r="BZ405" s="737"/>
      <c r="CA405" s="737"/>
      <c r="CB405" s="737"/>
      <c r="CC405" s="737"/>
      <c r="CD405" s="737"/>
      <c r="CE405" s="737"/>
      <c r="CF405" s="737"/>
      <c r="CG405" s="737"/>
      <c r="CH405" s="737"/>
      <c r="CI405" s="737"/>
      <c r="CJ405" s="737"/>
      <c r="CK405" s="737"/>
      <c r="CL405" s="737"/>
      <c r="CM405" s="737"/>
      <c r="CN405" s="737"/>
      <c r="CO405" s="737"/>
      <c r="CP405" s="737"/>
      <c r="CQ405" s="737"/>
      <c r="CR405" s="737"/>
      <c r="CS405" s="737"/>
      <c r="CT405" s="46"/>
      <c r="CW405" s="970" t="str">
        <f>IF(AND(ISNUMBER(VALUE(TRIM(SUBSTITUTE(AD405,".","")))),TRIM(SUBSTITUTE(AD405,".",""))&lt;&gt;""),"P"&amp;SUBSTITUTE(AD405,".",""),"")</f>
        <v/>
      </c>
      <c r="CX405" s="975"/>
      <c r="CY405" s="975"/>
      <c r="CZ405" s="975"/>
      <c r="DA405" s="976"/>
      <c r="DB405" s="976"/>
    </row>
    <row r="406" spans="1:106" s="1229" customFormat="1" ht="29.25" hidden="1" customHeight="1">
      <c r="A406" s="1155"/>
      <c r="B406" s="783"/>
      <c r="C406" s="1155"/>
      <c r="D406" s="1155"/>
      <c r="E406" s="676">
        <v>30</v>
      </c>
      <c r="F406" s="779" t="str" cm="1">
        <f t="array" aca="1" ref="F406" ca="1">OFFSET(G406,-1,-1)</f>
        <v>2</v>
      </c>
      <c r="G406" s="814"/>
      <c r="H406" s="814"/>
      <c r="I406" s="814"/>
      <c r="J406" s="814"/>
      <c r="K406" s="814"/>
      <c r="L406" s="779" t="b" cm="1">
        <f t="array" aca="1" ref="L406" ca="1">OFFSET(M406,-1,-1)</f>
        <v>0</v>
      </c>
      <c r="M406" s="814"/>
      <c r="N406" s="814"/>
      <c r="O406" s="814"/>
      <c r="P406" s="814"/>
      <c r="Q406" s="814"/>
      <c r="R406" s="779" t="s">
        <v>759</v>
      </c>
      <c r="S406" s="110" t="b" cm="1">
        <f t="array" aca="1" ref="S406" ca="1">OFFSET(T406,-1,-1)</f>
        <v>1</v>
      </c>
      <c r="T406" s="110" t="b" cm="1">
        <f t="array" aca="1" ref="T406" ca="1">L406</f>
        <v>0</v>
      </c>
      <c r="U406" s="698" t="b">
        <f t="shared" ca="1" si="391"/>
        <v>0</v>
      </c>
      <c r="V406" s="1155"/>
      <c r="W406" s="1155"/>
      <c r="X406" s="1155"/>
      <c r="Y406" s="1687"/>
      <c r="Z406" s="1687"/>
      <c r="AA406" s="699"/>
      <c r="AB406" s="1784"/>
      <c r="AD406" s="124" t="s">
        <v>892</v>
      </c>
      <c r="AE406" s="1757" t="s">
        <v>893</v>
      </c>
      <c r="AF406" s="1758"/>
      <c r="AG406" s="733" t="s">
        <v>839</v>
      </c>
      <c r="AH406" s="734">
        <f t="shared" ref="AH406:BM406" si="412">SUM(AH407:AH409)</f>
        <v>0</v>
      </c>
      <c r="AI406" s="734">
        <f t="shared" si="412"/>
        <v>0</v>
      </c>
      <c r="AJ406" s="734">
        <f t="shared" si="412"/>
        <v>0</v>
      </c>
      <c r="AK406" s="734">
        <f t="shared" si="412"/>
        <v>2657.6</v>
      </c>
      <c r="AL406" s="734">
        <f t="shared" ca="1" si="412"/>
        <v>0</v>
      </c>
      <c r="AM406" s="734">
        <f t="shared" si="412"/>
        <v>0</v>
      </c>
      <c r="AN406" s="734">
        <f t="shared" ca="1" si="412"/>
        <v>0</v>
      </c>
      <c r="AO406" s="734">
        <f t="shared" ca="1" si="412"/>
        <v>0</v>
      </c>
      <c r="AP406" s="734">
        <f t="shared" si="412"/>
        <v>0</v>
      </c>
      <c r="AQ406" s="734">
        <f t="shared" ca="1" si="412"/>
        <v>0</v>
      </c>
      <c r="AR406" s="734">
        <f t="shared" ca="1" si="412"/>
        <v>0</v>
      </c>
      <c r="AS406" s="734">
        <f t="shared" si="412"/>
        <v>0</v>
      </c>
      <c r="AT406" s="734">
        <f t="shared" ca="1" si="412"/>
        <v>0</v>
      </c>
      <c r="AU406" s="734">
        <f t="shared" ca="1" si="412"/>
        <v>0</v>
      </c>
      <c r="AV406" s="734">
        <f t="shared" si="412"/>
        <v>0</v>
      </c>
      <c r="AW406" s="734">
        <f t="shared" ca="1" si="412"/>
        <v>0</v>
      </c>
      <c r="AX406" s="734">
        <f t="shared" ca="1" si="412"/>
        <v>0</v>
      </c>
      <c r="AY406" s="734">
        <f t="shared" si="412"/>
        <v>0</v>
      </c>
      <c r="AZ406" s="734">
        <f t="shared" ca="1" si="412"/>
        <v>0</v>
      </c>
      <c r="BA406" s="734">
        <f t="shared" ca="1" si="412"/>
        <v>0</v>
      </c>
      <c r="BB406" s="734">
        <f t="shared" si="412"/>
        <v>0</v>
      </c>
      <c r="BC406" s="734">
        <f t="shared" ca="1" si="412"/>
        <v>0</v>
      </c>
      <c r="BD406" s="734">
        <f t="shared" ca="1" si="412"/>
        <v>0</v>
      </c>
      <c r="BE406" s="734">
        <f t="shared" si="412"/>
        <v>0</v>
      </c>
      <c r="BF406" s="734">
        <f t="shared" ca="1" si="412"/>
        <v>0</v>
      </c>
      <c r="BG406" s="734">
        <f t="shared" ca="1" si="412"/>
        <v>0</v>
      </c>
      <c r="BH406" s="734">
        <f t="shared" si="412"/>
        <v>0</v>
      </c>
      <c r="BI406" s="734">
        <f t="shared" ca="1" si="412"/>
        <v>0</v>
      </c>
      <c r="BJ406" s="734">
        <f t="shared" ca="1" si="412"/>
        <v>0</v>
      </c>
      <c r="BK406" s="734">
        <f t="shared" si="412"/>
        <v>0</v>
      </c>
      <c r="BL406" s="734">
        <f t="shared" ca="1" si="412"/>
        <v>0</v>
      </c>
      <c r="BM406" s="734">
        <f t="shared" ca="1" si="412"/>
        <v>0</v>
      </c>
      <c r="BN406" s="734">
        <f t="shared" ref="BN406:CS406" si="413">SUM(BN407:BN409)</f>
        <v>0</v>
      </c>
      <c r="BO406" s="734">
        <f t="shared" ca="1" si="413"/>
        <v>0</v>
      </c>
      <c r="BP406" s="734">
        <f t="shared" ca="1" si="413"/>
        <v>2797.9101385110898</v>
      </c>
      <c r="BQ406" s="734">
        <f t="shared" si="413"/>
        <v>1996.8684658553648</v>
      </c>
      <c r="BR406" s="734">
        <f t="shared" ca="1" si="413"/>
        <v>801.04167265572494</v>
      </c>
      <c r="BS406" s="734">
        <f t="shared" ca="1" si="413"/>
        <v>0</v>
      </c>
      <c r="BT406" s="734">
        <f t="shared" si="413"/>
        <v>0</v>
      </c>
      <c r="BU406" s="734">
        <f t="shared" ca="1" si="413"/>
        <v>0</v>
      </c>
      <c r="BV406" s="734">
        <f t="shared" ca="1" si="413"/>
        <v>0</v>
      </c>
      <c r="BW406" s="734">
        <f t="shared" si="413"/>
        <v>0</v>
      </c>
      <c r="BX406" s="734">
        <f t="shared" ca="1" si="413"/>
        <v>0</v>
      </c>
      <c r="BY406" s="734">
        <f t="shared" ca="1" si="413"/>
        <v>0</v>
      </c>
      <c r="BZ406" s="734">
        <f t="shared" si="413"/>
        <v>0</v>
      </c>
      <c r="CA406" s="734">
        <f t="shared" ca="1" si="413"/>
        <v>0</v>
      </c>
      <c r="CB406" s="734">
        <f t="shared" ca="1" si="413"/>
        <v>0</v>
      </c>
      <c r="CC406" s="734">
        <f t="shared" si="413"/>
        <v>0</v>
      </c>
      <c r="CD406" s="734">
        <f t="shared" ca="1" si="413"/>
        <v>0</v>
      </c>
      <c r="CE406" s="734">
        <f t="shared" ca="1" si="413"/>
        <v>0</v>
      </c>
      <c r="CF406" s="734">
        <f t="shared" si="413"/>
        <v>0</v>
      </c>
      <c r="CG406" s="734">
        <f t="shared" ca="1" si="413"/>
        <v>0</v>
      </c>
      <c r="CH406" s="734">
        <f t="shared" ca="1" si="413"/>
        <v>0</v>
      </c>
      <c r="CI406" s="734">
        <f t="shared" si="413"/>
        <v>0</v>
      </c>
      <c r="CJ406" s="734">
        <f t="shared" ca="1" si="413"/>
        <v>0</v>
      </c>
      <c r="CK406" s="734">
        <f t="shared" ca="1" si="413"/>
        <v>0</v>
      </c>
      <c r="CL406" s="734">
        <f t="shared" si="413"/>
        <v>0</v>
      </c>
      <c r="CM406" s="734">
        <f t="shared" ca="1" si="413"/>
        <v>0</v>
      </c>
      <c r="CN406" s="734">
        <f t="shared" ca="1" si="413"/>
        <v>0</v>
      </c>
      <c r="CO406" s="734">
        <f t="shared" si="413"/>
        <v>0</v>
      </c>
      <c r="CP406" s="734">
        <f t="shared" ca="1" si="413"/>
        <v>0</v>
      </c>
      <c r="CQ406" s="734">
        <f t="shared" ca="1" si="413"/>
        <v>0</v>
      </c>
      <c r="CR406" s="734">
        <f t="shared" si="413"/>
        <v>0</v>
      </c>
      <c r="CS406" s="734">
        <f t="shared" ca="1" si="413"/>
        <v>0</v>
      </c>
      <c r="CT406" s="28"/>
      <c r="CW406" s="970" t="s">
        <v>894</v>
      </c>
      <c r="CX406" s="975"/>
      <c r="CY406" s="975"/>
      <c r="CZ406" s="975"/>
      <c r="DA406" s="976"/>
      <c r="DB406" s="976"/>
    </row>
    <row r="407" spans="1:106" s="1229" customFormat="1" ht="16.5" hidden="1" customHeight="1">
      <c r="E407" s="676">
        <v>17.100000000000001</v>
      </c>
      <c r="F407" s="779" t="str" cm="1">
        <f t="array" aca="1" ref="F407" ca="1">OFFSET(G407,-1,-1)</f>
        <v>2</v>
      </c>
      <c r="L407" s="779" t="b" cm="1">
        <f t="array" aca="1" ref="L407" ca="1">OFFSET(M407,-1,-1)</f>
        <v>0</v>
      </c>
      <c r="R407" s="779" t="s">
        <v>759</v>
      </c>
      <c r="S407" s="110" t="b" cm="1">
        <f t="array" aca="1" ref="S407" ca="1">OFFSET(T407,-1,-1)</f>
        <v>1</v>
      </c>
      <c r="T407" s="110" t="b">
        <f ca="1">AND(L407,AD407&lt;&gt;"37.0")</f>
        <v>0</v>
      </c>
      <c r="U407" s="698" t="b">
        <f t="shared" ca="1" si="391"/>
        <v>0</v>
      </c>
      <c r="X407" s="110" t="s">
        <v>236</v>
      </c>
      <c r="Y407" s="1722"/>
      <c r="Z407" s="1722"/>
      <c r="AB407" s="1784"/>
      <c r="AD407" s="111" t="s">
        <v>895</v>
      </c>
      <c r="AE407" s="821"/>
      <c r="AF407" s="524"/>
      <c r="AG407" s="733" t="s">
        <v>839</v>
      </c>
      <c r="AH407" s="41">
        <f t="shared" ref="AH407:AK408" si="414">AH$324*AH403</f>
        <v>0</v>
      </c>
      <c r="AI407" s="42">
        <f t="shared" si="414"/>
        <v>0</v>
      </c>
      <c r="AJ407" s="42">
        <f t="shared" si="414"/>
        <v>0</v>
      </c>
      <c r="AK407" s="42">
        <f t="shared" si="414"/>
        <v>0</v>
      </c>
      <c r="AL407" s="736">
        <f ca="1">AM407+AN407</f>
        <v>0</v>
      </c>
      <c r="AM407" s="42">
        <f>AM$324*AM403</f>
        <v>0</v>
      </c>
      <c r="AN407" s="42">
        <f ca="1">AN$324*AN403</f>
        <v>0</v>
      </c>
      <c r="AO407" s="736">
        <f ca="1">AP407+AQ407</f>
        <v>0</v>
      </c>
      <c r="AP407" s="826">
        <f>AP$324*AP403</f>
        <v>0</v>
      </c>
      <c r="AQ407" s="826">
        <f ca="1">AQ$324*AQ403</f>
        <v>0</v>
      </c>
      <c r="AR407" s="736">
        <f ca="1">AS407+AT407</f>
        <v>0</v>
      </c>
      <c r="AS407" s="826">
        <f>AS$324*AS403</f>
        <v>0</v>
      </c>
      <c r="AT407" s="826">
        <f ca="1">AT$324*AT403</f>
        <v>0</v>
      </c>
      <c r="AU407" s="736">
        <f ca="1">AV407+AW407</f>
        <v>0</v>
      </c>
      <c r="AV407" s="826">
        <f>AV$324*AV403</f>
        <v>0</v>
      </c>
      <c r="AW407" s="826">
        <f ca="1">AW$324*AW403</f>
        <v>0</v>
      </c>
      <c r="AX407" s="736">
        <f ca="1">AY407+AZ407</f>
        <v>0</v>
      </c>
      <c r="AY407" s="826">
        <f>AY$324*AY403</f>
        <v>0</v>
      </c>
      <c r="AZ407" s="826">
        <f ca="1">AZ$324*AZ403</f>
        <v>0</v>
      </c>
      <c r="BA407" s="736">
        <f ca="1">BB407+BC407</f>
        <v>0</v>
      </c>
      <c r="BB407" s="42">
        <f>BB$324*BB403</f>
        <v>0</v>
      </c>
      <c r="BC407" s="42">
        <f ca="1">BC$324*BC403</f>
        <v>0</v>
      </c>
      <c r="BD407" s="736">
        <f ca="1">BE407+BF407</f>
        <v>0</v>
      </c>
      <c r="BE407" s="42">
        <f>BE$324*BE403</f>
        <v>0</v>
      </c>
      <c r="BF407" s="42">
        <f ca="1">BF$324*BF403</f>
        <v>0</v>
      </c>
      <c r="BG407" s="736">
        <f ca="1">BH407+BI407</f>
        <v>0</v>
      </c>
      <c r="BH407" s="42">
        <f>BH$324*BH403</f>
        <v>0</v>
      </c>
      <c r="BI407" s="42">
        <f ca="1">BI$324*BI403</f>
        <v>0</v>
      </c>
      <c r="BJ407" s="736">
        <f ca="1">BK407+BL407</f>
        <v>0</v>
      </c>
      <c r="BK407" s="42">
        <f>BK$324*BK403</f>
        <v>0</v>
      </c>
      <c r="BL407" s="42">
        <f ca="1">BL$324*BL403</f>
        <v>0</v>
      </c>
      <c r="BM407" s="736">
        <f ca="1">BN407+BO407</f>
        <v>0</v>
      </c>
      <c r="BN407" s="42">
        <f>BN$324*BN403</f>
        <v>0</v>
      </c>
      <c r="BO407" s="42">
        <f ca="1">BO$324*BO403</f>
        <v>0</v>
      </c>
      <c r="BP407" s="736">
        <f ca="1">BQ407+BR407</f>
        <v>0</v>
      </c>
      <c r="BQ407" s="826">
        <f>BQ$324*BQ403</f>
        <v>0</v>
      </c>
      <c r="BR407" s="826">
        <f ca="1">BR$324*BR403</f>
        <v>0</v>
      </c>
      <c r="BS407" s="736">
        <f ca="1">BT407+BU407</f>
        <v>0</v>
      </c>
      <c r="BT407" s="826">
        <f>BT$324*BT403</f>
        <v>0</v>
      </c>
      <c r="BU407" s="826">
        <f ca="1">BU$324*BU403</f>
        <v>0</v>
      </c>
      <c r="BV407" s="736">
        <f ca="1">BW407+BX407</f>
        <v>0</v>
      </c>
      <c r="BW407" s="826">
        <f>BW$324*BW403</f>
        <v>0</v>
      </c>
      <c r="BX407" s="826">
        <f ca="1">BX$324*BX403</f>
        <v>0</v>
      </c>
      <c r="BY407" s="736">
        <f ca="1">BZ407+CA407</f>
        <v>0</v>
      </c>
      <c r="BZ407" s="826">
        <f>BZ$324*BZ403</f>
        <v>0</v>
      </c>
      <c r="CA407" s="826">
        <f ca="1">CA$324*CA403</f>
        <v>0</v>
      </c>
      <c r="CB407" s="736">
        <f ca="1">CC407+CD407</f>
        <v>0</v>
      </c>
      <c r="CC407" s="826">
        <f>CC$324*CC403</f>
        <v>0</v>
      </c>
      <c r="CD407" s="826">
        <f ca="1">CD$324*CD403</f>
        <v>0</v>
      </c>
      <c r="CE407" s="736">
        <f ca="1">CF407+CG407</f>
        <v>0</v>
      </c>
      <c r="CF407" s="42">
        <f>CF$324*CF403</f>
        <v>0</v>
      </c>
      <c r="CG407" s="42">
        <f ca="1">CG$324*CG403</f>
        <v>0</v>
      </c>
      <c r="CH407" s="736">
        <f ca="1">CI407+CJ407</f>
        <v>0</v>
      </c>
      <c r="CI407" s="42">
        <f>CI$324*CI403</f>
        <v>0</v>
      </c>
      <c r="CJ407" s="42">
        <f ca="1">CJ$324*CJ403</f>
        <v>0</v>
      </c>
      <c r="CK407" s="736">
        <f ca="1">CL407+CM407</f>
        <v>0</v>
      </c>
      <c r="CL407" s="42">
        <f>CL$324*CL403</f>
        <v>0</v>
      </c>
      <c r="CM407" s="42">
        <f ca="1">CM$324*CM403</f>
        <v>0</v>
      </c>
      <c r="CN407" s="736">
        <f ca="1">CO407+CP407</f>
        <v>0</v>
      </c>
      <c r="CO407" s="42">
        <f>CO$324*CO403</f>
        <v>0</v>
      </c>
      <c r="CP407" s="42">
        <f ca="1">CP$324*CP403</f>
        <v>0</v>
      </c>
      <c r="CQ407" s="736">
        <f ca="1">CR407+CS407</f>
        <v>0</v>
      </c>
      <c r="CR407" s="42">
        <f>CR$324*CR403</f>
        <v>0</v>
      </c>
      <c r="CS407" s="42">
        <f ca="1">CS$324*CS403</f>
        <v>0</v>
      </c>
      <c r="CT407" s="28"/>
      <c r="CW407" s="970" t="s">
        <v>894</v>
      </c>
      <c r="CX407" s="975" t="s">
        <v>821</v>
      </c>
      <c r="CY407" s="979" cm="1">
        <f t="array" ref="CY407">AE407</f>
        <v>0</v>
      </c>
      <c r="CZ407" s="979" cm="1">
        <f t="array" ref="CZ407">AF407</f>
        <v>0</v>
      </c>
      <c r="DA407" s="976"/>
      <c r="DB407" s="976"/>
    </row>
    <row r="408" spans="1:106" s="1229" customFormat="1" ht="16.5" hidden="1" customHeight="1">
      <c r="E408" s="676">
        <v>17.100000000000001</v>
      </c>
      <c r="F408" s="779" t="str" cm="1">
        <f t="array" aca="1" ref="F408" ca="1">OFFSET(G408,-1,-1)</f>
        <v>2</v>
      </c>
      <c r="L408" s="779" t="b" cm="1">
        <f t="array" aca="1" ref="L408" ca="1">OFFSET(M408,-1,-1)</f>
        <v>0</v>
      </c>
      <c r="R408" s="779" t="s">
        <v>759</v>
      </c>
      <c r="S408" s="110" t="b" cm="1">
        <f t="array" aca="1" ref="S408" ca="1">OFFSET(T408,-1,-1)</f>
        <v>1</v>
      </c>
      <c r="T408" s="110" t="b">
        <f ca="1">AND(L408,AD408&lt;&gt;"37.0")</f>
        <v>0</v>
      </c>
      <c r="U408" s="698" t="b">
        <f t="shared" ca="1" si="391"/>
        <v>0</v>
      </c>
      <c r="X408" s="110" t="str">
        <f>'Топливо 4.4'!$AE$404&amp;'Топливо 4.4'!$AF$404</f>
        <v>Уголь длиннопламенный</v>
      </c>
      <c r="Y408" s="1722"/>
      <c r="Z408" s="1722"/>
      <c r="AB408" s="1784"/>
      <c r="AD408" s="111" t="s">
        <v>969</v>
      </c>
      <c r="AE408" s="821" t="str" cm="1">
        <f t="array" ref="AE408">IF(ISBLANK('Топливо 4.4'!$AE$404),"",'Топливо 4.4'!$AE$404)</f>
        <v>Уголь длиннопламенный</v>
      </c>
      <c r="AF408" s="524" t="str" cm="1">
        <f t="array" ref="AF408">IF(ISBLANK('Топливо 4.4'!$AF$404),"",'Топливо 4.4'!$AF$404)</f>
        <v/>
      </c>
      <c r="AG408" s="733" t="s">
        <v>839</v>
      </c>
      <c r="AH408" s="41">
        <f t="shared" si="414"/>
        <v>0</v>
      </c>
      <c r="AI408" s="42">
        <f t="shared" si="414"/>
        <v>0</v>
      </c>
      <c r="AJ408" s="42">
        <f t="shared" si="414"/>
        <v>0</v>
      </c>
      <c r="AK408" s="42">
        <f t="shared" si="414"/>
        <v>2657.6</v>
      </c>
      <c r="AL408" s="736">
        <f ca="1">AM408+AN408</f>
        <v>0</v>
      </c>
      <c r="AM408" s="42">
        <f>AM$324*AM404</f>
        <v>0</v>
      </c>
      <c r="AN408" s="42">
        <f ca="1">AN$324*AN404</f>
        <v>0</v>
      </c>
      <c r="AO408" s="736">
        <f ca="1">AP408+AQ408</f>
        <v>0</v>
      </c>
      <c r="AP408" s="826">
        <f>AP$324*AP404</f>
        <v>0</v>
      </c>
      <c r="AQ408" s="826">
        <f ca="1">AQ$324*AQ404</f>
        <v>0</v>
      </c>
      <c r="AR408" s="736">
        <f ca="1">AS408+AT408</f>
        <v>0</v>
      </c>
      <c r="AS408" s="826">
        <f>AS$324*AS404</f>
        <v>0</v>
      </c>
      <c r="AT408" s="826">
        <f ca="1">AT$324*AT404</f>
        <v>0</v>
      </c>
      <c r="AU408" s="736">
        <f ca="1">AV408+AW408</f>
        <v>0</v>
      </c>
      <c r="AV408" s="826">
        <f>AV$324*AV404</f>
        <v>0</v>
      </c>
      <c r="AW408" s="826">
        <f ca="1">AW$324*AW404</f>
        <v>0</v>
      </c>
      <c r="AX408" s="736">
        <f ca="1">AY408+AZ408</f>
        <v>0</v>
      </c>
      <c r="AY408" s="826">
        <f>AY$324*AY404</f>
        <v>0</v>
      </c>
      <c r="AZ408" s="826">
        <f ca="1">AZ$324*AZ404</f>
        <v>0</v>
      </c>
      <c r="BA408" s="736">
        <f ca="1">BB408+BC408</f>
        <v>0</v>
      </c>
      <c r="BB408" s="42">
        <f>BB$324*BB404</f>
        <v>0</v>
      </c>
      <c r="BC408" s="42">
        <f ca="1">BC$324*BC404</f>
        <v>0</v>
      </c>
      <c r="BD408" s="736">
        <f ca="1">BE408+BF408</f>
        <v>0</v>
      </c>
      <c r="BE408" s="42">
        <f>BE$324*BE404</f>
        <v>0</v>
      </c>
      <c r="BF408" s="42">
        <f ca="1">BF$324*BF404</f>
        <v>0</v>
      </c>
      <c r="BG408" s="736">
        <f ca="1">BH408+BI408</f>
        <v>0</v>
      </c>
      <c r="BH408" s="42">
        <f>BH$324*BH404</f>
        <v>0</v>
      </c>
      <c r="BI408" s="42">
        <f ca="1">BI$324*BI404</f>
        <v>0</v>
      </c>
      <c r="BJ408" s="736">
        <f ca="1">BK408+BL408</f>
        <v>0</v>
      </c>
      <c r="BK408" s="42">
        <f>BK$324*BK404</f>
        <v>0</v>
      </c>
      <c r="BL408" s="42">
        <f ca="1">BL$324*BL404</f>
        <v>0</v>
      </c>
      <c r="BM408" s="736">
        <f ca="1">BN408+BO408</f>
        <v>0</v>
      </c>
      <c r="BN408" s="42">
        <f>BN$324*BN404</f>
        <v>0</v>
      </c>
      <c r="BO408" s="42">
        <f ca="1">BO$324*BO404</f>
        <v>0</v>
      </c>
      <c r="BP408" s="736">
        <f ca="1">BQ408+BR408</f>
        <v>2797.9101385110898</v>
      </c>
      <c r="BQ408" s="826">
        <f>BQ$324*BQ404</f>
        <v>1996.8684658553648</v>
      </c>
      <c r="BR408" s="826">
        <f ca="1">BR$324*BR404</f>
        <v>801.04167265572494</v>
      </c>
      <c r="BS408" s="736">
        <f ca="1">BT408+BU408</f>
        <v>0</v>
      </c>
      <c r="BT408" s="826">
        <f>BT$324*BT404</f>
        <v>0</v>
      </c>
      <c r="BU408" s="826">
        <f ca="1">BU$324*BU404</f>
        <v>0</v>
      </c>
      <c r="BV408" s="736">
        <f ca="1">BW408+BX408</f>
        <v>0</v>
      </c>
      <c r="BW408" s="826">
        <f>BW$324*BW404</f>
        <v>0</v>
      </c>
      <c r="BX408" s="826">
        <f ca="1">BX$324*BX404</f>
        <v>0</v>
      </c>
      <c r="BY408" s="736">
        <f ca="1">BZ408+CA408</f>
        <v>0</v>
      </c>
      <c r="BZ408" s="826">
        <f>BZ$324*BZ404</f>
        <v>0</v>
      </c>
      <c r="CA408" s="826">
        <f ca="1">CA$324*CA404</f>
        <v>0</v>
      </c>
      <c r="CB408" s="736">
        <f ca="1">CC408+CD408</f>
        <v>0</v>
      </c>
      <c r="CC408" s="826">
        <f>CC$324*CC404</f>
        <v>0</v>
      </c>
      <c r="CD408" s="826">
        <f ca="1">CD$324*CD404</f>
        <v>0</v>
      </c>
      <c r="CE408" s="736">
        <f ca="1">CF408+CG408</f>
        <v>0</v>
      </c>
      <c r="CF408" s="42">
        <f>CF$324*CF404</f>
        <v>0</v>
      </c>
      <c r="CG408" s="42">
        <f ca="1">CG$324*CG404</f>
        <v>0</v>
      </c>
      <c r="CH408" s="736">
        <f ca="1">CI408+CJ408</f>
        <v>0</v>
      </c>
      <c r="CI408" s="42">
        <f>CI$324*CI404</f>
        <v>0</v>
      </c>
      <c r="CJ408" s="42">
        <f ca="1">CJ$324*CJ404</f>
        <v>0</v>
      </c>
      <c r="CK408" s="736">
        <f ca="1">CL408+CM408</f>
        <v>0</v>
      </c>
      <c r="CL408" s="42">
        <f>CL$324*CL404</f>
        <v>0</v>
      </c>
      <c r="CM408" s="42">
        <f ca="1">CM$324*CM404</f>
        <v>0</v>
      </c>
      <c r="CN408" s="736">
        <f ca="1">CO408+CP408</f>
        <v>0</v>
      </c>
      <c r="CO408" s="42">
        <f>CO$324*CO404</f>
        <v>0</v>
      </c>
      <c r="CP408" s="42">
        <f ca="1">CP$324*CP404</f>
        <v>0</v>
      </c>
      <c r="CQ408" s="736">
        <f ca="1">CR408+CS408</f>
        <v>0</v>
      </c>
      <c r="CR408" s="42">
        <f>CR$324*CR404</f>
        <v>0</v>
      </c>
      <c r="CS408" s="42">
        <f ca="1">CS$324*CS404</f>
        <v>0</v>
      </c>
      <c r="CT408" s="28"/>
      <c r="CW408" s="970" t="s">
        <v>894</v>
      </c>
      <c r="CX408" s="975" t="s">
        <v>821</v>
      </c>
      <c r="CY408" s="979" t="str" cm="1">
        <f t="array" ref="CY408">AE408</f>
        <v>Уголь длиннопламенный</v>
      </c>
      <c r="CZ408" s="979" t="str" cm="1">
        <f t="array" ref="CZ408">AF408</f>
        <v/>
      </c>
      <c r="DA408" s="976"/>
      <c r="DB408" s="976"/>
    </row>
    <row r="409" spans="1:106" s="1229" customFormat="1" ht="15" hidden="1" customHeight="1">
      <c r="A409" s="1155"/>
      <c r="B409" s="783"/>
      <c r="C409" s="1155"/>
      <c r="D409" s="1155"/>
      <c r="E409" s="676">
        <v>0</v>
      </c>
      <c r="F409" s="779" t="str" cm="1">
        <f t="array" aca="1" ref="F409" ca="1">OFFSET(G409,-1,-1)</f>
        <v>2</v>
      </c>
      <c r="G409" s="814"/>
      <c r="H409" s="814"/>
      <c r="I409" s="814"/>
      <c r="J409" s="814"/>
      <c r="K409" s="814"/>
      <c r="L409" s="779" t="b" cm="1">
        <f t="array" aca="1" ref="L409" ca="1">OFFSET(M409,-1,-1)</f>
        <v>0</v>
      </c>
      <c r="M409" s="814"/>
      <c r="N409" s="814"/>
      <c r="O409" s="814"/>
      <c r="P409" s="814"/>
      <c r="Q409" s="814"/>
      <c r="R409" s="1155"/>
      <c r="S409" s="110" t="b" cm="1">
        <f t="array" aca="1" ref="S409" ca="1">OFFSET(T409,-1,-1)</f>
        <v>1</v>
      </c>
      <c r="T409" s="1155"/>
      <c r="U409" s="698" t="b">
        <f t="shared" ca="1" si="391"/>
        <v>1</v>
      </c>
      <c r="V409" s="1155"/>
      <c r="W409" s="1155"/>
      <c r="X409" s="820" t="str">
        <f>"{                  
         funcDyn: 'msg1',
         blok: 'blok_2',
         wsCross: 'Топливо 4.4',
         linkFormula: 'AE-AE#AF-AF',
         levelDyn: "&amp;Y300&amp;"
}"</f>
        <v>{                  
         funcDyn: 'msg1',
         blok: 'blok_2',
         wsCross: 'Топливо 4.4',
         linkFormula: 'AE-AE#AF-AF',
         levelDyn: 2
}</v>
      </c>
      <c r="Y409" s="1687"/>
      <c r="Z409" s="1687"/>
      <c r="AA409" s="699"/>
      <c r="AB409" s="1785"/>
      <c r="AD409" s="823"/>
      <c r="AE409" s="822" t="s">
        <v>238</v>
      </c>
      <c r="AF409" s="745"/>
      <c r="AG409" s="733"/>
      <c r="AH409" s="735"/>
      <c r="AI409" s="737"/>
      <c r="AJ409" s="737"/>
      <c r="AK409" s="737"/>
      <c r="AL409" s="737"/>
      <c r="AM409" s="737"/>
      <c r="AN409" s="737"/>
      <c r="AO409" s="737"/>
      <c r="AP409" s="737"/>
      <c r="AQ409" s="737"/>
      <c r="AR409" s="737"/>
      <c r="AS409" s="737"/>
      <c r="AT409" s="737"/>
      <c r="AU409" s="737"/>
      <c r="AV409" s="737"/>
      <c r="AW409" s="737"/>
      <c r="AX409" s="737"/>
      <c r="AY409" s="737"/>
      <c r="AZ409" s="737"/>
      <c r="BA409" s="737"/>
      <c r="BB409" s="737"/>
      <c r="BC409" s="737"/>
      <c r="BD409" s="737"/>
      <c r="BE409" s="737"/>
      <c r="BF409" s="737"/>
      <c r="BG409" s="737"/>
      <c r="BH409" s="737"/>
      <c r="BI409" s="737"/>
      <c r="BJ409" s="737"/>
      <c r="BK409" s="737"/>
      <c r="BL409" s="737"/>
      <c r="BM409" s="737"/>
      <c r="BN409" s="737"/>
      <c r="BO409" s="737"/>
      <c r="BP409" s="737"/>
      <c r="BQ409" s="737"/>
      <c r="BR409" s="737"/>
      <c r="BS409" s="737"/>
      <c r="BT409" s="737"/>
      <c r="BU409" s="737"/>
      <c r="BV409" s="737"/>
      <c r="BW409" s="737"/>
      <c r="BX409" s="737"/>
      <c r="BY409" s="737"/>
      <c r="BZ409" s="737"/>
      <c r="CA409" s="737"/>
      <c r="CB409" s="737"/>
      <c r="CC409" s="737"/>
      <c r="CD409" s="737"/>
      <c r="CE409" s="737"/>
      <c r="CF409" s="737"/>
      <c r="CG409" s="737"/>
      <c r="CH409" s="737"/>
      <c r="CI409" s="737"/>
      <c r="CJ409" s="737"/>
      <c r="CK409" s="737"/>
      <c r="CL409" s="737"/>
      <c r="CM409" s="737"/>
      <c r="CN409" s="737"/>
      <c r="CO409" s="737"/>
      <c r="CP409" s="737"/>
      <c r="CQ409" s="737"/>
      <c r="CR409" s="737"/>
      <c r="CS409" s="737"/>
      <c r="CT409" s="46"/>
      <c r="CW409" s="970" t="str">
        <f>IF(AND(ISNUMBER(VALUE(TRIM(SUBSTITUTE(AD409,".","")))),TRIM(SUBSTITUTE(AD409,".",""))&lt;&gt;""),"P"&amp;SUBSTITUTE(AD409,".",""),"")</f>
        <v/>
      </c>
      <c r="CX409" s="975"/>
      <c r="CY409" s="975"/>
      <c r="CZ409" s="975"/>
      <c r="DA409" s="976"/>
      <c r="DB409" s="976"/>
    </row>
    <row r="410" spans="1:106" s="1229" customFormat="1" ht="16.5" customHeight="1">
      <c r="A410" s="1155"/>
      <c r="B410" s="783"/>
      <c r="C410" s="1155"/>
      <c r="D410" s="1155"/>
      <c r="E410" s="676">
        <v>17.100000000000001</v>
      </c>
      <c r="F410" s="779" t="str" cm="1">
        <f t="array" aca="1" ref="F410" ca="1">OFFSET(G410,-1,-1)</f>
        <v>2</v>
      </c>
      <c r="G410" s="814"/>
      <c r="H410" s="814"/>
      <c r="I410" s="814"/>
      <c r="J410" s="814"/>
      <c r="K410" s="814"/>
      <c r="L410" s="779" t="b" cm="1">
        <f t="array" aca="1" ref="L410" ca="1">OFFSET(M410,-1,-1)</f>
        <v>0</v>
      </c>
      <c r="M410" s="814"/>
      <c r="N410" s="814"/>
      <c r="O410" s="814"/>
      <c r="P410" s="814"/>
      <c r="Q410" s="814"/>
      <c r="R410" s="1155"/>
      <c r="S410" s="110" t="b" cm="1">
        <f t="array" aca="1" ref="S410" ca="1">OFFSET(T410,-1,-1)</f>
        <v>1</v>
      </c>
      <c r="T410" s="1155"/>
      <c r="U410" s="698" t="b">
        <f t="shared" ca="1" si="391"/>
        <v>1</v>
      </c>
      <c r="V410" s="1155"/>
      <c r="W410" s="1155"/>
      <c r="X410" s="1155"/>
      <c r="Y410" s="1687"/>
      <c r="Z410" s="1687"/>
      <c r="AA410" s="699"/>
      <c r="AB410" s="1783" t="s">
        <v>896</v>
      </c>
      <c r="AD410" s="124" t="s">
        <v>897</v>
      </c>
      <c r="AE410" s="1754" t="s">
        <v>898</v>
      </c>
      <c r="AF410" s="1734"/>
      <c r="AG410" s="733" t="s">
        <v>839</v>
      </c>
      <c r="AH410" s="734">
        <f t="shared" ref="AH410:BM410" si="415">SUM(AH412:AH414)</f>
        <v>0</v>
      </c>
      <c r="AI410" s="734">
        <f t="shared" si="415"/>
        <v>0</v>
      </c>
      <c r="AJ410" s="734">
        <f t="shared" si="415"/>
        <v>0</v>
      </c>
      <c r="AK410" s="734">
        <f t="shared" si="415"/>
        <v>0</v>
      </c>
      <c r="AL410" s="734">
        <f t="shared" si="415"/>
        <v>0</v>
      </c>
      <c r="AM410" s="734">
        <f t="shared" si="415"/>
        <v>0</v>
      </c>
      <c r="AN410" s="734">
        <f t="shared" si="415"/>
        <v>0</v>
      </c>
      <c r="AO410" s="734">
        <f t="shared" si="415"/>
        <v>0</v>
      </c>
      <c r="AP410" s="734">
        <f t="shared" si="415"/>
        <v>0</v>
      </c>
      <c r="AQ410" s="734">
        <f t="shared" si="415"/>
        <v>0</v>
      </c>
      <c r="AR410" s="734">
        <f t="shared" si="415"/>
        <v>0</v>
      </c>
      <c r="AS410" s="734">
        <f t="shared" si="415"/>
        <v>0</v>
      </c>
      <c r="AT410" s="734">
        <f t="shared" si="415"/>
        <v>0</v>
      </c>
      <c r="AU410" s="734">
        <f t="shared" si="415"/>
        <v>0</v>
      </c>
      <c r="AV410" s="734">
        <f t="shared" si="415"/>
        <v>0</v>
      </c>
      <c r="AW410" s="734">
        <f t="shared" si="415"/>
        <v>0</v>
      </c>
      <c r="AX410" s="734">
        <f t="shared" si="415"/>
        <v>0</v>
      </c>
      <c r="AY410" s="734">
        <f t="shared" si="415"/>
        <v>0</v>
      </c>
      <c r="AZ410" s="734">
        <f t="shared" si="415"/>
        <v>0</v>
      </c>
      <c r="BA410" s="734">
        <f t="shared" si="415"/>
        <v>0</v>
      </c>
      <c r="BB410" s="734">
        <f t="shared" si="415"/>
        <v>0</v>
      </c>
      <c r="BC410" s="734">
        <f t="shared" si="415"/>
        <v>0</v>
      </c>
      <c r="BD410" s="734">
        <f t="shared" si="415"/>
        <v>0</v>
      </c>
      <c r="BE410" s="734">
        <f t="shared" si="415"/>
        <v>0</v>
      </c>
      <c r="BF410" s="734">
        <f t="shared" si="415"/>
        <v>0</v>
      </c>
      <c r="BG410" s="734">
        <f t="shared" si="415"/>
        <v>0</v>
      </c>
      <c r="BH410" s="734">
        <f t="shared" si="415"/>
        <v>0</v>
      </c>
      <c r="BI410" s="734">
        <f t="shared" si="415"/>
        <v>0</v>
      </c>
      <c r="BJ410" s="734">
        <f t="shared" si="415"/>
        <v>0</v>
      </c>
      <c r="BK410" s="734">
        <f t="shared" si="415"/>
        <v>0</v>
      </c>
      <c r="BL410" s="734">
        <f t="shared" si="415"/>
        <v>0</v>
      </c>
      <c r="BM410" s="734">
        <f t="shared" si="415"/>
        <v>0</v>
      </c>
      <c r="BN410" s="734">
        <f t="shared" ref="BN410:CS410" si="416">SUM(BN412:BN414)</f>
        <v>0</v>
      </c>
      <c r="BO410" s="734">
        <f t="shared" si="416"/>
        <v>0</v>
      </c>
      <c r="BP410" s="734">
        <f t="shared" si="416"/>
        <v>2053.84</v>
      </c>
      <c r="BQ410" s="734">
        <f t="shared" si="416"/>
        <v>1465.8256080000001</v>
      </c>
      <c r="BR410" s="734">
        <f t="shared" si="416"/>
        <v>588.01439200000004</v>
      </c>
      <c r="BS410" s="734">
        <f t="shared" si="416"/>
        <v>0</v>
      </c>
      <c r="BT410" s="734">
        <f t="shared" si="416"/>
        <v>0</v>
      </c>
      <c r="BU410" s="734">
        <f t="shared" si="416"/>
        <v>0</v>
      </c>
      <c r="BV410" s="734">
        <f t="shared" si="416"/>
        <v>0</v>
      </c>
      <c r="BW410" s="734">
        <f t="shared" si="416"/>
        <v>0</v>
      </c>
      <c r="BX410" s="734">
        <f t="shared" si="416"/>
        <v>0</v>
      </c>
      <c r="BY410" s="734">
        <f t="shared" si="416"/>
        <v>0</v>
      </c>
      <c r="BZ410" s="734">
        <f t="shared" si="416"/>
        <v>0</v>
      </c>
      <c r="CA410" s="734">
        <f t="shared" si="416"/>
        <v>0</v>
      </c>
      <c r="CB410" s="734">
        <f t="shared" si="416"/>
        <v>0</v>
      </c>
      <c r="CC410" s="734">
        <f t="shared" si="416"/>
        <v>0</v>
      </c>
      <c r="CD410" s="734">
        <f t="shared" si="416"/>
        <v>0</v>
      </c>
      <c r="CE410" s="734">
        <f t="shared" si="416"/>
        <v>0</v>
      </c>
      <c r="CF410" s="734">
        <f t="shared" si="416"/>
        <v>0</v>
      </c>
      <c r="CG410" s="734">
        <f t="shared" si="416"/>
        <v>0</v>
      </c>
      <c r="CH410" s="734">
        <f t="shared" si="416"/>
        <v>0</v>
      </c>
      <c r="CI410" s="734">
        <f t="shared" si="416"/>
        <v>0</v>
      </c>
      <c r="CJ410" s="734">
        <f t="shared" si="416"/>
        <v>0</v>
      </c>
      <c r="CK410" s="734">
        <f t="shared" si="416"/>
        <v>0</v>
      </c>
      <c r="CL410" s="734">
        <f t="shared" si="416"/>
        <v>0</v>
      </c>
      <c r="CM410" s="734">
        <f t="shared" si="416"/>
        <v>0</v>
      </c>
      <c r="CN410" s="734">
        <f t="shared" si="416"/>
        <v>0</v>
      </c>
      <c r="CO410" s="734">
        <f t="shared" si="416"/>
        <v>0</v>
      </c>
      <c r="CP410" s="734">
        <f t="shared" si="416"/>
        <v>0</v>
      </c>
      <c r="CQ410" s="734">
        <f t="shared" si="416"/>
        <v>0</v>
      </c>
      <c r="CR410" s="734">
        <f t="shared" si="416"/>
        <v>0</v>
      </c>
      <c r="CS410" s="734">
        <f t="shared" si="416"/>
        <v>0</v>
      </c>
      <c r="CT410" s="1290"/>
      <c r="CW410" s="970" t="s">
        <v>899</v>
      </c>
      <c r="CX410" s="975"/>
      <c r="CY410" s="975"/>
      <c r="CZ410" s="975"/>
      <c r="DA410" s="976"/>
      <c r="DB410" s="976"/>
    </row>
    <row r="411" spans="1:106" s="1229" customFormat="1" ht="16.5" hidden="1" customHeight="1">
      <c r="A411" s="1155"/>
      <c r="B411" s="783"/>
      <c r="C411" s="1155"/>
      <c r="D411" s="1155"/>
      <c r="E411" s="676">
        <v>17.100000000000001</v>
      </c>
      <c r="F411" s="779" t="str" cm="1">
        <f t="array" aca="1" ref="F411" ca="1">OFFSET(G411,-1,-1)</f>
        <v>2</v>
      </c>
      <c r="G411" s="814"/>
      <c r="H411" s="814"/>
      <c r="I411" s="814"/>
      <c r="J411" s="814"/>
      <c r="K411" s="814"/>
      <c r="L411" s="779" t="b" cm="1">
        <f t="array" aca="1" ref="L411" ca="1">OFFSET(M411,-1,-1)</f>
        <v>0</v>
      </c>
      <c r="M411" s="814"/>
      <c r="N411" s="814"/>
      <c r="O411" s="814"/>
      <c r="P411" s="814"/>
      <c r="Q411" s="814"/>
      <c r="R411" s="779" t="s">
        <v>759</v>
      </c>
      <c r="S411" s="110" t="b" cm="1">
        <f t="array" aca="1" ref="S411" ca="1">OFFSET(T411,-1,-1)</f>
        <v>1</v>
      </c>
      <c r="T411" s="779" t="b">
        <v>0</v>
      </c>
      <c r="U411" s="698" t="b">
        <f t="shared" ca="1" si="391"/>
        <v>0</v>
      </c>
      <c r="V411" s="1155"/>
      <c r="W411" s="1155"/>
      <c r="X411" s="1155"/>
      <c r="Y411" s="1687"/>
      <c r="Z411" s="1687"/>
      <c r="AA411" s="699"/>
      <c r="AB411" s="1784"/>
      <c r="AD411" s="111" t="str">
        <f>AD410&amp;".0"</f>
        <v>38.0</v>
      </c>
      <c r="AE411" s="1755" t="s">
        <v>770</v>
      </c>
      <c r="AF411" s="1756"/>
      <c r="AG411" s="733" t="s">
        <v>839</v>
      </c>
      <c r="AH411" s="41">
        <f>AH$324*AH410</f>
        <v>0</v>
      </c>
      <c r="AI411" s="42">
        <f>AI$324*AI410</f>
        <v>0</v>
      </c>
      <c r="AJ411" s="42">
        <f>AJ$324*AJ410</f>
        <v>0</v>
      </c>
      <c r="AK411" s="42">
        <f>AK$324*AK410</f>
        <v>0</v>
      </c>
      <c r="AL411" s="736">
        <f ca="1">AM411+AN411</f>
        <v>0</v>
      </c>
      <c r="AM411" s="42">
        <f>AM$324*AM410</f>
        <v>0</v>
      </c>
      <c r="AN411" s="42">
        <f ca="1">AN$324*AN410</f>
        <v>0</v>
      </c>
      <c r="AO411" s="736">
        <f ca="1">AP411+AQ411</f>
        <v>0</v>
      </c>
      <c r="AP411" s="826">
        <f>AP$324*AP410</f>
        <v>0</v>
      </c>
      <c r="AQ411" s="826">
        <f ca="1">AQ$324*AQ410</f>
        <v>0</v>
      </c>
      <c r="AR411" s="736">
        <f ca="1">AS411+AT411</f>
        <v>0</v>
      </c>
      <c r="AS411" s="826">
        <f>AS$324*AS410</f>
        <v>0</v>
      </c>
      <c r="AT411" s="826">
        <f ca="1">AT$324*AT410</f>
        <v>0</v>
      </c>
      <c r="AU411" s="736">
        <f ca="1">AV411+AW411</f>
        <v>0</v>
      </c>
      <c r="AV411" s="826">
        <f>AV$324*AV410</f>
        <v>0</v>
      </c>
      <c r="AW411" s="826">
        <f ca="1">AW$324*AW410</f>
        <v>0</v>
      </c>
      <c r="AX411" s="736">
        <f ca="1">AY411+AZ411</f>
        <v>0</v>
      </c>
      <c r="AY411" s="826">
        <f>AY$324*AY410</f>
        <v>0</v>
      </c>
      <c r="AZ411" s="826">
        <f ca="1">AZ$324*AZ410</f>
        <v>0</v>
      </c>
      <c r="BA411" s="736">
        <f ca="1">BB411+BC411</f>
        <v>0</v>
      </c>
      <c r="BB411" s="42">
        <f>BB$324*BB410</f>
        <v>0</v>
      </c>
      <c r="BC411" s="42">
        <f ca="1">BC$324*BC410</f>
        <v>0</v>
      </c>
      <c r="BD411" s="736">
        <f ca="1">BE411+BF411</f>
        <v>0</v>
      </c>
      <c r="BE411" s="42">
        <f>BE$324*BE410</f>
        <v>0</v>
      </c>
      <c r="BF411" s="42">
        <f ca="1">BF$324*BF410</f>
        <v>0</v>
      </c>
      <c r="BG411" s="736">
        <f ca="1">BH411+BI411</f>
        <v>0</v>
      </c>
      <c r="BH411" s="42">
        <f>BH$324*BH410</f>
        <v>0</v>
      </c>
      <c r="BI411" s="42">
        <f ca="1">BI$324*BI410</f>
        <v>0</v>
      </c>
      <c r="BJ411" s="736">
        <f ca="1">BK411+BL411</f>
        <v>0</v>
      </c>
      <c r="BK411" s="42">
        <f>BK$324*BK410</f>
        <v>0</v>
      </c>
      <c r="BL411" s="42">
        <f ca="1">BL$324*BL410</f>
        <v>0</v>
      </c>
      <c r="BM411" s="736">
        <f ca="1">BN411+BO411</f>
        <v>0</v>
      </c>
      <c r="BN411" s="42">
        <f>BN$324*BN410</f>
        <v>0</v>
      </c>
      <c r="BO411" s="42">
        <f ca="1">BO$324*BO410</f>
        <v>0</v>
      </c>
      <c r="BP411" s="736">
        <f ca="1">BQ411+BR411</f>
        <v>2053.84</v>
      </c>
      <c r="BQ411" s="826">
        <f>BQ$324*BQ410</f>
        <v>1465.8256080000001</v>
      </c>
      <c r="BR411" s="826">
        <f ca="1">BR$324*BR410</f>
        <v>588.01439200000004</v>
      </c>
      <c r="BS411" s="736">
        <f ca="1">BT411+BU411</f>
        <v>0</v>
      </c>
      <c r="BT411" s="826">
        <f>BT$324*BT410</f>
        <v>0</v>
      </c>
      <c r="BU411" s="826">
        <f ca="1">BU$324*BU410</f>
        <v>0</v>
      </c>
      <c r="BV411" s="736">
        <f ca="1">BW411+BX411</f>
        <v>0</v>
      </c>
      <c r="BW411" s="826">
        <f>BW$324*BW410</f>
        <v>0</v>
      </c>
      <c r="BX411" s="826">
        <f ca="1">BX$324*BX410</f>
        <v>0</v>
      </c>
      <c r="BY411" s="736">
        <f ca="1">BZ411+CA411</f>
        <v>0</v>
      </c>
      <c r="BZ411" s="826">
        <f>BZ$324*BZ410</f>
        <v>0</v>
      </c>
      <c r="CA411" s="826">
        <f ca="1">CA$324*CA410</f>
        <v>0</v>
      </c>
      <c r="CB411" s="736">
        <f ca="1">CC411+CD411</f>
        <v>0</v>
      </c>
      <c r="CC411" s="826">
        <f>CC$324*CC410</f>
        <v>0</v>
      </c>
      <c r="CD411" s="826">
        <f ca="1">CD$324*CD410</f>
        <v>0</v>
      </c>
      <c r="CE411" s="736">
        <f ca="1">CF411+CG411</f>
        <v>0</v>
      </c>
      <c r="CF411" s="42">
        <f>CF$324*CF410</f>
        <v>0</v>
      </c>
      <c r="CG411" s="42">
        <f ca="1">CG$324*CG410</f>
        <v>0</v>
      </c>
      <c r="CH411" s="736">
        <f ca="1">CI411+CJ411</f>
        <v>0</v>
      </c>
      <c r="CI411" s="42">
        <f>CI$324*CI410</f>
        <v>0</v>
      </c>
      <c r="CJ411" s="42">
        <f ca="1">CJ$324*CJ410</f>
        <v>0</v>
      </c>
      <c r="CK411" s="736">
        <f ca="1">CL411+CM411</f>
        <v>0</v>
      </c>
      <c r="CL411" s="42">
        <f>CL$324*CL410</f>
        <v>0</v>
      </c>
      <c r="CM411" s="42">
        <f ca="1">CM$324*CM410</f>
        <v>0</v>
      </c>
      <c r="CN411" s="736">
        <f ca="1">CO411+CP411</f>
        <v>0</v>
      </c>
      <c r="CO411" s="42">
        <f>CO$324*CO410</f>
        <v>0</v>
      </c>
      <c r="CP411" s="42">
        <f ca="1">CP$324*CP410</f>
        <v>0</v>
      </c>
      <c r="CQ411" s="736">
        <f ca="1">CR411+CS411</f>
        <v>0</v>
      </c>
      <c r="CR411" s="42">
        <f>CR$324*CR410</f>
        <v>0</v>
      </c>
      <c r="CS411" s="42">
        <f ca="1">CS$324*CS410</f>
        <v>0</v>
      </c>
      <c r="CT411" s="28"/>
      <c r="CW411" s="970" t="s">
        <v>900</v>
      </c>
      <c r="CX411" s="975"/>
      <c r="CY411" s="975"/>
      <c r="CZ411" s="975"/>
      <c r="DA411" s="976"/>
      <c r="DB411" s="976"/>
    </row>
    <row r="412" spans="1:106" s="1229" customFormat="1" ht="16.5" hidden="1" customHeight="1">
      <c r="E412" s="676">
        <v>17.100000000000001</v>
      </c>
      <c r="F412" s="779" t="str" cm="1">
        <f t="array" aca="1" ref="F412" ca="1">OFFSET(G412,-1,-1)</f>
        <v>2</v>
      </c>
      <c r="L412" s="779" t="b" cm="1">
        <f t="array" aca="1" ref="L412" ca="1">OFFSET(M412,-1,-1)</f>
        <v>0</v>
      </c>
      <c r="S412" s="110" t="b" cm="1">
        <f t="array" aca="1" ref="S412" ca="1">OFFSET(T412,-1,-1)</f>
        <v>1</v>
      </c>
      <c r="T412" s="110" t="b">
        <f>AD412&lt;&gt;"38.0"</f>
        <v>0</v>
      </c>
      <c r="U412" s="698" t="b">
        <f t="shared" ref="U412:U475" ca="1" si="417">AND(S412,IF(ISBLANK(T412),TRUE,T412))</f>
        <v>0</v>
      </c>
      <c r="X412" s="110" t="s">
        <v>236</v>
      </c>
      <c r="Y412" s="1722"/>
      <c r="Z412" s="1722"/>
      <c r="AB412" s="1784"/>
      <c r="AD412" s="111" t="s">
        <v>901</v>
      </c>
      <c r="AE412" s="821"/>
      <c r="AF412" s="524"/>
      <c r="AG412" s="733" t="s">
        <v>839</v>
      </c>
      <c r="AH412" s="41"/>
      <c r="AI412" s="42"/>
      <c r="AJ412" s="42"/>
      <c r="AK412" s="42"/>
      <c r="AL412" s="736">
        <f>AM412+AN412</f>
        <v>0</v>
      </c>
      <c r="AM412" s="42"/>
      <c r="AN412" s="42"/>
      <c r="AO412" s="736">
        <f>AP412+AQ412</f>
        <v>0</v>
      </c>
      <c r="AP412" s="826"/>
      <c r="AQ412" s="826"/>
      <c r="AR412" s="736">
        <f>AS412+AT412</f>
        <v>0</v>
      </c>
      <c r="AS412" s="826"/>
      <c r="AT412" s="826"/>
      <c r="AU412" s="736">
        <f>AV412+AW412</f>
        <v>0</v>
      </c>
      <c r="AV412" s="826"/>
      <c r="AW412" s="826"/>
      <c r="AX412" s="736">
        <f>AY412+AZ412</f>
        <v>0</v>
      </c>
      <c r="AY412" s="826"/>
      <c r="AZ412" s="826"/>
      <c r="BA412" s="736">
        <f>BB412+BC412</f>
        <v>0</v>
      </c>
      <c r="BB412" s="42"/>
      <c r="BC412" s="42"/>
      <c r="BD412" s="736">
        <f>BE412+BF412</f>
        <v>0</v>
      </c>
      <c r="BE412" s="42"/>
      <c r="BF412" s="42"/>
      <c r="BG412" s="736">
        <f>BH412+BI412</f>
        <v>0</v>
      </c>
      <c r="BH412" s="42"/>
      <c r="BI412" s="42"/>
      <c r="BJ412" s="736">
        <f>BK412+BL412</f>
        <v>0</v>
      </c>
      <c r="BK412" s="42"/>
      <c r="BL412" s="42"/>
      <c r="BM412" s="736">
        <f>BN412+BO412</f>
        <v>0</v>
      </c>
      <c r="BN412" s="42"/>
      <c r="BO412" s="42"/>
      <c r="BP412" s="736">
        <f>BQ412+BR412</f>
        <v>0</v>
      </c>
      <c r="BQ412" s="826"/>
      <c r="BR412" s="826"/>
      <c r="BS412" s="736">
        <f>BT412+BU412</f>
        <v>0</v>
      </c>
      <c r="BT412" s="826"/>
      <c r="BU412" s="826"/>
      <c r="BV412" s="736">
        <f>BW412+BX412</f>
        <v>0</v>
      </c>
      <c r="BW412" s="826"/>
      <c r="BX412" s="826"/>
      <c r="BY412" s="736">
        <f>BZ412+CA412</f>
        <v>0</v>
      </c>
      <c r="BZ412" s="826"/>
      <c r="CA412" s="826"/>
      <c r="CB412" s="736">
        <f>CC412+CD412</f>
        <v>0</v>
      </c>
      <c r="CC412" s="826"/>
      <c r="CD412" s="826"/>
      <c r="CE412" s="736">
        <f>CF412+CG412</f>
        <v>0</v>
      </c>
      <c r="CF412" s="42"/>
      <c r="CG412" s="42"/>
      <c r="CH412" s="736">
        <f>CI412+CJ412</f>
        <v>0</v>
      </c>
      <c r="CI412" s="42"/>
      <c r="CJ412" s="42"/>
      <c r="CK412" s="736">
        <f>CL412+CM412</f>
        <v>0</v>
      </c>
      <c r="CL412" s="42"/>
      <c r="CM412" s="42"/>
      <c r="CN412" s="736">
        <f>CO412+CP412</f>
        <v>0</v>
      </c>
      <c r="CO412" s="42"/>
      <c r="CP412" s="42"/>
      <c r="CQ412" s="736">
        <f>CR412+CS412</f>
        <v>0</v>
      </c>
      <c r="CR412" s="42"/>
      <c r="CS412" s="42"/>
      <c r="CT412" s="28"/>
      <c r="CW412" s="970" t="s">
        <v>900</v>
      </c>
      <c r="CX412" s="975" t="s">
        <v>821</v>
      </c>
      <c r="CY412" s="979" cm="1">
        <f t="array" ref="CY412">AE412</f>
        <v>0</v>
      </c>
      <c r="CZ412" s="979" cm="1">
        <f t="array" ref="CZ412">AF412</f>
        <v>0</v>
      </c>
      <c r="DA412" s="976"/>
      <c r="DB412" s="976"/>
    </row>
    <row r="413" spans="1:106" s="1229" customFormat="1" ht="16.5" customHeight="1">
      <c r="E413" s="676">
        <v>17.100000000000001</v>
      </c>
      <c r="F413" s="779" t="str" cm="1">
        <f t="array" aca="1" ref="F413" ca="1">OFFSET(G413,-1,-1)</f>
        <v>2</v>
      </c>
      <c r="L413" s="779" t="b" cm="1">
        <f t="array" aca="1" ref="L413" ca="1">OFFSET(M413,-1,-1)</f>
        <v>0</v>
      </c>
      <c r="S413" s="110" t="b" cm="1">
        <f t="array" aca="1" ref="S413" ca="1">OFFSET(T413,-1,-1)</f>
        <v>1</v>
      </c>
      <c r="T413" s="110" t="b">
        <f>AD413&lt;&gt;"38.0"</f>
        <v>1</v>
      </c>
      <c r="U413" s="698" t="b">
        <f t="shared" ca="1" si="417"/>
        <v>1</v>
      </c>
      <c r="X413" s="110" t="str">
        <f>'Топливо 4.4'!$AE$408&amp;'Топливо 4.4'!$AF$408</f>
        <v>Уголь длиннопламенный</v>
      </c>
      <c r="Y413" s="1722"/>
      <c r="Z413" s="1722"/>
      <c r="AB413" s="1784"/>
      <c r="AD413" s="111" t="s">
        <v>971</v>
      </c>
      <c r="AE413" s="821" t="str" cm="1">
        <f t="array" ref="AE413">IF(ISBLANK('Топливо 4.4'!$AE$408),"",'Топливо 4.4'!$AE$408)</f>
        <v>Уголь длиннопламенный</v>
      </c>
      <c r="AF413" s="524" t="str" cm="1">
        <f t="array" ref="AF413">IF(ISBLANK('Топливо 4.4'!$AF$408),"",'Топливо 4.4'!$AF$408)</f>
        <v/>
      </c>
      <c r="AG413" s="733" t="s">
        <v>839</v>
      </c>
      <c r="AH413" s="1303"/>
      <c r="AI413" s="1302"/>
      <c r="AJ413" s="1302"/>
      <c r="AK413" s="1302"/>
      <c r="AL413" s="736">
        <f>AM413+AN413</f>
        <v>0</v>
      </c>
      <c r="AM413" s="1302"/>
      <c r="AN413" s="1302"/>
      <c r="AO413" s="736">
        <f>AP413+AQ413</f>
        <v>0</v>
      </c>
      <c r="AP413" s="826"/>
      <c r="AQ413" s="826"/>
      <c r="AR413" s="736">
        <f>AS413+AT413</f>
        <v>0</v>
      </c>
      <c r="AS413" s="826"/>
      <c r="AT413" s="826"/>
      <c r="AU413" s="736">
        <f>AV413+AW413</f>
        <v>0</v>
      </c>
      <c r="AV413" s="826"/>
      <c r="AW413" s="826"/>
      <c r="AX413" s="736">
        <f>AY413+AZ413</f>
        <v>0</v>
      </c>
      <c r="AY413" s="826"/>
      <c r="AZ413" s="826"/>
      <c r="BA413" s="736">
        <f>BB413+BC413</f>
        <v>0</v>
      </c>
      <c r="BB413" s="1302"/>
      <c r="BC413" s="1302"/>
      <c r="BD413" s="736">
        <f>BE413+BF413</f>
        <v>0</v>
      </c>
      <c r="BE413" s="1302"/>
      <c r="BF413" s="1302"/>
      <c r="BG413" s="736">
        <f>BH413+BI413</f>
        <v>0</v>
      </c>
      <c r="BH413" s="1302"/>
      <c r="BI413" s="1302"/>
      <c r="BJ413" s="736">
        <f>BK413+BL413</f>
        <v>0</v>
      </c>
      <c r="BK413" s="1302"/>
      <c r="BL413" s="1302"/>
      <c r="BM413" s="736">
        <f>BN413+BO413</f>
        <v>0</v>
      </c>
      <c r="BN413" s="1302"/>
      <c r="BO413" s="1302"/>
      <c r="BP413" s="736">
        <f>BQ413+BR413</f>
        <v>2053.84</v>
      </c>
      <c r="BQ413" s="826">
        <v>1465.8256080000001</v>
      </c>
      <c r="BR413" s="826">
        <v>588.01439200000004</v>
      </c>
      <c r="BS413" s="736">
        <f>BT413+BU413</f>
        <v>0</v>
      </c>
      <c r="BT413" s="826"/>
      <c r="BU413" s="826"/>
      <c r="BV413" s="736">
        <f>BW413+BX413</f>
        <v>0</v>
      </c>
      <c r="BW413" s="826"/>
      <c r="BX413" s="826"/>
      <c r="BY413" s="736">
        <f>BZ413+CA413</f>
        <v>0</v>
      </c>
      <c r="BZ413" s="826"/>
      <c r="CA413" s="826"/>
      <c r="CB413" s="736">
        <f>CC413+CD413</f>
        <v>0</v>
      </c>
      <c r="CC413" s="826"/>
      <c r="CD413" s="826"/>
      <c r="CE413" s="736">
        <f>CF413+CG413</f>
        <v>0</v>
      </c>
      <c r="CF413" s="1302"/>
      <c r="CG413" s="1302"/>
      <c r="CH413" s="736">
        <f>CI413+CJ413</f>
        <v>0</v>
      </c>
      <c r="CI413" s="1302"/>
      <c r="CJ413" s="1302"/>
      <c r="CK413" s="736">
        <f>CL413+CM413</f>
        <v>0</v>
      </c>
      <c r="CL413" s="1302"/>
      <c r="CM413" s="1302"/>
      <c r="CN413" s="736">
        <f>CO413+CP413</f>
        <v>0</v>
      </c>
      <c r="CO413" s="1302"/>
      <c r="CP413" s="1302"/>
      <c r="CQ413" s="736">
        <f>CR413+CS413</f>
        <v>0</v>
      </c>
      <c r="CR413" s="1302"/>
      <c r="CS413" s="1302"/>
      <c r="CT413" s="1290"/>
      <c r="CW413" s="970" t="s">
        <v>900</v>
      </c>
      <c r="CX413" s="975" t="s">
        <v>821</v>
      </c>
      <c r="CY413" s="979" t="str" cm="1">
        <f t="array" ref="CY413">AE413</f>
        <v>Уголь длиннопламенный</v>
      </c>
      <c r="CZ413" s="979" t="str" cm="1">
        <f t="array" ref="CZ413">AF413</f>
        <v/>
      </c>
      <c r="DA413" s="976"/>
      <c r="DB413" s="976"/>
    </row>
    <row r="414" spans="1:106" s="1229" customFormat="1" ht="15" hidden="1" customHeight="1">
      <c r="A414" s="1155"/>
      <c r="B414" s="783"/>
      <c r="C414" s="1155"/>
      <c r="D414" s="1155"/>
      <c r="E414" s="676">
        <v>0</v>
      </c>
      <c r="F414" s="779" t="str" cm="1">
        <f t="array" aca="1" ref="F414" ca="1">OFFSET(G414,-1,-1)</f>
        <v>2</v>
      </c>
      <c r="G414" s="814"/>
      <c r="H414" s="814"/>
      <c r="I414" s="814"/>
      <c r="J414" s="814"/>
      <c r="K414" s="814"/>
      <c r="L414" s="779" t="b" cm="1">
        <f t="array" aca="1" ref="L414" ca="1">OFFSET(M414,-1,-1)</f>
        <v>0</v>
      </c>
      <c r="M414" s="814"/>
      <c r="N414" s="814"/>
      <c r="O414" s="814"/>
      <c r="P414" s="814"/>
      <c r="Q414" s="814"/>
      <c r="R414" s="1155"/>
      <c r="S414" s="110" t="b" cm="1">
        <f t="array" aca="1" ref="S414" ca="1">OFFSET(T414,-1,-1)</f>
        <v>1</v>
      </c>
      <c r="T414" s="1155"/>
      <c r="U414" s="698" t="b">
        <f t="shared" ca="1" si="417"/>
        <v>1</v>
      </c>
      <c r="V414" s="1155"/>
      <c r="W414" s="1155"/>
      <c r="X414" s="820" t="str">
        <f>"{                  
         funcDyn: 'msg1',
         blok: 'blok_2',
         wsCross: 'Топливо 4.4',
         linkFormula: 'AE-AE#AF-AF',
         levelDyn: "&amp;Y300&amp;"
}"</f>
        <v>{                  
         funcDyn: 'msg1',
         blok: 'blok_2',
         wsCross: 'Топливо 4.4',
         linkFormula: 'AE-AE#AF-AF',
         levelDyn: 2
}</v>
      </c>
      <c r="Y414" s="1687"/>
      <c r="Z414" s="1687"/>
      <c r="AA414" s="699"/>
      <c r="AB414" s="1784"/>
      <c r="AD414" s="823"/>
      <c r="AE414" s="822" t="s">
        <v>238</v>
      </c>
      <c r="AF414" s="745"/>
      <c r="AG414" s="733"/>
      <c r="AH414" s="735"/>
      <c r="AI414" s="737"/>
      <c r="AJ414" s="737"/>
      <c r="AK414" s="737"/>
      <c r="AL414" s="737"/>
      <c r="AM414" s="737"/>
      <c r="AN414" s="737"/>
      <c r="AO414" s="737"/>
      <c r="AP414" s="737"/>
      <c r="AQ414" s="737"/>
      <c r="AR414" s="737"/>
      <c r="AS414" s="737"/>
      <c r="AT414" s="737"/>
      <c r="AU414" s="737"/>
      <c r="AV414" s="737"/>
      <c r="AW414" s="737"/>
      <c r="AX414" s="737"/>
      <c r="AY414" s="737"/>
      <c r="AZ414" s="737"/>
      <c r="BA414" s="737"/>
      <c r="BB414" s="737"/>
      <c r="BC414" s="737"/>
      <c r="BD414" s="737"/>
      <c r="BE414" s="737"/>
      <c r="BF414" s="737"/>
      <c r="BG414" s="737"/>
      <c r="BH414" s="737"/>
      <c r="BI414" s="737"/>
      <c r="BJ414" s="737"/>
      <c r="BK414" s="737"/>
      <c r="BL414" s="737"/>
      <c r="BM414" s="737"/>
      <c r="BN414" s="737"/>
      <c r="BO414" s="737"/>
      <c r="BP414" s="737"/>
      <c r="BQ414" s="737"/>
      <c r="BR414" s="737"/>
      <c r="BS414" s="737"/>
      <c r="BT414" s="737"/>
      <c r="BU414" s="737"/>
      <c r="BV414" s="737"/>
      <c r="BW414" s="737"/>
      <c r="BX414" s="737"/>
      <c r="BY414" s="737"/>
      <c r="BZ414" s="737"/>
      <c r="CA414" s="737"/>
      <c r="CB414" s="737"/>
      <c r="CC414" s="737"/>
      <c r="CD414" s="737"/>
      <c r="CE414" s="737"/>
      <c r="CF414" s="737"/>
      <c r="CG414" s="737"/>
      <c r="CH414" s="737"/>
      <c r="CI414" s="737"/>
      <c r="CJ414" s="737"/>
      <c r="CK414" s="737"/>
      <c r="CL414" s="737"/>
      <c r="CM414" s="737"/>
      <c r="CN414" s="737"/>
      <c r="CO414" s="737"/>
      <c r="CP414" s="737"/>
      <c r="CQ414" s="737"/>
      <c r="CR414" s="737"/>
      <c r="CS414" s="737"/>
      <c r="CT414" s="46"/>
      <c r="CW414" s="970" t="str">
        <f>IF(AND(ISNUMBER(VALUE(TRIM(SUBSTITUTE(AD414,".","")))),TRIM(SUBSTITUTE(AD414,".",""))&lt;&gt;""),"P"&amp;SUBSTITUTE(AD414,".",""),"")</f>
        <v/>
      </c>
      <c r="CX414" s="975"/>
      <c r="CY414" s="975"/>
      <c r="CZ414" s="975"/>
      <c r="DA414" s="976"/>
      <c r="DB414" s="976"/>
    </row>
    <row r="415" spans="1:106" s="1229" customFormat="1" ht="29.25" hidden="1" customHeight="1">
      <c r="A415" s="1155"/>
      <c r="B415" s="783"/>
      <c r="C415" s="1155"/>
      <c r="D415" s="1155"/>
      <c r="E415" s="676">
        <v>30</v>
      </c>
      <c r="F415" s="779" t="str" cm="1">
        <f t="array" aca="1" ref="F415" ca="1">OFFSET(G415,-1,-1)</f>
        <v>2</v>
      </c>
      <c r="G415" s="814"/>
      <c r="H415" s="814"/>
      <c r="I415" s="814"/>
      <c r="J415" s="814"/>
      <c r="K415" s="814"/>
      <c r="L415" s="779" t="b" cm="1">
        <f t="array" aca="1" ref="L415" ca="1">OFFSET(M415,-1,-1)</f>
        <v>0</v>
      </c>
      <c r="M415" s="814"/>
      <c r="N415" s="814"/>
      <c r="O415" s="814"/>
      <c r="P415" s="814"/>
      <c r="Q415" s="814"/>
      <c r="R415" s="779" t="s">
        <v>759</v>
      </c>
      <c r="S415" s="110" t="b" cm="1">
        <f t="array" aca="1" ref="S415" ca="1">OFFSET(T415,-1,-1)</f>
        <v>1</v>
      </c>
      <c r="T415" s="110" t="b" cm="1">
        <f t="array" aca="1" ref="T415" ca="1">L415</f>
        <v>0</v>
      </c>
      <c r="U415" s="698" t="b">
        <f t="shared" ca="1" si="417"/>
        <v>0</v>
      </c>
      <c r="V415" s="1155"/>
      <c r="W415" s="1155"/>
      <c r="X415" s="1155"/>
      <c r="Y415" s="1687"/>
      <c r="Z415" s="1687"/>
      <c r="AA415" s="699"/>
      <c r="AB415" s="1784"/>
      <c r="AD415" s="124" t="s">
        <v>902</v>
      </c>
      <c r="AE415" s="1757" t="s">
        <v>903</v>
      </c>
      <c r="AF415" s="1758"/>
      <c r="AG415" s="733" t="s">
        <v>839</v>
      </c>
      <c r="AH415" s="734">
        <f t="shared" ref="AH415:BM415" si="418">SUM(AH416:AH418)</f>
        <v>0</v>
      </c>
      <c r="AI415" s="734">
        <f t="shared" si="418"/>
        <v>0</v>
      </c>
      <c r="AJ415" s="734">
        <f t="shared" si="418"/>
        <v>0</v>
      </c>
      <c r="AK415" s="734">
        <f t="shared" si="418"/>
        <v>0</v>
      </c>
      <c r="AL415" s="734">
        <f t="shared" ca="1" si="418"/>
        <v>0</v>
      </c>
      <c r="AM415" s="734">
        <f t="shared" si="418"/>
        <v>0</v>
      </c>
      <c r="AN415" s="734">
        <f t="shared" ca="1" si="418"/>
        <v>0</v>
      </c>
      <c r="AO415" s="734">
        <f t="shared" ca="1" si="418"/>
        <v>0</v>
      </c>
      <c r="AP415" s="734">
        <f t="shared" si="418"/>
        <v>0</v>
      </c>
      <c r="AQ415" s="734">
        <f t="shared" ca="1" si="418"/>
        <v>0</v>
      </c>
      <c r="AR415" s="734">
        <f t="shared" ca="1" si="418"/>
        <v>0</v>
      </c>
      <c r="AS415" s="734">
        <f t="shared" si="418"/>
        <v>0</v>
      </c>
      <c r="AT415" s="734">
        <f t="shared" ca="1" si="418"/>
        <v>0</v>
      </c>
      <c r="AU415" s="734">
        <f t="shared" ca="1" si="418"/>
        <v>0</v>
      </c>
      <c r="AV415" s="734">
        <f t="shared" si="418"/>
        <v>0</v>
      </c>
      <c r="AW415" s="734">
        <f t="shared" ca="1" si="418"/>
        <v>0</v>
      </c>
      <c r="AX415" s="734">
        <f t="shared" ca="1" si="418"/>
        <v>0</v>
      </c>
      <c r="AY415" s="734">
        <f t="shared" si="418"/>
        <v>0</v>
      </c>
      <c r="AZ415" s="734">
        <f t="shared" ca="1" si="418"/>
        <v>0</v>
      </c>
      <c r="BA415" s="734">
        <f t="shared" ca="1" si="418"/>
        <v>0</v>
      </c>
      <c r="BB415" s="734">
        <f t="shared" si="418"/>
        <v>0</v>
      </c>
      <c r="BC415" s="734">
        <f t="shared" ca="1" si="418"/>
        <v>0</v>
      </c>
      <c r="BD415" s="734">
        <f t="shared" ca="1" si="418"/>
        <v>0</v>
      </c>
      <c r="BE415" s="734">
        <f t="shared" si="418"/>
        <v>0</v>
      </c>
      <c r="BF415" s="734">
        <f t="shared" ca="1" si="418"/>
        <v>0</v>
      </c>
      <c r="BG415" s="734">
        <f t="shared" ca="1" si="418"/>
        <v>0</v>
      </c>
      <c r="BH415" s="734">
        <f t="shared" si="418"/>
        <v>0</v>
      </c>
      <c r="BI415" s="734">
        <f t="shared" ca="1" si="418"/>
        <v>0</v>
      </c>
      <c r="BJ415" s="734">
        <f t="shared" ca="1" si="418"/>
        <v>0</v>
      </c>
      <c r="BK415" s="734">
        <f t="shared" si="418"/>
        <v>0</v>
      </c>
      <c r="BL415" s="734">
        <f t="shared" ca="1" si="418"/>
        <v>0</v>
      </c>
      <c r="BM415" s="734">
        <f t="shared" ca="1" si="418"/>
        <v>0</v>
      </c>
      <c r="BN415" s="734">
        <f t="shared" ref="BN415:CS415" si="419">SUM(BN416:BN418)</f>
        <v>0</v>
      </c>
      <c r="BO415" s="734">
        <f t="shared" ca="1" si="419"/>
        <v>0</v>
      </c>
      <c r="BP415" s="734">
        <f t="shared" ca="1" si="419"/>
        <v>2053.84</v>
      </c>
      <c r="BQ415" s="734">
        <f t="shared" si="419"/>
        <v>1465.8256080000001</v>
      </c>
      <c r="BR415" s="734">
        <f t="shared" ca="1" si="419"/>
        <v>588.01439200000004</v>
      </c>
      <c r="BS415" s="734">
        <f t="shared" ca="1" si="419"/>
        <v>0</v>
      </c>
      <c r="BT415" s="734">
        <f t="shared" si="419"/>
        <v>0</v>
      </c>
      <c r="BU415" s="734">
        <f t="shared" ca="1" si="419"/>
        <v>0</v>
      </c>
      <c r="BV415" s="734">
        <f t="shared" ca="1" si="419"/>
        <v>0</v>
      </c>
      <c r="BW415" s="734">
        <f t="shared" si="419"/>
        <v>0</v>
      </c>
      <c r="BX415" s="734">
        <f t="shared" ca="1" si="419"/>
        <v>0</v>
      </c>
      <c r="BY415" s="734">
        <f t="shared" ca="1" si="419"/>
        <v>0</v>
      </c>
      <c r="BZ415" s="734">
        <f t="shared" si="419"/>
        <v>0</v>
      </c>
      <c r="CA415" s="734">
        <f t="shared" ca="1" si="419"/>
        <v>0</v>
      </c>
      <c r="CB415" s="734">
        <f t="shared" ca="1" si="419"/>
        <v>0</v>
      </c>
      <c r="CC415" s="734">
        <f t="shared" si="419"/>
        <v>0</v>
      </c>
      <c r="CD415" s="734">
        <f t="shared" ca="1" si="419"/>
        <v>0</v>
      </c>
      <c r="CE415" s="734">
        <f t="shared" ca="1" si="419"/>
        <v>0</v>
      </c>
      <c r="CF415" s="734">
        <f t="shared" si="419"/>
        <v>0</v>
      </c>
      <c r="CG415" s="734">
        <f t="shared" ca="1" si="419"/>
        <v>0</v>
      </c>
      <c r="CH415" s="734">
        <f t="shared" ca="1" si="419"/>
        <v>0</v>
      </c>
      <c r="CI415" s="734">
        <f t="shared" si="419"/>
        <v>0</v>
      </c>
      <c r="CJ415" s="734">
        <f t="shared" ca="1" si="419"/>
        <v>0</v>
      </c>
      <c r="CK415" s="734">
        <f t="shared" ca="1" si="419"/>
        <v>0</v>
      </c>
      <c r="CL415" s="734">
        <f t="shared" si="419"/>
        <v>0</v>
      </c>
      <c r="CM415" s="734">
        <f t="shared" ca="1" si="419"/>
        <v>0</v>
      </c>
      <c r="CN415" s="734">
        <f t="shared" ca="1" si="419"/>
        <v>0</v>
      </c>
      <c r="CO415" s="734">
        <f t="shared" si="419"/>
        <v>0</v>
      </c>
      <c r="CP415" s="734">
        <f t="shared" ca="1" si="419"/>
        <v>0</v>
      </c>
      <c r="CQ415" s="734">
        <f t="shared" ca="1" si="419"/>
        <v>0</v>
      </c>
      <c r="CR415" s="734">
        <f t="shared" si="419"/>
        <v>0</v>
      </c>
      <c r="CS415" s="734">
        <f t="shared" ca="1" si="419"/>
        <v>0</v>
      </c>
      <c r="CT415" s="28"/>
      <c r="CW415" s="970" t="s">
        <v>904</v>
      </c>
      <c r="CX415" s="975"/>
      <c r="CY415" s="975"/>
      <c r="CZ415" s="975"/>
      <c r="DA415" s="976"/>
      <c r="DB415" s="976"/>
    </row>
    <row r="416" spans="1:106" s="1229" customFormat="1" ht="16.5" hidden="1" customHeight="1">
      <c r="E416" s="676">
        <v>17.100000000000001</v>
      </c>
      <c r="F416" s="779" t="str" cm="1">
        <f t="array" aca="1" ref="F416" ca="1">OFFSET(G416,-1,-1)</f>
        <v>2</v>
      </c>
      <c r="L416" s="779" t="b" cm="1">
        <f t="array" aca="1" ref="L416" ca="1">OFFSET(M416,-1,-1)</f>
        <v>0</v>
      </c>
      <c r="R416" s="779" t="s">
        <v>759</v>
      </c>
      <c r="S416" s="110" t="b" cm="1">
        <f t="array" aca="1" ref="S416" ca="1">OFFSET(T416,-1,-1)</f>
        <v>1</v>
      </c>
      <c r="T416" s="110" t="b">
        <f ca="1">AND(L416,AD416&lt;&gt;"39.0")</f>
        <v>0</v>
      </c>
      <c r="U416" s="698" t="b">
        <f t="shared" ca="1" si="417"/>
        <v>0</v>
      </c>
      <c r="X416" s="110" t="s">
        <v>236</v>
      </c>
      <c r="Y416" s="1722"/>
      <c r="Z416" s="1722"/>
      <c r="AB416" s="1784"/>
      <c r="AD416" s="111" t="s">
        <v>905</v>
      </c>
      <c r="AE416" s="821"/>
      <c r="AF416" s="524"/>
      <c r="AG416" s="733" t="s">
        <v>839</v>
      </c>
      <c r="AH416" s="41">
        <f t="shared" ref="AH416:AK417" si="420">AH$324*AH412</f>
        <v>0</v>
      </c>
      <c r="AI416" s="42">
        <f t="shared" si="420"/>
        <v>0</v>
      </c>
      <c r="AJ416" s="42">
        <f t="shared" si="420"/>
        <v>0</v>
      </c>
      <c r="AK416" s="42">
        <f t="shared" si="420"/>
        <v>0</v>
      </c>
      <c r="AL416" s="736">
        <f ca="1">AM416+AN416</f>
        <v>0</v>
      </c>
      <c r="AM416" s="42">
        <f>AM$324*AM412</f>
        <v>0</v>
      </c>
      <c r="AN416" s="42">
        <f ca="1">AN$324*AN412</f>
        <v>0</v>
      </c>
      <c r="AO416" s="736">
        <f ca="1">AP416+AQ416</f>
        <v>0</v>
      </c>
      <c r="AP416" s="826">
        <f>AP$324*AP412</f>
        <v>0</v>
      </c>
      <c r="AQ416" s="826">
        <f ca="1">AQ$324*AQ412</f>
        <v>0</v>
      </c>
      <c r="AR416" s="736">
        <f ca="1">AS416+AT416</f>
        <v>0</v>
      </c>
      <c r="AS416" s="826">
        <f>AS$324*AS412</f>
        <v>0</v>
      </c>
      <c r="AT416" s="826">
        <f ca="1">AT$324*AT412</f>
        <v>0</v>
      </c>
      <c r="AU416" s="736">
        <f ca="1">AV416+AW416</f>
        <v>0</v>
      </c>
      <c r="AV416" s="826">
        <f>AV$324*AV412</f>
        <v>0</v>
      </c>
      <c r="AW416" s="826">
        <f ca="1">AW$324*AW412</f>
        <v>0</v>
      </c>
      <c r="AX416" s="736">
        <f ca="1">AY416+AZ416</f>
        <v>0</v>
      </c>
      <c r="AY416" s="826">
        <f>AY$324*AY412</f>
        <v>0</v>
      </c>
      <c r="AZ416" s="826">
        <f ca="1">AZ$324*AZ412</f>
        <v>0</v>
      </c>
      <c r="BA416" s="736">
        <f ca="1">BB416+BC416</f>
        <v>0</v>
      </c>
      <c r="BB416" s="42">
        <f>BB$324*BB412</f>
        <v>0</v>
      </c>
      <c r="BC416" s="42">
        <f ca="1">BC$324*BC412</f>
        <v>0</v>
      </c>
      <c r="BD416" s="736">
        <f ca="1">BE416+BF416</f>
        <v>0</v>
      </c>
      <c r="BE416" s="42">
        <f>BE$324*BE412</f>
        <v>0</v>
      </c>
      <c r="BF416" s="42">
        <f ca="1">BF$324*BF412</f>
        <v>0</v>
      </c>
      <c r="BG416" s="736">
        <f ca="1">BH416+BI416</f>
        <v>0</v>
      </c>
      <c r="BH416" s="42">
        <f>BH$324*BH412</f>
        <v>0</v>
      </c>
      <c r="BI416" s="42">
        <f ca="1">BI$324*BI412</f>
        <v>0</v>
      </c>
      <c r="BJ416" s="736">
        <f ca="1">BK416+BL416</f>
        <v>0</v>
      </c>
      <c r="BK416" s="42">
        <f>BK$324*BK412</f>
        <v>0</v>
      </c>
      <c r="BL416" s="42">
        <f ca="1">BL$324*BL412</f>
        <v>0</v>
      </c>
      <c r="BM416" s="736">
        <f ca="1">BN416+BO416</f>
        <v>0</v>
      </c>
      <c r="BN416" s="42">
        <f>BN$324*BN412</f>
        <v>0</v>
      </c>
      <c r="BO416" s="42">
        <f ca="1">BO$324*BO412</f>
        <v>0</v>
      </c>
      <c r="BP416" s="736">
        <f ca="1">BQ416+BR416</f>
        <v>0</v>
      </c>
      <c r="BQ416" s="826">
        <f>BQ$324*BQ412</f>
        <v>0</v>
      </c>
      <c r="BR416" s="826">
        <f ca="1">BR$324*BR412</f>
        <v>0</v>
      </c>
      <c r="BS416" s="736">
        <f ca="1">BT416+BU416</f>
        <v>0</v>
      </c>
      <c r="BT416" s="826">
        <f>BT$324*BT412</f>
        <v>0</v>
      </c>
      <c r="BU416" s="826">
        <f ca="1">BU$324*BU412</f>
        <v>0</v>
      </c>
      <c r="BV416" s="736">
        <f ca="1">BW416+BX416</f>
        <v>0</v>
      </c>
      <c r="BW416" s="826">
        <f>BW$324*BW412</f>
        <v>0</v>
      </c>
      <c r="BX416" s="826">
        <f ca="1">BX$324*BX412</f>
        <v>0</v>
      </c>
      <c r="BY416" s="736">
        <f ca="1">BZ416+CA416</f>
        <v>0</v>
      </c>
      <c r="BZ416" s="826">
        <f>BZ$324*BZ412</f>
        <v>0</v>
      </c>
      <c r="CA416" s="826">
        <f ca="1">CA$324*CA412</f>
        <v>0</v>
      </c>
      <c r="CB416" s="736">
        <f ca="1">CC416+CD416</f>
        <v>0</v>
      </c>
      <c r="CC416" s="826">
        <f>CC$324*CC412</f>
        <v>0</v>
      </c>
      <c r="CD416" s="826">
        <f ca="1">CD$324*CD412</f>
        <v>0</v>
      </c>
      <c r="CE416" s="736">
        <f ca="1">CF416+CG416</f>
        <v>0</v>
      </c>
      <c r="CF416" s="42">
        <f>CF$324*CF412</f>
        <v>0</v>
      </c>
      <c r="CG416" s="42">
        <f ca="1">CG$324*CG412</f>
        <v>0</v>
      </c>
      <c r="CH416" s="736">
        <f ca="1">CI416+CJ416</f>
        <v>0</v>
      </c>
      <c r="CI416" s="42">
        <f>CI$324*CI412</f>
        <v>0</v>
      </c>
      <c r="CJ416" s="42">
        <f ca="1">CJ$324*CJ412</f>
        <v>0</v>
      </c>
      <c r="CK416" s="736">
        <f ca="1">CL416+CM416</f>
        <v>0</v>
      </c>
      <c r="CL416" s="42">
        <f>CL$324*CL412</f>
        <v>0</v>
      </c>
      <c r="CM416" s="42">
        <f ca="1">CM$324*CM412</f>
        <v>0</v>
      </c>
      <c r="CN416" s="736">
        <f ca="1">CO416+CP416</f>
        <v>0</v>
      </c>
      <c r="CO416" s="42">
        <f>CO$324*CO412</f>
        <v>0</v>
      </c>
      <c r="CP416" s="42">
        <f ca="1">CP$324*CP412</f>
        <v>0</v>
      </c>
      <c r="CQ416" s="736">
        <f ca="1">CR416+CS416</f>
        <v>0</v>
      </c>
      <c r="CR416" s="42">
        <f>CR$324*CR412</f>
        <v>0</v>
      </c>
      <c r="CS416" s="42">
        <f ca="1">CS$324*CS412</f>
        <v>0</v>
      </c>
      <c r="CT416" s="28"/>
      <c r="CW416" s="970" t="s">
        <v>904</v>
      </c>
      <c r="CX416" s="975" t="s">
        <v>821</v>
      </c>
      <c r="CY416" s="979" cm="1">
        <f t="array" ref="CY416">AE416</f>
        <v>0</v>
      </c>
      <c r="CZ416" s="979" cm="1">
        <f t="array" ref="CZ416">AF416</f>
        <v>0</v>
      </c>
      <c r="DA416" s="976"/>
      <c r="DB416" s="976"/>
    </row>
    <row r="417" spans="1:106" s="1229" customFormat="1" ht="16.5" hidden="1" customHeight="1">
      <c r="E417" s="676">
        <v>17.100000000000001</v>
      </c>
      <c r="F417" s="779" t="str" cm="1">
        <f t="array" aca="1" ref="F417" ca="1">OFFSET(G417,-1,-1)</f>
        <v>2</v>
      </c>
      <c r="L417" s="779" t="b" cm="1">
        <f t="array" aca="1" ref="L417" ca="1">OFFSET(M417,-1,-1)</f>
        <v>0</v>
      </c>
      <c r="R417" s="779" t="s">
        <v>759</v>
      </c>
      <c r="S417" s="110" t="b" cm="1">
        <f t="array" aca="1" ref="S417" ca="1">OFFSET(T417,-1,-1)</f>
        <v>1</v>
      </c>
      <c r="T417" s="110" t="b">
        <f ca="1">AND(L417,AD417&lt;&gt;"39.0")</f>
        <v>0</v>
      </c>
      <c r="U417" s="698" t="b">
        <f t="shared" ca="1" si="417"/>
        <v>0</v>
      </c>
      <c r="X417" s="110" t="str">
        <f>'Топливо 4.4'!$AE$413&amp;'Топливо 4.4'!$AF$413</f>
        <v>Уголь длиннопламенный</v>
      </c>
      <c r="Y417" s="1722"/>
      <c r="Z417" s="1722"/>
      <c r="AB417" s="1784"/>
      <c r="AD417" s="111" t="s">
        <v>973</v>
      </c>
      <c r="AE417" s="821" t="str" cm="1">
        <f t="array" ref="AE417">IF(ISBLANK('Топливо 4.4'!$AE$413),"",'Топливо 4.4'!$AE$413)</f>
        <v>Уголь длиннопламенный</v>
      </c>
      <c r="AF417" s="524" t="str" cm="1">
        <f t="array" ref="AF417">IF(ISBLANK('Топливо 4.4'!$AF$413),"",'Топливо 4.4'!$AF$413)</f>
        <v/>
      </c>
      <c r="AG417" s="733" t="s">
        <v>839</v>
      </c>
      <c r="AH417" s="41">
        <f t="shared" si="420"/>
        <v>0</v>
      </c>
      <c r="AI417" s="42">
        <f t="shared" si="420"/>
        <v>0</v>
      </c>
      <c r="AJ417" s="42">
        <f t="shared" si="420"/>
        <v>0</v>
      </c>
      <c r="AK417" s="42">
        <f t="shared" si="420"/>
        <v>0</v>
      </c>
      <c r="AL417" s="736">
        <f ca="1">AM417+AN417</f>
        <v>0</v>
      </c>
      <c r="AM417" s="42">
        <f>AM$324*AM413</f>
        <v>0</v>
      </c>
      <c r="AN417" s="42">
        <f ca="1">AN$324*AN413</f>
        <v>0</v>
      </c>
      <c r="AO417" s="736">
        <f ca="1">AP417+AQ417</f>
        <v>0</v>
      </c>
      <c r="AP417" s="826">
        <f>AP$324*AP413</f>
        <v>0</v>
      </c>
      <c r="AQ417" s="826">
        <f ca="1">AQ$324*AQ413</f>
        <v>0</v>
      </c>
      <c r="AR417" s="736">
        <f ca="1">AS417+AT417</f>
        <v>0</v>
      </c>
      <c r="AS417" s="826">
        <f>AS$324*AS413</f>
        <v>0</v>
      </c>
      <c r="AT417" s="826">
        <f ca="1">AT$324*AT413</f>
        <v>0</v>
      </c>
      <c r="AU417" s="736">
        <f ca="1">AV417+AW417</f>
        <v>0</v>
      </c>
      <c r="AV417" s="826">
        <f>AV$324*AV413</f>
        <v>0</v>
      </c>
      <c r="AW417" s="826">
        <f ca="1">AW$324*AW413</f>
        <v>0</v>
      </c>
      <c r="AX417" s="736">
        <f ca="1">AY417+AZ417</f>
        <v>0</v>
      </c>
      <c r="AY417" s="826">
        <f>AY$324*AY413</f>
        <v>0</v>
      </c>
      <c r="AZ417" s="826">
        <f ca="1">AZ$324*AZ413</f>
        <v>0</v>
      </c>
      <c r="BA417" s="736">
        <f ca="1">BB417+BC417</f>
        <v>0</v>
      </c>
      <c r="BB417" s="42">
        <f>BB$324*BB413</f>
        <v>0</v>
      </c>
      <c r="BC417" s="42">
        <f ca="1">BC$324*BC413</f>
        <v>0</v>
      </c>
      <c r="BD417" s="736">
        <f ca="1">BE417+BF417</f>
        <v>0</v>
      </c>
      <c r="BE417" s="42">
        <f>BE$324*BE413</f>
        <v>0</v>
      </c>
      <c r="BF417" s="42">
        <f ca="1">BF$324*BF413</f>
        <v>0</v>
      </c>
      <c r="BG417" s="736">
        <f ca="1">BH417+BI417</f>
        <v>0</v>
      </c>
      <c r="BH417" s="42">
        <f>BH$324*BH413</f>
        <v>0</v>
      </c>
      <c r="BI417" s="42">
        <f ca="1">BI$324*BI413</f>
        <v>0</v>
      </c>
      <c r="BJ417" s="736">
        <f ca="1">BK417+BL417</f>
        <v>0</v>
      </c>
      <c r="BK417" s="42">
        <f>BK$324*BK413</f>
        <v>0</v>
      </c>
      <c r="BL417" s="42">
        <f ca="1">BL$324*BL413</f>
        <v>0</v>
      </c>
      <c r="BM417" s="736">
        <f ca="1">BN417+BO417</f>
        <v>0</v>
      </c>
      <c r="BN417" s="42">
        <f>BN$324*BN413</f>
        <v>0</v>
      </c>
      <c r="BO417" s="42">
        <f ca="1">BO$324*BO413</f>
        <v>0</v>
      </c>
      <c r="BP417" s="736">
        <f ca="1">BQ417+BR417</f>
        <v>2053.84</v>
      </c>
      <c r="BQ417" s="826">
        <f>BQ$324*BQ413</f>
        <v>1465.8256080000001</v>
      </c>
      <c r="BR417" s="826">
        <f ca="1">BR$324*BR413</f>
        <v>588.01439200000004</v>
      </c>
      <c r="BS417" s="736">
        <f ca="1">BT417+BU417</f>
        <v>0</v>
      </c>
      <c r="BT417" s="826">
        <f>BT$324*BT413</f>
        <v>0</v>
      </c>
      <c r="BU417" s="826">
        <f ca="1">BU$324*BU413</f>
        <v>0</v>
      </c>
      <c r="BV417" s="736">
        <f ca="1">BW417+BX417</f>
        <v>0</v>
      </c>
      <c r="BW417" s="826">
        <f>BW$324*BW413</f>
        <v>0</v>
      </c>
      <c r="BX417" s="826">
        <f ca="1">BX$324*BX413</f>
        <v>0</v>
      </c>
      <c r="BY417" s="736">
        <f ca="1">BZ417+CA417</f>
        <v>0</v>
      </c>
      <c r="BZ417" s="826">
        <f>BZ$324*BZ413</f>
        <v>0</v>
      </c>
      <c r="CA417" s="826">
        <f ca="1">CA$324*CA413</f>
        <v>0</v>
      </c>
      <c r="CB417" s="736">
        <f ca="1">CC417+CD417</f>
        <v>0</v>
      </c>
      <c r="CC417" s="826">
        <f>CC$324*CC413</f>
        <v>0</v>
      </c>
      <c r="CD417" s="826">
        <f ca="1">CD$324*CD413</f>
        <v>0</v>
      </c>
      <c r="CE417" s="736">
        <f ca="1">CF417+CG417</f>
        <v>0</v>
      </c>
      <c r="CF417" s="42">
        <f>CF$324*CF413</f>
        <v>0</v>
      </c>
      <c r="CG417" s="42">
        <f ca="1">CG$324*CG413</f>
        <v>0</v>
      </c>
      <c r="CH417" s="736">
        <f ca="1">CI417+CJ417</f>
        <v>0</v>
      </c>
      <c r="CI417" s="42">
        <f>CI$324*CI413</f>
        <v>0</v>
      </c>
      <c r="CJ417" s="42">
        <f ca="1">CJ$324*CJ413</f>
        <v>0</v>
      </c>
      <c r="CK417" s="736">
        <f ca="1">CL417+CM417</f>
        <v>0</v>
      </c>
      <c r="CL417" s="42">
        <f>CL$324*CL413</f>
        <v>0</v>
      </c>
      <c r="CM417" s="42">
        <f ca="1">CM$324*CM413</f>
        <v>0</v>
      </c>
      <c r="CN417" s="736">
        <f ca="1">CO417+CP417</f>
        <v>0</v>
      </c>
      <c r="CO417" s="42">
        <f>CO$324*CO413</f>
        <v>0</v>
      </c>
      <c r="CP417" s="42">
        <f ca="1">CP$324*CP413</f>
        <v>0</v>
      </c>
      <c r="CQ417" s="736">
        <f ca="1">CR417+CS417</f>
        <v>0</v>
      </c>
      <c r="CR417" s="42">
        <f>CR$324*CR413</f>
        <v>0</v>
      </c>
      <c r="CS417" s="42">
        <f ca="1">CS$324*CS413</f>
        <v>0</v>
      </c>
      <c r="CT417" s="28"/>
      <c r="CW417" s="970" t="s">
        <v>904</v>
      </c>
      <c r="CX417" s="975" t="s">
        <v>821</v>
      </c>
      <c r="CY417" s="979" t="str" cm="1">
        <f t="array" ref="CY417">AE417</f>
        <v>Уголь длиннопламенный</v>
      </c>
      <c r="CZ417" s="979" t="str" cm="1">
        <f t="array" ref="CZ417">AF417</f>
        <v/>
      </c>
      <c r="DA417" s="976"/>
      <c r="DB417" s="976"/>
    </row>
    <row r="418" spans="1:106" s="1229" customFormat="1" ht="15" hidden="1" customHeight="1">
      <c r="A418" s="1155"/>
      <c r="B418" s="783"/>
      <c r="C418" s="1155"/>
      <c r="D418" s="1155"/>
      <c r="E418" s="676">
        <v>0</v>
      </c>
      <c r="F418" s="779" t="str" cm="1">
        <f t="array" aca="1" ref="F418" ca="1">OFFSET(G418,-1,-1)</f>
        <v>2</v>
      </c>
      <c r="G418" s="814"/>
      <c r="H418" s="814"/>
      <c r="I418" s="814"/>
      <c r="J418" s="814"/>
      <c r="K418" s="814"/>
      <c r="L418" s="779" t="b" cm="1">
        <f t="array" aca="1" ref="L418" ca="1">OFFSET(M418,-1,-1)</f>
        <v>0</v>
      </c>
      <c r="M418" s="814"/>
      <c r="N418" s="814"/>
      <c r="O418" s="814"/>
      <c r="P418" s="814"/>
      <c r="Q418" s="814"/>
      <c r="R418" s="1155"/>
      <c r="S418" s="110" t="b" cm="1">
        <f t="array" aca="1" ref="S418" ca="1">OFFSET(T418,-1,-1)</f>
        <v>1</v>
      </c>
      <c r="T418" s="1155"/>
      <c r="U418" s="698" t="b">
        <f t="shared" ca="1" si="417"/>
        <v>1</v>
      </c>
      <c r="V418" s="1155"/>
      <c r="W418" s="1155"/>
      <c r="X418" s="820" t="str">
        <f>"{                  
         funcDyn: 'msg1',
         blok: 'blok_2',
         wsCross: 'Топливо 4.4',
         linkFormula: 'AE-AE#AF-AF',
         levelDyn: "&amp;Y300&amp;"
}"</f>
        <v>{                  
         funcDyn: 'msg1',
         blok: 'blok_2',
         wsCross: 'Топливо 4.4',
         linkFormula: 'AE-AE#AF-AF',
         levelDyn: 2
}</v>
      </c>
      <c r="Y418" s="1687"/>
      <c r="Z418" s="1687"/>
      <c r="AA418" s="699"/>
      <c r="AB418" s="1785"/>
      <c r="AD418" s="823"/>
      <c r="AE418" s="822" t="s">
        <v>238</v>
      </c>
      <c r="AF418" s="745"/>
      <c r="AG418" s="733"/>
      <c r="AH418" s="735"/>
      <c r="AI418" s="737"/>
      <c r="AJ418" s="737"/>
      <c r="AK418" s="737"/>
      <c r="AL418" s="737"/>
      <c r="AM418" s="737"/>
      <c r="AN418" s="737"/>
      <c r="AO418" s="737"/>
      <c r="AP418" s="737"/>
      <c r="AQ418" s="737"/>
      <c r="AR418" s="737"/>
      <c r="AS418" s="737"/>
      <c r="AT418" s="737"/>
      <c r="AU418" s="737"/>
      <c r="AV418" s="737"/>
      <c r="AW418" s="737"/>
      <c r="AX418" s="737"/>
      <c r="AY418" s="737"/>
      <c r="AZ418" s="737"/>
      <c r="BA418" s="737"/>
      <c r="BB418" s="737"/>
      <c r="BC418" s="737"/>
      <c r="BD418" s="737"/>
      <c r="BE418" s="737"/>
      <c r="BF418" s="737"/>
      <c r="BG418" s="737"/>
      <c r="BH418" s="737"/>
      <c r="BI418" s="737"/>
      <c r="BJ418" s="737"/>
      <c r="BK418" s="737"/>
      <c r="BL418" s="737"/>
      <c r="BM418" s="737"/>
      <c r="BN418" s="737"/>
      <c r="BO418" s="737"/>
      <c r="BP418" s="737"/>
      <c r="BQ418" s="737"/>
      <c r="BR418" s="737"/>
      <c r="BS418" s="737"/>
      <c r="BT418" s="737"/>
      <c r="BU418" s="737"/>
      <c r="BV418" s="737"/>
      <c r="BW418" s="737"/>
      <c r="BX418" s="737"/>
      <c r="BY418" s="737"/>
      <c r="BZ418" s="737"/>
      <c r="CA418" s="737"/>
      <c r="CB418" s="737"/>
      <c r="CC418" s="737"/>
      <c r="CD418" s="737"/>
      <c r="CE418" s="737"/>
      <c r="CF418" s="737"/>
      <c r="CG418" s="737"/>
      <c r="CH418" s="737"/>
      <c r="CI418" s="737"/>
      <c r="CJ418" s="737"/>
      <c r="CK418" s="737"/>
      <c r="CL418" s="737"/>
      <c r="CM418" s="737"/>
      <c r="CN418" s="737"/>
      <c r="CO418" s="737"/>
      <c r="CP418" s="737"/>
      <c r="CQ418" s="737"/>
      <c r="CR418" s="737"/>
      <c r="CS418" s="737"/>
      <c r="CT418" s="46"/>
      <c r="CW418" s="970" t="str">
        <f>IF(AND(ISNUMBER(VALUE(TRIM(SUBSTITUTE(AD418,".","")))),TRIM(SUBSTITUTE(AD418,".",""))&lt;&gt;""),"P"&amp;SUBSTITUTE(AD418,".",""),"")</f>
        <v/>
      </c>
      <c r="CX418" s="975"/>
      <c r="CY418" s="975"/>
      <c r="CZ418" s="975"/>
      <c r="DA418" s="976"/>
      <c r="DB418" s="976"/>
    </row>
    <row r="419" spans="1:106" s="1229" customFormat="1" ht="16.5" customHeight="1">
      <c r="A419" s="1155"/>
      <c r="B419" s="783"/>
      <c r="C419" s="1155"/>
      <c r="D419" s="1155"/>
      <c r="E419" s="676">
        <v>17.100000000000001</v>
      </c>
      <c r="F419" s="779" t="str" cm="1">
        <f t="array" aca="1" ref="F419" ca="1">OFFSET(G419,-1,-1)</f>
        <v>2</v>
      </c>
      <c r="G419" s="814"/>
      <c r="H419" s="814"/>
      <c r="I419" s="814"/>
      <c r="J419" s="814"/>
      <c r="K419" s="814"/>
      <c r="L419" s="779" t="b" cm="1">
        <f t="array" aca="1" ref="L419" ca="1">OFFSET(M419,-1,-1)</f>
        <v>0</v>
      </c>
      <c r="M419" s="814"/>
      <c r="N419" s="814"/>
      <c r="O419" s="814"/>
      <c r="P419" s="814"/>
      <c r="Q419" s="814"/>
      <c r="R419" s="1155"/>
      <c r="S419" s="110" t="b" cm="1">
        <f t="array" aca="1" ref="S419" ca="1">OFFSET(T419,-1,-1)</f>
        <v>1</v>
      </c>
      <c r="T419" s="1155"/>
      <c r="U419" s="698" t="b">
        <f t="shared" ca="1" si="417"/>
        <v>1</v>
      </c>
      <c r="V419" s="1155"/>
      <c r="W419" s="1155"/>
      <c r="X419" s="1155"/>
      <c r="Y419" s="1687"/>
      <c r="Z419" s="1687"/>
      <c r="AA419" s="699"/>
      <c r="AB419" s="1763" t="s">
        <v>906</v>
      </c>
      <c r="AD419" s="124" t="s">
        <v>907</v>
      </c>
      <c r="AE419" s="1757" t="s">
        <v>908</v>
      </c>
      <c r="AF419" s="1758"/>
      <c r="AG419" s="733" t="s">
        <v>839</v>
      </c>
      <c r="AH419" s="734">
        <f t="shared" ref="AH419:BM419" si="421">SUM(AH423:AH425)</f>
        <v>0</v>
      </c>
      <c r="AI419" s="734">
        <f t="shared" si="421"/>
        <v>0</v>
      </c>
      <c r="AJ419" s="734">
        <f t="shared" si="421"/>
        <v>0</v>
      </c>
      <c r="AK419" s="734">
        <f t="shared" si="421"/>
        <v>94404</v>
      </c>
      <c r="AL419" s="734">
        <f t="shared" ca="1" si="421"/>
        <v>0</v>
      </c>
      <c r="AM419" s="734">
        <f t="shared" si="421"/>
        <v>0</v>
      </c>
      <c r="AN419" s="734">
        <f t="shared" ca="1" si="421"/>
        <v>0</v>
      </c>
      <c r="AO419" s="734">
        <f t="shared" ca="1" si="421"/>
        <v>0</v>
      </c>
      <c r="AP419" s="734">
        <f t="shared" si="421"/>
        <v>0</v>
      </c>
      <c r="AQ419" s="734">
        <f t="shared" ca="1" si="421"/>
        <v>0</v>
      </c>
      <c r="AR419" s="734">
        <f t="shared" ca="1" si="421"/>
        <v>0</v>
      </c>
      <c r="AS419" s="734">
        <f t="shared" si="421"/>
        <v>0</v>
      </c>
      <c r="AT419" s="734">
        <f t="shared" ca="1" si="421"/>
        <v>0</v>
      </c>
      <c r="AU419" s="734">
        <f t="shared" ca="1" si="421"/>
        <v>0</v>
      </c>
      <c r="AV419" s="734">
        <f t="shared" si="421"/>
        <v>0</v>
      </c>
      <c r="AW419" s="734">
        <f t="shared" ca="1" si="421"/>
        <v>0</v>
      </c>
      <c r="AX419" s="734">
        <f t="shared" ca="1" si="421"/>
        <v>0</v>
      </c>
      <c r="AY419" s="734">
        <f t="shared" si="421"/>
        <v>0</v>
      </c>
      <c r="AZ419" s="734">
        <f t="shared" ca="1" si="421"/>
        <v>0</v>
      </c>
      <c r="BA419" s="734">
        <f t="shared" ca="1" si="421"/>
        <v>0</v>
      </c>
      <c r="BB419" s="734">
        <f t="shared" si="421"/>
        <v>0</v>
      </c>
      <c r="BC419" s="734">
        <f t="shared" ca="1" si="421"/>
        <v>0</v>
      </c>
      <c r="BD419" s="734">
        <f t="shared" ca="1" si="421"/>
        <v>0</v>
      </c>
      <c r="BE419" s="734">
        <f t="shared" si="421"/>
        <v>0</v>
      </c>
      <c r="BF419" s="734">
        <f t="shared" ca="1" si="421"/>
        <v>0</v>
      </c>
      <c r="BG419" s="734">
        <f t="shared" ca="1" si="421"/>
        <v>0</v>
      </c>
      <c r="BH419" s="734">
        <f t="shared" si="421"/>
        <v>0</v>
      </c>
      <c r="BI419" s="734">
        <f t="shared" ca="1" si="421"/>
        <v>0</v>
      </c>
      <c r="BJ419" s="734">
        <f t="shared" ca="1" si="421"/>
        <v>0</v>
      </c>
      <c r="BK419" s="734">
        <f t="shared" si="421"/>
        <v>0</v>
      </c>
      <c r="BL419" s="734">
        <f t="shared" ca="1" si="421"/>
        <v>0</v>
      </c>
      <c r="BM419" s="734">
        <f t="shared" ca="1" si="421"/>
        <v>0</v>
      </c>
      <c r="BN419" s="734">
        <f t="shared" ref="BN419:CS419" si="422">SUM(BN423:BN425)</f>
        <v>0</v>
      </c>
      <c r="BO419" s="734">
        <f t="shared" ca="1" si="422"/>
        <v>0</v>
      </c>
      <c r="BP419" s="734">
        <f t="shared" ca="1" si="422"/>
        <v>118969.10578802593</v>
      </c>
      <c r="BQ419" s="734">
        <f t="shared" si="422"/>
        <v>84908.250800914131</v>
      </c>
      <c r="BR419" s="734">
        <f t="shared" ca="1" si="422"/>
        <v>34060.854987111823</v>
      </c>
      <c r="BS419" s="734">
        <f t="shared" ca="1" si="422"/>
        <v>0</v>
      </c>
      <c r="BT419" s="734">
        <f t="shared" si="422"/>
        <v>0</v>
      </c>
      <c r="BU419" s="734">
        <f t="shared" ca="1" si="422"/>
        <v>0</v>
      </c>
      <c r="BV419" s="734">
        <f t="shared" ca="1" si="422"/>
        <v>0</v>
      </c>
      <c r="BW419" s="734">
        <f t="shared" si="422"/>
        <v>0</v>
      </c>
      <c r="BX419" s="734">
        <f t="shared" ca="1" si="422"/>
        <v>0</v>
      </c>
      <c r="BY419" s="734">
        <f t="shared" ca="1" si="422"/>
        <v>0</v>
      </c>
      <c r="BZ419" s="734">
        <f t="shared" si="422"/>
        <v>0</v>
      </c>
      <c r="CA419" s="734">
        <f t="shared" ca="1" si="422"/>
        <v>0</v>
      </c>
      <c r="CB419" s="734">
        <f t="shared" ca="1" si="422"/>
        <v>0</v>
      </c>
      <c r="CC419" s="734">
        <f t="shared" si="422"/>
        <v>0</v>
      </c>
      <c r="CD419" s="734">
        <f t="shared" ca="1" si="422"/>
        <v>0</v>
      </c>
      <c r="CE419" s="734">
        <f t="shared" ca="1" si="422"/>
        <v>0</v>
      </c>
      <c r="CF419" s="734">
        <f t="shared" si="422"/>
        <v>0</v>
      </c>
      <c r="CG419" s="734">
        <f t="shared" ca="1" si="422"/>
        <v>0</v>
      </c>
      <c r="CH419" s="734">
        <f t="shared" ca="1" si="422"/>
        <v>0</v>
      </c>
      <c r="CI419" s="734">
        <f t="shared" si="422"/>
        <v>0</v>
      </c>
      <c r="CJ419" s="734">
        <f t="shared" ca="1" si="422"/>
        <v>0</v>
      </c>
      <c r="CK419" s="734">
        <f t="shared" ca="1" si="422"/>
        <v>0</v>
      </c>
      <c r="CL419" s="734">
        <f t="shared" si="422"/>
        <v>0</v>
      </c>
      <c r="CM419" s="734">
        <f t="shared" ca="1" si="422"/>
        <v>0</v>
      </c>
      <c r="CN419" s="734">
        <f t="shared" ca="1" si="422"/>
        <v>0</v>
      </c>
      <c r="CO419" s="734">
        <f t="shared" si="422"/>
        <v>0</v>
      </c>
      <c r="CP419" s="734">
        <f t="shared" ca="1" si="422"/>
        <v>0</v>
      </c>
      <c r="CQ419" s="734">
        <f t="shared" ca="1" si="422"/>
        <v>0</v>
      </c>
      <c r="CR419" s="734">
        <f t="shared" si="422"/>
        <v>0</v>
      </c>
      <c r="CS419" s="734">
        <f t="shared" ca="1" si="422"/>
        <v>0</v>
      </c>
      <c r="CT419" s="1290"/>
      <c r="CW419" s="970" t="s">
        <v>909</v>
      </c>
      <c r="CX419" s="975"/>
      <c r="CY419" s="975"/>
      <c r="CZ419" s="975"/>
      <c r="DA419" s="976"/>
      <c r="DB419" s="976"/>
    </row>
    <row r="420" spans="1:106" s="1229" customFormat="1" ht="16.5" hidden="1" customHeight="1">
      <c r="A420" s="1155"/>
      <c r="B420" s="783"/>
      <c r="C420" s="1155"/>
      <c r="D420" s="1155"/>
      <c r="E420" s="676">
        <v>17.100000000000001</v>
      </c>
      <c r="F420" s="779" t="str" cm="1">
        <f t="array" aca="1" ref="F420" ca="1">OFFSET(G420,-1,-1)</f>
        <v>2</v>
      </c>
      <c r="G420" s="620" t="str">
        <f>IF(J300="вода+пар","топливо","")</f>
        <v/>
      </c>
      <c r="H420" s="814"/>
      <c r="I420" s="814"/>
      <c r="J420" s="814"/>
      <c r="K420" s="814"/>
      <c r="L420" s="779" t="b" cm="1">
        <f t="array" aca="1" ref="L420" ca="1">OFFSET(M420,-1,-1)</f>
        <v>0</v>
      </c>
      <c r="M420" s="814"/>
      <c r="N420" s="814"/>
      <c r="O420" s="814"/>
      <c r="P420" s="814"/>
      <c r="Q420" s="814"/>
      <c r="R420" s="779" t="s">
        <v>759</v>
      </c>
      <c r="S420" s="110" t="b" cm="1">
        <f t="array" aca="1" ref="S420" ca="1">OFFSET(T420,-1,-1)</f>
        <v>1</v>
      </c>
      <c r="T420" s="110" t="b" cm="1">
        <f t="array" aca="1" ref="T420" ca="1">L420</f>
        <v>0</v>
      </c>
      <c r="U420" s="698" t="b">
        <f t="shared" ca="1" si="417"/>
        <v>0</v>
      </c>
      <c r="V420" s="1155"/>
      <c r="W420" s="1155"/>
      <c r="X420" s="1155"/>
      <c r="Y420" s="1687"/>
      <c r="Z420" s="1687"/>
      <c r="AA420" s="699"/>
      <c r="AB420" s="1764"/>
      <c r="AD420" s="111" t="str">
        <f>AD419&amp;".0"</f>
        <v>40.0</v>
      </c>
      <c r="AE420" s="1779" t="s">
        <v>770</v>
      </c>
      <c r="AF420" s="1780"/>
      <c r="AG420" s="733" t="s">
        <v>839</v>
      </c>
      <c r="AH420" s="41">
        <f>AH$324*AH419</f>
        <v>0</v>
      </c>
      <c r="AI420" s="42">
        <f>AI$324*AI419</f>
        <v>0</v>
      </c>
      <c r="AJ420" s="42">
        <f>AJ$324*AJ419</f>
        <v>0</v>
      </c>
      <c r="AK420" s="42">
        <f>AK$324*AK419</f>
        <v>94404</v>
      </c>
      <c r="AL420" s="736">
        <f ca="1">AM420+AN420</f>
        <v>0</v>
      </c>
      <c r="AM420" s="42">
        <f>AM$324*AM419</f>
        <v>0</v>
      </c>
      <c r="AN420" s="42">
        <f ca="1">AN$324*AN419</f>
        <v>0</v>
      </c>
      <c r="AO420" s="736">
        <f ca="1">AP420+AQ420</f>
        <v>0</v>
      </c>
      <c r="AP420" s="826">
        <f>AP$324*AP419</f>
        <v>0</v>
      </c>
      <c r="AQ420" s="826">
        <f ca="1">AQ$324*AQ419</f>
        <v>0</v>
      </c>
      <c r="AR420" s="736">
        <f ca="1">AS420+AT420</f>
        <v>0</v>
      </c>
      <c r="AS420" s="826">
        <f>AS$324*AS419</f>
        <v>0</v>
      </c>
      <c r="AT420" s="826">
        <f ca="1">AT$324*AT419</f>
        <v>0</v>
      </c>
      <c r="AU420" s="736">
        <f ca="1">AV420+AW420</f>
        <v>0</v>
      </c>
      <c r="AV420" s="826">
        <f>AV$324*AV419</f>
        <v>0</v>
      </c>
      <c r="AW420" s="826">
        <f ca="1">AW$324*AW419</f>
        <v>0</v>
      </c>
      <c r="AX420" s="736">
        <f ca="1">AY420+AZ420</f>
        <v>0</v>
      </c>
      <c r="AY420" s="826">
        <f>AY$324*AY419</f>
        <v>0</v>
      </c>
      <c r="AZ420" s="826">
        <f ca="1">AZ$324*AZ419</f>
        <v>0</v>
      </c>
      <c r="BA420" s="736">
        <f ca="1">BB420+BC420</f>
        <v>0</v>
      </c>
      <c r="BB420" s="42">
        <f>BB$324*BB419</f>
        <v>0</v>
      </c>
      <c r="BC420" s="42">
        <f ca="1">BC$324*BC419</f>
        <v>0</v>
      </c>
      <c r="BD420" s="736">
        <f ca="1">BE420+BF420</f>
        <v>0</v>
      </c>
      <c r="BE420" s="42">
        <f>BE$324*BE419</f>
        <v>0</v>
      </c>
      <c r="BF420" s="42">
        <f ca="1">BF$324*BF419</f>
        <v>0</v>
      </c>
      <c r="BG420" s="736">
        <f ca="1">BH420+BI420</f>
        <v>0</v>
      </c>
      <c r="BH420" s="42">
        <f>BH$324*BH419</f>
        <v>0</v>
      </c>
      <c r="BI420" s="42">
        <f ca="1">BI$324*BI419</f>
        <v>0</v>
      </c>
      <c r="BJ420" s="736">
        <f ca="1">BK420+BL420</f>
        <v>0</v>
      </c>
      <c r="BK420" s="42">
        <f>BK$324*BK419</f>
        <v>0</v>
      </c>
      <c r="BL420" s="42">
        <f ca="1">BL$324*BL419</f>
        <v>0</v>
      </c>
      <c r="BM420" s="736">
        <f ca="1">BN420+BO420</f>
        <v>0</v>
      </c>
      <c r="BN420" s="42">
        <f>BN$324*BN419</f>
        <v>0</v>
      </c>
      <c r="BO420" s="42">
        <f ca="1">BO$324*BO419</f>
        <v>0</v>
      </c>
      <c r="BP420" s="736">
        <f ca="1">BQ420+BR420</f>
        <v>118969.10578802595</v>
      </c>
      <c r="BQ420" s="826">
        <f>BQ$324*BQ419</f>
        <v>84908.250800914131</v>
      </c>
      <c r="BR420" s="826">
        <f ca="1">BR$324*BR419</f>
        <v>34060.854987111823</v>
      </c>
      <c r="BS420" s="736">
        <f ca="1">BT420+BU420</f>
        <v>0</v>
      </c>
      <c r="BT420" s="826">
        <f>BT$324*BT419</f>
        <v>0</v>
      </c>
      <c r="BU420" s="826">
        <f ca="1">BU$324*BU419</f>
        <v>0</v>
      </c>
      <c r="BV420" s="736">
        <f ca="1">BW420+BX420</f>
        <v>0</v>
      </c>
      <c r="BW420" s="826">
        <f>BW$324*BW419</f>
        <v>0</v>
      </c>
      <c r="BX420" s="826">
        <f ca="1">BX$324*BX419</f>
        <v>0</v>
      </c>
      <c r="BY420" s="736">
        <f ca="1">BZ420+CA420</f>
        <v>0</v>
      </c>
      <c r="BZ420" s="826">
        <f>BZ$324*BZ419</f>
        <v>0</v>
      </c>
      <c r="CA420" s="826">
        <f ca="1">CA$324*CA419</f>
        <v>0</v>
      </c>
      <c r="CB420" s="736">
        <f ca="1">CC420+CD420</f>
        <v>0</v>
      </c>
      <c r="CC420" s="826">
        <f>CC$324*CC419</f>
        <v>0</v>
      </c>
      <c r="CD420" s="826">
        <f ca="1">CD$324*CD419</f>
        <v>0</v>
      </c>
      <c r="CE420" s="736">
        <f ca="1">CF420+CG420</f>
        <v>0</v>
      </c>
      <c r="CF420" s="42">
        <f>CF$324*CF419</f>
        <v>0</v>
      </c>
      <c r="CG420" s="42">
        <f ca="1">CG$324*CG419</f>
        <v>0</v>
      </c>
      <c r="CH420" s="736">
        <f ca="1">CI420+CJ420</f>
        <v>0</v>
      </c>
      <c r="CI420" s="42">
        <f>CI$324*CI419</f>
        <v>0</v>
      </c>
      <c r="CJ420" s="42">
        <f ca="1">CJ$324*CJ419</f>
        <v>0</v>
      </c>
      <c r="CK420" s="736">
        <f ca="1">CL420+CM420</f>
        <v>0</v>
      </c>
      <c r="CL420" s="42">
        <f>CL$324*CL419</f>
        <v>0</v>
      </c>
      <c r="CM420" s="42">
        <f ca="1">CM$324*CM419</f>
        <v>0</v>
      </c>
      <c r="CN420" s="736">
        <f ca="1">CO420+CP420</f>
        <v>0</v>
      </c>
      <c r="CO420" s="42">
        <f>CO$324*CO419</f>
        <v>0</v>
      </c>
      <c r="CP420" s="42">
        <f ca="1">CP$324*CP419</f>
        <v>0</v>
      </c>
      <c r="CQ420" s="736">
        <f ca="1">CR420+CS420</f>
        <v>0</v>
      </c>
      <c r="CR420" s="42">
        <f>CR$324*CR419</f>
        <v>0</v>
      </c>
      <c r="CS420" s="42">
        <f ca="1">CS$324*CS419</f>
        <v>0</v>
      </c>
      <c r="CT420" s="28"/>
      <c r="CW420" s="970" t="s">
        <v>910</v>
      </c>
      <c r="CX420" s="975"/>
      <c r="CY420" s="975"/>
      <c r="CZ420" s="975"/>
      <c r="DA420" s="976"/>
      <c r="DB420" s="976"/>
    </row>
    <row r="421" spans="1:106" s="1229" customFormat="1" ht="16.5" customHeight="1">
      <c r="A421" s="1155"/>
      <c r="B421" s="783"/>
      <c r="C421" s="1155"/>
      <c r="D421" s="1155"/>
      <c r="E421" s="676">
        <v>17.100000000000001</v>
      </c>
      <c r="F421" s="779" t="str" cm="1">
        <f t="array" aca="1" ref="F421" ca="1">OFFSET(G421,-1,-1)</f>
        <v>2</v>
      </c>
      <c r="G421" s="620" t="str">
        <f>IF(J300="вода","топливо","")</f>
        <v>топливо</v>
      </c>
      <c r="H421" s="814"/>
      <c r="I421" s="814"/>
      <c r="J421" s="814"/>
      <c r="K421" s="814"/>
      <c r="L421" s="779" t="b" cm="1">
        <f t="array" aca="1" ref="L421" ca="1">OFFSET(M421,-1,-1)</f>
        <v>0</v>
      </c>
      <c r="M421" s="814"/>
      <c r="N421" s="814"/>
      <c r="O421" s="814"/>
      <c r="P421" s="814"/>
      <c r="Q421" s="814"/>
      <c r="R421" s="1155"/>
      <c r="S421" s="110" t="b" cm="1">
        <f t="array" aca="1" ref="S421" ca="1">OFFSET(T421,-1,-1)</f>
        <v>1</v>
      </c>
      <c r="T421" s="1155"/>
      <c r="U421" s="698" t="b">
        <f t="shared" ca="1" si="417"/>
        <v>1</v>
      </c>
      <c r="V421" s="1155"/>
      <c r="W421" s="1155"/>
      <c r="X421" s="1155"/>
      <c r="Y421" s="1687"/>
      <c r="Z421" s="1687"/>
      <c r="AA421" s="699"/>
      <c r="AB421" s="1764"/>
      <c r="AD421" s="824" t="s">
        <v>911</v>
      </c>
      <c r="AE421" s="1781" t="s">
        <v>638</v>
      </c>
      <c r="AF421" s="1782"/>
      <c r="AG421" s="852" t="s">
        <v>839</v>
      </c>
      <c r="AH421" s="738">
        <f t="shared" ref="AH421:BM421" si="423">AH420-AH422</f>
        <v>0</v>
      </c>
      <c r="AI421" s="738">
        <f t="shared" si="423"/>
        <v>0</v>
      </c>
      <c r="AJ421" s="738">
        <f t="shared" si="423"/>
        <v>0</v>
      </c>
      <c r="AK421" s="738">
        <f t="shared" si="423"/>
        <v>94404</v>
      </c>
      <c r="AL421" s="738">
        <f t="shared" ca="1" si="423"/>
        <v>0</v>
      </c>
      <c r="AM421" s="738">
        <f t="shared" si="423"/>
        <v>0</v>
      </c>
      <c r="AN421" s="738">
        <f t="shared" ca="1" si="423"/>
        <v>0</v>
      </c>
      <c r="AO421" s="738">
        <f t="shared" ca="1" si="423"/>
        <v>0</v>
      </c>
      <c r="AP421" s="738">
        <f t="shared" si="423"/>
        <v>0</v>
      </c>
      <c r="AQ421" s="738">
        <f t="shared" ca="1" si="423"/>
        <v>0</v>
      </c>
      <c r="AR421" s="738">
        <f t="shared" ca="1" si="423"/>
        <v>0</v>
      </c>
      <c r="AS421" s="738">
        <f t="shared" si="423"/>
        <v>0</v>
      </c>
      <c r="AT421" s="738">
        <f t="shared" ca="1" si="423"/>
        <v>0</v>
      </c>
      <c r="AU421" s="738">
        <f t="shared" ca="1" si="423"/>
        <v>0</v>
      </c>
      <c r="AV421" s="738">
        <f t="shared" si="423"/>
        <v>0</v>
      </c>
      <c r="AW421" s="738">
        <f t="shared" ca="1" si="423"/>
        <v>0</v>
      </c>
      <c r="AX421" s="738">
        <f t="shared" ca="1" si="423"/>
        <v>0</v>
      </c>
      <c r="AY421" s="738">
        <f t="shared" si="423"/>
        <v>0</v>
      </c>
      <c r="AZ421" s="738">
        <f t="shared" ca="1" si="423"/>
        <v>0</v>
      </c>
      <c r="BA421" s="738">
        <f t="shared" ca="1" si="423"/>
        <v>0</v>
      </c>
      <c r="BB421" s="738">
        <f t="shared" si="423"/>
        <v>0</v>
      </c>
      <c r="BC421" s="738">
        <f t="shared" ca="1" si="423"/>
        <v>0</v>
      </c>
      <c r="BD421" s="738">
        <f t="shared" ca="1" si="423"/>
        <v>0</v>
      </c>
      <c r="BE421" s="738">
        <f t="shared" si="423"/>
        <v>0</v>
      </c>
      <c r="BF421" s="738">
        <f t="shared" ca="1" si="423"/>
        <v>0</v>
      </c>
      <c r="BG421" s="738">
        <f t="shared" ca="1" si="423"/>
        <v>0</v>
      </c>
      <c r="BH421" s="738">
        <f t="shared" si="423"/>
        <v>0</v>
      </c>
      <c r="BI421" s="738">
        <f t="shared" ca="1" si="423"/>
        <v>0</v>
      </c>
      <c r="BJ421" s="738">
        <f t="shared" ca="1" si="423"/>
        <v>0</v>
      </c>
      <c r="BK421" s="738">
        <f t="shared" si="423"/>
        <v>0</v>
      </c>
      <c r="BL421" s="738">
        <f t="shared" ca="1" si="423"/>
        <v>0</v>
      </c>
      <c r="BM421" s="738">
        <f t="shared" ca="1" si="423"/>
        <v>0</v>
      </c>
      <c r="BN421" s="738">
        <f t="shared" ref="BN421:CS421" si="424">BN420-BN422</f>
        <v>0</v>
      </c>
      <c r="BO421" s="738">
        <f t="shared" ca="1" si="424"/>
        <v>0</v>
      </c>
      <c r="BP421" s="738">
        <f t="shared" ca="1" si="424"/>
        <v>118969.10578802595</v>
      </c>
      <c r="BQ421" s="738">
        <f t="shared" si="424"/>
        <v>84908.250800914131</v>
      </c>
      <c r="BR421" s="738">
        <f t="shared" ca="1" si="424"/>
        <v>34060.854987111823</v>
      </c>
      <c r="BS421" s="738">
        <f t="shared" ca="1" si="424"/>
        <v>0</v>
      </c>
      <c r="BT421" s="738">
        <f t="shared" si="424"/>
        <v>0</v>
      </c>
      <c r="BU421" s="738">
        <f t="shared" ca="1" si="424"/>
        <v>0</v>
      </c>
      <c r="BV421" s="738">
        <f t="shared" ca="1" si="424"/>
        <v>0</v>
      </c>
      <c r="BW421" s="738">
        <f t="shared" si="424"/>
        <v>0</v>
      </c>
      <c r="BX421" s="738">
        <f t="shared" ca="1" si="424"/>
        <v>0</v>
      </c>
      <c r="BY421" s="738">
        <f t="shared" ca="1" si="424"/>
        <v>0</v>
      </c>
      <c r="BZ421" s="738">
        <f t="shared" si="424"/>
        <v>0</v>
      </c>
      <c r="CA421" s="738">
        <f t="shared" ca="1" si="424"/>
        <v>0</v>
      </c>
      <c r="CB421" s="738">
        <f t="shared" ca="1" si="424"/>
        <v>0</v>
      </c>
      <c r="CC421" s="738">
        <f t="shared" si="424"/>
        <v>0</v>
      </c>
      <c r="CD421" s="738">
        <f t="shared" ca="1" si="424"/>
        <v>0</v>
      </c>
      <c r="CE421" s="738">
        <f t="shared" ca="1" si="424"/>
        <v>0</v>
      </c>
      <c r="CF421" s="738">
        <f t="shared" si="424"/>
        <v>0</v>
      </c>
      <c r="CG421" s="738">
        <f t="shared" ca="1" si="424"/>
        <v>0</v>
      </c>
      <c r="CH421" s="738">
        <f t="shared" ca="1" si="424"/>
        <v>0</v>
      </c>
      <c r="CI421" s="738">
        <f t="shared" si="424"/>
        <v>0</v>
      </c>
      <c r="CJ421" s="738">
        <f t="shared" ca="1" si="424"/>
        <v>0</v>
      </c>
      <c r="CK421" s="738">
        <f t="shared" ca="1" si="424"/>
        <v>0</v>
      </c>
      <c r="CL421" s="738">
        <f t="shared" si="424"/>
        <v>0</v>
      </c>
      <c r="CM421" s="738">
        <f t="shared" ca="1" si="424"/>
        <v>0</v>
      </c>
      <c r="CN421" s="738">
        <f t="shared" ca="1" si="424"/>
        <v>0</v>
      </c>
      <c r="CO421" s="738">
        <f t="shared" si="424"/>
        <v>0</v>
      </c>
      <c r="CP421" s="738">
        <f t="shared" ca="1" si="424"/>
        <v>0</v>
      </c>
      <c r="CQ421" s="738">
        <f t="shared" ca="1" si="424"/>
        <v>0</v>
      </c>
      <c r="CR421" s="738">
        <f t="shared" si="424"/>
        <v>0</v>
      </c>
      <c r="CS421" s="738">
        <f t="shared" ca="1" si="424"/>
        <v>0</v>
      </c>
      <c r="CT421" s="1290"/>
      <c r="CW421" s="970" t="s">
        <v>912</v>
      </c>
      <c r="CX421" s="975"/>
      <c r="CY421" s="975"/>
      <c r="CZ421" s="975"/>
      <c r="DA421" s="976"/>
      <c r="DB421" s="976"/>
    </row>
    <row r="422" spans="1:106" s="1229" customFormat="1" ht="16.5" customHeight="1">
      <c r="A422" s="1155"/>
      <c r="B422" s="783"/>
      <c r="C422" s="1155"/>
      <c r="D422" s="1155"/>
      <c r="E422" s="676">
        <v>17.100000000000001</v>
      </c>
      <c r="F422" s="779" t="str" cm="1">
        <f t="array" aca="1" ref="F422" ca="1">OFFSET(G422,-1,-1)</f>
        <v>2</v>
      </c>
      <c r="G422" s="620" t="str">
        <f>IF(J300="пар","топливо","")</f>
        <v/>
      </c>
      <c r="H422" s="814"/>
      <c r="I422" s="814"/>
      <c r="J422" s="814"/>
      <c r="K422" s="814"/>
      <c r="L422" s="779" t="b" cm="1">
        <f t="array" aca="1" ref="L422" ca="1">OFFSET(M422,-1,-1)</f>
        <v>0</v>
      </c>
      <c r="M422" s="814"/>
      <c r="N422" s="814"/>
      <c r="O422" s="814"/>
      <c r="P422" s="814"/>
      <c r="Q422" s="814"/>
      <c r="R422" s="1155"/>
      <c r="S422" s="110" t="b" cm="1">
        <f t="array" aca="1" ref="S422" ca="1">OFFSET(T422,-1,-1)</f>
        <v>1</v>
      </c>
      <c r="T422" s="1155"/>
      <c r="U422" s="698" t="b">
        <f t="shared" ca="1" si="417"/>
        <v>1</v>
      </c>
      <c r="V422" s="1155"/>
      <c r="W422" s="1155"/>
      <c r="X422" s="1155"/>
      <c r="Y422" s="1687"/>
      <c r="Z422" s="1687"/>
      <c r="AA422" s="699"/>
      <c r="AB422" s="1764"/>
      <c r="AD422" s="824" t="s">
        <v>913</v>
      </c>
      <c r="AE422" s="1781" t="s">
        <v>640</v>
      </c>
      <c r="AF422" s="1782"/>
      <c r="AG422" s="852" t="s">
        <v>839</v>
      </c>
      <c r="AH422" s="1310"/>
      <c r="AI422" s="1310"/>
      <c r="AJ422" s="1310"/>
      <c r="AK422" s="1310"/>
      <c r="AL422" s="1310"/>
      <c r="AM422" s="1310"/>
      <c r="AN422" s="1310"/>
      <c r="AO422" s="830"/>
      <c r="AP422" s="830"/>
      <c r="AQ422" s="830"/>
      <c r="AR422" s="830"/>
      <c r="AS422" s="830"/>
      <c r="AT422" s="830"/>
      <c r="AU422" s="830"/>
      <c r="AV422" s="830"/>
      <c r="AW422" s="830"/>
      <c r="AX422" s="830"/>
      <c r="AY422" s="830"/>
      <c r="AZ422" s="830"/>
      <c r="BA422" s="1310"/>
      <c r="BB422" s="1310"/>
      <c r="BC422" s="1310"/>
      <c r="BD422" s="1310"/>
      <c r="BE422" s="1310"/>
      <c r="BF422" s="1310"/>
      <c r="BG422" s="1310"/>
      <c r="BH422" s="1310"/>
      <c r="BI422" s="1310"/>
      <c r="BJ422" s="1310"/>
      <c r="BK422" s="1310"/>
      <c r="BL422" s="1310"/>
      <c r="BM422" s="1310"/>
      <c r="BN422" s="1310"/>
      <c r="BO422" s="1310"/>
      <c r="BP422" s="830"/>
      <c r="BQ422" s="830"/>
      <c r="BR422" s="830"/>
      <c r="BS422" s="830"/>
      <c r="BT422" s="830"/>
      <c r="BU422" s="830"/>
      <c r="BV422" s="830"/>
      <c r="BW422" s="830"/>
      <c r="BX422" s="830"/>
      <c r="BY422" s="830"/>
      <c r="BZ422" s="830"/>
      <c r="CA422" s="830"/>
      <c r="CB422" s="830"/>
      <c r="CC422" s="830"/>
      <c r="CD422" s="830"/>
      <c r="CE422" s="1310"/>
      <c r="CF422" s="1310"/>
      <c r="CG422" s="1310"/>
      <c r="CH422" s="1310"/>
      <c r="CI422" s="1310"/>
      <c r="CJ422" s="1310"/>
      <c r="CK422" s="1310"/>
      <c r="CL422" s="1310"/>
      <c r="CM422" s="1310"/>
      <c r="CN422" s="1310"/>
      <c r="CO422" s="1310"/>
      <c r="CP422" s="1310"/>
      <c r="CQ422" s="1310"/>
      <c r="CR422" s="1310"/>
      <c r="CS422" s="1310"/>
      <c r="CT422" s="1290"/>
      <c r="CW422" s="970" t="s">
        <v>914</v>
      </c>
      <c r="CX422" s="975"/>
      <c r="CY422" s="975"/>
      <c r="CZ422" s="975"/>
      <c r="DA422" s="976"/>
      <c r="DB422" s="976"/>
    </row>
    <row r="423" spans="1:106" s="1229" customFormat="1" ht="16.5" hidden="1" customHeight="1">
      <c r="E423" s="676">
        <v>17.100000000000001</v>
      </c>
      <c r="F423" s="779" t="str" cm="1">
        <f t="array" aca="1" ref="F423" ca="1">OFFSET(G423,-1,-1)</f>
        <v>2</v>
      </c>
      <c r="L423" s="779" t="b" cm="1">
        <f t="array" aca="1" ref="L423" ca="1">OFFSET(M423,-1,-1)</f>
        <v>0</v>
      </c>
      <c r="S423" s="110" t="b" cm="1">
        <f t="array" aca="1" ref="S423" ca="1">OFFSET(T423,-1,-1)</f>
        <v>1</v>
      </c>
      <c r="T423" s="110" t="b">
        <f>AD423&lt;&gt;"40.0"</f>
        <v>0</v>
      </c>
      <c r="U423" s="698" t="b">
        <f t="shared" ca="1" si="417"/>
        <v>0</v>
      </c>
      <c r="X423" s="110" t="s">
        <v>236</v>
      </c>
      <c r="Y423" s="1722"/>
      <c r="Z423" s="1722"/>
      <c r="AB423" s="1764"/>
      <c r="AD423" s="111" t="s">
        <v>915</v>
      </c>
      <c r="AE423" s="821"/>
      <c r="AF423" s="524"/>
      <c r="AG423" s="733" t="s">
        <v>839</v>
      </c>
      <c r="AH423" s="734">
        <f t="shared" ref="AH423:BM423" si="425">AH352+AH369+AH386+AH403+AH412</f>
        <v>0</v>
      </c>
      <c r="AI423" s="734">
        <f t="shared" si="425"/>
        <v>0</v>
      </c>
      <c r="AJ423" s="734">
        <f t="shared" si="425"/>
        <v>0</v>
      </c>
      <c r="AK423" s="734">
        <f t="shared" si="425"/>
        <v>0</v>
      </c>
      <c r="AL423" s="734">
        <f t="shared" ca="1" si="425"/>
        <v>0</v>
      </c>
      <c r="AM423" s="734">
        <f t="shared" si="425"/>
        <v>0</v>
      </c>
      <c r="AN423" s="734">
        <f t="shared" ca="1" si="425"/>
        <v>0</v>
      </c>
      <c r="AO423" s="734">
        <f t="shared" ca="1" si="425"/>
        <v>0</v>
      </c>
      <c r="AP423" s="734">
        <f t="shared" si="425"/>
        <v>0</v>
      </c>
      <c r="AQ423" s="734">
        <f t="shared" ca="1" si="425"/>
        <v>0</v>
      </c>
      <c r="AR423" s="734">
        <f t="shared" ca="1" si="425"/>
        <v>0</v>
      </c>
      <c r="AS423" s="734">
        <f t="shared" si="425"/>
        <v>0</v>
      </c>
      <c r="AT423" s="734">
        <f t="shared" ca="1" si="425"/>
        <v>0</v>
      </c>
      <c r="AU423" s="734">
        <f t="shared" ca="1" si="425"/>
        <v>0</v>
      </c>
      <c r="AV423" s="734">
        <f t="shared" si="425"/>
        <v>0</v>
      </c>
      <c r="AW423" s="734">
        <f t="shared" ca="1" si="425"/>
        <v>0</v>
      </c>
      <c r="AX423" s="734">
        <f t="shared" ca="1" si="425"/>
        <v>0</v>
      </c>
      <c r="AY423" s="734">
        <f t="shared" si="425"/>
        <v>0</v>
      </c>
      <c r="AZ423" s="734">
        <f t="shared" ca="1" si="425"/>
        <v>0</v>
      </c>
      <c r="BA423" s="734">
        <f t="shared" ca="1" si="425"/>
        <v>0</v>
      </c>
      <c r="BB423" s="734">
        <f t="shared" si="425"/>
        <v>0</v>
      </c>
      <c r="BC423" s="734">
        <f t="shared" ca="1" si="425"/>
        <v>0</v>
      </c>
      <c r="BD423" s="734">
        <f t="shared" ca="1" si="425"/>
        <v>0</v>
      </c>
      <c r="BE423" s="734">
        <f t="shared" si="425"/>
        <v>0</v>
      </c>
      <c r="BF423" s="734">
        <f t="shared" ca="1" si="425"/>
        <v>0</v>
      </c>
      <c r="BG423" s="734">
        <f t="shared" ca="1" si="425"/>
        <v>0</v>
      </c>
      <c r="BH423" s="734">
        <f t="shared" si="425"/>
        <v>0</v>
      </c>
      <c r="BI423" s="734">
        <f t="shared" ca="1" si="425"/>
        <v>0</v>
      </c>
      <c r="BJ423" s="734">
        <f t="shared" ca="1" si="425"/>
        <v>0</v>
      </c>
      <c r="BK423" s="734">
        <f t="shared" si="425"/>
        <v>0</v>
      </c>
      <c r="BL423" s="734">
        <f t="shared" ca="1" si="425"/>
        <v>0</v>
      </c>
      <c r="BM423" s="734">
        <f t="shared" ca="1" si="425"/>
        <v>0</v>
      </c>
      <c r="BN423" s="734">
        <f t="shared" ref="BN423:CS423" si="426">BN352+BN369+BN386+BN403+BN412</f>
        <v>0</v>
      </c>
      <c r="BO423" s="734">
        <f t="shared" ca="1" si="426"/>
        <v>0</v>
      </c>
      <c r="BP423" s="734">
        <f t="shared" ca="1" si="426"/>
        <v>0</v>
      </c>
      <c r="BQ423" s="734">
        <f t="shared" si="426"/>
        <v>0</v>
      </c>
      <c r="BR423" s="734">
        <f t="shared" ca="1" si="426"/>
        <v>0</v>
      </c>
      <c r="BS423" s="734">
        <f t="shared" ca="1" si="426"/>
        <v>0</v>
      </c>
      <c r="BT423" s="734">
        <f t="shared" si="426"/>
        <v>0</v>
      </c>
      <c r="BU423" s="734">
        <f t="shared" ca="1" si="426"/>
        <v>0</v>
      </c>
      <c r="BV423" s="734">
        <f t="shared" ca="1" si="426"/>
        <v>0</v>
      </c>
      <c r="BW423" s="734">
        <f t="shared" si="426"/>
        <v>0</v>
      </c>
      <c r="BX423" s="734">
        <f t="shared" ca="1" si="426"/>
        <v>0</v>
      </c>
      <c r="BY423" s="734">
        <f t="shared" ca="1" si="426"/>
        <v>0</v>
      </c>
      <c r="BZ423" s="734">
        <f t="shared" si="426"/>
        <v>0</v>
      </c>
      <c r="CA423" s="734">
        <f t="shared" ca="1" si="426"/>
        <v>0</v>
      </c>
      <c r="CB423" s="734">
        <f t="shared" ca="1" si="426"/>
        <v>0</v>
      </c>
      <c r="CC423" s="734">
        <f t="shared" si="426"/>
        <v>0</v>
      </c>
      <c r="CD423" s="734">
        <f t="shared" ca="1" si="426"/>
        <v>0</v>
      </c>
      <c r="CE423" s="734">
        <f t="shared" ca="1" si="426"/>
        <v>0</v>
      </c>
      <c r="CF423" s="734">
        <f t="shared" si="426"/>
        <v>0</v>
      </c>
      <c r="CG423" s="734">
        <f t="shared" ca="1" si="426"/>
        <v>0</v>
      </c>
      <c r="CH423" s="734">
        <f t="shared" ca="1" si="426"/>
        <v>0</v>
      </c>
      <c r="CI423" s="734">
        <f t="shared" si="426"/>
        <v>0</v>
      </c>
      <c r="CJ423" s="734">
        <f t="shared" ca="1" si="426"/>
        <v>0</v>
      </c>
      <c r="CK423" s="734">
        <f t="shared" ca="1" si="426"/>
        <v>0</v>
      </c>
      <c r="CL423" s="734">
        <f t="shared" si="426"/>
        <v>0</v>
      </c>
      <c r="CM423" s="734">
        <f t="shared" ca="1" si="426"/>
        <v>0</v>
      </c>
      <c r="CN423" s="734">
        <f t="shared" ca="1" si="426"/>
        <v>0</v>
      </c>
      <c r="CO423" s="734">
        <f t="shared" si="426"/>
        <v>0</v>
      </c>
      <c r="CP423" s="734">
        <f t="shared" ca="1" si="426"/>
        <v>0</v>
      </c>
      <c r="CQ423" s="734">
        <f t="shared" ca="1" si="426"/>
        <v>0</v>
      </c>
      <c r="CR423" s="734">
        <f t="shared" si="426"/>
        <v>0</v>
      </c>
      <c r="CS423" s="734">
        <f t="shared" ca="1" si="426"/>
        <v>0</v>
      </c>
      <c r="CT423" s="28"/>
      <c r="CW423" s="970" t="s">
        <v>916</v>
      </c>
      <c r="CX423" s="975" t="s">
        <v>821</v>
      </c>
      <c r="CY423" s="979" cm="1">
        <f t="array" ref="CY423">AE423</f>
        <v>0</v>
      </c>
      <c r="CZ423" s="979" cm="1">
        <f t="array" ref="CZ423">AF423</f>
        <v>0</v>
      </c>
      <c r="DA423" s="976"/>
      <c r="DB423" s="976"/>
    </row>
    <row r="424" spans="1:106" s="1229" customFormat="1" ht="16.5" customHeight="1">
      <c r="E424" s="676">
        <v>17.100000000000001</v>
      </c>
      <c r="F424" s="779" t="str" cm="1">
        <f t="array" aca="1" ref="F424" ca="1">OFFSET(G424,-1,-1)</f>
        <v>2</v>
      </c>
      <c r="L424" s="779" t="b" cm="1">
        <f t="array" aca="1" ref="L424" ca="1">OFFSET(M424,-1,-1)</f>
        <v>0</v>
      </c>
      <c r="S424" s="110" t="b" cm="1">
        <f t="array" aca="1" ref="S424" ca="1">OFFSET(T424,-1,-1)</f>
        <v>1</v>
      </c>
      <c r="T424" s="110" t="b">
        <f>AD424&lt;&gt;"40.0"</f>
        <v>1</v>
      </c>
      <c r="U424" s="698" t="b">
        <f t="shared" ca="1" si="417"/>
        <v>1</v>
      </c>
      <c r="X424" s="110" t="str">
        <f>'Топливо 4.4'!$AE$417&amp;'Топливо 4.4'!$AF$417</f>
        <v>Уголь длиннопламенный</v>
      </c>
      <c r="Y424" s="1722"/>
      <c r="Z424" s="1722"/>
      <c r="AB424" s="1764"/>
      <c r="AD424" s="111" t="s">
        <v>975</v>
      </c>
      <c r="AE424" s="821" t="str" cm="1">
        <f t="array" ref="AE424">IF(ISBLANK('Топливо 4.4'!$AE$417),"",'Топливо 4.4'!$AE$417)</f>
        <v>Уголь длиннопламенный</v>
      </c>
      <c r="AF424" s="524" t="str" cm="1">
        <f t="array" ref="AF424">IF(ISBLANK('Топливо 4.4'!$AF$417),"",'Топливо 4.4'!$AF$417)</f>
        <v/>
      </c>
      <c r="AG424" s="733" t="s">
        <v>839</v>
      </c>
      <c r="AH424" s="734">
        <f t="shared" ref="AH424:BM424" si="427">AH353+AH370+AH387+AH404+AH413</f>
        <v>0</v>
      </c>
      <c r="AI424" s="734">
        <f t="shared" si="427"/>
        <v>0</v>
      </c>
      <c r="AJ424" s="734">
        <f t="shared" si="427"/>
        <v>0</v>
      </c>
      <c r="AK424" s="734">
        <f t="shared" si="427"/>
        <v>94404</v>
      </c>
      <c r="AL424" s="734">
        <f t="shared" ca="1" si="427"/>
        <v>0</v>
      </c>
      <c r="AM424" s="734">
        <f t="shared" si="427"/>
        <v>0</v>
      </c>
      <c r="AN424" s="734">
        <f t="shared" ca="1" si="427"/>
        <v>0</v>
      </c>
      <c r="AO424" s="734">
        <f t="shared" ca="1" si="427"/>
        <v>0</v>
      </c>
      <c r="AP424" s="734">
        <f t="shared" si="427"/>
        <v>0</v>
      </c>
      <c r="AQ424" s="734">
        <f t="shared" ca="1" si="427"/>
        <v>0</v>
      </c>
      <c r="AR424" s="734">
        <f t="shared" ca="1" si="427"/>
        <v>0</v>
      </c>
      <c r="AS424" s="734">
        <f t="shared" si="427"/>
        <v>0</v>
      </c>
      <c r="AT424" s="734">
        <f t="shared" ca="1" si="427"/>
        <v>0</v>
      </c>
      <c r="AU424" s="734">
        <f t="shared" ca="1" si="427"/>
        <v>0</v>
      </c>
      <c r="AV424" s="734">
        <f t="shared" si="427"/>
        <v>0</v>
      </c>
      <c r="AW424" s="734">
        <f t="shared" ca="1" si="427"/>
        <v>0</v>
      </c>
      <c r="AX424" s="734">
        <f t="shared" ca="1" si="427"/>
        <v>0</v>
      </c>
      <c r="AY424" s="734">
        <f t="shared" si="427"/>
        <v>0</v>
      </c>
      <c r="AZ424" s="734">
        <f t="shared" ca="1" si="427"/>
        <v>0</v>
      </c>
      <c r="BA424" s="734">
        <f t="shared" ca="1" si="427"/>
        <v>0</v>
      </c>
      <c r="BB424" s="734">
        <f t="shared" si="427"/>
        <v>0</v>
      </c>
      <c r="BC424" s="734">
        <f t="shared" ca="1" si="427"/>
        <v>0</v>
      </c>
      <c r="BD424" s="734">
        <f t="shared" ca="1" si="427"/>
        <v>0</v>
      </c>
      <c r="BE424" s="734">
        <f t="shared" si="427"/>
        <v>0</v>
      </c>
      <c r="BF424" s="734">
        <f t="shared" ca="1" si="427"/>
        <v>0</v>
      </c>
      <c r="BG424" s="734">
        <f t="shared" ca="1" si="427"/>
        <v>0</v>
      </c>
      <c r="BH424" s="734">
        <f t="shared" si="427"/>
        <v>0</v>
      </c>
      <c r="BI424" s="734">
        <f t="shared" ca="1" si="427"/>
        <v>0</v>
      </c>
      <c r="BJ424" s="734">
        <f t="shared" ca="1" si="427"/>
        <v>0</v>
      </c>
      <c r="BK424" s="734">
        <f t="shared" si="427"/>
        <v>0</v>
      </c>
      <c r="BL424" s="734">
        <f t="shared" ca="1" si="427"/>
        <v>0</v>
      </c>
      <c r="BM424" s="734">
        <f t="shared" ca="1" si="427"/>
        <v>0</v>
      </c>
      <c r="BN424" s="734">
        <f t="shared" ref="BN424:CS424" si="428">BN353+BN370+BN387+BN404+BN413</f>
        <v>0</v>
      </c>
      <c r="BO424" s="734">
        <f t="shared" ca="1" si="428"/>
        <v>0</v>
      </c>
      <c r="BP424" s="734">
        <f t="shared" ca="1" si="428"/>
        <v>118969.10578802593</v>
      </c>
      <c r="BQ424" s="734">
        <f t="shared" si="428"/>
        <v>84908.250800914131</v>
      </c>
      <c r="BR424" s="734">
        <f t="shared" ca="1" si="428"/>
        <v>34060.854987111823</v>
      </c>
      <c r="BS424" s="734">
        <f t="shared" ca="1" si="428"/>
        <v>0</v>
      </c>
      <c r="BT424" s="734">
        <f t="shared" si="428"/>
        <v>0</v>
      </c>
      <c r="BU424" s="734">
        <f t="shared" ca="1" si="428"/>
        <v>0</v>
      </c>
      <c r="BV424" s="734">
        <f t="shared" ca="1" si="428"/>
        <v>0</v>
      </c>
      <c r="BW424" s="734">
        <f t="shared" si="428"/>
        <v>0</v>
      </c>
      <c r="BX424" s="734">
        <f t="shared" ca="1" si="428"/>
        <v>0</v>
      </c>
      <c r="BY424" s="734">
        <f t="shared" ca="1" si="428"/>
        <v>0</v>
      </c>
      <c r="BZ424" s="734">
        <f t="shared" si="428"/>
        <v>0</v>
      </c>
      <c r="CA424" s="734">
        <f t="shared" ca="1" si="428"/>
        <v>0</v>
      </c>
      <c r="CB424" s="734">
        <f t="shared" ca="1" si="428"/>
        <v>0</v>
      </c>
      <c r="CC424" s="734">
        <f t="shared" si="428"/>
        <v>0</v>
      </c>
      <c r="CD424" s="734">
        <f t="shared" ca="1" si="428"/>
        <v>0</v>
      </c>
      <c r="CE424" s="734">
        <f t="shared" ca="1" si="428"/>
        <v>0</v>
      </c>
      <c r="CF424" s="734">
        <f t="shared" si="428"/>
        <v>0</v>
      </c>
      <c r="CG424" s="734">
        <f t="shared" ca="1" si="428"/>
        <v>0</v>
      </c>
      <c r="CH424" s="734">
        <f t="shared" ca="1" si="428"/>
        <v>0</v>
      </c>
      <c r="CI424" s="734">
        <f t="shared" si="428"/>
        <v>0</v>
      </c>
      <c r="CJ424" s="734">
        <f t="shared" ca="1" si="428"/>
        <v>0</v>
      </c>
      <c r="CK424" s="734">
        <f t="shared" ca="1" si="428"/>
        <v>0</v>
      </c>
      <c r="CL424" s="734">
        <f t="shared" si="428"/>
        <v>0</v>
      </c>
      <c r="CM424" s="734">
        <f t="shared" ca="1" si="428"/>
        <v>0</v>
      </c>
      <c r="CN424" s="734">
        <f t="shared" ca="1" si="428"/>
        <v>0</v>
      </c>
      <c r="CO424" s="734">
        <f t="shared" si="428"/>
        <v>0</v>
      </c>
      <c r="CP424" s="734">
        <f t="shared" ca="1" si="428"/>
        <v>0</v>
      </c>
      <c r="CQ424" s="734">
        <f t="shared" ca="1" si="428"/>
        <v>0</v>
      </c>
      <c r="CR424" s="734">
        <f t="shared" si="428"/>
        <v>0</v>
      </c>
      <c r="CS424" s="734">
        <f t="shared" ca="1" si="428"/>
        <v>0</v>
      </c>
      <c r="CT424" s="1290"/>
      <c r="CW424" s="970" t="s">
        <v>916</v>
      </c>
      <c r="CX424" s="975" t="s">
        <v>821</v>
      </c>
      <c r="CY424" s="979" t="str" cm="1">
        <f t="array" ref="CY424">AE424</f>
        <v>Уголь длиннопламенный</v>
      </c>
      <c r="CZ424" s="979" t="str" cm="1">
        <f t="array" ref="CZ424">AF424</f>
        <v/>
      </c>
      <c r="DA424" s="976"/>
      <c r="DB424" s="976"/>
    </row>
    <row r="425" spans="1:106" s="1229" customFormat="1" ht="15" hidden="1" customHeight="1">
      <c r="A425" s="1155"/>
      <c r="B425" s="783"/>
      <c r="C425" s="1155"/>
      <c r="D425" s="1155"/>
      <c r="E425" s="676">
        <v>0</v>
      </c>
      <c r="F425" s="779" t="str" cm="1">
        <f t="array" aca="1" ref="F425" ca="1">OFFSET(G425,-1,-1)</f>
        <v>2</v>
      </c>
      <c r="G425" s="814"/>
      <c r="H425" s="814"/>
      <c r="I425" s="814"/>
      <c r="J425" s="814"/>
      <c r="K425" s="814"/>
      <c r="L425" s="779" t="b" cm="1">
        <f t="array" aca="1" ref="L425" ca="1">OFFSET(M425,-1,-1)</f>
        <v>0</v>
      </c>
      <c r="M425" s="814"/>
      <c r="N425" s="814"/>
      <c r="O425" s="814"/>
      <c r="P425" s="814"/>
      <c r="Q425" s="814"/>
      <c r="R425" s="1155"/>
      <c r="S425" s="110" t="b" cm="1">
        <f t="array" aca="1" ref="S425" ca="1">OFFSET(T425,-1,-1)</f>
        <v>1</v>
      </c>
      <c r="T425" s="1155"/>
      <c r="U425" s="698" t="b">
        <f t="shared" ca="1" si="417"/>
        <v>1</v>
      </c>
      <c r="V425" s="1155"/>
      <c r="W425" s="1155"/>
      <c r="X425" s="820" t="str">
        <f>"{                  
         funcDyn: 'msg1',
         blok: 'blok_2',
         wsCross: 'Топливо 4.4',
         linkFormula: 'AE-AE#AF-AF',
         levelDyn: "&amp;Y300&amp;"
}"</f>
        <v>{                  
         funcDyn: 'msg1',
         blok: 'blok_2',
         wsCross: 'Топливо 4.4',
         linkFormula: 'AE-AE#AF-AF',
         levelDyn: 2
}</v>
      </c>
      <c r="Y425" s="1687"/>
      <c r="Z425" s="1687"/>
      <c r="AA425" s="699"/>
      <c r="AB425" s="1764"/>
      <c r="AD425" s="823"/>
      <c r="AE425" s="822" t="s">
        <v>238</v>
      </c>
      <c r="AF425" s="745"/>
      <c r="AG425" s="733"/>
      <c r="AH425" s="735"/>
      <c r="AI425" s="737"/>
      <c r="AJ425" s="737"/>
      <c r="AK425" s="737"/>
      <c r="AL425" s="737"/>
      <c r="AM425" s="737"/>
      <c r="AN425" s="737"/>
      <c r="AO425" s="737"/>
      <c r="AP425" s="737"/>
      <c r="AQ425" s="737"/>
      <c r="AR425" s="737"/>
      <c r="AS425" s="737"/>
      <c r="AT425" s="737"/>
      <c r="AU425" s="737"/>
      <c r="AV425" s="737"/>
      <c r="AW425" s="737"/>
      <c r="AX425" s="737"/>
      <c r="AY425" s="737"/>
      <c r="AZ425" s="737"/>
      <c r="BA425" s="737"/>
      <c r="BB425" s="737"/>
      <c r="BC425" s="737"/>
      <c r="BD425" s="737"/>
      <c r="BE425" s="737"/>
      <c r="BF425" s="737"/>
      <c r="BG425" s="737"/>
      <c r="BH425" s="737"/>
      <c r="BI425" s="737"/>
      <c r="BJ425" s="737"/>
      <c r="BK425" s="737"/>
      <c r="BL425" s="737"/>
      <c r="BM425" s="737"/>
      <c r="BN425" s="737"/>
      <c r="BO425" s="737"/>
      <c r="BP425" s="737"/>
      <c r="BQ425" s="737"/>
      <c r="BR425" s="737"/>
      <c r="BS425" s="737"/>
      <c r="BT425" s="737"/>
      <c r="BU425" s="737"/>
      <c r="BV425" s="737"/>
      <c r="BW425" s="737"/>
      <c r="BX425" s="737"/>
      <c r="BY425" s="737"/>
      <c r="BZ425" s="737"/>
      <c r="CA425" s="737"/>
      <c r="CB425" s="737"/>
      <c r="CC425" s="737"/>
      <c r="CD425" s="737"/>
      <c r="CE425" s="737"/>
      <c r="CF425" s="737"/>
      <c r="CG425" s="737"/>
      <c r="CH425" s="737"/>
      <c r="CI425" s="737"/>
      <c r="CJ425" s="737"/>
      <c r="CK425" s="737"/>
      <c r="CL425" s="737"/>
      <c r="CM425" s="737"/>
      <c r="CN425" s="737"/>
      <c r="CO425" s="737"/>
      <c r="CP425" s="737"/>
      <c r="CQ425" s="737"/>
      <c r="CR425" s="737"/>
      <c r="CS425" s="737"/>
      <c r="CT425" s="46"/>
      <c r="CW425" s="970" t="str">
        <f>IF(AND(ISNUMBER(VALUE(TRIM(SUBSTITUTE(AD425,".","")))),TRIM(SUBSTITUTE(AD425,".",""))&lt;&gt;""),"P"&amp;SUBSTITUTE(AD425,".",""),"")</f>
        <v/>
      </c>
      <c r="CX425" s="975"/>
      <c r="CY425" s="975"/>
      <c r="CZ425" s="975"/>
      <c r="DA425" s="976"/>
      <c r="DB425" s="976"/>
    </row>
    <row r="426" spans="1:106" s="1229" customFormat="1" ht="16.5" customHeight="1">
      <c r="A426" s="1155"/>
      <c r="B426" s="783"/>
      <c r="C426" s="1155"/>
      <c r="D426" s="1155"/>
      <c r="E426" s="676">
        <v>17.100000000000001</v>
      </c>
      <c r="F426" s="779" t="str" cm="1">
        <f t="array" aca="1" ref="F426" ca="1">OFFSET(G426,-1,-1)</f>
        <v>2</v>
      </c>
      <c r="G426" s="814"/>
      <c r="H426" s="814"/>
      <c r="I426" s="814"/>
      <c r="J426" s="814"/>
      <c r="K426" s="814"/>
      <c r="L426" s="779" t="b" cm="1">
        <f t="array" aca="1" ref="L426" ca="1">OFFSET(M426,-1,-1)</f>
        <v>0</v>
      </c>
      <c r="M426" s="814"/>
      <c r="N426" s="814"/>
      <c r="O426" s="814"/>
      <c r="P426" s="814"/>
      <c r="Q426" s="814"/>
      <c r="R426" s="1155"/>
      <c r="S426" s="110" t="b" cm="1">
        <f t="array" aca="1" ref="S426" ca="1">OFFSET(T426,-1,-1)</f>
        <v>1</v>
      </c>
      <c r="T426" s="1155"/>
      <c r="U426" s="698" t="b">
        <f t="shared" ca="1" si="417"/>
        <v>1</v>
      </c>
      <c r="V426" s="1155"/>
      <c r="W426" s="1155"/>
      <c r="X426" s="1155"/>
      <c r="Y426" s="1687"/>
      <c r="Z426" s="1687"/>
      <c r="AA426" s="699"/>
      <c r="AB426" s="1764"/>
      <c r="AD426" s="124" t="s">
        <v>917</v>
      </c>
      <c r="AE426" s="1754" t="s">
        <v>918</v>
      </c>
      <c r="AF426" s="1734"/>
      <c r="AG426" s="733" t="s">
        <v>919</v>
      </c>
      <c r="AH426" s="734">
        <f t="shared" ref="AH426:BM426" si="429">IFERROR(AH419/AH325,0)*1000</f>
        <v>0</v>
      </c>
      <c r="AI426" s="734">
        <f t="shared" si="429"/>
        <v>0</v>
      </c>
      <c r="AJ426" s="734">
        <f t="shared" si="429"/>
        <v>0</v>
      </c>
      <c r="AK426" s="734">
        <f t="shared" si="429"/>
        <v>3829.6215163685042</v>
      </c>
      <c r="AL426" s="734">
        <f t="shared" ca="1" si="429"/>
        <v>0</v>
      </c>
      <c r="AM426" s="734">
        <f t="shared" si="429"/>
        <v>0</v>
      </c>
      <c r="AN426" s="734">
        <f t="shared" ca="1" si="429"/>
        <v>0</v>
      </c>
      <c r="AO426" s="734">
        <f t="shared" ca="1" si="429"/>
        <v>0</v>
      </c>
      <c r="AP426" s="734">
        <f t="shared" si="429"/>
        <v>0</v>
      </c>
      <c r="AQ426" s="734">
        <f t="shared" ca="1" si="429"/>
        <v>0</v>
      </c>
      <c r="AR426" s="734">
        <f t="shared" ca="1" si="429"/>
        <v>0</v>
      </c>
      <c r="AS426" s="734">
        <f t="shared" si="429"/>
        <v>0</v>
      </c>
      <c r="AT426" s="734">
        <f t="shared" ca="1" si="429"/>
        <v>0</v>
      </c>
      <c r="AU426" s="734">
        <f t="shared" ca="1" si="429"/>
        <v>0</v>
      </c>
      <c r="AV426" s="734">
        <f t="shared" si="429"/>
        <v>0</v>
      </c>
      <c r="AW426" s="734">
        <f t="shared" ca="1" si="429"/>
        <v>0</v>
      </c>
      <c r="AX426" s="734">
        <f t="shared" ca="1" si="429"/>
        <v>0</v>
      </c>
      <c r="AY426" s="734">
        <f t="shared" si="429"/>
        <v>0</v>
      </c>
      <c r="AZ426" s="734">
        <f t="shared" ca="1" si="429"/>
        <v>0</v>
      </c>
      <c r="BA426" s="734">
        <f t="shared" ca="1" si="429"/>
        <v>0</v>
      </c>
      <c r="BB426" s="734">
        <f t="shared" si="429"/>
        <v>0</v>
      </c>
      <c r="BC426" s="734">
        <f t="shared" ca="1" si="429"/>
        <v>0</v>
      </c>
      <c r="BD426" s="734">
        <f t="shared" ca="1" si="429"/>
        <v>0</v>
      </c>
      <c r="BE426" s="734">
        <f t="shared" si="429"/>
        <v>0</v>
      </c>
      <c r="BF426" s="734">
        <f t="shared" ca="1" si="429"/>
        <v>0</v>
      </c>
      <c r="BG426" s="734">
        <f t="shared" ca="1" si="429"/>
        <v>0</v>
      </c>
      <c r="BH426" s="734">
        <f t="shared" si="429"/>
        <v>0</v>
      </c>
      <c r="BI426" s="734">
        <f t="shared" ca="1" si="429"/>
        <v>0</v>
      </c>
      <c r="BJ426" s="734">
        <f t="shared" ca="1" si="429"/>
        <v>0</v>
      </c>
      <c r="BK426" s="734">
        <f t="shared" si="429"/>
        <v>0</v>
      </c>
      <c r="BL426" s="734">
        <f t="shared" ca="1" si="429"/>
        <v>0</v>
      </c>
      <c r="BM426" s="734">
        <f t="shared" ca="1" si="429"/>
        <v>0</v>
      </c>
      <c r="BN426" s="734">
        <f t="shared" ref="BN426:CS426" si="430">IFERROR(BN419/BN325,0)*1000</f>
        <v>0</v>
      </c>
      <c r="BO426" s="734">
        <f t="shared" ca="1" si="430"/>
        <v>0</v>
      </c>
      <c r="BP426" s="734">
        <f t="shared" ca="1" si="430"/>
        <v>4826.0943772231585</v>
      </c>
      <c r="BQ426" s="734">
        <f t="shared" si="430"/>
        <v>4826.0943772231603</v>
      </c>
      <c r="BR426" s="734">
        <f t="shared" ca="1" si="430"/>
        <v>4826.0943772231585</v>
      </c>
      <c r="BS426" s="734">
        <f t="shared" ca="1" si="430"/>
        <v>0</v>
      </c>
      <c r="BT426" s="734">
        <f t="shared" si="430"/>
        <v>0</v>
      </c>
      <c r="BU426" s="734">
        <f t="shared" ca="1" si="430"/>
        <v>0</v>
      </c>
      <c r="BV426" s="734">
        <f t="shared" ca="1" si="430"/>
        <v>0</v>
      </c>
      <c r="BW426" s="734">
        <f t="shared" si="430"/>
        <v>0</v>
      </c>
      <c r="BX426" s="734">
        <f t="shared" ca="1" si="430"/>
        <v>0</v>
      </c>
      <c r="BY426" s="734">
        <f t="shared" ca="1" si="430"/>
        <v>0</v>
      </c>
      <c r="BZ426" s="734">
        <f t="shared" si="430"/>
        <v>0</v>
      </c>
      <c r="CA426" s="734">
        <f t="shared" ca="1" si="430"/>
        <v>0</v>
      </c>
      <c r="CB426" s="734">
        <f t="shared" ca="1" si="430"/>
        <v>0</v>
      </c>
      <c r="CC426" s="734">
        <f t="shared" si="430"/>
        <v>0</v>
      </c>
      <c r="CD426" s="734">
        <f t="shared" ca="1" si="430"/>
        <v>0</v>
      </c>
      <c r="CE426" s="734">
        <f t="shared" ca="1" si="430"/>
        <v>0</v>
      </c>
      <c r="CF426" s="734">
        <f t="shared" si="430"/>
        <v>0</v>
      </c>
      <c r="CG426" s="734">
        <f t="shared" ca="1" si="430"/>
        <v>0</v>
      </c>
      <c r="CH426" s="734">
        <f t="shared" ca="1" si="430"/>
        <v>0</v>
      </c>
      <c r="CI426" s="734">
        <f t="shared" si="430"/>
        <v>0</v>
      </c>
      <c r="CJ426" s="734">
        <f t="shared" ca="1" si="430"/>
        <v>0</v>
      </c>
      <c r="CK426" s="734">
        <f t="shared" ca="1" si="430"/>
        <v>0</v>
      </c>
      <c r="CL426" s="734">
        <f t="shared" si="430"/>
        <v>0</v>
      </c>
      <c r="CM426" s="734">
        <f t="shared" ca="1" si="430"/>
        <v>0</v>
      </c>
      <c r="CN426" s="734">
        <f t="shared" ca="1" si="430"/>
        <v>0</v>
      </c>
      <c r="CO426" s="734">
        <f t="shared" si="430"/>
        <v>0</v>
      </c>
      <c r="CP426" s="734">
        <f t="shared" ca="1" si="430"/>
        <v>0</v>
      </c>
      <c r="CQ426" s="734">
        <f t="shared" ca="1" si="430"/>
        <v>0</v>
      </c>
      <c r="CR426" s="734">
        <f t="shared" si="430"/>
        <v>0</v>
      </c>
      <c r="CS426" s="734">
        <f t="shared" ca="1" si="430"/>
        <v>0</v>
      </c>
      <c r="CT426" s="1290"/>
      <c r="CW426" s="970" t="s">
        <v>920</v>
      </c>
      <c r="CX426" s="975"/>
      <c r="CY426" s="975"/>
      <c r="CZ426" s="975"/>
      <c r="DA426" s="976"/>
      <c r="DB426" s="976"/>
    </row>
    <row r="427" spans="1:106" s="1229" customFormat="1" ht="16.5" hidden="1" customHeight="1">
      <c r="A427" s="1155"/>
      <c r="B427" s="783"/>
      <c r="C427" s="1155"/>
      <c r="D427" s="1155"/>
      <c r="E427" s="676">
        <v>17.100000000000001</v>
      </c>
      <c r="F427" s="779" t="str" cm="1">
        <f t="array" aca="1" ref="F427" ca="1">OFFSET(G427,-1,-1)</f>
        <v>2</v>
      </c>
      <c r="G427" s="814"/>
      <c r="H427" s="814"/>
      <c r="I427" s="814"/>
      <c r="J427" s="814"/>
      <c r="K427" s="814"/>
      <c r="L427" s="779" t="b" cm="1">
        <f t="array" aca="1" ref="L427" ca="1">OFFSET(M427,-1,-1)</f>
        <v>0</v>
      </c>
      <c r="M427" s="814"/>
      <c r="N427" s="814"/>
      <c r="O427" s="814"/>
      <c r="P427" s="814"/>
      <c r="Q427" s="814"/>
      <c r="R427" s="779" t="s">
        <v>759</v>
      </c>
      <c r="S427" s="110" t="b" cm="1">
        <f t="array" aca="1" ref="S427" ca="1">OFFSET(T427,-1,-1)</f>
        <v>1</v>
      </c>
      <c r="T427" s="110" t="b" cm="1">
        <f t="array" aca="1" ref="T427" ca="1">L427</f>
        <v>0</v>
      </c>
      <c r="U427" s="698" t="b">
        <f t="shared" ca="1" si="417"/>
        <v>0</v>
      </c>
      <c r="V427" s="1155"/>
      <c r="W427" s="1155"/>
      <c r="X427" s="1155"/>
      <c r="Y427" s="1687"/>
      <c r="Z427" s="1687"/>
      <c r="AA427" s="699"/>
      <c r="AB427" s="1764"/>
      <c r="AD427" s="111" t="str">
        <f>AD426&amp;".0"</f>
        <v>41.0</v>
      </c>
      <c r="AE427" s="1755" t="s">
        <v>770</v>
      </c>
      <c r="AF427" s="1756"/>
      <c r="AG427" s="733" t="s">
        <v>919</v>
      </c>
      <c r="AH427" s="734">
        <f t="shared" ref="AH427:BM427" si="431">IFERROR(AH420/AH326,0)*1000</f>
        <v>0</v>
      </c>
      <c r="AI427" s="734">
        <f t="shared" si="431"/>
        <v>0</v>
      </c>
      <c r="AJ427" s="734">
        <f t="shared" si="431"/>
        <v>0</v>
      </c>
      <c r="AK427" s="734">
        <f t="shared" si="431"/>
        <v>3829.6215163685042</v>
      </c>
      <c r="AL427" s="734">
        <f t="shared" ca="1" si="431"/>
        <v>0</v>
      </c>
      <c r="AM427" s="734">
        <f t="shared" si="431"/>
        <v>0</v>
      </c>
      <c r="AN427" s="734">
        <f t="shared" ca="1" si="431"/>
        <v>0</v>
      </c>
      <c r="AO427" s="734">
        <f t="shared" ca="1" si="431"/>
        <v>0</v>
      </c>
      <c r="AP427" s="734">
        <f t="shared" si="431"/>
        <v>0</v>
      </c>
      <c r="AQ427" s="734">
        <f t="shared" ca="1" si="431"/>
        <v>0</v>
      </c>
      <c r="AR427" s="734">
        <f t="shared" ca="1" si="431"/>
        <v>0</v>
      </c>
      <c r="AS427" s="734">
        <f t="shared" si="431"/>
        <v>0</v>
      </c>
      <c r="AT427" s="734">
        <f t="shared" ca="1" si="431"/>
        <v>0</v>
      </c>
      <c r="AU427" s="734">
        <f t="shared" ca="1" si="431"/>
        <v>0</v>
      </c>
      <c r="AV427" s="734">
        <f t="shared" si="431"/>
        <v>0</v>
      </c>
      <c r="AW427" s="734">
        <f t="shared" ca="1" si="431"/>
        <v>0</v>
      </c>
      <c r="AX427" s="734">
        <f t="shared" ca="1" si="431"/>
        <v>0</v>
      </c>
      <c r="AY427" s="734">
        <f t="shared" si="431"/>
        <v>0</v>
      </c>
      <c r="AZ427" s="734">
        <f t="shared" ca="1" si="431"/>
        <v>0</v>
      </c>
      <c r="BA427" s="734">
        <f t="shared" ca="1" si="431"/>
        <v>0</v>
      </c>
      <c r="BB427" s="734">
        <f t="shared" si="431"/>
        <v>0</v>
      </c>
      <c r="BC427" s="734">
        <f t="shared" ca="1" si="431"/>
        <v>0</v>
      </c>
      <c r="BD427" s="734">
        <f t="shared" ca="1" si="431"/>
        <v>0</v>
      </c>
      <c r="BE427" s="734">
        <f t="shared" si="431"/>
        <v>0</v>
      </c>
      <c r="BF427" s="734">
        <f t="shared" ca="1" si="431"/>
        <v>0</v>
      </c>
      <c r="BG427" s="734">
        <f t="shared" ca="1" si="431"/>
        <v>0</v>
      </c>
      <c r="BH427" s="734">
        <f t="shared" si="431"/>
        <v>0</v>
      </c>
      <c r="BI427" s="734">
        <f t="shared" ca="1" si="431"/>
        <v>0</v>
      </c>
      <c r="BJ427" s="734">
        <f t="shared" ca="1" si="431"/>
        <v>0</v>
      </c>
      <c r="BK427" s="734">
        <f t="shared" si="431"/>
        <v>0</v>
      </c>
      <c r="BL427" s="734">
        <f t="shared" ca="1" si="431"/>
        <v>0</v>
      </c>
      <c r="BM427" s="734">
        <f t="shared" ca="1" si="431"/>
        <v>0</v>
      </c>
      <c r="BN427" s="734">
        <f t="shared" ref="BN427:CS427" si="432">IFERROR(BN420/BN326,0)*1000</f>
        <v>0</v>
      </c>
      <c r="BO427" s="734">
        <f t="shared" ca="1" si="432"/>
        <v>0</v>
      </c>
      <c r="BP427" s="734">
        <f t="shared" ca="1" si="432"/>
        <v>4826.0943772231594</v>
      </c>
      <c r="BQ427" s="734">
        <f t="shared" si="432"/>
        <v>4826.0943772231603</v>
      </c>
      <c r="BR427" s="734">
        <f t="shared" ca="1" si="432"/>
        <v>4826.0943772231585</v>
      </c>
      <c r="BS427" s="734">
        <f t="shared" ca="1" si="432"/>
        <v>0</v>
      </c>
      <c r="BT427" s="734">
        <f t="shared" si="432"/>
        <v>0</v>
      </c>
      <c r="BU427" s="734">
        <f t="shared" ca="1" si="432"/>
        <v>0</v>
      </c>
      <c r="BV427" s="734">
        <f t="shared" ca="1" si="432"/>
        <v>0</v>
      </c>
      <c r="BW427" s="734">
        <f t="shared" si="432"/>
        <v>0</v>
      </c>
      <c r="BX427" s="734">
        <f t="shared" ca="1" si="432"/>
        <v>0</v>
      </c>
      <c r="BY427" s="734">
        <f t="shared" ca="1" si="432"/>
        <v>0</v>
      </c>
      <c r="BZ427" s="734">
        <f t="shared" si="432"/>
        <v>0</v>
      </c>
      <c r="CA427" s="734">
        <f t="shared" ca="1" si="432"/>
        <v>0</v>
      </c>
      <c r="CB427" s="734">
        <f t="shared" ca="1" si="432"/>
        <v>0</v>
      </c>
      <c r="CC427" s="734">
        <f t="shared" si="432"/>
        <v>0</v>
      </c>
      <c r="CD427" s="734">
        <f t="shared" ca="1" si="432"/>
        <v>0</v>
      </c>
      <c r="CE427" s="734">
        <f t="shared" ca="1" si="432"/>
        <v>0</v>
      </c>
      <c r="CF427" s="734">
        <f t="shared" si="432"/>
        <v>0</v>
      </c>
      <c r="CG427" s="734">
        <f t="shared" ca="1" si="432"/>
        <v>0</v>
      </c>
      <c r="CH427" s="734">
        <f t="shared" ca="1" si="432"/>
        <v>0</v>
      </c>
      <c r="CI427" s="734">
        <f t="shared" si="432"/>
        <v>0</v>
      </c>
      <c r="CJ427" s="734">
        <f t="shared" ca="1" si="432"/>
        <v>0</v>
      </c>
      <c r="CK427" s="734">
        <f t="shared" ca="1" si="432"/>
        <v>0</v>
      </c>
      <c r="CL427" s="734">
        <f t="shared" si="432"/>
        <v>0</v>
      </c>
      <c r="CM427" s="734">
        <f t="shared" ca="1" si="432"/>
        <v>0</v>
      </c>
      <c r="CN427" s="734">
        <f t="shared" ca="1" si="432"/>
        <v>0</v>
      </c>
      <c r="CO427" s="734">
        <f t="shared" si="432"/>
        <v>0</v>
      </c>
      <c r="CP427" s="734">
        <f t="shared" ca="1" si="432"/>
        <v>0</v>
      </c>
      <c r="CQ427" s="734">
        <f t="shared" ca="1" si="432"/>
        <v>0</v>
      </c>
      <c r="CR427" s="734">
        <f t="shared" si="432"/>
        <v>0</v>
      </c>
      <c r="CS427" s="734">
        <f t="shared" ca="1" si="432"/>
        <v>0</v>
      </c>
      <c r="CT427" s="28"/>
      <c r="CW427" s="970" t="s">
        <v>921</v>
      </c>
      <c r="CX427" s="975"/>
      <c r="CY427" s="975"/>
      <c r="CZ427" s="975"/>
      <c r="DA427" s="976"/>
      <c r="DB427" s="976"/>
    </row>
    <row r="428" spans="1:106" s="1229" customFormat="1" ht="16.5" hidden="1" customHeight="1">
      <c r="E428" s="676">
        <v>17.100000000000001</v>
      </c>
      <c r="F428" s="779" t="str" cm="1">
        <f t="array" aca="1" ref="F428" ca="1">OFFSET(G428,-1,-1)</f>
        <v>2</v>
      </c>
      <c r="L428" s="779" t="b" cm="1">
        <f t="array" aca="1" ref="L428" ca="1">OFFSET(M428,-1,-1)</f>
        <v>0</v>
      </c>
      <c r="S428" s="110" t="b" cm="1">
        <f t="array" aca="1" ref="S428" ca="1">OFFSET(T428,-1,-1)</f>
        <v>1</v>
      </c>
      <c r="T428" s="110" t="b">
        <f>AD428&lt;&gt;"41.0"</f>
        <v>0</v>
      </c>
      <c r="U428" s="698" t="b">
        <f t="shared" ca="1" si="417"/>
        <v>0</v>
      </c>
      <c r="X428" s="110" t="s">
        <v>236</v>
      </c>
      <c r="Y428" s="1722"/>
      <c r="Z428" s="1722"/>
      <c r="AB428" s="1764"/>
      <c r="AD428" s="111" t="s">
        <v>922</v>
      </c>
      <c r="AE428" s="821"/>
      <c r="AF428" s="524"/>
      <c r="AG428" s="733" t="s">
        <v>919</v>
      </c>
      <c r="AH428" s="734">
        <f t="shared" ref="AH428:BM428" si="433">IFERROR(AH423/AH327,0)*1000</f>
        <v>0</v>
      </c>
      <c r="AI428" s="734">
        <f t="shared" si="433"/>
        <v>0</v>
      </c>
      <c r="AJ428" s="734">
        <f t="shared" si="433"/>
        <v>0</v>
      </c>
      <c r="AK428" s="734">
        <f t="shared" si="433"/>
        <v>0</v>
      </c>
      <c r="AL428" s="734">
        <f t="shared" ca="1" si="433"/>
        <v>0</v>
      </c>
      <c r="AM428" s="734">
        <f t="shared" si="433"/>
        <v>0</v>
      </c>
      <c r="AN428" s="734">
        <f t="shared" ca="1" si="433"/>
        <v>0</v>
      </c>
      <c r="AO428" s="734">
        <f t="shared" ca="1" si="433"/>
        <v>0</v>
      </c>
      <c r="AP428" s="734">
        <f t="shared" si="433"/>
        <v>0</v>
      </c>
      <c r="AQ428" s="734">
        <f t="shared" ca="1" si="433"/>
        <v>0</v>
      </c>
      <c r="AR428" s="734">
        <f t="shared" ca="1" si="433"/>
        <v>0</v>
      </c>
      <c r="AS428" s="734">
        <f t="shared" si="433"/>
        <v>0</v>
      </c>
      <c r="AT428" s="734">
        <f t="shared" ca="1" si="433"/>
        <v>0</v>
      </c>
      <c r="AU428" s="734">
        <f t="shared" ca="1" si="433"/>
        <v>0</v>
      </c>
      <c r="AV428" s="734">
        <f t="shared" si="433"/>
        <v>0</v>
      </c>
      <c r="AW428" s="734">
        <f t="shared" ca="1" si="433"/>
        <v>0</v>
      </c>
      <c r="AX428" s="734">
        <f t="shared" ca="1" si="433"/>
        <v>0</v>
      </c>
      <c r="AY428" s="734">
        <f t="shared" si="433"/>
        <v>0</v>
      </c>
      <c r="AZ428" s="734">
        <f t="shared" ca="1" si="433"/>
        <v>0</v>
      </c>
      <c r="BA428" s="734">
        <f t="shared" ca="1" si="433"/>
        <v>0</v>
      </c>
      <c r="BB428" s="734">
        <f t="shared" si="433"/>
        <v>0</v>
      </c>
      <c r="BC428" s="734">
        <f t="shared" ca="1" si="433"/>
        <v>0</v>
      </c>
      <c r="BD428" s="734">
        <f t="shared" ca="1" si="433"/>
        <v>0</v>
      </c>
      <c r="BE428" s="734">
        <f t="shared" si="433"/>
        <v>0</v>
      </c>
      <c r="BF428" s="734">
        <f t="shared" ca="1" si="433"/>
        <v>0</v>
      </c>
      <c r="BG428" s="734">
        <f t="shared" ca="1" si="433"/>
        <v>0</v>
      </c>
      <c r="BH428" s="734">
        <f t="shared" si="433"/>
        <v>0</v>
      </c>
      <c r="BI428" s="734">
        <f t="shared" ca="1" si="433"/>
        <v>0</v>
      </c>
      <c r="BJ428" s="734">
        <f t="shared" ca="1" si="433"/>
        <v>0</v>
      </c>
      <c r="BK428" s="734">
        <f t="shared" si="433"/>
        <v>0</v>
      </c>
      <c r="BL428" s="734">
        <f t="shared" ca="1" si="433"/>
        <v>0</v>
      </c>
      <c r="BM428" s="734">
        <f t="shared" ca="1" si="433"/>
        <v>0</v>
      </c>
      <c r="BN428" s="734">
        <f t="shared" ref="BN428:CS428" si="434">IFERROR(BN423/BN327,0)*1000</f>
        <v>0</v>
      </c>
      <c r="BO428" s="734">
        <f t="shared" ca="1" si="434"/>
        <v>0</v>
      </c>
      <c r="BP428" s="734">
        <f t="shared" ca="1" si="434"/>
        <v>0</v>
      </c>
      <c r="BQ428" s="734">
        <f t="shared" si="434"/>
        <v>0</v>
      </c>
      <c r="BR428" s="734">
        <f t="shared" ca="1" si="434"/>
        <v>0</v>
      </c>
      <c r="BS428" s="734">
        <f t="shared" ca="1" si="434"/>
        <v>0</v>
      </c>
      <c r="BT428" s="734">
        <f t="shared" si="434"/>
        <v>0</v>
      </c>
      <c r="BU428" s="734">
        <f t="shared" ca="1" si="434"/>
        <v>0</v>
      </c>
      <c r="BV428" s="734">
        <f t="shared" ca="1" si="434"/>
        <v>0</v>
      </c>
      <c r="BW428" s="734">
        <f t="shared" si="434"/>
        <v>0</v>
      </c>
      <c r="BX428" s="734">
        <f t="shared" ca="1" si="434"/>
        <v>0</v>
      </c>
      <c r="BY428" s="734">
        <f t="shared" ca="1" si="434"/>
        <v>0</v>
      </c>
      <c r="BZ428" s="734">
        <f t="shared" si="434"/>
        <v>0</v>
      </c>
      <c r="CA428" s="734">
        <f t="shared" ca="1" si="434"/>
        <v>0</v>
      </c>
      <c r="CB428" s="734">
        <f t="shared" ca="1" si="434"/>
        <v>0</v>
      </c>
      <c r="CC428" s="734">
        <f t="shared" si="434"/>
        <v>0</v>
      </c>
      <c r="CD428" s="734">
        <f t="shared" ca="1" si="434"/>
        <v>0</v>
      </c>
      <c r="CE428" s="734">
        <f t="shared" ca="1" si="434"/>
        <v>0</v>
      </c>
      <c r="CF428" s="734">
        <f t="shared" si="434"/>
        <v>0</v>
      </c>
      <c r="CG428" s="734">
        <f t="shared" ca="1" si="434"/>
        <v>0</v>
      </c>
      <c r="CH428" s="734">
        <f t="shared" ca="1" si="434"/>
        <v>0</v>
      </c>
      <c r="CI428" s="734">
        <f t="shared" si="434"/>
        <v>0</v>
      </c>
      <c r="CJ428" s="734">
        <f t="shared" ca="1" si="434"/>
        <v>0</v>
      </c>
      <c r="CK428" s="734">
        <f t="shared" ca="1" si="434"/>
        <v>0</v>
      </c>
      <c r="CL428" s="734">
        <f t="shared" si="434"/>
        <v>0</v>
      </c>
      <c r="CM428" s="734">
        <f t="shared" ca="1" si="434"/>
        <v>0</v>
      </c>
      <c r="CN428" s="734">
        <f t="shared" ca="1" si="434"/>
        <v>0</v>
      </c>
      <c r="CO428" s="734">
        <f t="shared" si="434"/>
        <v>0</v>
      </c>
      <c r="CP428" s="734">
        <f t="shared" ca="1" si="434"/>
        <v>0</v>
      </c>
      <c r="CQ428" s="734">
        <f t="shared" ca="1" si="434"/>
        <v>0</v>
      </c>
      <c r="CR428" s="734">
        <f t="shared" si="434"/>
        <v>0</v>
      </c>
      <c r="CS428" s="734">
        <f t="shared" ca="1" si="434"/>
        <v>0</v>
      </c>
      <c r="CT428" s="28"/>
      <c r="CW428" s="970" t="s">
        <v>921</v>
      </c>
      <c r="CX428" s="975" t="s">
        <v>821</v>
      </c>
      <c r="CY428" s="979" cm="1">
        <f t="array" ref="CY428">AE428</f>
        <v>0</v>
      </c>
      <c r="CZ428" s="979" cm="1">
        <f t="array" ref="CZ428">AF428</f>
        <v>0</v>
      </c>
      <c r="DA428" s="976"/>
      <c r="DB428" s="976"/>
    </row>
    <row r="429" spans="1:106" s="1229" customFormat="1" ht="16.5" customHeight="1">
      <c r="E429" s="676">
        <v>17.100000000000001</v>
      </c>
      <c r="F429" s="779" t="str" cm="1">
        <f t="array" aca="1" ref="F429" ca="1">OFFSET(G429,-1,-1)</f>
        <v>2</v>
      </c>
      <c r="L429" s="779" t="b" cm="1">
        <f t="array" aca="1" ref="L429" ca="1">OFFSET(M429,-1,-1)</f>
        <v>0</v>
      </c>
      <c r="S429" s="110" t="b" cm="1">
        <f t="array" aca="1" ref="S429" ca="1">OFFSET(T429,-1,-1)</f>
        <v>1</v>
      </c>
      <c r="T429" s="110" t="b">
        <f>AD429&lt;&gt;"41.0"</f>
        <v>1</v>
      </c>
      <c r="U429" s="698" t="b">
        <f t="shared" ca="1" si="417"/>
        <v>1</v>
      </c>
      <c r="X429" s="110" t="str">
        <f>'Топливо 4.4'!$AE$424&amp;'Топливо 4.4'!$AF$424</f>
        <v>Уголь длиннопламенный</v>
      </c>
      <c r="Y429" s="1722"/>
      <c r="Z429" s="1722"/>
      <c r="AB429" s="1764"/>
      <c r="AD429" s="111" t="s">
        <v>977</v>
      </c>
      <c r="AE429" s="821" t="str" cm="1">
        <f t="array" ref="AE429">IF(ISBLANK('Топливо 4.4'!$AE$424),"",'Топливо 4.4'!$AE$424)</f>
        <v>Уголь длиннопламенный</v>
      </c>
      <c r="AF429" s="524" t="str" cm="1">
        <f t="array" ref="AF429">IF(ISBLANK('Топливо 4.4'!$AF$424),"",'Топливо 4.4'!$AF$424)</f>
        <v/>
      </c>
      <c r="AG429" s="733" t="s">
        <v>919</v>
      </c>
      <c r="AH429" s="734">
        <f t="shared" ref="AH429:BM429" si="435">IFERROR(AH424/AH328,0)*1000</f>
        <v>0</v>
      </c>
      <c r="AI429" s="734">
        <f t="shared" si="435"/>
        <v>0</v>
      </c>
      <c r="AJ429" s="734">
        <f t="shared" si="435"/>
        <v>0</v>
      </c>
      <c r="AK429" s="734">
        <f t="shared" si="435"/>
        <v>3829.6215163685042</v>
      </c>
      <c r="AL429" s="734">
        <f t="shared" ca="1" si="435"/>
        <v>0</v>
      </c>
      <c r="AM429" s="734">
        <f t="shared" si="435"/>
        <v>0</v>
      </c>
      <c r="AN429" s="734">
        <f t="shared" ca="1" si="435"/>
        <v>0</v>
      </c>
      <c r="AO429" s="734">
        <f t="shared" ca="1" si="435"/>
        <v>0</v>
      </c>
      <c r="AP429" s="734">
        <f t="shared" si="435"/>
        <v>0</v>
      </c>
      <c r="AQ429" s="734">
        <f t="shared" ca="1" si="435"/>
        <v>0</v>
      </c>
      <c r="AR429" s="734">
        <f t="shared" ca="1" si="435"/>
        <v>0</v>
      </c>
      <c r="AS429" s="734">
        <f t="shared" si="435"/>
        <v>0</v>
      </c>
      <c r="AT429" s="734">
        <f t="shared" ca="1" si="435"/>
        <v>0</v>
      </c>
      <c r="AU429" s="734">
        <f t="shared" ca="1" si="435"/>
        <v>0</v>
      </c>
      <c r="AV429" s="734">
        <f t="shared" si="435"/>
        <v>0</v>
      </c>
      <c r="AW429" s="734">
        <f t="shared" ca="1" si="435"/>
        <v>0</v>
      </c>
      <c r="AX429" s="734">
        <f t="shared" ca="1" si="435"/>
        <v>0</v>
      </c>
      <c r="AY429" s="734">
        <f t="shared" si="435"/>
        <v>0</v>
      </c>
      <c r="AZ429" s="734">
        <f t="shared" ca="1" si="435"/>
        <v>0</v>
      </c>
      <c r="BA429" s="734">
        <f t="shared" ca="1" si="435"/>
        <v>0</v>
      </c>
      <c r="BB429" s="734">
        <f t="shared" si="435"/>
        <v>0</v>
      </c>
      <c r="BC429" s="734">
        <f t="shared" ca="1" si="435"/>
        <v>0</v>
      </c>
      <c r="BD429" s="734">
        <f t="shared" ca="1" si="435"/>
        <v>0</v>
      </c>
      <c r="BE429" s="734">
        <f t="shared" si="435"/>
        <v>0</v>
      </c>
      <c r="BF429" s="734">
        <f t="shared" ca="1" si="435"/>
        <v>0</v>
      </c>
      <c r="BG429" s="734">
        <f t="shared" ca="1" si="435"/>
        <v>0</v>
      </c>
      <c r="BH429" s="734">
        <f t="shared" si="435"/>
        <v>0</v>
      </c>
      <c r="BI429" s="734">
        <f t="shared" ca="1" si="435"/>
        <v>0</v>
      </c>
      <c r="BJ429" s="734">
        <f t="shared" ca="1" si="435"/>
        <v>0</v>
      </c>
      <c r="BK429" s="734">
        <f t="shared" si="435"/>
        <v>0</v>
      </c>
      <c r="BL429" s="734">
        <f t="shared" ca="1" si="435"/>
        <v>0</v>
      </c>
      <c r="BM429" s="734">
        <f t="shared" ca="1" si="435"/>
        <v>0</v>
      </c>
      <c r="BN429" s="734">
        <f t="shared" ref="BN429:CS429" si="436">IFERROR(BN424/BN328,0)*1000</f>
        <v>0</v>
      </c>
      <c r="BO429" s="734">
        <f t="shared" ca="1" si="436"/>
        <v>0</v>
      </c>
      <c r="BP429" s="734">
        <f t="shared" ca="1" si="436"/>
        <v>4826.0943772231585</v>
      </c>
      <c r="BQ429" s="734">
        <f t="shared" si="436"/>
        <v>4826.0943772231603</v>
      </c>
      <c r="BR429" s="734">
        <f t="shared" ca="1" si="436"/>
        <v>4826.0943772231585</v>
      </c>
      <c r="BS429" s="734">
        <f t="shared" ca="1" si="436"/>
        <v>0</v>
      </c>
      <c r="BT429" s="734">
        <f t="shared" si="436"/>
        <v>0</v>
      </c>
      <c r="BU429" s="734">
        <f t="shared" ca="1" si="436"/>
        <v>0</v>
      </c>
      <c r="BV429" s="734">
        <f t="shared" ca="1" si="436"/>
        <v>0</v>
      </c>
      <c r="BW429" s="734">
        <f t="shared" si="436"/>
        <v>0</v>
      </c>
      <c r="BX429" s="734">
        <f t="shared" ca="1" si="436"/>
        <v>0</v>
      </c>
      <c r="BY429" s="734">
        <f t="shared" ca="1" si="436"/>
        <v>0</v>
      </c>
      <c r="BZ429" s="734">
        <f t="shared" si="436"/>
        <v>0</v>
      </c>
      <c r="CA429" s="734">
        <f t="shared" ca="1" si="436"/>
        <v>0</v>
      </c>
      <c r="CB429" s="734">
        <f t="shared" ca="1" si="436"/>
        <v>0</v>
      </c>
      <c r="CC429" s="734">
        <f t="shared" si="436"/>
        <v>0</v>
      </c>
      <c r="CD429" s="734">
        <f t="shared" ca="1" si="436"/>
        <v>0</v>
      </c>
      <c r="CE429" s="734">
        <f t="shared" ca="1" si="436"/>
        <v>0</v>
      </c>
      <c r="CF429" s="734">
        <f t="shared" si="436"/>
        <v>0</v>
      </c>
      <c r="CG429" s="734">
        <f t="shared" ca="1" si="436"/>
        <v>0</v>
      </c>
      <c r="CH429" s="734">
        <f t="shared" ca="1" si="436"/>
        <v>0</v>
      </c>
      <c r="CI429" s="734">
        <f t="shared" si="436"/>
        <v>0</v>
      </c>
      <c r="CJ429" s="734">
        <f t="shared" ca="1" si="436"/>
        <v>0</v>
      </c>
      <c r="CK429" s="734">
        <f t="shared" ca="1" si="436"/>
        <v>0</v>
      </c>
      <c r="CL429" s="734">
        <f t="shared" si="436"/>
        <v>0</v>
      </c>
      <c r="CM429" s="734">
        <f t="shared" ca="1" si="436"/>
        <v>0</v>
      </c>
      <c r="CN429" s="734">
        <f t="shared" ca="1" si="436"/>
        <v>0</v>
      </c>
      <c r="CO429" s="734">
        <f t="shared" si="436"/>
        <v>0</v>
      </c>
      <c r="CP429" s="734">
        <f t="shared" ca="1" si="436"/>
        <v>0</v>
      </c>
      <c r="CQ429" s="734">
        <f t="shared" ca="1" si="436"/>
        <v>0</v>
      </c>
      <c r="CR429" s="734">
        <f t="shared" si="436"/>
        <v>0</v>
      </c>
      <c r="CS429" s="734">
        <f t="shared" ca="1" si="436"/>
        <v>0</v>
      </c>
      <c r="CT429" s="1290"/>
      <c r="CW429" s="970" t="s">
        <v>921</v>
      </c>
      <c r="CX429" s="975" t="s">
        <v>821</v>
      </c>
      <c r="CY429" s="979" t="str" cm="1">
        <f t="array" ref="CY429">AE429</f>
        <v>Уголь длиннопламенный</v>
      </c>
      <c r="CZ429" s="979" t="str" cm="1">
        <f t="array" ref="CZ429">AF429</f>
        <v/>
      </c>
      <c r="DA429" s="976"/>
      <c r="DB429" s="976"/>
    </row>
    <row r="430" spans="1:106" s="1229" customFormat="1" ht="15" hidden="1" customHeight="1">
      <c r="A430" s="1155"/>
      <c r="B430" s="783"/>
      <c r="C430" s="1155"/>
      <c r="D430" s="1155"/>
      <c r="E430" s="676">
        <v>0</v>
      </c>
      <c r="F430" s="779" t="str" cm="1">
        <f t="array" aca="1" ref="F430" ca="1">OFFSET(G430,-1,-1)</f>
        <v>2</v>
      </c>
      <c r="G430" s="814"/>
      <c r="H430" s="814"/>
      <c r="I430" s="814"/>
      <c r="J430" s="814"/>
      <c r="K430" s="814"/>
      <c r="L430" s="779" t="b" cm="1">
        <f t="array" aca="1" ref="L430" ca="1">OFFSET(M430,-1,-1)</f>
        <v>0</v>
      </c>
      <c r="M430" s="814"/>
      <c r="N430" s="814"/>
      <c r="O430" s="814"/>
      <c r="P430" s="814"/>
      <c r="Q430" s="814"/>
      <c r="R430" s="1155"/>
      <c r="S430" s="110" t="b" cm="1">
        <f t="array" aca="1" ref="S430" ca="1">OFFSET(T430,-1,-1)</f>
        <v>1</v>
      </c>
      <c r="T430" s="1155"/>
      <c r="U430" s="698" t="b">
        <f t="shared" ca="1" si="417"/>
        <v>1</v>
      </c>
      <c r="V430" s="1155"/>
      <c r="W430" s="1155"/>
      <c r="X430" s="820" t="str">
        <f>"{                  
         funcDyn: 'msg1',
         blok: 'blok_2',
         wsCross: 'Топливо 4.4',
         linkFormula: 'AE-AE#AF-AF',
         levelDyn: "&amp;Y300&amp;"
}"</f>
        <v>{                  
         funcDyn: 'msg1',
         blok: 'blok_2',
         wsCross: 'Топливо 4.4',
         linkFormula: 'AE-AE#AF-AF',
         levelDyn: 2
}</v>
      </c>
      <c r="Y430" s="1687"/>
      <c r="Z430" s="1687"/>
      <c r="AA430" s="699"/>
      <c r="AB430" s="1764"/>
      <c r="AD430" s="823"/>
      <c r="AE430" s="822" t="s">
        <v>238</v>
      </c>
      <c r="AF430" s="745"/>
      <c r="AG430" s="733"/>
      <c r="AH430" s="735"/>
      <c r="AI430" s="737"/>
      <c r="AJ430" s="737"/>
      <c r="AK430" s="737"/>
      <c r="AL430" s="737"/>
      <c r="AM430" s="737"/>
      <c r="AN430" s="737"/>
      <c r="AO430" s="737"/>
      <c r="AP430" s="737"/>
      <c r="AQ430" s="737"/>
      <c r="AR430" s="737"/>
      <c r="AS430" s="737"/>
      <c r="AT430" s="737"/>
      <c r="AU430" s="737"/>
      <c r="AV430" s="737"/>
      <c r="AW430" s="737"/>
      <c r="AX430" s="737"/>
      <c r="AY430" s="737"/>
      <c r="AZ430" s="737"/>
      <c r="BA430" s="737"/>
      <c r="BB430" s="737"/>
      <c r="BC430" s="737"/>
      <c r="BD430" s="737"/>
      <c r="BE430" s="737"/>
      <c r="BF430" s="737"/>
      <c r="BG430" s="737"/>
      <c r="BH430" s="737"/>
      <c r="BI430" s="737"/>
      <c r="BJ430" s="737"/>
      <c r="BK430" s="737"/>
      <c r="BL430" s="737"/>
      <c r="BM430" s="737"/>
      <c r="BN430" s="737"/>
      <c r="BO430" s="737"/>
      <c r="BP430" s="737"/>
      <c r="BQ430" s="737"/>
      <c r="BR430" s="737"/>
      <c r="BS430" s="737"/>
      <c r="BT430" s="737"/>
      <c r="BU430" s="737"/>
      <c r="BV430" s="737"/>
      <c r="BW430" s="737"/>
      <c r="BX430" s="737"/>
      <c r="BY430" s="737"/>
      <c r="BZ430" s="737"/>
      <c r="CA430" s="737"/>
      <c r="CB430" s="737"/>
      <c r="CC430" s="737"/>
      <c r="CD430" s="737"/>
      <c r="CE430" s="737"/>
      <c r="CF430" s="737"/>
      <c r="CG430" s="737"/>
      <c r="CH430" s="737"/>
      <c r="CI430" s="737"/>
      <c r="CJ430" s="737"/>
      <c r="CK430" s="737"/>
      <c r="CL430" s="737"/>
      <c r="CM430" s="737"/>
      <c r="CN430" s="737"/>
      <c r="CO430" s="737"/>
      <c r="CP430" s="737"/>
      <c r="CQ430" s="737"/>
      <c r="CR430" s="737"/>
      <c r="CS430" s="737"/>
      <c r="CT430" s="46"/>
      <c r="CW430" s="970" t="str">
        <f>IF(AND(ISNUMBER(VALUE(TRIM(SUBSTITUTE(AD430,".","")))),TRIM(SUBSTITUTE(AD430,".",""))&lt;&gt;""),"P"&amp;SUBSTITUTE(AD430,".",""),"")</f>
        <v/>
      </c>
      <c r="CX430" s="975"/>
      <c r="CY430" s="975"/>
      <c r="CZ430" s="975"/>
      <c r="DA430" s="976"/>
      <c r="DB430" s="976"/>
    </row>
    <row r="431" spans="1:106" s="1229" customFormat="1" ht="16.5" customHeight="1">
      <c r="A431" s="1155"/>
      <c r="B431" s="783"/>
      <c r="C431" s="1155"/>
      <c r="D431" s="1155"/>
      <c r="E431" s="676">
        <v>17.100000000000001</v>
      </c>
      <c r="F431" s="779" t="str" cm="1">
        <f t="array" aca="1" ref="F431" ca="1">OFFSET(G431,-1,-1)</f>
        <v>2</v>
      </c>
      <c r="G431" s="814"/>
      <c r="H431" s="814"/>
      <c r="I431" s="814"/>
      <c r="J431" s="814"/>
      <c r="K431" s="814"/>
      <c r="L431" s="779" t="b" cm="1">
        <f t="array" aca="1" ref="L431" ca="1">OFFSET(M431,-1,-1)</f>
        <v>0</v>
      </c>
      <c r="M431" s="814"/>
      <c r="N431" s="814"/>
      <c r="O431" s="814"/>
      <c r="P431" s="814"/>
      <c r="Q431" s="814"/>
      <c r="R431" s="1155"/>
      <c r="S431" s="110" t="b" cm="1">
        <f t="array" aca="1" ref="S431" ca="1">OFFSET(T431,-1,-1)</f>
        <v>1</v>
      </c>
      <c r="T431" s="1155"/>
      <c r="U431" s="698" t="b">
        <f t="shared" ca="1" si="417"/>
        <v>1</v>
      </c>
      <c r="V431" s="1155"/>
      <c r="W431" s="1155"/>
      <c r="X431" s="1155"/>
      <c r="Y431" s="1687"/>
      <c r="Z431" s="1687"/>
      <c r="AA431" s="699"/>
      <c r="AB431" s="1764"/>
      <c r="AD431" s="124" t="s">
        <v>923</v>
      </c>
      <c r="AE431" s="1754" t="s">
        <v>924</v>
      </c>
      <c r="AF431" s="1734"/>
      <c r="AG431" s="849"/>
      <c r="AH431" s="735"/>
      <c r="AI431" s="737"/>
      <c r="AJ431" s="737"/>
      <c r="AK431" s="737"/>
      <c r="AL431" s="737"/>
      <c r="AM431" s="737"/>
      <c r="AN431" s="737"/>
      <c r="AO431" s="737"/>
      <c r="AP431" s="737"/>
      <c r="AQ431" s="737"/>
      <c r="AR431" s="737"/>
      <c r="AS431" s="737"/>
      <c r="AT431" s="737"/>
      <c r="AU431" s="737"/>
      <c r="AV431" s="737"/>
      <c r="AW431" s="737"/>
      <c r="AX431" s="737"/>
      <c r="AY431" s="737"/>
      <c r="AZ431" s="737"/>
      <c r="BA431" s="737"/>
      <c r="BB431" s="737"/>
      <c r="BC431" s="737"/>
      <c r="BD431" s="737"/>
      <c r="BE431" s="737"/>
      <c r="BF431" s="737"/>
      <c r="BG431" s="737"/>
      <c r="BH431" s="737"/>
      <c r="BI431" s="737"/>
      <c r="BJ431" s="737"/>
      <c r="BK431" s="737"/>
      <c r="BL431" s="737"/>
      <c r="BM431" s="737"/>
      <c r="BN431" s="737"/>
      <c r="BO431" s="737"/>
      <c r="BP431" s="737"/>
      <c r="BQ431" s="737"/>
      <c r="BR431" s="737"/>
      <c r="BS431" s="737"/>
      <c r="BT431" s="737"/>
      <c r="BU431" s="737"/>
      <c r="BV431" s="737"/>
      <c r="BW431" s="737"/>
      <c r="BX431" s="737"/>
      <c r="BY431" s="737"/>
      <c r="BZ431" s="737"/>
      <c r="CA431" s="737"/>
      <c r="CB431" s="737"/>
      <c r="CC431" s="737"/>
      <c r="CD431" s="737"/>
      <c r="CE431" s="737"/>
      <c r="CF431" s="737"/>
      <c r="CG431" s="737"/>
      <c r="CH431" s="737"/>
      <c r="CI431" s="737"/>
      <c r="CJ431" s="737"/>
      <c r="CK431" s="737"/>
      <c r="CL431" s="737"/>
      <c r="CM431" s="737"/>
      <c r="CN431" s="737"/>
      <c r="CO431" s="737"/>
      <c r="CP431" s="737"/>
      <c r="CQ431" s="737"/>
      <c r="CR431" s="737"/>
      <c r="CS431" s="737"/>
      <c r="CT431" s="1290"/>
      <c r="CW431" s="970" t="s">
        <v>925</v>
      </c>
      <c r="CX431" s="975"/>
      <c r="CY431" s="975"/>
      <c r="CZ431" s="975"/>
      <c r="DA431" s="976"/>
      <c r="DB431" s="976"/>
    </row>
    <row r="432" spans="1:106" s="1229" customFormat="1" ht="16.5" hidden="1" customHeight="1">
      <c r="E432" s="676">
        <v>17.100000000000001</v>
      </c>
      <c r="F432" s="779" t="str" cm="1">
        <f t="array" aca="1" ref="F432" ca="1">OFFSET(G432,-1,-1)</f>
        <v>2</v>
      </c>
      <c r="L432" s="779" t="b" cm="1">
        <f t="array" aca="1" ref="L432" ca="1">OFFSET(M432,-1,-1)</f>
        <v>0</v>
      </c>
      <c r="S432" s="110" t="b" cm="1">
        <f t="array" aca="1" ref="S432" ca="1">OFFSET(T432,-1,-1)</f>
        <v>1</v>
      </c>
      <c r="T432" s="110" t="b">
        <f>AD432&lt;&gt;"42.0"</f>
        <v>0</v>
      </c>
      <c r="U432" s="698" t="b">
        <f t="shared" ca="1" si="417"/>
        <v>0</v>
      </c>
      <c r="X432" s="110" t="s">
        <v>236</v>
      </c>
      <c r="Y432" s="1722"/>
      <c r="Z432" s="1722"/>
      <c r="AB432" s="1764"/>
      <c r="AD432" s="111" t="s">
        <v>926</v>
      </c>
      <c r="AE432" s="821"/>
      <c r="AF432" s="524"/>
      <c r="AG432" s="894" t="str">
        <f>"руб./"&amp;IFERROR(INDEX(fuel_ed_izm_list,MATCH(AE432,fuel_list,0)),"")</f>
        <v>руб./</v>
      </c>
      <c r="AH432" s="942">
        <f t="shared" ref="AH432:BM432" si="437">IFERROR(AH423/AH339,0)*1000</f>
        <v>0</v>
      </c>
      <c r="AI432" s="942">
        <f t="shared" si="437"/>
        <v>0</v>
      </c>
      <c r="AJ432" s="942">
        <f t="shared" si="437"/>
        <v>0</v>
      </c>
      <c r="AK432" s="942">
        <f t="shared" si="437"/>
        <v>0</v>
      </c>
      <c r="AL432" s="942">
        <f t="shared" ca="1" si="437"/>
        <v>0</v>
      </c>
      <c r="AM432" s="942">
        <f t="shared" si="437"/>
        <v>0</v>
      </c>
      <c r="AN432" s="942">
        <f t="shared" ca="1" si="437"/>
        <v>0</v>
      </c>
      <c r="AO432" s="942">
        <f t="shared" ca="1" si="437"/>
        <v>0</v>
      </c>
      <c r="AP432" s="942">
        <f t="shared" si="437"/>
        <v>0</v>
      </c>
      <c r="AQ432" s="942">
        <f t="shared" ca="1" si="437"/>
        <v>0</v>
      </c>
      <c r="AR432" s="942">
        <f t="shared" ca="1" si="437"/>
        <v>0</v>
      </c>
      <c r="AS432" s="942">
        <f t="shared" si="437"/>
        <v>0</v>
      </c>
      <c r="AT432" s="942">
        <f t="shared" ca="1" si="437"/>
        <v>0</v>
      </c>
      <c r="AU432" s="942">
        <f t="shared" ca="1" si="437"/>
        <v>0</v>
      </c>
      <c r="AV432" s="942">
        <f t="shared" si="437"/>
        <v>0</v>
      </c>
      <c r="AW432" s="942">
        <f t="shared" ca="1" si="437"/>
        <v>0</v>
      </c>
      <c r="AX432" s="942">
        <f t="shared" ca="1" si="437"/>
        <v>0</v>
      </c>
      <c r="AY432" s="942">
        <f t="shared" si="437"/>
        <v>0</v>
      </c>
      <c r="AZ432" s="942">
        <f t="shared" ca="1" si="437"/>
        <v>0</v>
      </c>
      <c r="BA432" s="942">
        <f t="shared" ca="1" si="437"/>
        <v>0</v>
      </c>
      <c r="BB432" s="942">
        <f t="shared" si="437"/>
        <v>0</v>
      </c>
      <c r="BC432" s="942">
        <f t="shared" ca="1" si="437"/>
        <v>0</v>
      </c>
      <c r="BD432" s="942">
        <f t="shared" ca="1" si="437"/>
        <v>0</v>
      </c>
      <c r="BE432" s="942">
        <f t="shared" si="437"/>
        <v>0</v>
      </c>
      <c r="BF432" s="942">
        <f t="shared" ca="1" si="437"/>
        <v>0</v>
      </c>
      <c r="BG432" s="942">
        <f t="shared" ca="1" si="437"/>
        <v>0</v>
      </c>
      <c r="BH432" s="942">
        <f t="shared" si="437"/>
        <v>0</v>
      </c>
      <c r="BI432" s="942">
        <f t="shared" ca="1" si="437"/>
        <v>0</v>
      </c>
      <c r="BJ432" s="942">
        <f t="shared" ca="1" si="437"/>
        <v>0</v>
      </c>
      <c r="BK432" s="942">
        <f t="shared" si="437"/>
        <v>0</v>
      </c>
      <c r="BL432" s="942">
        <f t="shared" ca="1" si="437"/>
        <v>0</v>
      </c>
      <c r="BM432" s="942">
        <f t="shared" ca="1" si="437"/>
        <v>0</v>
      </c>
      <c r="BN432" s="942">
        <f t="shared" ref="BN432:CS432" si="438">IFERROR(BN423/BN339,0)*1000</f>
        <v>0</v>
      </c>
      <c r="BO432" s="942">
        <f t="shared" ca="1" si="438"/>
        <v>0</v>
      </c>
      <c r="BP432" s="942">
        <f t="shared" ca="1" si="438"/>
        <v>0</v>
      </c>
      <c r="BQ432" s="942">
        <f t="shared" si="438"/>
        <v>0</v>
      </c>
      <c r="BR432" s="942">
        <f t="shared" ca="1" si="438"/>
        <v>0</v>
      </c>
      <c r="BS432" s="942">
        <f t="shared" ca="1" si="438"/>
        <v>0</v>
      </c>
      <c r="BT432" s="942">
        <f t="shared" si="438"/>
        <v>0</v>
      </c>
      <c r="BU432" s="942">
        <f t="shared" ca="1" si="438"/>
        <v>0</v>
      </c>
      <c r="BV432" s="942">
        <f t="shared" ca="1" si="438"/>
        <v>0</v>
      </c>
      <c r="BW432" s="942">
        <f t="shared" si="438"/>
        <v>0</v>
      </c>
      <c r="BX432" s="942">
        <f t="shared" ca="1" si="438"/>
        <v>0</v>
      </c>
      <c r="BY432" s="942">
        <f t="shared" ca="1" si="438"/>
        <v>0</v>
      </c>
      <c r="BZ432" s="942">
        <f t="shared" si="438"/>
        <v>0</v>
      </c>
      <c r="CA432" s="942">
        <f t="shared" ca="1" si="438"/>
        <v>0</v>
      </c>
      <c r="CB432" s="942">
        <f t="shared" ca="1" si="438"/>
        <v>0</v>
      </c>
      <c r="CC432" s="942">
        <f t="shared" si="438"/>
        <v>0</v>
      </c>
      <c r="CD432" s="942">
        <f t="shared" ca="1" si="438"/>
        <v>0</v>
      </c>
      <c r="CE432" s="942">
        <f t="shared" ca="1" si="438"/>
        <v>0</v>
      </c>
      <c r="CF432" s="942">
        <f t="shared" si="438"/>
        <v>0</v>
      </c>
      <c r="CG432" s="942">
        <f t="shared" ca="1" si="438"/>
        <v>0</v>
      </c>
      <c r="CH432" s="942">
        <f t="shared" ca="1" si="438"/>
        <v>0</v>
      </c>
      <c r="CI432" s="942">
        <f t="shared" si="438"/>
        <v>0</v>
      </c>
      <c r="CJ432" s="942">
        <f t="shared" ca="1" si="438"/>
        <v>0</v>
      </c>
      <c r="CK432" s="942">
        <f t="shared" ca="1" si="438"/>
        <v>0</v>
      </c>
      <c r="CL432" s="942">
        <f t="shared" si="438"/>
        <v>0</v>
      </c>
      <c r="CM432" s="942">
        <f t="shared" ca="1" si="438"/>
        <v>0</v>
      </c>
      <c r="CN432" s="942">
        <f t="shared" ca="1" si="438"/>
        <v>0</v>
      </c>
      <c r="CO432" s="942">
        <f t="shared" si="438"/>
        <v>0</v>
      </c>
      <c r="CP432" s="942">
        <f t="shared" ca="1" si="438"/>
        <v>0</v>
      </c>
      <c r="CQ432" s="942">
        <f t="shared" ca="1" si="438"/>
        <v>0</v>
      </c>
      <c r="CR432" s="942">
        <f t="shared" si="438"/>
        <v>0</v>
      </c>
      <c r="CS432" s="942">
        <f t="shared" ca="1" si="438"/>
        <v>0</v>
      </c>
      <c r="CT432" s="28"/>
      <c r="CW432" s="970" t="s">
        <v>925</v>
      </c>
      <c r="CX432" s="975" t="s">
        <v>821</v>
      </c>
      <c r="CY432" s="979" cm="1">
        <f t="array" ref="CY432">AE432</f>
        <v>0</v>
      </c>
      <c r="CZ432" s="979" cm="1">
        <f t="array" ref="CZ432">AF432</f>
        <v>0</v>
      </c>
      <c r="DA432" s="976"/>
      <c r="DB432" s="976"/>
    </row>
    <row r="433" spans="1:106" s="1229" customFormat="1" ht="16.5" customHeight="1">
      <c r="E433" s="676">
        <v>17.100000000000001</v>
      </c>
      <c r="F433" s="779" t="str" cm="1">
        <f t="array" aca="1" ref="F433" ca="1">OFFSET(G433,-1,-1)</f>
        <v>2</v>
      </c>
      <c r="L433" s="779" t="b" cm="1">
        <f t="array" aca="1" ref="L433" ca="1">OFFSET(M433,-1,-1)</f>
        <v>0</v>
      </c>
      <c r="S433" s="110" t="b" cm="1">
        <f t="array" aca="1" ref="S433" ca="1">OFFSET(T433,-1,-1)</f>
        <v>1</v>
      </c>
      <c r="T433" s="110" t="b">
        <f>AD433&lt;&gt;"42.0"</f>
        <v>1</v>
      </c>
      <c r="U433" s="698" t="b">
        <f t="shared" ca="1" si="417"/>
        <v>1</v>
      </c>
      <c r="X433" s="110" t="str">
        <f>'Топливо 4.4'!$AE$429&amp;'Топливо 4.4'!$AF$429</f>
        <v>Уголь длиннопламенный</v>
      </c>
      <c r="Y433" s="1722"/>
      <c r="Z433" s="1722"/>
      <c r="AB433" s="1764"/>
      <c r="AD433" s="111" t="s">
        <v>979</v>
      </c>
      <c r="AE433" s="821" t="str" cm="1">
        <f t="array" ref="AE433">IF(ISBLANK('Топливо 4.4'!$AE$429),"",'Топливо 4.4'!$AE$429)</f>
        <v>Уголь длиннопламенный</v>
      </c>
      <c r="AF433" s="524" t="str" cm="1">
        <f t="array" ref="AF433">IF(ISBLANK('Топливо 4.4'!$AF$429),"",'Топливо 4.4'!$AF$429)</f>
        <v/>
      </c>
      <c r="AG433" s="894" t="str">
        <f>"руб./"&amp;IFERROR(INDEX(fuel_ed_izm_list,MATCH(AE433,fuel_list,0)),"")</f>
        <v>руб./тнт</v>
      </c>
      <c r="AH433" s="942">
        <f t="shared" ref="AH433:BM433" si="439">IFERROR(AH424/AH340,0)*1000</f>
        <v>0</v>
      </c>
      <c r="AI433" s="942">
        <f t="shared" si="439"/>
        <v>0</v>
      </c>
      <c r="AJ433" s="942">
        <f t="shared" si="439"/>
        <v>0</v>
      </c>
      <c r="AK433" s="942">
        <f t="shared" si="439"/>
        <v>3008.98833428954</v>
      </c>
      <c r="AL433" s="942">
        <f t="shared" ca="1" si="439"/>
        <v>0</v>
      </c>
      <c r="AM433" s="942">
        <f t="shared" si="439"/>
        <v>0</v>
      </c>
      <c r="AN433" s="942">
        <f t="shared" ca="1" si="439"/>
        <v>0</v>
      </c>
      <c r="AO433" s="942">
        <f t="shared" ca="1" si="439"/>
        <v>0</v>
      </c>
      <c r="AP433" s="942">
        <f t="shared" si="439"/>
        <v>0</v>
      </c>
      <c r="AQ433" s="942">
        <f t="shared" ca="1" si="439"/>
        <v>0</v>
      </c>
      <c r="AR433" s="942">
        <f t="shared" ca="1" si="439"/>
        <v>0</v>
      </c>
      <c r="AS433" s="942">
        <f t="shared" si="439"/>
        <v>0</v>
      </c>
      <c r="AT433" s="942">
        <f t="shared" ca="1" si="439"/>
        <v>0</v>
      </c>
      <c r="AU433" s="942">
        <f t="shared" ca="1" si="439"/>
        <v>0</v>
      </c>
      <c r="AV433" s="942">
        <f t="shared" si="439"/>
        <v>0</v>
      </c>
      <c r="AW433" s="942">
        <f t="shared" ca="1" si="439"/>
        <v>0</v>
      </c>
      <c r="AX433" s="942">
        <f t="shared" ca="1" si="439"/>
        <v>0</v>
      </c>
      <c r="AY433" s="942">
        <f t="shared" si="439"/>
        <v>0</v>
      </c>
      <c r="AZ433" s="942">
        <f t="shared" ca="1" si="439"/>
        <v>0</v>
      </c>
      <c r="BA433" s="942">
        <f t="shared" ca="1" si="439"/>
        <v>0</v>
      </c>
      <c r="BB433" s="942">
        <f t="shared" si="439"/>
        <v>0</v>
      </c>
      <c r="BC433" s="942">
        <f t="shared" ca="1" si="439"/>
        <v>0</v>
      </c>
      <c r="BD433" s="942">
        <f t="shared" ca="1" si="439"/>
        <v>0</v>
      </c>
      <c r="BE433" s="942">
        <f t="shared" si="439"/>
        <v>0</v>
      </c>
      <c r="BF433" s="942">
        <f t="shared" ca="1" si="439"/>
        <v>0</v>
      </c>
      <c r="BG433" s="942">
        <f t="shared" ca="1" si="439"/>
        <v>0</v>
      </c>
      <c r="BH433" s="942">
        <f t="shared" si="439"/>
        <v>0</v>
      </c>
      <c r="BI433" s="942">
        <f t="shared" ca="1" si="439"/>
        <v>0</v>
      </c>
      <c r="BJ433" s="942">
        <f t="shared" ca="1" si="439"/>
        <v>0</v>
      </c>
      <c r="BK433" s="942">
        <f t="shared" si="439"/>
        <v>0</v>
      </c>
      <c r="BL433" s="942">
        <f t="shared" ca="1" si="439"/>
        <v>0</v>
      </c>
      <c r="BM433" s="942">
        <f t="shared" ca="1" si="439"/>
        <v>0</v>
      </c>
      <c r="BN433" s="942">
        <f t="shared" ref="BN433:CS433" si="440">IFERROR(BN424/BN340,0)*1000</f>
        <v>0</v>
      </c>
      <c r="BO433" s="942">
        <f t="shared" ca="1" si="440"/>
        <v>0</v>
      </c>
      <c r="BP433" s="942">
        <f t="shared" ca="1" si="440"/>
        <v>3526.734548692405</v>
      </c>
      <c r="BQ433" s="942">
        <f t="shared" si="440"/>
        <v>3526.7345486924064</v>
      </c>
      <c r="BR433" s="942">
        <f t="shared" ca="1" si="440"/>
        <v>3526.7345486924055</v>
      </c>
      <c r="BS433" s="942">
        <f t="shared" ca="1" si="440"/>
        <v>0</v>
      </c>
      <c r="BT433" s="942">
        <f t="shared" si="440"/>
        <v>0</v>
      </c>
      <c r="BU433" s="942">
        <f t="shared" ca="1" si="440"/>
        <v>0</v>
      </c>
      <c r="BV433" s="942">
        <f t="shared" ca="1" si="440"/>
        <v>0</v>
      </c>
      <c r="BW433" s="942">
        <f t="shared" si="440"/>
        <v>0</v>
      </c>
      <c r="BX433" s="942">
        <f t="shared" ca="1" si="440"/>
        <v>0</v>
      </c>
      <c r="BY433" s="942">
        <f t="shared" ca="1" si="440"/>
        <v>0</v>
      </c>
      <c r="BZ433" s="942">
        <f t="shared" si="440"/>
        <v>0</v>
      </c>
      <c r="CA433" s="942">
        <f t="shared" ca="1" si="440"/>
        <v>0</v>
      </c>
      <c r="CB433" s="942">
        <f t="shared" ca="1" si="440"/>
        <v>0</v>
      </c>
      <c r="CC433" s="942">
        <f t="shared" si="440"/>
        <v>0</v>
      </c>
      <c r="CD433" s="942">
        <f t="shared" ca="1" si="440"/>
        <v>0</v>
      </c>
      <c r="CE433" s="942">
        <f t="shared" ca="1" si="440"/>
        <v>0</v>
      </c>
      <c r="CF433" s="942">
        <f t="shared" si="440"/>
        <v>0</v>
      </c>
      <c r="CG433" s="942">
        <f t="shared" ca="1" si="440"/>
        <v>0</v>
      </c>
      <c r="CH433" s="942">
        <f t="shared" ca="1" si="440"/>
        <v>0</v>
      </c>
      <c r="CI433" s="942">
        <f t="shared" si="440"/>
        <v>0</v>
      </c>
      <c r="CJ433" s="942">
        <f t="shared" ca="1" si="440"/>
        <v>0</v>
      </c>
      <c r="CK433" s="942">
        <f t="shared" ca="1" si="440"/>
        <v>0</v>
      </c>
      <c r="CL433" s="942">
        <f t="shared" si="440"/>
        <v>0</v>
      </c>
      <c r="CM433" s="942">
        <f t="shared" ca="1" si="440"/>
        <v>0</v>
      </c>
      <c r="CN433" s="942">
        <f t="shared" ca="1" si="440"/>
        <v>0</v>
      </c>
      <c r="CO433" s="942">
        <f t="shared" si="440"/>
        <v>0</v>
      </c>
      <c r="CP433" s="942">
        <f t="shared" ca="1" si="440"/>
        <v>0</v>
      </c>
      <c r="CQ433" s="942">
        <f t="shared" ca="1" si="440"/>
        <v>0</v>
      </c>
      <c r="CR433" s="942">
        <f t="shared" si="440"/>
        <v>0</v>
      </c>
      <c r="CS433" s="942">
        <f t="shared" ca="1" si="440"/>
        <v>0</v>
      </c>
      <c r="CT433" s="1290"/>
      <c r="CW433" s="970" t="s">
        <v>925</v>
      </c>
      <c r="CX433" s="975" t="s">
        <v>821</v>
      </c>
      <c r="CY433" s="979" t="str" cm="1">
        <f t="array" ref="CY433">AE433</f>
        <v>Уголь длиннопламенный</v>
      </c>
      <c r="CZ433" s="979" t="str" cm="1">
        <f t="array" ref="CZ433">AF433</f>
        <v/>
      </c>
      <c r="DA433" s="976"/>
      <c r="DB433" s="976"/>
    </row>
    <row r="434" spans="1:106" s="1229" customFormat="1" ht="15" hidden="1" customHeight="1">
      <c r="A434" s="1155"/>
      <c r="B434" s="783"/>
      <c r="C434" s="1155"/>
      <c r="D434" s="1155"/>
      <c r="E434" s="676">
        <v>0</v>
      </c>
      <c r="F434" s="779" t="str" cm="1">
        <f t="array" aca="1" ref="F434" ca="1">OFFSET(G434,-1,-1)</f>
        <v>2</v>
      </c>
      <c r="G434" s="814"/>
      <c r="H434" s="814"/>
      <c r="I434" s="814"/>
      <c r="J434" s="814"/>
      <c r="K434" s="814"/>
      <c r="L434" s="779" t="b" cm="1">
        <f t="array" aca="1" ref="L434" ca="1">OFFSET(M434,-1,-1)</f>
        <v>0</v>
      </c>
      <c r="M434" s="814"/>
      <c r="N434" s="814"/>
      <c r="O434" s="814"/>
      <c r="P434" s="814"/>
      <c r="Q434" s="814"/>
      <c r="R434" s="1155"/>
      <c r="S434" s="110" t="b" cm="1">
        <f t="array" aca="1" ref="S434" ca="1">OFFSET(T434,-1,-1)</f>
        <v>1</v>
      </c>
      <c r="T434" s="1155"/>
      <c r="U434" s="698" t="b">
        <f t="shared" ca="1" si="417"/>
        <v>1</v>
      </c>
      <c r="V434" s="1155"/>
      <c r="W434" s="1155"/>
      <c r="X434" s="820" t="str">
        <f>"{                  
         funcDyn: 'msg1',
         blok: '',
         wsCross: '',
         linkFormula: '',
         levelDyn: "&amp;Y300&amp;"
}"</f>
        <v>{                  
         funcDyn: 'msg1',
         blok: '',
         wsCross: '',
         linkFormula: '',
         levelDyn: 2
}</v>
      </c>
      <c r="Y434" s="1687"/>
      <c r="Z434" s="1687"/>
      <c r="AA434" s="699"/>
      <c r="AB434" s="1764"/>
      <c r="AD434" s="823"/>
      <c r="AE434" s="822" t="s">
        <v>238</v>
      </c>
      <c r="AF434" s="745"/>
      <c r="AG434" s="733"/>
      <c r="AH434" s="747"/>
      <c r="AI434" s="748"/>
      <c r="AJ434" s="748"/>
      <c r="AK434" s="748"/>
      <c r="AL434" s="748"/>
      <c r="AM434" s="748"/>
      <c r="AN434" s="748"/>
      <c r="AO434" s="748"/>
      <c r="AP434" s="748"/>
      <c r="AQ434" s="748"/>
      <c r="AR434" s="748"/>
      <c r="AS434" s="748"/>
      <c r="AT434" s="748"/>
      <c r="AU434" s="748"/>
      <c r="AV434" s="748"/>
      <c r="AW434" s="748"/>
      <c r="AX434" s="748"/>
      <c r="AY434" s="748"/>
      <c r="AZ434" s="748"/>
      <c r="BA434" s="748"/>
      <c r="BB434" s="748"/>
      <c r="BC434" s="748"/>
      <c r="BD434" s="748"/>
      <c r="BE434" s="748"/>
      <c r="BF434" s="748"/>
      <c r="BG434" s="748"/>
      <c r="BH434" s="748"/>
      <c r="BI434" s="748"/>
      <c r="BJ434" s="748"/>
      <c r="BK434" s="748"/>
      <c r="BL434" s="748"/>
      <c r="BM434" s="748"/>
      <c r="BN434" s="748"/>
      <c r="BO434" s="748"/>
      <c r="BP434" s="748"/>
      <c r="BQ434" s="748"/>
      <c r="BR434" s="748"/>
      <c r="BS434" s="748"/>
      <c r="BT434" s="748"/>
      <c r="BU434" s="748"/>
      <c r="BV434" s="748"/>
      <c r="BW434" s="748"/>
      <c r="BX434" s="748"/>
      <c r="BY434" s="748"/>
      <c r="BZ434" s="748"/>
      <c r="CA434" s="748"/>
      <c r="CB434" s="748"/>
      <c r="CC434" s="748"/>
      <c r="CD434" s="748"/>
      <c r="CE434" s="748"/>
      <c r="CF434" s="748"/>
      <c r="CG434" s="748"/>
      <c r="CH434" s="748"/>
      <c r="CI434" s="748"/>
      <c r="CJ434" s="748"/>
      <c r="CK434" s="748"/>
      <c r="CL434" s="748"/>
      <c r="CM434" s="748"/>
      <c r="CN434" s="748"/>
      <c r="CO434" s="748"/>
      <c r="CP434" s="748"/>
      <c r="CQ434" s="748"/>
      <c r="CR434" s="748"/>
      <c r="CS434" s="748"/>
      <c r="CT434" s="46"/>
      <c r="CW434" s="970" t="str">
        <f>IF(AND(ISNUMBER(VALUE(TRIM(SUBSTITUTE(AD434,".","")))),TRIM(SUBSTITUTE(AD434,".",""))&lt;&gt;""),"P"&amp;SUBSTITUTE(AD434,".",""),"")</f>
        <v/>
      </c>
      <c r="CX434" s="975"/>
      <c r="CY434" s="975"/>
      <c r="CZ434" s="975"/>
      <c r="DA434" s="976"/>
      <c r="DB434" s="976"/>
    </row>
    <row r="435" spans="1:106" s="1229" customFormat="1" ht="16.5" customHeight="1">
      <c r="A435" s="1155"/>
      <c r="B435" s="783"/>
      <c r="C435" s="1155"/>
      <c r="D435" s="1155"/>
      <c r="E435" s="676">
        <v>17.100000000000001</v>
      </c>
      <c r="F435" s="779" t="str" cm="1">
        <f t="array" aca="1" ref="F435" ca="1">OFFSET(G435,-1,-1)</f>
        <v>2</v>
      </c>
      <c r="G435" s="814"/>
      <c r="H435" s="814"/>
      <c r="I435" s="814"/>
      <c r="J435" s="814"/>
      <c r="K435" s="814"/>
      <c r="L435" s="779" t="b" cm="1">
        <f t="array" aca="1" ref="L435" ca="1">OFFSET(M435,-1,-1)</f>
        <v>0</v>
      </c>
      <c r="M435" s="814"/>
      <c r="N435" s="814"/>
      <c r="O435" s="814"/>
      <c r="P435" s="814"/>
      <c r="Q435" s="814"/>
      <c r="R435" s="1155"/>
      <c r="S435" s="110" t="b" cm="1">
        <f t="array" aca="1" ref="S435" ca="1">OFFSET(T435,-1,-1)</f>
        <v>1</v>
      </c>
      <c r="T435" s="1155"/>
      <c r="U435" s="698" t="b">
        <f t="shared" ca="1" si="417"/>
        <v>1</v>
      </c>
      <c r="V435" s="1155"/>
      <c r="W435" s="1155"/>
      <c r="X435" s="1155"/>
      <c r="Y435" s="1687"/>
      <c r="Z435" s="1687"/>
      <c r="AA435" s="699"/>
      <c r="AB435" s="1765"/>
      <c r="AC435" s="825"/>
      <c r="AD435" s="124" t="s">
        <v>927</v>
      </c>
      <c r="AE435" s="1754" t="s">
        <v>928</v>
      </c>
      <c r="AF435" s="1734"/>
      <c r="AG435" s="733" t="s">
        <v>929</v>
      </c>
      <c r="AH435" s="734">
        <f t="shared" ref="AH435:BM435" ca="1" si="441">IFERROR(AH420/AH316*1000,0)</f>
        <v>0</v>
      </c>
      <c r="AI435" s="734">
        <f t="shared" ca="1" si="441"/>
        <v>0</v>
      </c>
      <c r="AJ435" s="734">
        <f t="shared" ca="1" si="441"/>
        <v>0</v>
      </c>
      <c r="AK435" s="734">
        <f t="shared" ca="1" si="441"/>
        <v>704.37604924454388</v>
      </c>
      <c r="AL435" s="734">
        <f t="shared" ca="1" si="441"/>
        <v>0</v>
      </c>
      <c r="AM435" s="734">
        <f t="shared" si="441"/>
        <v>0</v>
      </c>
      <c r="AN435" s="734">
        <f t="shared" ca="1" si="441"/>
        <v>0</v>
      </c>
      <c r="AO435" s="734">
        <f t="shared" ca="1" si="441"/>
        <v>0</v>
      </c>
      <c r="AP435" s="734">
        <f t="shared" si="441"/>
        <v>0</v>
      </c>
      <c r="AQ435" s="734">
        <f t="shared" ca="1" si="441"/>
        <v>0</v>
      </c>
      <c r="AR435" s="734">
        <f t="shared" ca="1" si="441"/>
        <v>0</v>
      </c>
      <c r="AS435" s="734">
        <f t="shared" si="441"/>
        <v>0</v>
      </c>
      <c r="AT435" s="734">
        <f t="shared" ca="1" si="441"/>
        <v>0</v>
      </c>
      <c r="AU435" s="734">
        <f t="shared" ca="1" si="441"/>
        <v>0</v>
      </c>
      <c r="AV435" s="734">
        <f t="shared" si="441"/>
        <v>0</v>
      </c>
      <c r="AW435" s="734">
        <f t="shared" ca="1" si="441"/>
        <v>0</v>
      </c>
      <c r="AX435" s="734">
        <f t="shared" ca="1" si="441"/>
        <v>0</v>
      </c>
      <c r="AY435" s="734">
        <f t="shared" si="441"/>
        <v>0</v>
      </c>
      <c r="AZ435" s="734">
        <f t="shared" ca="1" si="441"/>
        <v>0</v>
      </c>
      <c r="BA435" s="734">
        <f t="shared" ca="1" si="441"/>
        <v>0</v>
      </c>
      <c r="BB435" s="734">
        <f t="shared" si="441"/>
        <v>0</v>
      </c>
      <c r="BC435" s="734">
        <f t="shared" ca="1" si="441"/>
        <v>0</v>
      </c>
      <c r="BD435" s="734">
        <f t="shared" ca="1" si="441"/>
        <v>0</v>
      </c>
      <c r="BE435" s="734">
        <f t="shared" si="441"/>
        <v>0</v>
      </c>
      <c r="BF435" s="734">
        <f t="shared" ca="1" si="441"/>
        <v>0</v>
      </c>
      <c r="BG435" s="734">
        <f t="shared" ca="1" si="441"/>
        <v>0</v>
      </c>
      <c r="BH435" s="734">
        <f t="shared" si="441"/>
        <v>0</v>
      </c>
      <c r="BI435" s="734">
        <f t="shared" ca="1" si="441"/>
        <v>0</v>
      </c>
      <c r="BJ435" s="734">
        <f t="shared" ca="1" si="441"/>
        <v>0</v>
      </c>
      <c r="BK435" s="734">
        <f t="shared" si="441"/>
        <v>0</v>
      </c>
      <c r="BL435" s="734">
        <f t="shared" ca="1" si="441"/>
        <v>0</v>
      </c>
      <c r="BM435" s="734">
        <f t="shared" ca="1" si="441"/>
        <v>0</v>
      </c>
      <c r="BN435" s="734">
        <f t="shared" ref="BN435:CS435" si="442">IFERROR(BN420/BN316*1000,0)</f>
        <v>0</v>
      </c>
      <c r="BO435" s="734">
        <f t="shared" ca="1" si="442"/>
        <v>0</v>
      </c>
      <c r="BP435" s="734">
        <f t="shared" ca="1" si="442"/>
        <v>887.66353880265581</v>
      </c>
      <c r="BQ435" s="734">
        <f t="shared" si="442"/>
        <v>887.66353880265592</v>
      </c>
      <c r="BR435" s="734">
        <f t="shared" ca="1" si="442"/>
        <v>887.66353880265569</v>
      </c>
      <c r="BS435" s="734">
        <f t="shared" ca="1" si="442"/>
        <v>0</v>
      </c>
      <c r="BT435" s="734">
        <f t="shared" si="442"/>
        <v>0</v>
      </c>
      <c r="BU435" s="734">
        <f t="shared" ca="1" si="442"/>
        <v>0</v>
      </c>
      <c r="BV435" s="734">
        <f t="shared" ca="1" si="442"/>
        <v>0</v>
      </c>
      <c r="BW435" s="734">
        <f t="shared" si="442"/>
        <v>0</v>
      </c>
      <c r="BX435" s="734">
        <f t="shared" ca="1" si="442"/>
        <v>0</v>
      </c>
      <c r="BY435" s="734">
        <f t="shared" ca="1" si="442"/>
        <v>0</v>
      </c>
      <c r="BZ435" s="734">
        <f t="shared" si="442"/>
        <v>0</v>
      </c>
      <c r="CA435" s="734">
        <f t="shared" ca="1" si="442"/>
        <v>0</v>
      </c>
      <c r="CB435" s="734">
        <f t="shared" ca="1" si="442"/>
        <v>0</v>
      </c>
      <c r="CC435" s="734">
        <f t="shared" si="442"/>
        <v>0</v>
      </c>
      <c r="CD435" s="734">
        <f t="shared" ca="1" si="442"/>
        <v>0</v>
      </c>
      <c r="CE435" s="734">
        <f t="shared" ca="1" si="442"/>
        <v>0</v>
      </c>
      <c r="CF435" s="734">
        <f t="shared" si="442"/>
        <v>0</v>
      </c>
      <c r="CG435" s="734">
        <f t="shared" ca="1" si="442"/>
        <v>0</v>
      </c>
      <c r="CH435" s="734">
        <f t="shared" ca="1" si="442"/>
        <v>0</v>
      </c>
      <c r="CI435" s="734">
        <f t="shared" si="442"/>
        <v>0</v>
      </c>
      <c r="CJ435" s="734">
        <f t="shared" ca="1" si="442"/>
        <v>0</v>
      </c>
      <c r="CK435" s="734">
        <f t="shared" ca="1" si="442"/>
        <v>0</v>
      </c>
      <c r="CL435" s="734">
        <f t="shared" si="442"/>
        <v>0</v>
      </c>
      <c r="CM435" s="734">
        <f t="shared" ca="1" si="442"/>
        <v>0</v>
      </c>
      <c r="CN435" s="734">
        <f t="shared" ca="1" si="442"/>
        <v>0</v>
      </c>
      <c r="CO435" s="734">
        <f t="shared" si="442"/>
        <v>0</v>
      </c>
      <c r="CP435" s="734">
        <f t="shared" ca="1" si="442"/>
        <v>0</v>
      </c>
      <c r="CQ435" s="734">
        <f t="shared" ca="1" si="442"/>
        <v>0</v>
      </c>
      <c r="CR435" s="734">
        <f t="shared" si="442"/>
        <v>0</v>
      </c>
      <c r="CS435" s="734">
        <f t="shared" ca="1" si="442"/>
        <v>0</v>
      </c>
      <c r="CT435" s="1290"/>
      <c r="CW435" s="970" t="s">
        <v>930</v>
      </c>
      <c r="CX435" s="975"/>
      <c r="CY435" s="975"/>
      <c r="CZ435" s="975"/>
      <c r="DA435" s="976"/>
      <c r="DB435" s="976"/>
    </row>
    <row r="436" spans="1:106" ht="11.1" customHeight="1">
      <c r="E436" s="676">
        <v>11.4</v>
      </c>
      <c r="F436" s="779" t="str" cm="1">
        <f t="array" aca="1" ref="F436" ca="1">OFFSET(G436,-1,-1)</f>
        <v>2</v>
      </c>
      <c r="G436" s="617"/>
      <c r="H436" s="617"/>
      <c r="I436" s="617"/>
      <c r="J436" s="617"/>
      <c r="K436" s="617"/>
      <c r="L436" s="617"/>
      <c r="M436" s="617"/>
      <c r="N436" s="617"/>
      <c r="O436" s="617"/>
      <c r="P436" s="617"/>
      <c r="Q436" s="617"/>
      <c r="R436" s="110"/>
      <c r="T436" s="110"/>
      <c r="U436" s="110"/>
      <c r="V436" s="110" t="s">
        <v>238</v>
      </c>
      <c r="W436" s="122" t="s">
        <v>981</v>
      </c>
      <c r="X436" s="110"/>
      <c r="Y436" s="110"/>
      <c r="Z436" s="110"/>
      <c r="AA436" s="692"/>
      <c r="AO436" s="1301"/>
      <c r="AP436" s="1301"/>
      <c r="AQ436" s="1301"/>
      <c r="AR436" s="1301"/>
      <c r="AS436" s="1301"/>
      <c r="AT436" s="1301"/>
      <c r="AU436" s="1301"/>
      <c r="AV436" s="1301"/>
      <c r="AW436" s="1301"/>
      <c r="AX436" s="1301"/>
      <c r="AY436" s="1301"/>
      <c r="AZ436" s="1301"/>
      <c r="BA436" s="1301"/>
      <c r="BB436" s="1301"/>
      <c r="BC436" s="1301"/>
      <c r="BD436" s="1301"/>
      <c r="BE436" s="1301"/>
      <c r="BF436" s="1301"/>
      <c r="BG436" s="1301"/>
      <c r="BH436" s="1301"/>
      <c r="BI436" s="1301"/>
      <c r="BJ436" s="1301"/>
      <c r="BK436" s="1301"/>
      <c r="BL436" s="1301"/>
      <c r="BM436" s="1301"/>
      <c r="BN436" s="1301"/>
      <c r="BO436" s="1301"/>
      <c r="BP436" s="1301"/>
      <c r="BQ436" s="1301"/>
      <c r="BR436" s="1301"/>
      <c r="BS436" s="1301"/>
      <c r="BT436" s="1301"/>
      <c r="BU436" s="1301"/>
      <c r="BV436" s="1301"/>
      <c r="BW436" s="1301"/>
      <c r="BX436" s="1301"/>
      <c r="BY436" s="1301"/>
      <c r="BZ436" s="1301"/>
      <c r="CA436" s="1301"/>
      <c r="CB436" s="1301"/>
      <c r="CC436" s="1301"/>
      <c r="CD436" s="1301"/>
      <c r="CE436" s="1301"/>
      <c r="CF436" s="1301"/>
      <c r="CG436" s="1301"/>
      <c r="CH436" s="1301"/>
      <c r="CI436" s="1301"/>
      <c r="CJ436" s="1301"/>
      <c r="CK436" s="1301"/>
      <c r="CL436" s="1301"/>
      <c r="CM436" s="1301"/>
      <c r="CN436" s="1301"/>
      <c r="CO436" s="1301"/>
      <c r="CP436" s="1301"/>
      <c r="CQ436" s="1301"/>
      <c r="CR436" s="1301"/>
      <c r="CS436" s="1301"/>
      <c r="CW436" s="970"/>
    </row>
  </sheetData>
  <sheetProtection insertRows="0" deleteColumns="0" deleteRows="0" sort="0" autoFilter="0"/>
  <mergeCells count="214">
    <mergeCell ref="AB410:AB418"/>
    <mergeCell ref="AB393:AB409"/>
    <mergeCell ref="AB322:AB341"/>
    <mergeCell ref="AB342:AB358"/>
    <mergeCell ref="AB359:AB375"/>
    <mergeCell ref="AB376:AB392"/>
    <mergeCell ref="AE435:AF435"/>
    <mergeCell ref="AE325:AF325"/>
    <mergeCell ref="AE431:AF431"/>
    <mergeCell ref="AE426:AF426"/>
    <mergeCell ref="AE427:AF427"/>
    <mergeCell ref="AE419:AF419"/>
    <mergeCell ref="AE420:AF420"/>
    <mergeCell ref="AE421:AF421"/>
    <mergeCell ref="AE422:AF422"/>
    <mergeCell ref="AE338:AF338"/>
    <mergeCell ref="AE334:AF334"/>
    <mergeCell ref="AE350:AF350"/>
    <mergeCell ref="AE351:AF351"/>
    <mergeCell ref="AE346:AF346"/>
    <mergeCell ref="AE406:AF406"/>
    <mergeCell ref="AE376:AF376"/>
    <mergeCell ref="AE302:AF302"/>
    <mergeCell ref="AE303:AF303"/>
    <mergeCell ref="AE304:AF304"/>
    <mergeCell ref="AE305:AF305"/>
    <mergeCell ref="AE311:AF311"/>
    <mergeCell ref="AE393:AF393"/>
    <mergeCell ref="AE397:AF397"/>
    <mergeCell ref="AE401:AF401"/>
    <mergeCell ref="AE402:AF402"/>
    <mergeCell ref="AE359:AF359"/>
    <mergeCell ref="AE380:AF380"/>
    <mergeCell ref="AE384:AF384"/>
    <mergeCell ref="AE385:AF385"/>
    <mergeCell ref="AE389:AF389"/>
    <mergeCell ref="AE355:AF355"/>
    <mergeCell ref="AE324:AF324"/>
    <mergeCell ref="AE313:AF313"/>
    <mergeCell ref="AE306:AF306"/>
    <mergeCell ref="AE307:AF307"/>
    <mergeCell ref="AE308:AF308"/>
    <mergeCell ref="AE309:AF309"/>
    <mergeCell ref="AE310:AF310"/>
    <mergeCell ref="AE312:AF312"/>
    <mergeCell ref="AE323:AF323"/>
    <mergeCell ref="Y300:Y435"/>
    <mergeCell ref="Z300:Z435"/>
    <mergeCell ref="AB301:AB321"/>
    <mergeCell ref="AE410:AF410"/>
    <mergeCell ref="AE411:AF411"/>
    <mergeCell ref="AE415:AF415"/>
    <mergeCell ref="AE367:AF367"/>
    <mergeCell ref="AE368:AF368"/>
    <mergeCell ref="AE363:AF363"/>
    <mergeCell ref="AE372:AF372"/>
    <mergeCell ref="AE321:AF321"/>
    <mergeCell ref="AE322:AF322"/>
    <mergeCell ref="AE326:AF326"/>
    <mergeCell ref="AE330:AF330"/>
    <mergeCell ref="AE342:AF342"/>
    <mergeCell ref="AB419:AB435"/>
    <mergeCell ref="AE319:AF319"/>
    <mergeCell ref="AE320:AF320"/>
    <mergeCell ref="AE314:AF314"/>
    <mergeCell ref="AE315:AF315"/>
    <mergeCell ref="AE316:AF316"/>
    <mergeCell ref="AE317:AF317"/>
    <mergeCell ref="AE318:AF318"/>
    <mergeCell ref="AE301:AF301"/>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62:AF162"/>
    <mergeCell ref="AB118:AB124"/>
    <mergeCell ref="AB105:AB117"/>
    <mergeCell ref="AB50:AB65"/>
    <mergeCell ref="AB66:AB78"/>
    <mergeCell ref="AB79:AB91"/>
    <mergeCell ref="AB92:AB104"/>
    <mergeCell ref="Y139:Y299"/>
    <mergeCell ref="Z139:Z299"/>
    <mergeCell ref="AB140:AB160"/>
    <mergeCell ref="AB280:AB299"/>
    <mergeCell ref="AB269:AB279"/>
    <mergeCell ref="AB248:AB268"/>
    <mergeCell ref="AB161:AB184"/>
    <mergeCell ref="AB185:AB205"/>
    <mergeCell ref="AB206:AB226"/>
    <mergeCell ref="AB227:AB247"/>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8 AE327:AE328"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D8B8-C4C8-7EF1-FE88-2832B1398664}">
  <sheetPr>
    <tabColor rgb="FFFFC000"/>
    <outlinePr summaryBelow="0" summaryRight="0"/>
    <pageSetUpPr fitToPage="1"/>
  </sheetPr>
  <dimension ref="A1:BJ162"/>
  <sheetViews>
    <sheetView showGridLines="0" workbookViewId="0">
      <pane xSplit="30" ySplit="26" topLeftCell="AH68" activePane="bottomRight" state="frozen"/>
      <selection pane="topRight" activeCell="AE1" sqref="AE1"/>
      <selection pane="bottomLeft" activeCell="A27" sqref="A27"/>
      <selection pane="bottomRight" activeCell="AC124" sqref="AC124"/>
    </sheetView>
  </sheetViews>
  <sheetFormatPr defaultColWidth="9.140625" defaultRowHeight="11.25" customHeight="1"/>
  <cols>
    <col min="1" max="1" width="3.5703125" style="983" hidden="1" customWidth="1"/>
    <col min="2" max="2" width="8.5703125" style="783" hidden="1" customWidth="1"/>
    <col min="3" max="4" width="3.5703125" style="1153" hidden="1" customWidth="1"/>
    <col min="5" max="5" width="8.42578125" style="782" hidden="1" customWidth="1"/>
    <col min="6" max="6" width="6.42578125" style="1153" hidden="1" customWidth="1"/>
    <col min="7" max="7" width="3.5703125" style="425" hidden="1" customWidth="1"/>
    <col min="8" max="8" width="8.42578125" style="425" hidden="1" customWidth="1"/>
    <col min="9" max="11" width="3.5703125" style="425" hidden="1" customWidth="1"/>
    <col min="12" max="12" width="12.140625" style="425" hidden="1" customWidth="1"/>
    <col min="13" max="16" width="3.5703125" style="425" hidden="1" customWidth="1"/>
    <col min="17" max="17" width="3.5703125" style="784" hidden="1" customWidth="1"/>
    <col min="18" max="18" width="12.7109375" style="784" hidden="1" customWidth="1"/>
    <col min="19" max="19" width="3.5703125" style="425"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5" customWidth="1"/>
    <col min="28" max="28" width="11.7109375" style="425" customWidth="1"/>
    <col min="29" max="29" width="54" style="425" customWidth="1"/>
    <col min="30" max="39" width="12.5703125" style="425" customWidth="1"/>
    <col min="40" max="44" width="12.5703125" style="425" hidden="1" customWidth="1"/>
    <col min="45" max="49" width="12.5703125" style="425" customWidth="1"/>
    <col min="50" max="54" width="12.5703125" style="425" hidden="1" customWidth="1"/>
    <col min="55" max="55" width="20.140625" style="425" customWidth="1"/>
    <col min="56" max="56" width="3" style="425" customWidth="1"/>
    <col min="57" max="57" width="9.140625" style="425" hidden="1"/>
    <col min="58" max="58" width="17.42578125" style="1015" hidden="1" customWidth="1"/>
    <col min="59" max="59" width="14.42578125" style="1015" hidden="1" customWidth="1"/>
    <col min="60" max="60" width="9.140625" style="1015" hidden="1"/>
    <col min="61" max="62" width="9.140625" style="1026" hidden="1"/>
  </cols>
  <sheetData>
    <row r="1" spans="1:62" s="1153" customFormat="1" ht="12" hidden="1" customHeight="1">
      <c r="A1" s="983"/>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382</v>
      </c>
      <c r="Z1" s="687" t="s">
        <v>93</v>
      </c>
      <c r="AA1" s="698" t="s">
        <v>90</v>
      </c>
      <c r="AB1" s="698" t="s">
        <v>92</v>
      </c>
      <c r="AC1" s="698" t="s">
        <v>92</v>
      </c>
      <c r="BF1" s="981" t="s">
        <v>383</v>
      </c>
      <c r="BG1" s="981" t="s">
        <v>384</v>
      </c>
      <c r="BH1" s="981" t="s">
        <v>385</v>
      </c>
      <c r="BI1" s="984" t="s">
        <v>388</v>
      </c>
      <c r="BJ1" s="984" t="s">
        <v>389</v>
      </c>
    </row>
    <row r="2" spans="1:62" s="783" customFormat="1" ht="12" hidden="1" customHeight="1">
      <c r="A2" s="991"/>
      <c r="B2" s="768" t="s">
        <v>15</v>
      </c>
      <c r="G2" s="786"/>
      <c r="H2" s="786"/>
      <c r="I2" s="786"/>
      <c r="J2" s="786"/>
      <c r="K2" s="786"/>
      <c r="L2" s="786"/>
      <c r="M2" s="786"/>
      <c r="N2" s="786"/>
      <c r="O2" s="786"/>
      <c r="P2" s="786"/>
      <c r="Q2" s="786"/>
      <c r="R2" s="786"/>
      <c r="S2" s="786"/>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973"/>
      <c r="BG2" s="973"/>
      <c r="BH2" s="973"/>
      <c r="BI2" s="985"/>
      <c r="BJ2" s="985"/>
    </row>
    <row r="3" spans="1:62" s="1153" customFormat="1" ht="12" hidden="1" customHeight="1">
      <c r="A3" s="983"/>
      <c r="B3" s="667"/>
      <c r="E3" s="667"/>
      <c r="G3" s="163"/>
      <c r="H3" s="163"/>
      <c r="I3" s="163"/>
      <c r="J3" s="163"/>
      <c r="K3" s="163"/>
      <c r="L3" s="163"/>
      <c r="M3" s="163"/>
      <c r="N3" s="163"/>
      <c r="O3" s="163"/>
      <c r="P3" s="163"/>
      <c r="Q3" s="620"/>
      <c r="R3" s="620"/>
      <c r="S3" s="163"/>
      <c r="BF3" s="981"/>
      <c r="BG3" s="981"/>
      <c r="BH3" s="981"/>
      <c r="BI3" s="984"/>
      <c r="BJ3" s="984"/>
    </row>
    <row r="4" spans="1:62" s="1153" customFormat="1" ht="12" hidden="1" customHeight="1">
      <c r="A4" s="983"/>
      <c r="B4" s="667"/>
      <c r="E4" s="667"/>
      <c r="G4" s="163"/>
      <c r="H4" s="163"/>
      <c r="I4" s="163"/>
      <c r="J4" s="163"/>
      <c r="K4" s="163"/>
      <c r="L4" s="163"/>
      <c r="M4" s="163"/>
      <c r="N4" s="163"/>
      <c r="O4" s="163"/>
      <c r="P4" s="163"/>
      <c r="Q4" s="620"/>
      <c r="R4" s="620"/>
      <c r="S4" s="163"/>
      <c r="BF4" s="981"/>
      <c r="BG4" s="981"/>
      <c r="BH4" s="981"/>
      <c r="BI4" s="984"/>
      <c r="BJ4" s="984"/>
    </row>
    <row r="5" spans="1:62" s="782" customFormat="1" ht="12" hidden="1" customHeight="1">
      <c r="A5" s="991"/>
      <c r="B5" s="667"/>
      <c r="C5" s="667"/>
      <c r="D5" s="667"/>
      <c r="E5" s="676" t="s">
        <v>16</v>
      </c>
      <c r="G5" s="787"/>
      <c r="H5" s="787"/>
      <c r="I5" s="787"/>
      <c r="J5" s="787"/>
      <c r="K5" s="787"/>
      <c r="L5" s="787"/>
      <c r="M5" s="787"/>
      <c r="N5" s="787"/>
      <c r="O5" s="787"/>
      <c r="P5" s="787"/>
      <c r="Q5" s="787"/>
      <c r="R5" s="787"/>
      <c r="S5" s="787"/>
      <c r="AA5" s="676">
        <v>3</v>
      </c>
      <c r="AB5" s="676">
        <v>11.75</v>
      </c>
      <c r="AC5" s="676">
        <v>54</v>
      </c>
      <c r="AD5" s="676">
        <v>12.63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c r="BG5" s="973"/>
      <c r="BH5" s="973"/>
      <c r="BI5" s="985"/>
      <c r="BJ5" s="985"/>
    </row>
    <row r="6" spans="1:62" s="1153" customFormat="1" ht="12" hidden="1" customHeight="1">
      <c r="A6" s="983"/>
      <c r="B6" s="667"/>
      <c r="E6" s="676"/>
      <c r="G6" s="163"/>
      <c r="H6" s="163"/>
      <c r="I6" s="163"/>
      <c r="J6" s="163"/>
      <c r="K6" s="163"/>
      <c r="L6" s="163"/>
      <c r="M6" s="163"/>
      <c r="N6" s="163"/>
      <c r="O6" s="163"/>
      <c r="P6" s="163"/>
      <c r="Q6" s="620"/>
      <c r="R6" s="620"/>
      <c r="S6" s="163"/>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1"/>
      <c r="BG6" s="981"/>
      <c r="BH6" s="981"/>
      <c r="BI6" s="984"/>
      <c r="BJ6" s="984"/>
    </row>
    <row r="7" spans="1:62" ht="12" hidden="1" customHeight="1">
      <c r="F7" s="163"/>
      <c r="T7" s="163"/>
      <c r="U7" s="163"/>
      <c r="V7" s="163"/>
      <c r="W7" s="163"/>
      <c r="X7" s="163"/>
      <c r="Y7" s="163"/>
      <c r="Z7" s="163"/>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$AI$25</f>
        <v>Предложение организации</v>
      </c>
      <c r="AK7" s="163" t="str" cm="1">
        <f t="array" ref="AK7">$AI$25</f>
        <v>Предложение организации</v>
      </c>
      <c r="AL7" s="163" t="str" cm="1">
        <f t="array" ref="AL7">$AI$25</f>
        <v>Предложение организации</v>
      </c>
      <c r="AM7" s="163" t="str" cm="1">
        <f t="array" ref="AM7">$AI$25</f>
        <v>Предложение организации</v>
      </c>
      <c r="AN7" s="163" t="str" cm="1">
        <f t="array" ref="AN7">$AI$25</f>
        <v>Предложение организации</v>
      </c>
      <c r="AO7" s="163" t="str" cm="1">
        <f t="array" ref="AO7">$AI$25</f>
        <v>Предложение организации</v>
      </c>
      <c r="AP7" s="163" t="str" cm="1">
        <f t="array" ref="AP7">$AI$25</f>
        <v>Предложение организации</v>
      </c>
      <c r="AQ7" s="163" t="str" cm="1">
        <f t="array" ref="AQ7">$AI$25</f>
        <v>Предложение организации</v>
      </c>
      <c r="AR7" s="163" t="str" cm="1">
        <f t="array" ref="AR7">$AI$25</f>
        <v>Предложение организации</v>
      </c>
      <c r="AS7" s="163" t="str" cm="1">
        <f t="array" ref="AS7">$AS$25</f>
        <v>Принято органом регулирования</v>
      </c>
      <c r="AT7" s="163" t="str" cm="1">
        <f t="array" ref="AT7">$AS$25</f>
        <v>Принято органом регулирования</v>
      </c>
      <c r="AU7" s="163" t="str" cm="1">
        <f t="array" ref="AU7">$AS$25</f>
        <v>Принято органом регулирования</v>
      </c>
      <c r="AV7" s="163" t="str" cm="1">
        <f t="array" ref="AV7">$AS$25</f>
        <v>Принято органом регулирования</v>
      </c>
      <c r="AW7" s="163" t="str" cm="1">
        <f t="array" ref="AW7">$AS$25</f>
        <v>Принято органом регулирования</v>
      </c>
      <c r="AX7" s="163" t="str" cm="1">
        <f t="array" ref="AX7">$AS$25</f>
        <v>Принято органом регулирования</v>
      </c>
      <c r="AY7" s="163" t="str" cm="1">
        <f t="array" ref="AY7">$AS$25</f>
        <v>Принято органом регулирования</v>
      </c>
      <c r="AZ7" s="163" t="str" cm="1">
        <f t="array" ref="AZ7">$AS$25</f>
        <v>Принято органом регулирования</v>
      </c>
      <c r="BA7" s="163" t="str" cm="1">
        <f t="array" ref="BA7">$AS$25</f>
        <v>Принято органом регулирования</v>
      </c>
      <c r="BB7" s="163" t="str" cm="1">
        <f t="array" ref="BB7">$AS$25</f>
        <v>Принято органом регулирования</v>
      </c>
    </row>
    <row r="8" spans="1:62" ht="12" hidden="1" customHeight="1">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62" s="1013" customFormat="1" ht="12" hidden="1" customHeight="1">
      <c r="A9" s="980" t="s">
        <v>472</v>
      </c>
      <c r="B9" s="951"/>
      <c r="E9" s="951"/>
      <c r="Q9" s="960"/>
      <c r="R9" s="960"/>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81"/>
      <c r="BG9" s="981"/>
      <c r="BH9" s="981"/>
      <c r="BI9" s="981"/>
      <c r="BJ9" s="981"/>
    </row>
    <row r="10" spans="1:62" s="1013" customFormat="1" ht="12" hidden="1" customHeight="1">
      <c r="A10" s="980" t="s">
        <v>473</v>
      </c>
      <c r="B10" s="951"/>
      <c r="E10" s="951"/>
      <c r="Q10" s="960"/>
      <c r="R10" s="960"/>
      <c r="AE10" s="959" t="str" cm="1">
        <f t="array" ref="AE10">AE25</f>
        <v>Принято органом регулирования</v>
      </c>
      <c r="AF10" s="959" t="str" cm="1">
        <f t="array" ref="AF10">AF25</f>
        <v>Факт по данным организации</v>
      </c>
      <c r="AG10" s="959" t="str" cm="1">
        <f t="array" ref="AG10">AG25</f>
        <v>Факт, принятый органом регулирования</v>
      </c>
      <c r="AH10" s="959" t="str" cm="1">
        <f t="array" ref="AH10">AH25</f>
        <v>Принято органом регулирования</v>
      </c>
      <c r="AI10" s="959" t="str" cm="1">
        <f t="array" ref="AI10">AI25</f>
        <v>Предложение организации</v>
      </c>
      <c r="AJ10" s="959" t="str" cm="1">
        <f t="array" ref="AJ10">AJ25</f>
        <v>Предложение организации</v>
      </c>
      <c r="AK10" s="959" t="str" cm="1">
        <f t="array" ref="AK10">AK25</f>
        <v>Предложение организации</v>
      </c>
      <c r="AL10" s="959" t="str" cm="1">
        <f t="array" ref="AL10">AL25</f>
        <v>Предложение организации</v>
      </c>
      <c r="AM10" s="959" t="str" cm="1">
        <f t="array" ref="AM10">AM25</f>
        <v>Предложение организации</v>
      </c>
      <c r="AN10" s="959" t="str" cm="1">
        <f t="array" ref="AN10">AN25</f>
        <v>Предложение организации</v>
      </c>
      <c r="AO10" s="959" t="str" cm="1">
        <f t="array" ref="AO10">AO25</f>
        <v>Предложение организации</v>
      </c>
      <c r="AP10" s="959" t="str" cm="1">
        <f t="array" ref="AP10">AP25</f>
        <v>Предложение организации</v>
      </c>
      <c r="AQ10" s="959" t="str" cm="1">
        <f t="array" ref="AQ10">AQ25</f>
        <v>Предложение организации</v>
      </c>
      <c r="AR10" s="959" t="str" cm="1">
        <f t="array" ref="AR10">AR25</f>
        <v>Предложение организации</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AY10" s="959" t="str" cm="1">
        <f t="array" ref="AY10">AY25</f>
        <v>Принято органом регулирования</v>
      </c>
      <c r="AZ10" s="959" t="str" cm="1">
        <f t="array" ref="AZ10">AZ25</f>
        <v>Принято органом регулирования</v>
      </c>
      <c r="BA10" s="959" t="str" cm="1">
        <f t="array" ref="BA10">BA25</f>
        <v>Принято органом регулирования</v>
      </c>
      <c r="BB10" s="959" t="str" cm="1">
        <f t="array" ref="BB10">BB25</f>
        <v>Принято органом регулирования</v>
      </c>
      <c r="BF10" s="981"/>
      <c r="BG10" s="981"/>
      <c r="BH10" s="981"/>
      <c r="BI10" s="981"/>
      <c r="BJ10" s="981"/>
    </row>
    <row r="11" spans="1:62" s="1013" customFormat="1" ht="12" hidden="1" customHeight="1">
      <c r="A11" s="958" t="s">
        <v>474</v>
      </c>
      <c r="B11" s="951"/>
      <c r="E11" s="951"/>
      <c r="G11" s="967"/>
      <c r="H11" s="967"/>
      <c r="I11" s="967"/>
      <c r="J11" s="967"/>
      <c r="K11" s="967"/>
      <c r="L11" s="967"/>
      <c r="M11" s="967"/>
      <c r="N11" s="967"/>
      <c r="O11" s="967"/>
      <c r="P11" s="967"/>
      <c r="Q11" s="982"/>
      <c r="R11" s="982"/>
      <c r="S11" s="967"/>
      <c r="BC11" s="959" t="str" cm="1">
        <f t="array" ref="BC11">BC24</f>
        <v>Ссылка на правовую норму (основание для принятия показателя в расчет тарифа)</v>
      </c>
      <c r="BF11" s="981"/>
      <c r="BG11" s="981"/>
      <c r="BH11" s="981"/>
      <c r="BI11" s="981"/>
      <c r="BJ11" s="981"/>
    </row>
    <row r="12" spans="1:62" s="1013" customFormat="1" ht="12" hidden="1" customHeight="1">
      <c r="A12" s="958" t="s">
        <v>394</v>
      </c>
      <c r="B12" s="951"/>
      <c r="E12" s="951"/>
      <c r="G12" s="967"/>
      <c r="H12" s="967"/>
      <c r="I12" s="967"/>
      <c r="J12" s="967"/>
      <c r="K12" s="967"/>
      <c r="L12" s="967"/>
      <c r="M12" s="967"/>
      <c r="N12" s="967"/>
      <c r="O12" s="967"/>
      <c r="P12" s="967"/>
      <c r="Q12" s="982"/>
      <c r="R12" s="982"/>
      <c r="S12" s="967"/>
      <c r="AC12" s="959" t="s">
        <v>385</v>
      </c>
      <c r="BF12" s="981"/>
      <c r="BG12" s="981"/>
      <c r="BH12" s="981"/>
      <c r="BI12" s="984"/>
      <c r="BJ12" s="984"/>
    </row>
    <row r="13" spans="1:62" s="1153" customFormat="1" ht="12" hidden="1" customHeight="1">
      <c r="A13" s="983"/>
      <c r="B13" s="667"/>
      <c r="E13" s="676"/>
      <c r="G13" s="163"/>
      <c r="H13" s="163"/>
      <c r="I13" s="163"/>
      <c r="J13" s="163"/>
      <c r="K13" s="163"/>
      <c r="L13" s="163"/>
      <c r="M13" s="163"/>
      <c r="N13" s="163"/>
      <c r="O13" s="163"/>
      <c r="P13" s="163"/>
      <c r="Q13" s="620"/>
      <c r="R13" s="620"/>
      <c r="S13" s="163"/>
      <c r="BF13" s="981"/>
      <c r="BG13" s="981"/>
      <c r="BH13" s="981"/>
      <c r="BI13" s="984"/>
      <c r="BJ13" s="984"/>
    </row>
    <row r="14" spans="1:62" s="1153" customFormat="1" ht="12" hidden="1" customHeight="1">
      <c r="A14" s="983"/>
      <c r="B14" s="667"/>
      <c r="E14" s="676"/>
      <c r="G14" s="163"/>
      <c r="H14" s="163"/>
      <c r="I14" s="163"/>
      <c r="J14" s="163"/>
      <c r="K14" s="163"/>
      <c r="L14" s="163"/>
      <c r="M14" s="163"/>
      <c r="N14" s="163"/>
      <c r="O14" s="163"/>
      <c r="P14" s="163"/>
      <c r="Q14" s="620"/>
      <c r="R14" s="620"/>
      <c r="S14" s="163"/>
      <c r="BF14" s="981"/>
      <c r="BG14" s="981"/>
      <c r="BH14" s="981"/>
      <c r="BI14" s="984"/>
      <c r="BJ14" s="984"/>
    </row>
    <row r="15" spans="1:62" s="1153" customFormat="1" ht="12" hidden="1" customHeight="1">
      <c r="A15" s="983"/>
      <c r="B15" s="667"/>
      <c r="E15" s="676"/>
      <c r="G15" s="163"/>
      <c r="H15" s="163"/>
      <c r="I15" s="163"/>
      <c r="J15" s="163"/>
      <c r="K15" s="163"/>
      <c r="L15" s="163"/>
      <c r="M15" s="163"/>
      <c r="N15" s="163"/>
      <c r="O15" s="163"/>
      <c r="P15" s="163"/>
      <c r="Q15" s="620"/>
      <c r="R15" s="620"/>
      <c r="S15" s="163"/>
      <c r="BF15" s="981"/>
      <c r="BG15" s="981"/>
      <c r="BH15" s="981"/>
      <c r="BI15" s="984"/>
      <c r="BJ15" s="984"/>
    </row>
    <row r="16" spans="1:62" s="1153" customFormat="1" ht="12" hidden="1" customHeight="1">
      <c r="A16" s="983"/>
      <c r="B16" s="667"/>
      <c r="E16" s="676"/>
      <c r="G16" s="163"/>
      <c r="H16" s="163"/>
      <c r="I16" s="163"/>
      <c r="J16" s="163"/>
      <c r="K16" s="163"/>
      <c r="L16" s="163"/>
      <c r="M16" s="163"/>
      <c r="N16" s="163"/>
      <c r="O16" s="163"/>
      <c r="P16" s="163"/>
      <c r="Q16" s="620"/>
      <c r="R16" s="620"/>
      <c r="S16" s="163"/>
      <c r="BF16" s="981"/>
      <c r="BG16" s="981"/>
      <c r="BH16" s="981"/>
      <c r="BI16" s="984"/>
      <c r="BJ16" s="984"/>
    </row>
    <row r="17" spans="1:62" s="1153" customFormat="1" ht="12" hidden="1" customHeight="1">
      <c r="A17" s="983"/>
      <c r="B17" s="667"/>
      <c r="E17" s="676"/>
      <c r="G17" s="163"/>
      <c r="H17" s="163"/>
      <c r="I17" s="163"/>
      <c r="J17" s="163"/>
      <c r="K17" s="163"/>
      <c r="L17" s="163"/>
      <c r="M17" s="163"/>
      <c r="N17" s="163"/>
      <c r="O17" s="163"/>
      <c r="P17" s="163"/>
      <c r="Q17" s="620"/>
      <c r="R17" s="620"/>
      <c r="S17" s="163"/>
      <c r="BF17" s="981"/>
      <c r="BG17" s="981"/>
      <c r="BH17" s="981"/>
      <c r="BI17" s="984"/>
      <c r="BJ17" s="984"/>
    </row>
    <row r="18" spans="1:62" s="1153" customFormat="1" ht="12" hidden="1" customHeight="1">
      <c r="A18" s="859" t="s">
        <v>530</v>
      </c>
      <c r="B18" s="667"/>
      <c r="E18" s="676"/>
      <c r="G18" s="163"/>
      <c r="H18" s="163"/>
      <c r="I18" s="163"/>
      <c r="J18" s="163"/>
      <c r="K18" s="163"/>
      <c r="L18" s="163"/>
      <c r="M18" s="163"/>
      <c r="N18" s="163"/>
      <c r="O18" s="163"/>
      <c r="P18" s="163"/>
      <c r="Q18" s="620"/>
      <c r="R18" s="620"/>
      <c r="S18" s="163"/>
      <c r="AC18" s="126" t="s">
        <v>475</v>
      </c>
      <c r="BF18" s="981"/>
      <c r="BG18" s="981"/>
      <c r="BH18" s="981"/>
      <c r="BI18" s="984"/>
      <c r="BJ18" s="984"/>
    </row>
    <row r="19" spans="1:62" s="1153" customFormat="1" ht="12" hidden="1" customHeight="1">
      <c r="A19" s="983"/>
      <c r="B19" s="667"/>
      <c r="E19" s="676"/>
      <c r="G19" s="163"/>
      <c r="H19" s="163"/>
      <c r="I19" s="163"/>
      <c r="J19" s="163"/>
      <c r="K19" s="163"/>
      <c r="L19" s="163"/>
      <c r="M19" s="163"/>
      <c r="N19" s="163"/>
      <c r="O19" s="163"/>
      <c r="P19" s="163"/>
      <c r="Q19" s="620"/>
      <c r="R19" s="620"/>
      <c r="S19" s="163"/>
      <c r="BF19" s="981"/>
      <c r="BG19" s="981"/>
      <c r="BH19" s="981"/>
      <c r="BI19" s="984"/>
      <c r="BJ19" s="984"/>
    </row>
    <row r="20" spans="1:62" s="1153" customFormat="1" ht="12" hidden="1" customHeight="1">
      <c r="A20" s="983"/>
      <c r="B20" s="667"/>
      <c r="E20" s="676"/>
      <c r="G20" s="163"/>
      <c r="H20" s="163"/>
      <c r="I20" s="163"/>
      <c r="J20" s="163"/>
      <c r="K20" s="163"/>
      <c r="L20" s="163"/>
      <c r="M20" s="163"/>
      <c r="N20" s="163"/>
      <c r="O20" s="163"/>
      <c r="P20" s="163"/>
      <c r="Q20" s="620"/>
      <c r="R20" s="620"/>
      <c r="S20" s="163"/>
      <c r="BF20" s="981"/>
      <c r="BG20" s="981"/>
      <c r="BH20" s="981"/>
      <c r="BI20" s="984"/>
      <c r="BJ20" s="984"/>
    </row>
    <row r="21" spans="1:62" ht="14.65" customHeight="1">
      <c r="E21" s="676">
        <v>15</v>
      </c>
      <c r="AA21" s="699"/>
      <c r="AC21" s="343" t="str" cm="1">
        <f t="array" ref="AC21">tpl_title</f>
        <v>Кемеровская область / 2026 / ОАО «СКЭК» (ИНН:4205153492, КПП:420501001) / ДПР: 2021-2030</v>
      </c>
    </row>
    <row r="22" spans="1:62" s="814" customFormat="1" ht="19.5" customHeight="1">
      <c r="A22" s="343"/>
      <c r="B22" s="667"/>
      <c r="C22" s="129"/>
      <c r="D22" s="129"/>
      <c r="E22" s="676">
        <v>20.100000000000001</v>
      </c>
      <c r="F22" s="129"/>
      <c r="Q22" s="620"/>
      <c r="R22" s="620"/>
      <c r="T22" s="129"/>
      <c r="U22" s="129"/>
      <c r="V22" s="129"/>
      <c r="W22" s="129"/>
      <c r="X22" s="129"/>
      <c r="Y22" s="129"/>
      <c r="Z22" s="129"/>
      <c r="AB22" s="333" t="s">
        <v>982</v>
      </c>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F22" s="977"/>
      <c r="BG22" s="977"/>
      <c r="BH22" s="977"/>
      <c r="BI22" s="986"/>
      <c r="BJ22" s="986"/>
    </row>
    <row r="23" spans="1:62" s="814" customFormat="1" ht="11.1" customHeight="1">
      <c r="A23" s="343"/>
      <c r="B23" s="667"/>
      <c r="C23" s="129"/>
      <c r="D23" s="129"/>
      <c r="E23" s="676">
        <v>11.4</v>
      </c>
      <c r="F23" s="129"/>
      <c r="Q23" s="620"/>
      <c r="R23" s="620"/>
      <c r="T23" s="129"/>
      <c r="U23" s="129"/>
      <c r="V23" s="129"/>
      <c r="W23" s="129"/>
      <c r="X23" s="129"/>
      <c r="Y23" s="129"/>
      <c r="Z23" s="129"/>
      <c r="AB23" s="220"/>
      <c r="AC23" s="220"/>
      <c r="AD23" s="220"/>
      <c r="AE23" s="221"/>
      <c r="AF23" s="221"/>
      <c r="AG23" s="221"/>
      <c r="AH23" s="221"/>
      <c r="AI23" s="220"/>
      <c r="AJ23" s="220"/>
      <c r="AK23" s="220"/>
      <c r="AL23" s="220"/>
      <c r="AM23" s="220"/>
      <c r="AN23" s="220"/>
      <c r="AO23" s="220"/>
      <c r="AP23" s="220"/>
      <c r="AQ23" s="220"/>
      <c r="AR23" s="220"/>
      <c r="AS23" s="220"/>
      <c r="AT23" s="220"/>
      <c r="AU23" s="220"/>
      <c r="AV23" s="220"/>
      <c r="AW23" s="220"/>
      <c r="AX23" s="220"/>
      <c r="AY23" s="220"/>
      <c r="AZ23" s="220"/>
      <c r="BA23" s="220"/>
      <c r="BB23" s="220"/>
      <c r="BC23" s="220"/>
      <c r="BF23" s="977"/>
      <c r="BG23" s="977"/>
      <c r="BH23" s="977"/>
      <c r="BI23" s="986"/>
      <c r="BJ23" s="986"/>
    </row>
    <row r="24" spans="1:62" s="165" customFormat="1" ht="14.65" customHeight="1">
      <c r="A24" s="277"/>
      <c r="B24" s="671"/>
      <c r="C24" s="122"/>
      <c r="D24" s="122"/>
      <c r="E24" s="682">
        <v>15</v>
      </c>
      <c r="F24" s="122"/>
      <c r="Q24" s="777"/>
      <c r="R24" s="777"/>
      <c r="T24" s="122"/>
      <c r="U24" s="122"/>
      <c r="V24" s="122"/>
      <c r="W24" s="122"/>
      <c r="X24" s="122"/>
      <c r="Y24" s="122"/>
      <c r="Z24" s="122"/>
      <c r="AB24" s="1805" t="s">
        <v>396</v>
      </c>
      <c r="AC24" s="1805" t="s">
        <v>475</v>
      </c>
      <c r="AD24" s="1805" t="s">
        <v>476</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747" t="s">
        <v>630</v>
      </c>
      <c r="BF24" s="981"/>
      <c r="BG24" s="987"/>
      <c r="BH24" s="987"/>
      <c r="BI24" s="988"/>
      <c r="BJ24" s="988"/>
    </row>
    <row r="25" spans="1:62" s="165" customFormat="1" ht="48.75" customHeight="1">
      <c r="A25" s="277"/>
      <c r="B25" s="671"/>
      <c r="C25" s="122"/>
      <c r="D25" s="122"/>
      <c r="E25" s="682">
        <v>50.1</v>
      </c>
      <c r="F25" s="122"/>
      <c r="Q25" s="777"/>
      <c r="R25" s="777"/>
      <c r="T25" s="122"/>
      <c r="U25" s="122"/>
      <c r="V25" s="122"/>
      <c r="W25" s="122"/>
      <c r="X25" s="122"/>
      <c r="Y25" s="122"/>
      <c r="Z25" s="122"/>
      <c r="AB25" s="1805"/>
      <c r="AC25" s="1805"/>
      <c r="AD25" s="1805"/>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747"/>
      <c r="BF25" s="981"/>
      <c r="BG25" s="987"/>
      <c r="BH25" s="987"/>
      <c r="BI25" s="988"/>
      <c r="BJ25" s="988"/>
    </row>
    <row r="26" spans="1:62" s="165" customFormat="1" ht="50.25" hidden="1" customHeight="1">
      <c r="A26" s="277"/>
      <c r="B26" s="671"/>
      <c r="C26" s="122"/>
      <c r="D26" s="122"/>
      <c r="E26" s="682">
        <v>0</v>
      </c>
      <c r="F26" s="122"/>
      <c r="Q26" s="777"/>
      <c r="R26" s="777"/>
      <c r="T26" s="122"/>
      <c r="U26" s="122"/>
      <c r="V26" s="122"/>
      <c r="W26" s="122"/>
      <c r="X26" s="122"/>
      <c r="Y26" s="122"/>
      <c r="Z26" s="122"/>
      <c r="AB26" s="446"/>
      <c r="AC26" s="446"/>
      <c r="AD26" s="446"/>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F26" s="981"/>
      <c r="BG26" s="987"/>
      <c r="BH26" s="987"/>
      <c r="BI26" s="988"/>
      <c r="BJ26" s="988"/>
    </row>
    <row r="27" spans="1:62" s="165" customFormat="1" ht="18.399999999999999" hidden="1" customHeight="1">
      <c r="E27" s="682">
        <v>18.8</v>
      </c>
      <c r="F27" s="779" cm="1">
        <f t="array" ref="F27">X27</f>
        <v>0</v>
      </c>
      <c r="K27" s="163" cm="1">
        <f t="array" ref="K27">INDEX('Общие сведения'!$AL$187:$AL$236,MATCH($F27,'Общие сведения'!$Z$187:$Z$236,0))</f>
        <v>0</v>
      </c>
      <c r="L27" s="163" cm="1">
        <f t="array" ref="L27">INDEX('Общие сведения'!$AK$187:$AK$236,MATCH($F27,'Общие сведения'!$Z$187:$Z$236,0))</f>
        <v>0</v>
      </c>
      <c r="T27" s="687" t="b">
        <f>X27&gt;0</f>
        <v>0</v>
      </c>
      <c r="V27" s="122" t="s">
        <v>315</v>
      </c>
      <c r="X27" s="1721">
        <v>0</v>
      </c>
      <c r="Z27" s="1733"/>
      <c r="AB27" s="213" t="str" cm="1">
        <f t="array" ref="AB27">INDEX('Общие сведения'!$AG$187:$AG$236,MATCH($F27,'Общие сведения'!$Z$187:$Z$236,0))</f>
        <v xml:space="preserve">Тариф 0 (Теплоснабжение) - </v>
      </c>
      <c r="AC27" s="210"/>
      <c r="AD27" s="204"/>
      <c r="AE27" s="321">
        <f t="shared" ref="AE27:BB27" si="2">AE28+AE47</f>
        <v>0</v>
      </c>
      <c r="AF27" s="321">
        <f t="shared" si="2"/>
        <v>0</v>
      </c>
      <c r="AG27" s="321">
        <f t="shared" si="2"/>
        <v>0</v>
      </c>
      <c r="AH27" s="321">
        <f t="shared" si="2"/>
        <v>0</v>
      </c>
      <c r="AI27" s="321">
        <f t="shared" si="2"/>
        <v>0</v>
      </c>
      <c r="AJ27" s="321">
        <f t="shared" si="2"/>
        <v>0</v>
      </c>
      <c r="AK27" s="321">
        <f t="shared" si="2"/>
        <v>0</v>
      </c>
      <c r="AL27" s="321">
        <f t="shared" si="2"/>
        <v>0</v>
      </c>
      <c r="AM27" s="321">
        <f t="shared" si="2"/>
        <v>0</v>
      </c>
      <c r="AN27" s="321">
        <f t="shared" si="2"/>
        <v>0</v>
      </c>
      <c r="AO27" s="321">
        <f t="shared" si="2"/>
        <v>0</v>
      </c>
      <c r="AP27" s="321">
        <f t="shared" si="2"/>
        <v>0</v>
      </c>
      <c r="AQ27" s="321">
        <f t="shared" si="2"/>
        <v>0</v>
      </c>
      <c r="AR27" s="321">
        <f t="shared" si="2"/>
        <v>0</v>
      </c>
      <c r="AS27" s="321">
        <f t="shared" si="2"/>
        <v>0</v>
      </c>
      <c r="AT27" s="321">
        <f t="shared" si="2"/>
        <v>0</v>
      </c>
      <c r="AU27" s="321">
        <f t="shared" si="2"/>
        <v>0</v>
      </c>
      <c r="AV27" s="321">
        <f t="shared" si="2"/>
        <v>0</v>
      </c>
      <c r="AW27" s="321">
        <f t="shared" si="2"/>
        <v>0</v>
      </c>
      <c r="AX27" s="321">
        <f t="shared" si="2"/>
        <v>0</v>
      </c>
      <c r="AY27" s="321">
        <f t="shared" si="2"/>
        <v>0</v>
      </c>
      <c r="AZ27" s="321">
        <f t="shared" si="2"/>
        <v>0</v>
      </c>
      <c r="BA27" s="321">
        <f t="shared" si="2"/>
        <v>0</v>
      </c>
      <c r="BB27" s="321">
        <f t="shared" si="2"/>
        <v>0</v>
      </c>
      <c r="BC27" s="508"/>
      <c r="BF27" s="981"/>
      <c r="BG27" s="987"/>
      <c r="BH27" s="987"/>
      <c r="BI27" s="988"/>
      <c r="BJ27" s="988"/>
    </row>
    <row r="28" spans="1:62" s="1154" customFormat="1" ht="16.7" hidden="1" customHeight="1">
      <c r="E28" s="682">
        <v>17.100000000000001</v>
      </c>
      <c r="F28" s="779" cm="1">
        <f t="array" aca="1" ref="F28" ca="1">OFFSET(G28,-1,-1)</f>
        <v>0</v>
      </c>
      <c r="G28" s="620" t="s">
        <v>983</v>
      </c>
      <c r="I28" s="165" t="s">
        <v>984</v>
      </c>
      <c r="T28" s="780" t="b" cm="1">
        <f t="array" ref="T28">T27</f>
        <v>0</v>
      </c>
      <c r="X28" s="1721"/>
      <c r="Z28" s="1721"/>
      <c r="AB28" s="233">
        <v>1</v>
      </c>
      <c r="AC28" s="228" t="s">
        <v>985</v>
      </c>
      <c r="AD28" s="227" t="s">
        <v>839</v>
      </c>
      <c r="AE28" s="512">
        <f t="shared" ref="AE28:BB28" si="3">SUMIF($I33:$I45,$I28,AE33:AE45)</f>
        <v>0</v>
      </c>
      <c r="AF28" s="512">
        <f t="shared" si="3"/>
        <v>0</v>
      </c>
      <c r="AG28" s="512">
        <f t="shared" si="3"/>
        <v>0</v>
      </c>
      <c r="AH28" s="512">
        <f t="shared" si="3"/>
        <v>0</v>
      </c>
      <c r="AI28" s="512">
        <f t="shared" si="3"/>
        <v>0</v>
      </c>
      <c r="AJ28" s="750">
        <f t="shared" si="3"/>
        <v>0</v>
      </c>
      <c r="AK28" s="750">
        <f t="shared" si="3"/>
        <v>0</v>
      </c>
      <c r="AL28" s="750">
        <f t="shared" si="3"/>
        <v>0</v>
      </c>
      <c r="AM28" s="750">
        <f t="shared" si="3"/>
        <v>0</v>
      </c>
      <c r="AN28" s="52">
        <f t="shared" si="3"/>
        <v>0</v>
      </c>
      <c r="AO28" s="52">
        <f t="shared" si="3"/>
        <v>0</v>
      </c>
      <c r="AP28" s="52">
        <f t="shared" si="3"/>
        <v>0</v>
      </c>
      <c r="AQ28" s="52">
        <f t="shared" si="3"/>
        <v>0</v>
      </c>
      <c r="AR28" s="52">
        <f t="shared" si="3"/>
        <v>0</v>
      </c>
      <c r="AS28" s="512">
        <f t="shared" si="3"/>
        <v>0</v>
      </c>
      <c r="AT28" s="750">
        <f t="shared" si="3"/>
        <v>0</v>
      </c>
      <c r="AU28" s="750">
        <f t="shared" si="3"/>
        <v>0</v>
      </c>
      <c r="AV28" s="750">
        <f t="shared" si="3"/>
        <v>0</v>
      </c>
      <c r="AW28" s="750">
        <f t="shared" si="3"/>
        <v>0</v>
      </c>
      <c r="AX28" s="52">
        <f t="shared" si="3"/>
        <v>0</v>
      </c>
      <c r="AY28" s="52">
        <f t="shared" si="3"/>
        <v>0</v>
      </c>
      <c r="AZ28" s="52">
        <f t="shared" si="3"/>
        <v>0</v>
      </c>
      <c r="BA28" s="52">
        <f t="shared" si="3"/>
        <v>0</v>
      </c>
      <c r="BB28" s="52">
        <f t="shared" si="3"/>
        <v>0</v>
      </c>
      <c r="BC28" s="35"/>
      <c r="BF28" s="970" t="s">
        <v>986</v>
      </c>
      <c r="BG28" s="987"/>
      <c r="BH28" s="987"/>
      <c r="BI28" s="988"/>
      <c r="BJ28" s="988"/>
    </row>
    <row r="29" spans="1:62" s="1154" customFormat="1" ht="16.7" hidden="1" customHeight="1">
      <c r="E29" s="682">
        <v>17.100000000000001</v>
      </c>
      <c r="F29" s="779" cm="1">
        <f t="array" aca="1" ref="F29" ca="1">OFFSET(G29,-1,-1)</f>
        <v>0</v>
      </c>
      <c r="T29" s="780" t="b" cm="1">
        <f t="array" ref="T29">T28</f>
        <v>0</v>
      </c>
      <c r="X29" s="1721"/>
      <c r="Z29" s="1721"/>
      <c r="AB29" s="166" t="s">
        <v>484</v>
      </c>
      <c r="AC29" s="223" t="s">
        <v>987</v>
      </c>
      <c r="AD29" s="121" t="s">
        <v>762</v>
      </c>
      <c r="AE29" s="216">
        <f t="shared" ref="AE29:BB29" si="4">SUMIF($AD33:$AD45,$AD29,AE33:AE45)</f>
        <v>0</v>
      </c>
      <c r="AF29" s="216">
        <f t="shared" si="4"/>
        <v>0</v>
      </c>
      <c r="AG29" s="216">
        <f t="shared" si="4"/>
        <v>0</v>
      </c>
      <c r="AH29" s="216">
        <f t="shared" si="4"/>
        <v>0</v>
      </c>
      <c r="AI29" s="216">
        <f t="shared" si="4"/>
        <v>0</v>
      </c>
      <c r="AJ29" s="162">
        <f t="shared" si="4"/>
        <v>0</v>
      </c>
      <c r="AK29" s="162">
        <f t="shared" si="4"/>
        <v>0</v>
      </c>
      <c r="AL29" s="162">
        <f t="shared" si="4"/>
        <v>0</v>
      </c>
      <c r="AM29" s="162">
        <f t="shared" si="4"/>
        <v>0</v>
      </c>
      <c r="AN29" s="14">
        <f t="shared" si="4"/>
        <v>0</v>
      </c>
      <c r="AO29" s="14">
        <f t="shared" si="4"/>
        <v>0</v>
      </c>
      <c r="AP29" s="14">
        <f t="shared" si="4"/>
        <v>0</v>
      </c>
      <c r="AQ29" s="14">
        <f t="shared" si="4"/>
        <v>0</v>
      </c>
      <c r="AR29" s="14">
        <f t="shared" si="4"/>
        <v>0</v>
      </c>
      <c r="AS29" s="216">
        <f t="shared" si="4"/>
        <v>0</v>
      </c>
      <c r="AT29" s="162">
        <f t="shared" si="4"/>
        <v>0</v>
      </c>
      <c r="AU29" s="162">
        <f t="shared" si="4"/>
        <v>0</v>
      </c>
      <c r="AV29" s="162">
        <f t="shared" si="4"/>
        <v>0</v>
      </c>
      <c r="AW29" s="162">
        <f t="shared" si="4"/>
        <v>0</v>
      </c>
      <c r="AX29" s="14">
        <f t="shared" si="4"/>
        <v>0</v>
      </c>
      <c r="AY29" s="14">
        <f t="shared" si="4"/>
        <v>0</v>
      </c>
      <c r="AZ29" s="14">
        <f t="shared" si="4"/>
        <v>0</v>
      </c>
      <c r="BA29" s="14">
        <f t="shared" si="4"/>
        <v>0</v>
      </c>
      <c r="BB29" s="14">
        <f t="shared" si="4"/>
        <v>0</v>
      </c>
      <c r="BC29" s="28"/>
      <c r="BF29" s="981" t="s">
        <v>988</v>
      </c>
      <c r="BG29" s="987"/>
      <c r="BH29" s="987"/>
      <c r="BI29" s="988"/>
      <c r="BJ29" s="988"/>
    </row>
    <row r="30" spans="1:62" s="1154" customFormat="1" ht="16.7" hidden="1" customHeight="1">
      <c r="E30" s="682">
        <v>17.100000000000001</v>
      </c>
      <c r="F30" s="779" cm="1">
        <f t="array" aca="1" ref="F30" ca="1">OFFSET(G30,-1,-1)</f>
        <v>0</v>
      </c>
      <c r="T30" s="780" t="b" cm="1">
        <f t="array" ref="T30">T29</f>
        <v>0</v>
      </c>
      <c r="X30" s="1721"/>
      <c r="Z30" s="1721"/>
      <c r="AB30" s="166" t="s">
        <v>989</v>
      </c>
      <c r="AC30" s="223" t="s">
        <v>990</v>
      </c>
      <c r="AD30" s="121" t="s">
        <v>634</v>
      </c>
      <c r="AE30" s="53">
        <f ca="1">IF($K27="передача тепловой энергии",SUMIFS('Баланс Тр'!AE$27:AE$50,'Баланс Тр'!$F$27:$F$50,$F30,'Баланс Тр'!$AB$27:$AB$50,"3"),SUMIFS('Баланс Пр'!AE$27:AE$233,'Баланс Пр'!$F$27:$F$233,$F30,'Баланс Пр'!$AB$27:$AB$233,"9.1"))</f>
        <v>0</v>
      </c>
      <c r="AF30" s="53">
        <f ca="1">IF($K27="передача тепловой энергии",SUMIFS('Баланс Тр'!AF$27:AF$50,'Баланс Тр'!$F$27:$F$50,$F30,'Баланс Тр'!$AB$27:$AB$50,"3"),SUMIFS('Баланс Пр'!AF$27:AF$233,'Баланс Пр'!$F$27:$F$233,$F30,'Баланс Пр'!$AB$27:$AB$233,"9.1"))</f>
        <v>0</v>
      </c>
      <c r="AG30" s="53">
        <f ca="1">IF($K27="передача тепловой энергии",SUMIFS('Баланс Тр'!AG$27:AG$50,'Баланс Тр'!$F$27:$F$50,$F30,'Баланс Тр'!$AB$27:$AB$50,"3"),SUMIFS('Баланс Пр'!AG$27:AG$233,'Баланс Пр'!$F$27:$F$233,$F30,'Баланс Пр'!$AB$27:$AB$233,"9.1"))</f>
        <v>0</v>
      </c>
      <c r="AH30" s="53">
        <f ca="1">IF($K27="передача тепловой энергии",SUMIFS('Баланс Тр'!AH$27:AH$50,'Баланс Тр'!$F$27:$F$50,$F30,'Баланс Тр'!$AB$27:$AB$50,"3"),SUMIFS('Баланс Пр'!AH$27:AH$233,'Баланс Пр'!$F$27:$F$233,$F30,'Баланс Пр'!$AB$27:$AB$233,"9.1"))</f>
        <v>0</v>
      </c>
      <c r="AI30" s="257">
        <f ca="1">IF($K27="передача тепловой энергии",SUMIFS('Баланс Тр'!AI$27:AI$50,'Баланс Тр'!$F$27:$F$50,$F30,'Баланс Тр'!$AB$27:$AB$50,"3"),SUMIFS('Баланс Пр'!AI$27:AI$233,'Баланс Пр'!$F$27:$F$233,$F30,'Баланс Пр'!$AB$27:$AB$233,"9.1"))</f>
        <v>0</v>
      </c>
      <c r="AJ30" s="257">
        <f ca="1">IF($K27="передача тепловой энергии",SUMIFS('Баланс Тр'!AJ$27:AJ$50,'Баланс Тр'!$F$27:$F$50,$F30,'Баланс Тр'!$AB$27:$AB$50,"3"),SUMIFS('Баланс Пр'!AJ$27:AJ$233,'Баланс Пр'!$F$27:$F$233,$F30,'Баланс Пр'!$AB$27:$AB$233,"9.1"))</f>
        <v>0</v>
      </c>
      <c r="AK30" s="257">
        <f ca="1">IF($K27="передача тепловой энергии",SUMIFS('Баланс Тр'!AK$27:AK$50,'Баланс Тр'!$F$27:$F$50,$F30,'Баланс Тр'!$AB$27:$AB$50,"3"),SUMIFS('Баланс Пр'!AK$27:AK$233,'Баланс Пр'!$F$27:$F$233,$F30,'Баланс Пр'!$AB$27:$AB$233,"9.1"))</f>
        <v>0</v>
      </c>
      <c r="AL30" s="257">
        <f ca="1">IF($K27="передача тепловой энергии",SUMIFS('Баланс Тр'!AL$27:AL$50,'Баланс Тр'!$F$27:$F$50,$F30,'Баланс Тр'!$AB$27:$AB$50,"3"),SUMIFS('Баланс Пр'!AL$27:AL$233,'Баланс Пр'!$F$27:$F$233,$F30,'Баланс Пр'!$AB$27:$AB$233,"9.1"))</f>
        <v>0</v>
      </c>
      <c r="AM30" s="257">
        <f ca="1">IF($K27="передача тепловой энергии",SUMIFS('Баланс Тр'!AM$27:AM$50,'Баланс Тр'!$F$27:$F$50,$F30,'Баланс Тр'!$AB$27:$AB$50,"3"),SUMIFS('Баланс Пр'!AM$27:AM$233,'Баланс Пр'!$F$27:$F$233,$F30,'Баланс Пр'!$AB$27:$AB$233,"9.1"))</f>
        <v>0</v>
      </c>
      <c r="AN30" s="53">
        <f ca="1">IF($K27="передача тепловой энергии",SUMIFS('Баланс Тр'!AN$27:AN$50,'Баланс Тр'!$F$27:$F$50,$F30,'Баланс Тр'!$AB$27:$AB$50,"3"),SUMIFS('Баланс Пр'!AN$27:AN$233,'Баланс Пр'!$F$27:$F$233,$F30,'Баланс Пр'!$AB$27:$AB$233,"9.1"))</f>
        <v>0</v>
      </c>
      <c r="AO30" s="53">
        <f ca="1">IF($K27="передача тепловой энергии",SUMIFS('Баланс Тр'!AO$27:AO$50,'Баланс Тр'!$F$27:$F$50,$F30,'Баланс Тр'!$AB$27:$AB$50,"3"),SUMIFS('Баланс Пр'!AO$27:AO$233,'Баланс Пр'!$F$27:$F$233,$F30,'Баланс Пр'!$AB$27:$AB$233,"9.1"))</f>
        <v>0</v>
      </c>
      <c r="AP30" s="53">
        <f ca="1">IF($K27="передача тепловой энергии",SUMIFS('Баланс Тр'!AP$27:AP$50,'Баланс Тр'!$F$27:$F$50,$F30,'Баланс Тр'!$AB$27:$AB$50,"3"),SUMIFS('Баланс Пр'!AP$27:AP$233,'Баланс Пр'!$F$27:$F$233,$F30,'Баланс Пр'!$AB$27:$AB$233,"9.1"))</f>
        <v>0</v>
      </c>
      <c r="AQ30" s="53">
        <f ca="1">IF($K27="передача тепловой энергии",SUMIFS('Баланс Тр'!AQ$27:AQ$50,'Баланс Тр'!$F$27:$F$50,$F30,'Баланс Тр'!$AB$27:$AB$50,"3"),SUMIFS('Баланс Пр'!AQ$27:AQ$233,'Баланс Пр'!$F$27:$F$233,$F30,'Баланс Пр'!$AB$27:$AB$233,"9.1"))</f>
        <v>0</v>
      </c>
      <c r="AR30" s="53">
        <f ca="1">IF($K27="передача тепловой энергии",SUMIFS('Баланс Тр'!AR$27:AR$50,'Баланс Тр'!$F$27:$F$50,$F30,'Баланс Тр'!$AB$27:$AB$50,"3"),SUMIFS('Баланс Пр'!AR$27:AR$233,'Баланс Пр'!$F$27:$F$233,$F30,'Баланс Пр'!$AB$27:$AB$233,"9.1"))</f>
        <v>0</v>
      </c>
      <c r="AS30" s="257">
        <f ca="1">IF($K27="передача тепловой энергии",SUMIFS('Баланс Тр'!AS$27:AS$50,'Баланс Тр'!$F$27:$F$50,$F30,'Баланс Тр'!$AB$27:$AB$50,"3"),SUMIFS('Баланс Пр'!AS$27:AS$233,'Баланс Пр'!$F$27:$F$233,$F30,'Баланс Пр'!$AB$27:$AB$233,"9.1"))</f>
        <v>0</v>
      </c>
      <c r="AT30" s="257">
        <f ca="1">IF($K27="передача тепловой энергии",SUMIFS('Баланс Тр'!AT$27:AT$50,'Баланс Тр'!$F$27:$F$50,$F30,'Баланс Тр'!$AB$27:$AB$50,"3"),SUMIFS('Баланс Пр'!AT$27:AT$233,'Баланс Пр'!$F$27:$F$233,$F30,'Баланс Пр'!$AB$27:$AB$233,"9.1"))</f>
        <v>0</v>
      </c>
      <c r="AU30" s="257">
        <f ca="1">IF($K27="передача тепловой энергии",SUMIFS('Баланс Тр'!AU$27:AU$50,'Баланс Тр'!$F$27:$F$50,$F30,'Баланс Тр'!$AB$27:$AB$50,"3"),SUMIFS('Баланс Пр'!AU$27:AU$233,'Баланс Пр'!$F$27:$F$233,$F30,'Баланс Пр'!$AB$27:$AB$233,"9.1"))</f>
        <v>0</v>
      </c>
      <c r="AV30" s="257">
        <f ca="1">IF($K27="передача тепловой энергии",SUMIFS('Баланс Тр'!AV$27:AV$50,'Баланс Тр'!$F$27:$F$50,$F30,'Баланс Тр'!$AB$27:$AB$50,"3"),SUMIFS('Баланс Пр'!AV$27:AV$233,'Баланс Пр'!$F$27:$F$233,$F30,'Баланс Пр'!$AB$27:$AB$233,"9.1"))</f>
        <v>0</v>
      </c>
      <c r="AW30" s="257">
        <f ca="1">IF($K27="передача тепловой энергии",SUMIFS('Баланс Тр'!AW$27:AW$50,'Баланс Тр'!$F$27:$F$50,$F30,'Баланс Тр'!$AB$27:$AB$50,"3"),SUMIFS('Баланс Пр'!AW$27:AW$233,'Баланс Пр'!$F$27:$F$233,$F30,'Баланс Пр'!$AB$27:$AB$233,"9.1"))</f>
        <v>0</v>
      </c>
      <c r="AX30" s="53">
        <f ca="1">IF($K27="передача тепловой энергии",SUMIFS('Баланс Тр'!AX$27:AX$50,'Баланс Тр'!$F$27:$F$50,$F30,'Баланс Тр'!$AB$27:$AB$50,"3"),SUMIFS('Баланс Пр'!AX$27:AX$233,'Баланс Пр'!$F$27:$F$233,$F30,'Баланс Пр'!$AB$27:$AB$233,"9.1"))</f>
        <v>0</v>
      </c>
      <c r="AY30" s="53">
        <f ca="1">IF($K27="передача тепловой энергии",SUMIFS('Баланс Тр'!AY$27:AY$50,'Баланс Тр'!$F$27:$F$50,$F30,'Баланс Тр'!$AB$27:$AB$50,"3"),SUMIFS('Баланс Пр'!AY$27:AY$233,'Баланс Пр'!$F$27:$F$233,$F30,'Баланс Пр'!$AB$27:$AB$233,"9.1"))</f>
        <v>0</v>
      </c>
      <c r="AZ30" s="53">
        <f ca="1">IF($K27="передача тепловой энергии",SUMIFS('Баланс Тр'!AZ$27:AZ$50,'Баланс Тр'!$F$27:$F$50,$F30,'Баланс Тр'!$AB$27:$AB$50,"3"),SUMIFS('Баланс Пр'!AZ$27:AZ$233,'Баланс Пр'!$F$27:$F$233,$F30,'Баланс Пр'!$AB$27:$AB$233,"9.1"))</f>
        <v>0</v>
      </c>
      <c r="BA30" s="53">
        <f ca="1">IF($K27="передача тепловой энергии",SUMIFS('Баланс Тр'!BA$27:BA$50,'Баланс Тр'!$F$27:$F$50,$F30,'Баланс Тр'!$AB$27:$AB$50,"3"),SUMIFS('Баланс Пр'!BA$27:BA$233,'Баланс Пр'!$F$27:$F$233,$F30,'Баланс Пр'!$AB$27:$AB$233,"9.1"))</f>
        <v>0</v>
      </c>
      <c r="BB30" s="53">
        <f ca="1">IF($K27="передача тепловой энергии",SUMIFS('Баланс Тр'!BB$27:BB$50,'Баланс Тр'!$F$27:$F$50,$F30,'Баланс Тр'!$AB$27:$AB$50,"3"),SUMIFS('Баланс Пр'!BB$27:BB$233,'Баланс Пр'!$F$27:$F$233,$F30,'Баланс Пр'!$AB$27:$AB$233,"9.1"))</f>
        <v>0</v>
      </c>
      <c r="BC30" s="28"/>
      <c r="BF30" s="981" t="s">
        <v>788</v>
      </c>
      <c r="BG30" s="987"/>
      <c r="BH30" s="987"/>
      <c r="BI30" s="988"/>
      <c r="BJ30" s="988"/>
    </row>
    <row r="31" spans="1:62" s="1154" customFormat="1" ht="16.7" hidden="1" customHeight="1">
      <c r="E31" s="682">
        <v>17.100000000000001</v>
      </c>
      <c r="F31" s="779" cm="1">
        <f t="array" aca="1" ref="F31" ca="1">OFFSET(G31,-1,-1)</f>
        <v>0</v>
      </c>
      <c r="T31" s="780" t="b" cm="1">
        <f t="array" ref="T31">T30</f>
        <v>0</v>
      </c>
      <c r="X31" s="1721"/>
      <c r="Z31" s="1721"/>
      <c r="AB31" s="166" t="s">
        <v>991</v>
      </c>
      <c r="AC31" s="223" t="s">
        <v>992</v>
      </c>
      <c r="AD31" s="121" t="s">
        <v>993</v>
      </c>
      <c r="AE31" s="216">
        <f t="shared" ref="AE31:BB31" si="5">IF(AE29=0,0,AE28/AE29)</f>
        <v>0</v>
      </c>
      <c r="AF31" s="216">
        <f t="shared" si="5"/>
        <v>0</v>
      </c>
      <c r="AG31" s="216">
        <f t="shared" si="5"/>
        <v>0</v>
      </c>
      <c r="AH31" s="216">
        <f t="shared" si="5"/>
        <v>0</v>
      </c>
      <c r="AI31" s="216">
        <f t="shared" si="5"/>
        <v>0</v>
      </c>
      <c r="AJ31" s="162">
        <f t="shared" si="5"/>
        <v>0</v>
      </c>
      <c r="AK31" s="162">
        <f t="shared" si="5"/>
        <v>0</v>
      </c>
      <c r="AL31" s="162">
        <f t="shared" si="5"/>
        <v>0</v>
      </c>
      <c r="AM31" s="162">
        <f t="shared" si="5"/>
        <v>0</v>
      </c>
      <c r="AN31" s="14">
        <f t="shared" si="5"/>
        <v>0</v>
      </c>
      <c r="AO31" s="14">
        <f t="shared" si="5"/>
        <v>0</v>
      </c>
      <c r="AP31" s="14">
        <f t="shared" si="5"/>
        <v>0</v>
      </c>
      <c r="AQ31" s="14">
        <f t="shared" si="5"/>
        <v>0</v>
      </c>
      <c r="AR31" s="14">
        <f t="shared" si="5"/>
        <v>0</v>
      </c>
      <c r="AS31" s="216">
        <f t="shared" si="5"/>
        <v>0</v>
      </c>
      <c r="AT31" s="162">
        <f t="shared" si="5"/>
        <v>0</v>
      </c>
      <c r="AU31" s="162">
        <f t="shared" si="5"/>
        <v>0</v>
      </c>
      <c r="AV31" s="162">
        <f t="shared" si="5"/>
        <v>0</v>
      </c>
      <c r="AW31" s="162">
        <f t="shared" si="5"/>
        <v>0</v>
      </c>
      <c r="AX31" s="14">
        <f t="shared" si="5"/>
        <v>0</v>
      </c>
      <c r="AY31" s="14">
        <f t="shared" si="5"/>
        <v>0</v>
      </c>
      <c r="AZ31" s="14">
        <f t="shared" si="5"/>
        <v>0</v>
      </c>
      <c r="BA31" s="14">
        <f t="shared" si="5"/>
        <v>0</v>
      </c>
      <c r="BB31" s="14">
        <f t="shared" si="5"/>
        <v>0</v>
      </c>
      <c r="BC31" s="28"/>
      <c r="BF31" s="981" t="s">
        <v>994</v>
      </c>
      <c r="BG31" s="987"/>
      <c r="BH31" s="987"/>
      <c r="BI31" s="988"/>
      <c r="BJ31" s="988"/>
    </row>
    <row r="32" spans="1:62" s="1154" customFormat="1" ht="16.7" hidden="1" customHeight="1">
      <c r="E32" s="682">
        <v>17.100000000000001</v>
      </c>
      <c r="F32" s="779" cm="1">
        <f t="array" aca="1" ref="F32" ca="1">OFFSET(G32,-1,-1)</f>
        <v>0</v>
      </c>
      <c r="T32" s="780" t="b" cm="1">
        <f t="array" ref="T32">T31</f>
        <v>0</v>
      </c>
      <c r="X32" s="1721"/>
      <c r="Z32" s="1721"/>
      <c r="AB32" s="166" t="s">
        <v>995</v>
      </c>
      <c r="AC32" s="223" t="s">
        <v>996</v>
      </c>
      <c r="AD32" s="121" t="s">
        <v>774</v>
      </c>
      <c r="AE32" s="328">
        <f t="shared" ref="AE32:BB32" ca="1" si="6">IF(AE30=0,0,AE29/AE30)*1000</f>
        <v>0</v>
      </c>
      <c r="AF32" s="328">
        <f t="shared" ca="1" si="6"/>
        <v>0</v>
      </c>
      <c r="AG32" s="328">
        <f t="shared" ca="1" si="6"/>
        <v>0</v>
      </c>
      <c r="AH32" s="328">
        <f t="shared" ca="1" si="6"/>
        <v>0</v>
      </c>
      <c r="AI32" s="328">
        <f t="shared" ca="1" si="6"/>
        <v>0</v>
      </c>
      <c r="AJ32" s="296">
        <f t="shared" ca="1" si="6"/>
        <v>0</v>
      </c>
      <c r="AK32" s="296">
        <f t="shared" ca="1" si="6"/>
        <v>0</v>
      </c>
      <c r="AL32" s="296">
        <f t="shared" ca="1" si="6"/>
        <v>0</v>
      </c>
      <c r="AM32" s="296">
        <f t="shared" ca="1" si="6"/>
        <v>0</v>
      </c>
      <c r="AN32" s="54">
        <f t="shared" ca="1" si="6"/>
        <v>0</v>
      </c>
      <c r="AO32" s="54">
        <f t="shared" ca="1" si="6"/>
        <v>0</v>
      </c>
      <c r="AP32" s="54">
        <f t="shared" ca="1" si="6"/>
        <v>0</v>
      </c>
      <c r="AQ32" s="54">
        <f t="shared" ca="1" si="6"/>
        <v>0</v>
      </c>
      <c r="AR32" s="54">
        <f t="shared" ca="1" si="6"/>
        <v>0</v>
      </c>
      <c r="AS32" s="328">
        <f t="shared" ca="1" si="6"/>
        <v>0</v>
      </c>
      <c r="AT32" s="296">
        <f t="shared" ca="1" si="6"/>
        <v>0</v>
      </c>
      <c r="AU32" s="296">
        <f t="shared" ca="1" si="6"/>
        <v>0</v>
      </c>
      <c r="AV32" s="296">
        <f t="shared" ca="1" si="6"/>
        <v>0</v>
      </c>
      <c r="AW32" s="296">
        <f t="shared" ca="1" si="6"/>
        <v>0</v>
      </c>
      <c r="AX32" s="54">
        <f t="shared" ca="1" si="6"/>
        <v>0</v>
      </c>
      <c r="AY32" s="54">
        <f t="shared" ca="1" si="6"/>
        <v>0</v>
      </c>
      <c r="AZ32" s="54">
        <f t="shared" ca="1" si="6"/>
        <v>0</v>
      </c>
      <c r="BA32" s="54">
        <f t="shared" ca="1" si="6"/>
        <v>0</v>
      </c>
      <c r="BB32" s="54">
        <f t="shared" ca="1" si="6"/>
        <v>0</v>
      </c>
      <c r="BC32" s="28"/>
      <c r="BF32" s="981" t="s">
        <v>765</v>
      </c>
      <c r="BG32" s="987"/>
      <c r="BH32" s="987"/>
      <c r="BI32" s="988"/>
      <c r="BJ32" s="988"/>
    </row>
    <row r="33" spans="1:62" s="1154" customFormat="1" ht="16.7" hidden="1" customHeight="1">
      <c r="E33" s="682">
        <v>17.100000000000001</v>
      </c>
      <c r="F33" s="779" cm="1">
        <f t="array" aca="1" ref="F33" ca="1">OFFSET(G33,-1,-1)</f>
        <v>0</v>
      </c>
      <c r="S33" s="109"/>
      <c r="T33" s="780" t="b" cm="1">
        <f t="array" ref="T33">T32</f>
        <v>0</v>
      </c>
      <c r="X33" s="1721"/>
      <c r="Z33" s="1721"/>
      <c r="AB33" s="290"/>
      <c r="AC33" s="287" t="s">
        <v>997</v>
      </c>
      <c r="AD33" s="288"/>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905"/>
      <c r="BF33" s="981"/>
      <c r="BG33" s="987"/>
      <c r="BH33" s="987"/>
      <c r="BI33" s="988"/>
      <c r="BJ33" s="988"/>
    </row>
    <row r="34" spans="1:62" s="1154" customFormat="1" ht="16.7" hidden="1" customHeight="1">
      <c r="A34" s="927" t="str">
        <f ca="1">"checkCosts_1."&amp;F34&amp;"."&amp;Y34</f>
        <v>checkCosts_1.0.0</v>
      </c>
      <c r="E34" s="682">
        <v>17.100000000000001</v>
      </c>
      <c r="F34" s="779" cm="1">
        <f t="array" aca="1" ref="F34" ca="1">OFFSET(G34,-1,-1)</f>
        <v>0</v>
      </c>
      <c r="H34" s="163" cm="1">
        <f t="array" ref="H34">AC34</f>
        <v>0</v>
      </c>
      <c r="I34" s="165" t="s">
        <v>984</v>
      </c>
      <c r="S34" s="1801"/>
      <c r="T34" s="780" t="b">
        <f ca="1">AND(F34&gt;0,Y34&gt;0)</f>
        <v>0</v>
      </c>
      <c r="W34" s="122" t="s">
        <v>236</v>
      </c>
      <c r="X34" s="1721"/>
      <c r="Y34" s="1721">
        <v>0</v>
      </c>
      <c r="Z34" s="1721"/>
      <c r="AA34" s="1669" t="s">
        <v>218</v>
      </c>
      <c r="AB34" s="166" t="str">
        <f>"1.5."&amp;Y34</f>
        <v>1.5.0</v>
      </c>
      <c r="AC34" s="55"/>
      <c r="AD34" s="107" t="s">
        <v>839</v>
      </c>
      <c r="AE34" s="216">
        <f>AE35*AE36</f>
        <v>0</v>
      </c>
      <c r="AF34" s="14"/>
      <c r="AG34" s="14"/>
      <c r="AH34" s="216">
        <f>AH35*AH36</f>
        <v>0</v>
      </c>
      <c r="AI34" s="162"/>
      <c r="AJ34" s="162"/>
      <c r="AK34" s="162"/>
      <c r="AL34" s="162"/>
      <c r="AM34" s="162"/>
      <c r="AN34" s="14"/>
      <c r="AO34" s="14"/>
      <c r="AP34" s="14"/>
      <c r="AQ34" s="14"/>
      <c r="AR34" s="14"/>
      <c r="AS34" s="216">
        <f t="shared" ref="AS34:BB34" si="7">AS35*AS36</f>
        <v>0</v>
      </c>
      <c r="AT34" s="216">
        <f t="shared" si="7"/>
        <v>0</v>
      </c>
      <c r="AU34" s="216">
        <f t="shared" si="7"/>
        <v>0</v>
      </c>
      <c r="AV34" s="216">
        <f t="shared" si="7"/>
        <v>0</v>
      </c>
      <c r="AW34" s="216">
        <f t="shared" si="7"/>
        <v>0</v>
      </c>
      <c r="AX34" s="216">
        <f t="shared" si="7"/>
        <v>0</v>
      </c>
      <c r="AY34" s="216">
        <f t="shared" si="7"/>
        <v>0</v>
      </c>
      <c r="AZ34" s="216">
        <f t="shared" si="7"/>
        <v>0</v>
      </c>
      <c r="BA34" s="216">
        <f t="shared" si="7"/>
        <v>0</v>
      </c>
      <c r="BB34" s="216">
        <f t="shared" si="7"/>
        <v>0</v>
      </c>
      <c r="BC34" s="28"/>
      <c r="BF34" s="981" t="s">
        <v>998</v>
      </c>
      <c r="BG34" s="987" t="s">
        <v>999</v>
      </c>
      <c r="BH34" s="987" cm="1">
        <f t="array" ref="BH34">AC34</f>
        <v>0</v>
      </c>
      <c r="BI34" s="988"/>
      <c r="BJ34" s="988" t="b">
        <v>1</v>
      </c>
    </row>
    <row r="35" spans="1:62" s="671" customFormat="1" ht="16.7" hidden="1" customHeight="1">
      <c r="E35" s="682">
        <v>17.100000000000001</v>
      </c>
      <c r="F35" s="779" cm="1">
        <f t="array" aca="1" ref="F35" ca="1">OFFSET(G35,-1,-1)</f>
        <v>0</v>
      </c>
      <c r="H35" s="163" cm="1">
        <f t="array" ref="H35">H34</f>
        <v>0</v>
      </c>
      <c r="S35" s="1801"/>
      <c r="T35" s="780" t="b" cm="1">
        <f t="array" aca="1" ref="T35" ca="1">T34</f>
        <v>0</v>
      </c>
      <c r="X35" s="1798"/>
      <c r="Y35" s="1798"/>
      <c r="Z35" s="1798"/>
      <c r="AA35" s="1808"/>
      <c r="AB35" s="694" t="str">
        <f>AB34&amp;".1"</f>
        <v>1.5.0.1</v>
      </c>
      <c r="AC35" s="663" t="s">
        <v>1000</v>
      </c>
      <c r="AD35" s="125" t="s">
        <v>1001</v>
      </c>
      <c r="AE35" s="1311"/>
      <c r="AF35" s="1312">
        <f>IF(AF36=0,0,AF34/AF36)</f>
        <v>0</v>
      </c>
      <c r="AG35" s="1312">
        <f>IF(AG36=0,0,AG34/AG36)</f>
        <v>0</v>
      </c>
      <c r="AH35" s="1311"/>
      <c r="AI35" s="1312">
        <f t="shared" ref="AI35:AR35" si="8">IF(AI36=0,0,AI34/AI36)</f>
        <v>0</v>
      </c>
      <c r="AJ35" s="1312">
        <f t="shared" si="8"/>
        <v>0</v>
      </c>
      <c r="AK35" s="1312">
        <f t="shared" si="8"/>
        <v>0</v>
      </c>
      <c r="AL35" s="1312">
        <f t="shared" si="8"/>
        <v>0</v>
      </c>
      <c r="AM35" s="1312">
        <f t="shared" si="8"/>
        <v>0</v>
      </c>
      <c r="AN35" s="1312">
        <f t="shared" si="8"/>
        <v>0</v>
      </c>
      <c r="AO35" s="1312">
        <f t="shared" si="8"/>
        <v>0</v>
      </c>
      <c r="AP35" s="1312">
        <f t="shared" si="8"/>
        <v>0</v>
      </c>
      <c r="AQ35" s="1312">
        <f t="shared" si="8"/>
        <v>0</v>
      </c>
      <c r="AR35" s="1312">
        <f t="shared" si="8"/>
        <v>0</v>
      </c>
      <c r="AS35" s="661"/>
      <c r="AT35" s="661"/>
      <c r="AU35" s="661"/>
      <c r="AV35" s="661"/>
      <c r="AW35" s="661"/>
      <c r="AX35" s="1311"/>
      <c r="AY35" s="1311"/>
      <c r="AZ35" s="1311"/>
      <c r="BA35" s="1311"/>
      <c r="BB35" s="1311"/>
      <c r="BC35" s="24"/>
      <c r="BF35" s="981" t="s">
        <v>1002</v>
      </c>
      <c r="BG35" s="987" t="s">
        <v>999</v>
      </c>
      <c r="BH35" s="987" cm="1">
        <f t="array" ref="BH35">BH34</f>
        <v>0</v>
      </c>
      <c r="BI35" s="988"/>
      <c r="BJ35" s="988"/>
    </row>
    <row r="36" spans="1:62" s="1154" customFormat="1" ht="16.7" hidden="1" customHeight="1">
      <c r="A36" s="927" t="str">
        <f ca="1">"checkVolume_1."&amp;F36&amp;"."&amp;Y34</f>
        <v>checkVolume_1.0.0</v>
      </c>
      <c r="E36" s="682">
        <v>17.100000000000001</v>
      </c>
      <c r="F36" s="779" cm="1">
        <f t="array" aca="1" ref="F36" ca="1">OFFSET(G36,-1,-1)</f>
        <v>0</v>
      </c>
      <c r="H36" s="163" cm="1">
        <f t="array" ref="H36">H34</f>
        <v>0</v>
      </c>
      <c r="S36" s="1801"/>
      <c r="T36" s="780" t="b" cm="1">
        <f t="array" aca="1" ref="T36" ca="1">T34</f>
        <v>0</v>
      </c>
      <c r="X36" s="1721"/>
      <c r="Y36" s="1721"/>
      <c r="Z36" s="1721"/>
      <c r="AA36" s="1669"/>
      <c r="AB36" s="694" t="str">
        <f>AB34&amp;".2"</f>
        <v>1.5.0.2</v>
      </c>
      <c r="AC36" s="663" t="s">
        <v>1003</v>
      </c>
      <c r="AD36" s="125" t="s">
        <v>762</v>
      </c>
      <c r="AE36" s="1311"/>
      <c r="AF36" s="1311"/>
      <c r="AG36" s="1311"/>
      <c r="AH36" s="1311"/>
      <c r="AI36" s="661"/>
      <c r="AJ36" s="661"/>
      <c r="AK36" s="661"/>
      <c r="AL36" s="661"/>
      <c r="AM36" s="661"/>
      <c r="AN36" s="1311"/>
      <c r="AO36" s="1311"/>
      <c r="AP36" s="1311"/>
      <c r="AQ36" s="1311"/>
      <c r="AR36" s="1311"/>
      <c r="AS36" s="661"/>
      <c r="AT36" s="661"/>
      <c r="AU36" s="661"/>
      <c r="AV36" s="661"/>
      <c r="AW36" s="661"/>
      <c r="AX36" s="1311"/>
      <c r="AY36" s="1311"/>
      <c r="AZ36" s="1311"/>
      <c r="BA36" s="1311"/>
      <c r="BB36" s="1311"/>
      <c r="BC36" s="24"/>
      <c r="BF36" s="981" t="s">
        <v>1004</v>
      </c>
      <c r="BG36" s="987" t="s">
        <v>999</v>
      </c>
      <c r="BH36" s="987" cm="1">
        <f t="array" ref="BH36">BH34</f>
        <v>0</v>
      </c>
      <c r="BI36" s="988"/>
      <c r="BJ36" s="988"/>
    </row>
    <row r="37" spans="1:62" s="814" customFormat="1" ht="16.7" hidden="1" customHeight="1">
      <c r="E37" s="676">
        <v>17.100000000000001</v>
      </c>
      <c r="F37" s="779" cm="1">
        <f t="array" aca="1" ref="F37" ca="1">OFFSET(G37,-1,-1)</f>
        <v>0</v>
      </c>
      <c r="T37" s="780" t="b">
        <f ca="1">F37&gt;0</f>
        <v>0</v>
      </c>
      <c r="W37" s="318" t="s">
        <v>1005</v>
      </c>
      <c r="X37" s="1799"/>
      <c r="Z37" s="1799"/>
      <c r="AB37" s="695"/>
      <c r="AC37" s="662" t="s">
        <v>238</v>
      </c>
      <c r="AD37" s="662"/>
      <c r="AE37" s="662"/>
      <c r="AF37" s="662"/>
      <c r="AG37" s="662"/>
      <c r="AH37" s="662"/>
      <c r="AI37" s="662"/>
      <c r="AJ37" s="662"/>
      <c r="AK37" s="662"/>
      <c r="AL37" s="662"/>
      <c r="AM37" s="662"/>
      <c r="AN37" s="662"/>
      <c r="AO37" s="662"/>
      <c r="AP37" s="662"/>
      <c r="AQ37" s="662"/>
      <c r="AR37" s="662"/>
      <c r="AS37" s="662"/>
      <c r="AT37" s="662"/>
      <c r="AU37" s="662"/>
      <c r="AV37" s="662"/>
      <c r="AW37" s="662"/>
      <c r="AX37" s="662"/>
      <c r="AY37" s="662"/>
      <c r="AZ37" s="662"/>
      <c r="BA37" s="662"/>
      <c r="BB37" s="662"/>
      <c r="BC37" s="906"/>
      <c r="BF37" s="970"/>
      <c r="BG37" s="970"/>
      <c r="BH37" s="970"/>
      <c r="BI37" s="986" t="s">
        <v>999</v>
      </c>
      <c r="BJ37" s="986"/>
    </row>
    <row r="38" spans="1:62" s="1154" customFormat="1" ht="16.7" hidden="1" customHeight="1">
      <c r="E38" s="682">
        <v>17.100000000000001</v>
      </c>
      <c r="F38" s="779" cm="1">
        <f t="array" aca="1" ref="F38" ca="1">OFFSET(G38,-1,-1)</f>
        <v>0</v>
      </c>
      <c r="S38" s="109"/>
      <c r="T38" s="780" t="b">
        <f ca="1">F38&gt;0</f>
        <v>0</v>
      </c>
      <c r="X38" s="1721"/>
      <c r="Z38" s="1721"/>
      <c r="AB38" s="664"/>
      <c r="AC38" s="287" t="s">
        <v>1006</v>
      </c>
      <c r="AD38" s="288"/>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907"/>
      <c r="BF38" s="981"/>
      <c r="BG38" s="987"/>
      <c r="BH38" s="987"/>
      <c r="BI38" s="988"/>
      <c r="BJ38" s="988"/>
    </row>
    <row r="39" spans="1:62" s="1154" customFormat="1" ht="16.7" hidden="1" customHeight="1">
      <c r="E39" s="682">
        <v>17.100000000000001</v>
      </c>
      <c r="F39" s="779" cm="1">
        <f t="array" aca="1" ref="F39" ca="1">OFFSET(G39,-1,-1)</f>
        <v>0</v>
      </c>
      <c r="H39" s="163" cm="1">
        <f t="array" ref="H39">AC39</f>
        <v>0</v>
      </c>
      <c r="I39" s="165" t="s">
        <v>984</v>
      </c>
      <c r="S39" s="1801"/>
      <c r="T39" s="780" t="b">
        <f ca="1">AND(F39&gt;0,Y39&gt;0)</f>
        <v>0</v>
      </c>
      <c r="W39" s="122" t="s">
        <v>236</v>
      </c>
      <c r="X39" s="1721"/>
      <c r="Y39" s="1721">
        <v>0</v>
      </c>
      <c r="Z39" s="1721"/>
      <c r="AA39" s="1669" t="s">
        <v>218</v>
      </c>
      <c r="AB39" s="166" t="str">
        <f>"1.6."&amp;Y39</f>
        <v>1.6.0</v>
      </c>
      <c r="AC39" s="55"/>
      <c r="AD39" s="107" t="s">
        <v>839</v>
      </c>
      <c r="AE39" s="216">
        <f t="shared" ref="AE39:BB39" si="9">AE41+AE43</f>
        <v>0</v>
      </c>
      <c r="AF39" s="216">
        <f t="shared" si="9"/>
        <v>0</v>
      </c>
      <c r="AG39" s="216">
        <f t="shared" si="9"/>
        <v>0</v>
      </c>
      <c r="AH39" s="216">
        <f t="shared" si="9"/>
        <v>0</v>
      </c>
      <c r="AI39" s="216">
        <f t="shared" si="9"/>
        <v>0</v>
      </c>
      <c r="AJ39" s="162">
        <f t="shared" si="9"/>
        <v>0</v>
      </c>
      <c r="AK39" s="162">
        <f t="shared" si="9"/>
        <v>0</v>
      </c>
      <c r="AL39" s="162">
        <f t="shared" si="9"/>
        <v>0</v>
      </c>
      <c r="AM39" s="162">
        <f t="shared" si="9"/>
        <v>0</v>
      </c>
      <c r="AN39" s="14">
        <f t="shared" si="9"/>
        <v>0</v>
      </c>
      <c r="AO39" s="14">
        <f t="shared" si="9"/>
        <v>0</v>
      </c>
      <c r="AP39" s="14">
        <f t="shared" si="9"/>
        <v>0</v>
      </c>
      <c r="AQ39" s="14">
        <f t="shared" si="9"/>
        <v>0</v>
      </c>
      <c r="AR39" s="14">
        <f t="shared" si="9"/>
        <v>0</v>
      </c>
      <c r="AS39" s="216">
        <f t="shared" si="9"/>
        <v>0</v>
      </c>
      <c r="AT39" s="162">
        <f t="shared" si="9"/>
        <v>0</v>
      </c>
      <c r="AU39" s="162">
        <f t="shared" si="9"/>
        <v>0</v>
      </c>
      <c r="AV39" s="162">
        <f t="shared" si="9"/>
        <v>0</v>
      </c>
      <c r="AW39" s="162">
        <f t="shared" si="9"/>
        <v>0</v>
      </c>
      <c r="AX39" s="14">
        <f t="shared" si="9"/>
        <v>0</v>
      </c>
      <c r="AY39" s="14">
        <f t="shared" si="9"/>
        <v>0</v>
      </c>
      <c r="AZ39" s="14">
        <f t="shared" si="9"/>
        <v>0</v>
      </c>
      <c r="BA39" s="14">
        <f t="shared" si="9"/>
        <v>0</v>
      </c>
      <c r="BB39" s="14">
        <f t="shared" si="9"/>
        <v>0</v>
      </c>
      <c r="BC39" s="28"/>
      <c r="BF39" s="981" t="s">
        <v>1007</v>
      </c>
      <c r="BG39" s="987" t="s">
        <v>1008</v>
      </c>
      <c r="BH39" s="987" cm="1">
        <f t="array" ref="BH39">AC39</f>
        <v>0</v>
      </c>
      <c r="BI39" s="988"/>
      <c r="BJ39" s="988" t="b">
        <v>1</v>
      </c>
    </row>
    <row r="40" spans="1:62" s="671" customFormat="1" ht="16.7" hidden="1" customHeight="1">
      <c r="E40" s="682">
        <v>17.100000000000001</v>
      </c>
      <c r="F40" s="779" cm="1">
        <f t="array" aca="1" ref="F40" ca="1">OFFSET(G40,-1,-1)</f>
        <v>0</v>
      </c>
      <c r="H40" s="163" cm="1">
        <f t="array" ref="H40">H39</f>
        <v>0</v>
      </c>
      <c r="S40" s="1801"/>
      <c r="T40" s="780" t="b" cm="1">
        <f t="array" aca="1" ref="T40" ca="1">T39</f>
        <v>0</v>
      </c>
      <c r="X40" s="1798"/>
      <c r="Y40" s="1798"/>
      <c r="Z40" s="1798"/>
      <c r="AA40" s="1808"/>
      <c r="AB40" s="166" t="str">
        <f>AB39&amp;".1"</f>
        <v>1.6.0.1</v>
      </c>
      <c r="AC40" s="223" t="s">
        <v>1000</v>
      </c>
      <c r="AD40" s="107" t="s">
        <v>1001</v>
      </c>
      <c r="AE40" s="14"/>
      <c r="AF40" s="216">
        <f>IF(AF42=0,0,AF41/AF42)</f>
        <v>0</v>
      </c>
      <c r="AG40" s="216">
        <f>IF(AG42=0,0,AG41/AG42)</f>
        <v>0</v>
      </c>
      <c r="AH40" s="14"/>
      <c r="AI40" s="216">
        <f t="shared" ref="AI40:AR40" si="10">IF(AI42=0,0,AI41/AI42)</f>
        <v>0</v>
      </c>
      <c r="AJ40" s="216">
        <f t="shared" si="10"/>
        <v>0</v>
      </c>
      <c r="AK40" s="216">
        <f t="shared" si="10"/>
        <v>0</v>
      </c>
      <c r="AL40" s="216">
        <f t="shared" si="10"/>
        <v>0</v>
      </c>
      <c r="AM40" s="216">
        <f t="shared" si="10"/>
        <v>0</v>
      </c>
      <c r="AN40" s="216">
        <f t="shared" si="10"/>
        <v>0</v>
      </c>
      <c r="AO40" s="216">
        <f t="shared" si="10"/>
        <v>0</v>
      </c>
      <c r="AP40" s="216">
        <f t="shared" si="10"/>
        <v>0</v>
      </c>
      <c r="AQ40" s="216">
        <f t="shared" si="10"/>
        <v>0</v>
      </c>
      <c r="AR40" s="216">
        <f t="shared" si="10"/>
        <v>0</v>
      </c>
      <c r="AS40" s="162"/>
      <c r="AT40" s="162"/>
      <c r="AU40" s="162"/>
      <c r="AV40" s="162"/>
      <c r="AW40" s="162"/>
      <c r="AX40" s="14"/>
      <c r="AY40" s="14"/>
      <c r="AZ40" s="14"/>
      <c r="BA40" s="14"/>
      <c r="BB40" s="14"/>
      <c r="BC40" s="28"/>
      <c r="BF40" s="981" t="s">
        <v>1002</v>
      </c>
      <c r="BG40" s="987" t="s">
        <v>1008</v>
      </c>
      <c r="BH40" s="987" cm="1">
        <f t="array" ref="BH40">BH39</f>
        <v>0</v>
      </c>
      <c r="BI40" s="988"/>
      <c r="BJ40" s="988"/>
    </row>
    <row r="41" spans="1:62" s="1154" customFormat="1" ht="16.7" hidden="1" customHeight="1">
      <c r="A41" s="927" t="str">
        <f ca="1">"checkCosts_2."&amp;F41&amp;"."&amp;Y39</f>
        <v>checkCosts_2.0.0</v>
      </c>
      <c r="E41" s="682">
        <v>17.100000000000001</v>
      </c>
      <c r="F41" s="779" cm="1">
        <f t="array" aca="1" ref="F41" ca="1">OFFSET(G41,-1,-1)</f>
        <v>0</v>
      </c>
      <c r="H41" s="163" cm="1">
        <f t="array" ref="H41">H39</f>
        <v>0</v>
      </c>
      <c r="S41" s="1801"/>
      <c r="T41" s="780" t="b" cm="1">
        <f t="array" aca="1" ref="T41" ca="1">T39</f>
        <v>0</v>
      </c>
      <c r="X41" s="1721"/>
      <c r="Y41" s="1721"/>
      <c r="Z41" s="1721"/>
      <c r="AA41" s="1669"/>
      <c r="AB41" s="166" t="str">
        <f>AB39&amp;".2"</f>
        <v>1.6.0.2</v>
      </c>
      <c r="AC41" s="223" t="s">
        <v>1009</v>
      </c>
      <c r="AD41" s="107" t="s">
        <v>839</v>
      </c>
      <c r="AE41" s="14"/>
      <c r="AF41" s="14"/>
      <c r="AG41" s="14"/>
      <c r="AH41" s="14"/>
      <c r="AI41" s="162"/>
      <c r="AJ41" s="162"/>
      <c r="AK41" s="162"/>
      <c r="AL41" s="162"/>
      <c r="AM41" s="162"/>
      <c r="AN41" s="14"/>
      <c r="AO41" s="14"/>
      <c r="AP41" s="14"/>
      <c r="AQ41" s="14"/>
      <c r="AR41" s="14"/>
      <c r="AS41" s="162"/>
      <c r="AT41" s="162"/>
      <c r="AU41" s="162"/>
      <c r="AV41" s="162"/>
      <c r="AW41" s="162"/>
      <c r="AX41" s="14"/>
      <c r="AY41" s="14"/>
      <c r="AZ41" s="14"/>
      <c r="BA41" s="14"/>
      <c r="BB41" s="14"/>
      <c r="BC41" s="28"/>
      <c r="BF41" s="981" t="s">
        <v>998</v>
      </c>
      <c r="BG41" s="987" t="s">
        <v>1008</v>
      </c>
      <c r="BH41" s="987" cm="1">
        <f t="array" ref="BH41">BH39</f>
        <v>0</v>
      </c>
      <c r="BI41" s="988"/>
      <c r="BJ41" s="988"/>
    </row>
    <row r="42" spans="1:62" s="1154" customFormat="1" ht="16.7" hidden="1" customHeight="1">
      <c r="A42" s="927" t="str">
        <f ca="1">"checkVolume_2."&amp;F42&amp;"."&amp;Y39</f>
        <v>checkVolume_2.0.0</v>
      </c>
      <c r="E42" s="682">
        <v>17.100000000000001</v>
      </c>
      <c r="F42" s="779" cm="1">
        <f t="array" aca="1" ref="F42" ca="1">OFFSET(G42,-1,-1)</f>
        <v>0</v>
      </c>
      <c r="H42" s="163" cm="1">
        <f t="array" ref="H42">H41</f>
        <v>0</v>
      </c>
      <c r="S42" s="1801"/>
      <c r="T42" s="780" t="b" cm="1">
        <f t="array" aca="1" ref="T42" ca="1">T41</f>
        <v>0</v>
      </c>
      <c r="X42" s="1721"/>
      <c r="Y42" s="1721"/>
      <c r="Z42" s="1721"/>
      <c r="AA42" s="1669"/>
      <c r="AB42" s="166" t="str">
        <f>AB39&amp;".2.1"</f>
        <v>1.6.0.2.1</v>
      </c>
      <c r="AC42" s="356" t="s">
        <v>1003</v>
      </c>
      <c r="AD42" s="121" t="s">
        <v>762</v>
      </c>
      <c r="AE42" s="14"/>
      <c r="AF42" s="14"/>
      <c r="AG42" s="14"/>
      <c r="AH42" s="14"/>
      <c r="AI42" s="162"/>
      <c r="AJ42" s="162"/>
      <c r="AK42" s="162"/>
      <c r="AL42" s="162"/>
      <c r="AM42" s="162"/>
      <c r="AN42" s="14"/>
      <c r="AO42" s="14"/>
      <c r="AP42" s="14"/>
      <c r="AQ42" s="14"/>
      <c r="AR42" s="14"/>
      <c r="AS42" s="162"/>
      <c r="AT42" s="162"/>
      <c r="AU42" s="162"/>
      <c r="AV42" s="162"/>
      <c r="AW42" s="162"/>
      <c r="AX42" s="14"/>
      <c r="AY42" s="14"/>
      <c r="AZ42" s="14"/>
      <c r="BA42" s="14"/>
      <c r="BB42" s="14"/>
      <c r="BC42" s="28"/>
      <c r="BF42" s="981" t="s">
        <v>1004</v>
      </c>
      <c r="BG42" s="987" t="s">
        <v>1008</v>
      </c>
      <c r="BH42" s="987" cm="1">
        <f t="array" ref="BH42">BH41</f>
        <v>0</v>
      </c>
      <c r="BI42" s="988"/>
      <c r="BJ42" s="988"/>
    </row>
    <row r="43" spans="1:62" s="1154" customFormat="1" ht="16.7" hidden="1" customHeight="1">
      <c r="A43" s="927" t="str">
        <f ca="1">"checkCosts_3."&amp;F43&amp;"."&amp;Y39</f>
        <v>checkCosts_3.0.0</v>
      </c>
      <c r="E43" s="682">
        <v>17.100000000000001</v>
      </c>
      <c r="F43" s="779" cm="1">
        <f t="array" aca="1" ref="F43" ca="1">OFFSET(G43,-1,-1)</f>
        <v>0</v>
      </c>
      <c r="H43" s="163" cm="1">
        <f t="array" ref="H43">H42</f>
        <v>0</v>
      </c>
      <c r="S43" s="1801"/>
      <c r="T43" s="780" t="b" cm="1">
        <f t="array" aca="1" ref="T43" ca="1">T42</f>
        <v>0</v>
      </c>
      <c r="X43" s="1721"/>
      <c r="Y43" s="1721"/>
      <c r="Z43" s="1721"/>
      <c r="AA43" s="1669"/>
      <c r="AB43" s="166" t="str">
        <f>AB39&amp;".3"</f>
        <v>1.6.0.3</v>
      </c>
      <c r="AC43" s="223" t="s">
        <v>1010</v>
      </c>
      <c r="AD43" s="107" t="s">
        <v>1011</v>
      </c>
      <c r="AE43" s="14"/>
      <c r="AF43" s="14"/>
      <c r="AG43" s="14"/>
      <c r="AH43" s="14"/>
      <c r="AI43" s="162"/>
      <c r="AJ43" s="162"/>
      <c r="AK43" s="162"/>
      <c r="AL43" s="162"/>
      <c r="AM43" s="162"/>
      <c r="AN43" s="14"/>
      <c r="AO43" s="14"/>
      <c r="AP43" s="14"/>
      <c r="AQ43" s="14"/>
      <c r="AR43" s="14"/>
      <c r="AS43" s="162"/>
      <c r="AT43" s="162"/>
      <c r="AU43" s="162"/>
      <c r="AV43" s="162"/>
      <c r="AW43" s="162"/>
      <c r="AX43" s="14"/>
      <c r="AY43" s="14"/>
      <c r="AZ43" s="14"/>
      <c r="BA43" s="14"/>
      <c r="BB43" s="14"/>
      <c r="BC43" s="28"/>
      <c r="BF43" s="981" t="s">
        <v>1012</v>
      </c>
      <c r="BG43" s="987" t="s">
        <v>1008</v>
      </c>
      <c r="BH43" s="987" cm="1">
        <f t="array" ref="BH43">BH42</f>
        <v>0</v>
      </c>
      <c r="BI43" s="988"/>
      <c r="BJ43" s="988"/>
    </row>
    <row r="44" spans="1:62" s="1154" customFormat="1" ht="16.7" hidden="1" customHeight="1">
      <c r="A44" s="927" t="str">
        <f ca="1">"checkVolume_3."&amp;F44&amp;"."&amp;Y39</f>
        <v>checkVolume_3.0.0</v>
      </c>
      <c r="E44" s="682">
        <v>17.100000000000001</v>
      </c>
      <c r="F44" s="779" cm="1">
        <f t="array" aca="1" ref="F44" ca="1">OFFSET(G44,-1,-1)</f>
        <v>0</v>
      </c>
      <c r="H44" s="163" cm="1">
        <f t="array" ref="H44">H43</f>
        <v>0</v>
      </c>
      <c r="S44" s="1801"/>
      <c r="T44" s="780" t="b" cm="1">
        <f t="array" aca="1" ref="T44" ca="1">T43</f>
        <v>0</v>
      </c>
      <c r="X44" s="1721"/>
      <c r="Y44" s="1721"/>
      <c r="Z44" s="1721"/>
      <c r="AA44" s="1669"/>
      <c r="AB44" s="694" t="str">
        <f>AB39&amp;".3.1"</f>
        <v>1.6.0.3.1</v>
      </c>
      <c r="AC44" s="660" t="s">
        <v>1013</v>
      </c>
      <c r="AD44" s="125" t="s">
        <v>1014</v>
      </c>
      <c r="AE44" s="1311"/>
      <c r="AF44" s="1311"/>
      <c r="AG44" s="1311"/>
      <c r="AH44" s="1311"/>
      <c r="AI44" s="661"/>
      <c r="AJ44" s="661"/>
      <c r="AK44" s="661"/>
      <c r="AL44" s="661"/>
      <c r="AM44" s="661"/>
      <c r="AN44" s="1311"/>
      <c r="AO44" s="1311"/>
      <c r="AP44" s="1311"/>
      <c r="AQ44" s="1311"/>
      <c r="AR44" s="1311"/>
      <c r="AS44" s="661"/>
      <c r="AT44" s="661"/>
      <c r="AU44" s="661"/>
      <c r="AV44" s="661"/>
      <c r="AW44" s="661"/>
      <c r="AX44" s="1311"/>
      <c r="AY44" s="1311"/>
      <c r="AZ44" s="1311"/>
      <c r="BA44" s="1311"/>
      <c r="BB44" s="1311"/>
      <c r="BC44" s="24"/>
      <c r="BF44" s="981" t="s">
        <v>1015</v>
      </c>
      <c r="BG44" s="987" t="s">
        <v>1008</v>
      </c>
      <c r="BH44" s="987" cm="1">
        <f t="array" ref="BH44">BH43</f>
        <v>0</v>
      </c>
      <c r="BI44" s="988"/>
      <c r="BJ44" s="988"/>
    </row>
    <row r="45" spans="1:62" s="814" customFormat="1" ht="16.7" hidden="1" customHeight="1">
      <c r="E45" s="676">
        <v>17.100000000000001</v>
      </c>
      <c r="F45" s="779" cm="1">
        <f t="array" aca="1" ref="F45" ca="1">OFFSET(G45,-1,-1)</f>
        <v>0</v>
      </c>
      <c r="T45" s="780" t="b">
        <f ca="1">F45&gt;0</f>
        <v>0</v>
      </c>
      <c r="W45" s="318" t="s">
        <v>1016</v>
      </c>
      <c r="X45" s="1799"/>
      <c r="Z45" s="1799"/>
      <c r="AB45" s="695"/>
      <c r="AC45" s="662" t="s">
        <v>1017</v>
      </c>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906"/>
      <c r="BF45" s="970"/>
      <c r="BG45" s="970"/>
      <c r="BH45" s="970"/>
      <c r="BI45" s="986" t="s">
        <v>1008</v>
      </c>
      <c r="BJ45" s="986"/>
    </row>
    <row r="46" spans="1:62" s="814" customFormat="1" ht="12" hidden="1" customHeight="1">
      <c r="E46" s="676">
        <v>0</v>
      </c>
      <c r="F46" s="779" cm="1">
        <f t="array" aca="1" ref="F46" ca="1">OFFSET(G46,-1,-1)</f>
        <v>0</v>
      </c>
      <c r="T46" s="780" t="b">
        <f ca="1">F46&gt;0</f>
        <v>0</v>
      </c>
      <c r="X46" s="1799"/>
      <c r="Z46" s="1799"/>
      <c r="BF46" s="970"/>
      <c r="BG46" s="970"/>
      <c r="BH46" s="970"/>
      <c r="BI46" s="986"/>
      <c r="BJ46" s="986"/>
    </row>
    <row r="47" spans="1:62" s="173" customFormat="1" ht="14.65" hidden="1" customHeight="1">
      <c r="E47" s="781">
        <v>15</v>
      </c>
      <c r="F47" s="779" cm="1">
        <f t="array" aca="1" ref="F47" ca="1">OFFSET(G47,-1,-1)</f>
        <v>0</v>
      </c>
      <c r="G47" s="143" t="s">
        <v>1018</v>
      </c>
      <c r="I47" s="165" t="s">
        <v>984</v>
      </c>
      <c r="T47" s="780" t="b">
        <f ca="1">F47&gt;0</f>
        <v>0</v>
      </c>
      <c r="X47" s="1800"/>
      <c r="Z47" s="1800"/>
      <c r="AB47" s="696">
        <v>2</v>
      </c>
      <c r="AC47" s="665" t="s">
        <v>1019</v>
      </c>
      <c r="AD47" s="666" t="s">
        <v>839</v>
      </c>
      <c r="AE47" s="229">
        <f t="shared" ref="AE47:BB47" si="11">SUMIF($I51:$I67,$I47,AE51:AE67)</f>
        <v>0</v>
      </c>
      <c r="AF47" s="229">
        <f t="shared" si="11"/>
        <v>0</v>
      </c>
      <c r="AG47" s="229">
        <f t="shared" si="11"/>
        <v>0</v>
      </c>
      <c r="AH47" s="229">
        <f t="shared" si="11"/>
        <v>0</v>
      </c>
      <c r="AI47" s="229">
        <f t="shared" si="11"/>
        <v>0</v>
      </c>
      <c r="AJ47" s="242">
        <f t="shared" si="11"/>
        <v>0</v>
      </c>
      <c r="AK47" s="242">
        <f t="shared" si="11"/>
        <v>0</v>
      </c>
      <c r="AL47" s="242">
        <f t="shared" si="11"/>
        <v>0</v>
      </c>
      <c r="AM47" s="242">
        <f t="shared" si="11"/>
        <v>0</v>
      </c>
      <c r="AN47" s="57">
        <f t="shared" si="11"/>
        <v>0</v>
      </c>
      <c r="AO47" s="57">
        <f t="shared" si="11"/>
        <v>0</v>
      </c>
      <c r="AP47" s="57">
        <f t="shared" si="11"/>
        <v>0</v>
      </c>
      <c r="AQ47" s="57">
        <f t="shared" si="11"/>
        <v>0</v>
      </c>
      <c r="AR47" s="57">
        <f t="shared" si="11"/>
        <v>0</v>
      </c>
      <c r="AS47" s="229">
        <f t="shared" si="11"/>
        <v>0</v>
      </c>
      <c r="AT47" s="242">
        <f t="shared" si="11"/>
        <v>0</v>
      </c>
      <c r="AU47" s="242">
        <f t="shared" si="11"/>
        <v>0</v>
      </c>
      <c r="AV47" s="242">
        <f t="shared" si="11"/>
        <v>0</v>
      </c>
      <c r="AW47" s="242">
        <f t="shared" si="11"/>
        <v>0</v>
      </c>
      <c r="AX47" s="57">
        <f t="shared" si="11"/>
        <v>0</v>
      </c>
      <c r="AY47" s="57">
        <f t="shared" si="11"/>
        <v>0</v>
      </c>
      <c r="AZ47" s="57">
        <f t="shared" si="11"/>
        <v>0</v>
      </c>
      <c r="BA47" s="57">
        <f t="shared" si="11"/>
        <v>0</v>
      </c>
      <c r="BB47" s="57">
        <f t="shared" si="11"/>
        <v>0</v>
      </c>
      <c r="BC47" s="34"/>
      <c r="BF47" s="989" t="s">
        <v>702</v>
      </c>
      <c r="BG47" s="989"/>
      <c r="BH47" s="989"/>
      <c r="BI47" s="990"/>
      <c r="BJ47" s="990"/>
    </row>
    <row r="48" spans="1:62" s="173" customFormat="1" ht="14.65" hidden="1" customHeight="1">
      <c r="E48" s="781">
        <v>15</v>
      </c>
      <c r="F48" s="779" cm="1">
        <f t="array" aca="1" ref="F48" ca="1">OFFSET(G48,-1,-1)</f>
        <v>0</v>
      </c>
      <c r="G48" s="143" t="s">
        <v>1020</v>
      </c>
      <c r="L48" s="163" cm="1">
        <f t="array" aca="1" ref="L48" ca="1">INDEX('Общие сведения'!$AK$187:$AK$236,MATCH($F48,'Общие сведения'!$Z$187:$Z$236,0))</f>
        <v>0</v>
      </c>
      <c r="R48" s="143" t="s">
        <v>1021</v>
      </c>
      <c r="T48" s="780" t="b">
        <f ca="1">AND(F48&gt;0,L48="двухставочный")</f>
        <v>0</v>
      </c>
      <c r="X48" s="1800"/>
      <c r="Z48" s="1800"/>
      <c r="AA48" s="778" t="s">
        <v>1022</v>
      </c>
      <c r="AB48" s="235" t="s">
        <v>1022</v>
      </c>
      <c r="AC48" s="496" t="s">
        <v>1023</v>
      </c>
      <c r="AD48" s="510" t="s">
        <v>839</v>
      </c>
      <c r="AE48" s="559">
        <f t="shared" ref="AE48:BB48" si="12">SUMIFS(AE51:AE67,$AC51:$AC67,$AC48)</f>
        <v>0</v>
      </c>
      <c r="AF48" s="559">
        <f t="shared" si="12"/>
        <v>0</v>
      </c>
      <c r="AG48" s="559">
        <f t="shared" si="12"/>
        <v>0</v>
      </c>
      <c r="AH48" s="559">
        <f t="shared" si="12"/>
        <v>0</v>
      </c>
      <c r="AI48" s="559">
        <f t="shared" si="12"/>
        <v>0</v>
      </c>
      <c r="AJ48" s="511">
        <f t="shared" si="12"/>
        <v>0</v>
      </c>
      <c r="AK48" s="511">
        <f t="shared" si="12"/>
        <v>0</v>
      </c>
      <c r="AL48" s="511">
        <f t="shared" si="12"/>
        <v>0</v>
      </c>
      <c r="AM48" s="511">
        <f t="shared" si="12"/>
        <v>0</v>
      </c>
      <c r="AN48" s="21">
        <f t="shared" si="12"/>
        <v>0</v>
      </c>
      <c r="AO48" s="21">
        <f t="shared" si="12"/>
        <v>0</v>
      </c>
      <c r="AP48" s="21">
        <f t="shared" si="12"/>
        <v>0</v>
      </c>
      <c r="AQ48" s="21">
        <f t="shared" si="12"/>
        <v>0</v>
      </c>
      <c r="AR48" s="21">
        <f t="shared" si="12"/>
        <v>0</v>
      </c>
      <c r="AS48" s="559">
        <f t="shared" si="12"/>
        <v>0</v>
      </c>
      <c r="AT48" s="511">
        <f t="shared" si="12"/>
        <v>0</v>
      </c>
      <c r="AU48" s="511">
        <f t="shared" si="12"/>
        <v>0</v>
      </c>
      <c r="AV48" s="511">
        <f t="shared" si="12"/>
        <v>0</v>
      </c>
      <c r="AW48" s="511">
        <f t="shared" si="12"/>
        <v>0</v>
      </c>
      <c r="AX48" s="21">
        <f t="shared" si="12"/>
        <v>0</v>
      </c>
      <c r="AY48" s="21">
        <f t="shared" si="12"/>
        <v>0</v>
      </c>
      <c r="AZ48" s="21">
        <f t="shared" si="12"/>
        <v>0</v>
      </c>
      <c r="BA48" s="21">
        <f t="shared" si="12"/>
        <v>0</v>
      </c>
      <c r="BB48" s="21">
        <f t="shared" si="12"/>
        <v>0</v>
      </c>
      <c r="BC48" s="34"/>
      <c r="BF48" s="989" t="s">
        <v>1024</v>
      </c>
      <c r="BG48" s="989"/>
      <c r="BH48" s="989"/>
      <c r="BI48" s="990"/>
      <c r="BJ48" s="990"/>
    </row>
    <row r="49" spans="1:62" s="173" customFormat="1" ht="14.65" hidden="1" customHeight="1">
      <c r="E49" s="781">
        <v>15</v>
      </c>
      <c r="F49" s="779" cm="1">
        <f t="array" aca="1" ref="F49" ca="1">OFFSET(G49,-1,-1)</f>
        <v>0</v>
      </c>
      <c r="T49" s="780" t="b" cm="1">
        <f t="array" aca="1" ref="T49" ca="1">T47</f>
        <v>0</v>
      </c>
      <c r="X49" s="1800"/>
      <c r="Z49" s="1800"/>
      <c r="AB49" s="166" t="s">
        <v>491</v>
      </c>
      <c r="AC49" s="223" t="s">
        <v>1025</v>
      </c>
      <c r="AD49" s="105" t="s">
        <v>634</v>
      </c>
      <c r="AE49" s="216">
        <f t="shared" ref="AE49:BB49" si="13">SUMIF($AD51:$AD67,$AD49,AE51:AE67)</f>
        <v>0</v>
      </c>
      <c r="AF49" s="216">
        <f t="shared" si="13"/>
        <v>0</v>
      </c>
      <c r="AG49" s="216">
        <f t="shared" si="13"/>
        <v>0</v>
      </c>
      <c r="AH49" s="216">
        <f t="shared" si="13"/>
        <v>0</v>
      </c>
      <c r="AI49" s="216">
        <f t="shared" si="13"/>
        <v>0</v>
      </c>
      <c r="AJ49" s="162">
        <f t="shared" si="13"/>
        <v>0</v>
      </c>
      <c r="AK49" s="162">
        <f t="shared" si="13"/>
        <v>0</v>
      </c>
      <c r="AL49" s="162">
        <f t="shared" si="13"/>
        <v>0</v>
      </c>
      <c r="AM49" s="162">
        <f t="shared" si="13"/>
        <v>0</v>
      </c>
      <c r="AN49" s="14">
        <f t="shared" si="13"/>
        <v>0</v>
      </c>
      <c r="AO49" s="14">
        <f t="shared" si="13"/>
        <v>0</v>
      </c>
      <c r="AP49" s="14">
        <f t="shared" si="13"/>
        <v>0</v>
      </c>
      <c r="AQ49" s="14">
        <f t="shared" si="13"/>
        <v>0</v>
      </c>
      <c r="AR49" s="14">
        <f t="shared" si="13"/>
        <v>0</v>
      </c>
      <c r="AS49" s="216">
        <f t="shared" si="13"/>
        <v>0</v>
      </c>
      <c r="AT49" s="162">
        <f t="shared" si="13"/>
        <v>0</v>
      </c>
      <c r="AU49" s="162">
        <f t="shared" si="13"/>
        <v>0</v>
      </c>
      <c r="AV49" s="162">
        <f t="shared" si="13"/>
        <v>0</v>
      </c>
      <c r="AW49" s="162">
        <f t="shared" si="13"/>
        <v>0</v>
      </c>
      <c r="AX49" s="14">
        <f t="shared" si="13"/>
        <v>0</v>
      </c>
      <c r="AY49" s="14">
        <f t="shared" si="13"/>
        <v>0</v>
      </c>
      <c r="AZ49" s="14">
        <f t="shared" si="13"/>
        <v>0</v>
      </c>
      <c r="BA49" s="14">
        <f t="shared" si="13"/>
        <v>0</v>
      </c>
      <c r="BB49" s="14">
        <f t="shared" si="13"/>
        <v>0</v>
      </c>
      <c r="BC49" s="34"/>
      <c r="BF49" s="989" t="s">
        <v>1026</v>
      </c>
      <c r="BG49" s="989"/>
      <c r="BH49" s="989"/>
      <c r="BI49" s="990"/>
      <c r="BJ49" s="990"/>
    </row>
    <row r="50" spans="1:62" s="173" customFormat="1" ht="14.65" hidden="1" customHeight="1">
      <c r="E50" s="781">
        <v>15</v>
      </c>
      <c r="F50" s="779" cm="1">
        <f t="array" aca="1" ref="F50" ca="1">OFFSET(G50,-1,-1)</f>
        <v>0</v>
      </c>
      <c r="T50" s="780" t="b" cm="1">
        <f t="array" aca="1" ref="T50" ca="1">T49</f>
        <v>0</v>
      </c>
      <c r="X50" s="1800"/>
      <c r="Z50" s="1800"/>
      <c r="AB50" s="166" t="s">
        <v>522</v>
      </c>
      <c r="AC50" s="223" t="s">
        <v>992</v>
      </c>
      <c r="AD50" s="105" t="s">
        <v>1027</v>
      </c>
      <c r="AE50" s="216">
        <f t="shared" ref="AE50:BB50" si="14">IF(AE49=0,0,AE47/AE49)*1000</f>
        <v>0</v>
      </c>
      <c r="AF50" s="216">
        <f t="shared" si="14"/>
        <v>0</v>
      </c>
      <c r="AG50" s="216">
        <f t="shared" si="14"/>
        <v>0</v>
      </c>
      <c r="AH50" s="216">
        <f t="shared" si="14"/>
        <v>0</v>
      </c>
      <c r="AI50" s="216">
        <f t="shared" si="14"/>
        <v>0</v>
      </c>
      <c r="AJ50" s="162">
        <f t="shared" si="14"/>
        <v>0</v>
      </c>
      <c r="AK50" s="162">
        <f t="shared" si="14"/>
        <v>0</v>
      </c>
      <c r="AL50" s="162">
        <f t="shared" si="14"/>
        <v>0</v>
      </c>
      <c r="AM50" s="162">
        <f t="shared" si="14"/>
        <v>0</v>
      </c>
      <c r="AN50" s="14">
        <f t="shared" si="14"/>
        <v>0</v>
      </c>
      <c r="AO50" s="14">
        <f t="shared" si="14"/>
        <v>0</v>
      </c>
      <c r="AP50" s="14">
        <f t="shared" si="14"/>
        <v>0</v>
      </c>
      <c r="AQ50" s="14">
        <f t="shared" si="14"/>
        <v>0</v>
      </c>
      <c r="AR50" s="14">
        <f t="shared" si="14"/>
        <v>0</v>
      </c>
      <c r="AS50" s="216">
        <f t="shared" si="14"/>
        <v>0</v>
      </c>
      <c r="AT50" s="162">
        <f t="shared" si="14"/>
        <v>0</v>
      </c>
      <c r="AU50" s="162">
        <f t="shared" si="14"/>
        <v>0</v>
      </c>
      <c r="AV50" s="162">
        <f t="shared" si="14"/>
        <v>0</v>
      </c>
      <c r="AW50" s="162">
        <f t="shared" si="14"/>
        <v>0</v>
      </c>
      <c r="AX50" s="14">
        <f t="shared" si="14"/>
        <v>0</v>
      </c>
      <c r="AY50" s="14">
        <f t="shared" si="14"/>
        <v>0</v>
      </c>
      <c r="AZ50" s="14">
        <f t="shared" si="14"/>
        <v>0</v>
      </c>
      <c r="BA50" s="14">
        <f t="shared" si="14"/>
        <v>0</v>
      </c>
      <c r="BB50" s="14">
        <f t="shared" si="14"/>
        <v>0</v>
      </c>
      <c r="BC50" s="34"/>
      <c r="BF50" s="989" t="s">
        <v>1028</v>
      </c>
      <c r="BG50" s="989"/>
      <c r="BH50" s="989"/>
      <c r="BI50" s="990"/>
      <c r="BJ50" s="990"/>
    </row>
    <row r="51" spans="1:62" s="173" customFormat="1" ht="14.65" hidden="1" customHeight="1">
      <c r="E51" s="781">
        <v>15</v>
      </c>
      <c r="F51" s="779" cm="1">
        <f t="array" aca="1" ref="F51" ca="1">OFFSET(G51,-1,-1)</f>
        <v>0</v>
      </c>
      <c r="T51" s="780" t="b" cm="1">
        <f t="array" aca="1" ref="T51" ca="1">T49</f>
        <v>0</v>
      </c>
      <c r="X51" s="1800"/>
      <c r="Z51" s="1800"/>
      <c r="AB51" s="166" t="s">
        <v>518</v>
      </c>
      <c r="AC51" s="287" t="s">
        <v>997</v>
      </c>
      <c r="AD51" s="288"/>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905"/>
      <c r="BF51" s="989"/>
      <c r="BG51" s="989"/>
      <c r="BH51" s="989"/>
      <c r="BI51" s="990"/>
      <c r="BJ51" s="990"/>
    </row>
    <row r="52" spans="1:62" s="173" customFormat="1" ht="17.25" hidden="1" customHeight="1">
      <c r="E52" s="781">
        <v>0</v>
      </c>
      <c r="F52" s="779" cm="1">
        <f t="array" aca="1" ref="F52" ca="1">OFFSET(G52,-1,-1)</f>
        <v>0</v>
      </c>
      <c r="T52" s="780" t="b" cm="1">
        <f t="array" aca="1" ref="T52" ca="1">T51</f>
        <v>0</v>
      </c>
      <c r="X52" s="1800"/>
      <c r="Z52" s="1800"/>
      <c r="AB52" s="233"/>
      <c r="AC52" s="228"/>
      <c r="AD52" s="509"/>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240"/>
      <c r="BF52" s="989"/>
      <c r="BG52" s="989"/>
      <c r="BH52" s="989"/>
      <c r="BI52" s="990"/>
      <c r="BJ52" s="990"/>
    </row>
    <row r="53" spans="1:62" s="173" customFormat="1" ht="14.65" hidden="1" customHeight="1">
      <c r="A53" s="927" t="str">
        <f ca="1">"checkCosts_4."&amp;F53&amp;"."&amp;Y53</f>
        <v>checkCosts_4.0.0</v>
      </c>
      <c r="E53" s="781">
        <v>15</v>
      </c>
      <c r="F53" s="779" cm="1">
        <f t="array" aca="1" ref="F53" ca="1">OFFSET(G53,-1,-1)</f>
        <v>0</v>
      </c>
      <c r="H53" s="106" cm="1">
        <f t="array" ref="H53">AC53</f>
        <v>0</v>
      </c>
      <c r="I53" s="165" t="s">
        <v>984</v>
      </c>
      <c r="S53" s="1800"/>
      <c r="T53" s="780" t="b">
        <f ca="1">AND(F53&gt;0,Y53&gt;0)</f>
        <v>0</v>
      </c>
      <c r="W53" s="122" t="s">
        <v>236</v>
      </c>
      <c r="X53" s="1800"/>
      <c r="Y53" s="1701">
        <v>0</v>
      </c>
      <c r="Z53" s="1800"/>
      <c r="AA53" s="1806" t="s">
        <v>218</v>
      </c>
      <c r="AB53" s="235" t="str">
        <f>"2.1."&amp;Y53</f>
        <v>2.1.0</v>
      </c>
      <c r="AC53" s="505"/>
      <c r="AD53" s="510" t="s">
        <v>839</v>
      </c>
      <c r="AE53" s="279">
        <f>AE55*AE56/1000</f>
        <v>0</v>
      </c>
      <c r="AF53" s="17"/>
      <c r="AG53" s="17"/>
      <c r="AH53" s="279">
        <f>AH55*AH56/1000</f>
        <v>0</v>
      </c>
      <c r="AI53" s="230"/>
      <c r="AJ53" s="230"/>
      <c r="AK53" s="230"/>
      <c r="AL53" s="230"/>
      <c r="AM53" s="230"/>
      <c r="AN53" s="17"/>
      <c r="AO53" s="17"/>
      <c r="AP53" s="17"/>
      <c r="AQ53" s="17"/>
      <c r="AR53" s="17"/>
      <c r="AS53" s="279">
        <f t="shared" ref="AS53:BB53" si="15">AS55*AS56/1000</f>
        <v>0</v>
      </c>
      <c r="AT53" s="279">
        <f t="shared" si="15"/>
        <v>0</v>
      </c>
      <c r="AU53" s="279">
        <f t="shared" si="15"/>
        <v>0</v>
      </c>
      <c r="AV53" s="279">
        <f t="shared" si="15"/>
        <v>0</v>
      </c>
      <c r="AW53" s="279">
        <f t="shared" si="15"/>
        <v>0</v>
      </c>
      <c r="AX53" s="279">
        <f t="shared" si="15"/>
        <v>0</v>
      </c>
      <c r="AY53" s="279">
        <f t="shared" si="15"/>
        <v>0</v>
      </c>
      <c r="AZ53" s="279">
        <f t="shared" si="15"/>
        <v>0</v>
      </c>
      <c r="BA53" s="279">
        <f t="shared" si="15"/>
        <v>0</v>
      </c>
      <c r="BB53" s="279">
        <f t="shared" si="15"/>
        <v>0</v>
      </c>
      <c r="BC53" s="58"/>
      <c r="BF53" s="989" t="s">
        <v>1029</v>
      </c>
      <c r="BG53" s="989" t="s">
        <v>1030</v>
      </c>
      <c r="BH53" s="989" cm="1">
        <f t="array" ref="BH53">AC53</f>
        <v>0</v>
      </c>
      <c r="BI53" s="990"/>
      <c r="BJ53" s="990" t="b">
        <v>1</v>
      </c>
    </row>
    <row r="54" spans="1:62" s="173" customFormat="1" ht="14.65" hidden="1" customHeight="1">
      <c r="E54" s="781">
        <v>15</v>
      </c>
      <c r="F54" s="779" cm="1">
        <f t="array" aca="1" ref="F54" ca="1">OFFSET(G54,-1,-1)</f>
        <v>0</v>
      </c>
      <c r="L54" s="163" cm="1">
        <f t="array" aca="1" ref="L54" ca="1">INDEX('Общие сведения'!$AK$187:$AK$236,MATCH($F54,'Общие сведения'!$Z$187:$Z$236,0))</f>
        <v>0</v>
      </c>
      <c r="R54" s="143" t="s">
        <v>1021</v>
      </c>
      <c r="S54" s="1800"/>
      <c r="T54" s="780" t="b">
        <f ca="1">AND(T53,L54="двухставочный")</f>
        <v>0</v>
      </c>
      <c r="X54" s="1800"/>
      <c r="Y54" s="1800"/>
      <c r="Z54" s="1800"/>
      <c r="AA54" s="1806"/>
      <c r="AB54" s="235"/>
      <c r="AC54" s="496" t="s">
        <v>1023</v>
      </c>
      <c r="AD54" s="510" t="s">
        <v>839</v>
      </c>
      <c r="AE54" s="21"/>
      <c r="AF54" s="21"/>
      <c r="AG54" s="21"/>
      <c r="AH54" s="21"/>
      <c r="AI54" s="511"/>
      <c r="AJ54" s="511"/>
      <c r="AK54" s="511"/>
      <c r="AL54" s="511"/>
      <c r="AM54" s="511"/>
      <c r="AN54" s="21"/>
      <c r="AO54" s="21"/>
      <c r="AP54" s="21"/>
      <c r="AQ54" s="21"/>
      <c r="AR54" s="21"/>
      <c r="AS54" s="511"/>
      <c r="AT54" s="511"/>
      <c r="AU54" s="511"/>
      <c r="AV54" s="511"/>
      <c r="AW54" s="511"/>
      <c r="AX54" s="21"/>
      <c r="AY54" s="21"/>
      <c r="AZ54" s="21"/>
      <c r="BA54" s="21"/>
      <c r="BB54" s="21"/>
      <c r="BC54" s="59"/>
      <c r="BF54" s="989" t="s">
        <v>1031</v>
      </c>
      <c r="BG54" s="989" t="s">
        <v>1030</v>
      </c>
      <c r="BH54" s="989" cm="1">
        <f t="array" ref="BH54">BH53</f>
        <v>0</v>
      </c>
      <c r="BI54" s="990"/>
      <c r="BJ54" s="990"/>
    </row>
    <row r="55" spans="1:62" s="173" customFormat="1" ht="14.65" hidden="1" customHeight="1">
      <c r="E55" s="781">
        <v>15</v>
      </c>
      <c r="F55" s="779" cm="1">
        <f t="array" aca="1" ref="F55" ca="1">OFFSET(G55,-1,-1)</f>
        <v>0</v>
      </c>
      <c r="H55" s="106" cm="1">
        <f t="array" ref="H55">H53</f>
        <v>0</v>
      </c>
      <c r="S55" s="1800"/>
      <c r="T55" s="780" t="b" cm="1">
        <f t="array" aca="1" ref="T55" ca="1">T53</f>
        <v>0</v>
      </c>
      <c r="X55" s="1800"/>
      <c r="Y55" s="1800"/>
      <c r="Z55" s="1800"/>
      <c r="AA55" s="1807"/>
      <c r="AB55" s="235" t="str">
        <f>AB53&amp;".1"</f>
        <v>2.1.0.1</v>
      </c>
      <c r="AC55" s="496" t="s">
        <v>1000</v>
      </c>
      <c r="AD55" s="105" t="s">
        <v>1027</v>
      </c>
      <c r="AE55" s="21"/>
      <c r="AF55" s="559">
        <f>IF(AF56=0,0,AF53/AF56*1000)</f>
        <v>0</v>
      </c>
      <c r="AG55" s="559">
        <f>IF(AG56=0,0,AG53/AG56*1000)</f>
        <v>0</v>
      </c>
      <c r="AH55" s="21"/>
      <c r="AI55" s="559">
        <f t="shared" ref="AI55:AR55" si="16">IF(AI56=0,0,AI53/AI56*1000)</f>
        <v>0</v>
      </c>
      <c r="AJ55" s="559">
        <f t="shared" si="16"/>
        <v>0</v>
      </c>
      <c r="AK55" s="559">
        <f t="shared" si="16"/>
        <v>0</v>
      </c>
      <c r="AL55" s="559">
        <f t="shared" si="16"/>
        <v>0</v>
      </c>
      <c r="AM55" s="559">
        <f t="shared" si="16"/>
        <v>0</v>
      </c>
      <c r="AN55" s="559">
        <f t="shared" si="16"/>
        <v>0</v>
      </c>
      <c r="AO55" s="559">
        <f t="shared" si="16"/>
        <v>0</v>
      </c>
      <c r="AP55" s="559">
        <f t="shared" si="16"/>
        <v>0</v>
      </c>
      <c r="AQ55" s="559">
        <f t="shared" si="16"/>
        <v>0</v>
      </c>
      <c r="AR55" s="559">
        <f t="shared" si="16"/>
        <v>0</v>
      </c>
      <c r="AS55" s="511"/>
      <c r="AT55" s="511"/>
      <c r="AU55" s="511"/>
      <c r="AV55" s="511"/>
      <c r="AW55" s="511"/>
      <c r="AX55" s="21"/>
      <c r="AY55" s="21"/>
      <c r="AZ55" s="21"/>
      <c r="BA55" s="21"/>
      <c r="BB55" s="21"/>
      <c r="BC55" s="28"/>
      <c r="BF55" s="989" t="s">
        <v>1032</v>
      </c>
      <c r="BG55" s="989" t="s">
        <v>1030</v>
      </c>
      <c r="BH55" s="989" cm="1">
        <f t="array" ref="BH55">BH54</f>
        <v>0</v>
      </c>
      <c r="BI55" s="990"/>
      <c r="BJ55" s="990"/>
    </row>
    <row r="56" spans="1:62" s="173" customFormat="1" ht="14.65" hidden="1" customHeight="1">
      <c r="A56" s="927" t="str">
        <f ca="1">"checkVolume_4."&amp;F56&amp;"."&amp;Y53</f>
        <v>checkVolume_4.0.0</v>
      </c>
      <c r="E56" s="781">
        <v>15</v>
      </c>
      <c r="F56" s="779" cm="1">
        <f t="array" aca="1" ref="F56" ca="1">OFFSET(G56,-1,-1)</f>
        <v>0</v>
      </c>
      <c r="H56" s="106" cm="1">
        <f t="array" ref="H56">H53</f>
        <v>0</v>
      </c>
      <c r="S56" s="1800"/>
      <c r="T56" s="780" t="b" cm="1">
        <f t="array" aca="1" ref="T56" ca="1">T53</f>
        <v>0</v>
      </c>
      <c r="X56" s="1800"/>
      <c r="Y56" s="1800"/>
      <c r="Z56" s="1800"/>
      <c r="AA56" s="1806"/>
      <c r="AB56" s="235" t="str">
        <f>AB53&amp;".2"</f>
        <v>2.1.0.2</v>
      </c>
      <c r="AC56" s="496" t="s">
        <v>1033</v>
      </c>
      <c r="AD56" s="105" t="s">
        <v>634</v>
      </c>
      <c r="AE56" s="21"/>
      <c r="AF56" s="21"/>
      <c r="AG56" s="21"/>
      <c r="AH56" s="21"/>
      <c r="AI56" s="511"/>
      <c r="AJ56" s="511"/>
      <c r="AK56" s="511"/>
      <c r="AL56" s="511"/>
      <c r="AM56" s="511"/>
      <c r="AN56" s="21"/>
      <c r="AO56" s="21"/>
      <c r="AP56" s="21"/>
      <c r="AQ56" s="21"/>
      <c r="AR56" s="21"/>
      <c r="AS56" s="511"/>
      <c r="AT56" s="511"/>
      <c r="AU56" s="511"/>
      <c r="AV56" s="511"/>
      <c r="AW56" s="511"/>
      <c r="AX56" s="21"/>
      <c r="AY56" s="21"/>
      <c r="AZ56" s="21"/>
      <c r="BA56" s="21"/>
      <c r="BB56" s="21"/>
      <c r="BC56" s="28"/>
      <c r="BF56" s="989" t="s">
        <v>1034</v>
      </c>
      <c r="BG56" s="989" t="s">
        <v>1030</v>
      </c>
      <c r="BH56" s="989" cm="1">
        <f t="array" ref="BH56">BH54</f>
        <v>0</v>
      </c>
      <c r="BI56" s="990"/>
      <c r="BJ56" s="990"/>
    </row>
    <row r="57" spans="1:62" s="173" customFormat="1" ht="14.65" hidden="1" customHeight="1">
      <c r="E57" s="781">
        <v>15</v>
      </c>
      <c r="F57" s="779" cm="1">
        <f t="array" aca="1" ref="F57" ca="1">OFFSET(G57,-1,-1)</f>
        <v>0</v>
      </c>
      <c r="T57" s="780" t="b">
        <f ca="1">F57&gt;0</f>
        <v>0</v>
      </c>
      <c r="W57" s="318" t="s">
        <v>1035</v>
      </c>
      <c r="X57" s="1800"/>
      <c r="Z57" s="1800"/>
      <c r="AB57" s="697"/>
      <c r="AC57" s="494" t="s">
        <v>1036</v>
      </c>
      <c r="AD57" s="494"/>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908"/>
      <c r="BF57" s="989"/>
      <c r="BG57" s="989"/>
      <c r="BH57" s="989"/>
      <c r="BI57" s="990" t="s">
        <v>1030</v>
      </c>
      <c r="BJ57" s="990"/>
    </row>
    <row r="58" spans="1:62" s="173" customFormat="1" ht="14.65" hidden="1" customHeight="1">
      <c r="E58" s="781">
        <v>15</v>
      </c>
      <c r="F58" s="779" cm="1">
        <f t="array" aca="1" ref="F58" ca="1">OFFSET(G58,-1,-1)</f>
        <v>0</v>
      </c>
      <c r="T58" s="780" t="b">
        <f ca="1">F58&gt;0</f>
        <v>0</v>
      </c>
      <c r="X58" s="1800"/>
      <c r="Z58" s="1800"/>
      <c r="AB58" s="166" t="s">
        <v>522</v>
      </c>
      <c r="AC58" s="287" t="s">
        <v>1006</v>
      </c>
      <c r="AD58" s="288"/>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905"/>
      <c r="BF58" s="989"/>
      <c r="BG58" s="989"/>
      <c r="BH58" s="989"/>
      <c r="BI58" s="990"/>
      <c r="BJ58" s="990"/>
    </row>
    <row r="59" spans="1:62" s="173" customFormat="1" ht="17.25" hidden="1" customHeight="1">
      <c r="E59" s="781">
        <v>0</v>
      </c>
      <c r="F59" s="779" cm="1">
        <f t="array" aca="1" ref="F59" ca="1">OFFSET(G59,-1,-1)</f>
        <v>0</v>
      </c>
      <c r="T59" s="780" t="b">
        <f ca="1">F59&gt;0</f>
        <v>0</v>
      </c>
      <c r="X59" s="1800"/>
      <c r="Z59" s="1800"/>
      <c r="AB59" s="233"/>
      <c r="AC59" s="228"/>
      <c r="AD59" s="227"/>
      <c r="AE59" s="493"/>
      <c r="AF59" s="493"/>
      <c r="AG59" s="493"/>
      <c r="AH59" s="493"/>
      <c r="AI59" s="493"/>
      <c r="AJ59" s="493"/>
      <c r="AK59" s="493"/>
      <c r="AL59" s="493"/>
      <c r="AM59" s="493"/>
      <c r="AN59" s="493"/>
      <c r="AO59" s="493"/>
      <c r="AP59" s="493"/>
      <c r="AQ59" s="493"/>
      <c r="AR59" s="493"/>
      <c r="AS59" s="493"/>
      <c r="AT59" s="493"/>
      <c r="AU59" s="493"/>
      <c r="AV59" s="493"/>
      <c r="AW59" s="493"/>
      <c r="AX59" s="493"/>
      <c r="AY59" s="493"/>
      <c r="AZ59" s="493"/>
      <c r="BA59" s="493"/>
      <c r="BB59" s="493"/>
      <c r="BC59" s="34"/>
      <c r="BF59" s="989"/>
      <c r="BG59" s="989"/>
      <c r="BH59" s="989"/>
      <c r="BI59" s="990"/>
      <c r="BJ59" s="990"/>
    </row>
    <row r="60" spans="1:62" s="173" customFormat="1" ht="14.65" hidden="1" customHeight="1">
      <c r="E60" s="781">
        <v>15</v>
      </c>
      <c r="F60" s="779" cm="1">
        <f t="array" aca="1" ref="F60" ca="1">OFFSET(G60,-1,-1)</f>
        <v>0</v>
      </c>
      <c r="H60" s="106" cm="1">
        <f t="array" ref="H60">AC60</f>
        <v>0</v>
      </c>
      <c r="I60" s="106" t="s">
        <v>984</v>
      </c>
      <c r="S60" s="1800"/>
      <c r="T60" s="780" t="b">
        <f ca="1">AND(F60&gt;0,Y60&gt;0)</f>
        <v>0</v>
      </c>
      <c r="W60" s="122" t="s">
        <v>236</v>
      </c>
      <c r="X60" s="1800"/>
      <c r="Y60" s="1701">
        <v>0</v>
      </c>
      <c r="Z60" s="1800"/>
      <c r="AA60" s="1806" t="s">
        <v>218</v>
      </c>
      <c r="AB60" s="105" t="str">
        <f>"2.3."&amp;Y60</f>
        <v>2.3.0</v>
      </c>
      <c r="AC60" s="505"/>
      <c r="AD60" s="105" t="s">
        <v>839</v>
      </c>
      <c r="AE60" s="497">
        <f t="shared" ref="AE60:BB60" si="17">AE63+AE65</f>
        <v>0</v>
      </c>
      <c r="AF60" s="497">
        <f t="shared" si="17"/>
        <v>0</v>
      </c>
      <c r="AG60" s="497">
        <f t="shared" si="17"/>
        <v>0</v>
      </c>
      <c r="AH60" s="497">
        <f t="shared" si="17"/>
        <v>0</v>
      </c>
      <c r="AI60" s="497">
        <f t="shared" si="17"/>
        <v>0</v>
      </c>
      <c r="AJ60" s="492">
        <f t="shared" si="17"/>
        <v>0</v>
      </c>
      <c r="AK60" s="492">
        <f t="shared" si="17"/>
        <v>0</v>
      </c>
      <c r="AL60" s="492">
        <f t="shared" si="17"/>
        <v>0</v>
      </c>
      <c r="AM60" s="492">
        <f t="shared" si="17"/>
        <v>0</v>
      </c>
      <c r="AN60" s="20">
        <f t="shared" si="17"/>
        <v>0</v>
      </c>
      <c r="AO60" s="20">
        <f t="shared" si="17"/>
        <v>0</v>
      </c>
      <c r="AP60" s="20">
        <f t="shared" si="17"/>
        <v>0</v>
      </c>
      <c r="AQ60" s="20">
        <f t="shared" si="17"/>
        <v>0</v>
      </c>
      <c r="AR60" s="20">
        <f t="shared" si="17"/>
        <v>0</v>
      </c>
      <c r="AS60" s="497">
        <f t="shared" si="17"/>
        <v>0</v>
      </c>
      <c r="AT60" s="492">
        <f t="shared" si="17"/>
        <v>0</v>
      </c>
      <c r="AU60" s="492">
        <f t="shared" si="17"/>
        <v>0</v>
      </c>
      <c r="AV60" s="492">
        <f t="shared" si="17"/>
        <v>0</v>
      </c>
      <c r="AW60" s="492">
        <f t="shared" si="17"/>
        <v>0</v>
      </c>
      <c r="AX60" s="20">
        <f t="shared" si="17"/>
        <v>0</v>
      </c>
      <c r="AY60" s="20">
        <f t="shared" si="17"/>
        <v>0</v>
      </c>
      <c r="AZ60" s="20">
        <f t="shared" si="17"/>
        <v>0</v>
      </c>
      <c r="BA60" s="20">
        <f t="shared" si="17"/>
        <v>0</v>
      </c>
      <c r="BB60" s="20">
        <f t="shared" si="17"/>
        <v>0</v>
      </c>
      <c r="BC60" s="35"/>
      <c r="BF60" s="989" t="s">
        <v>1029</v>
      </c>
      <c r="BG60" s="989" t="s">
        <v>1037</v>
      </c>
      <c r="BH60" s="989" cm="1">
        <f t="array" ref="BH60">AC60</f>
        <v>0</v>
      </c>
      <c r="BI60" s="990"/>
      <c r="BJ60" s="990" t="b">
        <v>1</v>
      </c>
    </row>
    <row r="61" spans="1:62" s="173" customFormat="1" ht="14.65" hidden="1" customHeight="1">
      <c r="E61" s="781">
        <v>15</v>
      </c>
      <c r="F61" s="779" cm="1">
        <f t="array" aca="1" ref="F61" ca="1">OFFSET(G61,-1,-1)</f>
        <v>0</v>
      </c>
      <c r="L61" s="163" cm="1">
        <f t="array" aca="1" ref="L61" ca="1">INDEX('Общие сведения'!$AK$187:$AK$236,MATCH($F61,'Общие сведения'!$Z$187:$Z$236,0))</f>
        <v>0</v>
      </c>
      <c r="R61" s="143" t="s">
        <v>1021</v>
      </c>
      <c r="S61" s="1800"/>
      <c r="T61" s="780" t="b">
        <f ca="1">AND(T60,L61="двухставочный")</f>
        <v>0</v>
      </c>
      <c r="X61" s="1800"/>
      <c r="Y61" s="1800"/>
      <c r="Z61" s="1800"/>
      <c r="AA61" s="1806"/>
      <c r="AB61" s="235"/>
      <c r="AC61" s="496" t="s">
        <v>1023</v>
      </c>
      <c r="AD61" s="510" t="s">
        <v>839</v>
      </c>
      <c r="AE61" s="21"/>
      <c r="AF61" s="21"/>
      <c r="AG61" s="21"/>
      <c r="AH61" s="21"/>
      <c r="AI61" s="511"/>
      <c r="AJ61" s="511"/>
      <c r="AK61" s="511"/>
      <c r="AL61" s="511"/>
      <c r="AM61" s="511"/>
      <c r="AN61" s="21"/>
      <c r="AO61" s="21"/>
      <c r="AP61" s="21"/>
      <c r="AQ61" s="21"/>
      <c r="AR61" s="21"/>
      <c r="AS61" s="511"/>
      <c r="AT61" s="511"/>
      <c r="AU61" s="511"/>
      <c r="AV61" s="511"/>
      <c r="AW61" s="511"/>
      <c r="AX61" s="21"/>
      <c r="AY61" s="21"/>
      <c r="AZ61" s="21"/>
      <c r="BA61" s="21"/>
      <c r="BB61" s="21"/>
      <c r="BC61" s="59"/>
      <c r="BF61" s="989" t="s">
        <v>1031</v>
      </c>
      <c r="BG61" s="989" t="s">
        <v>1037</v>
      </c>
      <c r="BH61" s="989" cm="1">
        <f t="array" ref="BH61">BH60</f>
        <v>0</v>
      </c>
      <c r="BI61" s="990"/>
      <c r="BJ61" s="990"/>
    </row>
    <row r="62" spans="1:62" s="173" customFormat="1" ht="14.65" hidden="1" customHeight="1">
      <c r="E62" s="781">
        <v>15</v>
      </c>
      <c r="F62" s="779" cm="1">
        <f t="array" aca="1" ref="F62" ca="1">OFFSET(G62,-1,-1)</f>
        <v>0</v>
      </c>
      <c r="H62" s="106" cm="1">
        <f t="array" ref="H62">H60</f>
        <v>0</v>
      </c>
      <c r="S62" s="1800"/>
      <c r="T62" s="780" t="b" cm="1">
        <f t="array" aca="1" ref="T62" ca="1">T60</f>
        <v>0</v>
      </c>
      <c r="X62" s="1800"/>
      <c r="Y62" s="1800"/>
      <c r="Z62" s="1800"/>
      <c r="AA62" s="1807"/>
      <c r="AB62" s="235" t="str">
        <f>AB60&amp;".1"</f>
        <v>2.3.0.1</v>
      </c>
      <c r="AC62" s="496" t="s">
        <v>1000</v>
      </c>
      <c r="AD62" s="105" t="s">
        <v>1027</v>
      </c>
      <c r="AE62" s="20"/>
      <c r="AF62" s="497">
        <f>IF(AF64=0,0,AF63/AF64*1000)</f>
        <v>0</v>
      </c>
      <c r="AG62" s="497">
        <f>IF(AG64=0,0,AG63/AG64*1000)</f>
        <v>0</v>
      </c>
      <c r="AH62" s="20"/>
      <c r="AI62" s="497">
        <f t="shared" ref="AI62:AR62" si="18">IF(AI64=0,0,AI63/AI64*1000)</f>
        <v>0</v>
      </c>
      <c r="AJ62" s="497">
        <f t="shared" si="18"/>
        <v>0</v>
      </c>
      <c r="AK62" s="497">
        <f t="shared" si="18"/>
        <v>0</v>
      </c>
      <c r="AL62" s="497">
        <f t="shared" si="18"/>
        <v>0</v>
      </c>
      <c r="AM62" s="497">
        <f t="shared" si="18"/>
        <v>0</v>
      </c>
      <c r="AN62" s="497">
        <f t="shared" si="18"/>
        <v>0</v>
      </c>
      <c r="AO62" s="497">
        <f t="shared" si="18"/>
        <v>0</v>
      </c>
      <c r="AP62" s="497">
        <f t="shared" si="18"/>
        <v>0</v>
      </c>
      <c r="AQ62" s="497">
        <f t="shared" si="18"/>
        <v>0</v>
      </c>
      <c r="AR62" s="497">
        <f t="shared" si="18"/>
        <v>0</v>
      </c>
      <c r="AS62" s="492"/>
      <c r="AT62" s="492"/>
      <c r="AU62" s="492"/>
      <c r="AV62" s="492"/>
      <c r="AW62" s="492"/>
      <c r="AX62" s="20"/>
      <c r="AY62" s="20"/>
      <c r="AZ62" s="20"/>
      <c r="BA62" s="20"/>
      <c r="BB62" s="20"/>
      <c r="BC62" s="28"/>
      <c r="BF62" s="989" t="s">
        <v>1032</v>
      </c>
      <c r="BG62" s="989" t="s">
        <v>1037</v>
      </c>
      <c r="BH62" s="989" cm="1">
        <f t="array" ref="BH62">BH61</f>
        <v>0</v>
      </c>
      <c r="BI62" s="990"/>
      <c r="BJ62" s="990"/>
    </row>
    <row r="63" spans="1:62" s="173" customFormat="1" ht="14.65" hidden="1" customHeight="1">
      <c r="A63" s="927" t="str">
        <f ca="1">"checkCosts_5."&amp;F63&amp;"."&amp;Y60</f>
        <v>checkCosts_5.0.0</v>
      </c>
      <c r="E63" s="781">
        <v>15</v>
      </c>
      <c r="F63" s="779" cm="1">
        <f t="array" aca="1" ref="F63" ca="1">OFFSET(G63,-1,-1)</f>
        <v>0</v>
      </c>
      <c r="S63" s="1800"/>
      <c r="T63" s="780" t="b" cm="1">
        <f t="array" aca="1" ref="T63" ca="1">T60</f>
        <v>0</v>
      </c>
      <c r="X63" s="1800"/>
      <c r="Y63" s="1800"/>
      <c r="Z63" s="1800"/>
      <c r="AA63" s="1806"/>
      <c r="AB63" s="235" t="str">
        <f>AB60&amp;".2"</f>
        <v>2.3.0.2</v>
      </c>
      <c r="AC63" s="496" t="s">
        <v>1038</v>
      </c>
      <c r="AD63" s="105" t="s">
        <v>839</v>
      </c>
      <c r="AE63" s="20"/>
      <c r="AF63" s="20"/>
      <c r="AG63" s="20"/>
      <c r="AH63" s="20"/>
      <c r="AI63" s="492"/>
      <c r="AJ63" s="492"/>
      <c r="AK63" s="492"/>
      <c r="AL63" s="492"/>
      <c r="AM63" s="492"/>
      <c r="AN63" s="20"/>
      <c r="AO63" s="20"/>
      <c r="AP63" s="20"/>
      <c r="AQ63" s="20"/>
      <c r="AR63" s="20"/>
      <c r="AS63" s="492"/>
      <c r="AT63" s="492"/>
      <c r="AU63" s="492"/>
      <c r="AV63" s="492"/>
      <c r="AW63" s="492"/>
      <c r="AX63" s="20"/>
      <c r="AY63" s="20"/>
      <c r="AZ63" s="20"/>
      <c r="BA63" s="20"/>
      <c r="BB63" s="20"/>
      <c r="BC63" s="28"/>
      <c r="BF63" s="989" t="s">
        <v>1039</v>
      </c>
      <c r="BG63" s="989" t="s">
        <v>1037</v>
      </c>
      <c r="BH63" s="989" cm="1">
        <f t="array" ref="BH63">BH61</f>
        <v>0</v>
      </c>
      <c r="BI63" s="990"/>
      <c r="BJ63" s="990"/>
    </row>
    <row r="64" spans="1:62" s="173" customFormat="1" ht="14.65" hidden="1" customHeight="1">
      <c r="A64" s="927" t="str">
        <f ca="1">"checkVolume_5."&amp;F64&amp;"."&amp;Y60</f>
        <v>checkVolume_5.0.0</v>
      </c>
      <c r="E64" s="781">
        <v>15</v>
      </c>
      <c r="F64" s="779" cm="1">
        <f t="array" aca="1" ref="F64" ca="1">OFFSET(G64,-1,-1)</f>
        <v>0</v>
      </c>
      <c r="S64" s="1800"/>
      <c r="T64" s="780" t="b" cm="1">
        <f t="array" aca="1" ref="T64" ca="1">T63</f>
        <v>0</v>
      </c>
      <c r="X64" s="1800"/>
      <c r="Y64" s="1800"/>
      <c r="Z64" s="1800"/>
      <c r="AA64" s="1806"/>
      <c r="AB64" s="346" t="str">
        <f>AB63&amp;".1"</f>
        <v>2.3.0.2.1</v>
      </c>
      <c r="AC64" s="506" t="s">
        <v>1033</v>
      </c>
      <c r="AD64" s="105" t="s">
        <v>634</v>
      </c>
      <c r="AE64" s="20"/>
      <c r="AF64" s="20"/>
      <c r="AG64" s="20"/>
      <c r="AH64" s="20"/>
      <c r="AI64" s="492"/>
      <c r="AJ64" s="492"/>
      <c r="AK64" s="492"/>
      <c r="AL64" s="492"/>
      <c r="AM64" s="492"/>
      <c r="AN64" s="20"/>
      <c r="AO64" s="20"/>
      <c r="AP64" s="20"/>
      <c r="AQ64" s="20"/>
      <c r="AR64" s="20"/>
      <c r="AS64" s="492"/>
      <c r="AT64" s="492"/>
      <c r="AU64" s="492"/>
      <c r="AV64" s="492"/>
      <c r="AW64" s="492"/>
      <c r="AX64" s="20"/>
      <c r="AY64" s="20"/>
      <c r="AZ64" s="20"/>
      <c r="BA64" s="20"/>
      <c r="BB64" s="20"/>
      <c r="BC64" s="28"/>
      <c r="BF64" s="989" t="s">
        <v>1040</v>
      </c>
      <c r="BG64" s="989" t="s">
        <v>1037</v>
      </c>
      <c r="BH64" s="989" cm="1">
        <f t="array" ref="BH64">BH63</f>
        <v>0</v>
      </c>
      <c r="BI64" s="990"/>
      <c r="BJ64" s="990"/>
    </row>
    <row r="65" spans="1:62" s="173" customFormat="1" ht="14.65" hidden="1" customHeight="1">
      <c r="A65" s="927" t="str">
        <f ca="1">"checkCosts_6."&amp;F65&amp;"."&amp;Y60</f>
        <v>checkCosts_6.0.0</v>
      </c>
      <c r="E65" s="781">
        <v>15</v>
      </c>
      <c r="F65" s="779" cm="1">
        <f t="array" aca="1" ref="F65" ca="1">OFFSET(G65,-1,-1)</f>
        <v>0</v>
      </c>
      <c r="S65" s="1800"/>
      <c r="T65" s="780" t="b" cm="1">
        <f t="array" aca="1" ref="T65" ca="1">T64</f>
        <v>0</v>
      </c>
      <c r="X65" s="1800"/>
      <c r="Y65" s="1800"/>
      <c r="Z65" s="1800"/>
      <c r="AA65" s="1806"/>
      <c r="AB65" s="235" t="str">
        <f>AB60&amp;".3"</f>
        <v>2.3.0.3</v>
      </c>
      <c r="AC65" s="496" t="s">
        <v>1041</v>
      </c>
      <c r="AD65" s="105" t="s">
        <v>1011</v>
      </c>
      <c r="AE65" s="20"/>
      <c r="AF65" s="20"/>
      <c r="AG65" s="20"/>
      <c r="AH65" s="20"/>
      <c r="AI65" s="492"/>
      <c r="AJ65" s="492"/>
      <c r="AK65" s="492"/>
      <c r="AL65" s="492"/>
      <c r="AM65" s="492"/>
      <c r="AN65" s="20"/>
      <c r="AO65" s="20"/>
      <c r="AP65" s="20"/>
      <c r="AQ65" s="20"/>
      <c r="AR65" s="20"/>
      <c r="AS65" s="492"/>
      <c r="AT65" s="492"/>
      <c r="AU65" s="492"/>
      <c r="AV65" s="492"/>
      <c r="AW65" s="492"/>
      <c r="AX65" s="20"/>
      <c r="AY65" s="20"/>
      <c r="AZ65" s="20"/>
      <c r="BA65" s="20"/>
      <c r="BB65" s="20"/>
      <c r="BC65" s="28"/>
      <c r="BF65" s="989" t="s">
        <v>1042</v>
      </c>
      <c r="BG65" s="989" t="s">
        <v>1037</v>
      </c>
      <c r="BH65" s="989" cm="1">
        <f t="array" ref="BH65">BH64</f>
        <v>0</v>
      </c>
      <c r="BI65" s="990"/>
      <c r="BJ65" s="990"/>
    </row>
    <row r="66" spans="1:62" s="173" customFormat="1" ht="14.65" hidden="1" customHeight="1">
      <c r="A66" s="927" t="str">
        <f ca="1">"checkVolume_6."&amp;F66&amp;"."&amp;Y60</f>
        <v>checkVolume_6.0.0</v>
      </c>
      <c r="E66" s="781">
        <v>15</v>
      </c>
      <c r="F66" s="779" cm="1">
        <f t="array" aca="1" ref="F66" ca="1">OFFSET(G66,-1,-1)</f>
        <v>0</v>
      </c>
      <c r="H66" s="106" cm="1">
        <f t="array" ref="H66">H60</f>
        <v>0</v>
      </c>
      <c r="S66" s="1800"/>
      <c r="T66" s="780" t="b" cm="1">
        <f t="array" aca="1" ref="T66" ca="1">T65</f>
        <v>0</v>
      </c>
      <c r="X66" s="1800"/>
      <c r="Y66" s="1800"/>
      <c r="Z66" s="1800"/>
      <c r="AA66" s="1806"/>
      <c r="AB66" s="346" t="str">
        <f>AB65&amp;".1"</f>
        <v>2.3.0.3.1</v>
      </c>
      <c r="AC66" s="507" t="s">
        <v>1043</v>
      </c>
      <c r="AD66" s="105" t="s">
        <v>725</v>
      </c>
      <c r="AE66" s="20"/>
      <c r="AF66" s="20"/>
      <c r="AG66" s="20"/>
      <c r="AH66" s="20"/>
      <c r="AI66" s="492"/>
      <c r="AJ66" s="492"/>
      <c r="AK66" s="492"/>
      <c r="AL66" s="492"/>
      <c r="AM66" s="492"/>
      <c r="AN66" s="20"/>
      <c r="AO66" s="20"/>
      <c r="AP66" s="20"/>
      <c r="AQ66" s="20"/>
      <c r="AR66" s="20"/>
      <c r="AS66" s="492"/>
      <c r="AT66" s="492"/>
      <c r="AU66" s="492"/>
      <c r="AV66" s="492"/>
      <c r="AW66" s="492"/>
      <c r="AX66" s="20"/>
      <c r="AY66" s="20"/>
      <c r="AZ66" s="20"/>
      <c r="BA66" s="20"/>
      <c r="BB66" s="20"/>
      <c r="BC66" s="28"/>
      <c r="BF66" s="989" t="s">
        <v>1044</v>
      </c>
      <c r="BG66" s="989" t="s">
        <v>1037</v>
      </c>
      <c r="BH66" s="989" cm="1">
        <f t="array" ref="BH66">BH65</f>
        <v>0</v>
      </c>
      <c r="BI66" s="990"/>
      <c r="BJ66" s="990"/>
    </row>
    <row r="67" spans="1:62" s="173" customFormat="1" ht="11.1" hidden="1" customHeight="1">
      <c r="E67" s="781">
        <v>11.4</v>
      </c>
      <c r="F67" s="779" cm="1">
        <f t="array" aca="1" ref="F67" ca="1">OFFSET(G67,-1,-1)</f>
        <v>0</v>
      </c>
      <c r="T67" s="780" t="b">
        <f ca="1">F67&gt;0</f>
        <v>0</v>
      </c>
      <c r="W67" s="318" t="s">
        <v>1045</v>
      </c>
      <c r="X67" s="1800"/>
      <c r="Z67" s="1800"/>
      <c r="AB67" s="495"/>
      <c r="AC67" s="483" t="s">
        <v>1036</v>
      </c>
      <c r="AD67" s="483"/>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909"/>
      <c r="BF67" s="989"/>
      <c r="BG67" s="989"/>
      <c r="BH67" s="989"/>
      <c r="BI67" s="990" t="s">
        <v>1037</v>
      </c>
      <c r="BJ67" s="990"/>
    </row>
    <row r="68" spans="1:62" s="815" customFormat="1" ht="18" customHeight="1">
      <c r="A68" s="165"/>
      <c r="B68" s="165"/>
      <c r="C68" s="165"/>
      <c r="D68" s="165"/>
      <c r="E68" s="682">
        <v>18.8</v>
      </c>
      <c r="F68" s="779" t="str" cm="1">
        <f t="array" ref="F68">X68</f>
        <v>1</v>
      </c>
      <c r="G68" s="165"/>
      <c r="H68" s="165"/>
      <c r="I68" s="165"/>
      <c r="J68" s="165"/>
      <c r="K68" s="163" t="str" cm="1">
        <f t="array" ref="K68">INDEX('Общие сведения'!$AL$187:$AL$236,MATCH($F68,'Общие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163" t="str" cm="1">
        <f t="array" ref="L68">INDEX('Общие сведения'!$AK$187:$AK$236,MATCH($F68,'Общие сведения'!$Z$187:$Z$236,0))</f>
        <v>одноставочный</v>
      </c>
      <c r="M68" s="165"/>
      <c r="N68" s="165"/>
      <c r="O68" s="165"/>
      <c r="P68" s="165"/>
      <c r="Q68" s="165"/>
      <c r="R68" s="165"/>
      <c r="S68" s="165"/>
      <c r="T68" s="687" t="b">
        <f>X68&gt;0</f>
        <v>1</v>
      </c>
      <c r="U68" s="165"/>
      <c r="V68" s="122" t="str" cm="1">
        <f t="array" ref="V68">'Топливо 4.4'!$AB$139</f>
        <v>Тариф 1 (Теплоснабжение) - Тариф на тепловую энергию (мощность), поставляемую потребителям (Не определено)</v>
      </c>
      <c r="W68" s="165"/>
      <c r="X68" s="1721" t="s">
        <v>341</v>
      </c>
      <c r="Y68" s="165"/>
      <c r="Z68" s="1733"/>
      <c r="AA68" s="165"/>
      <c r="AB68" s="213" t="str" cm="1">
        <f t="array" ref="AB68">IF(ISBLANK('Топливо 4.4'!$AB$139),"",'Топливо 4.4'!$AB$139)</f>
        <v>Тариф 1 (Теплоснабжение) - Тариф на тепловую энергию (мощность), поставляемую потребителям (Не определено)</v>
      </c>
      <c r="AC68" s="210"/>
      <c r="AD68" s="204"/>
      <c r="AE68" s="321">
        <f t="shared" ref="AE68:BB68" si="19">AE69+AE91</f>
        <v>0</v>
      </c>
      <c r="AF68" s="321">
        <f t="shared" si="19"/>
        <v>0</v>
      </c>
      <c r="AG68" s="321">
        <f t="shared" si="19"/>
        <v>0</v>
      </c>
      <c r="AH68" s="321">
        <f t="shared" si="19"/>
        <v>45966.000247734446</v>
      </c>
      <c r="AI68" s="321">
        <f t="shared" si="19"/>
        <v>0</v>
      </c>
      <c r="AJ68" s="321">
        <f t="shared" si="19"/>
        <v>0</v>
      </c>
      <c r="AK68" s="321">
        <f t="shared" si="19"/>
        <v>0</v>
      </c>
      <c r="AL68" s="321">
        <f t="shared" si="19"/>
        <v>0</v>
      </c>
      <c r="AM68" s="321">
        <f t="shared" si="19"/>
        <v>0</v>
      </c>
      <c r="AN68" s="321">
        <f t="shared" si="19"/>
        <v>0</v>
      </c>
      <c r="AO68" s="321">
        <f t="shared" si="19"/>
        <v>0</v>
      </c>
      <c r="AP68" s="321">
        <f t="shared" si="19"/>
        <v>0</v>
      </c>
      <c r="AQ68" s="321">
        <f t="shared" si="19"/>
        <v>0</v>
      </c>
      <c r="AR68" s="321">
        <f t="shared" si="19"/>
        <v>0</v>
      </c>
      <c r="AS68" s="321">
        <f t="shared" si="19"/>
        <v>57922.277725183892</v>
      </c>
      <c r="AT68" s="321">
        <f t="shared" si="19"/>
        <v>0</v>
      </c>
      <c r="AU68" s="321">
        <f t="shared" si="19"/>
        <v>0</v>
      </c>
      <c r="AV68" s="321">
        <f t="shared" si="19"/>
        <v>0</v>
      </c>
      <c r="AW68" s="321">
        <f t="shared" si="19"/>
        <v>0</v>
      </c>
      <c r="AX68" s="321">
        <f t="shared" si="19"/>
        <v>0</v>
      </c>
      <c r="AY68" s="321">
        <f t="shared" si="19"/>
        <v>0</v>
      </c>
      <c r="AZ68" s="321">
        <f t="shared" si="19"/>
        <v>0</v>
      </c>
      <c r="BA68" s="321">
        <f t="shared" si="19"/>
        <v>0</v>
      </c>
      <c r="BB68" s="321">
        <f t="shared" si="19"/>
        <v>0</v>
      </c>
      <c r="BC68" s="508"/>
      <c r="BD68" s="165"/>
      <c r="BE68" s="165"/>
      <c r="BF68" s="981"/>
      <c r="BG68" s="987"/>
      <c r="BH68" s="987"/>
      <c r="BI68" s="988"/>
      <c r="BJ68" s="988"/>
    </row>
    <row r="69" spans="1:62" s="671" customFormat="1" ht="16.5" customHeight="1">
      <c r="A69" s="1154"/>
      <c r="B69" s="1154"/>
      <c r="C69" s="1154"/>
      <c r="D69" s="1154"/>
      <c r="E69" s="682">
        <v>17.100000000000001</v>
      </c>
      <c r="F69" s="779" t="str" cm="1">
        <f t="array" aca="1" ref="F69" ca="1">OFFSET(G69,-1,-1)</f>
        <v>1</v>
      </c>
      <c r="G69" s="620" t="s">
        <v>983</v>
      </c>
      <c r="H69" s="1154"/>
      <c r="I69" s="165" t="s">
        <v>984</v>
      </c>
      <c r="J69" s="1154"/>
      <c r="K69" s="1154"/>
      <c r="L69" s="1154"/>
      <c r="M69" s="1154"/>
      <c r="N69" s="1154"/>
      <c r="O69" s="1154"/>
      <c r="P69" s="1154"/>
      <c r="Q69" s="1154"/>
      <c r="R69" s="1154"/>
      <c r="S69" s="1154"/>
      <c r="T69" s="780" t="b" cm="1">
        <f t="array" ref="T69">T68</f>
        <v>1</v>
      </c>
      <c r="U69" s="1154"/>
      <c r="V69" s="1154"/>
      <c r="W69" s="1154"/>
      <c r="X69" s="1721"/>
      <c r="Y69" s="1154"/>
      <c r="Z69" s="1721"/>
      <c r="AA69" s="1154"/>
      <c r="AB69" s="233">
        <v>1</v>
      </c>
      <c r="AC69" s="228" t="s">
        <v>985</v>
      </c>
      <c r="AD69" s="227" t="s">
        <v>839</v>
      </c>
      <c r="AE69" s="512">
        <f t="shared" ref="AE69:BB69" si="20">SUMIF($I74:$I89,$I69,AE74:AE89)</f>
        <v>0</v>
      </c>
      <c r="AF69" s="512">
        <f t="shared" si="20"/>
        <v>0</v>
      </c>
      <c r="AG69" s="512">
        <f t="shared" si="20"/>
        <v>0</v>
      </c>
      <c r="AH69" s="512">
        <f t="shared" si="20"/>
        <v>45966.000247734446</v>
      </c>
      <c r="AI69" s="512">
        <f t="shared" si="20"/>
        <v>0</v>
      </c>
      <c r="AJ69" s="750">
        <f t="shared" si="20"/>
        <v>0</v>
      </c>
      <c r="AK69" s="750">
        <f t="shared" si="20"/>
        <v>0</v>
      </c>
      <c r="AL69" s="750">
        <f t="shared" si="20"/>
        <v>0</v>
      </c>
      <c r="AM69" s="750">
        <f t="shared" si="20"/>
        <v>0</v>
      </c>
      <c r="AN69" s="1313">
        <f t="shared" si="20"/>
        <v>0</v>
      </c>
      <c r="AO69" s="1313">
        <f t="shared" si="20"/>
        <v>0</v>
      </c>
      <c r="AP69" s="1313">
        <f t="shared" si="20"/>
        <v>0</v>
      </c>
      <c r="AQ69" s="1313">
        <f t="shared" si="20"/>
        <v>0</v>
      </c>
      <c r="AR69" s="1313">
        <f t="shared" si="20"/>
        <v>0</v>
      </c>
      <c r="AS69" s="512">
        <f t="shared" si="20"/>
        <v>57922.277725183892</v>
      </c>
      <c r="AT69" s="750">
        <f t="shared" si="20"/>
        <v>0</v>
      </c>
      <c r="AU69" s="750">
        <f t="shared" si="20"/>
        <v>0</v>
      </c>
      <c r="AV69" s="750">
        <f t="shared" si="20"/>
        <v>0</v>
      </c>
      <c r="AW69" s="750">
        <f t="shared" si="20"/>
        <v>0</v>
      </c>
      <c r="AX69" s="1313">
        <f t="shared" si="20"/>
        <v>0</v>
      </c>
      <c r="AY69" s="1313">
        <f t="shared" si="20"/>
        <v>0</v>
      </c>
      <c r="AZ69" s="1313">
        <f t="shared" si="20"/>
        <v>0</v>
      </c>
      <c r="BA69" s="1313">
        <f t="shared" si="20"/>
        <v>0</v>
      </c>
      <c r="BB69" s="1313">
        <f t="shared" si="20"/>
        <v>0</v>
      </c>
      <c r="BC69" s="1298"/>
      <c r="BD69" s="1154"/>
      <c r="BE69" s="1154"/>
      <c r="BF69" s="970" t="s">
        <v>986</v>
      </c>
      <c r="BG69" s="987"/>
      <c r="BH69" s="987"/>
      <c r="BI69" s="988"/>
      <c r="BJ69" s="988"/>
    </row>
    <row r="70" spans="1:62" s="671" customFormat="1" ht="16.5" customHeight="1">
      <c r="A70" s="1154"/>
      <c r="B70" s="1154"/>
      <c r="C70" s="1154"/>
      <c r="D70" s="1154"/>
      <c r="E70" s="682">
        <v>17.100000000000001</v>
      </c>
      <c r="F70" s="779" t="str" cm="1">
        <f t="array" aca="1" ref="F70" ca="1">OFFSET(G70,-1,-1)</f>
        <v>1</v>
      </c>
      <c r="G70" s="1154"/>
      <c r="H70" s="1154"/>
      <c r="I70" s="1154"/>
      <c r="J70" s="1154"/>
      <c r="K70" s="1154"/>
      <c r="L70" s="1154"/>
      <c r="M70" s="1154"/>
      <c r="N70" s="1154"/>
      <c r="O70" s="1154"/>
      <c r="P70" s="1154"/>
      <c r="Q70" s="1154"/>
      <c r="R70" s="1154"/>
      <c r="S70" s="1154"/>
      <c r="T70" s="780" t="b" cm="1">
        <f t="array" ref="T70">T69</f>
        <v>1</v>
      </c>
      <c r="U70" s="1154"/>
      <c r="V70" s="1154"/>
      <c r="W70" s="1154"/>
      <c r="X70" s="1721"/>
      <c r="Y70" s="1154"/>
      <c r="Z70" s="1721"/>
      <c r="AA70" s="1154"/>
      <c r="AB70" s="166" t="s">
        <v>484</v>
      </c>
      <c r="AC70" s="223" t="s">
        <v>987</v>
      </c>
      <c r="AD70" s="121" t="s">
        <v>762</v>
      </c>
      <c r="AE70" s="216">
        <f t="shared" ref="AE70:BB70" si="21">SUMIF($AD74:$AD89,$AD70,AE74:AE89)</f>
        <v>0</v>
      </c>
      <c r="AF70" s="216">
        <f t="shared" si="21"/>
        <v>0</v>
      </c>
      <c r="AG70" s="216">
        <f t="shared" si="21"/>
        <v>0</v>
      </c>
      <c r="AH70" s="216">
        <f t="shared" si="21"/>
        <v>7322.5290000000005</v>
      </c>
      <c r="AI70" s="216">
        <f t="shared" si="21"/>
        <v>0</v>
      </c>
      <c r="AJ70" s="162">
        <f t="shared" si="21"/>
        <v>0</v>
      </c>
      <c r="AK70" s="162">
        <f t="shared" si="21"/>
        <v>0</v>
      </c>
      <c r="AL70" s="162">
        <f t="shared" si="21"/>
        <v>0</v>
      </c>
      <c r="AM70" s="162">
        <f t="shared" si="21"/>
        <v>0</v>
      </c>
      <c r="AN70" s="1240">
        <f t="shared" si="21"/>
        <v>0</v>
      </c>
      <c r="AO70" s="1240">
        <f t="shared" si="21"/>
        <v>0</v>
      </c>
      <c r="AP70" s="1240">
        <f t="shared" si="21"/>
        <v>0</v>
      </c>
      <c r="AQ70" s="1240">
        <f t="shared" si="21"/>
        <v>0</v>
      </c>
      <c r="AR70" s="1240">
        <f t="shared" si="21"/>
        <v>0</v>
      </c>
      <c r="AS70" s="216">
        <f t="shared" si="21"/>
        <v>7368.45</v>
      </c>
      <c r="AT70" s="162">
        <f t="shared" si="21"/>
        <v>0</v>
      </c>
      <c r="AU70" s="162">
        <f t="shared" si="21"/>
        <v>0</v>
      </c>
      <c r="AV70" s="162">
        <f t="shared" si="21"/>
        <v>0</v>
      </c>
      <c r="AW70" s="162">
        <f t="shared" si="21"/>
        <v>0</v>
      </c>
      <c r="AX70" s="1240">
        <f t="shared" si="21"/>
        <v>0</v>
      </c>
      <c r="AY70" s="1240">
        <f t="shared" si="21"/>
        <v>0</v>
      </c>
      <c r="AZ70" s="1240">
        <f t="shared" si="21"/>
        <v>0</v>
      </c>
      <c r="BA70" s="1240">
        <f t="shared" si="21"/>
        <v>0</v>
      </c>
      <c r="BB70" s="1240">
        <f t="shared" si="21"/>
        <v>0</v>
      </c>
      <c r="BC70" s="1290"/>
      <c r="BD70" s="1154"/>
      <c r="BE70" s="1154"/>
      <c r="BF70" s="981" t="s">
        <v>988</v>
      </c>
      <c r="BG70" s="987"/>
      <c r="BH70" s="987"/>
      <c r="BI70" s="988"/>
      <c r="BJ70" s="988"/>
    </row>
    <row r="71" spans="1:62" s="671" customFormat="1" ht="16.5" customHeight="1">
      <c r="A71" s="1154"/>
      <c r="B71" s="1154"/>
      <c r="C71" s="1154"/>
      <c r="D71" s="1154"/>
      <c r="E71" s="682">
        <v>17.100000000000001</v>
      </c>
      <c r="F71" s="779" t="str" cm="1">
        <f t="array" aca="1" ref="F71" ca="1">OFFSET(G71,-1,-1)</f>
        <v>1</v>
      </c>
      <c r="G71" s="1154"/>
      <c r="H71" s="1154"/>
      <c r="I71" s="1154"/>
      <c r="J71" s="1154"/>
      <c r="K71" s="1154"/>
      <c r="L71" s="1154"/>
      <c r="M71" s="1154"/>
      <c r="N71" s="1154"/>
      <c r="O71" s="1154"/>
      <c r="P71" s="1154"/>
      <c r="Q71" s="1154"/>
      <c r="R71" s="1154"/>
      <c r="S71" s="1154"/>
      <c r="T71" s="780" t="b" cm="1">
        <f t="array" ref="T71">T70</f>
        <v>1</v>
      </c>
      <c r="U71" s="1154"/>
      <c r="V71" s="1154"/>
      <c r="W71" s="1154"/>
      <c r="X71" s="1721"/>
      <c r="Y71" s="1154"/>
      <c r="Z71" s="1721"/>
      <c r="AA71" s="1154"/>
      <c r="AB71" s="166" t="s">
        <v>989</v>
      </c>
      <c r="AC71" s="223" t="s">
        <v>990</v>
      </c>
      <c r="AD71" s="121" t="s">
        <v>634</v>
      </c>
      <c r="AE71" s="1314">
        <f ca="1">IF($K68="передача тепловой энергии",SUMIFS('Баланс Тр'!AE$27:AE$50,'Баланс Тр'!$F$27:$F$50,$F71,'Баланс Тр'!$AB$27:$AB$50,"3"),SUMIFS('Баланс Пр'!AE$27:AE$233,'Баланс Пр'!$F$27:$F$233,$F71,'Баланс Пр'!$AB$27:$AB$233,"9.1"))</f>
        <v>0</v>
      </c>
      <c r="AF71" s="1314">
        <f ca="1">IF($K68="передача тепловой энергии",SUMIFS('Баланс Тр'!AF$27:AF$50,'Баланс Тр'!$F$27:$F$50,$F71,'Баланс Тр'!$AB$27:$AB$50,"3"),SUMIFS('Баланс Пр'!AF$27:AF$233,'Баланс Пр'!$F$27:$F$233,$F71,'Баланс Пр'!$AB$27:$AB$233,"9.1"))</f>
        <v>0</v>
      </c>
      <c r="AG71" s="1314">
        <f ca="1">IF($K68="передача тепловой энергии",SUMIFS('Баланс Тр'!AG$27:AG$50,'Баланс Тр'!$F$27:$F$50,$F71,'Баланс Тр'!$AB$27:$AB$50,"3"),SUMIFS('Баланс Пр'!AG$27:AG$233,'Баланс Пр'!$F$27:$F$233,$F71,'Баланс Пр'!$AB$27:$AB$233,"9.1"))</f>
        <v>0</v>
      </c>
      <c r="AH71" s="1314">
        <f ca="1">IF($K68="передача тепловой энергии",SUMIFS('Баланс Тр'!AH$27:AH$50,'Баланс Тр'!$F$27:$F$50,$F71,'Баланс Тр'!$AB$27:$AB$50,"3"),SUMIFS('Баланс Пр'!AH$27:AH$233,'Баланс Пр'!$F$27:$F$233,$F71,'Баланс Пр'!$AB$27:$AB$233,"9.1"))</f>
        <v>129275</v>
      </c>
      <c r="AI71" s="257">
        <f ca="1">IF($K68="передача тепловой энергии",SUMIFS('Баланс Тр'!AI$27:AI$50,'Баланс Тр'!$F$27:$F$50,$F71,'Баланс Тр'!$AB$27:$AB$50,"3"),SUMIFS('Баланс Пр'!AI$27:AI$233,'Баланс Пр'!$F$27:$F$233,$F71,'Баланс Пр'!$AB$27:$AB$233,"9.1"))</f>
        <v>0</v>
      </c>
      <c r="AJ71" s="257">
        <f ca="1">IF($K68="передача тепловой энергии",SUMIFS('Баланс Тр'!AJ$27:AJ$50,'Баланс Тр'!$F$27:$F$50,$F71,'Баланс Тр'!$AB$27:$AB$50,"3"),SUMIFS('Баланс Пр'!AJ$27:AJ$233,'Баланс Пр'!$F$27:$F$233,$F71,'Баланс Пр'!$AB$27:$AB$233,"9.1"))</f>
        <v>0</v>
      </c>
      <c r="AK71" s="257">
        <f ca="1">IF($K68="передача тепловой энергии",SUMIFS('Баланс Тр'!AK$27:AK$50,'Баланс Тр'!$F$27:$F$50,$F71,'Баланс Тр'!$AB$27:$AB$50,"3"),SUMIFS('Баланс Пр'!AK$27:AK$233,'Баланс Пр'!$F$27:$F$233,$F71,'Баланс Пр'!$AB$27:$AB$233,"9.1"))</f>
        <v>0</v>
      </c>
      <c r="AL71" s="257">
        <f ca="1">IF($K68="передача тепловой энергии",SUMIFS('Баланс Тр'!AL$27:AL$50,'Баланс Тр'!$F$27:$F$50,$F71,'Баланс Тр'!$AB$27:$AB$50,"3"),SUMIFS('Баланс Пр'!AL$27:AL$233,'Баланс Пр'!$F$27:$F$233,$F71,'Баланс Пр'!$AB$27:$AB$233,"9.1"))</f>
        <v>0</v>
      </c>
      <c r="AM71" s="257">
        <f ca="1">IF($K68="передача тепловой энергии",SUMIFS('Баланс Тр'!AM$27:AM$50,'Баланс Тр'!$F$27:$F$50,$F71,'Баланс Тр'!$AB$27:$AB$50,"3"),SUMIFS('Баланс Пр'!AM$27:AM$233,'Баланс Пр'!$F$27:$F$233,$F71,'Баланс Пр'!$AB$27:$AB$233,"9.1"))</f>
        <v>0</v>
      </c>
      <c r="AN71" s="1314">
        <f ca="1">IF($K68="передача тепловой энергии",SUMIFS('Баланс Тр'!AN$27:AN$50,'Баланс Тр'!$F$27:$F$50,$F71,'Баланс Тр'!$AB$27:$AB$50,"3"),SUMIFS('Баланс Пр'!AN$27:AN$233,'Баланс Пр'!$F$27:$F$233,$F71,'Баланс Пр'!$AB$27:$AB$233,"9.1"))</f>
        <v>0</v>
      </c>
      <c r="AO71" s="1314">
        <f ca="1">IF($K68="передача тепловой энергии",SUMIFS('Баланс Тр'!AO$27:AO$50,'Баланс Тр'!$F$27:$F$50,$F71,'Баланс Тр'!$AB$27:$AB$50,"3"),SUMIFS('Баланс Пр'!AO$27:AO$233,'Баланс Пр'!$F$27:$F$233,$F71,'Баланс Пр'!$AB$27:$AB$233,"9.1"))</f>
        <v>0</v>
      </c>
      <c r="AP71" s="1314">
        <f ca="1">IF($K68="передача тепловой энергии",SUMIFS('Баланс Тр'!AP$27:AP$50,'Баланс Тр'!$F$27:$F$50,$F71,'Баланс Тр'!$AB$27:$AB$50,"3"),SUMIFS('Баланс Пр'!AP$27:AP$233,'Баланс Пр'!$F$27:$F$233,$F71,'Баланс Пр'!$AB$27:$AB$233,"9.1"))</f>
        <v>0</v>
      </c>
      <c r="AQ71" s="1314">
        <f ca="1">IF($K68="передача тепловой энергии",SUMIFS('Баланс Тр'!AQ$27:AQ$50,'Баланс Тр'!$F$27:$F$50,$F71,'Баланс Тр'!$AB$27:$AB$50,"3"),SUMIFS('Баланс Пр'!AQ$27:AQ$233,'Баланс Пр'!$F$27:$F$233,$F71,'Баланс Пр'!$AB$27:$AB$233,"9.1"))</f>
        <v>0</v>
      </c>
      <c r="AR71" s="1314">
        <f ca="1">IF($K68="передача тепловой энергии",SUMIFS('Баланс Тр'!AR$27:AR$50,'Баланс Тр'!$F$27:$F$50,$F71,'Баланс Тр'!$AB$27:$AB$50,"3"),SUMIFS('Баланс Пр'!AR$27:AR$233,'Баланс Пр'!$F$27:$F$233,$F71,'Баланс Пр'!$AB$27:$AB$233,"9.1"))</f>
        <v>0</v>
      </c>
      <c r="AS71" s="257">
        <f ca="1">IF($K68="передача тепловой энергии",SUMIFS('Баланс Тр'!AS$27:AS$50,'Баланс Тр'!$F$27:$F$50,$F71,'Баланс Тр'!$AB$27:$AB$50,"3"),SUMIFS('Баланс Пр'!AS$27:AS$233,'Баланс Пр'!$F$27:$F$233,$F71,'Баланс Пр'!$AB$27:$AB$233,"9.1"))</f>
        <v>129752.10999999999</v>
      </c>
      <c r="AT71" s="257">
        <f ca="1">IF($K68="передача тепловой энергии",SUMIFS('Баланс Тр'!AT$27:AT$50,'Баланс Тр'!$F$27:$F$50,$F71,'Баланс Тр'!$AB$27:$AB$50,"3"),SUMIFS('Баланс Пр'!AT$27:AT$233,'Баланс Пр'!$F$27:$F$233,$F71,'Баланс Пр'!$AB$27:$AB$233,"9.1"))</f>
        <v>0</v>
      </c>
      <c r="AU71" s="257">
        <f ca="1">IF($K68="передача тепловой энергии",SUMIFS('Баланс Тр'!AU$27:AU$50,'Баланс Тр'!$F$27:$F$50,$F71,'Баланс Тр'!$AB$27:$AB$50,"3"),SUMIFS('Баланс Пр'!AU$27:AU$233,'Баланс Пр'!$F$27:$F$233,$F71,'Баланс Пр'!$AB$27:$AB$233,"9.1"))</f>
        <v>0</v>
      </c>
      <c r="AV71" s="257">
        <f ca="1">IF($K68="передача тепловой энергии",SUMIFS('Баланс Тр'!AV$27:AV$50,'Баланс Тр'!$F$27:$F$50,$F71,'Баланс Тр'!$AB$27:$AB$50,"3"),SUMIFS('Баланс Пр'!AV$27:AV$233,'Баланс Пр'!$F$27:$F$233,$F71,'Баланс Пр'!$AB$27:$AB$233,"9.1"))</f>
        <v>0</v>
      </c>
      <c r="AW71" s="257">
        <f ca="1">IF($K68="передача тепловой энергии",SUMIFS('Баланс Тр'!AW$27:AW$50,'Баланс Тр'!$F$27:$F$50,$F71,'Баланс Тр'!$AB$27:$AB$50,"3"),SUMIFS('Баланс Пр'!AW$27:AW$233,'Баланс Пр'!$F$27:$F$233,$F71,'Баланс Пр'!$AB$27:$AB$233,"9.1"))</f>
        <v>0</v>
      </c>
      <c r="AX71" s="1314">
        <f ca="1">IF($K68="передача тепловой энергии",SUMIFS('Баланс Тр'!AX$27:AX$50,'Баланс Тр'!$F$27:$F$50,$F71,'Баланс Тр'!$AB$27:$AB$50,"3"),SUMIFS('Баланс Пр'!AX$27:AX$233,'Баланс Пр'!$F$27:$F$233,$F71,'Баланс Пр'!$AB$27:$AB$233,"9.1"))</f>
        <v>0</v>
      </c>
      <c r="AY71" s="1314">
        <f ca="1">IF($K68="передача тепловой энергии",SUMIFS('Баланс Тр'!AY$27:AY$50,'Баланс Тр'!$F$27:$F$50,$F71,'Баланс Тр'!$AB$27:$AB$50,"3"),SUMIFS('Баланс Пр'!AY$27:AY$233,'Баланс Пр'!$F$27:$F$233,$F71,'Баланс Пр'!$AB$27:$AB$233,"9.1"))</f>
        <v>0</v>
      </c>
      <c r="AZ71" s="1314">
        <f ca="1">IF($K68="передача тепловой энергии",SUMIFS('Баланс Тр'!AZ$27:AZ$50,'Баланс Тр'!$F$27:$F$50,$F71,'Баланс Тр'!$AB$27:$AB$50,"3"),SUMIFS('Баланс Пр'!AZ$27:AZ$233,'Баланс Пр'!$F$27:$F$233,$F71,'Баланс Пр'!$AB$27:$AB$233,"9.1"))</f>
        <v>0</v>
      </c>
      <c r="BA71" s="1314">
        <f ca="1">IF($K68="передача тепловой энергии",SUMIFS('Баланс Тр'!BA$27:BA$50,'Баланс Тр'!$F$27:$F$50,$F71,'Баланс Тр'!$AB$27:$AB$50,"3"),SUMIFS('Баланс Пр'!BA$27:BA$233,'Баланс Пр'!$F$27:$F$233,$F71,'Баланс Пр'!$AB$27:$AB$233,"9.1"))</f>
        <v>0</v>
      </c>
      <c r="BB71" s="1314">
        <f ca="1">IF($K68="передача тепловой энергии",SUMIFS('Баланс Тр'!BB$27:BB$50,'Баланс Тр'!$F$27:$F$50,$F71,'Баланс Тр'!$AB$27:$AB$50,"3"),SUMIFS('Баланс Пр'!BB$27:BB$233,'Баланс Пр'!$F$27:$F$233,$F71,'Баланс Пр'!$AB$27:$AB$233,"9.1"))</f>
        <v>0</v>
      </c>
      <c r="BC71" s="1290"/>
      <c r="BD71" s="1154"/>
      <c r="BE71" s="1154"/>
      <c r="BF71" s="981" t="s">
        <v>788</v>
      </c>
      <c r="BG71" s="987"/>
      <c r="BH71" s="987"/>
      <c r="BI71" s="988"/>
      <c r="BJ71" s="988"/>
    </row>
    <row r="72" spans="1:62" s="671" customFormat="1" ht="16.5" customHeight="1">
      <c r="A72" s="1154"/>
      <c r="B72" s="1154"/>
      <c r="C72" s="1154"/>
      <c r="D72" s="1154"/>
      <c r="E72" s="682">
        <v>17.100000000000001</v>
      </c>
      <c r="F72" s="779" t="str" cm="1">
        <f t="array" aca="1" ref="F72" ca="1">OFFSET(G72,-1,-1)</f>
        <v>1</v>
      </c>
      <c r="G72" s="1154"/>
      <c r="H72" s="1154"/>
      <c r="I72" s="1154"/>
      <c r="J72" s="1154"/>
      <c r="K72" s="1154"/>
      <c r="L72" s="1154"/>
      <c r="M72" s="1154"/>
      <c r="N72" s="1154"/>
      <c r="O72" s="1154"/>
      <c r="P72" s="1154"/>
      <c r="Q72" s="1154"/>
      <c r="R72" s="1154"/>
      <c r="S72" s="1154"/>
      <c r="T72" s="780" t="b" cm="1">
        <f t="array" ref="T72">T71</f>
        <v>1</v>
      </c>
      <c r="U72" s="1154"/>
      <c r="V72" s="1154"/>
      <c r="W72" s="1154"/>
      <c r="X72" s="1721"/>
      <c r="Y72" s="1154"/>
      <c r="Z72" s="1721"/>
      <c r="AA72" s="1154"/>
      <c r="AB72" s="166" t="s">
        <v>991</v>
      </c>
      <c r="AC72" s="223" t="s">
        <v>992</v>
      </c>
      <c r="AD72" s="121" t="s">
        <v>993</v>
      </c>
      <c r="AE72" s="216">
        <f t="shared" ref="AE72:BB72" si="22">IF(AE70=0,0,AE69/AE70)</f>
        <v>0</v>
      </c>
      <c r="AF72" s="216">
        <f t="shared" si="22"/>
        <v>0</v>
      </c>
      <c r="AG72" s="216">
        <f t="shared" si="22"/>
        <v>0</v>
      </c>
      <c r="AH72" s="216">
        <f t="shared" si="22"/>
        <v>6.2773394612345603</v>
      </c>
      <c r="AI72" s="216">
        <f t="shared" si="22"/>
        <v>0</v>
      </c>
      <c r="AJ72" s="162">
        <f t="shared" si="22"/>
        <v>0</v>
      </c>
      <c r="AK72" s="162">
        <f t="shared" si="22"/>
        <v>0</v>
      </c>
      <c r="AL72" s="162">
        <f t="shared" si="22"/>
        <v>0</v>
      </c>
      <c r="AM72" s="162">
        <f t="shared" si="22"/>
        <v>0</v>
      </c>
      <c r="AN72" s="1240">
        <f t="shared" si="22"/>
        <v>0</v>
      </c>
      <c r="AO72" s="1240">
        <f t="shared" si="22"/>
        <v>0</v>
      </c>
      <c r="AP72" s="1240">
        <f t="shared" si="22"/>
        <v>0</v>
      </c>
      <c r="AQ72" s="1240">
        <f t="shared" si="22"/>
        <v>0</v>
      </c>
      <c r="AR72" s="1240">
        <f t="shared" si="22"/>
        <v>0</v>
      </c>
      <c r="AS72" s="216">
        <f t="shared" si="22"/>
        <v>7.8608496665084102</v>
      </c>
      <c r="AT72" s="162">
        <f t="shared" si="22"/>
        <v>0</v>
      </c>
      <c r="AU72" s="162">
        <f t="shared" si="22"/>
        <v>0</v>
      </c>
      <c r="AV72" s="162">
        <f t="shared" si="22"/>
        <v>0</v>
      </c>
      <c r="AW72" s="162">
        <f t="shared" si="22"/>
        <v>0</v>
      </c>
      <c r="AX72" s="1240">
        <f t="shared" si="22"/>
        <v>0</v>
      </c>
      <c r="AY72" s="1240">
        <f t="shared" si="22"/>
        <v>0</v>
      </c>
      <c r="AZ72" s="1240">
        <f t="shared" si="22"/>
        <v>0</v>
      </c>
      <c r="BA72" s="1240">
        <f t="shared" si="22"/>
        <v>0</v>
      </c>
      <c r="BB72" s="1240">
        <f t="shared" si="22"/>
        <v>0</v>
      </c>
      <c r="BC72" s="1290"/>
      <c r="BD72" s="1154"/>
      <c r="BE72" s="1154"/>
      <c r="BF72" s="981" t="s">
        <v>994</v>
      </c>
      <c r="BG72" s="987"/>
      <c r="BH72" s="987"/>
      <c r="BI72" s="988"/>
      <c r="BJ72" s="988"/>
    </row>
    <row r="73" spans="1:62" s="671" customFormat="1" ht="16.5" customHeight="1">
      <c r="A73" s="1154"/>
      <c r="B73" s="1154"/>
      <c r="C73" s="1154"/>
      <c r="D73" s="1154"/>
      <c r="E73" s="682">
        <v>17.100000000000001</v>
      </c>
      <c r="F73" s="779" t="str" cm="1">
        <f t="array" aca="1" ref="F73" ca="1">OFFSET(G73,-1,-1)</f>
        <v>1</v>
      </c>
      <c r="G73" s="1154"/>
      <c r="H73" s="1154"/>
      <c r="I73" s="1154"/>
      <c r="J73" s="1154"/>
      <c r="K73" s="1154"/>
      <c r="L73" s="1154"/>
      <c r="M73" s="1154"/>
      <c r="N73" s="1154"/>
      <c r="O73" s="1154"/>
      <c r="P73" s="1154"/>
      <c r="Q73" s="1154"/>
      <c r="R73" s="1154"/>
      <c r="S73" s="1154"/>
      <c r="T73" s="780" t="b" cm="1">
        <f t="array" ref="T73">T72</f>
        <v>1</v>
      </c>
      <c r="U73" s="1154"/>
      <c r="V73" s="1154"/>
      <c r="W73" s="1154"/>
      <c r="X73" s="1721"/>
      <c r="Y73" s="1154"/>
      <c r="Z73" s="1721"/>
      <c r="AA73" s="1154"/>
      <c r="AB73" s="166" t="s">
        <v>995</v>
      </c>
      <c r="AC73" s="223" t="s">
        <v>996</v>
      </c>
      <c r="AD73" s="121" t="s">
        <v>774</v>
      </c>
      <c r="AE73" s="328">
        <f t="shared" ref="AE73:BB73" ca="1" si="23">IF(AE71=0,0,AE70/AE71)*1000</f>
        <v>0</v>
      </c>
      <c r="AF73" s="328">
        <f t="shared" ca="1" si="23"/>
        <v>0</v>
      </c>
      <c r="AG73" s="328">
        <f t="shared" ca="1" si="23"/>
        <v>0</v>
      </c>
      <c r="AH73" s="328">
        <f t="shared" ca="1" si="23"/>
        <v>56.643040030941798</v>
      </c>
      <c r="AI73" s="328">
        <f t="shared" ca="1" si="23"/>
        <v>0</v>
      </c>
      <c r="AJ73" s="296">
        <f t="shared" ca="1" si="23"/>
        <v>0</v>
      </c>
      <c r="AK73" s="296">
        <f t="shared" ca="1" si="23"/>
        <v>0</v>
      </c>
      <c r="AL73" s="296">
        <f t="shared" ca="1" si="23"/>
        <v>0</v>
      </c>
      <c r="AM73" s="296">
        <f t="shared" ca="1" si="23"/>
        <v>0</v>
      </c>
      <c r="AN73" s="1315">
        <f t="shared" ca="1" si="23"/>
        <v>0</v>
      </c>
      <c r="AO73" s="1315">
        <f t="shared" ca="1" si="23"/>
        <v>0</v>
      </c>
      <c r="AP73" s="1315">
        <f t="shared" ca="1" si="23"/>
        <v>0</v>
      </c>
      <c r="AQ73" s="1315">
        <f t="shared" ca="1" si="23"/>
        <v>0</v>
      </c>
      <c r="AR73" s="1315">
        <f t="shared" ca="1" si="23"/>
        <v>0</v>
      </c>
      <c r="AS73" s="328">
        <f t="shared" ca="1" si="23"/>
        <v>56.788671875933275</v>
      </c>
      <c r="AT73" s="296">
        <f t="shared" ca="1" si="23"/>
        <v>0</v>
      </c>
      <c r="AU73" s="296">
        <f t="shared" ca="1" si="23"/>
        <v>0</v>
      </c>
      <c r="AV73" s="296">
        <f t="shared" ca="1" si="23"/>
        <v>0</v>
      </c>
      <c r="AW73" s="296">
        <f t="shared" ca="1" si="23"/>
        <v>0</v>
      </c>
      <c r="AX73" s="1315">
        <f t="shared" ca="1" si="23"/>
        <v>0</v>
      </c>
      <c r="AY73" s="1315">
        <f t="shared" ca="1" si="23"/>
        <v>0</v>
      </c>
      <c r="AZ73" s="1315">
        <f t="shared" ca="1" si="23"/>
        <v>0</v>
      </c>
      <c r="BA73" s="1315">
        <f t="shared" ca="1" si="23"/>
        <v>0</v>
      </c>
      <c r="BB73" s="1315">
        <f t="shared" ca="1" si="23"/>
        <v>0</v>
      </c>
      <c r="BC73" s="1290"/>
      <c r="BD73" s="1154"/>
      <c r="BE73" s="1154"/>
      <c r="BF73" s="981" t="s">
        <v>765</v>
      </c>
      <c r="BG73" s="987"/>
      <c r="BH73" s="987"/>
      <c r="BI73" s="988"/>
      <c r="BJ73" s="988"/>
    </row>
    <row r="74" spans="1:62" s="671" customFormat="1" ht="16.5" customHeight="1">
      <c r="A74" s="1154"/>
      <c r="B74" s="1154"/>
      <c r="C74" s="1154"/>
      <c r="D74" s="1154"/>
      <c r="E74" s="682">
        <v>17.100000000000001</v>
      </c>
      <c r="F74" s="779" t="str" cm="1">
        <f t="array" aca="1" ref="F74" ca="1">OFFSET(G74,-1,-1)</f>
        <v>1</v>
      </c>
      <c r="G74" s="1154"/>
      <c r="H74" s="1154"/>
      <c r="I74" s="1154"/>
      <c r="J74" s="1154"/>
      <c r="K74" s="1154"/>
      <c r="L74" s="1154"/>
      <c r="M74" s="1154"/>
      <c r="N74" s="1154"/>
      <c r="O74" s="1154"/>
      <c r="P74" s="1154"/>
      <c r="Q74" s="1154"/>
      <c r="R74" s="1154"/>
      <c r="S74" s="109"/>
      <c r="T74" s="780" t="b" cm="1">
        <f t="array" ref="T74">T73</f>
        <v>1</v>
      </c>
      <c r="U74" s="1154"/>
      <c r="V74" s="1154"/>
      <c r="W74" s="1154"/>
      <c r="X74" s="1721"/>
      <c r="Y74" s="1154"/>
      <c r="Z74" s="1721"/>
      <c r="AA74" s="1154"/>
      <c r="AB74" s="290"/>
      <c r="AC74" s="287" t="s">
        <v>997</v>
      </c>
      <c r="AD74" s="288"/>
      <c r="AE74" s="289"/>
      <c r="AF74" s="289"/>
      <c r="AG74" s="289"/>
      <c r="AH74" s="289"/>
      <c r="AI74" s="289"/>
      <c r="AJ74" s="289"/>
      <c r="AK74" s="289"/>
      <c r="AL74" s="289"/>
      <c r="AM74" s="289"/>
      <c r="AN74" s="289"/>
      <c r="AO74" s="289"/>
      <c r="AP74" s="289"/>
      <c r="AQ74" s="289"/>
      <c r="AR74" s="289"/>
      <c r="AS74" s="289"/>
      <c r="AT74" s="289"/>
      <c r="AU74" s="289"/>
      <c r="AV74" s="289"/>
      <c r="AW74" s="289"/>
      <c r="AX74" s="289"/>
      <c r="AY74" s="289"/>
      <c r="AZ74" s="289"/>
      <c r="BA74" s="289"/>
      <c r="BB74" s="289"/>
      <c r="BC74" s="905"/>
      <c r="BD74" s="1154"/>
      <c r="BE74" s="1154"/>
      <c r="BF74" s="981"/>
      <c r="BG74" s="987"/>
      <c r="BH74" s="987"/>
      <c r="BI74" s="988"/>
      <c r="BJ74" s="988"/>
    </row>
    <row r="75" spans="1:62" s="671" customFormat="1" ht="16.5" hidden="1" customHeight="1">
      <c r="A75" s="927" t="str">
        <f ca="1">"checkCosts_1."&amp;F75&amp;"."&amp;Y75</f>
        <v>checkCosts_1.1.0</v>
      </c>
      <c r="E75" s="682">
        <v>17.100000000000001</v>
      </c>
      <c r="F75" s="779" t="str" cm="1">
        <f t="array" aca="1" ref="F75" ca="1">OFFSET(G75,-1,-1)</f>
        <v>1</v>
      </c>
      <c r="H75" s="163" cm="1">
        <f t="array" ref="H75">AC75</f>
        <v>0</v>
      </c>
      <c r="I75" s="165" t="s">
        <v>984</v>
      </c>
      <c r="S75" s="1801"/>
      <c r="T75" s="780" t="b">
        <f ca="1">AND(F75&gt;0,Y75&gt;0)</f>
        <v>0</v>
      </c>
      <c r="W75" s="122" t="s">
        <v>236</v>
      </c>
      <c r="X75" s="1798"/>
      <c r="Y75" s="1721">
        <v>0</v>
      </c>
      <c r="Z75" s="1798"/>
      <c r="AA75" s="1669" t="s">
        <v>218</v>
      </c>
      <c r="AB75" s="166" t="str">
        <f>"1.5."&amp;Y75</f>
        <v>1.5.0</v>
      </c>
      <c r="AC75" s="55"/>
      <c r="AD75" s="107" t="s">
        <v>839</v>
      </c>
      <c r="AE75" s="216">
        <f>AE76*AE77</f>
        <v>0</v>
      </c>
      <c r="AF75" s="14"/>
      <c r="AG75" s="14"/>
      <c r="AH75" s="216">
        <f>AH76*AH77</f>
        <v>0</v>
      </c>
      <c r="AI75" s="162"/>
      <c r="AJ75" s="162"/>
      <c r="AK75" s="162"/>
      <c r="AL75" s="162"/>
      <c r="AM75" s="162"/>
      <c r="AN75" s="14"/>
      <c r="AO75" s="14"/>
      <c r="AP75" s="14"/>
      <c r="AQ75" s="14"/>
      <c r="AR75" s="14"/>
      <c r="AS75" s="216">
        <f t="shared" ref="AS75:BB75" si="24">AS76*AS77</f>
        <v>0</v>
      </c>
      <c r="AT75" s="216">
        <f t="shared" si="24"/>
        <v>0</v>
      </c>
      <c r="AU75" s="216">
        <f t="shared" si="24"/>
        <v>0</v>
      </c>
      <c r="AV75" s="216">
        <f t="shared" si="24"/>
        <v>0</v>
      </c>
      <c r="AW75" s="216">
        <f t="shared" si="24"/>
        <v>0</v>
      </c>
      <c r="AX75" s="216">
        <f t="shared" si="24"/>
        <v>0</v>
      </c>
      <c r="AY75" s="216">
        <f t="shared" si="24"/>
        <v>0</v>
      </c>
      <c r="AZ75" s="216">
        <f t="shared" si="24"/>
        <v>0</v>
      </c>
      <c r="BA75" s="216">
        <f t="shared" si="24"/>
        <v>0</v>
      </c>
      <c r="BB75" s="216">
        <f t="shared" si="24"/>
        <v>0</v>
      </c>
      <c r="BC75" s="28"/>
      <c r="BF75" s="981" t="s">
        <v>998</v>
      </c>
      <c r="BG75" s="987" t="s">
        <v>999</v>
      </c>
      <c r="BH75" s="987" cm="1">
        <f t="array" ref="BH75">AC75</f>
        <v>0</v>
      </c>
      <c r="BI75" s="988"/>
      <c r="BJ75" s="988" t="b">
        <v>1</v>
      </c>
    </row>
    <row r="76" spans="1:62" s="671" customFormat="1" ht="16.5" hidden="1" customHeight="1">
      <c r="E76" s="682">
        <v>17.100000000000001</v>
      </c>
      <c r="F76" s="779" t="str" cm="1">
        <f t="array" aca="1" ref="F76" ca="1">OFFSET(G76,-1,-1)</f>
        <v>1</v>
      </c>
      <c r="H76" s="163" cm="1">
        <f t="array" ref="H76">H75</f>
        <v>0</v>
      </c>
      <c r="S76" s="1801"/>
      <c r="T76" s="780" t="b" cm="1">
        <f t="array" aca="1" ref="T76" ca="1">T75</f>
        <v>0</v>
      </c>
      <c r="X76" s="1798"/>
      <c r="Y76" s="1798"/>
      <c r="Z76" s="1798"/>
      <c r="AA76" s="1808"/>
      <c r="AB76" s="694" t="str">
        <f>AB75&amp;".1"</f>
        <v>1.5.0.1</v>
      </c>
      <c r="AC76" s="663" t="s">
        <v>1000</v>
      </c>
      <c r="AD76" s="125" t="s">
        <v>1001</v>
      </c>
      <c r="AE76" s="1316"/>
      <c r="AF76" s="1317">
        <f>IF(AF77=0,0,AF75/AF77)</f>
        <v>0</v>
      </c>
      <c r="AG76" s="1317">
        <f>IF(AG77=0,0,AG75/AG77)</f>
        <v>0</v>
      </c>
      <c r="AH76" s="1316"/>
      <c r="AI76" s="1317">
        <f t="shared" ref="AI76:AR76" si="25">IF(AI77=0,0,AI75/AI77)</f>
        <v>0</v>
      </c>
      <c r="AJ76" s="1317">
        <f t="shared" si="25"/>
        <v>0</v>
      </c>
      <c r="AK76" s="1317">
        <f t="shared" si="25"/>
        <v>0</v>
      </c>
      <c r="AL76" s="1317">
        <f t="shared" si="25"/>
        <v>0</v>
      </c>
      <c r="AM76" s="1317">
        <f t="shared" si="25"/>
        <v>0</v>
      </c>
      <c r="AN76" s="1317">
        <f t="shared" si="25"/>
        <v>0</v>
      </c>
      <c r="AO76" s="1317">
        <f t="shared" si="25"/>
        <v>0</v>
      </c>
      <c r="AP76" s="1317">
        <f t="shared" si="25"/>
        <v>0</v>
      </c>
      <c r="AQ76" s="1317">
        <f t="shared" si="25"/>
        <v>0</v>
      </c>
      <c r="AR76" s="1317">
        <f t="shared" si="25"/>
        <v>0</v>
      </c>
      <c r="AS76" s="661"/>
      <c r="AT76" s="661"/>
      <c r="AU76" s="661"/>
      <c r="AV76" s="661"/>
      <c r="AW76" s="661"/>
      <c r="AX76" s="1316"/>
      <c r="AY76" s="1316"/>
      <c r="AZ76" s="1316"/>
      <c r="BA76" s="1316"/>
      <c r="BB76" s="1316"/>
      <c r="BC76" s="24"/>
      <c r="BF76" s="981" t="s">
        <v>1002</v>
      </c>
      <c r="BG76" s="987" t="s">
        <v>999</v>
      </c>
      <c r="BH76" s="987" cm="1">
        <f t="array" ref="BH76">BH75</f>
        <v>0</v>
      </c>
      <c r="BI76" s="988"/>
      <c r="BJ76" s="988"/>
    </row>
    <row r="77" spans="1:62" s="671" customFormat="1" ht="16.5" hidden="1" customHeight="1">
      <c r="A77" s="927" t="str">
        <f ca="1">"checkVolume_1."&amp;F77&amp;"."&amp;Y75</f>
        <v>checkVolume_1.1.0</v>
      </c>
      <c r="E77" s="682">
        <v>17.100000000000001</v>
      </c>
      <c r="F77" s="779" t="str" cm="1">
        <f t="array" aca="1" ref="F77" ca="1">OFFSET(G77,-1,-1)</f>
        <v>1</v>
      </c>
      <c r="H77" s="163" cm="1">
        <f t="array" ref="H77">H75</f>
        <v>0</v>
      </c>
      <c r="S77" s="1801"/>
      <c r="T77" s="780" t="b" cm="1">
        <f t="array" aca="1" ref="T77" ca="1">T75</f>
        <v>0</v>
      </c>
      <c r="X77" s="1798"/>
      <c r="Y77" s="1798"/>
      <c r="Z77" s="1798"/>
      <c r="AA77" s="1669"/>
      <c r="AB77" s="694" t="str">
        <f>AB75&amp;".2"</f>
        <v>1.5.0.2</v>
      </c>
      <c r="AC77" s="663" t="s">
        <v>1003</v>
      </c>
      <c r="AD77" s="125" t="s">
        <v>762</v>
      </c>
      <c r="AE77" s="1316"/>
      <c r="AF77" s="1316"/>
      <c r="AG77" s="1316"/>
      <c r="AH77" s="1316"/>
      <c r="AI77" s="661"/>
      <c r="AJ77" s="661"/>
      <c r="AK77" s="661"/>
      <c r="AL77" s="661"/>
      <c r="AM77" s="661"/>
      <c r="AN77" s="1316"/>
      <c r="AO77" s="1316"/>
      <c r="AP77" s="1316"/>
      <c r="AQ77" s="1316"/>
      <c r="AR77" s="1316"/>
      <c r="AS77" s="661"/>
      <c r="AT77" s="661"/>
      <c r="AU77" s="661"/>
      <c r="AV77" s="661"/>
      <c r="AW77" s="661"/>
      <c r="AX77" s="1316"/>
      <c r="AY77" s="1316"/>
      <c r="AZ77" s="1316"/>
      <c r="BA77" s="1316"/>
      <c r="BB77" s="1316"/>
      <c r="BC77" s="24"/>
      <c r="BF77" s="981" t="s">
        <v>1004</v>
      </c>
      <c r="BG77" s="987" t="s">
        <v>999</v>
      </c>
      <c r="BH77" s="987" cm="1">
        <f t="array" ref="BH77">BH75</f>
        <v>0</v>
      </c>
      <c r="BI77" s="988"/>
      <c r="BJ77" s="988"/>
    </row>
    <row r="78" spans="1:62" s="671" customFormat="1" ht="16.5" customHeight="1">
      <c r="A78" s="927" t="str">
        <f ca="1">"checkCosts_1."&amp;F78&amp;"."&amp;Y78</f>
        <v>checkCosts_1.1.1</v>
      </c>
      <c r="E78" s="682">
        <v>17.100000000000001</v>
      </c>
      <c r="F78" s="779" t="str" cm="1">
        <f t="array" aca="1" ref="F78" ca="1">OFFSET(G78,-1,-1)</f>
        <v>1</v>
      </c>
      <c r="H78" s="163" t="str" cm="1">
        <f t="array" ref="H78">AC78</f>
        <v>Без разбивки</v>
      </c>
      <c r="I78" s="165" t="s">
        <v>984</v>
      </c>
      <c r="S78" s="1801"/>
      <c r="T78" s="780" t="b">
        <f ca="1">AND(F78&gt;0,Y78&gt;0)</f>
        <v>1</v>
      </c>
      <c r="W78" s="122"/>
      <c r="X78" s="1798"/>
      <c r="Y78" s="1721" t="s">
        <v>341</v>
      </c>
      <c r="Z78" s="1798"/>
      <c r="AA78" s="1669" t="s">
        <v>218</v>
      </c>
      <c r="AB78" s="166" t="str">
        <f>"1.5."&amp;Y78</f>
        <v>1.5.1</v>
      </c>
      <c r="AC78" s="1318" t="s">
        <v>1046</v>
      </c>
      <c r="AD78" s="107" t="s">
        <v>839</v>
      </c>
      <c r="AE78" s="216">
        <f>AE79*AE80</f>
        <v>0</v>
      </c>
      <c r="AF78" s="1240"/>
      <c r="AG78" s="1240"/>
      <c r="AH78" s="216">
        <f>AH79*AH80</f>
        <v>45966.000247734446</v>
      </c>
      <c r="AI78" s="162"/>
      <c r="AJ78" s="162"/>
      <c r="AK78" s="162"/>
      <c r="AL78" s="162"/>
      <c r="AM78" s="162"/>
      <c r="AN78" s="1240"/>
      <c r="AO78" s="1240"/>
      <c r="AP78" s="1240"/>
      <c r="AQ78" s="1240"/>
      <c r="AR78" s="1240"/>
      <c r="AS78" s="216">
        <f t="shared" ref="AS78:BB78" si="26">AS79*AS80</f>
        <v>57922.277725183892</v>
      </c>
      <c r="AT78" s="216">
        <f t="shared" si="26"/>
        <v>0</v>
      </c>
      <c r="AU78" s="216">
        <f t="shared" si="26"/>
        <v>0</v>
      </c>
      <c r="AV78" s="216">
        <f t="shared" si="26"/>
        <v>0</v>
      </c>
      <c r="AW78" s="216">
        <f t="shared" si="26"/>
        <v>0</v>
      </c>
      <c r="AX78" s="216">
        <f t="shared" si="26"/>
        <v>0</v>
      </c>
      <c r="AY78" s="216">
        <f t="shared" si="26"/>
        <v>0</v>
      </c>
      <c r="AZ78" s="216">
        <f t="shared" si="26"/>
        <v>0</v>
      </c>
      <c r="BA78" s="216">
        <f t="shared" si="26"/>
        <v>0</v>
      </c>
      <c r="BB78" s="216">
        <f t="shared" si="26"/>
        <v>0</v>
      </c>
      <c r="BC78" s="1290"/>
      <c r="BF78" s="981" t="s">
        <v>998</v>
      </c>
      <c r="BG78" s="987" t="s">
        <v>999</v>
      </c>
      <c r="BH78" s="987" t="str" cm="1">
        <f t="array" ref="BH78">AC78</f>
        <v>Без разбивки</v>
      </c>
      <c r="BI78" s="988"/>
      <c r="BJ78" s="988" t="b">
        <v>1</v>
      </c>
    </row>
    <row r="79" spans="1:62" s="671" customFormat="1" ht="16.5" customHeight="1">
      <c r="E79" s="682">
        <v>17.100000000000001</v>
      </c>
      <c r="F79" s="779" t="str" cm="1">
        <f t="array" aca="1" ref="F79" ca="1">OFFSET(G79,-1,-1)</f>
        <v>1</v>
      </c>
      <c r="H79" s="163" t="str" cm="1">
        <f t="array" ref="H79">H78</f>
        <v>Без разбивки</v>
      </c>
      <c r="S79" s="1801"/>
      <c r="T79" s="780" t="b" cm="1">
        <f t="array" aca="1" ref="T79" ca="1">T78</f>
        <v>1</v>
      </c>
      <c r="X79" s="1798"/>
      <c r="Y79" s="1798"/>
      <c r="Z79" s="1798"/>
      <c r="AA79" s="1808"/>
      <c r="AB79" s="694" t="str">
        <f>AB78&amp;".1"</f>
        <v>1.5.1.1</v>
      </c>
      <c r="AC79" s="663" t="s">
        <v>1000</v>
      </c>
      <c r="AD79" s="125" t="s">
        <v>1001</v>
      </c>
      <c r="AE79" s="1319"/>
      <c r="AF79" s="1317">
        <f>IF(AF80=0,0,AF78/AF80)</f>
        <v>0</v>
      </c>
      <c r="AG79" s="1317">
        <f>IF(AG80=0,0,AG78/AG80)</f>
        <v>0</v>
      </c>
      <c r="AH79" s="1319">
        <v>6.2773394612345603</v>
      </c>
      <c r="AI79" s="1317">
        <f t="shared" ref="AI79:AR79" si="27">IF(AI80=0,0,AI78/AI80)</f>
        <v>0</v>
      </c>
      <c r="AJ79" s="1317">
        <f t="shared" si="27"/>
        <v>0</v>
      </c>
      <c r="AK79" s="1317">
        <f t="shared" si="27"/>
        <v>0</v>
      </c>
      <c r="AL79" s="1317">
        <f t="shared" si="27"/>
        <v>0</v>
      </c>
      <c r="AM79" s="1317">
        <f t="shared" si="27"/>
        <v>0</v>
      </c>
      <c r="AN79" s="1317">
        <f t="shared" si="27"/>
        <v>0</v>
      </c>
      <c r="AO79" s="1317">
        <f t="shared" si="27"/>
        <v>0</v>
      </c>
      <c r="AP79" s="1317">
        <f t="shared" si="27"/>
        <v>0</v>
      </c>
      <c r="AQ79" s="1317">
        <f t="shared" si="27"/>
        <v>0</v>
      </c>
      <c r="AR79" s="1317">
        <f t="shared" si="27"/>
        <v>0</v>
      </c>
      <c r="AS79" s="661">
        <v>7.8608496665084102</v>
      </c>
      <c r="AT79" s="661"/>
      <c r="AU79" s="661"/>
      <c r="AV79" s="661"/>
      <c r="AW79" s="661"/>
      <c r="AX79" s="1319"/>
      <c r="AY79" s="1319"/>
      <c r="AZ79" s="1319"/>
      <c r="BA79" s="1319"/>
      <c r="BB79" s="1319"/>
      <c r="BC79" s="1296"/>
      <c r="BF79" s="981" t="s">
        <v>1002</v>
      </c>
      <c r="BG79" s="987" t="s">
        <v>999</v>
      </c>
      <c r="BH79" s="987" t="str" cm="1">
        <f t="array" ref="BH79">BH78</f>
        <v>Без разбивки</v>
      </c>
      <c r="BI79" s="988"/>
      <c r="BJ79" s="988"/>
    </row>
    <row r="80" spans="1:62" s="671" customFormat="1" ht="16.5" customHeight="1">
      <c r="A80" s="927" t="str">
        <f ca="1">"checkVolume_1."&amp;F80&amp;"."&amp;Y78</f>
        <v>checkVolume_1.1.1</v>
      </c>
      <c r="E80" s="682">
        <v>17.100000000000001</v>
      </c>
      <c r="F80" s="779" t="str" cm="1">
        <f t="array" aca="1" ref="F80" ca="1">OFFSET(G80,-1,-1)</f>
        <v>1</v>
      </c>
      <c r="H80" s="163" t="str" cm="1">
        <f t="array" ref="H80">H78</f>
        <v>Без разбивки</v>
      </c>
      <c r="S80" s="1801"/>
      <c r="T80" s="780" t="b" cm="1">
        <f t="array" aca="1" ref="T80" ca="1">T78</f>
        <v>1</v>
      </c>
      <c r="X80" s="1798"/>
      <c r="Y80" s="1798"/>
      <c r="Z80" s="1798"/>
      <c r="AA80" s="1669"/>
      <c r="AB80" s="694" t="str">
        <f>AB78&amp;".2"</f>
        <v>1.5.1.2</v>
      </c>
      <c r="AC80" s="663" t="s">
        <v>1003</v>
      </c>
      <c r="AD80" s="125" t="s">
        <v>762</v>
      </c>
      <c r="AE80" s="1319"/>
      <c r="AF80" s="1319"/>
      <c r="AG80" s="1319"/>
      <c r="AH80" s="1319">
        <v>7322.5290000000005</v>
      </c>
      <c r="AI80" s="661"/>
      <c r="AJ80" s="661"/>
      <c r="AK80" s="661"/>
      <c r="AL80" s="661"/>
      <c r="AM80" s="661"/>
      <c r="AN80" s="1319"/>
      <c r="AO80" s="1319"/>
      <c r="AP80" s="1319"/>
      <c r="AQ80" s="1319"/>
      <c r="AR80" s="1319"/>
      <c r="AS80" s="661">
        <v>7368.45</v>
      </c>
      <c r="AT80" s="661"/>
      <c r="AU80" s="661"/>
      <c r="AV80" s="661"/>
      <c r="AW80" s="661"/>
      <c r="AX80" s="1319"/>
      <c r="AY80" s="1319"/>
      <c r="AZ80" s="1319"/>
      <c r="BA80" s="1319"/>
      <c r="BB80" s="1319"/>
      <c r="BC80" s="1296"/>
      <c r="BF80" s="981" t="s">
        <v>1004</v>
      </c>
      <c r="BG80" s="987" t="s">
        <v>999</v>
      </c>
      <c r="BH80" s="987" t="str" cm="1">
        <f t="array" ref="BH80">BH78</f>
        <v>Без разбивки</v>
      </c>
      <c r="BI80" s="988"/>
      <c r="BJ80" s="988"/>
    </row>
    <row r="81" spans="1:62" s="814" customFormat="1" ht="16.5" customHeight="1">
      <c r="E81" s="676">
        <v>17.100000000000001</v>
      </c>
      <c r="F81" s="779" t="str" cm="1">
        <f t="array" aca="1" ref="F81" ca="1">OFFSET(G81,-1,-1)</f>
        <v>1</v>
      </c>
      <c r="T81" s="780" t="b">
        <f ca="1">F81&gt;0</f>
        <v>1</v>
      </c>
      <c r="W81" s="318" t="s">
        <v>1005</v>
      </c>
      <c r="X81" s="1799"/>
      <c r="Z81" s="1799"/>
      <c r="AB81" s="695"/>
      <c r="AC81" s="662" t="s">
        <v>238</v>
      </c>
      <c r="AD81" s="662"/>
      <c r="AE81" s="662"/>
      <c r="AF81" s="662"/>
      <c r="AG81" s="662"/>
      <c r="AH81" s="662"/>
      <c r="AI81" s="662"/>
      <c r="AJ81" s="662"/>
      <c r="AK81" s="662"/>
      <c r="AL81" s="662"/>
      <c r="AM81" s="662"/>
      <c r="AN81" s="662"/>
      <c r="AO81" s="662"/>
      <c r="AP81" s="662"/>
      <c r="AQ81" s="662"/>
      <c r="AR81" s="662"/>
      <c r="AS81" s="662"/>
      <c r="AT81" s="662"/>
      <c r="AU81" s="662"/>
      <c r="AV81" s="662"/>
      <c r="AW81" s="662"/>
      <c r="AX81" s="662"/>
      <c r="AY81" s="662"/>
      <c r="AZ81" s="662"/>
      <c r="BA81" s="662"/>
      <c r="BB81" s="662"/>
      <c r="BC81" s="906"/>
      <c r="BF81" s="970"/>
      <c r="BG81" s="970"/>
      <c r="BH81" s="970"/>
      <c r="BI81" s="986" t="s">
        <v>999</v>
      </c>
      <c r="BJ81" s="986"/>
    </row>
    <row r="82" spans="1:62" s="671" customFormat="1" ht="16.5" customHeight="1">
      <c r="A82" s="1154"/>
      <c r="B82" s="1154"/>
      <c r="C82" s="1154"/>
      <c r="D82" s="1154"/>
      <c r="E82" s="682">
        <v>17.100000000000001</v>
      </c>
      <c r="F82" s="779" t="str" cm="1">
        <f t="array" aca="1" ref="F82" ca="1">OFFSET(G82,-1,-1)</f>
        <v>1</v>
      </c>
      <c r="G82" s="1154"/>
      <c r="H82" s="1154"/>
      <c r="I82" s="1154"/>
      <c r="J82" s="1154"/>
      <c r="K82" s="1154"/>
      <c r="L82" s="1154"/>
      <c r="M82" s="1154"/>
      <c r="N82" s="1154"/>
      <c r="O82" s="1154"/>
      <c r="P82" s="1154"/>
      <c r="Q82" s="1154"/>
      <c r="R82" s="1154"/>
      <c r="S82" s="109"/>
      <c r="T82" s="780" t="b">
        <f ca="1">F82&gt;0</f>
        <v>1</v>
      </c>
      <c r="U82" s="1154"/>
      <c r="V82" s="1154"/>
      <c r="W82" s="1154"/>
      <c r="X82" s="1721"/>
      <c r="Y82" s="1154"/>
      <c r="Z82" s="1721"/>
      <c r="AA82" s="1154"/>
      <c r="AB82" s="664"/>
      <c r="AC82" s="287" t="s">
        <v>1006</v>
      </c>
      <c r="AD82" s="288"/>
      <c r="AE82" s="289"/>
      <c r="AF82" s="289"/>
      <c r="AG82" s="289"/>
      <c r="AH82" s="289"/>
      <c r="AI82" s="289"/>
      <c r="AJ82" s="289"/>
      <c r="AK82" s="289"/>
      <c r="AL82" s="289"/>
      <c r="AM82" s="289"/>
      <c r="AN82" s="289"/>
      <c r="AO82" s="289"/>
      <c r="AP82" s="289"/>
      <c r="AQ82" s="289"/>
      <c r="AR82" s="289"/>
      <c r="AS82" s="289"/>
      <c r="AT82" s="289"/>
      <c r="AU82" s="289"/>
      <c r="AV82" s="289"/>
      <c r="AW82" s="289"/>
      <c r="AX82" s="289"/>
      <c r="AY82" s="289"/>
      <c r="AZ82" s="289"/>
      <c r="BA82" s="289"/>
      <c r="BB82" s="289"/>
      <c r="BC82" s="907"/>
      <c r="BD82" s="1154"/>
      <c r="BE82" s="1154"/>
      <c r="BF82" s="981"/>
      <c r="BG82" s="987"/>
      <c r="BH82" s="987"/>
      <c r="BI82" s="988"/>
      <c r="BJ82" s="988"/>
    </row>
    <row r="83" spans="1:62" s="671" customFormat="1" ht="16.5" hidden="1" customHeight="1">
      <c r="A83" s="1154"/>
      <c r="B83" s="1154"/>
      <c r="C83" s="1154"/>
      <c r="D83" s="1154"/>
      <c r="E83" s="682">
        <v>17.100000000000001</v>
      </c>
      <c r="F83" s="779" t="str" cm="1">
        <f t="array" aca="1" ref="F83" ca="1">OFFSET(G83,-1,-1)</f>
        <v>1</v>
      </c>
      <c r="G83" s="1154"/>
      <c r="H83" s="163" cm="1">
        <f t="array" ref="H83">AC83</f>
        <v>0</v>
      </c>
      <c r="I83" s="165" t="s">
        <v>984</v>
      </c>
      <c r="J83" s="1154"/>
      <c r="K83" s="1154"/>
      <c r="L83" s="1154"/>
      <c r="M83" s="1154"/>
      <c r="N83" s="1154"/>
      <c r="O83" s="1154"/>
      <c r="P83" s="1154"/>
      <c r="Q83" s="1154"/>
      <c r="R83" s="1154"/>
      <c r="S83" s="1801"/>
      <c r="T83" s="780" t="b">
        <f ca="1">AND(F83&gt;0,Y83&gt;0)</f>
        <v>0</v>
      </c>
      <c r="U83" s="1154"/>
      <c r="V83" s="1154"/>
      <c r="W83" s="122" t="s">
        <v>236</v>
      </c>
      <c r="X83" s="1721"/>
      <c r="Y83" s="1721">
        <v>0</v>
      </c>
      <c r="Z83" s="1721"/>
      <c r="AA83" s="1669" t="s">
        <v>218</v>
      </c>
      <c r="AB83" s="166" t="str">
        <f>"1.6."&amp;Y83</f>
        <v>1.6.0</v>
      </c>
      <c r="AC83" s="55"/>
      <c r="AD83" s="107" t="s">
        <v>839</v>
      </c>
      <c r="AE83" s="216">
        <f t="shared" ref="AE83:BB83" si="28">AE85+AE87</f>
        <v>0</v>
      </c>
      <c r="AF83" s="216">
        <f t="shared" si="28"/>
        <v>0</v>
      </c>
      <c r="AG83" s="216">
        <f t="shared" si="28"/>
        <v>0</v>
      </c>
      <c r="AH83" s="216">
        <f t="shared" si="28"/>
        <v>0</v>
      </c>
      <c r="AI83" s="216">
        <f t="shared" si="28"/>
        <v>0</v>
      </c>
      <c r="AJ83" s="162">
        <f t="shared" si="28"/>
        <v>0</v>
      </c>
      <c r="AK83" s="162">
        <f t="shared" si="28"/>
        <v>0</v>
      </c>
      <c r="AL83" s="162">
        <f t="shared" si="28"/>
        <v>0</v>
      </c>
      <c r="AM83" s="162">
        <f t="shared" si="28"/>
        <v>0</v>
      </c>
      <c r="AN83" s="14">
        <f t="shared" si="28"/>
        <v>0</v>
      </c>
      <c r="AO83" s="14">
        <f t="shared" si="28"/>
        <v>0</v>
      </c>
      <c r="AP83" s="14">
        <f t="shared" si="28"/>
        <v>0</v>
      </c>
      <c r="AQ83" s="14">
        <f t="shared" si="28"/>
        <v>0</v>
      </c>
      <c r="AR83" s="14">
        <f t="shared" si="28"/>
        <v>0</v>
      </c>
      <c r="AS83" s="216">
        <f t="shared" si="28"/>
        <v>0</v>
      </c>
      <c r="AT83" s="162">
        <f t="shared" si="28"/>
        <v>0</v>
      </c>
      <c r="AU83" s="162">
        <f t="shared" si="28"/>
        <v>0</v>
      </c>
      <c r="AV83" s="162">
        <f t="shared" si="28"/>
        <v>0</v>
      </c>
      <c r="AW83" s="162">
        <f t="shared" si="28"/>
        <v>0</v>
      </c>
      <c r="AX83" s="14">
        <f t="shared" si="28"/>
        <v>0</v>
      </c>
      <c r="AY83" s="14">
        <f t="shared" si="28"/>
        <v>0</v>
      </c>
      <c r="AZ83" s="14">
        <f t="shared" si="28"/>
        <v>0</v>
      </c>
      <c r="BA83" s="14">
        <f t="shared" si="28"/>
        <v>0</v>
      </c>
      <c r="BB83" s="14">
        <f t="shared" si="28"/>
        <v>0</v>
      </c>
      <c r="BC83" s="28"/>
      <c r="BD83" s="1154"/>
      <c r="BE83" s="1154"/>
      <c r="BF83" s="981" t="s">
        <v>1007</v>
      </c>
      <c r="BG83" s="987" t="s">
        <v>1008</v>
      </c>
      <c r="BH83" s="987" cm="1">
        <f t="array" ref="BH83">AC83</f>
        <v>0</v>
      </c>
      <c r="BI83" s="988"/>
      <c r="BJ83" s="988" t="b">
        <v>1</v>
      </c>
    </row>
    <row r="84" spans="1:62" s="671" customFormat="1" ht="16.5" hidden="1" customHeight="1">
      <c r="E84" s="682">
        <v>17.100000000000001</v>
      </c>
      <c r="F84" s="779" t="str" cm="1">
        <f t="array" aca="1" ref="F84" ca="1">OFFSET(G84,-1,-1)</f>
        <v>1</v>
      </c>
      <c r="H84" s="163" cm="1">
        <f t="array" ref="H84">H83</f>
        <v>0</v>
      </c>
      <c r="S84" s="1801"/>
      <c r="T84" s="780" t="b" cm="1">
        <f t="array" aca="1" ref="T84" ca="1">T83</f>
        <v>0</v>
      </c>
      <c r="X84" s="1798"/>
      <c r="Y84" s="1798"/>
      <c r="Z84" s="1798"/>
      <c r="AA84" s="1808"/>
      <c r="AB84" s="166" t="str">
        <f>AB83&amp;".1"</f>
        <v>1.6.0.1</v>
      </c>
      <c r="AC84" s="223" t="s">
        <v>1000</v>
      </c>
      <c r="AD84" s="107" t="s">
        <v>1001</v>
      </c>
      <c r="AE84" s="14"/>
      <c r="AF84" s="216">
        <f>IF(AF86=0,0,AF85/AF86)</f>
        <v>0</v>
      </c>
      <c r="AG84" s="216">
        <f>IF(AG86=0,0,AG85/AG86)</f>
        <v>0</v>
      </c>
      <c r="AH84" s="14"/>
      <c r="AI84" s="216">
        <f t="shared" ref="AI84:AR84" si="29">IF(AI86=0,0,AI85/AI86)</f>
        <v>0</v>
      </c>
      <c r="AJ84" s="216">
        <f t="shared" si="29"/>
        <v>0</v>
      </c>
      <c r="AK84" s="216">
        <f t="shared" si="29"/>
        <v>0</v>
      </c>
      <c r="AL84" s="216">
        <f t="shared" si="29"/>
        <v>0</v>
      </c>
      <c r="AM84" s="216">
        <f t="shared" si="29"/>
        <v>0</v>
      </c>
      <c r="AN84" s="216">
        <f t="shared" si="29"/>
        <v>0</v>
      </c>
      <c r="AO84" s="216">
        <f t="shared" si="29"/>
        <v>0</v>
      </c>
      <c r="AP84" s="216">
        <f t="shared" si="29"/>
        <v>0</v>
      </c>
      <c r="AQ84" s="216">
        <f t="shared" si="29"/>
        <v>0</v>
      </c>
      <c r="AR84" s="216">
        <f t="shared" si="29"/>
        <v>0</v>
      </c>
      <c r="AS84" s="162"/>
      <c r="AT84" s="162"/>
      <c r="AU84" s="162"/>
      <c r="AV84" s="162"/>
      <c r="AW84" s="162"/>
      <c r="AX84" s="14"/>
      <c r="AY84" s="14"/>
      <c r="AZ84" s="14"/>
      <c r="BA84" s="14"/>
      <c r="BB84" s="14"/>
      <c r="BC84" s="28"/>
      <c r="BF84" s="981" t="s">
        <v>1002</v>
      </c>
      <c r="BG84" s="987" t="s">
        <v>1008</v>
      </c>
      <c r="BH84" s="987" cm="1">
        <f t="array" ref="BH84">BH83</f>
        <v>0</v>
      </c>
      <c r="BI84" s="988"/>
      <c r="BJ84" s="988"/>
    </row>
    <row r="85" spans="1:62" s="671" customFormat="1" ht="16.5" hidden="1" customHeight="1">
      <c r="A85" s="927" t="str">
        <f ca="1">"checkCosts_2."&amp;F85&amp;"."&amp;Y83</f>
        <v>checkCosts_2.1.0</v>
      </c>
      <c r="B85" s="1154"/>
      <c r="C85" s="1154"/>
      <c r="D85" s="1154"/>
      <c r="E85" s="682">
        <v>17.100000000000001</v>
      </c>
      <c r="F85" s="779" t="str" cm="1">
        <f t="array" aca="1" ref="F85" ca="1">OFFSET(G85,-1,-1)</f>
        <v>1</v>
      </c>
      <c r="G85" s="1154"/>
      <c r="H85" s="163" cm="1">
        <f t="array" ref="H85">H83</f>
        <v>0</v>
      </c>
      <c r="I85" s="1154"/>
      <c r="J85" s="1154"/>
      <c r="K85" s="1154"/>
      <c r="L85" s="1154"/>
      <c r="M85" s="1154"/>
      <c r="N85" s="1154"/>
      <c r="O85" s="1154"/>
      <c r="P85" s="1154"/>
      <c r="Q85" s="1154"/>
      <c r="R85" s="1154"/>
      <c r="S85" s="1801"/>
      <c r="T85" s="780" t="b" cm="1">
        <f t="array" aca="1" ref="T85" ca="1">T83</f>
        <v>0</v>
      </c>
      <c r="U85" s="1154"/>
      <c r="V85" s="1154"/>
      <c r="W85" s="1154"/>
      <c r="X85" s="1721"/>
      <c r="Y85" s="1721"/>
      <c r="Z85" s="1721"/>
      <c r="AA85" s="1669"/>
      <c r="AB85" s="166" t="str">
        <f>AB83&amp;".2"</f>
        <v>1.6.0.2</v>
      </c>
      <c r="AC85" s="223" t="s">
        <v>1009</v>
      </c>
      <c r="AD85" s="107" t="s">
        <v>839</v>
      </c>
      <c r="AE85" s="14"/>
      <c r="AF85" s="14"/>
      <c r="AG85" s="14"/>
      <c r="AH85" s="14"/>
      <c r="AI85" s="162"/>
      <c r="AJ85" s="162"/>
      <c r="AK85" s="162"/>
      <c r="AL85" s="162"/>
      <c r="AM85" s="162"/>
      <c r="AN85" s="14"/>
      <c r="AO85" s="14"/>
      <c r="AP85" s="14"/>
      <c r="AQ85" s="14"/>
      <c r="AR85" s="14"/>
      <c r="AS85" s="162"/>
      <c r="AT85" s="162"/>
      <c r="AU85" s="162"/>
      <c r="AV85" s="162"/>
      <c r="AW85" s="162"/>
      <c r="AX85" s="14"/>
      <c r="AY85" s="14"/>
      <c r="AZ85" s="14"/>
      <c r="BA85" s="14"/>
      <c r="BB85" s="14"/>
      <c r="BC85" s="28"/>
      <c r="BD85" s="1154"/>
      <c r="BE85" s="1154"/>
      <c r="BF85" s="981" t="s">
        <v>998</v>
      </c>
      <c r="BG85" s="987" t="s">
        <v>1008</v>
      </c>
      <c r="BH85" s="987" cm="1">
        <f t="array" ref="BH85">BH83</f>
        <v>0</v>
      </c>
      <c r="BI85" s="988"/>
      <c r="BJ85" s="988"/>
    </row>
    <row r="86" spans="1:62" s="671" customFormat="1" ht="16.5" hidden="1" customHeight="1">
      <c r="A86" s="927" t="str">
        <f ca="1">"checkVolume_2."&amp;F86&amp;"."&amp;Y83</f>
        <v>checkVolume_2.1.0</v>
      </c>
      <c r="B86" s="1154"/>
      <c r="C86" s="1154"/>
      <c r="D86" s="1154"/>
      <c r="E86" s="682">
        <v>17.100000000000001</v>
      </c>
      <c r="F86" s="779" t="str" cm="1">
        <f t="array" aca="1" ref="F86" ca="1">OFFSET(G86,-1,-1)</f>
        <v>1</v>
      </c>
      <c r="G86" s="1154"/>
      <c r="H86" s="163" cm="1">
        <f t="array" ref="H86">H85</f>
        <v>0</v>
      </c>
      <c r="I86" s="1154"/>
      <c r="J86" s="1154"/>
      <c r="K86" s="1154"/>
      <c r="L86" s="1154"/>
      <c r="M86" s="1154"/>
      <c r="N86" s="1154"/>
      <c r="O86" s="1154"/>
      <c r="P86" s="1154"/>
      <c r="Q86" s="1154"/>
      <c r="R86" s="1154"/>
      <c r="S86" s="1801"/>
      <c r="T86" s="780" t="b" cm="1">
        <f t="array" aca="1" ref="T86" ca="1">T85</f>
        <v>0</v>
      </c>
      <c r="U86" s="1154"/>
      <c r="V86" s="1154"/>
      <c r="W86" s="1154"/>
      <c r="X86" s="1721"/>
      <c r="Y86" s="1721"/>
      <c r="Z86" s="1721"/>
      <c r="AA86" s="1669"/>
      <c r="AB86" s="166" t="str">
        <f>AB83&amp;".2.1"</f>
        <v>1.6.0.2.1</v>
      </c>
      <c r="AC86" s="356" t="s">
        <v>1003</v>
      </c>
      <c r="AD86" s="121" t="s">
        <v>762</v>
      </c>
      <c r="AE86" s="14"/>
      <c r="AF86" s="14"/>
      <c r="AG86" s="14"/>
      <c r="AH86" s="14"/>
      <c r="AI86" s="162"/>
      <c r="AJ86" s="162"/>
      <c r="AK86" s="162"/>
      <c r="AL86" s="162"/>
      <c r="AM86" s="162"/>
      <c r="AN86" s="14"/>
      <c r="AO86" s="14"/>
      <c r="AP86" s="14"/>
      <c r="AQ86" s="14"/>
      <c r="AR86" s="14"/>
      <c r="AS86" s="162"/>
      <c r="AT86" s="162"/>
      <c r="AU86" s="162"/>
      <c r="AV86" s="162"/>
      <c r="AW86" s="162"/>
      <c r="AX86" s="14"/>
      <c r="AY86" s="14"/>
      <c r="AZ86" s="14"/>
      <c r="BA86" s="14"/>
      <c r="BB86" s="14"/>
      <c r="BC86" s="28"/>
      <c r="BD86" s="1154"/>
      <c r="BE86" s="1154"/>
      <c r="BF86" s="981" t="s">
        <v>1004</v>
      </c>
      <c r="BG86" s="987" t="s">
        <v>1008</v>
      </c>
      <c r="BH86" s="987" cm="1">
        <f t="array" ref="BH86">BH85</f>
        <v>0</v>
      </c>
      <c r="BI86" s="988"/>
      <c r="BJ86" s="988"/>
    </row>
    <row r="87" spans="1:62" s="671" customFormat="1" ht="16.5" hidden="1" customHeight="1">
      <c r="A87" s="927" t="str">
        <f ca="1">"checkCosts_3."&amp;F87&amp;"."&amp;Y83</f>
        <v>checkCosts_3.1.0</v>
      </c>
      <c r="B87" s="1154"/>
      <c r="C87" s="1154"/>
      <c r="D87" s="1154"/>
      <c r="E87" s="682">
        <v>17.100000000000001</v>
      </c>
      <c r="F87" s="779" t="str" cm="1">
        <f t="array" aca="1" ref="F87" ca="1">OFFSET(G87,-1,-1)</f>
        <v>1</v>
      </c>
      <c r="G87" s="1154"/>
      <c r="H87" s="163" cm="1">
        <f t="array" ref="H87">H86</f>
        <v>0</v>
      </c>
      <c r="I87" s="1154"/>
      <c r="J87" s="1154"/>
      <c r="K87" s="1154"/>
      <c r="L87" s="1154"/>
      <c r="M87" s="1154"/>
      <c r="N87" s="1154"/>
      <c r="O87" s="1154"/>
      <c r="P87" s="1154"/>
      <c r="Q87" s="1154"/>
      <c r="R87" s="1154"/>
      <c r="S87" s="1801"/>
      <c r="T87" s="780" t="b" cm="1">
        <f t="array" aca="1" ref="T87" ca="1">T86</f>
        <v>0</v>
      </c>
      <c r="U87" s="1154"/>
      <c r="V87" s="1154"/>
      <c r="W87" s="1154"/>
      <c r="X87" s="1721"/>
      <c r="Y87" s="1721"/>
      <c r="Z87" s="1721"/>
      <c r="AA87" s="1669"/>
      <c r="AB87" s="166" t="str">
        <f>AB83&amp;".3"</f>
        <v>1.6.0.3</v>
      </c>
      <c r="AC87" s="223" t="s">
        <v>1010</v>
      </c>
      <c r="AD87" s="107" t="s">
        <v>1011</v>
      </c>
      <c r="AE87" s="14"/>
      <c r="AF87" s="14"/>
      <c r="AG87" s="14"/>
      <c r="AH87" s="14"/>
      <c r="AI87" s="162"/>
      <c r="AJ87" s="162"/>
      <c r="AK87" s="162"/>
      <c r="AL87" s="162"/>
      <c r="AM87" s="162"/>
      <c r="AN87" s="14"/>
      <c r="AO87" s="14"/>
      <c r="AP87" s="14"/>
      <c r="AQ87" s="14"/>
      <c r="AR87" s="14"/>
      <c r="AS87" s="162"/>
      <c r="AT87" s="162"/>
      <c r="AU87" s="162"/>
      <c r="AV87" s="162"/>
      <c r="AW87" s="162"/>
      <c r="AX87" s="14"/>
      <c r="AY87" s="14"/>
      <c r="AZ87" s="14"/>
      <c r="BA87" s="14"/>
      <c r="BB87" s="14"/>
      <c r="BC87" s="28"/>
      <c r="BD87" s="1154"/>
      <c r="BE87" s="1154"/>
      <c r="BF87" s="981" t="s">
        <v>1012</v>
      </c>
      <c r="BG87" s="987" t="s">
        <v>1008</v>
      </c>
      <c r="BH87" s="987" cm="1">
        <f t="array" ref="BH87">BH86</f>
        <v>0</v>
      </c>
      <c r="BI87" s="988"/>
      <c r="BJ87" s="988"/>
    </row>
    <row r="88" spans="1:62" s="671" customFormat="1" ht="16.5" hidden="1" customHeight="1">
      <c r="A88" s="927" t="str">
        <f ca="1">"checkVolume_3."&amp;F88&amp;"."&amp;Y83</f>
        <v>checkVolume_3.1.0</v>
      </c>
      <c r="B88" s="1154"/>
      <c r="C88" s="1154"/>
      <c r="D88" s="1154"/>
      <c r="E88" s="682">
        <v>17.100000000000001</v>
      </c>
      <c r="F88" s="779" t="str" cm="1">
        <f t="array" aca="1" ref="F88" ca="1">OFFSET(G88,-1,-1)</f>
        <v>1</v>
      </c>
      <c r="G88" s="1154"/>
      <c r="H88" s="163" cm="1">
        <f t="array" ref="H88">H87</f>
        <v>0</v>
      </c>
      <c r="I88" s="1154"/>
      <c r="J88" s="1154"/>
      <c r="K88" s="1154"/>
      <c r="L88" s="1154"/>
      <c r="M88" s="1154"/>
      <c r="N88" s="1154"/>
      <c r="O88" s="1154"/>
      <c r="P88" s="1154"/>
      <c r="Q88" s="1154"/>
      <c r="R88" s="1154"/>
      <c r="S88" s="1801"/>
      <c r="T88" s="780" t="b" cm="1">
        <f t="array" aca="1" ref="T88" ca="1">T87</f>
        <v>0</v>
      </c>
      <c r="U88" s="1154"/>
      <c r="V88" s="1154"/>
      <c r="W88" s="1154"/>
      <c r="X88" s="1721"/>
      <c r="Y88" s="1721"/>
      <c r="Z88" s="1721"/>
      <c r="AA88" s="1669"/>
      <c r="AB88" s="694" t="str">
        <f>AB83&amp;".3.1"</f>
        <v>1.6.0.3.1</v>
      </c>
      <c r="AC88" s="660" t="s">
        <v>1013</v>
      </c>
      <c r="AD88" s="125" t="s">
        <v>1014</v>
      </c>
      <c r="AE88" s="56"/>
      <c r="AF88" s="56"/>
      <c r="AG88" s="56"/>
      <c r="AH88" s="56"/>
      <c r="AI88" s="661"/>
      <c r="AJ88" s="661"/>
      <c r="AK88" s="661"/>
      <c r="AL88" s="661"/>
      <c r="AM88" s="661"/>
      <c r="AN88" s="56"/>
      <c r="AO88" s="56"/>
      <c r="AP88" s="56"/>
      <c r="AQ88" s="56"/>
      <c r="AR88" s="56"/>
      <c r="AS88" s="661"/>
      <c r="AT88" s="661"/>
      <c r="AU88" s="661"/>
      <c r="AV88" s="661"/>
      <c r="AW88" s="661"/>
      <c r="AX88" s="56"/>
      <c r="AY88" s="56"/>
      <c r="AZ88" s="56"/>
      <c r="BA88" s="56"/>
      <c r="BB88" s="56"/>
      <c r="BC88" s="24"/>
      <c r="BD88" s="1154"/>
      <c r="BE88" s="1154"/>
      <c r="BF88" s="981" t="s">
        <v>1015</v>
      </c>
      <c r="BG88" s="987" t="s">
        <v>1008</v>
      </c>
      <c r="BH88" s="987" cm="1">
        <f t="array" ref="BH88">BH87</f>
        <v>0</v>
      </c>
      <c r="BI88" s="988"/>
      <c r="BJ88" s="988"/>
    </row>
    <row r="89" spans="1:62" s="814" customFormat="1" ht="16.5" customHeight="1">
      <c r="E89" s="676">
        <v>17.100000000000001</v>
      </c>
      <c r="F89" s="779" t="str" cm="1">
        <f t="array" aca="1" ref="F89" ca="1">OFFSET(G89,-1,-1)</f>
        <v>1</v>
      </c>
      <c r="T89" s="780" t="b">
        <f ca="1">F89&gt;0</f>
        <v>1</v>
      </c>
      <c r="W89" s="318" t="s">
        <v>1016</v>
      </c>
      <c r="X89" s="1799"/>
      <c r="Z89" s="1799"/>
      <c r="AB89" s="695"/>
      <c r="AC89" s="662" t="s">
        <v>1017</v>
      </c>
      <c r="AD89" s="662"/>
      <c r="AE89" s="662"/>
      <c r="AF89" s="662"/>
      <c r="AG89" s="662"/>
      <c r="AH89" s="662"/>
      <c r="AI89" s="662"/>
      <c r="AJ89" s="662"/>
      <c r="AK89" s="662"/>
      <c r="AL89" s="662"/>
      <c r="AM89" s="662"/>
      <c r="AN89" s="662"/>
      <c r="AO89" s="662"/>
      <c r="AP89" s="662"/>
      <c r="AQ89" s="662"/>
      <c r="AR89" s="662"/>
      <c r="AS89" s="662"/>
      <c r="AT89" s="662"/>
      <c r="AU89" s="662"/>
      <c r="AV89" s="662"/>
      <c r="AW89" s="662"/>
      <c r="AX89" s="662"/>
      <c r="AY89" s="662"/>
      <c r="AZ89" s="662"/>
      <c r="BA89" s="662"/>
      <c r="BB89" s="662"/>
      <c r="BC89" s="906"/>
      <c r="BF89" s="970"/>
      <c r="BG89" s="970"/>
      <c r="BH89" s="970"/>
      <c r="BI89" s="986" t="s">
        <v>1008</v>
      </c>
      <c r="BJ89" s="986"/>
    </row>
    <row r="90" spans="1:62" s="814" customFormat="1" ht="12" hidden="1" customHeight="1">
      <c r="E90" s="676">
        <v>0</v>
      </c>
      <c r="F90" s="779" t="str" cm="1">
        <f t="array" aca="1" ref="F90" ca="1">OFFSET(G90,-1,-1)</f>
        <v>1</v>
      </c>
      <c r="T90" s="780" t="b">
        <f ca="1">F90&gt;0</f>
        <v>1</v>
      </c>
      <c r="X90" s="1799"/>
      <c r="Z90" s="1799"/>
      <c r="BF90" s="970"/>
      <c r="BG90" s="970"/>
      <c r="BH90" s="970"/>
      <c r="BI90" s="986"/>
      <c r="BJ90" s="986"/>
    </row>
    <row r="91" spans="1:62" s="173" customFormat="1" ht="14.25" customHeight="1">
      <c r="E91" s="781">
        <v>15</v>
      </c>
      <c r="F91" s="779" t="str" cm="1">
        <f t="array" aca="1" ref="F91" ca="1">OFFSET(G91,-1,-1)</f>
        <v>1</v>
      </c>
      <c r="G91" s="143" t="s">
        <v>1018</v>
      </c>
      <c r="I91" s="165" t="s">
        <v>984</v>
      </c>
      <c r="T91" s="780" t="b">
        <f ca="1">F91&gt;0</f>
        <v>1</v>
      </c>
      <c r="X91" s="1800"/>
      <c r="Z91" s="1800"/>
      <c r="AB91" s="696">
        <v>2</v>
      </c>
      <c r="AC91" s="665" t="s">
        <v>1019</v>
      </c>
      <c r="AD91" s="666" t="s">
        <v>839</v>
      </c>
      <c r="AE91" s="229">
        <f t="shared" ref="AE91:BB91" si="30">SUMIF($I95:$I111,$I91,AE95:AE111)</f>
        <v>0</v>
      </c>
      <c r="AF91" s="229">
        <f t="shared" si="30"/>
        <v>0</v>
      </c>
      <c r="AG91" s="229">
        <f t="shared" si="30"/>
        <v>0</v>
      </c>
      <c r="AH91" s="229">
        <f t="shared" si="30"/>
        <v>0</v>
      </c>
      <c r="AI91" s="229">
        <f t="shared" si="30"/>
        <v>0</v>
      </c>
      <c r="AJ91" s="242">
        <f t="shared" si="30"/>
        <v>0</v>
      </c>
      <c r="AK91" s="242">
        <f t="shared" si="30"/>
        <v>0</v>
      </c>
      <c r="AL91" s="242">
        <f t="shared" si="30"/>
        <v>0</v>
      </c>
      <c r="AM91" s="242">
        <f t="shared" si="30"/>
        <v>0</v>
      </c>
      <c r="AN91" s="1320">
        <f t="shared" si="30"/>
        <v>0</v>
      </c>
      <c r="AO91" s="1320">
        <f t="shared" si="30"/>
        <v>0</v>
      </c>
      <c r="AP91" s="1320">
        <f t="shared" si="30"/>
        <v>0</v>
      </c>
      <c r="AQ91" s="1320">
        <f t="shared" si="30"/>
        <v>0</v>
      </c>
      <c r="AR91" s="1320">
        <f t="shared" si="30"/>
        <v>0</v>
      </c>
      <c r="AS91" s="229">
        <f t="shared" si="30"/>
        <v>0</v>
      </c>
      <c r="AT91" s="242">
        <f t="shared" si="30"/>
        <v>0</v>
      </c>
      <c r="AU91" s="242">
        <f t="shared" si="30"/>
        <v>0</v>
      </c>
      <c r="AV91" s="242">
        <f t="shared" si="30"/>
        <v>0</v>
      </c>
      <c r="AW91" s="242">
        <f t="shared" si="30"/>
        <v>0</v>
      </c>
      <c r="AX91" s="1320">
        <f t="shared" si="30"/>
        <v>0</v>
      </c>
      <c r="AY91" s="1320">
        <f t="shared" si="30"/>
        <v>0</v>
      </c>
      <c r="AZ91" s="1320">
        <f t="shared" si="30"/>
        <v>0</v>
      </c>
      <c r="BA91" s="1320">
        <f t="shared" si="30"/>
        <v>0</v>
      </c>
      <c r="BB91" s="1320">
        <f t="shared" si="30"/>
        <v>0</v>
      </c>
      <c r="BC91" s="1297"/>
      <c r="BF91" s="989" t="s">
        <v>702</v>
      </c>
      <c r="BG91" s="989"/>
      <c r="BH91" s="989"/>
      <c r="BI91" s="990"/>
      <c r="BJ91" s="990"/>
    </row>
    <row r="92" spans="1:62" s="173" customFormat="1" ht="14.25" hidden="1" customHeight="1">
      <c r="E92" s="781">
        <v>15</v>
      </c>
      <c r="F92" s="779" t="str" cm="1">
        <f t="array" aca="1" ref="F92" ca="1">OFFSET(G92,-1,-1)</f>
        <v>1</v>
      </c>
      <c r="G92" s="143" t="s">
        <v>1020</v>
      </c>
      <c r="L92" s="163" t="str" cm="1">
        <f t="array" aca="1" ref="L92" ca="1">INDEX('Общие сведения'!$AK$187:$AK$236,MATCH($F92,'Общие сведения'!$Z$187:$Z$236,0))</f>
        <v>одноставочный</v>
      </c>
      <c r="R92" s="143" t="s">
        <v>1021</v>
      </c>
      <c r="T92" s="780" t="b">
        <f ca="1">AND(F92&gt;0,L92="двухставочный")</f>
        <v>0</v>
      </c>
      <c r="X92" s="1800"/>
      <c r="Z92" s="1800"/>
      <c r="AA92" s="778" t="s">
        <v>1022</v>
      </c>
      <c r="AB92" s="235" t="s">
        <v>1022</v>
      </c>
      <c r="AC92" s="496" t="s">
        <v>1023</v>
      </c>
      <c r="AD92" s="510" t="s">
        <v>839</v>
      </c>
      <c r="AE92" s="559">
        <f t="shared" ref="AE92:BB92" si="31">SUMIFS(AE95:AE111,$AC95:$AC111,$AC92)</f>
        <v>0</v>
      </c>
      <c r="AF92" s="559">
        <f t="shared" si="31"/>
        <v>0</v>
      </c>
      <c r="AG92" s="559">
        <f t="shared" si="31"/>
        <v>0</v>
      </c>
      <c r="AH92" s="559">
        <f t="shared" si="31"/>
        <v>0</v>
      </c>
      <c r="AI92" s="559">
        <f t="shared" si="31"/>
        <v>0</v>
      </c>
      <c r="AJ92" s="511">
        <f t="shared" si="31"/>
        <v>0</v>
      </c>
      <c r="AK92" s="511">
        <f t="shared" si="31"/>
        <v>0</v>
      </c>
      <c r="AL92" s="511">
        <f t="shared" si="31"/>
        <v>0</v>
      </c>
      <c r="AM92" s="511">
        <f t="shared" si="31"/>
        <v>0</v>
      </c>
      <c r="AN92" s="21">
        <f t="shared" si="31"/>
        <v>0</v>
      </c>
      <c r="AO92" s="21">
        <f t="shared" si="31"/>
        <v>0</v>
      </c>
      <c r="AP92" s="21">
        <f t="shared" si="31"/>
        <v>0</v>
      </c>
      <c r="AQ92" s="21">
        <f t="shared" si="31"/>
        <v>0</v>
      </c>
      <c r="AR92" s="21">
        <f t="shared" si="31"/>
        <v>0</v>
      </c>
      <c r="AS92" s="559">
        <f t="shared" si="31"/>
        <v>0</v>
      </c>
      <c r="AT92" s="511">
        <f t="shared" si="31"/>
        <v>0</v>
      </c>
      <c r="AU92" s="511">
        <f t="shared" si="31"/>
        <v>0</v>
      </c>
      <c r="AV92" s="511">
        <f t="shared" si="31"/>
        <v>0</v>
      </c>
      <c r="AW92" s="511">
        <f t="shared" si="31"/>
        <v>0</v>
      </c>
      <c r="AX92" s="21">
        <f t="shared" si="31"/>
        <v>0</v>
      </c>
      <c r="AY92" s="21">
        <f t="shared" si="31"/>
        <v>0</v>
      </c>
      <c r="AZ92" s="21">
        <f t="shared" si="31"/>
        <v>0</v>
      </c>
      <c r="BA92" s="21">
        <f t="shared" si="31"/>
        <v>0</v>
      </c>
      <c r="BB92" s="21">
        <f t="shared" si="31"/>
        <v>0</v>
      </c>
      <c r="BC92" s="34"/>
      <c r="BF92" s="989" t="s">
        <v>1024</v>
      </c>
      <c r="BG92" s="989"/>
      <c r="BH92" s="989"/>
      <c r="BI92" s="990"/>
      <c r="BJ92" s="990"/>
    </row>
    <row r="93" spans="1:62" s="173" customFormat="1" ht="14.25" customHeight="1">
      <c r="E93" s="781">
        <v>15</v>
      </c>
      <c r="F93" s="779" t="str" cm="1">
        <f t="array" aca="1" ref="F93" ca="1">OFFSET(G93,-1,-1)</f>
        <v>1</v>
      </c>
      <c r="T93" s="780" t="b" cm="1">
        <f t="array" aca="1" ref="T93" ca="1">T91</f>
        <v>1</v>
      </c>
      <c r="X93" s="1800"/>
      <c r="Z93" s="1800"/>
      <c r="AB93" s="166" t="s">
        <v>491</v>
      </c>
      <c r="AC93" s="223" t="s">
        <v>1025</v>
      </c>
      <c r="AD93" s="105" t="s">
        <v>634</v>
      </c>
      <c r="AE93" s="216">
        <f t="shared" ref="AE93:BB93" si="32">SUMIF($AD95:$AD111,$AD93,AE95:AE111)</f>
        <v>0</v>
      </c>
      <c r="AF93" s="216">
        <f t="shared" si="32"/>
        <v>0</v>
      </c>
      <c r="AG93" s="216">
        <f t="shared" si="32"/>
        <v>0</v>
      </c>
      <c r="AH93" s="216">
        <f t="shared" si="32"/>
        <v>0</v>
      </c>
      <c r="AI93" s="216">
        <f t="shared" si="32"/>
        <v>0</v>
      </c>
      <c r="AJ93" s="162">
        <f t="shared" si="32"/>
        <v>0</v>
      </c>
      <c r="AK93" s="162">
        <f t="shared" si="32"/>
        <v>0</v>
      </c>
      <c r="AL93" s="162">
        <f t="shared" si="32"/>
        <v>0</v>
      </c>
      <c r="AM93" s="162">
        <f t="shared" si="32"/>
        <v>0</v>
      </c>
      <c r="AN93" s="1240">
        <f t="shared" si="32"/>
        <v>0</v>
      </c>
      <c r="AO93" s="1240">
        <f t="shared" si="32"/>
        <v>0</v>
      </c>
      <c r="AP93" s="1240">
        <f t="shared" si="32"/>
        <v>0</v>
      </c>
      <c r="AQ93" s="1240">
        <f t="shared" si="32"/>
        <v>0</v>
      </c>
      <c r="AR93" s="1240">
        <f t="shared" si="32"/>
        <v>0</v>
      </c>
      <c r="AS93" s="216">
        <f t="shared" si="32"/>
        <v>0</v>
      </c>
      <c r="AT93" s="162">
        <f t="shared" si="32"/>
        <v>0</v>
      </c>
      <c r="AU93" s="162">
        <f t="shared" si="32"/>
        <v>0</v>
      </c>
      <c r="AV93" s="162">
        <f t="shared" si="32"/>
        <v>0</v>
      </c>
      <c r="AW93" s="162">
        <f t="shared" si="32"/>
        <v>0</v>
      </c>
      <c r="AX93" s="1240">
        <f t="shared" si="32"/>
        <v>0</v>
      </c>
      <c r="AY93" s="1240">
        <f t="shared" si="32"/>
        <v>0</v>
      </c>
      <c r="AZ93" s="1240">
        <f t="shared" si="32"/>
        <v>0</v>
      </c>
      <c r="BA93" s="1240">
        <f t="shared" si="32"/>
        <v>0</v>
      </c>
      <c r="BB93" s="1240">
        <f t="shared" si="32"/>
        <v>0</v>
      </c>
      <c r="BC93" s="1297"/>
      <c r="BF93" s="989" t="s">
        <v>1026</v>
      </c>
      <c r="BG93" s="989"/>
      <c r="BH93" s="989"/>
      <c r="BI93" s="990"/>
      <c r="BJ93" s="990"/>
    </row>
    <row r="94" spans="1:62" s="173" customFormat="1" ht="14.25" customHeight="1">
      <c r="E94" s="781">
        <v>15</v>
      </c>
      <c r="F94" s="779" t="str" cm="1">
        <f t="array" aca="1" ref="F94" ca="1">OFFSET(G94,-1,-1)</f>
        <v>1</v>
      </c>
      <c r="T94" s="780" t="b" cm="1">
        <f t="array" aca="1" ref="T94" ca="1">T93</f>
        <v>1</v>
      </c>
      <c r="X94" s="1800"/>
      <c r="Z94" s="1800"/>
      <c r="AB94" s="166" t="s">
        <v>522</v>
      </c>
      <c r="AC94" s="223" t="s">
        <v>992</v>
      </c>
      <c r="AD94" s="105" t="s">
        <v>1027</v>
      </c>
      <c r="AE94" s="216">
        <f t="shared" ref="AE94:BB94" si="33">IF(AE93=0,0,AE91/AE93)*1000</f>
        <v>0</v>
      </c>
      <c r="AF94" s="216">
        <f t="shared" si="33"/>
        <v>0</v>
      </c>
      <c r="AG94" s="216">
        <f t="shared" si="33"/>
        <v>0</v>
      </c>
      <c r="AH94" s="216">
        <f t="shared" si="33"/>
        <v>0</v>
      </c>
      <c r="AI94" s="216">
        <f t="shared" si="33"/>
        <v>0</v>
      </c>
      <c r="AJ94" s="162">
        <f t="shared" si="33"/>
        <v>0</v>
      </c>
      <c r="AK94" s="162">
        <f t="shared" si="33"/>
        <v>0</v>
      </c>
      <c r="AL94" s="162">
        <f t="shared" si="33"/>
        <v>0</v>
      </c>
      <c r="AM94" s="162">
        <f t="shared" si="33"/>
        <v>0</v>
      </c>
      <c r="AN94" s="1240">
        <f t="shared" si="33"/>
        <v>0</v>
      </c>
      <c r="AO94" s="1240">
        <f t="shared" si="33"/>
        <v>0</v>
      </c>
      <c r="AP94" s="1240">
        <f t="shared" si="33"/>
        <v>0</v>
      </c>
      <c r="AQ94" s="1240">
        <f t="shared" si="33"/>
        <v>0</v>
      </c>
      <c r="AR94" s="1240">
        <f t="shared" si="33"/>
        <v>0</v>
      </c>
      <c r="AS94" s="216">
        <f t="shared" si="33"/>
        <v>0</v>
      </c>
      <c r="AT94" s="162">
        <f t="shared" si="33"/>
        <v>0</v>
      </c>
      <c r="AU94" s="162">
        <f t="shared" si="33"/>
        <v>0</v>
      </c>
      <c r="AV94" s="162">
        <f t="shared" si="33"/>
        <v>0</v>
      </c>
      <c r="AW94" s="162">
        <f t="shared" si="33"/>
        <v>0</v>
      </c>
      <c r="AX94" s="1240">
        <f t="shared" si="33"/>
        <v>0</v>
      </c>
      <c r="AY94" s="1240">
        <f t="shared" si="33"/>
        <v>0</v>
      </c>
      <c r="AZ94" s="1240">
        <f t="shared" si="33"/>
        <v>0</v>
      </c>
      <c r="BA94" s="1240">
        <f t="shared" si="33"/>
        <v>0</v>
      </c>
      <c r="BB94" s="1240">
        <f t="shared" si="33"/>
        <v>0</v>
      </c>
      <c r="BC94" s="1297"/>
      <c r="BF94" s="989" t="s">
        <v>1028</v>
      </c>
      <c r="BG94" s="989"/>
      <c r="BH94" s="989"/>
      <c r="BI94" s="990"/>
      <c r="BJ94" s="990"/>
    </row>
    <row r="95" spans="1:62" s="173" customFormat="1" ht="14.25" customHeight="1">
      <c r="E95" s="781">
        <v>15</v>
      </c>
      <c r="F95" s="779" t="str" cm="1">
        <f t="array" aca="1" ref="F95" ca="1">OFFSET(G95,-1,-1)</f>
        <v>1</v>
      </c>
      <c r="T95" s="780" t="b" cm="1">
        <f t="array" aca="1" ref="T95" ca="1">T93</f>
        <v>1</v>
      </c>
      <c r="X95" s="1800"/>
      <c r="Z95" s="1800"/>
      <c r="AB95" s="166" t="s">
        <v>518</v>
      </c>
      <c r="AC95" s="287" t="s">
        <v>997</v>
      </c>
      <c r="AD95" s="288"/>
      <c r="AE95" s="289"/>
      <c r="AF95" s="289"/>
      <c r="AG95" s="289"/>
      <c r="AH95" s="289"/>
      <c r="AI95" s="289"/>
      <c r="AJ95" s="289"/>
      <c r="AK95" s="289"/>
      <c r="AL95" s="289"/>
      <c r="AM95" s="289"/>
      <c r="AN95" s="289"/>
      <c r="AO95" s="289"/>
      <c r="AP95" s="289"/>
      <c r="AQ95" s="289"/>
      <c r="AR95" s="289"/>
      <c r="AS95" s="289"/>
      <c r="AT95" s="289"/>
      <c r="AU95" s="289"/>
      <c r="AV95" s="289"/>
      <c r="AW95" s="289"/>
      <c r="AX95" s="289"/>
      <c r="AY95" s="289"/>
      <c r="AZ95" s="289"/>
      <c r="BA95" s="289"/>
      <c r="BB95" s="289"/>
      <c r="BC95" s="905"/>
      <c r="BF95" s="989"/>
      <c r="BG95" s="989"/>
      <c r="BH95" s="989"/>
      <c r="BI95" s="990"/>
      <c r="BJ95" s="990"/>
    </row>
    <row r="96" spans="1:62" s="173" customFormat="1" ht="17.25" hidden="1" customHeight="1">
      <c r="E96" s="781">
        <v>0</v>
      </c>
      <c r="F96" s="779" t="str" cm="1">
        <f t="array" aca="1" ref="F96" ca="1">OFFSET(G96,-1,-1)</f>
        <v>1</v>
      </c>
      <c r="T96" s="780" t="b" cm="1">
        <f t="array" aca="1" ref="T96" ca="1">T95</f>
        <v>1</v>
      </c>
      <c r="X96" s="1800"/>
      <c r="Z96" s="1800"/>
      <c r="AB96" s="233"/>
      <c r="AC96" s="228"/>
      <c r="AD96" s="509"/>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c r="BA96" s="231"/>
      <c r="BB96" s="231"/>
      <c r="BC96" s="240"/>
      <c r="BF96" s="989"/>
      <c r="BG96" s="989"/>
      <c r="BH96" s="989"/>
      <c r="BI96" s="990"/>
      <c r="BJ96" s="990"/>
    </row>
    <row r="97" spans="1:62" s="173" customFormat="1" ht="14.25" hidden="1" customHeight="1">
      <c r="A97" s="927" t="str">
        <f ca="1">"checkCosts_4."&amp;F97&amp;"."&amp;Y97</f>
        <v>checkCosts_4.1.0</v>
      </c>
      <c r="E97" s="781">
        <v>15</v>
      </c>
      <c r="F97" s="779" t="str" cm="1">
        <f t="array" aca="1" ref="F97" ca="1">OFFSET(G97,-1,-1)</f>
        <v>1</v>
      </c>
      <c r="H97" s="106" cm="1">
        <f t="array" ref="H97">AC97</f>
        <v>0</v>
      </c>
      <c r="I97" s="165" t="s">
        <v>984</v>
      </c>
      <c r="S97" s="1800"/>
      <c r="T97" s="780" t="b">
        <f ca="1">AND(F97&gt;0,Y97&gt;0)</f>
        <v>0</v>
      </c>
      <c r="W97" s="122" t="s">
        <v>236</v>
      </c>
      <c r="X97" s="1800"/>
      <c r="Y97" s="1701">
        <v>0</v>
      </c>
      <c r="Z97" s="1800"/>
      <c r="AA97" s="1806" t="s">
        <v>218</v>
      </c>
      <c r="AB97" s="235" t="str">
        <f>"2.1."&amp;Y97</f>
        <v>2.1.0</v>
      </c>
      <c r="AC97" s="505"/>
      <c r="AD97" s="510" t="s">
        <v>839</v>
      </c>
      <c r="AE97" s="279">
        <f>AE99*AE100/1000</f>
        <v>0</v>
      </c>
      <c r="AF97" s="17"/>
      <c r="AG97" s="17"/>
      <c r="AH97" s="279">
        <f>AH99*AH100/1000</f>
        <v>0</v>
      </c>
      <c r="AI97" s="230"/>
      <c r="AJ97" s="230"/>
      <c r="AK97" s="230"/>
      <c r="AL97" s="230"/>
      <c r="AM97" s="230"/>
      <c r="AN97" s="17"/>
      <c r="AO97" s="17"/>
      <c r="AP97" s="17"/>
      <c r="AQ97" s="17"/>
      <c r="AR97" s="17"/>
      <c r="AS97" s="279">
        <f t="shared" ref="AS97:BB97" si="34">AS99*AS100/1000</f>
        <v>0</v>
      </c>
      <c r="AT97" s="279">
        <f t="shared" si="34"/>
        <v>0</v>
      </c>
      <c r="AU97" s="279">
        <f t="shared" si="34"/>
        <v>0</v>
      </c>
      <c r="AV97" s="279">
        <f t="shared" si="34"/>
        <v>0</v>
      </c>
      <c r="AW97" s="279">
        <f t="shared" si="34"/>
        <v>0</v>
      </c>
      <c r="AX97" s="279">
        <f t="shared" si="34"/>
        <v>0</v>
      </c>
      <c r="AY97" s="279">
        <f t="shared" si="34"/>
        <v>0</v>
      </c>
      <c r="AZ97" s="279">
        <f t="shared" si="34"/>
        <v>0</v>
      </c>
      <c r="BA97" s="279">
        <f t="shared" si="34"/>
        <v>0</v>
      </c>
      <c r="BB97" s="279">
        <f t="shared" si="34"/>
        <v>0</v>
      </c>
      <c r="BC97" s="58"/>
      <c r="BF97" s="989" t="s">
        <v>1029</v>
      </c>
      <c r="BG97" s="989" t="s">
        <v>1030</v>
      </c>
      <c r="BH97" s="989" cm="1">
        <f t="array" ref="BH97">AC97</f>
        <v>0</v>
      </c>
      <c r="BI97" s="990"/>
      <c r="BJ97" s="990" t="b">
        <v>1</v>
      </c>
    </row>
    <row r="98" spans="1:62" s="173" customFormat="1" ht="14.25" hidden="1" customHeight="1">
      <c r="E98" s="781">
        <v>15</v>
      </c>
      <c r="F98" s="779" t="str" cm="1">
        <f t="array" aca="1" ref="F98" ca="1">OFFSET(G98,-1,-1)</f>
        <v>1</v>
      </c>
      <c r="L98" s="163" t="str" cm="1">
        <f t="array" aca="1" ref="L98" ca="1">INDEX('Общие сведения'!$AK$187:$AK$236,MATCH($F98,'Общие сведения'!$Z$187:$Z$236,0))</f>
        <v>одноставочный</v>
      </c>
      <c r="R98" s="143" t="s">
        <v>1021</v>
      </c>
      <c r="S98" s="1800"/>
      <c r="T98" s="780" t="b">
        <f ca="1">AND(T97,L98="двухставочный")</f>
        <v>0</v>
      </c>
      <c r="X98" s="1800"/>
      <c r="Y98" s="1800"/>
      <c r="Z98" s="1800"/>
      <c r="AA98" s="1806"/>
      <c r="AB98" s="235"/>
      <c r="AC98" s="496" t="s">
        <v>1023</v>
      </c>
      <c r="AD98" s="510" t="s">
        <v>839</v>
      </c>
      <c r="AE98" s="21"/>
      <c r="AF98" s="21"/>
      <c r="AG98" s="21"/>
      <c r="AH98" s="21"/>
      <c r="AI98" s="511"/>
      <c r="AJ98" s="511"/>
      <c r="AK98" s="511"/>
      <c r="AL98" s="511"/>
      <c r="AM98" s="511"/>
      <c r="AN98" s="21"/>
      <c r="AO98" s="21"/>
      <c r="AP98" s="21"/>
      <c r="AQ98" s="21"/>
      <c r="AR98" s="21"/>
      <c r="AS98" s="511"/>
      <c r="AT98" s="511"/>
      <c r="AU98" s="511"/>
      <c r="AV98" s="511"/>
      <c r="AW98" s="511"/>
      <c r="AX98" s="21"/>
      <c r="AY98" s="21"/>
      <c r="AZ98" s="21"/>
      <c r="BA98" s="21"/>
      <c r="BB98" s="21"/>
      <c r="BC98" s="59"/>
      <c r="BF98" s="989" t="s">
        <v>1031</v>
      </c>
      <c r="BG98" s="989" t="s">
        <v>1030</v>
      </c>
      <c r="BH98" s="989" cm="1">
        <f t="array" ref="BH98">BH97</f>
        <v>0</v>
      </c>
      <c r="BI98" s="990"/>
      <c r="BJ98" s="990"/>
    </row>
    <row r="99" spans="1:62" s="173" customFormat="1" ht="14.25" hidden="1" customHeight="1">
      <c r="E99" s="781">
        <v>15</v>
      </c>
      <c r="F99" s="779" t="str" cm="1">
        <f t="array" aca="1" ref="F99" ca="1">OFFSET(G99,-1,-1)</f>
        <v>1</v>
      </c>
      <c r="H99" s="106" cm="1">
        <f t="array" ref="H99">H97</f>
        <v>0</v>
      </c>
      <c r="S99" s="1800"/>
      <c r="T99" s="780" t="b" cm="1">
        <f t="array" aca="1" ref="T99" ca="1">T97</f>
        <v>0</v>
      </c>
      <c r="X99" s="1800"/>
      <c r="Y99" s="1800"/>
      <c r="Z99" s="1800"/>
      <c r="AA99" s="1807"/>
      <c r="AB99" s="235" t="str">
        <f>AB97&amp;".1"</f>
        <v>2.1.0.1</v>
      </c>
      <c r="AC99" s="496" t="s">
        <v>1000</v>
      </c>
      <c r="AD99" s="105" t="s">
        <v>1027</v>
      </c>
      <c r="AE99" s="21"/>
      <c r="AF99" s="559">
        <f>IF(AF100=0,0,AF97/AF100*1000)</f>
        <v>0</v>
      </c>
      <c r="AG99" s="559">
        <f>IF(AG100=0,0,AG97/AG100*1000)</f>
        <v>0</v>
      </c>
      <c r="AH99" s="21"/>
      <c r="AI99" s="559">
        <f t="shared" ref="AI99:AR99" si="35">IF(AI100=0,0,AI97/AI100*1000)</f>
        <v>0</v>
      </c>
      <c r="AJ99" s="559">
        <f t="shared" si="35"/>
        <v>0</v>
      </c>
      <c r="AK99" s="559">
        <f t="shared" si="35"/>
        <v>0</v>
      </c>
      <c r="AL99" s="559">
        <f t="shared" si="35"/>
        <v>0</v>
      </c>
      <c r="AM99" s="559">
        <f t="shared" si="35"/>
        <v>0</v>
      </c>
      <c r="AN99" s="559">
        <f t="shared" si="35"/>
        <v>0</v>
      </c>
      <c r="AO99" s="559">
        <f t="shared" si="35"/>
        <v>0</v>
      </c>
      <c r="AP99" s="559">
        <f t="shared" si="35"/>
        <v>0</v>
      </c>
      <c r="AQ99" s="559">
        <f t="shared" si="35"/>
        <v>0</v>
      </c>
      <c r="AR99" s="559">
        <f t="shared" si="35"/>
        <v>0</v>
      </c>
      <c r="AS99" s="511"/>
      <c r="AT99" s="511"/>
      <c r="AU99" s="511"/>
      <c r="AV99" s="511"/>
      <c r="AW99" s="511"/>
      <c r="AX99" s="21"/>
      <c r="AY99" s="21"/>
      <c r="AZ99" s="21"/>
      <c r="BA99" s="21"/>
      <c r="BB99" s="21"/>
      <c r="BC99" s="28"/>
      <c r="BF99" s="989" t="s">
        <v>1032</v>
      </c>
      <c r="BG99" s="989" t="s">
        <v>1030</v>
      </c>
      <c r="BH99" s="989" cm="1">
        <f t="array" ref="BH99">BH98</f>
        <v>0</v>
      </c>
      <c r="BI99" s="990"/>
      <c r="BJ99" s="990"/>
    </row>
    <row r="100" spans="1:62" s="173" customFormat="1" ht="14.25" hidden="1" customHeight="1">
      <c r="A100" s="927" t="str">
        <f ca="1">"checkVolume_4."&amp;F100&amp;"."&amp;Y97</f>
        <v>checkVolume_4.1.0</v>
      </c>
      <c r="E100" s="781">
        <v>15</v>
      </c>
      <c r="F100" s="779" t="str" cm="1">
        <f t="array" aca="1" ref="F100" ca="1">OFFSET(G100,-1,-1)</f>
        <v>1</v>
      </c>
      <c r="H100" s="106" cm="1">
        <f t="array" ref="H100">H97</f>
        <v>0</v>
      </c>
      <c r="S100" s="1800"/>
      <c r="T100" s="780" t="b" cm="1">
        <f t="array" aca="1" ref="T100" ca="1">T97</f>
        <v>0</v>
      </c>
      <c r="X100" s="1800"/>
      <c r="Y100" s="1800"/>
      <c r="Z100" s="1800"/>
      <c r="AA100" s="1806"/>
      <c r="AB100" s="235" t="str">
        <f>AB97&amp;".2"</f>
        <v>2.1.0.2</v>
      </c>
      <c r="AC100" s="496" t="s">
        <v>1033</v>
      </c>
      <c r="AD100" s="105" t="s">
        <v>634</v>
      </c>
      <c r="AE100" s="21"/>
      <c r="AF100" s="21"/>
      <c r="AG100" s="21"/>
      <c r="AH100" s="21"/>
      <c r="AI100" s="511"/>
      <c r="AJ100" s="511"/>
      <c r="AK100" s="511"/>
      <c r="AL100" s="511"/>
      <c r="AM100" s="511"/>
      <c r="AN100" s="21"/>
      <c r="AO100" s="21"/>
      <c r="AP100" s="21"/>
      <c r="AQ100" s="21"/>
      <c r="AR100" s="21"/>
      <c r="AS100" s="511"/>
      <c r="AT100" s="511"/>
      <c r="AU100" s="511"/>
      <c r="AV100" s="511"/>
      <c r="AW100" s="511"/>
      <c r="AX100" s="21"/>
      <c r="AY100" s="21"/>
      <c r="AZ100" s="21"/>
      <c r="BA100" s="21"/>
      <c r="BB100" s="21"/>
      <c r="BC100" s="28"/>
      <c r="BF100" s="989" t="s">
        <v>1034</v>
      </c>
      <c r="BG100" s="989" t="s">
        <v>1030</v>
      </c>
      <c r="BH100" s="989" cm="1">
        <f t="array" ref="BH100">BH98</f>
        <v>0</v>
      </c>
      <c r="BI100" s="990"/>
      <c r="BJ100" s="990"/>
    </row>
    <row r="101" spans="1:62" s="173" customFormat="1" ht="14.25" customHeight="1">
      <c r="E101" s="781">
        <v>15</v>
      </c>
      <c r="F101" s="779" t="str" cm="1">
        <f t="array" aca="1" ref="F101" ca="1">OFFSET(G101,-1,-1)</f>
        <v>1</v>
      </c>
      <c r="T101" s="780" t="b">
        <f ca="1">F101&gt;0</f>
        <v>1</v>
      </c>
      <c r="W101" s="318" t="s">
        <v>1035</v>
      </c>
      <c r="X101" s="1800"/>
      <c r="Z101" s="1800"/>
      <c r="AB101" s="697"/>
      <c r="AC101" s="494" t="s">
        <v>1036</v>
      </c>
      <c r="AD101" s="494"/>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908"/>
      <c r="BF101" s="989"/>
      <c r="BG101" s="989"/>
      <c r="BH101" s="989"/>
      <c r="BI101" s="990" t="s">
        <v>1030</v>
      </c>
      <c r="BJ101" s="990"/>
    </row>
    <row r="102" spans="1:62" s="173" customFormat="1" ht="14.25" customHeight="1">
      <c r="E102" s="781">
        <v>15</v>
      </c>
      <c r="F102" s="779" t="str" cm="1">
        <f t="array" aca="1" ref="F102" ca="1">OFFSET(G102,-1,-1)</f>
        <v>1</v>
      </c>
      <c r="T102" s="780" t="b">
        <f ca="1">F102&gt;0</f>
        <v>1</v>
      </c>
      <c r="X102" s="1800"/>
      <c r="Z102" s="1800"/>
      <c r="AB102" s="166" t="s">
        <v>522</v>
      </c>
      <c r="AC102" s="287" t="s">
        <v>1006</v>
      </c>
      <c r="AD102" s="288"/>
      <c r="AE102" s="289"/>
      <c r="AF102" s="289"/>
      <c r="AG102" s="289"/>
      <c r="AH102" s="289"/>
      <c r="AI102" s="289"/>
      <c r="AJ102" s="289"/>
      <c r="AK102" s="289"/>
      <c r="AL102" s="289"/>
      <c r="AM102" s="289"/>
      <c r="AN102" s="289"/>
      <c r="AO102" s="289"/>
      <c r="AP102" s="289"/>
      <c r="AQ102" s="289"/>
      <c r="AR102" s="289"/>
      <c r="AS102" s="289"/>
      <c r="AT102" s="289"/>
      <c r="AU102" s="289"/>
      <c r="AV102" s="289"/>
      <c r="AW102" s="289"/>
      <c r="AX102" s="289"/>
      <c r="AY102" s="289"/>
      <c r="AZ102" s="289"/>
      <c r="BA102" s="289"/>
      <c r="BB102" s="289"/>
      <c r="BC102" s="905"/>
      <c r="BF102" s="989"/>
      <c r="BG102" s="989"/>
      <c r="BH102" s="989"/>
      <c r="BI102" s="990"/>
      <c r="BJ102" s="990"/>
    </row>
    <row r="103" spans="1:62" s="173" customFormat="1" ht="17.25" hidden="1" customHeight="1">
      <c r="E103" s="781">
        <v>0</v>
      </c>
      <c r="F103" s="779" t="str" cm="1">
        <f t="array" aca="1" ref="F103" ca="1">OFFSET(G103,-1,-1)</f>
        <v>1</v>
      </c>
      <c r="T103" s="780" t="b">
        <f ca="1">F103&gt;0</f>
        <v>1</v>
      </c>
      <c r="X103" s="1800"/>
      <c r="Z103" s="1800"/>
      <c r="AB103" s="233"/>
      <c r="AC103" s="228"/>
      <c r="AD103" s="227"/>
      <c r="AE103" s="493"/>
      <c r="AF103" s="493"/>
      <c r="AG103" s="493"/>
      <c r="AH103" s="493"/>
      <c r="AI103" s="493"/>
      <c r="AJ103" s="493"/>
      <c r="AK103" s="493"/>
      <c r="AL103" s="493"/>
      <c r="AM103" s="493"/>
      <c r="AN103" s="493"/>
      <c r="AO103" s="493"/>
      <c r="AP103" s="493"/>
      <c r="AQ103" s="493"/>
      <c r="AR103" s="493"/>
      <c r="AS103" s="493"/>
      <c r="AT103" s="493"/>
      <c r="AU103" s="493"/>
      <c r="AV103" s="493"/>
      <c r="AW103" s="493"/>
      <c r="AX103" s="493"/>
      <c r="AY103" s="493"/>
      <c r="AZ103" s="493"/>
      <c r="BA103" s="493"/>
      <c r="BB103" s="493"/>
      <c r="BC103" s="34"/>
      <c r="BF103" s="989"/>
      <c r="BG103" s="989"/>
      <c r="BH103" s="989"/>
      <c r="BI103" s="990"/>
      <c r="BJ103" s="990"/>
    </row>
    <row r="104" spans="1:62" s="173" customFormat="1" ht="14.25" hidden="1" customHeight="1">
      <c r="E104" s="781">
        <v>15</v>
      </c>
      <c r="F104" s="779" t="str" cm="1">
        <f t="array" aca="1" ref="F104" ca="1">OFFSET(G104,-1,-1)</f>
        <v>1</v>
      </c>
      <c r="H104" s="106" cm="1">
        <f t="array" ref="H104">AC104</f>
        <v>0</v>
      </c>
      <c r="I104" s="106" t="s">
        <v>984</v>
      </c>
      <c r="S104" s="1800"/>
      <c r="T104" s="780" t="b">
        <f ca="1">AND(F104&gt;0,Y104&gt;0)</f>
        <v>0</v>
      </c>
      <c r="W104" s="122" t="s">
        <v>236</v>
      </c>
      <c r="X104" s="1800"/>
      <c r="Y104" s="1701">
        <v>0</v>
      </c>
      <c r="Z104" s="1800"/>
      <c r="AA104" s="1806" t="s">
        <v>218</v>
      </c>
      <c r="AB104" s="105" t="str">
        <f>"2.3."&amp;Y104</f>
        <v>2.3.0</v>
      </c>
      <c r="AC104" s="505"/>
      <c r="AD104" s="105" t="s">
        <v>839</v>
      </c>
      <c r="AE104" s="497">
        <f t="shared" ref="AE104:BB104" si="36">AE107+AE109</f>
        <v>0</v>
      </c>
      <c r="AF104" s="497">
        <f t="shared" si="36"/>
        <v>0</v>
      </c>
      <c r="AG104" s="497">
        <f t="shared" si="36"/>
        <v>0</v>
      </c>
      <c r="AH104" s="497">
        <f t="shared" si="36"/>
        <v>0</v>
      </c>
      <c r="AI104" s="497">
        <f t="shared" si="36"/>
        <v>0</v>
      </c>
      <c r="AJ104" s="492">
        <f t="shared" si="36"/>
        <v>0</v>
      </c>
      <c r="AK104" s="492">
        <f t="shared" si="36"/>
        <v>0</v>
      </c>
      <c r="AL104" s="492">
        <f t="shared" si="36"/>
        <v>0</v>
      </c>
      <c r="AM104" s="492">
        <f t="shared" si="36"/>
        <v>0</v>
      </c>
      <c r="AN104" s="20">
        <f t="shared" si="36"/>
        <v>0</v>
      </c>
      <c r="AO104" s="20">
        <f t="shared" si="36"/>
        <v>0</v>
      </c>
      <c r="AP104" s="20">
        <f t="shared" si="36"/>
        <v>0</v>
      </c>
      <c r="AQ104" s="20">
        <f t="shared" si="36"/>
        <v>0</v>
      </c>
      <c r="AR104" s="20">
        <f t="shared" si="36"/>
        <v>0</v>
      </c>
      <c r="AS104" s="497">
        <f t="shared" si="36"/>
        <v>0</v>
      </c>
      <c r="AT104" s="492">
        <f t="shared" si="36"/>
        <v>0</v>
      </c>
      <c r="AU104" s="492">
        <f t="shared" si="36"/>
        <v>0</v>
      </c>
      <c r="AV104" s="492">
        <f t="shared" si="36"/>
        <v>0</v>
      </c>
      <c r="AW104" s="492">
        <f t="shared" si="36"/>
        <v>0</v>
      </c>
      <c r="AX104" s="20">
        <f t="shared" si="36"/>
        <v>0</v>
      </c>
      <c r="AY104" s="20">
        <f t="shared" si="36"/>
        <v>0</v>
      </c>
      <c r="AZ104" s="20">
        <f t="shared" si="36"/>
        <v>0</v>
      </c>
      <c r="BA104" s="20">
        <f t="shared" si="36"/>
        <v>0</v>
      </c>
      <c r="BB104" s="20">
        <f t="shared" si="36"/>
        <v>0</v>
      </c>
      <c r="BC104" s="35"/>
      <c r="BF104" s="989" t="s">
        <v>1029</v>
      </c>
      <c r="BG104" s="989" t="s">
        <v>1037</v>
      </c>
      <c r="BH104" s="989" cm="1">
        <f t="array" ref="BH104">AC104</f>
        <v>0</v>
      </c>
      <c r="BI104" s="990"/>
      <c r="BJ104" s="990" t="b">
        <v>1</v>
      </c>
    </row>
    <row r="105" spans="1:62" s="173" customFormat="1" ht="14.25" hidden="1" customHeight="1">
      <c r="E105" s="781">
        <v>15</v>
      </c>
      <c r="F105" s="779" t="str" cm="1">
        <f t="array" aca="1" ref="F105" ca="1">OFFSET(G105,-1,-1)</f>
        <v>1</v>
      </c>
      <c r="L105" s="163" t="str" cm="1">
        <f t="array" aca="1" ref="L105" ca="1">INDEX('Общие сведения'!$AK$187:$AK$236,MATCH($F105,'Общие сведения'!$Z$187:$Z$236,0))</f>
        <v>одноставочный</v>
      </c>
      <c r="R105" s="143" t="s">
        <v>1021</v>
      </c>
      <c r="S105" s="1800"/>
      <c r="T105" s="780" t="b">
        <f ca="1">AND(T104,L105="двухставочный")</f>
        <v>0</v>
      </c>
      <c r="X105" s="1800"/>
      <c r="Y105" s="1800"/>
      <c r="Z105" s="1800"/>
      <c r="AA105" s="1806"/>
      <c r="AB105" s="235"/>
      <c r="AC105" s="496" t="s">
        <v>1023</v>
      </c>
      <c r="AD105" s="510" t="s">
        <v>839</v>
      </c>
      <c r="AE105" s="21"/>
      <c r="AF105" s="21"/>
      <c r="AG105" s="21"/>
      <c r="AH105" s="21"/>
      <c r="AI105" s="511"/>
      <c r="AJ105" s="511"/>
      <c r="AK105" s="511"/>
      <c r="AL105" s="511"/>
      <c r="AM105" s="511"/>
      <c r="AN105" s="21"/>
      <c r="AO105" s="21"/>
      <c r="AP105" s="21"/>
      <c r="AQ105" s="21"/>
      <c r="AR105" s="21"/>
      <c r="AS105" s="511"/>
      <c r="AT105" s="511"/>
      <c r="AU105" s="511"/>
      <c r="AV105" s="511"/>
      <c r="AW105" s="511"/>
      <c r="AX105" s="21"/>
      <c r="AY105" s="21"/>
      <c r="AZ105" s="21"/>
      <c r="BA105" s="21"/>
      <c r="BB105" s="21"/>
      <c r="BC105" s="59"/>
      <c r="BF105" s="989" t="s">
        <v>1031</v>
      </c>
      <c r="BG105" s="989" t="s">
        <v>1037</v>
      </c>
      <c r="BH105" s="989" cm="1">
        <f t="array" ref="BH105">BH104</f>
        <v>0</v>
      </c>
      <c r="BI105" s="990"/>
      <c r="BJ105" s="990"/>
    </row>
    <row r="106" spans="1:62" s="173" customFormat="1" ht="14.25" hidden="1" customHeight="1">
      <c r="E106" s="781">
        <v>15</v>
      </c>
      <c r="F106" s="779" t="str" cm="1">
        <f t="array" aca="1" ref="F106" ca="1">OFFSET(G106,-1,-1)</f>
        <v>1</v>
      </c>
      <c r="H106" s="106" cm="1">
        <f t="array" ref="H106">H104</f>
        <v>0</v>
      </c>
      <c r="S106" s="1800"/>
      <c r="T106" s="780" t="b" cm="1">
        <f t="array" aca="1" ref="T106" ca="1">T104</f>
        <v>0</v>
      </c>
      <c r="X106" s="1800"/>
      <c r="Y106" s="1800"/>
      <c r="Z106" s="1800"/>
      <c r="AA106" s="1807"/>
      <c r="AB106" s="235" t="str">
        <f>AB104&amp;".1"</f>
        <v>2.3.0.1</v>
      </c>
      <c r="AC106" s="496" t="s">
        <v>1000</v>
      </c>
      <c r="AD106" s="105" t="s">
        <v>1027</v>
      </c>
      <c r="AE106" s="20"/>
      <c r="AF106" s="497">
        <f>IF(AF108=0,0,AF107/AF108*1000)</f>
        <v>0</v>
      </c>
      <c r="AG106" s="497">
        <f>IF(AG108=0,0,AG107/AG108*1000)</f>
        <v>0</v>
      </c>
      <c r="AH106" s="20"/>
      <c r="AI106" s="497">
        <f t="shared" ref="AI106:AR106" si="37">IF(AI108=0,0,AI107/AI108*1000)</f>
        <v>0</v>
      </c>
      <c r="AJ106" s="497">
        <f t="shared" si="37"/>
        <v>0</v>
      </c>
      <c r="AK106" s="497">
        <f t="shared" si="37"/>
        <v>0</v>
      </c>
      <c r="AL106" s="497">
        <f t="shared" si="37"/>
        <v>0</v>
      </c>
      <c r="AM106" s="497">
        <f t="shared" si="37"/>
        <v>0</v>
      </c>
      <c r="AN106" s="497">
        <f t="shared" si="37"/>
        <v>0</v>
      </c>
      <c r="AO106" s="497">
        <f t="shared" si="37"/>
        <v>0</v>
      </c>
      <c r="AP106" s="497">
        <f t="shared" si="37"/>
        <v>0</v>
      </c>
      <c r="AQ106" s="497">
        <f t="shared" si="37"/>
        <v>0</v>
      </c>
      <c r="AR106" s="497">
        <f t="shared" si="37"/>
        <v>0</v>
      </c>
      <c r="AS106" s="492"/>
      <c r="AT106" s="492"/>
      <c r="AU106" s="492"/>
      <c r="AV106" s="492"/>
      <c r="AW106" s="492"/>
      <c r="AX106" s="20"/>
      <c r="AY106" s="20"/>
      <c r="AZ106" s="20"/>
      <c r="BA106" s="20"/>
      <c r="BB106" s="20"/>
      <c r="BC106" s="28"/>
      <c r="BF106" s="989" t="s">
        <v>1032</v>
      </c>
      <c r="BG106" s="989" t="s">
        <v>1037</v>
      </c>
      <c r="BH106" s="989" cm="1">
        <f t="array" ref="BH106">BH105</f>
        <v>0</v>
      </c>
      <c r="BI106" s="990"/>
      <c r="BJ106" s="990"/>
    </row>
    <row r="107" spans="1:62" s="173" customFormat="1" ht="14.25" hidden="1" customHeight="1">
      <c r="A107" s="927" t="str">
        <f ca="1">"checkCosts_5."&amp;F107&amp;"."&amp;Y104</f>
        <v>checkCosts_5.1.0</v>
      </c>
      <c r="E107" s="781">
        <v>15</v>
      </c>
      <c r="F107" s="779" t="str" cm="1">
        <f t="array" aca="1" ref="F107" ca="1">OFFSET(G107,-1,-1)</f>
        <v>1</v>
      </c>
      <c r="S107" s="1800"/>
      <c r="T107" s="780" t="b" cm="1">
        <f t="array" aca="1" ref="T107" ca="1">T104</f>
        <v>0</v>
      </c>
      <c r="X107" s="1800"/>
      <c r="Y107" s="1800"/>
      <c r="Z107" s="1800"/>
      <c r="AA107" s="1806"/>
      <c r="AB107" s="235" t="str">
        <f>AB104&amp;".2"</f>
        <v>2.3.0.2</v>
      </c>
      <c r="AC107" s="496" t="s">
        <v>1038</v>
      </c>
      <c r="AD107" s="105" t="s">
        <v>839</v>
      </c>
      <c r="AE107" s="20"/>
      <c r="AF107" s="20"/>
      <c r="AG107" s="20"/>
      <c r="AH107" s="20"/>
      <c r="AI107" s="492"/>
      <c r="AJ107" s="492"/>
      <c r="AK107" s="492"/>
      <c r="AL107" s="492"/>
      <c r="AM107" s="492"/>
      <c r="AN107" s="20"/>
      <c r="AO107" s="20"/>
      <c r="AP107" s="20"/>
      <c r="AQ107" s="20"/>
      <c r="AR107" s="20"/>
      <c r="AS107" s="492"/>
      <c r="AT107" s="492"/>
      <c r="AU107" s="492"/>
      <c r="AV107" s="492"/>
      <c r="AW107" s="492"/>
      <c r="AX107" s="20"/>
      <c r="AY107" s="20"/>
      <c r="AZ107" s="20"/>
      <c r="BA107" s="20"/>
      <c r="BB107" s="20"/>
      <c r="BC107" s="28"/>
      <c r="BF107" s="989" t="s">
        <v>1039</v>
      </c>
      <c r="BG107" s="989" t="s">
        <v>1037</v>
      </c>
      <c r="BH107" s="989" cm="1">
        <f t="array" ref="BH107">BH105</f>
        <v>0</v>
      </c>
      <c r="BI107" s="990"/>
      <c r="BJ107" s="990"/>
    </row>
    <row r="108" spans="1:62" s="173" customFormat="1" ht="14.25" hidden="1" customHeight="1">
      <c r="A108" s="927" t="str">
        <f ca="1">"checkVolume_5."&amp;F108&amp;"."&amp;Y104</f>
        <v>checkVolume_5.1.0</v>
      </c>
      <c r="E108" s="781">
        <v>15</v>
      </c>
      <c r="F108" s="779" t="str" cm="1">
        <f t="array" aca="1" ref="F108" ca="1">OFFSET(G108,-1,-1)</f>
        <v>1</v>
      </c>
      <c r="S108" s="1800"/>
      <c r="T108" s="780" t="b" cm="1">
        <f t="array" aca="1" ref="T108" ca="1">T107</f>
        <v>0</v>
      </c>
      <c r="X108" s="1800"/>
      <c r="Y108" s="1800"/>
      <c r="Z108" s="1800"/>
      <c r="AA108" s="1806"/>
      <c r="AB108" s="346" t="str">
        <f>AB107&amp;".1"</f>
        <v>2.3.0.2.1</v>
      </c>
      <c r="AC108" s="506" t="s">
        <v>1033</v>
      </c>
      <c r="AD108" s="105" t="s">
        <v>634</v>
      </c>
      <c r="AE108" s="20"/>
      <c r="AF108" s="20"/>
      <c r="AG108" s="20"/>
      <c r="AH108" s="20"/>
      <c r="AI108" s="492"/>
      <c r="AJ108" s="492"/>
      <c r="AK108" s="492"/>
      <c r="AL108" s="492"/>
      <c r="AM108" s="492"/>
      <c r="AN108" s="20"/>
      <c r="AO108" s="20"/>
      <c r="AP108" s="20"/>
      <c r="AQ108" s="20"/>
      <c r="AR108" s="20"/>
      <c r="AS108" s="492"/>
      <c r="AT108" s="492"/>
      <c r="AU108" s="492"/>
      <c r="AV108" s="492"/>
      <c r="AW108" s="492"/>
      <c r="AX108" s="20"/>
      <c r="AY108" s="20"/>
      <c r="AZ108" s="20"/>
      <c r="BA108" s="20"/>
      <c r="BB108" s="20"/>
      <c r="BC108" s="28"/>
      <c r="BF108" s="989" t="s">
        <v>1040</v>
      </c>
      <c r="BG108" s="989" t="s">
        <v>1037</v>
      </c>
      <c r="BH108" s="989" cm="1">
        <f t="array" ref="BH108">BH107</f>
        <v>0</v>
      </c>
      <c r="BI108" s="990"/>
      <c r="BJ108" s="990"/>
    </row>
    <row r="109" spans="1:62" s="173" customFormat="1" ht="14.25" hidden="1" customHeight="1">
      <c r="A109" s="927" t="str">
        <f ca="1">"checkCosts_6."&amp;F109&amp;"."&amp;Y104</f>
        <v>checkCosts_6.1.0</v>
      </c>
      <c r="E109" s="781">
        <v>15</v>
      </c>
      <c r="F109" s="779" t="str" cm="1">
        <f t="array" aca="1" ref="F109" ca="1">OFFSET(G109,-1,-1)</f>
        <v>1</v>
      </c>
      <c r="S109" s="1800"/>
      <c r="T109" s="780" t="b" cm="1">
        <f t="array" aca="1" ref="T109" ca="1">T108</f>
        <v>0</v>
      </c>
      <c r="X109" s="1800"/>
      <c r="Y109" s="1800"/>
      <c r="Z109" s="1800"/>
      <c r="AA109" s="1806"/>
      <c r="AB109" s="235" t="str">
        <f>AB104&amp;".3"</f>
        <v>2.3.0.3</v>
      </c>
      <c r="AC109" s="496" t="s">
        <v>1041</v>
      </c>
      <c r="AD109" s="105" t="s">
        <v>1011</v>
      </c>
      <c r="AE109" s="20"/>
      <c r="AF109" s="20"/>
      <c r="AG109" s="20"/>
      <c r="AH109" s="20"/>
      <c r="AI109" s="492"/>
      <c r="AJ109" s="492"/>
      <c r="AK109" s="492"/>
      <c r="AL109" s="492"/>
      <c r="AM109" s="492"/>
      <c r="AN109" s="20"/>
      <c r="AO109" s="20"/>
      <c r="AP109" s="20"/>
      <c r="AQ109" s="20"/>
      <c r="AR109" s="20"/>
      <c r="AS109" s="492"/>
      <c r="AT109" s="492"/>
      <c r="AU109" s="492"/>
      <c r="AV109" s="492"/>
      <c r="AW109" s="492"/>
      <c r="AX109" s="20"/>
      <c r="AY109" s="20"/>
      <c r="AZ109" s="20"/>
      <c r="BA109" s="20"/>
      <c r="BB109" s="20"/>
      <c r="BC109" s="28"/>
      <c r="BF109" s="989" t="s">
        <v>1042</v>
      </c>
      <c r="BG109" s="989" t="s">
        <v>1037</v>
      </c>
      <c r="BH109" s="989" cm="1">
        <f t="array" ref="BH109">BH108</f>
        <v>0</v>
      </c>
      <c r="BI109" s="990"/>
      <c r="BJ109" s="990"/>
    </row>
    <row r="110" spans="1:62" s="173" customFormat="1" ht="14.25" hidden="1" customHeight="1">
      <c r="A110" s="927" t="str">
        <f ca="1">"checkVolume_6."&amp;F110&amp;"."&amp;Y104</f>
        <v>checkVolume_6.1.0</v>
      </c>
      <c r="E110" s="781">
        <v>15</v>
      </c>
      <c r="F110" s="779" t="str" cm="1">
        <f t="array" aca="1" ref="F110" ca="1">OFFSET(G110,-1,-1)</f>
        <v>1</v>
      </c>
      <c r="H110" s="106" cm="1">
        <f t="array" ref="H110">H104</f>
        <v>0</v>
      </c>
      <c r="S110" s="1800"/>
      <c r="T110" s="780" t="b" cm="1">
        <f t="array" aca="1" ref="T110" ca="1">T109</f>
        <v>0</v>
      </c>
      <c r="X110" s="1800"/>
      <c r="Y110" s="1800"/>
      <c r="Z110" s="1800"/>
      <c r="AA110" s="1806"/>
      <c r="AB110" s="346" t="str">
        <f>AB109&amp;".1"</f>
        <v>2.3.0.3.1</v>
      </c>
      <c r="AC110" s="507" t="s">
        <v>1043</v>
      </c>
      <c r="AD110" s="105" t="s">
        <v>725</v>
      </c>
      <c r="AE110" s="20"/>
      <c r="AF110" s="20"/>
      <c r="AG110" s="20"/>
      <c r="AH110" s="20"/>
      <c r="AI110" s="492"/>
      <c r="AJ110" s="492"/>
      <c r="AK110" s="492"/>
      <c r="AL110" s="492"/>
      <c r="AM110" s="492"/>
      <c r="AN110" s="20"/>
      <c r="AO110" s="20"/>
      <c r="AP110" s="20"/>
      <c r="AQ110" s="20"/>
      <c r="AR110" s="20"/>
      <c r="AS110" s="492"/>
      <c r="AT110" s="492"/>
      <c r="AU110" s="492"/>
      <c r="AV110" s="492"/>
      <c r="AW110" s="492"/>
      <c r="AX110" s="20"/>
      <c r="AY110" s="20"/>
      <c r="AZ110" s="20"/>
      <c r="BA110" s="20"/>
      <c r="BB110" s="20"/>
      <c r="BC110" s="28"/>
      <c r="BF110" s="989" t="s">
        <v>1044</v>
      </c>
      <c r="BG110" s="989" t="s">
        <v>1037</v>
      </c>
      <c r="BH110" s="989" cm="1">
        <f t="array" ref="BH110">BH109</f>
        <v>0</v>
      </c>
      <c r="BI110" s="990"/>
      <c r="BJ110" s="990"/>
    </row>
    <row r="111" spans="1:62" s="173" customFormat="1" ht="10.5" customHeight="1">
      <c r="E111" s="781">
        <v>11.4</v>
      </c>
      <c r="F111" s="779" t="str" cm="1">
        <f t="array" aca="1" ref="F111" ca="1">OFFSET(G111,-1,-1)</f>
        <v>1</v>
      </c>
      <c r="T111" s="780" t="b">
        <f ca="1">F111&gt;0</f>
        <v>1</v>
      </c>
      <c r="W111" s="318" t="s">
        <v>1045</v>
      </c>
      <c r="X111" s="1800"/>
      <c r="Z111" s="1800"/>
      <c r="AB111" s="495"/>
      <c r="AC111" s="483" t="s">
        <v>1036</v>
      </c>
      <c r="AD111" s="483"/>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909"/>
      <c r="BF111" s="989"/>
      <c r="BG111" s="989"/>
      <c r="BH111" s="989"/>
      <c r="BI111" s="990" t="s">
        <v>1037</v>
      </c>
      <c r="BJ111" s="990"/>
    </row>
    <row r="112" spans="1:62" s="815" customFormat="1" ht="18" customHeight="1">
      <c r="A112" s="165"/>
      <c r="B112" s="165"/>
      <c r="C112" s="165"/>
      <c r="D112" s="165"/>
      <c r="E112" s="682">
        <v>18.8</v>
      </c>
      <c r="F112" s="779" t="str" cm="1">
        <f t="array" ref="F112">X112</f>
        <v>2</v>
      </c>
      <c r="G112" s="165"/>
      <c r="H112" s="165"/>
      <c r="I112" s="165"/>
      <c r="J112" s="165"/>
      <c r="K112" s="163" t="str" cm="1">
        <f t="array" ref="K112">INDEX('Общие сведения'!$AL$187:$AL$236,MATCH($F112,'Общие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112" s="163" t="str" cm="1">
        <f t="array" ref="L112">INDEX('Общие сведения'!$AK$187:$AK$236,MATCH($F112,'Общие сведения'!$Z$187:$Z$236,0))</f>
        <v>одноставочный</v>
      </c>
      <c r="M112" s="165"/>
      <c r="N112" s="165"/>
      <c r="O112" s="165"/>
      <c r="P112" s="165"/>
      <c r="Q112" s="165"/>
      <c r="R112" s="165"/>
      <c r="S112" s="165"/>
      <c r="T112" s="687" t="b">
        <f>X112&gt;0</f>
        <v>1</v>
      </c>
      <c r="U112" s="165"/>
      <c r="V112" s="122" t="str" cm="1">
        <f t="array" ref="V112">'Топливо 4.4'!$AB$300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12" s="165"/>
      <c r="X112" s="1721" t="s">
        <v>348</v>
      </c>
      <c r="Y112" s="165"/>
      <c r="Z112" s="1733"/>
      <c r="AA112" s="165"/>
      <c r="AB112" s="213" t="str" cm="1">
        <f t="array" ref="AB112">IF(ISBLANK('Топливо 4.4'!$AB$300),"",'Топливо 4.4'!$AB$300)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12" s="210"/>
      <c r="AD112" s="204"/>
      <c r="AE112" s="321">
        <f t="shared" ref="AE112:BB112" si="38">AE113+AE135</f>
        <v>0</v>
      </c>
      <c r="AF112" s="321">
        <f t="shared" si="38"/>
        <v>0</v>
      </c>
      <c r="AG112" s="321">
        <f t="shared" si="38"/>
        <v>0</v>
      </c>
      <c r="AH112" s="321">
        <f t="shared" si="38"/>
        <v>22868.380001211121</v>
      </c>
      <c r="AI112" s="321">
        <f t="shared" si="38"/>
        <v>0</v>
      </c>
      <c r="AJ112" s="321">
        <f t="shared" si="38"/>
        <v>0</v>
      </c>
      <c r="AK112" s="321">
        <f t="shared" si="38"/>
        <v>0</v>
      </c>
      <c r="AL112" s="321">
        <f t="shared" si="38"/>
        <v>0</v>
      </c>
      <c r="AM112" s="321">
        <f t="shared" si="38"/>
        <v>0</v>
      </c>
      <c r="AN112" s="321">
        <f t="shared" si="38"/>
        <v>0</v>
      </c>
      <c r="AO112" s="321">
        <f t="shared" si="38"/>
        <v>0</v>
      </c>
      <c r="AP112" s="321">
        <f t="shared" si="38"/>
        <v>0</v>
      </c>
      <c r="AQ112" s="321">
        <f t="shared" si="38"/>
        <v>0</v>
      </c>
      <c r="AR112" s="321">
        <f t="shared" si="38"/>
        <v>0</v>
      </c>
      <c r="AS112" s="321">
        <f t="shared" si="38"/>
        <v>46214.921058667423</v>
      </c>
      <c r="AT112" s="321">
        <f t="shared" si="38"/>
        <v>0</v>
      </c>
      <c r="AU112" s="321">
        <f t="shared" si="38"/>
        <v>0</v>
      </c>
      <c r="AV112" s="321">
        <f t="shared" si="38"/>
        <v>0</v>
      </c>
      <c r="AW112" s="321">
        <f t="shared" si="38"/>
        <v>0</v>
      </c>
      <c r="AX112" s="321">
        <f t="shared" si="38"/>
        <v>0</v>
      </c>
      <c r="AY112" s="321">
        <f t="shared" si="38"/>
        <v>0</v>
      </c>
      <c r="AZ112" s="321">
        <f t="shared" si="38"/>
        <v>0</v>
      </c>
      <c r="BA112" s="321">
        <f t="shared" si="38"/>
        <v>0</v>
      </c>
      <c r="BB112" s="321">
        <f t="shared" si="38"/>
        <v>0</v>
      </c>
      <c r="BC112" s="508"/>
      <c r="BD112" s="165"/>
      <c r="BE112" s="165"/>
      <c r="BF112" s="981"/>
      <c r="BG112" s="987"/>
      <c r="BH112" s="987"/>
      <c r="BI112" s="988"/>
      <c r="BJ112" s="988"/>
    </row>
    <row r="113" spans="1:62" s="671" customFormat="1" ht="16.5" customHeight="1">
      <c r="A113" s="1154"/>
      <c r="B113" s="1154"/>
      <c r="C113" s="1154"/>
      <c r="D113" s="1154"/>
      <c r="E113" s="682">
        <v>17.100000000000001</v>
      </c>
      <c r="F113" s="779" t="str" cm="1">
        <f t="array" aca="1" ref="F113" ca="1">OFFSET(G113,-1,-1)</f>
        <v>2</v>
      </c>
      <c r="G113" s="620" t="s">
        <v>983</v>
      </c>
      <c r="H113" s="1154"/>
      <c r="I113" s="165" t="s">
        <v>984</v>
      </c>
      <c r="J113" s="1154"/>
      <c r="K113" s="1154"/>
      <c r="L113" s="1154"/>
      <c r="M113" s="1154"/>
      <c r="N113" s="1154"/>
      <c r="O113" s="1154"/>
      <c r="P113" s="1154"/>
      <c r="Q113" s="1154"/>
      <c r="R113" s="1154"/>
      <c r="S113" s="1154"/>
      <c r="T113" s="780" t="b" cm="1">
        <f t="array" ref="T113">T112</f>
        <v>1</v>
      </c>
      <c r="U113" s="1154"/>
      <c r="V113" s="1154"/>
      <c r="W113" s="1154"/>
      <c r="X113" s="1721"/>
      <c r="Y113" s="1154"/>
      <c r="Z113" s="1721"/>
      <c r="AA113" s="1154"/>
      <c r="AB113" s="233">
        <v>1</v>
      </c>
      <c r="AC113" s="228" t="s">
        <v>985</v>
      </c>
      <c r="AD113" s="227" t="s">
        <v>839</v>
      </c>
      <c r="AE113" s="512">
        <f t="shared" ref="AE113:BB113" si="39">SUMIF($I118:$I133,$I113,AE118:AE133)</f>
        <v>0</v>
      </c>
      <c r="AF113" s="512">
        <f t="shared" si="39"/>
        <v>0</v>
      </c>
      <c r="AG113" s="512">
        <f t="shared" si="39"/>
        <v>0</v>
      </c>
      <c r="AH113" s="512">
        <f t="shared" si="39"/>
        <v>22868.380001211121</v>
      </c>
      <c r="AI113" s="512">
        <f t="shared" si="39"/>
        <v>0</v>
      </c>
      <c r="AJ113" s="750">
        <f t="shared" si="39"/>
        <v>0</v>
      </c>
      <c r="AK113" s="750">
        <f t="shared" si="39"/>
        <v>0</v>
      </c>
      <c r="AL113" s="750">
        <f t="shared" si="39"/>
        <v>0</v>
      </c>
      <c r="AM113" s="750">
        <f t="shared" si="39"/>
        <v>0</v>
      </c>
      <c r="AN113" s="1313">
        <f t="shared" si="39"/>
        <v>0</v>
      </c>
      <c r="AO113" s="1313">
        <f t="shared" si="39"/>
        <v>0</v>
      </c>
      <c r="AP113" s="1313">
        <f t="shared" si="39"/>
        <v>0</v>
      </c>
      <c r="AQ113" s="1313">
        <f t="shared" si="39"/>
        <v>0</v>
      </c>
      <c r="AR113" s="1313">
        <f t="shared" si="39"/>
        <v>0</v>
      </c>
      <c r="AS113" s="512">
        <f t="shared" si="39"/>
        <v>46214.921058667423</v>
      </c>
      <c r="AT113" s="750">
        <f t="shared" si="39"/>
        <v>0</v>
      </c>
      <c r="AU113" s="750">
        <f t="shared" si="39"/>
        <v>0</v>
      </c>
      <c r="AV113" s="750">
        <f t="shared" si="39"/>
        <v>0</v>
      </c>
      <c r="AW113" s="750">
        <f t="shared" si="39"/>
        <v>0</v>
      </c>
      <c r="AX113" s="1313">
        <f t="shared" si="39"/>
        <v>0</v>
      </c>
      <c r="AY113" s="1313">
        <f t="shared" si="39"/>
        <v>0</v>
      </c>
      <c r="AZ113" s="1313">
        <f t="shared" si="39"/>
        <v>0</v>
      </c>
      <c r="BA113" s="1313">
        <f t="shared" si="39"/>
        <v>0</v>
      </c>
      <c r="BB113" s="1313">
        <f t="shared" si="39"/>
        <v>0</v>
      </c>
      <c r="BC113" s="1298"/>
      <c r="BD113" s="1154"/>
      <c r="BE113" s="1154"/>
      <c r="BF113" s="970" t="s">
        <v>986</v>
      </c>
      <c r="BG113" s="987"/>
      <c r="BH113" s="987"/>
      <c r="BI113" s="988"/>
      <c r="BJ113" s="988"/>
    </row>
    <row r="114" spans="1:62" s="671" customFormat="1" ht="16.5" customHeight="1">
      <c r="A114" s="1154"/>
      <c r="B114" s="1154"/>
      <c r="C114" s="1154"/>
      <c r="D114" s="1154"/>
      <c r="E114" s="682">
        <v>17.100000000000001</v>
      </c>
      <c r="F114" s="779" t="str" cm="1">
        <f t="array" aca="1" ref="F114" ca="1">OFFSET(G114,-1,-1)</f>
        <v>2</v>
      </c>
      <c r="G114" s="1154"/>
      <c r="H114" s="1154"/>
      <c r="I114" s="1154"/>
      <c r="J114" s="1154"/>
      <c r="K114" s="1154"/>
      <c r="L114" s="1154"/>
      <c r="M114" s="1154"/>
      <c r="N114" s="1154"/>
      <c r="O114" s="1154"/>
      <c r="P114" s="1154"/>
      <c r="Q114" s="1154"/>
      <c r="R114" s="1154"/>
      <c r="S114" s="1154"/>
      <c r="T114" s="780" t="b" cm="1">
        <f t="array" ref="T114">T113</f>
        <v>1</v>
      </c>
      <c r="U114" s="1154"/>
      <c r="V114" s="1154"/>
      <c r="W114" s="1154"/>
      <c r="X114" s="1721"/>
      <c r="Y114" s="1154"/>
      <c r="Z114" s="1721"/>
      <c r="AA114" s="1154"/>
      <c r="AB114" s="166" t="s">
        <v>484</v>
      </c>
      <c r="AC114" s="223" t="s">
        <v>987</v>
      </c>
      <c r="AD114" s="121" t="s">
        <v>762</v>
      </c>
      <c r="AE114" s="216">
        <f t="shared" ref="AE114:BB114" si="40">SUMIF($AD118:$AD133,$AD114,AE118:AE133)</f>
        <v>0</v>
      </c>
      <c r="AF114" s="216">
        <f t="shared" si="40"/>
        <v>0</v>
      </c>
      <c r="AG114" s="216">
        <f t="shared" si="40"/>
        <v>0</v>
      </c>
      <c r="AH114" s="216">
        <f t="shared" si="40"/>
        <v>3641.8311570000001</v>
      </c>
      <c r="AI114" s="216">
        <f t="shared" si="40"/>
        <v>0</v>
      </c>
      <c r="AJ114" s="162">
        <f t="shared" si="40"/>
        <v>0</v>
      </c>
      <c r="AK114" s="162">
        <f t="shared" si="40"/>
        <v>0</v>
      </c>
      <c r="AL114" s="162">
        <f t="shared" si="40"/>
        <v>0</v>
      </c>
      <c r="AM114" s="162">
        <f t="shared" si="40"/>
        <v>0</v>
      </c>
      <c r="AN114" s="1240">
        <f t="shared" si="40"/>
        <v>0</v>
      </c>
      <c r="AO114" s="1240">
        <f t="shared" si="40"/>
        <v>0</v>
      </c>
      <c r="AP114" s="1240">
        <f t="shared" si="40"/>
        <v>0</v>
      </c>
      <c r="AQ114" s="1240">
        <f t="shared" si="40"/>
        <v>0</v>
      </c>
      <c r="AR114" s="1240">
        <f t="shared" si="40"/>
        <v>0</v>
      </c>
      <c r="AS114" s="216">
        <f t="shared" si="40"/>
        <v>6002.42</v>
      </c>
      <c r="AT114" s="162">
        <f t="shared" si="40"/>
        <v>0</v>
      </c>
      <c r="AU114" s="162">
        <f t="shared" si="40"/>
        <v>0</v>
      </c>
      <c r="AV114" s="162">
        <f t="shared" si="40"/>
        <v>0</v>
      </c>
      <c r="AW114" s="162">
        <f t="shared" si="40"/>
        <v>0</v>
      </c>
      <c r="AX114" s="1240">
        <f t="shared" si="40"/>
        <v>0</v>
      </c>
      <c r="AY114" s="1240">
        <f t="shared" si="40"/>
        <v>0</v>
      </c>
      <c r="AZ114" s="1240">
        <f t="shared" si="40"/>
        <v>0</v>
      </c>
      <c r="BA114" s="1240">
        <f t="shared" si="40"/>
        <v>0</v>
      </c>
      <c r="BB114" s="1240">
        <f t="shared" si="40"/>
        <v>0</v>
      </c>
      <c r="BC114" s="1290"/>
      <c r="BD114" s="1154"/>
      <c r="BE114" s="1154"/>
      <c r="BF114" s="981" t="s">
        <v>988</v>
      </c>
      <c r="BG114" s="987"/>
      <c r="BH114" s="987"/>
      <c r="BI114" s="988"/>
      <c r="BJ114" s="988"/>
    </row>
    <row r="115" spans="1:62" s="671" customFormat="1" ht="16.5" customHeight="1">
      <c r="A115" s="1154"/>
      <c r="B115" s="1154"/>
      <c r="C115" s="1154"/>
      <c r="D115" s="1154"/>
      <c r="E115" s="682">
        <v>17.100000000000001</v>
      </c>
      <c r="F115" s="779" t="str" cm="1">
        <f t="array" aca="1" ref="F115" ca="1">OFFSET(G115,-1,-1)</f>
        <v>2</v>
      </c>
      <c r="G115" s="1154"/>
      <c r="H115" s="1154"/>
      <c r="I115" s="1154"/>
      <c r="J115" s="1154"/>
      <c r="K115" s="1154"/>
      <c r="L115" s="1154"/>
      <c r="M115" s="1154"/>
      <c r="N115" s="1154"/>
      <c r="O115" s="1154"/>
      <c r="P115" s="1154"/>
      <c r="Q115" s="1154"/>
      <c r="R115" s="1154"/>
      <c r="S115" s="1154"/>
      <c r="T115" s="780" t="b" cm="1">
        <f t="array" ref="T115">T114</f>
        <v>1</v>
      </c>
      <c r="U115" s="1154"/>
      <c r="V115" s="1154"/>
      <c r="W115" s="1154"/>
      <c r="X115" s="1721"/>
      <c r="Y115" s="1154"/>
      <c r="Z115" s="1721"/>
      <c r="AA115" s="1154"/>
      <c r="AB115" s="166" t="s">
        <v>989</v>
      </c>
      <c r="AC115" s="223" t="s">
        <v>990</v>
      </c>
      <c r="AD115" s="121" t="s">
        <v>634</v>
      </c>
      <c r="AE115" s="1314">
        <f ca="1">IF($K112="передача тепловой энергии",SUMIFS('Баланс Тр'!AE$27:AE$50,'Баланс Тр'!$F$27:$F$50,$F115,'Баланс Тр'!$AB$27:$AB$50,"3"),SUMIFS('Баланс Пр'!AE$27:AE$233,'Баланс Пр'!$F$27:$F$233,$F115,'Баланс Пр'!$AB$27:$AB$233,"9.1"))</f>
        <v>0</v>
      </c>
      <c r="AF115" s="1314">
        <f ca="1">IF($K112="передача тепловой энергии",SUMIFS('Баланс Тр'!AF$27:AF$50,'Баланс Тр'!$F$27:$F$50,$F115,'Баланс Тр'!$AB$27:$AB$50,"3"),SUMIFS('Баланс Пр'!AF$27:AF$233,'Баланс Пр'!$F$27:$F$233,$F115,'Баланс Пр'!$AB$27:$AB$233,"9.1"))</f>
        <v>0</v>
      </c>
      <c r="AG115" s="1314">
        <f ca="1">IF($K112="передача тепловой энергии",SUMIFS('Баланс Тр'!AG$27:AG$50,'Баланс Тр'!$F$27:$F$50,$F115,'Баланс Тр'!$AB$27:$AB$50,"3"),SUMIFS('Баланс Пр'!AG$27:AG$233,'Баланс Пр'!$F$27:$F$233,$F115,'Баланс Пр'!$AB$27:$AB$233,"9.1"))</f>
        <v>0</v>
      </c>
      <c r="AH115" s="1314">
        <f ca="1">IF($K112="передача тепловой энергии",SUMIFS('Баланс Тр'!AH$27:AH$50,'Баланс Тр'!$F$27:$F$50,$F115,'Баланс Тр'!$AB$27:$AB$50,"3"),SUMIFS('Баланс Пр'!AH$27:AH$233,'Баланс Пр'!$F$27:$F$233,$F115,'Баланс Пр'!$AB$27:$AB$233,"9.1"))</f>
        <v>111706</v>
      </c>
      <c r="AI115" s="257">
        <f ca="1">IF($K112="передача тепловой энергии",SUMIFS('Баланс Тр'!AI$27:AI$50,'Баланс Тр'!$F$27:$F$50,$F115,'Баланс Тр'!$AB$27:$AB$50,"3"),SUMIFS('Баланс Пр'!AI$27:AI$233,'Баланс Пр'!$F$27:$F$233,$F115,'Баланс Пр'!$AB$27:$AB$233,"9.1"))</f>
        <v>0</v>
      </c>
      <c r="AJ115" s="257">
        <f ca="1">IF($K112="передача тепловой энергии",SUMIFS('Баланс Тр'!AJ$27:AJ$50,'Баланс Тр'!$F$27:$F$50,$F115,'Баланс Тр'!$AB$27:$AB$50,"3"),SUMIFS('Баланс Пр'!AJ$27:AJ$233,'Баланс Пр'!$F$27:$F$233,$F115,'Баланс Пр'!$AB$27:$AB$233,"9.1"))</f>
        <v>0</v>
      </c>
      <c r="AK115" s="257">
        <f ca="1">IF($K112="передача тепловой энергии",SUMIFS('Баланс Тр'!AK$27:AK$50,'Баланс Тр'!$F$27:$F$50,$F115,'Баланс Тр'!$AB$27:$AB$50,"3"),SUMIFS('Баланс Пр'!AK$27:AK$233,'Баланс Пр'!$F$27:$F$233,$F115,'Баланс Пр'!$AB$27:$AB$233,"9.1"))</f>
        <v>0</v>
      </c>
      <c r="AL115" s="257">
        <f ca="1">IF($K112="передача тепловой энергии",SUMIFS('Баланс Тр'!AL$27:AL$50,'Баланс Тр'!$F$27:$F$50,$F115,'Баланс Тр'!$AB$27:$AB$50,"3"),SUMIFS('Баланс Пр'!AL$27:AL$233,'Баланс Пр'!$F$27:$F$233,$F115,'Баланс Пр'!$AB$27:$AB$233,"9.1"))</f>
        <v>0</v>
      </c>
      <c r="AM115" s="257">
        <f ca="1">IF($K112="передача тепловой энергии",SUMIFS('Баланс Тр'!AM$27:AM$50,'Баланс Тр'!$F$27:$F$50,$F115,'Баланс Тр'!$AB$27:$AB$50,"3"),SUMIFS('Баланс Пр'!AM$27:AM$233,'Баланс Пр'!$F$27:$F$233,$F115,'Баланс Пр'!$AB$27:$AB$233,"9.1"))</f>
        <v>0</v>
      </c>
      <c r="AN115" s="1314">
        <f ca="1">IF($K112="передача тепловой энергии",SUMIFS('Баланс Тр'!AN$27:AN$50,'Баланс Тр'!$F$27:$F$50,$F115,'Баланс Тр'!$AB$27:$AB$50,"3"),SUMIFS('Баланс Пр'!AN$27:AN$233,'Баланс Пр'!$F$27:$F$233,$F115,'Баланс Пр'!$AB$27:$AB$233,"9.1"))</f>
        <v>0</v>
      </c>
      <c r="AO115" s="1314">
        <f ca="1">IF($K112="передача тепловой энергии",SUMIFS('Баланс Тр'!AO$27:AO$50,'Баланс Тр'!$F$27:$F$50,$F115,'Баланс Тр'!$AB$27:$AB$50,"3"),SUMIFS('Баланс Пр'!AO$27:AO$233,'Баланс Пр'!$F$27:$F$233,$F115,'Баланс Пр'!$AB$27:$AB$233,"9.1"))</f>
        <v>0</v>
      </c>
      <c r="AP115" s="1314">
        <f ca="1">IF($K112="передача тепловой энергии",SUMIFS('Баланс Тр'!AP$27:AP$50,'Баланс Тр'!$F$27:$F$50,$F115,'Баланс Тр'!$AB$27:$AB$50,"3"),SUMIFS('Баланс Пр'!AP$27:AP$233,'Баланс Пр'!$F$27:$F$233,$F115,'Баланс Пр'!$AB$27:$AB$233,"9.1"))</f>
        <v>0</v>
      </c>
      <c r="AQ115" s="1314">
        <f ca="1">IF($K112="передача тепловой энергии",SUMIFS('Баланс Тр'!AQ$27:AQ$50,'Баланс Тр'!$F$27:$F$50,$F115,'Баланс Тр'!$AB$27:$AB$50,"3"),SUMIFS('Баланс Пр'!AQ$27:AQ$233,'Баланс Пр'!$F$27:$F$233,$F115,'Баланс Пр'!$AB$27:$AB$233,"9.1"))</f>
        <v>0</v>
      </c>
      <c r="AR115" s="1314">
        <f ca="1">IF($K112="передача тепловой энергии",SUMIFS('Баланс Тр'!AR$27:AR$50,'Баланс Тр'!$F$27:$F$50,$F115,'Баланс Тр'!$AB$27:$AB$50,"3"),SUMIFS('Баланс Пр'!AR$27:AR$233,'Баланс Пр'!$F$27:$F$233,$F115,'Баланс Пр'!$AB$27:$AB$233,"9.1"))</f>
        <v>0</v>
      </c>
      <c r="AS115" s="257">
        <f ca="1">IF($K112="передача тепловой энергии",SUMIFS('Баланс Тр'!AS$27:AS$50,'Баланс Тр'!$F$27:$F$50,$F115,'Баланс Тр'!$AB$27:$AB$50,"3"),SUMIFS('Баланс Пр'!AS$27:AS$233,'Баланс Пр'!$F$27:$F$233,$F115,'Баланс Пр'!$AB$27:$AB$233,"9.1"))</f>
        <v>112183.11</v>
      </c>
      <c r="AT115" s="257">
        <f ca="1">IF($K112="передача тепловой энергии",SUMIFS('Баланс Тр'!AT$27:AT$50,'Баланс Тр'!$F$27:$F$50,$F115,'Баланс Тр'!$AB$27:$AB$50,"3"),SUMIFS('Баланс Пр'!AT$27:AT$233,'Баланс Пр'!$F$27:$F$233,$F115,'Баланс Пр'!$AB$27:$AB$233,"9.1"))</f>
        <v>0</v>
      </c>
      <c r="AU115" s="257">
        <f ca="1">IF($K112="передача тепловой энергии",SUMIFS('Баланс Тр'!AU$27:AU$50,'Баланс Тр'!$F$27:$F$50,$F115,'Баланс Тр'!$AB$27:$AB$50,"3"),SUMIFS('Баланс Пр'!AU$27:AU$233,'Баланс Пр'!$F$27:$F$233,$F115,'Баланс Пр'!$AB$27:$AB$233,"9.1"))</f>
        <v>0</v>
      </c>
      <c r="AV115" s="257">
        <f ca="1">IF($K112="передача тепловой энергии",SUMIFS('Баланс Тр'!AV$27:AV$50,'Баланс Тр'!$F$27:$F$50,$F115,'Баланс Тр'!$AB$27:$AB$50,"3"),SUMIFS('Баланс Пр'!AV$27:AV$233,'Баланс Пр'!$F$27:$F$233,$F115,'Баланс Пр'!$AB$27:$AB$233,"9.1"))</f>
        <v>0</v>
      </c>
      <c r="AW115" s="257">
        <f ca="1">IF($K112="передача тепловой энергии",SUMIFS('Баланс Тр'!AW$27:AW$50,'Баланс Тр'!$F$27:$F$50,$F115,'Баланс Тр'!$AB$27:$AB$50,"3"),SUMIFS('Баланс Пр'!AW$27:AW$233,'Баланс Пр'!$F$27:$F$233,$F115,'Баланс Пр'!$AB$27:$AB$233,"9.1"))</f>
        <v>0</v>
      </c>
      <c r="AX115" s="1314">
        <f ca="1">IF($K112="передача тепловой энергии",SUMIFS('Баланс Тр'!AX$27:AX$50,'Баланс Тр'!$F$27:$F$50,$F115,'Баланс Тр'!$AB$27:$AB$50,"3"),SUMIFS('Баланс Пр'!AX$27:AX$233,'Баланс Пр'!$F$27:$F$233,$F115,'Баланс Пр'!$AB$27:$AB$233,"9.1"))</f>
        <v>0</v>
      </c>
      <c r="AY115" s="1314">
        <f ca="1">IF($K112="передача тепловой энергии",SUMIFS('Баланс Тр'!AY$27:AY$50,'Баланс Тр'!$F$27:$F$50,$F115,'Баланс Тр'!$AB$27:$AB$50,"3"),SUMIFS('Баланс Пр'!AY$27:AY$233,'Баланс Пр'!$F$27:$F$233,$F115,'Баланс Пр'!$AB$27:$AB$233,"9.1"))</f>
        <v>0</v>
      </c>
      <c r="AZ115" s="1314">
        <f ca="1">IF($K112="передача тепловой энергии",SUMIFS('Баланс Тр'!AZ$27:AZ$50,'Баланс Тр'!$F$27:$F$50,$F115,'Баланс Тр'!$AB$27:$AB$50,"3"),SUMIFS('Баланс Пр'!AZ$27:AZ$233,'Баланс Пр'!$F$27:$F$233,$F115,'Баланс Пр'!$AB$27:$AB$233,"9.1"))</f>
        <v>0</v>
      </c>
      <c r="BA115" s="1314">
        <f ca="1">IF($K112="передача тепловой энергии",SUMIFS('Баланс Тр'!BA$27:BA$50,'Баланс Тр'!$F$27:$F$50,$F115,'Баланс Тр'!$AB$27:$AB$50,"3"),SUMIFS('Баланс Пр'!BA$27:BA$233,'Баланс Пр'!$F$27:$F$233,$F115,'Баланс Пр'!$AB$27:$AB$233,"9.1"))</f>
        <v>0</v>
      </c>
      <c r="BB115" s="1314">
        <f ca="1">IF($K112="передача тепловой энергии",SUMIFS('Баланс Тр'!BB$27:BB$50,'Баланс Тр'!$F$27:$F$50,$F115,'Баланс Тр'!$AB$27:$AB$50,"3"),SUMIFS('Баланс Пр'!BB$27:BB$233,'Баланс Пр'!$F$27:$F$233,$F115,'Баланс Пр'!$AB$27:$AB$233,"9.1"))</f>
        <v>0</v>
      </c>
      <c r="BC115" s="1290"/>
      <c r="BD115" s="1154"/>
      <c r="BE115" s="1154"/>
      <c r="BF115" s="981" t="s">
        <v>788</v>
      </c>
      <c r="BG115" s="987"/>
      <c r="BH115" s="987"/>
      <c r="BI115" s="988"/>
      <c r="BJ115" s="988"/>
    </row>
    <row r="116" spans="1:62" s="671" customFormat="1" ht="16.5" customHeight="1">
      <c r="A116" s="1154"/>
      <c r="B116" s="1154"/>
      <c r="C116" s="1154"/>
      <c r="D116" s="1154"/>
      <c r="E116" s="682">
        <v>17.100000000000001</v>
      </c>
      <c r="F116" s="779" t="str" cm="1">
        <f t="array" aca="1" ref="F116" ca="1">OFFSET(G116,-1,-1)</f>
        <v>2</v>
      </c>
      <c r="G116" s="1154"/>
      <c r="H116" s="1154"/>
      <c r="I116" s="1154"/>
      <c r="J116" s="1154"/>
      <c r="K116" s="1154"/>
      <c r="L116" s="1154"/>
      <c r="M116" s="1154"/>
      <c r="N116" s="1154"/>
      <c r="O116" s="1154"/>
      <c r="P116" s="1154"/>
      <c r="Q116" s="1154"/>
      <c r="R116" s="1154"/>
      <c r="S116" s="1154"/>
      <c r="T116" s="780" t="b" cm="1">
        <f t="array" ref="T116">T115</f>
        <v>1</v>
      </c>
      <c r="U116" s="1154"/>
      <c r="V116" s="1154"/>
      <c r="W116" s="1154"/>
      <c r="X116" s="1721"/>
      <c r="Y116" s="1154"/>
      <c r="Z116" s="1721"/>
      <c r="AA116" s="1154"/>
      <c r="AB116" s="166" t="s">
        <v>991</v>
      </c>
      <c r="AC116" s="223" t="s">
        <v>992</v>
      </c>
      <c r="AD116" s="121" t="s">
        <v>993</v>
      </c>
      <c r="AE116" s="216">
        <f t="shared" ref="AE116:BB116" si="41">IF(AE114=0,0,AE113/AE114)</f>
        <v>0</v>
      </c>
      <c r="AF116" s="216">
        <f t="shared" si="41"/>
        <v>0</v>
      </c>
      <c r="AG116" s="216">
        <f t="shared" si="41"/>
        <v>0</v>
      </c>
      <c r="AH116" s="216">
        <f t="shared" si="41"/>
        <v>6.2793630498919697</v>
      </c>
      <c r="AI116" s="216">
        <f t="shared" si="41"/>
        <v>0</v>
      </c>
      <c r="AJ116" s="162">
        <f t="shared" si="41"/>
        <v>0</v>
      </c>
      <c r="AK116" s="162">
        <f t="shared" si="41"/>
        <v>0</v>
      </c>
      <c r="AL116" s="162">
        <f t="shared" si="41"/>
        <v>0</v>
      </c>
      <c r="AM116" s="162">
        <f t="shared" si="41"/>
        <v>0</v>
      </c>
      <c r="AN116" s="1240">
        <f t="shared" si="41"/>
        <v>0</v>
      </c>
      <c r="AO116" s="1240">
        <f t="shared" si="41"/>
        <v>0</v>
      </c>
      <c r="AP116" s="1240">
        <f t="shared" si="41"/>
        <v>0</v>
      </c>
      <c r="AQ116" s="1240">
        <f t="shared" si="41"/>
        <v>0</v>
      </c>
      <c r="AR116" s="1240">
        <f t="shared" si="41"/>
        <v>0</v>
      </c>
      <c r="AS116" s="216">
        <f t="shared" si="41"/>
        <v>7.6993814259361093</v>
      </c>
      <c r="AT116" s="162">
        <f t="shared" si="41"/>
        <v>0</v>
      </c>
      <c r="AU116" s="162">
        <f t="shared" si="41"/>
        <v>0</v>
      </c>
      <c r="AV116" s="162">
        <f t="shared" si="41"/>
        <v>0</v>
      </c>
      <c r="AW116" s="162">
        <f t="shared" si="41"/>
        <v>0</v>
      </c>
      <c r="AX116" s="1240">
        <f t="shared" si="41"/>
        <v>0</v>
      </c>
      <c r="AY116" s="1240">
        <f t="shared" si="41"/>
        <v>0</v>
      </c>
      <c r="AZ116" s="1240">
        <f t="shared" si="41"/>
        <v>0</v>
      </c>
      <c r="BA116" s="1240">
        <f t="shared" si="41"/>
        <v>0</v>
      </c>
      <c r="BB116" s="1240">
        <f t="shared" si="41"/>
        <v>0</v>
      </c>
      <c r="BC116" s="1290"/>
      <c r="BD116" s="1154"/>
      <c r="BE116" s="1154"/>
      <c r="BF116" s="981" t="s">
        <v>994</v>
      </c>
      <c r="BG116" s="987"/>
      <c r="BH116" s="987"/>
      <c r="BI116" s="988"/>
      <c r="BJ116" s="988"/>
    </row>
    <row r="117" spans="1:62" s="671" customFormat="1" ht="16.5" customHeight="1">
      <c r="A117" s="1154"/>
      <c r="B117" s="1154"/>
      <c r="C117" s="1154"/>
      <c r="D117" s="1154"/>
      <c r="E117" s="682">
        <v>17.100000000000001</v>
      </c>
      <c r="F117" s="779" t="str" cm="1">
        <f t="array" aca="1" ref="F117" ca="1">OFFSET(G117,-1,-1)</f>
        <v>2</v>
      </c>
      <c r="G117" s="1154"/>
      <c r="H117" s="1154"/>
      <c r="I117" s="1154"/>
      <c r="J117" s="1154"/>
      <c r="K117" s="1154"/>
      <c r="L117" s="1154"/>
      <c r="M117" s="1154"/>
      <c r="N117" s="1154"/>
      <c r="O117" s="1154"/>
      <c r="P117" s="1154"/>
      <c r="Q117" s="1154"/>
      <c r="R117" s="1154"/>
      <c r="S117" s="1154"/>
      <c r="T117" s="780" t="b" cm="1">
        <f t="array" ref="T117">T116</f>
        <v>1</v>
      </c>
      <c r="U117" s="1154"/>
      <c r="V117" s="1154"/>
      <c r="W117" s="1154"/>
      <c r="X117" s="1721"/>
      <c r="Y117" s="1154"/>
      <c r="Z117" s="1721"/>
      <c r="AA117" s="1154"/>
      <c r="AB117" s="166" t="s">
        <v>995</v>
      </c>
      <c r="AC117" s="223" t="s">
        <v>996</v>
      </c>
      <c r="AD117" s="121" t="s">
        <v>774</v>
      </c>
      <c r="AE117" s="328">
        <f t="shared" ref="AE117:BB117" ca="1" si="42">IF(AE115=0,0,AE114/AE115)*1000</f>
        <v>0</v>
      </c>
      <c r="AF117" s="328">
        <f t="shared" ca="1" si="42"/>
        <v>0</v>
      </c>
      <c r="AG117" s="328">
        <f t="shared" ca="1" si="42"/>
        <v>0</v>
      </c>
      <c r="AH117" s="328">
        <f t="shared" ca="1" si="42"/>
        <v>32.601929681485331</v>
      </c>
      <c r="AI117" s="328">
        <f t="shared" ca="1" si="42"/>
        <v>0</v>
      </c>
      <c r="AJ117" s="296">
        <f t="shared" ca="1" si="42"/>
        <v>0</v>
      </c>
      <c r="AK117" s="296">
        <f t="shared" ca="1" si="42"/>
        <v>0</v>
      </c>
      <c r="AL117" s="296">
        <f t="shared" ca="1" si="42"/>
        <v>0</v>
      </c>
      <c r="AM117" s="296">
        <f t="shared" ca="1" si="42"/>
        <v>0</v>
      </c>
      <c r="AN117" s="1315">
        <f t="shared" ca="1" si="42"/>
        <v>0</v>
      </c>
      <c r="AO117" s="1315">
        <f t="shared" ca="1" si="42"/>
        <v>0</v>
      </c>
      <c r="AP117" s="1315">
        <f t="shared" ca="1" si="42"/>
        <v>0</v>
      </c>
      <c r="AQ117" s="1315">
        <f t="shared" ca="1" si="42"/>
        <v>0</v>
      </c>
      <c r="AR117" s="1315">
        <f t="shared" ca="1" si="42"/>
        <v>0</v>
      </c>
      <c r="AS117" s="328">
        <f t="shared" ca="1" si="42"/>
        <v>53.505558902761742</v>
      </c>
      <c r="AT117" s="296">
        <f t="shared" ca="1" si="42"/>
        <v>0</v>
      </c>
      <c r="AU117" s="296">
        <f t="shared" ca="1" si="42"/>
        <v>0</v>
      </c>
      <c r="AV117" s="296">
        <f t="shared" ca="1" si="42"/>
        <v>0</v>
      </c>
      <c r="AW117" s="296">
        <f t="shared" ca="1" si="42"/>
        <v>0</v>
      </c>
      <c r="AX117" s="1315">
        <f t="shared" ca="1" si="42"/>
        <v>0</v>
      </c>
      <c r="AY117" s="1315">
        <f t="shared" ca="1" si="42"/>
        <v>0</v>
      </c>
      <c r="AZ117" s="1315">
        <f t="shared" ca="1" si="42"/>
        <v>0</v>
      </c>
      <c r="BA117" s="1315">
        <f t="shared" ca="1" si="42"/>
        <v>0</v>
      </c>
      <c r="BB117" s="1315">
        <f t="shared" ca="1" si="42"/>
        <v>0</v>
      </c>
      <c r="BC117" s="1290"/>
      <c r="BD117" s="1154"/>
      <c r="BE117" s="1154"/>
      <c r="BF117" s="981" t="s">
        <v>765</v>
      </c>
      <c r="BG117" s="987"/>
      <c r="BH117" s="987"/>
      <c r="BI117" s="988"/>
      <c r="BJ117" s="988"/>
    </row>
    <row r="118" spans="1:62" s="671" customFormat="1" ht="16.5" customHeight="1">
      <c r="A118" s="1154"/>
      <c r="B118" s="1154"/>
      <c r="C118" s="1154"/>
      <c r="D118" s="1154"/>
      <c r="E118" s="682">
        <v>17.100000000000001</v>
      </c>
      <c r="F118" s="779" t="str" cm="1">
        <f t="array" aca="1" ref="F118" ca="1">OFFSET(G118,-1,-1)</f>
        <v>2</v>
      </c>
      <c r="G118" s="1154"/>
      <c r="H118" s="1154"/>
      <c r="I118" s="1154"/>
      <c r="J118" s="1154"/>
      <c r="K118" s="1154"/>
      <c r="L118" s="1154"/>
      <c r="M118" s="1154"/>
      <c r="N118" s="1154"/>
      <c r="O118" s="1154"/>
      <c r="P118" s="1154"/>
      <c r="Q118" s="1154"/>
      <c r="R118" s="1154"/>
      <c r="S118" s="109"/>
      <c r="T118" s="780" t="b" cm="1">
        <f t="array" ref="T118">T117</f>
        <v>1</v>
      </c>
      <c r="U118" s="1154"/>
      <c r="V118" s="1154"/>
      <c r="W118" s="1154"/>
      <c r="X118" s="1721"/>
      <c r="Y118" s="1154"/>
      <c r="Z118" s="1721"/>
      <c r="AA118" s="1154"/>
      <c r="AB118" s="290"/>
      <c r="AC118" s="287" t="s">
        <v>997</v>
      </c>
      <c r="AD118" s="288"/>
      <c r="AE118" s="289"/>
      <c r="AF118" s="289"/>
      <c r="AG118" s="289"/>
      <c r="AH118" s="289"/>
      <c r="AI118" s="289"/>
      <c r="AJ118" s="289"/>
      <c r="AK118" s="289"/>
      <c r="AL118" s="289"/>
      <c r="AM118" s="289"/>
      <c r="AN118" s="289"/>
      <c r="AO118" s="289"/>
      <c r="AP118" s="289"/>
      <c r="AQ118" s="289"/>
      <c r="AR118" s="289"/>
      <c r="AS118" s="289"/>
      <c r="AT118" s="289"/>
      <c r="AU118" s="289"/>
      <c r="AV118" s="289"/>
      <c r="AW118" s="289"/>
      <c r="AX118" s="289"/>
      <c r="AY118" s="289"/>
      <c r="AZ118" s="289"/>
      <c r="BA118" s="289"/>
      <c r="BB118" s="289"/>
      <c r="BC118" s="905"/>
      <c r="BD118" s="1154"/>
      <c r="BE118" s="1154"/>
      <c r="BF118" s="981"/>
      <c r="BG118" s="987"/>
      <c r="BH118" s="987"/>
      <c r="BI118" s="988"/>
      <c r="BJ118" s="988"/>
    </row>
    <row r="119" spans="1:62" s="671" customFormat="1" ht="16.5" hidden="1" customHeight="1">
      <c r="A119" s="927" t="str">
        <f ca="1">"checkCosts_1."&amp;F119&amp;"."&amp;Y119</f>
        <v>checkCosts_1.2.0</v>
      </c>
      <c r="E119" s="682">
        <v>17.100000000000001</v>
      </c>
      <c r="F119" s="779" t="str" cm="1">
        <f t="array" aca="1" ref="F119" ca="1">OFFSET(G119,-1,-1)</f>
        <v>2</v>
      </c>
      <c r="H119" s="163" cm="1">
        <f t="array" ref="H119">AC119</f>
        <v>0</v>
      </c>
      <c r="I119" s="165" t="s">
        <v>984</v>
      </c>
      <c r="S119" s="1801"/>
      <c r="T119" s="780" t="b">
        <f ca="1">AND(F119&gt;0,Y119&gt;0)</f>
        <v>0</v>
      </c>
      <c r="W119" s="122" t="s">
        <v>236</v>
      </c>
      <c r="X119" s="1798"/>
      <c r="Y119" s="1721">
        <v>0</v>
      </c>
      <c r="Z119" s="1798"/>
      <c r="AA119" s="1669" t="s">
        <v>218</v>
      </c>
      <c r="AB119" s="166" t="str">
        <f>"1.5."&amp;Y119</f>
        <v>1.5.0</v>
      </c>
      <c r="AC119" s="55"/>
      <c r="AD119" s="107" t="s">
        <v>839</v>
      </c>
      <c r="AE119" s="216">
        <f>AE120*AE121</f>
        <v>0</v>
      </c>
      <c r="AF119" s="14"/>
      <c r="AG119" s="14"/>
      <c r="AH119" s="216">
        <f>AH120*AH121</f>
        <v>0</v>
      </c>
      <c r="AI119" s="162"/>
      <c r="AJ119" s="162"/>
      <c r="AK119" s="162"/>
      <c r="AL119" s="162"/>
      <c r="AM119" s="162"/>
      <c r="AN119" s="14"/>
      <c r="AO119" s="14"/>
      <c r="AP119" s="14"/>
      <c r="AQ119" s="14"/>
      <c r="AR119" s="14"/>
      <c r="AS119" s="216">
        <f t="shared" ref="AS119:BB119" si="43">AS120*AS121</f>
        <v>0</v>
      </c>
      <c r="AT119" s="216">
        <f t="shared" si="43"/>
        <v>0</v>
      </c>
      <c r="AU119" s="216">
        <f t="shared" si="43"/>
        <v>0</v>
      </c>
      <c r="AV119" s="216">
        <f t="shared" si="43"/>
        <v>0</v>
      </c>
      <c r="AW119" s="216">
        <f t="shared" si="43"/>
        <v>0</v>
      </c>
      <c r="AX119" s="216">
        <f t="shared" si="43"/>
        <v>0</v>
      </c>
      <c r="AY119" s="216">
        <f t="shared" si="43"/>
        <v>0</v>
      </c>
      <c r="AZ119" s="216">
        <f t="shared" si="43"/>
        <v>0</v>
      </c>
      <c r="BA119" s="216">
        <f t="shared" si="43"/>
        <v>0</v>
      </c>
      <c r="BB119" s="216">
        <f t="shared" si="43"/>
        <v>0</v>
      </c>
      <c r="BC119" s="28"/>
      <c r="BF119" s="981" t="s">
        <v>998</v>
      </c>
      <c r="BG119" s="987" t="s">
        <v>999</v>
      </c>
      <c r="BH119" s="987" cm="1">
        <f t="array" ref="BH119">AC119</f>
        <v>0</v>
      </c>
      <c r="BI119" s="988"/>
      <c r="BJ119" s="988" t="b">
        <v>1</v>
      </c>
    </row>
    <row r="120" spans="1:62" s="671" customFormat="1" ht="16.5" hidden="1" customHeight="1">
      <c r="E120" s="682">
        <v>17.100000000000001</v>
      </c>
      <c r="F120" s="779" t="str" cm="1">
        <f t="array" aca="1" ref="F120" ca="1">OFFSET(G120,-1,-1)</f>
        <v>2</v>
      </c>
      <c r="H120" s="163" cm="1">
        <f t="array" ref="H120">H119</f>
        <v>0</v>
      </c>
      <c r="S120" s="1801"/>
      <c r="T120" s="780" t="b" cm="1">
        <f t="array" aca="1" ref="T120" ca="1">T119</f>
        <v>0</v>
      </c>
      <c r="X120" s="1798"/>
      <c r="Y120" s="1798"/>
      <c r="Z120" s="1798"/>
      <c r="AA120" s="1808"/>
      <c r="AB120" s="694" t="str">
        <f>AB119&amp;".1"</f>
        <v>1.5.0.1</v>
      </c>
      <c r="AC120" s="663" t="s">
        <v>1000</v>
      </c>
      <c r="AD120" s="125" t="s">
        <v>1001</v>
      </c>
      <c r="AE120" s="1321"/>
      <c r="AF120" s="1322">
        <f>IF(AF121=0,0,AF119/AF121)</f>
        <v>0</v>
      </c>
      <c r="AG120" s="1322">
        <f>IF(AG121=0,0,AG119/AG121)</f>
        <v>0</v>
      </c>
      <c r="AH120" s="1321"/>
      <c r="AI120" s="1322">
        <f t="shared" ref="AI120:AR120" si="44">IF(AI121=0,0,AI119/AI121)</f>
        <v>0</v>
      </c>
      <c r="AJ120" s="1322">
        <f t="shared" si="44"/>
        <v>0</v>
      </c>
      <c r="AK120" s="1322">
        <f t="shared" si="44"/>
        <v>0</v>
      </c>
      <c r="AL120" s="1322">
        <f t="shared" si="44"/>
        <v>0</v>
      </c>
      <c r="AM120" s="1322">
        <f t="shared" si="44"/>
        <v>0</v>
      </c>
      <c r="AN120" s="1322">
        <f t="shared" si="44"/>
        <v>0</v>
      </c>
      <c r="AO120" s="1322">
        <f t="shared" si="44"/>
        <v>0</v>
      </c>
      <c r="AP120" s="1322">
        <f t="shared" si="44"/>
        <v>0</v>
      </c>
      <c r="AQ120" s="1322">
        <f t="shared" si="44"/>
        <v>0</v>
      </c>
      <c r="AR120" s="1322">
        <f t="shared" si="44"/>
        <v>0</v>
      </c>
      <c r="AS120" s="661"/>
      <c r="AT120" s="661"/>
      <c r="AU120" s="661"/>
      <c r="AV120" s="661"/>
      <c r="AW120" s="661"/>
      <c r="AX120" s="1321"/>
      <c r="AY120" s="1321"/>
      <c r="AZ120" s="1321"/>
      <c r="BA120" s="1321"/>
      <c r="BB120" s="1321"/>
      <c r="BC120" s="24"/>
      <c r="BF120" s="981" t="s">
        <v>1002</v>
      </c>
      <c r="BG120" s="987" t="s">
        <v>999</v>
      </c>
      <c r="BH120" s="987" cm="1">
        <f t="array" ref="BH120">BH119</f>
        <v>0</v>
      </c>
      <c r="BI120" s="988"/>
      <c r="BJ120" s="988"/>
    </row>
    <row r="121" spans="1:62" s="671" customFormat="1" ht="16.5" hidden="1" customHeight="1">
      <c r="A121" s="927" t="str">
        <f ca="1">"checkVolume_1."&amp;F121&amp;"."&amp;Y119</f>
        <v>checkVolume_1.2.0</v>
      </c>
      <c r="E121" s="682">
        <v>17.100000000000001</v>
      </c>
      <c r="F121" s="779" t="str" cm="1">
        <f t="array" aca="1" ref="F121" ca="1">OFFSET(G121,-1,-1)</f>
        <v>2</v>
      </c>
      <c r="H121" s="163" cm="1">
        <f t="array" ref="H121">H119</f>
        <v>0</v>
      </c>
      <c r="S121" s="1801"/>
      <c r="T121" s="780" t="b" cm="1">
        <f t="array" aca="1" ref="T121" ca="1">T119</f>
        <v>0</v>
      </c>
      <c r="X121" s="1798"/>
      <c r="Y121" s="1798"/>
      <c r="Z121" s="1798"/>
      <c r="AA121" s="1669"/>
      <c r="AB121" s="694" t="str">
        <f>AB119&amp;".2"</f>
        <v>1.5.0.2</v>
      </c>
      <c r="AC121" s="663" t="s">
        <v>1003</v>
      </c>
      <c r="AD121" s="125" t="s">
        <v>762</v>
      </c>
      <c r="AE121" s="1321"/>
      <c r="AF121" s="1321"/>
      <c r="AG121" s="1321"/>
      <c r="AH121" s="1321"/>
      <c r="AI121" s="661"/>
      <c r="AJ121" s="661"/>
      <c r="AK121" s="661"/>
      <c r="AL121" s="661"/>
      <c r="AM121" s="661"/>
      <c r="AN121" s="1321"/>
      <c r="AO121" s="1321"/>
      <c r="AP121" s="1321"/>
      <c r="AQ121" s="1321"/>
      <c r="AR121" s="1321"/>
      <c r="AS121" s="661"/>
      <c r="AT121" s="661"/>
      <c r="AU121" s="661"/>
      <c r="AV121" s="661"/>
      <c r="AW121" s="661"/>
      <c r="AX121" s="1321"/>
      <c r="AY121" s="1321"/>
      <c r="AZ121" s="1321"/>
      <c r="BA121" s="1321"/>
      <c r="BB121" s="1321"/>
      <c r="BC121" s="24"/>
      <c r="BF121" s="981" t="s">
        <v>1004</v>
      </c>
      <c r="BG121" s="987" t="s">
        <v>999</v>
      </c>
      <c r="BH121" s="987" cm="1">
        <f t="array" ref="BH121">BH119</f>
        <v>0</v>
      </c>
      <c r="BI121" s="988"/>
      <c r="BJ121" s="988"/>
    </row>
    <row r="122" spans="1:62" s="671" customFormat="1" ht="16.5" customHeight="1">
      <c r="A122" s="927" t="str">
        <f ca="1">"checkCosts_1."&amp;F122&amp;"."&amp;Y122</f>
        <v>checkCosts_1.2.1</v>
      </c>
      <c r="E122" s="682">
        <v>17.100000000000001</v>
      </c>
      <c r="F122" s="779" t="str" cm="1">
        <f t="array" aca="1" ref="F122" ca="1">OFFSET(G122,-1,-1)</f>
        <v>2</v>
      </c>
      <c r="H122" s="163" t="str" cm="1">
        <f t="array" ref="H122">AC122</f>
        <v>Без разбивки</v>
      </c>
      <c r="I122" s="165" t="s">
        <v>984</v>
      </c>
      <c r="S122" s="1801"/>
      <c r="T122" s="780" t="b">
        <f ca="1">AND(F122&gt;0,Y122&gt;0)</f>
        <v>1</v>
      </c>
      <c r="W122" s="122"/>
      <c r="X122" s="1798"/>
      <c r="Y122" s="1721" t="s">
        <v>341</v>
      </c>
      <c r="Z122" s="1798"/>
      <c r="AA122" s="1669" t="s">
        <v>218</v>
      </c>
      <c r="AB122" s="166" t="str">
        <f>"1.5."&amp;Y122</f>
        <v>1.5.1</v>
      </c>
      <c r="AC122" s="1318" t="s">
        <v>1046</v>
      </c>
      <c r="AD122" s="107" t="s">
        <v>839</v>
      </c>
      <c r="AE122" s="216">
        <f>AE123*AE124</f>
        <v>0</v>
      </c>
      <c r="AF122" s="1240"/>
      <c r="AG122" s="1240"/>
      <c r="AH122" s="216">
        <f>AH123*AH124</f>
        <v>22868.380001211121</v>
      </c>
      <c r="AI122" s="162"/>
      <c r="AJ122" s="162"/>
      <c r="AK122" s="162"/>
      <c r="AL122" s="162"/>
      <c r="AM122" s="162"/>
      <c r="AN122" s="1240"/>
      <c r="AO122" s="1240"/>
      <c r="AP122" s="1240"/>
      <c r="AQ122" s="1240"/>
      <c r="AR122" s="1240"/>
      <c r="AS122" s="216">
        <f t="shared" ref="AS122:BB122" si="45">AS123*AS124</f>
        <v>46214.921058667423</v>
      </c>
      <c r="AT122" s="216">
        <f t="shared" si="45"/>
        <v>0</v>
      </c>
      <c r="AU122" s="216">
        <f t="shared" si="45"/>
        <v>0</v>
      </c>
      <c r="AV122" s="216">
        <f t="shared" si="45"/>
        <v>0</v>
      </c>
      <c r="AW122" s="216">
        <f t="shared" si="45"/>
        <v>0</v>
      </c>
      <c r="AX122" s="216">
        <f t="shared" si="45"/>
        <v>0</v>
      </c>
      <c r="AY122" s="216">
        <f t="shared" si="45"/>
        <v>0</v>
      </c>
      <c r="AZ122" s="216">
        <f t="shared" si="45"/>
        <v>0</v>
      </c>
      <c r="BA122" s="216">
        <f t="shared" si="45"/>
        <v>0</v>
      </c>
      <c r="BB122" s="216">
        <f t="shared" si="45"/>
        <v>0</v>
      </c>
      <c r="BC122" s="1290"/>
      <c r="BF122" s="981" t="s">
        <v>998</v>
      </c>
      <c r="BG122" s="987" t="s">
        <v>999</v>
      </c>
      <c r="BH122" s="987" t="str" cm="1">
        <f t="array" ref="BH122">AC122</f>
        <v>Без разбивки</v>
      </c>
      <c r="BI122" s="988"/>
      <c r="BJ122" s="988" t="b">
        <v>1</v>
      </c>
    </row>
    <row r="123" spans="1:62" s="671" customFormat="1" ht="16.5" customHeight="1">
      <c r="E123" s="682">
        <v>17.100000000000001</v>
      </c>
      <c r="F123" s="779" t="str" cm="1">
        <f t="array" aca="1" ref="F123" ca="1">OFFSET(G123,-1,-1)</f>
        <v>2</v>
      </c>
      <c r="H123" s="163" t="str" cm="1">
        <f t="array" ref="H123">H122</f>
        <v>Без разбивки</v>
      </c>
      <c r="S123" s="1801"/>
      <c r="T123" s="780" t="b" cm="1">
        <f t="array" aca="1" ref="T123" ca="1">T122</f>
        <v>1</v>
      </c>
      <c r="X123" s="1798"/>
      <c r="Y123" s="1798"/>
      <c r="Z123" s="1798"/>
      <c r="AA123" s="1808"/>
      <c r="AB123" s="694" t="str">
        <f>AB122&amp;".1"</f>
        <v>1.5.1.1</v>
      </c>
      <c r="AC123" s="663" t="s">
        <v>1000</v>
      </c>
      <c r="AD123" s="125" t="s">
        <v>1001</v>
      </c>
      <c r="AE123" s="1323"/>
      <c r="AF123" s="1322">
        <f>IF(AF124=0,0,AF122/AF124)</f>
        <v>0</v>
      </c>
      <c r="AG123" s="1322">
        <f>IF(AG124=0,0,AG122/AG124)</f>
        <v>0</v>
      </c>
      <c r="AH123" s="1323">
        <v>6.2793630498919697</v>
      </c>
      <c r="AI123" s="1322">
        <f t="shared" ref="AI123:AR123" si="46">IF(AI124=0,0,AI122/AI124)</f>
        <v>0</v>
      </c>
      <c r="AJ123" s="1322">
        <f t="shared" si="46"/>
        <v>0</v>
      </c>
      <c r="AK123" s="1322">
        <f t="shared" si="46"/>
        <v>0</v>
      </c>
      <c r="AL123" s="1322">
        <f t="shared" si="46"/>
        <v>0</v>
      </c>
      <c r="AM123" s="1322">
        <f t="shared" si="46"/>
        <v>0</v>
      </c>
      <c r="AN123" s="1322">
        <f t="shared" si="46"/>
        <v>0</v>
      </c>
      <c r="AO123" s="1322">
        <f t="shared" si="46"/>
        <v>0</v>
      </c>
      <c r="AP123" s="1322">
        <f t="shared" si="46"/>
        <v>0</v>
      </c>
      <c r="AQ123" s="1322">
        <f t="shared" si="46"/>
        <v>0</v>
      </c>
      <c r="AR123" s="1322">
        <f t="shared" si="46"/>
        <v>0</v>
      </c>
      <c r="AS123" s="661">
        <v>7.6993814259361102</v>
      </c>
      <c r="AT123" s="661"/>
      <c r="AU123" s="661"/>
      <c r="AV123" s="661"/>
      <c r="AW123" s="661"/>
      <c r="AX123" s="1323"/>
      <c r="AY123" s="1323"/>
      <c r="AZ123" s="1323"/>
      <c r="BA123" s="1323"/>
      <c r="BB123" s="1323"/>
      <c r="BC123" s="1296"/>
      <c r="BF123" s="981" t="s">
        <v>1002</v>
      </c>
      <c r="BG123" s="987" t="s">
        <v>999</v>
      </c>
      <c r="BH123" s="987" t="str" cm="1">
        <f t="array" ref="BH123">BH122</f>
        <v>Без разбивки</v>
      </c>
      <c r="BI123" s="988"/>
      <c r="BJ123" s="988"/>
    </row>
    <row r="124" spans="1:62" s="671" customFormat="1" ht="16.5" customHeight="1">
      <c r="A124" s="927" t="str">
        <f ca="1">"checkVolume_1."&amp;F124&amp;"."&amp;Y122</f>
        <v>checkVolume_1.2.1</v>
      </c>
      <c r="E124" s="682">
        <v>17.100000000000001</v>
      </c>
      <c r="F124" s="779" t="str" cm="1">
        <f t="array" aca="1" ref="F124" ca="1">OFFSET(G124,-1,-1)</f>
        <v>2</v>
      </c>
      <c r="H124" s="163" t="str" cm="1">
        <f t="array" ref="H124">H122</f>
        <v>Без разбивки</v>
      </c>
      <c r="S124" s="1801"/>
      <c r="T124" s="780" t="b" cm="1">
        <f t="array" aca="1" ref="T124" ca="1">T122</f>
        <v>1</v>
      </c>
      <c r="X124" s="1798"/>
      <c r="Y124" s="1798"/>
      <c r="Z124" s="1798"/>
      <c r="AA124" s="1669"/>
      <c r="AB124" s="694" t="str">
        <f>AB122&amp;".2"</f>
        <v>1.5.1.2</v>
      </c>
      <c r="AC124" s="663" t="s">
        <v>1003</v>
      </c>
      <c r="AD124" s="125" t="s">
        <v>762</v>
      </c>
      <c r="AE124" s="1323"/>
      <c r="AF124" s="1323"/>
      <c r="AG124" s="1323"/>
      <c r="AH124" s="1323">
        <v>3641.8311570000001</v>
      </c>
      <c r="AI124" s="661"/>
      <c r="AJ124" s="661"/>
      <c r="AK124" s="661"/>
      <c r="AL124" s="661"/>
      <c r="AM124" s="661"/>
      <c r="AN124" s="1323"/>
      <c r="AO124" s="1323"/>
      <c r="AP124" s="1323"/>
      <c r="AQ124" s="1323"/>
      <c r="AR124" s="1323"/>
      <c r="AS124" s="661">
        <v>6002.42</v>
      </c>
      <c r="AT124" s="661"/>
      <c r="AU124" s="661"/>
      <c r="AV124" s="661"/>
      <c r="AW124" s="661"/>
      <c r="AX124" s="1323"/>
      <c r="AY124" s="1323"/>
      <c r="AZ124" s="1323"/>
      <c r="BA124" s="1323"/>
      <c r="BB124" s="1323"/>
      <c r="BC124" s="1296"/>
      <c r="BF124" s="981" t="s">
        <v>1004</v>
      </c>
      <c r="BG124" s="987" t="s">
        <v>999</v>
      </c>
      <c r="BH124" s="987" t="str" cm="1">
        <f t="array" ref="BH124">BH122</f>
        <v>Без разбивки</v>
      </c>
      <c r="BI124" s="988"/>
      <c r="BJ124" s="988"/>
    </row>
    <row r="125" spans="1:62" s="814" customFormat="1" ht="16.5" customHeight="1">
      <c r="E125" s="676">
        <v>17.100000000000001</v>
      </c>
      <c r="F125" s="779" t="str" cm="1">
        <f t="array" aca="1" ref="F125" ca="1">OFFSET(G125,-1,-1)</f>
        <v>2</v>
      </c>
      <c r="T125" s="780" t="b">
        <f ca="1">F125&gt;0</f>
        <v>1</v>
      </c>
      <c r="W125" s="318" t="s">
        <v>1005</v>
      </c>
      <c r="X125" s="1799"/>
      <c r="Z125" s="1799"/>
      <c r="AB125" s="695"/>
      <c r="AC125" s="662" t="s">
        <v>238</v>
      </c>
      <c r="AD125" s="662"/>
      <c r="AE125" s="662"/>
      <c r="AF125" s="662"/>
      <c r="AG125" s="662"/>
      <c r="AH125" s="662"/>
      <c r="AI125" s="662"/>
      <c r="AJ125" s="662"/>
      <c r="AK125" s="662"/>
      <c r="AL125" s="662"/>
      <c r="AM125" s="662"/>
      <c r="AN125" s="662"/>
      <c r="AO125" s="662"/>
      <c r="AP125" s="662"/>
      <c r="AQ125" s="662"/>
      <c r="AR125" s="662"/>
      <c r="AS125" s="662"/>
      <c r="AT125" s="662"/>
      <c r="AU125" s="662"/>
      <c r="AV125" s="662"/>
      <c r="AW125" s="662"/>
      <c r="AX125" s="662"/>
      <c r="AY125" s="662"/>
      <c r="AZ125" s="662"/>
      <c r="BA125" s="662"/>
      <c r="BB125" s="662"/>
      <c r="BC125" s="906"/>
      <c r="BF125" s="970"/>
      <c r="BG125" s="970"/>
      <c r="BH125" s="970"/>
      <c r="BI125" s="986" t="s">
        <v>999</v>
      </c>
      <c r="BJ125" s="986"/>
    </row>
    <row r="126" spans="1:62" s="671" customFormat="1" ht="16.5" customHeight="1">
      <c r="A126" s="1154"/>
      <c r="B126" s="1154"/>
      <c r="C126" s="1154"/>
      <c r="D126" s="1154"/>
      <c r="E126" s="682">
        <v>17.100000000000001</v>
      </c>
      <c r="F126" s="779" t="str" cm="1">
        <f t="array" aca="1" ref="F126" ca="1">OFFSET(G126,-1,-1)</f>
        <v>2</v>
      </c>
      <c r="G126" s="1154"/>
      <c r="H126" s="1154"/>
      <c r="I126" s="1154"/>
      <c r="J126" s="1154"/>
      <c r="K126" s="1154"/>
      <c r="L126" s="1154"/>
      <c r="M126" s="1154"/>
      <c r="N126" s="1154"/>
      <c r="O126" s="1154"/>
      <c r="P126" s="1154"/>
      <c r="Q126" s="1154"/>
      <c r="R126" s="1154"/>
      <c r="S126" s="109"/>
      <c r="T126" s="780" t="b">
        <f ca="1">F126&gt;0</f>
        <v>1</v>
      </c>
      <c r="U126" s="1154"/>
      <c r="V126" s="1154"/>
      <c r="W126" s="1154"/>
      <c r="X126" s="1721"/>
      <c r="Y126" s="1154"/>
      <c r="Z126" s="1721"/>
      <c r="AA126" s="1154"/>
      <c r="AB126" s="664"/>
      <c r="AC126" s="287" t="s">
        <v>1006</v>
      </c>
      <c r="AD126" s="288"/>
      <c r="AE126" s="289"/>
      <c r="AF126" s="289"/>
      <c r="AG126" s="289"/>
      <c r="AH126" s="289"/>
      <c r="AI126" s="289"/>
      <c r="AJ126" s="289"/>
      <c r="AK126" s="289"/>
      <c r="AL126" s="289"/>
      <c r="AM126" s="289"/>
      <c r="AN126" s="289"/>
      <c r="AO126" s="289"/>
      <c r="AP126" s="289"/>
      <c r="AQ126" s="289"/>
      <c r="AR126" s="289"/>
      <c r="AS126" s="289"/>
      <c r="AT126" s="289"/>
      <c r="AU126" s="289"/>
      <c r="AV126" s="289"/>
      <c r="AW126" s="289"/>
      <c r="AX126" s="289"/>
      <c r="AY126" s="289"/>
      <c r="AZ126" s="289"/>
      <c r="BA126" s="289"/>
      <c r="BB126" s="289"/>
      <c r="BC126" s="907"/>
      <c r="BD126" s="1154"/>
      <c r="BE126" s="1154"/>
      <c r="BF126" s="981"/>
      <c r="BG126" s="987"/>
      <c r="BH126" s="987"/>
      <c r="BI126" s="988"/>
      <c r="BJ126" s="988"/>
    </row>
    <row r="127" spans="1:62" s="671" customFormat="1" ht="16.5" hidden="1" customHeight="1">
      <c r="A127" s="1154"/>
      <c r="B127" s="1154"/>
      <c r="C127" s="1154"/>
      <c r="D127" s="1154"/>
      <c r="E127" s="682">
        <v>17.100000000000001</v>
      </c>
      <c r="F127" s="779" t="str" cm="1">
        <f t="array" aca="1" ref="F127" ca="1">OFFSET(G127,-1,-1)</f>
        <v>2</v>
      </c>
      <c r="G127" s="1154"/>
      <c r="H127" s="163" cm="1">
        <f t="array" ref="H127">AC127</f>
        <v>0</v>
      </c>
      <c r="I127" s="165" t="s">
        <v>984</v>
      </c>
      <c r="J127" s="1154"/>
      <c r="K127" s="1154"/>
      <c r="L127" s="1154"/>
      <c r="M127" s="1154"/>
      <c r="N127" s="1154"/>
      <c r="O127" s="1154"/>
      <c r="P127" s="1154"/>
      <c r="Q127" s="1154"/>
      <c r="R127" s="1154"/>
      <c r="S127" s="1801"/>
      <c r="T127" s="780" t="b">
        <f ca="1">AND(F127&gt;0,Y127&gt;0)</f>
        <v>0</v>
      </c>
      <c r="U127" s="1154"/>
      <c r="V127" s="1154"/>
      <c r="W127" s="122" t="s">
        <v>236</v>
      </c>
      <c r="X127" s="1721"/>
      <c r="Y127" s="1721">
        <v>0</v>
      </c>
      <c r="Z127" s="1721"/>
      <c r="AA127" s="1669" t="s">
        <v>218</v>
      </c>
      <c r="AB127" s="166" t="str">
        <f>"1.6."&amp;Y127</f>
        <v>1.6.0</v>
      </c>
      <c r="AC127" s="55"/>
      <c r="AD127" s="107" t="s">
        <v>839</v>
      </c>
      <c r="AE127" s="216">
        <f t="shared" ref="AE127:BB127" si="47">AE129+AE131</f>
        <v>0</v>
      </c>
      <c r="AF127" s="216">
        <f t="shared" si="47"/>
        <v>0</v>
      </c>
      <c r="AG127" s="216">
        <f t="shared" si="47"/>
        <v>0</v>
      </c>
      <c r="AH127" s="216">
        <f t="shared" si="47"/>
        <v>0</v>
      </c>
      <c r="AI127" s="216">
        <f t="shared" si="47"/>
        <v>0</v>
      </c>
      <c r="AJ127" s="162">
        <f t="shared" si="47"/>
        <v>0</v>
      </c>
      <c r="AK127" s="162">
        <f t="shared" si="47"/>
        <v>0</v>
      </c>
      <c r="AL127" s="162">
        <f t="shared" si="47"/>
        <v>0</v>
      </c>
      <c r="AM127" s="162">
        <f t="shared" si="47"/>
        <v>0</v>
      </c>
      <c r="AN127" s="14">
        <f t="shared" si="47"/>
        <v>0</v>
      </c>
      <c r="AO127" s="14">
        <f t="shared" si="47"/>
        <v>0</v>
      </c>
      <c r="AP127" s="14">
        <f t="shared" si="47"/>
        <v>0</v>
      </c>
      <c r="AQ127" s="14">
        <f t="shared" si="47"/>
        <v>0</v>
      </c>
      <c r="AR127" s="14">
        <f t="shared" si="47"/>
        <v>0</v>
      </c>
      <c r="AS127" s="216">
        <f t="shared" si="47"/>
        <v>0</v>
      </c>
      <c r="AT127" s="162">
        <f t="shared" si="47"/>
        <v>0</v>
      </c>
      <c r="AU127" s="162">
        <f t="shared" si="47"/>
        <v>0</v>
      </c>
      <c r="AV127" s="162">
        <f t="shared" si="47"/>
        <v>0</v>
      </c>
      <c r="AW127" s="162">
        <f t="shared" si="47"/>
        <v>0</v>
      </c>
      <c r="AX127" s="14">
        <f t="shared" si="47"/>
        <v>0</v>
      </c>
      <c r="AY127" s="14">
        <f t="shared" si="47"/>
        <v>0</v>
      </c>
      <c r="AZ127" s="14">
        <f t="shared" si="47"/>
        <v>0</v>
      </c>
      <c r="BA127" s="14">
        <f t="shared" si="47"/>
        <v>0</v>
      </c>
      <c r="BB127" s="14">
        <f t="shared" si="47"/>
        <v>0</v>
      </c>
      <c r="BC127" s="28"/>
      <c r="BD127" s="1154"/>
      <c r="BE127" s="1154"/>
      <c r="BF127" s="981" t="s">
        <v>1007</v>
      </c>
      <c r="BG127" s="987" t="s">
        <v>1008</v>
      </c>
      <c r="BH127" s="987" cm="1">
        <f t="array" ref="BH127">AC127</f>
        <v>0</v>
      </c>
      <c r="BI127" s="988"/>
      <c r="BJ127" s="988" t="b">
        <v>1</v>
      </c>
    </row>
    <row r="128" spans="1:62" s="671" customFormat="1" ht="16.5" hidden="1" customHeight="1">
      <c r="E128" s="682">
        <v>17.100000000000001</v>
      </c>
      <c r="F128" s="779" t="str" cm="1">
        <f t="array" aca="1" ref="F128" ca="1">OFFSET(G128,-1,-1)</f>
        <v>2</v>
      </c>
      <c r="H128" s="163" cm="1">
        <f t="array" ref="H128">H127</f>
        <v>0</v>
      </c>
      <c r="S128" s="1801"/>
      <c r="T128" s="780" t="b" cm="1">
        <f t="array" aca="1" ref="T128" ca="1">T127</f>
        <v>0</v>
      </c>
      <c r="X128" s="1798"/>
      <c r="Y128" s="1798"/>
      <c r="Z128" s="1798"/>
      <c r="AA128" s="1808"/>
      <c r="AB128" s="166" t="str">
        <f>AB127&amp;".1"</f>
        <v>1.6.0.1</v>
      </c>
      <c r="AC128" s="223" t="s">
        <v>1000</v>
      </c>
      <c r="AD128" s="107" t="s">
        <v>1001</v>
      </c>
      <c r="AE128" s="14"/>
      <c r="AF128" s="216">
        <f>IF(AF130=0,0,AF129/AF130)</f>
        <v>0</v>
      </c>
      <c r="AG128" s="216">
        <f>IF(AG130=0,0,AG129/AG130)</f>
        <v>0</v>
      </c>
      <c r="AH128" s="14"/>
      <c r="AI128" s="216">
        <f t="shared" ref="AI128:AR128" si="48">IF(AI130=0,0,AI129/AI130)</f>
        <v>0</v>
      </c>
      <c r="AJ128" s="216">
        <f t="shared" si="48"/>
        <v>0</v>
      </c>
      <c r="AK128" s="216">
        <f t="shared" si="48"/>
        <v>0</v>
      </c>
      <c r="AL128" s="216">
        <f t="shared" si="48"/>
        <v>0</v>
      </c>
      <c r="AM128" s="216">
        <f t="shared" si="48"/>
        <v>0</v>
      </c>
      <c r="AN128" s="216">
        <f t="shared" si="48"/>
        <v>0</v>
      </c>
      <c r="AO128" s="216">
        <f t="shared" si="48"/>
        <v>0</v>
      </c>
      <c r="AP128" s="216">
        <f t="shared" si="48"/>
        <v>0</v>
      </c>
      <c r="AQ128" s="216">
        <f t="shared" si="48"/>
        <v>0</v>
      </c>
      <c r="AR128" s="216">
        <f t="shared" si="48"/>
        <v>0</v>
      </c>
      <c r="AS128" s="162"/>
      <c r="AT128" s="162"/>
      <c r="AU128" s="162"/>
      <c r="AV128" s="162"/>
      <c r="AW128" s="162"/>
      <c r="AX128" s="14"/>
      <c r="AY128" s="14"/>
      <c r="AZ128" s="14"/>
      <c r="BA128" s="14"/>
      <c r="BB128" s="14"/>
      <c r="BC128" s="28"/>
      <c r="BF128" s="981" t="s">
        <v>1002</v>
      </c>
      <c r="BG128" s="987" t="s">
        <v>1008</v>
      </c>
      <c r="BH128" s="987" cm="1">
        <f t="array" ref="BH128">BH127</f>
        <v>0</v>
      </c>
      <c r="BI128" s="988"/>
      <c r="BJ128" s="988"/>
    </row>
    <row r="129" spans="1:62" s="671" customFormat="1" ht="16.5" hidden="1" customHeight="1">
      <c r="A129" s="927" t="str">
        <f ca="1">"checkCosts_2."&amp;F129&amp;"."&amp;Y127</f>
        <v>checkCosts_2.2.0</v>
      </c>
      <c r="B129" s="1154"/>
      <c r="C129" s="1154"/>
      <c r="D129" s="1154"/>
      <c r="E129" s="682">
        <v>17.100000000000001</v>
      </c>
      <c r="F129" s="779" t="str" cm="1">
        <f t="array" aca="1" ref="F129" ca="1">OFFSET(G129,-1,-1)</f>
        <v>2</v>
      </c>
      <c r="G129" s="1154"/>
      <c r="H129" s="163" cm="1">
        <f t="array" ref="H129">H127</f>
        <v>0</v>
      </c>
      <c r="I129" s="1154"/>
      <c r="J129" s="1154"/>
      <c r="K129" s="1154"/>
      <c r="L129" s="1154"/>
      <c r="M129" s="1154"/>
      <c r="N129" s="1154"/>
      <c r="O129" s="1154"/>
      <c r="P129" s="1154"/>
      <c r="Q129" s="1154"/>
      <c r="R129" s="1154"/>
      <c r="S129" s="1801"/>
      <c r="T129" s="780" t="b" cm="1">
        <f t="array" aca="1" ref="T129" ca="1">T127</f>
        <v>0</v>
      </c>
      <c r="U129" s="1154"/>
      <c r="V129" s="1154"/>
      <c r="W129" s="1154"/>
      <c r="X129" s="1721"/>
      <c r="Y129" s="1721"/>
      <c r="Z129" s="1721"/>
      <c r="AA129" s="1669"/>
      <c r="AB129" s="166" t="str">
        <f>AB127&amp;".2"</f>
        <v>1.6.0.2</v>
      </c>
      <c r="AC129" s="223" t="s">
        <v>1009</v>
      </c>
      <c r="AD129" s="107" t="s">
        <v>839</v>
      </c>
      <c r="AE129" s="14"/>
      <c r="AF129" s="14"/>
      <c r="AG129" s="14"/>
      <c r="AH129" s="14"/>
      <c r="AI129" s="162"/>
      <c r="AJ129" s="162"/>
      <c r="AK129" s="162"/>
      <c r="AL129" s="162"/>
      <c r="AM129" s="162"/>
      <c r="AN129" s="14"/>
      <c r="AO129" s="14"/>
      <c r="AP129" s="14"/>
      <c r="AQ129" s="14"/>
      <c r="AR129" s="14"/>
      <c r="AS129" s="162"/>
      <c r="AT129" s="162"/>
      <c r="AU129" s="162"/>
      <c r="AV129" s="162"/>
      <c r="AW129" s="162"/>
      <c r="AX129" s="14"/>
      <c r="AY129" s="14"/>
      <c r="AZ129" s="14"/>
      <c r="BA129" s="14"/>
      <c r="BB129" s="14"/>
      <c r="BC129" s="28"/>
      <c r="BD129" s="1154"/>
      <c r="BE129" s="1154"/>
      <c r="BF129" s="981" t="s">
        <v>998</v>
      </c>
      <c r="BG129" s="987" t="s">
        <v>1008</v>
      </c>
      <c r="BH129" s="987" cm="1">
        <f t="array" ref="BH129">BH127</f>
        <v>0</v>
      </c>
      <c r="BI129" s="988"/>
      <c r="BJ129" s="988"/>
    </row>
    <row r="130" spans="1:62" s="671" customFormat="1" ht="16.5" hidden="1" customHeight="1">
      <c r="A130" s="927" t="str">
        <f ca="1">"checkVolume_2."&amp;F130&amp;"."&amp;Y127</f>
        <v>checkVolume_2.2.0</v>
      </c>
      <c r="B130" s="1154"/>
      <c r="C130" s="1154"/>
      <c r="D130" s="1154"/>
      <c r="E130" s="682">
        <v>17.100000000000001</v>
      </c>
      <c r="F130" s="779" t="str" cm="1">
        <f t="array" aca="1" ref="F130" ca="1">OFFSET(G130,-1,-1)</f>
        <v>2</v>
      </c>
      <c r="G130" s="1154"/>
      <c r="H130" s="163" cm="1">
        <f t="array" ref="H130">H129</f>
        <v>0</v>
      </c>
      <c r="I130" s="1154"/>
      <c r="J130" s="1154"/>
      <c r="K130" s="1154"/>
      <c r="L130" s="1154"/>
      <c r="M130" s="1154"/>
      <c r="N130" s="1154"/>
      <c r="O130" s="1154"/>
      <c r="P130" s="1154"/>
      <c r="Q130" s="1154"/>
      <c r="R130" s="1154"/>
      <c r="S130" s="1801"/>
      <c r="T130" s="780" t="b" cm="1">
        <f t="array" aca="1" ref="T130" ca="1">T129</f>
        <v>0</v>
      </c>
      <c r="U130" s="1154"/>
      <c r="V130" s="1154"/>
      <c r="W130" s="1154"/>
      <c r="X130" s="1721"/>
      <c r="Y130" s="1721"/>
      <c r="Z130" s="1721"/>
      <c r="AA130" s="1669"/>
      <c r="AB130" s="166" t="str">
        <f>AB127&amp;".2.1"</f>
        <v>1.6.0.2.1</v>
      </c>
      <c r="AC130" s="356" t="s">
        <v>1003</v>
      </c>
      <c r="AD130" s="121" t="s">
        <v>762</v>
      </c>
      <c r="AE130" s="14"/>
      <c r="AF130" s="14"/>
      <c r="AG130" s="14"/>
      <c r="AH130" s="14"/>
      <c r="AI130" s="162"/>
      <c r="AJ130" s="162"/>
      <c r="AK130" s="162"/>
      <c r="AL130" s="162"/>
      <c r="AM130" s="162"/>
      <c r="AN130" s="14"/>
      <c r="AO130" s="14"/>
      <c r="AP130" s="14"/>
      <c r="AQ130" s="14"/>
      <c r="AR130" s="14"/>
      <c r="AS130" s="162"/>
      <c r="AT130" s="162"/>
      <c r="AU130" s="162"/>
      <c r="AV130" s="162"/>
      <c r="AW130" s="162"/>
      <c r="AX130" s="14"/>
      <c r="AY130" s="14"/>
      <c r="AZ130" s="14"/>
      <c r="BA130" s="14"/>
      <c r="BB130" s="14"/>
      <c r="BC130" s="28"/>
      <c r="BD130" s="1154"/>
      <c r="BE130" s="1154"/>
      <c r="BF130" s="981" t="s">
        <v>1004</v>
      </c>
      <c r="BG130" s="987" t="s">
        <v>1008</v>
      </c>
      <c r="BH130" s="987" cm="1">
        <f t="array" ref="BH130">BH129</f>
        <v>0</v>
      </c>
      <c r="BI130" s="988"/>
      <c r="BJ130" s="988"/>
    </row>
    <row r="131" spans="1:62" s="671" customFormat="1" ht="16.5" hidden="1" customHeight="1">
      <c r="A131" s="927" t="str">
        <f ca="1">"checkCosts_3."&amp;F131&amp;"."&amp;Y127</f>
        <v>checkCosts_3.2.0</v>
      </c>
      <c r="B131" s="1154"/>
      <c r="C131" s="1154"/>
      <c r="D131" s="1154"/>
      <c r="E131" s="682">
        <v>17.100000000000001</v>
      </c>
      <c r="F131" s="779" t="str" cm="1">
        <f t="array" aca="1" ref="F131" ca="1">OFFSET(G131,-1,-1)</f>
        <v>2</v>
      </c>
      <c r="G131" s="1154"/>
      <c r="H131" s="163" cm="1">
        <f t="array" ref="H131">H130</f>
        <v>0</v>
      </c>
      <c r="I131" s="1154"/>
      <c r="J131" s="1154"/>
      <c r="K131" s="1154"/>
      <c r="L131" s="1154"/>
      <c r="M131" s="1154"/>
      <c r="N131" s="1154"/>
      <c r="O131" s="1154"/>
      <c r="P131" s="1154"/>
      <c r="Q131" s="1154"/>
      <c r="R131" s="1154"/>
      <c r="S131" s="1801"/>
      <c r="T131" s="780" t="b" cm="1">
        <f t="array" aca="1" ref="T131" ca="1">T130</f>
        <v>0</v>
      </c>
      <c r="U131" s="1154"/>
      <c r="V131" s="1154"/>
      <c r="W131" s="1154"/>
      <c r="X131" s="1721"/>
      <c r="Y131" s="1721"/>
      <c r="Z131" s="1721"/>
      <c r="AA131" s="1669"/>
      <c r="AB131" s="166" t="str">
        <f>AB127&amp;".3"</f>
        <v>1.6.0.3</v>
      </c>
      <c r="AC131" s="223" t="s">
        <v>1010</v>
      </c>
      <c r="AD131" s="107" t="s">
        <v>1011</v>
      </c>
      <c r="AE131" s="14"/>
      <c r="AF131" s="14"/>
      <c r="AG131" s="14"/>
      <c r="AH131" s="14"/>
      <c r="AI131" s="162"/>
      <c r="AJ131" s="162"/>
      <c r="AK131" s="162"/>
      <c r="AL131" s="162"/>
      <c r="AM131" s="162"/>
      <c r="AN131" s="14"/>
      <c r="AO131" s="14"/>
      <c r="AP131" s="14"/>
      <c r="AQ131" s="14"/>
      <c r="AR131" s="14"/>
      <c r="AS131" s="162"/>
      <c r="AT131" s="162"/>
      <c r="AU131" s="162"/>
      <c r="AV131" s="162"/>
      <c r="AW131" s="162"/>
      <c r="AX131" s="14"/>
      <c r="AY131" s="14"/>
      <c r="AZ131" s="14"/>
      <c r="BA131" s="14"/>
      <c r="BB131" s="14"/>
      <c r="BC131" s="28"/>
      <c r="BD131" s="1154"/>
      <c r="BE131" s="1154"/>
      <c r="BF131" s="981" t="s">
        <v>1012</v>
      </c>
      <c r="BG131" s="987" t="s">
        <v>1008</v>
      </c>
      <c r="BH131" s="987" cm="1">
        <f t="array" ref="BH131">BH130</f>
        <v>0</v>
      </c>
      <c r="BI131" s="988"/>
      <c r="BJ131" s="988"/>
    </row>
    <row r="132" spans="1:62" s="671" customFormat="1" ht="16.5" hidden="1" customHeight="1">
      <c r="A132" s="927" t="str">
        <f ca="1">"checkVolume_3."&amp;F132&amp;"."&amp;Y127</f>
        <v>checkVolume_3.2.0</v>
      </c>
      <c r="B132" s="1154"/>
      <c r="C132" s="1154"/>
      <c r="D132" s="1154"/>
      <c r="E132" s="682">
        <v>17.100000000000001</v>
      </c>
      <c r="F132" s="779" t="str" cm="1">
        <f t="array" aca="1" ref="F132" ca="1">OFFSET(G132,-1,-1)</f>
        <v>2</v>
      </c>
      <c r="G132" s="1154"/>
      <c r="H132" s="163" cm="1">
        <f t="array" ref="H132">H131</f>
        <v>0</v>
      </c>
      <c r="I132" s="1154"/>
      <c r="J132" s="1154"/>
      <c r="K132" s="1154"/>
      <c r="L132" s="1154"/>
      <c r="M132" s="1154"/>
      <c r="N132" s="1154"/>
      <c r="O132" s="1154"/>
      <c r="P132" s="1154"/>
      <c r="Q132" s="1154"/>
      <c r="R132" s="1154"/>
      <c r="S132" s="1801"/>
      <c r="T132" s="780" t="b" cm="1">
        <f t="array" aca="1" ref="T132" ca="1">T131</f>
        <v>0</v>
      </c>
      <c r="U132" s="1154"/>
      <c r="V132" s="1154"/>
      <c r="W132" s="1154"/>
      <c r="X132" s="1721"/>
      <c r="Y132" s="1721"/>
      <c r="Z132" s="1721"/>
      <c r="AA132" s="1669"/>
      <c r="AB132" s="694" t="str">
        <f>AB127&amp;".3.1"</f>
        <v>1.6.0.3.1</v>
      </c>
      <c r="AC132" s="660" t="s">
        <v>1013</v>
      </c>
      <c r="AD132" s="125" t="s">
        <v>1014</v>
      </c>
      <c r="AE132" s="1311"/>
      <c r="AF132" s="1311"/>
      <c r="AG132" s="1311"/>
      <c r="AH132" s="1311"/>
      <c r="AI132" s="661"/>
      <c r="AJ132" s="661"/>
      <c r="AK132" s="661"/>
      <c r="AL132" s="661"/>
      <c r="AM132" s="661"/>
      <c r="AN132" s="1311"/>
      <c r="AO132" s="1311"/>
      <c r="AP132" s="1311"/>
      <c r="AQ132" s="1311"/>
      <c r="AR132" s="1311"/>
      <c r="AS132" s="661"/>
      <c r="AT132" s="661"/>
      <c r="AU132" s="661"/>
      <c r="AV132" s="661"/>
      <c r="AW132" s="661"/>
      <c r="AX132" s="1311"/>
      <c r="AY132" s="1311"/>
      <c r="AZ132" s="1311"/>
      <c r="BA132" s="1311"/>
      <c r="BB132" s="1311"/>
      <c r="BC132" s="24"/>
      <c r="BD132" s="1154"/>
      <c r="BE132" s="1154"/>
      <c r="BF132" s="981" t="s">
        <v>1015</v>
      </c>
      <c r="BG132" s="987" t="s">
        <v>1008</v>
      </c>
      <c r="BH132" s="987" cm="1">
        <f t="array" ref="BH132">BH131</f>
        <v>0</v>
      </c>
      <c r="BI132" s="988"/>
      <c r="BJ132" s="988"/>
    </row>
    <row r="133" spans="1:62" s="814" customFormat="1" ht="16.5" customHeight="1">
      <c r="E133" s="676">
        <v>17.100000000000001</v>
      </c>
      <c r="F133" s="779" t="str" cm="1">
        <f t="array" aca="1" ref="F133" ca="1">OFFSET(G133,-1,-1)</f>
        <v>2</v>
      </c>
      <c r="T133" s="780" t="b">
        <f ca="1">F133&gt;0</f>
        <v>1</v>
      </c>
      <c r="W133" s="318" t="s">
        <v>1016</v>
      </c>
      <c r="X133" s="1799"/>
      <c r="Z133" s="1799"/>
      <c r="AB133" s="695"/>
      <c r="AC133" s="662" t="s">
        <v>1017</v>
      </c>
      <c r="AD133" s="662"/>
      <c r="AE133" s="662"/>
      <c r="AF133" s="662"/>
      <c r="AG133" s="662"/>
      <c r="AH133" s="662"/>
      <c r="AI133" s="662"/>
      <c r="AJ133" s="662"/>
      <c r="AK133" s="662"/>
      <c r="AL133" s="662"/>
      <c r="AM133" s="662"/>
      <c r="AN133" s="662"/>
      <c r="AO133" s="662"/>
      <c r="AP133" s="662"/>
      <c r="AQ133" s="662"/>
      <c r="AR133" s="662"/>
      <c r="AS133" s="662"/>
      <c r="AT133" s="662"/>
      <c r="AU133" s="662"/>
      <c r="AV133" s="662"/>
      <c r="AW133" s="662"/>
      <c r="AX133" s="662"/>
      <c r="AY133" s="662"/>
      <c r="AZ133" s="662"/>
      <c r="BA133" s="662"/>
      <c r="BB133" s="662"/>
      <c r="BC133" s="906"/>
      <c r="BF133" s="970"/>
      <c r="BG133" s="970"/>
      <c r="BH133" s="970"/>
      <c r="BI133" s="986" t="s">
        <v>1008</v>
      </c>
      <c r="BJ133" s="986"/>
    </row>
    <row r="134" spans="1:62" s="814" customFormat="1" ht="12" hidden="1" customHeight="1">
      <c r="E134" s="676">
        <v>0</v>
      </c>
      <c r="F134" s="779" t="str" cm="1">
        <f t="array" aca="1" ref="F134" ca="1">OFFSET(G134,-1,-1)</f>
        <v>2</v>
      </c>
      <c r="T134" s="780" t="b">
        <f ca="1">F134&gt;0</f>
        <v>1</v>
      </c>
      <c r="X134" s="1799"/>
      <c r="Z134" s="1799"/>
      <c r="BF134" s="970"/>
      <c r="BG134" s="970"/>
      <c r="BH134" s="970"/>
      <c r="BI134" s="986"/>
      <c r="BJ134" s="986"/>
    </row>
    <row r="135" spans="1:62" s="173" customFormat="1" ht="14.25" customHeight="1">
      <c r="E135" s="781">
        <v>15</v>
      </c>
      <c r="F135" s="779" t="str" cm="1">
        <f t="array" aca="1" ref="F135" ca="1">OFFSET(G135,-1,-1)</f>
        <v>2</v>
      </c>
      <c r="G135" s="143" t="s">
        <v>1018</v>
      </c>
      <c r="I135" s="165" t="s">
        <v>984</v>
      </c>
      <c r="T135" s="780" t="b">
        <f ca="1">F135&gt;0</f>
        <v>1</v>
      </c>
      <c r="X135" s="1800"/>
      <c r="Z135" s="1800"/>
      <c r="AB135" s="696">
        <v>2</v>
      </c>
      <c r="AC135" s="665" t="s">
        <v>1019</v>
      </c>
      <c r="AD135" s="666" t="s">
        <v>839</v>
      </c>
      <c r="AE135" s="229">
        <f t="shared" ref="AE135:BB135" si="49">SUMIF($I139:$I155,$I135,AE139:AE155)</f>
        <v>0</v>
      </c>
      <c r="AF135" s="229">
        <f t="shared" si="49"/>
        <v>0</v>
      </c>
      <c r="AG135" s="229">
        <f t="shared" si="49"/>
        <v>0</v>
      </c>
      <c r="AH135" s="229">
        <f t="shared" si="49"/>
        <v>0</v>
      </c>
      <c r="AI135" s="229">
        <f t="shared" si="49"/>
        <v>0</v>
      </c>
      <c r="AJ135" s="242">
        <f t="shared" si="49"/>
        <v>0</v>
      </c>
      <c r="AK135" s="242">
        <f t="shared" si="49"/>
        <v>0</v>
      </c>
      <c r="AL135" s="242">
        <f t="shared" si="49"/>
        <v>0</v>
      </c>
      <c r="AM135" s="242">
        <f t="shared" si="49"/>
        <v>0</v>
      </c>
      <c r="AN135" s="1320">
        <f t="shared" si="49"/>
        <v>0</v>
      </c>
      <c r="AO135" s="1320">
        <f t="shared" si="49"/>
        <v>0</v>
      </c>
      <c r="AP135" s="1320">
        <f t="shared" si="49"/>
        <v>0</v>
      </c>
      <c r="AQ135" s="1320">
        <f t="shared" si="49"/>
        <v>0</v>
      </c>
      <c r="AR135" s="1320">
        <f t="shared" si="49"/>
        <v>0</v>
      </c>
      <c r="AS135" s="229">
        <f t="shared" si="49"/>
        <v>0</v>
      </c>
      <c r="AT135" s="242">
        <f t="shared" si="49"/>
        <v>0</v>
      </c>
      <c r="AU135" s="242">
        <f t="shared" si="49"/>
        <v>0</v>
      </c>
      <c r="AV135" s="242">
        <f t="shared" si="49"/>
        <v>0</v>
      </c>
      <c r="AW135" s="242">
        <f t="shared" si="49"/>
        <v>0</v>
      </c>
      <c r="AX135" s="1320">
        <f t="shared" si="49"/>
        <v>0</v>
      </c>
      <c r="AY135" s="1320">
        <f t="shared" si="49"/>
        <v>0</v>
      </c>
      <c r="AZ135" s="1320">
        <f t="shared" si="49"/>
        <v>0</v>
      </c>
      <c r="BA135" s="1320">
        <f t="shared" si="49"/>
        <v>0</v>
      </c>
      <c r="BB135" s="1320">
        <f t="shared" si="49"/>
        <v>0</v>
      </c>
      <c r="BC135" s="1297"/>
      <c r="BF135" s="989" t="s">
        <v>702</v>
      </c>
      <c r="BG135" s="989"/>
      <c r="BH135" s="989"/>
      <c r="BI135" s="990"/>
      <c r="BJ135" s="990"/>
    </row>
    <row r="136" spans="1:62" s="173" customFormat="1" ht="14.25" hidden="1" customHeight="1">
      <c r="E136" s="781">
        <v>15</v>
      </c>
      <c r="F136" s="779" t="str" cm="1">
        <f t="array" aca="1" ref="F136" ca="1">OFFSET(G136,-1,-1)</f>
        <v>2</v>
      </c>
      <c r="G136" s="143" t="s">
        <v>1020</v>
      </c>
      <c r="L136" s="163" t="str" cm="1">
        <f t="array" aca="1" ref="L136" ca="1">INDEX('Общие сведения'!$AK$187:$AK$236,MATCH($F136,'Общие сведения'!$Z$187:$Z$236,0))</f>
        <v>одноставочный</v>
      </c>
      <c r="R136" s="143" t="s">
        <v>1021</v>
      </c>
      <c r="T136" s="780" t="b">
        <f ca="1">AND(F136&gt;0,L136="двухставочный")</f>
        <v>0</v>
      </c>
      <c r="X136" s="1800"/>
      <c r="Z136" s="1800"/>
      <c r="AA136" s="778" t="s">
        <v>1022</v>
      </c>
      <c r="AB136" s="235" t="s">
        <v>1022</v>
      </c>
      <c r="AC136" s="496" t="s">
        <v>1023</v>
      </c>
      <c r="AD136" s="510" t="s">
        <v>839</v>
      </c>
      <c r="AE136" s="559">
        <f t="shared" ref="AE136:BB136" si="50">SUMIFS(AE139:AE155,$AC139:$AC155,$AC136)</f>
        <v>0</v>
      </c>
      <c r="AF136" s="559">
        <f t="shared" si="50"/>
        <v>0</v>
      </c>
      <c r="AG136" s="559">
        <f t="shared" si="50"/>
        <v>0</v>
      </c>
      <c r="AH136" s="559">
        <f t="shared" si="50"/>
        <v>0</v>
      </c>
      <c r="AI136" s="559">
        <f t="shared" si="50"/>
        <v>0</v>
      </c>
      <c r="AJ136" s="511">
        <f t="shared" si="50"/>
        <v>0</v>
      </c>
      <c r="AK136" s="511">
        <f t="shared" si="50"/>
        <v>0</v>
      </c>
      <c r="AL136" s="511">
        <f t="shared" si="50"/>
        <v>0</v>
      </c>
      <c r="AM136" s="511">
        <f t="shared" si="50"/>
        <v>0</v>
      </c>
      <c r="AN136" s="21">
        <f t="shared" si="50"/>
        <v>0</v>
      </c>
      <c r="AO136" s="21">
        <f t="shared" si="50"/>
        <v>0</v>
      </c>
      <c r="AP136" s="21">
        <f t="shared" si="50"/>
        <v>0</v>
      </c>
      <c r="AQ136" s="21">
        <f t="shared" si="50"/>
        <v>0</v>
      </c>
      <c r="AR136" s="21">
        <f t="shared" si="50"/>
        <v>0</v>
      </c>
      <c r="AS136" s="559">
        <f t="shared" si="50"/>
        <v>0</v>
      </c>
      <c r="AT136" s="511">
        <f t="shared" si="50"/>
        <v>0</v>
      </c>
      <c r="AU136" s="511">
        <f t="shared" si="50"/>
        <v>0</v>
      </c>
      <c r="AV136" s="511">
        <f t="shared" si="50"/>
        <v>0</v>
      </c>
      <c r="AW136" s="511">
        <f t="shared" si="50"/>
        <v>0</v>
      </c>
      <c r="AX136" s="21">
        <f t="shared" si="50"/>
        <v>0</v>
      </c>
      <c r="AY136" s="21">
        <f t="shared" si="50"/>
        <v>0</v>
      </c>
      <c r="AZ136" s="21">
        <f t="shared" si="50"/>
        <v>0</v>
      </c>
      <c r="BA136" s="21">
        <f t="shared" si="50"/>
        <v>0</v>
      </c>
      <c r="BB136" s="21">
        <f t="shared" si="50"/>
        <v>0</v>
      </c>
      <c r="BC136" s="34"/>
      <c r="BF136" s="989" t="s">
        <v>1024</v>
      </c>
      <c r="BG136" s="989"/>
      <c r="BH136" s="989"/>
      <c r="BI136" s="990"/>
      <c r="BJ136" s="990"/>
    </row>
    <row r="137" spans="1:62" s="173" customFormat="1" ht="14.25" customHeight="1">
      <c r="E137" s="781">
        <v>15</v>
      </c>
      <c r="F137" s="779" t="str" cm="1">
        <f t="array" aca="1" ref="F137" ca="1">OFFSET(G137,-1,-1)</f>
        <v>2</v>
      </c>
      <c r="T137" s="780" t="b" cm="1">
        <f t="array" aca="1" ref="T137" ca="1">T135</f>
        <v>1</v>
      </c>
      <c r="X137" s="1800"/>
      <c r="Z137" s="1800"/>
      <c r="AB137" s="166" t="s">
        <v>491</v>
      </c>
      <c r="AC137" s="223" t="s">
        <v>1025</v>
      </c>
      <c r="AD137" s="105" t="s">
        <v>634</v>
      </c>
      <c r="AE137" s="216">
        <f t="shared" ref="AE137:BB137" si="51">SUMIF($AD139:$AD155,$AD137,AE139:AE155)</f>
        <v>0</v>
      </c>
      <c r="AF137" s="216">
        <f t="shared" si="51"/>
        <v>0</v>
      </c>
      <c r="AG137" s="216">
        <f t="shared" si="51"/>
        <v>0</v>
      </c>
      <c r="AH137" s="216">
        <f t="shared" si="51"/>
        <v>0</v>
      </c>
      <c r="AI137" s="216">
        <f t="shared" si="51"/>
        <v>0</v>
      </c>
      <c r="AJ137" s="162">
        <f t="shared" si="51"/>
        <v>0</v>
      </c>
      <c r="AK137" s="162">
        <f t="shared" si="51"/>
        <v>0</v>
      </c>
      <c r="AL137" s="162">
        <f t="shared" si="51"/>
        <v>0</v>
      </c>
      <c r="AM137" s="162">
        <f t="shared" si="51"/>
        <v>0</v>
      </c>
      <c r="AN137" s="1240">
        <f t="shared" si="51"/>
        <v>0</v>
      </c>
      <c r="AO137" s="1240">
        <f t="shared" si="51"/>
        <v>0</v>
      </c>
      <c r="AP137" s="1240">
        <f t="shared" si="51"/>
        <v>0</v>
      </c>
      <c r="AQ137" s="1240">
        <f t="shared" si="51"/>
        <v>0</v>
      </c>
      <c r="AR137" s="1240">
        <f t="shared" si="51"/>
        <v>0</v>
      </c>
      <c r="AS137" s="216">
        <f t="shared" si="51"/>
        <v>0</v>
      </c>
      <c r="AT137" s="162">
        <f t="shared" si="51"/>
        <v>0</v>
      </c>
      <c r="AU137" s="162">
        <f t="shared" si="51"/>
        <v>0</v>
      </c>
      <c r="AV137" s="162">
        <f t="shared" si="51"/>
        <v>0</v>
      </c>
      <c r="AW137" s="162">
        <f t="shared" si="51"/>
        <v>0</v>
      </c>
      <c r="AX137" s="1240">
        <f t="shared" si="51"/>
        <v>0</v>
      </c>
      <c r="AY137" s="1240">
        <f t="shared" si="51"/>
        <v>0</v>
      </c>
      <c r="AZ137" s="1240">
        <f t="shared" si="51"/>
        <v>0</v>
      </c>
      <c r="BA137" s="1240">
        <f t="shared" si="51"/>
        <v>0</v>
      </c>
      <c r="BB137" s="1240">
        <f t="shared" si="51"/>
        <v>0</v>
      </c>
      <c r="BC137" s="1297"/>
      <c r="BF137" s="989" t="s">
        <v>1026</v>
      </c>
      <c r="BG137" s="989"/>
      <c r="BH137" s="989"/>
      <c r="BI137" s="990"/>
      <c r="BJ137" s="990"/>
    </row>
    <row r="138" spans="1:62" s="173" customFormat="1" ht="14.25" customHeight="1">
      <c r="E138" s="781">
        <v>15</v>
      </c>
      <c r="F138" s="779" t="str" cm="1">
        <f t="array" aca="1" ref="F138" ca="1">OFFSET(G138,-1,-1)</f>
        <v>2</v>
      </c>
      <c r="T138" s="780" t="b" cm="1">
        <f t="array" aca="1" ref="T138" ca="1">T137</f>
        <v>1</v>
      </c>
      <c r="X138" s="1800"/>
      <c r="Z138" s="1800"/>
      <c r="AB138" s="166" t="s">
        <v>522</v>
      </c>
      <c r="AC138" s="223" t="s">
        <v>992</v>
      </c>
      <c r="AD138" s="105" t="s">
        <v>1027</v>
      </c>
      <c r="AE138" s="216">
        <f t="shared" ref="AE138:BB138" si="52">IF(AE137=0,0,AE135/AE137)*1000</f>
        <v>0</v>
      </c>
      <c r="AF138" s="216">
        <f t="shared" si="52"/>
        <v>0</v>
      </c>
      <c r="AG138" s="216">
        <f t="shared" si="52"/>
        <v>0</v>
      </c>
      <c r="AH138" s="216">
        <f t="shared" si="52"/>
        <v>0</v>
      </c>
      <c r="AI138" s="216">
        <f t="shared" si="52"/>
        <v>0</v>
      </c>
      <c r="AJ138" s="162">
        <f t="shared" si="52"/>
        <v>0</v>
      </c>
      <c r="AK138" s="162">
        <f t="shared" si="52"/>
        <v>0</v>
      </c>
      <c r="AL138" s="162">
        <f t="shared" si="52"/>
        <v>0</v>
      </c>
      <c r="AM138" s="162">
        <f t="shared" si="52"/>
        <v>0</v>
      </c>
      <c r="AN138" s="1240">
        <f t="shared" si="52"/>
        <v>0</v>
      </c>
      <c r="AO138" s="1240">
        <f t="shared" si="52"/>
        <v>0</v>
      </c>
      <c r="AP138" s="1240">
        <f t="shared" si="52"/>
        <v>0</v>
      </c>
      <c r="AQ138" s="1240">
        <f t="shared" si="52"/>
        <v>0</v>
      </c>
      <c r="AR138" s="1240">
        <f t="shared" si="52"/>
        <v>0</v>
      </c>
      <c r="AS138" s="216">
        <f t="shared" si="52"/>
        <v>0</v>
      </c>
      <c r="AT138" s="162">
        <f t="shared" si="52"/>
        <v>0</v>
      </c>
      <c r="AU138" s="162">
        <f t="shared" si="52"/>
        <v>0</v>
      </c>
      <c r="AV138" s="162">
        <f t="shared" si="52"/>
        <v>0</v>
      </c>
      <c r="AW138" s="162">
        <f t="shared" si="52"/>
        <v>0</v>
      </c>
      <c r="AX138" s="1240">
        <f t="shared" si="52"/>
        <v>0</v>
      </c>
      <c r="AY138" s="1240">
        <f t="shared" si="52"/>
        <v>0</v>
      </c>
      <c r="AZ138" s="1240">
        <f t="shared" si="52"/>
        <v>0</v>
      </c>
      <c r="BA138" s="1240">
        <f t="shared" si="52"/>
        <v>0</v>
      </c>
      <c r="BB138" s="1240">
        <f t="shared" si="52"/>
        <v>0</v>
      </c>
      <c r="BC138" s="1297"/>
      <c r="BF138" s="989" t="s">
        <v>1028</v>
      </c>
      <c r="BG138" s="989"/>
      <c r="BH138" s="989"/>
      <c r="BI138" s="990"/>
      <c r="BJ138" s="990"/>
    </row>
    <row r="139" spans="1:62" s="173" customFormat="1" ht="14.25" customHeight="1">
      <c r="E139" s="781">
        <v>15</v>
      </c>
      <c r="F139" s="779" t="str" cm="1">
        <f t="array" aca="1" ref="F139" ca="1">OFFSET(G139,-1,-1)</f>
        <v>2</v>
      </c>
      <c r="T139" s="780" t="b" cm="1">
        <f t="array" aca="1" ref="T139" ca="1">T137</f>
        <v>1</v>
      </c>
      <c r="X139" s="1800"/>
      <c r="Z139" s="1800"/>
      <c r="AB139" s="166" t="s">
        <v>518</v>
      </c>
      <c r="AC139" s="287" t="s">
        <v>997</v>
      </c>
      <c r="AD139" s="288"/>
      <c r="AE139" s="289"/>
      <c r="AF139" s="289"/>
      <c r="AG139" s="289"/>
      <c r="AH139" s="289"/>
      <c r="AI139" s="289"/>
      <c r="AJ139" s="289"/>
      <c r="AK139" s="289"/>
      <c r="AL139" s="289"/>
      <c r="AM139" s="289"/>
      <c r="AN139" s="289"/>
      <c r="AO139" s="289"/>
      <c r="AP139" s="289"/>
      <c r="AQ139" s="289"/>
      <c r="AR139" s="289"/>
      <c r="AS139" s="289"/>
      <c r="AT139" s="289"/>
      <c r="AU139" s="289"/>
      <c r="AV139" s="289"/>
      <c r="AW139" s="289"/>
      <c r="AX139" s="289"/>
      <c r="AY139" s="289"/>
      <c r="AZ139" s="289"/>
      <c r="BA139" s="289"/>
      <c r="BB139" s="289"/>
      <c r="BC139" s="905"/>
      <c r="BF139" s="989"/>
      <c r="BG139" s="989"/>
      <c r="BH139" s="989"/>
      <c r="BI139" s="990"/>
      <c r="BJ139" s="990"/>
    </row>
    <row r="140" spans="1:62" s="173" customFormat="1" ht="17.25" hidden="1" customHeight="1">
      <c r="E140" s="781">
        <v>0</v>
      </c>
      <c r="F140" s="779" t="str" cm="1">
        <f t="array" aca="1" ref="F140" ca="1">OFFSET(G140,-1,-1)</f>
        <v>2</v>
      </c>
      <c r="T140" s="780" t="b" cm="1">
        <f t="array" aca="1" ref="T140" ca="1">T139</f>
        <v>1</v>
      </c>
      <c r="X140" s="1800"/>
      <c r="Z140" s="1800"/>
      <c r="AB140" s="233"/>
      <c r="AC140" s="228"/>
      <c r="AD140" s="509"/>
      <c r="AE140" s="231"/>
      <c r="AF140" s="231"/>
      <c r="AG140" s="231"/>
      <c r="AH140" s="231"/>
      <c r="AI140" s="231"/>
      <c r="AJ140" s="231"/>
      <c r="AK140" s="231"/>
      <c r="AL140" s="231"/>
      <c r="AM140" s="231"/>
      <c r="AN140" s="231"/>
      <c r="AO140" s="231"/>
      <c r="AP140" s="231"/>
      <c r="AQ140" s="231"/>
      <c r="AR140" s="231"/>
      <c r="AS140" s="231"/>
      <c r="AT140" s="231"/>
      <c r="AU140" s="231"/>
      <c r="AV140" s="231"/>
      <c r="AW140" s="231"/>
      <c r="AX140" s="231"/>
      <c r="AY140" s="231"/>
      <c r="AZ140" s="231"/>
      <c r="BA140" s="231"/>
      <c r="BB140" s="231"/>
      <c r="BC140" s="240"/>
      <c r="BF140" s="989"/>
      <c r="BG140" s="989"/>
      <c r="BH140" s="989"/>
      <c r="BI140" s="990"/>
      <c r="BJ140" s="990"/>
    </row>
    <row r="141" spans="1:62" s="173" customFormat="1" ht="14.25" hidden="1" customHeight="1">
      <c r="A141" s="927" t="str">
        <f ca="1">"checkCosts_4."&amp;F141&amp;"."&amp;Y141</f>
        <v>checkCosts_4.2.0</v>
      </c>
      <c r="E141" s="781">
        <v>15</v>
      </c>
      <c r="F141" s="779" t="str" cm="1">
        <f t="array" aca="1" ref="F141" ca="1">OFFSET(G141,-1,-1)</f>
        <v>2</v>
      </c>
      <c r="H141" s="106" cm="1">
        <f t="array" ref="H141">AC141</f>
        <v>0</v>
      </c>
      <c r="I141" s="165" t="s">
        <v>984</v>
      </c>
      <c r="S141" s="1800"/>
      <c r="T141" s="780" t="b">
        <f ca="1">AND(F141&gt;0,Y141&gt;0)</f>
        <v>0</v>
      </c>
      <c r="W141" s="122" t="s">
        <v>236</v>
      </c>
      <c r="X141" s="1800"/>
      <c r="Y141" s="1701">
        <v>0</v>
      </c>
      <c r="Z141" s="1800"/>
      <c r="AA141" s="1806" t="s">
        <v>218</v>
      </c>
      <c r="AB141" s="235" t="str">
        <f>"2.1."&amp;Y141</f>
        <v>2.1.0</v>
      </c>
      <c r="AC141" s="505"/>
      <c r="AD141" s="510" t="s">
        <v>839</v>
      </c>
      <c r="AE141" s="279">
        <f>AE143*AE144/1000</f>
        <v>0</v>
      </c>
      <c r="AF141" s="17"/>
      <c r="AG141" s="17"/>
      <c r="AH141" s="279">
        <f>AH143*AH144/1000</f>
        <v>0</v>
      </c>
      <c r="AI141" s="230"/>
      <c r="AJ141" s="230"/>
      <c r="AK141" s="230"/>
      <c r="AL141" s="230"/>
      <c r="AM141" s="230"/>
      <c r="AN141" s="17"/>
      <c r="AO141" s="17"/>
      <c r="AP141" s="17"/>
      <c r="AQ141" s="17"/>
      <c r="AR141" s="17"/>
      <c r="AS141" s="279">
        <f t="shared" ref="AS141:BB141" si="53">AS143*AS144/1000</f>
        <v>0</v>
      </c>
      <c r="AT141" s="279">
        <f t="shared" si="53"/>
        <v>0</v>
      </c>
      <c r="AU141" s="279">
        <f t="shared" si="53"/>
        <v>0</v>
      </c>
      <c r="AV141" s="279">
        <f t="shared" si="53"/>
        <v>0</v>
      </c>
      <c r="AW141" s="279">
        <f t="shared" si="53"/>
        <v>0</v>
      </c>
      <c r="AX141" s="279">
        <f t="shared" si="53"/>
        <v>0</v>
      </c>
      <c r="AY141" s="279">
        <f t="shared" si="53"/>
        <v>0</v>
      </c>
      <c r="AZ141" s="279">
        <f t="shared" si="53"/>
        <v>0</v>
      </c>
      <c r="BA141" s="279">
        <f t="shared" si="53"/>
        <v>0</v>
      </c>
      <c r="BB141" s="279">
        <f t="shared" si="53"/>
        <v>0</v>
      </c>
      <c r="BC141" s="58"/>
      <c r="BF141" s="989" t="s">
        <v>1029</v>
      </c>
      <c r="BG141" s="989" t="s">
        <v>1030</v>
      </c>
      <c r="BH141" s="989" cm="1">
        <f t="array" ref="BH141">AC141</f>
        <v>0</v>
      </c>
      <c r="BI141" s="990"/>
      <c r="BJ141" s="990" t="b">
        <v>1</v>
      </c>
    </row>
    <row r="142" spans="1:62" s="173" customFormat="1" ht="14.25" hidden="1" customHeight="1">
      <c r="E142" s="781">
        <v>15</v>
      </c>
      <c r="F142" s="779" t="str" cm="1">
        <f t="array" aca="1" ref="F142" ca="1">OFFSET(G142,-1,-1)</f>
        <v>2</v>
      </c>
      <c r="L142" s="163" t="str" cm="1">
        <f t="array" aca="1" ref="L142" ca="1">INDEX('Общие сведения'!$AK$187:$AK$236,MATCH($F142,'Общие сведения'!$Z$187:$Z$236,0))</f>
        <v>одноставочный</v>
      </c>
      <c r="R142" s="143" t="s">
        <v>1021</v>
      </c>
      <c r="S142" s="1800"/>
      <c r="T142" s="780" t="b">
        <f ca="1">AND(T141,L142="двухставочный")</f>
        <v>0</v>
      </c>
      <c r="X142" s="1800"/>
      <c r="Y142" s="1800"/>
      <c r="Z142" s="1800"/>
      <c r="AA142" s="1806"/>
      <c r="AB142" s="235"/>
      <c r="AC142" s="496" t="s">
        <v>1023</v>
      </c>
      <c r="AD142" s="510" t="s">
        <v>839</v>
      </c>
      <c r="AE142" s="21"/>
      <c r="AF142" s="21"/>
      <c r="AG142" s="21"/>
      <c r="AH142" s="21"/>
      <c r="AI142" s="511"/>
      <c r="AJ142" s="511"/>
      <c r="AK142" s="511"/>
      <c r="AL142" s="511"/>
      <c r="AM142" s="511"/>
      <c r="AN142" s="21"/>
      <c r="AO142" s="21"/>
      <c r="AP142" s="21"/>
      <c r="AQ142" s="21"/>
      <c r="AR142" s="21"/>
      <c r="AS142" s="511"/>
      <c r="AT142" s="511"/>
      <c r="AU142" s="511"/>
      <c r="AV142" s="511"/>
      <c r="AW142" s="511"/>
      <c r="AX142" s="21"/>
      <c r="AY142" s="21"/>
      <c r="AZ142" s="21"/>
      <c r="BA142" s="21"/>
      <c r="BB142" s="21"/>
      <c r="BC142" s="59"/>
      <c r="BF142" s="989" t="s">
        <v>1031</v>
      </c>
      <c r="BG142" s="989" t="s">
        <v>1030</v>
      </c>
      <c r="BH142" s="989" cm="1">
        <f t="array" ref="BH142">BH141</f>
        <v>0</v>
      </c>
      <c r="BI142" s="990"/>
      <c r="BJ142" s="990"/>
    </row>
    <row r="143" spans="1:62" s="173" customFormat="1" ht="14.25" hidden="1" customHeight="1">
      <c r="E143" s="781">
        <v>15</v>
      </c>
      <c r="F143" s="779" t="str" cm="1">
        <f t="array" aca="1" ref="F143" ca="1">OFFSET(G143,-1,-1)</f>
        <v>2</v>
      </c>
      <c r="H143" s="106" cm="1">
        <f t="array" ref="H143">H141</f>
        <v>0</v>
      </c>
      <c r="S143" s="1800"/>
      <c r="T143" s="780" t="b" cm="1">
        <f t="array" aca="1" ref="T143" ca="1">T141</f>
        <v>0</v>
      </c>
      <c r="X143" s="1800"/>
      <c r="Y143" s="1800"/>
      <c r="Z143" s="1800"/>
      <c r="AA143" s="1807"/>
      <c r="AB143" s="235" t="str">
        <f>AB141&amp;".1"</f>
        <v>2.1.0.1</v>
      </c>
      <c r="AC143" s="496" t="s">
        <v>1000</v>
      </c>
      <c r="AD143" s="105" t="s">
        <v>1027</v>
      </c>
      <c r="AE143" s="21"/>
      <c r="AF143" s="559">
        <f>IF(AF144=0,0,AF141/AF144*1000)</f>
        <v>0</v>
      </c>
      <c r="AG143" s="559">
        <f>IF(AG144=0,0,AG141/AG144*1000)</f>
        <v>0</v>
      </c>
      <c r="AH143" s="21"/>
      <c r="AI143" s="559">
        <f t="shared" ref="AI143:AR143" si="54">IF(AI144=0,0,AI141/AI144*1000)</f>
        <v>0</v>
      </c>
      <c r="AJ143" s="559">
        <f t="shared" si="54"/>
        <v>0</v>
      </c>
      <c r="AK143" s="559">
        <f t="shared" si="54"/>
        <v>0</v>
      </c>
      <c r="AL143" s="559">
        <f t="shared" si="54"/>
        <v>0</v>
      </c>
      <c r="AM143" s="559">
        <f t="shared" si="54"/>
        <v>0</v>
      </c>
      <c r="AN143" s="559">
        <f t="shared" si="54"/>
        <v>0</v>
      </c>
      <c r="AO143" s="559">
        <f t="shared" si="54"/>
        <v>0</v>
      </c>
      <c r="AP143" s="559">
        <f t="shared" si="54"/>
        <v>0</v>
      </c>
      <c r="AQ143" s="559">
        <f t="shared" si="54"/>
        <v>0</v>
      </c>
      <c r="AR143" s="559">
        <f t="shared" si="54"/>
        <v>0</v>
      </c>
      <c r="AS143" s="511"/>
      <c r="AT143" s="511"/>
      <c r="AU143" s="511"/>
      <c r="AV143" s="511"/>
      <c r="AW143" s="511"/>
      <c r="AX143" s="21"/>
      <c r="AY143" s="21"/>
      <c r="AZ143" s="21"/>
      <c r="BA143" s="21"/>
      <c r="BB143" s="21"/>
      <c r="BC143" s="28"/>
      <c r="BF143" s="989" t="s">
        <v>1032</v>
      </c>
      <c r="BG143" s="989" t="s">
        <v>1030</v>
      </c>
      <c r="BH143" s="989" cm="1">
        <f t="array" ref="BH143">BH142</f>
        <v>0</v>
      </c>
      <c r="BI143" s="990"/>
      <c r="BJ143" s="990"/>
    </row>
    <row r="144" spans="1:62" s="173" customFormat="1" ht="14.25" hidden="1" customHeight="1">
      <c r="A144" s="927" t="str">
        <f ca="1">"checkVolume_4."&amp;F144&amp;"."&amp;Y141</f>
        <v>checkVolume_4.2.0</v>
      </c>
      <c r="E144" s="781">
        <v>15</v>
      </c>
      <c r="F144" s="779" t="str" cm="1">
        <f t="array" aca="1" ref="F144" ca="1">OFFSET(G144,-1,-1)</f>
        <v>2</v>
      </c>
      <c r="H144" s="106" cm="1">
        <f t="array" ref="H144">H141</f>
        <v>0</v>
      </c>
      <c r="S144" s="1800"/>
      <c r="T144" s="780" t="b" cm="1">
        <f t="array" aca="1" ref="T144" ca="1">T141</f>
        <v>0</v>
      </c>
      <c r="X144" s="1800"/>
      <c r="Y144" s="1800"/>
      <c r="Z144" s="1800"/>
      <c r="AA144" s="1806"/>
      <c r="AB144" s="235" t="str">
        <f>AB141&amp;".2"</f>
        <v>2.1.0.2</v>
      </c>
      <c r="AC144" s="496" t="s">
        <v>1033</v>
      </c>
      <c r="AD144" s="105" t="s">
        <v>634</v>
      </c>
      <c r="AE144" s="21"/>
      <c r="AF144" s="21"/>
      <c r="AG144" s="21"/>
      <c r="AH144" s="21"/>
      <c r="AI144" s="511"/>
      <c r="AJ144" s="511"/>
      <c r="AK144" s="511"/>
      <c r="AL144" s="511"/>
      <c r="AM144" s="511"/>
      <c r="AN144" s="21"/>
      <c r="AO144" s="21"/>
      <c r="AP144" s="21"/>
      <c r="AQ144" s="21"/>
      <c r="AR144" s="21"/>
      <c r="AS144" s="511"/>
      <c r="AT144" s="511"/>
      <c r="AU144" s="511"/>
      <c r="AV144" s="511"/>
      <c r="AW144" s="511"/>
      <c r="AX144" s="21"/>
      <c r="AY144" s="21"/>
      <c r="AZ144" s="21"/>
      <c r="BA144" s="21"/>
      <c r="BB144" s="21"/>
      <c r="BC144" s="28"/>
      <c r="BF144" s="989" t="s">
        <v>1034</v>
      </c>
      <c r="BG144" s="989" t="s">
        <v>1030</v>
      </c>
      <c r="BH144" s="989" cm="1">
        <f t="array" ref="BH144">BH142</f>
        <v>0</v>
      </c>
      <c r="BI144" s="990"/>
      <c r="BJ144" s="990"/>
    </row>
    <row r="145" spans="1:62" s="173" customFormat="1" ht="14.25" customHeight="1">
      <c r="E145" s="781">
        <v>15</v>
      </c>
      <c r="F145" s="779" t="str" cm="1">
        <f t="array" aca="1" ref="F145" ca="1">OFFSET(G145,-1,-1)</f>
        <v>2</v>
      </c>
      <c r="T145" s="780" t="b">
        <f ca="1">F145&gt;0</f>
        <v>1</v>
      </c>
      <c r="W145" s="318" t="s">
        <v>1035</v>
      </c>
      <c r="X145" s="1800"/>
      <c r="Z145" s="1800"/>
      <c r="AB145" s="697"/>
      <c r="AC145" s="494" t="s">
        <v>1036</v>
      </c>
      <c r="AD145" s="494"/>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908"/>
      <c r="BF145" s="989"/>
      <c r="BG145" s="989"/>
      <c r="BH145" s="989"/>
      <c r="BI145" s="990" t="s">
        <v>1030</v>
      </c>
      <c r="BJ145" s="990"/>
    </row>
    <row r="146" spans="1:62" s="173" customFormat="1" ht="14.25" customHeight="1">
      <c r="E146" s="781">
        <v>15</v>
      </c>
      <c r="F146" s="779" t="str" cm="1">
        <f t="array" aca="1" ref="F146" ca="1">OFFSET(G146,-1,-1)</f>
        <v>2</v>
      </c>
      <c r="T146" s="780" t="b">
        <f ca="1">F146&gt;0</f>
        <v>1</v>
      </c>
      <c r="X146" s="1800"/>
      <c r="Z146" s="1800"/>
      <c r="AB146" s="166" t="s">
        <v>522</v>
      </c>
      <c r="AC146" s="287" t="s">
        <v>1006</v>
      </c>
      <c r="AD146" s="288"/>
      <c r="AE146" s="289"/>
      <c r="AF146" s="289"/>
      <c r="AG146" s="289"/>
      <c r="AH146" s="289"/>
      <c r="AI146" s="289"/>
      <c r="AJ146" s="289"/>
      <c r="AK146" s="289"/>
      <c r="AL146" s="289"/>
      <c r="AM146" s="289"/>
      <c r="AN146" s="289"/>
      <c r="AO146" s="289"/>
      <c r="AP146" s="289"/>
      <c r="AQ146" s="289"/>
      <c r="AR146" s="289"/>
      <c r="AS146" s="289"/>
      <c r="AT146" s="289"/>
      <c r="AU146" s="289"/>
      <c r="AV146" s="289"/>
      <c r="AW146" s="289"/>
      <c r="AX146" s="289"/>
      <c r="AY146" s="289"/>
      <c r="AZ146" s="289"/>
      <c r="BA146" s="289"/>
      <c r="BB146" s="289"/>
      <c r="BC146" s="905"/>
      <c r="BF146" s="989"/>
      <c r="BG146" s="989"/>
      <c r="BH146" s="989"/>
      <c r="BI146" s="990"/>
      <c r="BJ146" s="990"/>
    </row>
    <row r="147" spans="1:62" s="173" customFormat="1" ht="17.25" hidden="1" customHeight="1">
      <c r="E147" s="781">
        <v>0</v>
      </c>
      <c r="F147" s="779" t="str" cm="1">
        <f t="array" aca="1" ref="F147" ca="1">OFFSET(G147,-1,-1)</f>
        <v>2</v>
      </c>
      <c r="T147" s="780" t="b">
        <f ca="1">F147&gt;0</f>
        <v>1</v>
      </c>
      <c r="X147" s="1800"/>
      <c r="Z147" s="1800"/>
      <c r="AB147" s="233"/>
      <c r="AC147" s="228"/>
      <c r="AD147" s="227"/>
      <c r="AE147" s="493"/>
      <c r="AF147" s="493"/>
      <c r="AG147" s="493"/>
      <c r="AH147" s="493"/>
      <c r="AI147" s="493"/>
      <c r="AJ147" s="493"/>
      <c r="AK147" s="493"/>
      <c r="AL147" s="493"/>
      <c r="AM147" s="493"/>
      <c r="AN147" s="493"/>
      <c r="AO147" s="493"/>
      <c r="AP147" s="493"/>
      <c r="AQ147" s="493"/>
      <c r="AR147" s="493"/>
      <c r="AS147" s="493"/>
      <c r="AT147" s="493"/>
      <c r="AU147" s="493"/>
      <c r="AV147" s="493"/>
      <c r="AW147" s="493"/>
      <c r="AX147" s="493"/>
      <c r="AY147" s="493"/>
      <c r="AZ147" s="493"/>
      <c r="BA147" s="493"/>
      <c r="BB147" s="493"/>
      <c r="BC147" s="34"/>
      <c r="BF147" s="989"/>
      <c r="BG147" s="989"/>
      <c r="BH147" s="989"/>
      <c r="BI147" s="990"/>
      <c r="BJ147" s="990"/>
    </row>
    <row r="148" spans="1:62" s="173" customFormat="1" ht="14.25" hidden="1" customHeight="1">
      <c r="E148" s="781">
        <v>15</v>
      </c>
      <c r="F148" s="779" t="str" cm="1">
        <f t="array" aca="1" ref="F148" ca="1">OFFSET(G148,-1,-1)</f>
        <v>2</v>
      </c>
      <c r="H148" s="106" cm="1">
        <f t="array" ref="H148">AC148</f>
        <v>0</v>
      </c>
      <c r="I148" s="106" t="s">
        <v>984</v>
      </c>
      <c r="S148" s="1800"/>
      <c r="T148" s="780" t="b">
        <f ca="1">AND(F148&gt;0,Y148&gt;0)</f>
        <v>0</v>
      </c>
      <c r="W148" s="122" t="s">
        <v>236</v>
      </c>
      <c r="X148" s="1800"/>
      <c r="Y148" s="1701">
        <v>0</v>
      </c>
      <c r="Z148" s="1800"/>
      <c r="AA148" s="1806" t="s">
        <v>218</v>
      </c>
      <c r="AB148" s="105" t="str">
        <f>"2.3."&amp;Y148</f>
        <v>2.3.0</v>
      </c>
      <c r="AC148" s="505"/>
      <c r="AD148" s="105" t="s">
        <v>839</v>
      </c>
      <c r="AE148" s="497">
        <f t="shared" ref="AE148:BB148" si="55">AE151+AE153</f>
        <v>0</v>
      </c>
      <c r="AF148" s="497">
        <f t="shared" si="55"/>
        <v>0</v>
      </c>
      <c r="AG148" s="497">
        <f t="shared" si="55"/>
        <v>0</v>
      </c>
      <c r="AH148" s="497">
        <f t="shared" si="55"/>
        <v>0</v>
      </c>
      <c r="AI148" s="497">
        <f t="shared" si="55"/>
        <v>0</v>
      </c>
      <c r="AJ148" s="492">
        <f t="shared" si="55"/>
        <v>0</v>
      </c>
      <c r="AK148" s="492">
        <f t="shared" si="55"/>
        <v>0</v>
      </c>
      <c r="AL148" s="492">
        <f t="shared" si="55"/>
        <v>0</v>
      </c>
      <c r="AM148" s="492">
        <f t="shared" si="55"/>
        <v>0</v>
      </c>
      <c r="AN148" s="20">
        <f t="shared" si="55"/>
        <v>0</v>
      </c>
      <c r="AO148" s="20">
        <f t="shared" si="55"/>
        <v>0</v>
      </c>
      <c r="AP148" s="20">
        <f t="shared" si="55"/>
        <v>0</v>
      </c>
      <c r="AQ148" s="20">
        <f t="shared" si="55"/>
        <v>0</v>
      </c>
      <c r="AR148" s="20">
        <f t="shared" si="55"/>
        <v>0</v>
      </c>
      <c r="AS148" s="497">
        <f t="shared" si="55"/>
        <v>0</v>
      </c>
      <c r="AT148" s="492">
        <f t="shared" si="55"/>
        <v>0</v>
      </c>
      <c r="AU148" s="492">
        <f t="shared" si="55"/>
        <v>0</v>
      </c>
      <c r="AV148" s="492">
        <f t="shared" si="55"/>
        <v>0</v>
      </c>
      <c r="AW148" s="492">
        <f t="shared" si="55"/>
        <v>0</v>
      </c>
      <c r="AX148" s="20">
        <f t="shared" si="55"/>
        <v>0</v>
      </c>
      <c r="AY148" s="20">
        <f t="shared" si="55"/>
        <v>0</v>
      </c>
      <c r="AZ148" s="20">
        <f t="shared" si="55"/>
        <v>0</v>
      </c>
      <c r="BA148" s="20">
        <f t="shared" si="55"/>
        <v>0</v>
      </c>
      <c r="BB148" s="20">
        <f t="shared" si="55"/>
        <v>0</v>
      </c>
      <c r="BC148" s="35"/>
      <c r="BF148" s="989" t="s">
        <v>1029</v>
      </c>
      <c r="BG148" s="989" t="s">
        <v>1037</v>
      </c>
      <c r="BH148" s="989" cm="1">
        <f t="array" ref="BH148">AC148</f>
        <v>0</v>
      </c>
      <c r="BI148" s="990"/>
      <c r="BJ148" s="990" t="b">
        <v>1</v>
      </c>
    </row>
    <row r="149" spans="1:62" s="173" customFormat="1" ht="14.25" hidden="1" customHeight="1">
      <c r="E149" s="781">
        <v>15</v>
      </c>
      <c r="F149" s="779" t="str" cm="1">
        <f t="array" aca="1" ref="F149" ca="1">OFFSET(G149,-1,-1)</f>
        <v>2</v>
      </c>
      <c r="L149" s="163" t="str" cm="1">
        <f t="array" aca="1" ref="L149" ca="1">INDEX('Общие сведения'!$AK$187:$AK$236,MATCH($F149,'Общие сведения'!$Z$187:$Z$236,0))</f>
        <v>одноставочный</v>
      </c>
      <c r="R149" s="143" t="s">
        <v>1021</v>
      </c>
      <c r="S149" s="1800"/>
      <c r="T149" s="780" t="b">
        <f ca="1">AND(T148,L149="двухставочный")</f>
        <v>0</v>
      </c>
      <c r="X149" s="1800"/>
      <c r="Y149" s="1800"/>
      <c r="Z149" s="1800"/>
      <c r="AA149" s="1806"/>
      <c r="AB149" s="235"/>
      <c r="AC149" s="496" t="s">
        <v>1023</v>
      </c>
      <c r="AD149" s="510" t="s">
        <v>839</v>
      </c>
      <c r="AE149" s="21"/>
      <c r="AF149" s="21"/>
      <c r="AG149" s="21"/>
      <c r="AH149" s="21"/>
      <c r="AI149" s="511"/>
      <c r="AJ149" s="511"/>
      <c r="AK149" s="511"/>
      <c r="AL149" s="511"/>
      <c r="AM149" s="511"/>
      <c r="AN149" s="21"/>
      <c r="AO149" s="21"/>
      <c r="AP149" s="21"/>
      <c r="AQ149" s="21"/>
      <c r="AR149" s="21"/>
      <c r="AS149" s="511"/>
      <c r="AT149" s="511"/>
      <c r="AU149" s="511"/>
      <c r="AV149" s="511"/>
      <c r="AW149" s="511"/>
      <c r="AX149" s="21"/>
      <c r="AY149" s="21"/>
      <c r="AZ149" s="21"/>
      <c r="BA149" s="21"/>
      <c r="BB149" s="21"/>
      <c r="BC149" s="59"/>
      <c r="BF149" s="989" t="s">
        <v>1031</v>
      </c>
      <c r="BG149" s="989" t="s">
        <v>1037</v>
      </c>
      <c r="BH149" s="989" cm="1">
        <f t="array" ref="BH149">BH148</f>
        <v>0</v>
      </c>
      <c r="BI149" s="990"/>
      <c r="BJ149" s="990"/>
    </row>
    <row r="150" spans="1:62" s="173" customFormat="1" ht="14.25" hidden="1" customHeight="1">
      <c r="E150" s="781">
        <v>15</v>
      </c>
      <c r="F150" s="779" t="str" cm="1">
        <f t="array" aca="1" ref="F150" ca="1">OFFSET(G150,-1,-1)</f>
        <v>2</v>
      </c>
      <c r="H150" s="106" cm="1">
        <f t="array" ref="H150">H148</f>
        <v>0</v>
      </c>
      <c r="S150" s="1800"/>
      <c r="T150" s="780" t="b" cm="1">
        <f t="array" aca="1" ref="T150" ca="1">T148</f>
        <v>0</v>
      </c>
      <c r="X150" s="1800"/>
      <c r="Y150" s="1800"/>
      <c r="Z150" s="1800"/>
      <c r="AA150" s="1807"/>
      <c r="AB150" s="235" t="str">
        <f>AB148&amp;".1"</f>
        <v>2.3.0.1</v>
      </c>
      <c r="AC150" s="496" t="s">
        <v>1000</v>
      </c>
      <c r="AD150" s="105" t="s">
        <v>1027</v>
      </c>
      <c r="AE150" s="20"/>
      <c r="AF150" s="497">
        <f>IF(AF152=0,0,AF151/AF152*1000)</f>
        <v>0</v>
      </c>
      <c r="AG150" s="497">
        <f>IF(AG152=0,0,AG151/AG152*1000)</f>
        <v>0</v>
      </c>
      <c r="AH150" s="20"/>
      <c r="AI150" s="497">
        <f t="shared" ref="AI150:AR150" si="56">IF(AI152=0,0,AI151/AI152*1000)</f>
        <v>0</v>
      </c>
      <c r="AJ150" s="497">
        <f t="shared" si="56"/>
        <v>0</v>
      </c>
      <c r="AK150" s="497">
        <f t="shared" si="56"/>
        <v>0</v>
      </c>
      <c r="AL150" s="497">
        <f t="shared" si="56"/>
        <v>0</v>
      </c>
      <c r="AM150" s="497">
        <f t="shared" si="56"/>
        <v>0</v>
      </c>
      <c r="AN150" s="497">
        <f t="shared" si="56"/>
        <v>0</v>
      </c>
      <c r="AO150" s="497">
        <f t="shared" si="56"/>
        <v>0</v>
      </c>
      <c r="AP150" s="497">
        <f t="shared" si="56"/>
        <v>0</v>
      </c>
      <c r="AQ150" s="497">
        <f t="shared" si="56"/>
        <v>0</v>
      </c>
      <c r="AR150" s="497">
        <f t="shared" si="56"/>
        <v>0</v>
      </c>
      <c r="AS150" s="492"/>
      <c r="AT150" s="492"/>
      <c r="AU150" s="492"/>
      <c r="AV150" s="492"/>
      <c r="AW150" s="492"/>
      <c r="AX150" s="20"/>
      <c r="AY150" s="20"/>
      <c r="AZ150" s="20"/>
      <c r="BA150" s="20"/>
      <c r="BB150" s="20"/>
      <c r="BC150" s="28"/>
      <c r="BF150" s="989" t="s">
        <v>1032</v>
      </c>
      <c r="BG150" s="989" t="s">
        <v>1037</v>
      </c>
      <c r="BH150" s="989" cm="1">
        <f t="array" ref="BH150">BH149</f>
        <v>0</v>
      </c>
      <c r="BI150" s="990"/>
      <c r="BJ150" s="990"/>
    </row>
    <row r="151" spans="1:62" s="173" customFormat="1" ht="14.25" hidden="1" customHeight="1">
      <c r="A151" s="927" t="str">
        <f ca="1">"checkCosts_5."&amp;F151&amp;"."&amp;Y148</f>
        <v>checkCosts_5.2.0</v>
      </c>
      <c r="E151" s="781">
        <v>15</v>
      </c>
      <c r="F151" s="779" t="str" cm="1">
        <f t="array" aca="1" ref="F151" ca="1">OFFSET(G151,-1,-1)</f>
        <v>2</v>
      </c>
      <c r="S151" s="1800"/>
      <c r="T151" s="780" t="b" cm="1">
        <f t="array" aca="1" ref="T151" ca="1">T148</f>
        <v>0</v>
      </c>
      <c r="X151" s="1800"/>
      <c r="Y151" s="1800"/>
      <c r="Z151" s="1800"/>
      <c r="AA151" s="1806"/>
      <c r="AB151" s="235" t="str">
        <f>AB148&amp;".2"</f>
        <v>2.3.0.2</v>
      </c>
      <c r="AC151" s="496" t="s">
        <v>1038</v>
      </c>
      <c r="AD151" s="105" t="s">
        <v>839</v>
      </c>
      <c r="AE151" s="20"/>
      <c r="AF151" s="20"/>
      <c r="AG151" s="20"/>
      <c r="AH151" s="20"/>
      <c r="AI151" s="492"/>
      <c r="AJ151" s="492"/>
      <c r="AK151" s="492"/>
      <c r="AL151" s="492"/>
      <c r="AM151" s="492"/>
      <c r="AN151" s="20"/>
      <c r="AO151" s="20"/>
      <c r="AP151" s="20"/>
      <c r="AQ151" s="20"/>
      <c r="AR151" s="20"/>
      <c r="AS151" s="492"/>
      <c r="AT151" s="492"/>
      <c r="AU151" s="492"/>
      <c r="AV151" s="492"/>
      <c r="AW151" s="492"/>
      <c r="AX151" s="20"/>
      <c r="AY151" s="20"/>
      <c r="AZ151" s="20"/>
      <c r="BA151" s="20"/>
      <c r="BB151" s="20"/>
      <c r="BC151" s="28"/>
      <c r="BF151" s="989" t="s">
        <v>1039</v>
      </c>
      <c r="BG151" s="989" t="s">
        <v>1037</v>
      </c>
      <c r="BH151" s="989" cm="1">
        <f t="array" ref="BH151">BH149</f>
        <v>0</v>
      </c>
      <c r="BI151" s="990"/>
      <c r="BJ151" s="990"/>
    </row>
    <row r="152" spans="1:62" s="173" customFormat="1" ht="14.25" hidden="1" customHeight="1">
      <c r="A152" s="927" t="str">
        <f ca="1">"checkVolume_5."&amp;F152&amp;"."&amp;Y148</f>
        <v>checkVolume_5.2.0</v>
      </c>
      <c r="E152" s="781">
        <v>15</v>
      </c>
      <c r="F152" s="779" t="str" cm="1">
        <f t="array" aca="1" ref="F152" ca="1">OFFSET(G152,-1,-1)</f>
        <v>2</v>
      </c>
      <c r="S152" s="1800"/>
      <c r="T152" s="780" t="b" cm="1">
        <f t="array" aca="1" ref="T152" ca="1">T151</f>
        <v>0</v>
      </c>
      <c r="X152" s="1800"/>
      <c r="Y152" s="1800"/>
      <c r="Z152" s="1800"/>
      <c r="AA152" s="1806"/>
      <c r="AB152" s="346" t="str">
        <f>AB151&amp;".1"</f>
        <v>2.3.0.2.1</v>
      </c>
      <c r="AC152" s="506" t="s">
        <v>1033</v>
      </c>
      <c r="AD152" s="105" t="s">
        <v>634</v>
      </c>
      <c r="AE152" s="20"/>
      <c r="AF152" s="20"/>
      <c r="AG152" s="20"/>
      <c r="AH152" s="20"/>
      <c r="AI152" s="492"/>
      <c r="AJ152" s="492"/>
      <c r="AK152" s="492"/>
      <c r="AL152" s="492"/>
      <c r="AM152" s="492"/>
      <c r="AN152" s="20"/>
      <c r="AO152" s="20"/>
      <c r="AP152" s="20"/>
      <c r="AQ152" s="20"/>
      <c r="AR152" s="20"/>
      <c r="AS152" s="492"/>
      <c r="AT152" s="492"/>
      <c r="AU152" s="492"/>
      <c r="AV152" s="492"/>
      <c r="AW152" s="492"/>
      <c r="AX152" s="20"/>
      <c r="AY152" s="20"/>
      <c r="AZ152" s="20"/>
      <c r="BA152" s="20"/>
      <c r="BB152" s="20"/>
      <c r="BC152" s="28"/>
      <c r="BF152" s="989" t="s">
        <v>1040</v>
      </c>
      <c r="BG152" s="989" t="s">
        <v>1037</v>
      </c>
      <c r="BH152" s="989" cm="1">
        <f t="array" ref="BH152">BH151</f>
        <v>0</v>
      </c>
      <c r="BI152" s="990"/>
      <c r="BJ152" s="990"/>
    </row>
    <row r="153" spans="1:62" s="173" customFormat="1" ht="14.25" hidden="1" customHeight="1">
      <c r="A153" s="927" t="str">
        <f ca="1">"checkCosts_6."&amp;F153&amp;"."&amp;Y148</f>
        <v>checkCosts_6.2.0</v>
      </c>
      <c r="E153" s="781">
        <v>15</v>
      </c>
      <c r="F153" s="779" t="str" cm="1">
        <f t="array" aca="1" ref="F153" ca="1">OFFSET(G153,-1,-1)</f>
        <v>2</v>
      </c>
      <c r="S153" s="1800"/>
      <c r="T153" s="780" t="b" cm="1">
        <f t="array" aca="1" ref="T153" ca="1">T152</f>
        <v>0</v>
      </c>
      <c r="X153" s="1800"/>
      <c r="Y153" s="1800"/>
      <c r="Z153" s="1800"/>
      <c r="AA153" s="1806"/>
      <c r="AB153" s="235" t="str">
        <f>AB148&amp;".3"</f>
        <v>2.3.0.3</v>
      </c>
      <c r="AC153" s="496" t="s">
        <v>1041</v>
      </c>
      <c r="AD153" s="105" t="s">
        <v>1011</v>
      </c>
      <c r="AE153" s="20"/>
      <c r="AF153" s="20"/>
      <c r="AG153" s="20"/>
      <c r="AH153" s="20"/>
      <c r="AI153" s="492"/>
      <c r="AJ153" s="492"/>
      <c r="AK153" s="492"/>
      <c r="AL153" s="492"/>
      <c r="AM153" s="492"/>
      <c r="AN153" s="20"/>
      <c r="AO153" s="20"/>
      <c r="AP153" s="20"/>
      <c r="AQ153" s="20"/>
      <c r="AR153" s="20"/>
      <c r="AS153" s="492"/>
      <c r="AT153" s="492"/>
      <c r="AU153" s="492"/>
      <c r="AV153" s="492"/>
      <c r="AW153" s="492"/>
      <c r="AX153" s="20"/>
      <c r="AY153" s="20"/>
      <c r="AZ153" s="20"/>
      <c r="BA153" s="20"/>
      <c r="BB153" s="20"/>
      <c r="BC153" s="28"/>
      <c r="BF153" s="989" t="s">
        <v>1042</v>
      </c>
      <c r="BG153" s="989" t="s">
        <v>1037</v>
      </c>
      <c r="BH153" s="989" cm="1">
        <f t="array" ref="BH153">BH152</f>
        <v>0</v>
      </c>
      <c r="BI153" s="990"/>
      <c r="BJ153" s="990"/>
    </row>
    <row r="154" spans="1:62" s="173" customFormat="1" ht="14.25" hidden="1" customHeight="1">
      <c r="A154" s="927" t="str">
        <f ca="1">"checkVolume_6."&amp;F154&amp;"."&amp;Y148</f>
        <v>checkVolume_6.2.0</v>
      </c>
      <c r="E154" s="781">
        <v>15</v>
      </c>
      <c r="F154" s="779" t="str" cm="1">
        <f t="array" aca="1" ref="F154" ca="1">OFFSET(G154,-1,-1)</f>
        <v>2</v>
      </c>
      <c r="H154" s="106" cm="1">
        <f t="array" ref="H154">H148</f>
        <v>0</v>
      </c>
      <c r="S154" s="1800"/>
      <c r="T154" s="780" t="b" cm="1">
        <f t="array" aca="1" ref="T154" ca="1">T153</f>
        <v>0</v>
      </c>
      <c r="X154" s="1800"/>
      <c r="Y154" s="1800"/>
      <c r="Z154" s="1800"/>
      <c r="AA154" s="1806"/>
      <c r="AB154" s="346" t="str">
        <f>AB153&amp;".1"</f>
        <v>2.3.0.3.1</v>
      </c>
      <c r="AC154" s="507" t="s">
        <v>1043</v>
      </c>
      <c r="AD154" s="105" t="s">
        <v>725</v>
      </c>
      <c r="AE154" s="20"/>
      <c r="AF154" s="20"/>
      <c r="AG154" s="20"/>
      <c r="AH154" s="20"/>
      <c r="AI154" s="492"/>
      <c r="AJ154" s="492"/>
      <c r="AK154" s="492"/>
      <c r="AL154" s="492"/>
      <c r="AM154" s="492"/>
      <c r="AN154" s="20"/>
      <c r="AO154" s="20"/>
      <c r="AP154" s="20"/>
      <c r="AQ154" s="20"/>
      <c r="AR154" s="20"/>
      <c r="AS154" s="492"/>
      <c r="AT154" s="492"/>
      <c r="AU154" s="492"/>
      <c r="AV154" s="492"/>
      <c r="AW154" s="492"/>
      <c r="AX154" s="20"/>
      <c r="AY154" s="20"/>
      <c r="AZ154" s="20"/>
      <c r="BA154" s="20"/>
      <c r="BB154" s="20"/>
      <c r="BC154" s="28"/>
      <c r="BF154" s="989" t="s">
        <v>1044</v>
      </c>
      <c r="BG154" s="989" t="s">
        <v>1037</v>
      </c>
      <c r="BH154" s="989" cm="1">
        <f t="array" ref="BH154">BH153</f>
        <v>0</v>
      </c>
      <c r="BI154" s="990"/>
      <c r="BJ154" s="990"/>
    </row>
    <row r="155" spans="1:62" s="173" customFormat="1" ht="10.5" customHeight="1">
      <c r="E155" s="781">
        <v>11.4</v>
      </c>
      <c r="F155" s="779" t="str" cm="1">
        <f t="array" aca="1" ref="F155" ca="1">OFFSET(G155,-1,-1)</f>
        <v>2</v>
      </c>
      <c r="T155" s="780" t="b">
        <f ca="1">F155&gt;0</f>
        <v>1</v>
      </c>
      <c r="W155" s="318" t="s">
        <v>1045</v>
      </c>
      <c r="X155" s="1800"/>
      <c r="Z155" s="1800"/>
      <c r="AB155" s="495"/>
      <c r="AC155" s="483" t="s">
        <v>1036</v>
      </c>
      <c r="AD155" s="483"/>
      <c r="AE155" s="250"/>
      <c r="AF155" s="250"/>
      <c r="AG155" s="250"/>
      <c r="AH155" s="250"/>
      <c r="AI155" s="250"/>
      <c r="AJ155" s="250"/>
      <c r="AK155" s="250"/>
      <c r="AL155" s="250"/>
      <c r="AM155" s="250"/>
      <c r="AN155" s="250"/>
      <c r="AO155" s="250"/>
      <c r="AP155" s="250"/>
      <c r="AQ155" s="250"/>
      <c r="AR155" s="250"/>
      <c r="AS155" s="250"/>
      <c r="AT155" s="250"/>
      <c r="AU155" s="250"/>
      <c r="AV155" s="250"/>
      <c r="AW155" s="250"/>
      <c r="AX155" s="250"/>
      <c r="AY155" s="250"/>
      <c r="AZ155" s="250"/>
      <c r="BA155" s="250"/>
      <c r="BB155" s="250"/>
      <c r="BC155" s="909"/>
      <c r="BF155" s="989"/>
      <c r="BG155" s="989"/>
      <c r="BH155" s="989"/>
      <c r="BI155" s="990" t="s">
        <v>1037</v>
      </c>
      <c r="BJ155" s="990"/>
    </row>
    <row r="156" spans="1:62" s="814" customFormat="1" ht="11.1" customHeight="1">
      <c r="A156" s="343"/>
      <c r="B156" s="667"/>
      <c r="C156" s="129"/>
      <c r="D156" s="129"/>
      <c r="E156" s="782">
        <v>11.4</v>
      </c>
      <c r="F156" s="779"/>
      <c r="Q156" s="620"/>
      <c r="R156" s="620"/>
      <c r="T156" s="129"/>
      <c r="U156" s="129" t="s">
        <v>238</v>
      </c>
      <c r="V156" s="122" t="s">
        <v>1047</v>
      </c>
      <c r="W156" s="129"/>
      <c r="X156" s="129"/>
      <c r="Y156" s="129"/>
      <c r="Z156" s="129"/>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63"/>
      <c r="AZ156" s="163"/>
      <c r="BA156" s="163"/>
      <c r="BB156" s="163"/>
      <c r="BC156" s="163"/>
      <c r="BF156" s="977"/>
      <c r="BG156" s="977"/>
      <c r="BH156" s="977"/>
      <c r="BI156" s="986"/>
      <c r="BJ156" s="986"/>
    </row>
    <row r="157" spans="1:62" s="814" customFormat="1" ht="11.25" hidden="1" customHeight="1">
      <c r="A157" s="343"/>
      <c r="B157" s="667"/>
      <c r="C157" s="129"/>
      <c r="D157" s="129"/>
      <c r="E157" s="782">
        <v>0</v>
      </c>
      <c r="F157" s="129"/>
      <c r="Q157" s="620"/>
      <c r="R157" s="620"/>
      <c r="T157" s="129"/>
      <c r="U157" s="129"/>
      <c r="V157" s="122"/>
      <c r="W157" s="129"/>
      <c r="X157" s="129"/>
      <c r="Y157" s="129"/>
      <c r="Z157" s="129"/>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63"/>
      <c r="AZ157" s="163"/>
      <c r="BA157" s="163"/>
      <c r="BB157" s="163"/>
      <c r="BC157" s="163"/>
      <c r="BF157" s="977"/>
      <c r="BG157" s="977"/>
      <c r="BH157" s="977"/>
      <c r="BI157" s="986"/>
      <c r="BJ157" s="986"/>
    </row>
    <row r="158" spans="1:62" ht="14.65" customHeight="1">
      <c r="E158" s="676">
        <v>15</v>
      </c>
      <c r="AB158" s="1802" t="s">
        <v>734</v>
      </c>
      <c r="AC158" s="1802"/>
      <c r="AD158" s="1802"/>
      <c r="AE158" s="1802"/>
      <c r="AF158" s="1802"/>
      <c r="AG158" s="1802"/>
      <c r="AH158" s="1802"/>
      <c r="AI158" s="1803"/>
      <c r="AJ158" s="1803"/>
      <c r="AK158" s="1803"/>
      <c r="AL158" s="1803"/>
      <c r="AM158" s="1803"/>
      <c r="AN158" s="1803"/>
      <c r="AO158" s="1803"/>
      <c r="AP158" s="1803"/>
      <c r="AQ158" s="1803"/>
      <c r="AR158" s="1803"/>
      <c r="AS158" s="1803"/>
      <c r="AT158" s="1803"/>
      <c r="AU158" s="1803"/>
      <c r="AV158" s="1803"/>
      <c r="AW158" s="1803"/>
      <c r="AX158" s="1803"/>
      <c r="AY158" s="1803"/>
      <c r="AZ158" s="1803"/>
      <c r="BA158" s="1803"/>
      <c r="BB158" s="1803"/>
      <c r="BC158" s="1803"/>
    </row>
    <row r="159" spans="1:62" ht="14.65" customHeight="1">
      <c r="E159" s="676">
        <v>15</v>
      </c>
      <c r="AA159" s="778"/>
      <c r="AB159" s="1804"/>
      <c r="AC159" s="1804"/>
      <c r="AD159" s="1804"/>
      <c r="AE159" s="1804"/>
      <c r="AF159" s="1804"/>
      <c r="AG159" s="1804"/>
      <c r="AH159" s="1804"/>
      <c r="AI159" s="1796"/>
      <c r="AJ159" s="1796"/>
      <c r="AK159" s="1796"/>
      <c r="AL159" s="1796"/>
      <c r="AM159" s="1796"/>
      <c r="AN159" s="1797"/>
      <c r="AO159" s="1797"/>
      <c r="AP159" s="1797"/>
      <c r="AQ159" s="1797"/>
      <c r="AR159" s="1797"/>
      <c r="AS159" s="1796"/>
      <c r="AT159" s="1796"/>
      <c r="AU159" s="1796"/>
      <c r="AV159" s="1796"/>
      <c r="AW159" s="1796"/>
      <c r="AX159" s="1797"/>
      <c r="AY159" s="1797"/>
      <c r="AZ159" s="1797"/>
      <c r="BA159" s="1797"/>
      <c r="BB159" s="1797"/>
      <c r="BC159" s="1796"/>
    </row>
    <row r="160" spans="1:62" ht="14.65" hidden="1" customHeight="1">
      <c r="E160" s="676">
        <v>15</v>
      </c>
      <c r="T160" s="687" t="b">
        <f>ROW(W160)&gt;ROW(W$160)</f>
        <v>0</v>
      </c>
      <c r="W160" s="126" t="s">
        <v>236</v>
      </c>
      <c r="AA160" s="774" t="s">
        <v>218</v>
      </c>
      <c r="AB160" s="1795"/>
      <c r="AC160" s="1795"/>
      <c r="AD160" s="1795"/>
      <c r="AE160" s="1795"/>
      <c r="AF160" s="1795"/>
      <c r="AG160" s="1795"/>
      <c r="AH160" s="1795"/>
      <c r="AI160" s="1796"/>
      <c r="AJ160" s="1796"/>
      <c r="AK160" s="1796"/>
      <c r="AL160" s="1796"/>
      <c r="AM160" s="1796"/>
      <c r="AN160" s="1797"/>
      <c r="AO160" s="1797"/>
      <c r="AP160" s="1797"/>
      <c r="AQ160" s="1797"/>
      <c r="AR160" s="1797"/>
      <c r="AS160" s="1796"/>
      <c r="AT160" s="1796"/>
      <c r="AU160" s="1796"/>
      <c r="AV160" s="1796"/>
      <c r="AW160" s="1796"/>
      <c r="AX160" s="1797"/>
      <c r="AY160" s="1797"/>
      <c r="AZ160" s="1797"/>
      <c r="BA160" s="1797"/>
      <c r="BB160" s="1797"/>
      <c r="BC160" s="1797"/>
    </row>
    <row r="161" spans="5:56" ht="14.65" customHeight="1">
      <c r="E161" s="676">
        <v>15</v>
      </c>
      <c r="W161" s="122" t="s">
        <v>1048</v>
      </c>
      <c r="AB161" s="831" t="s">
        <v>735</v>
      </c>
      <c r="AC161" s="832"/>
      <c r="AD161" s="324"/>
      <c r="AE161" s="324"/>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6"/>
    </row>
    <row r="162" spans="5:56" ht="11.25" customHeight="1">
      <c r="BD162" s="163"/>
    </row>
  </sheetData>
  <sheetProtection formatColumns="0" formatRows="0" insertRows="0" deleteColumns="0" deleteRows="0" sort="0" autoFilter="0"/>
  <mergeCells count="55">
    <mergeCell ref="AA148:AA154"/>
    <mergeCell ref="AA141:AA144"/>
    <mergeCell ref="AA127:AA132"/>
    <mergeCell ref="AA119:AA121"/>
    <mergeCell ref="Y122:Y124"/>
    <mergeCell ref="AA122:AA124"/>
    <mergeCell ref="Y148:Y154"/>
    <mergeCell ref="S127:S132"/>
    <mergeCell ref="S119:S121"/>
    <mergeCell ref="S141:S144"/>
    <mergeCell ref="S148:S154"/>
    <mergeCell ref="S122:S124"/>
    <mergeCell ref="S83:S88"/>
    <mergeCell ref="S75:S77"/>
    <mergeCell ref="S97:S100"/>
    <mergeCell ref="S104:S110"/>
    <mergeCell ref="AA104:AA110"/>
    <mergeCell ref="AA97:AA100"/>
    <mergeCell ref="AA83:AA88"/>
    <mergeCell ref="AA75:AA77"/>
    <mergeCell ref="Y78:Y80"/>
    <mergeCell ref="S78:S80"/>
    <mergeCell ref="AA78:AA80"/>
    <mergeCell ref="S39:S44"/>
    <mergeCell ref="AB158:BC158"/>
    <mergeCell ref="AB159:BC159"/>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60:BC160"/>
    <mergeCell ref="Z27:Z67"/>
    <mergeCell ref="X27:X67"/>
    <mergeCell ref="Y34:Y36"/>
    <mergeCell ref="Y39:Y44"/>
    <mergeCell ref="Y53:Y56"/>
    <mergeCell ref="Y60:Y66"/>
    <mergeCell ref="Y75:Y77"/>
    <mergeCell ref="Y83:Y88"/>
    <mergeCell ref="Y97:Y100"/>
    <mergeCell ref="Y104:Y110"/>
    <mergeCell ref="Z112:Z155"/>
    <mergeCell ref="X112:X155"/>
    <mergeCell ref="Y119:Y121"/>
    <mergeCell ref="Y127:Y132"/>
    <mergeCell ref="Y141:Y144"/>
  </mergeCells>
  <conditionalFormatting sqref="BF53:BF55">
    <cfRule type="duplicateValues" dxfId="11" priority="12"/>
  </conditionalFormatting>
  <conditionalFormatting sqref="BF60:BF62">
    <cfRule type="duplicateValues" dxfId="10" priority="11"/>
  </conditionalFormatting>
  <conditionalFormatting sqref="BF63">
    <cfRule type="duplicateValues" dxfId="9" priority="10"/>
  </conditionalFormatting>
  <conditionalFormatting sqref="BF62">
    <cfRule type="duplicateValues" dxfId="8" priority="9"/>
  </conditionalFormatting>
  <conditionalFormatting sqref="BF97:BF99">
    <cfRule type="duplicateValues" dxfId="7" priority="8"/>
  </conditionalFormatting>
  <conditionalFormatting sqref="BF104:BF106">
    <cfRule type="duplicateValues" dxfId="6" priority="7"/>
  </conditionalFormatting>
  <conditionalFormatting sqref="BF106">
    <cfRule type="duplicateValues" dxfId="5" priority="6"/>
  </conditionalFormatting>
  <conditionalFormatting sqref="BF107">
    <cfRule type="duplicateValues" dxfId="4" priority="5"/>
  </conditionalFormatting>
  <conditionalFormatting sqref="BF141:BF143">
    <cfRule type="duplicateValues" dxfId="3" priority="4"/>
  </conditionalFormatting>
  <conditionalFormatting sqref="BF148:BF150">
    <cfRule type="duplicateValues" dxfId="2" priority="3"/>
  </conditionalFormatting>
  <conditionalFormatting sqref="BF150">
    <cfRule type="duplicateValues" dxfId="1" priority="2"/>
  </conditionalFormatting>
  <conditionalFormatting sqref="BF151">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AC119 AC127 AC122"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9 AF119 AG119 AH119 AI119 AJ119 AK119 AL119 AM119 AN119 AO119 AP119 AQ119 AR119 AS119 AT119 AU119 AV119 AW119 AX119 AY119 AZ119 BA119 BB119 AE120 AF120 AG120 AH120 AI120 AJ120 AK120 AL120 AM120 AN120 AO120 AP120 AQ120 AR120 AS120 AT120 AU120 AV120 AW120 AX120 AY120 AZ120 BA120 BB120 AE121:AE124 AF121:AF124 AG121:AG124 AH121:AH124 AI121:AI124 AJ121:AJ124 AK121:AK124 AL121:AL124 AM121:AM124 AN121:AN124 AO121:AO124 AP121:AP124 AQ121:AQ124 AR121:AR124 AS121:AS124 AT121:AT124 AU121:AU124 AV121:AV124 AW121:AW124 AX121:AX124 AY121:AY124 AZ121:AZ124 BA121:BA124 BB121:BB124 AE128 AF128 AG128 AH128 AI128 AJ128 AK128 AL128 AM128 AN128 AO128 AP128 AQ128 AR128 AS128 AT128 AU128 AV128 AW128 AX128 AY128 AZ128 BA128 BB128 AE129 AF129 AG129 AH129 AI129 AJ129 AK129 AL129 AM129 AN129 AO129 AP129 AQ129 AR129 AS129 AT129 AU129 AV129 AW129 AX129 AY129 AZ129 BA129 BB129 AE130 AF130 AG130 AH130 AI130 AJ130 AK130 AL130 AM130 AN130 AO130 AP130 AQ130 AR130 AS130 AT130 AU130 AV130 AW130 AX130 AY130 AZ130 BA130 BB130 AE131 AF131 AG131 AH131 AI131 AJ131 AK131 AL131 AM131 AN131 AO131 AP131 AQ131 AR131 AS131 AT131 AU131 AV131 AW131 AX131 AY131 AZ131 BA131 BB131 AE132 AF132 AG132 AH132 AI132 AJ132 AK132 AL132 AM132 AN132 AO132 AP132 AQ132 AR132 AS132 AT132 AU132 AV132 AW132 AX132 AY132 AZ132 BA132 BB132 AE136 AF136 AG136 AH136 AI136 AJ136 AK136 AL136 AM136 AN136 AO136 AP136 AQ136 AR136 AS136 AT136 AU136 AV136 AW136 AX136 AY136 AZ136 BA136 BB136 AE141 AF141 AG141 AH141 AI141 AJ141 AK141 AL141 AM141 AN141 AO141 AP141 AQ141 AR141 AS141 AT141 AU141 AV141 AW141 AX141 AY141 AZ141 BA141 BB141 AE142 AF142 AG142 AH142 AI142 AJ142 AK142 AL142 AM142 AN142 AO142 AP142 AQ142 AR142 AS142 AT142 AU142 AV142 AW142 AX142 AY142 AZ142 BA142 BB142 AE143 AF143 AG143 AH143 AI143 AJ143 AK143 AL143 AM143 AN143 AO143 AP143 AQ143 AR143 AS143 AT143 AU143 AV143 AW143 AX143 AY143 AZ143 BA143 BB143 AE144 AF144 AG144 AH144 AI144 AJ144 AK144 AL144 AM144 AN144 AO144 AP144 AQ144 AR144 AS144 AT144 AU144 AV144 AW144 AX144 AY144 AZ144 BA144 BB144 AE148 AF148 AG148 AH148 AI148 AJ148 AK148 AL148 AM148 AN148 AO148 AP148 AQ148 AR148 AS148 AT148 AU148 AV148 AW148 AX148 AY148 AZ148 BA148 BB148 AE149 AF149 AG149 AH149 AI149 AJ149 AK149 AL149 AM149 AN149 AO149 AP149 AQ149 AR149 AS149 AT149 AU149 AV149 AW149 AX149 AY149 AZ149 BA149 BB149 AE150 AF150 AG150 AH150 AI150 AJ150 AK150 AL150 AM150 AN150 AO150 AP150 AQ150 AR150 AS150 AT150 AU150 AV150 AW150 AX150 AY150 AZ150 BA150 BB150 AE151 AF151 AG151 AH151 AI151 AJ151 AK151 AL151 AM151 AN151 AO151 AP151 AQ151 AR151 AS151 AT151 AU151 AV151 AW151 AX151 AY151 AZ151 BA151 BB151 AE152 AF152 AG152 AH152 AI152 AJ152 AK152 AL152 AM152 AN152 AO152 AP152 AQ152 AR152 AS152 AT152 AU152 AV152 AW152 AX152 AY152 AZ152 BA152 BB152 AE153 AF153 AG153 AH153 AI153 AJ153 AK153 AL153 AM153 AN153 AO153 AP153 AQ153 AR153 AS153 AT153 AU153 AV153 AW153 AX153 AY153 AZ153 BA153 BB153 AE154 AF154 AG154 AH154 AI154 AJ154 AK154 AL154 AM154 AN154 AO154 AP154 AQ154 AR154 AS154 AT154 AU154 AV154 AW154 AX154 AY154 AZ154 BA154 BB154"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9B1B8-2BA7-1A51-79F8-875D06AE0398}">
  <sheetPr>
    <tabColor rgb="FFFFC000"/>
    <outlinePr summaryBelow="0" summaryRight="0"/>
    <pageSetUpPr fitToPage="1"/>
  </sheetPr>
  <dimension ref="A1:BJ77"/>
  <sheetViews>
    <sheetView showGridLines="0" workbookViewId="0">
      <pane xSplit="30" ySplit="26" topLeftCell="AG40" activePane="bottomRight" state="frozen"/>
      <selection pane="topRight" activeCell="AE1" sqref="AE1"/>
      <selection pane="bottomLeft" activeCell="A27" sqref="A27"/>
      <selection pane="bottomRight" activeCell="AH57" sqref="AH57"/>
    </sheetView>
  </sheetViews>
  <sheetFormatPr defaultColWidth="8.7109375" defaultRowHeight="11.25" customHeight="1"/>
  <cols>
    <col min="1" max="1" width="3.5703125" style="1152" hidden="1" customWidth="1"/>
    <col min="2" max="2" width="8.5703125" style="783" hidden="1" customWidth="1"/>
    <col min="3" max="4" width="3.5703125" style="1152" hidden="1" customWidth="1"/>
    <col min="5" max="5" width="8.42578125" style="782" hidden="1" customWidth="1"/>
    <col min="6" max="6" width="6.42578125" style="1152" hidden="1" customWidth="1"/>
    <col min="7" max="16" width="3.5703125" style="1156" hidden="1" customWidth="1"/>
    <col min="17" max="18" width="3.5703125" style="143" hidden="1" customWidth="1"/>
    <col min="19" max="19" width="3.5703125" style="1156" hidden="1" customWidth="1"/>
    <col min="20" max="20" width="7.85546875" style="1155" hidden="1" customWidth="1"/>
    <col min="21" max="21" width="6" style="1155" hidden="1" customWidth="1"/>
    <col min="22" max="23" width="6.28515625" style="1155" hidden="1" customWidth="1"/>
    <col min="24" max="25" width="5.7109375" style="1155" hidden="1" customWidth="1"/>
    <col min="26" max="26" width="5.42578125" style="1155" hidden="1" customWidth="1"/>
    <col min="27" max="27" width="3" style="173" customWidth="1"/>
    <col min="28" max="28" width="11" style="173" customWidth="1"/>
    <col min="29" max="29" width="47.140625" style="173" customWidth="1"/>
    <col min="30" max="30" width="12.140625" style="173" customWidth="1"/>
    <col min="31" max="39" width="12.5703125" style="173" customWidth="1"/>
    <col min="40" max="44" width="12.5703125" style="173" hidden="1" customWidth="1"/>
    <col min="45" max="49" width="12.5703125" style="173" customWidth="1"/>
    <col min="50" max="54" width="12.5703125" style="173" hidden="1" customWidth="1"/>
    <col min="55" max="55" width="20.140625" style="173" customWidth="1"/>
    <col min="56" max="56" width="3" style="173" customWidth="1"/>
    <col min="57" max="57" width="8.7109375" style="173" hidden="1"/>
    <col min="58" max="60" width="8.7109375" style="989" hidden="1"/>
    <col min="61" max="62" width="8.7109375" style="990" hidden="1"/>
  </cols>
  <sheetData>
    <row r="1" spans="1:62" s="1152" customFormat="1" ht="12" hidden="1" customHeight="1">
      <c r="B1" s="667"/>
      <c r="E1" s="667"/>
      <c r="F1" s="698" t="s">
        <v>83</v>
      </c>
      <c r="G1" s="106"/>
      <c r="H1" s="106"/>
      <c r="I1" s="106"/>
      <c r="J1" s="106"/>
      <c r="K1" s="106"/>
      <c r="L1" s="106"/>
      <c r="M1" s="106"/>
      <c r="N1" s="106"/>
      <c r="O1" s="106"/>
      <c r="P1" s="106"/>
      <c r="Q1" s="143"/>
      <c r="R1" s="143"/>
      <c r="S1" s="106"/>
      <c r="T1" s="687" t="s">
        <v>86</v>
      </c>
      <c r="U1" s="687" t="s">
        <v>91</v>
      </c>
      <c r="V1" s="687" t="s">
        <v>87</v>
      </c>
      <c r="W1" s="687" t="s">
        <v>88</v>
      </c>
      <c r="X1" s="687" t="s">
        <v>89</v>
      </c>
      <c r="Y1" s="698" t="s">
        <v>382</v>
      </c>
      <c r="Z1" s="687" t="s">
        <v>93</v>
      </c>
      <c r="AA1" s="698" t="s">
        <v>90</v>
      </c>
      <c r="AB1" s="698" t="s">
        <v>92</v>
      </c>
      <c r="AC1" s="698" t="s">
        <v>92</v>
      </c>
      <c r="BF1" s="981" t="s">
        <v>383</v>
      </c>
      <c r="BG1" s="989" t="s">
        <v>384</v>
      </c>
      <c r="BH1" s="989" t="s">
        <v>385</v>
      </c>
      <c r="BI1" s="990" t="s">
        <v>388</v>
      </c>
      <c r="BJ1" s="990" t="s">
        <v>389</v>
      </c>
    </row>
    <row r="2" spans="1:62" s="783" customFormat="1" ht="12" hidden="1" customHeight="1">
      <c r="B2" s="768" t="s">
        <v>15</v>
      </c>
      <c r="G2" s="786"/>
      <c r="H2" s="786"/>
      <c r="I2" s="786"/>
      <c r="J2" s="786"/>
      <c r="K2" s="786"/>
      <c r="L2" s="786"/>
      <c r="M2" s="786"/>
      <c r="N2" s="786"/>
      <c r="O2" s="786"/>
      <c r="P2" s="786"/>
      <c r="Q2" s="786"/>
      <c r="R2" s="786"/>
      <c r="S2" s="786"/>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973"/>
      <c r="BG2" s="973"/>
      <c r="BH2" s="973"/>
      <c r="BI2" s="985"/>
      <c r="BJ2" s="985"/>
    </row>
    <row r="3" spans="1:62" s="1152" customFormat="1" ht="12" hidden="1" customHeight="1">
      <c r="B3" s="667"/>
      <c r="E3" s="667"/>
      <c r="G3" s="106"/>
      <c r="H3" s="106"/>
      <c r="I3" s="106"/>
      <c r="J3" s="106"/>
      <c r="K3" s="106"/>
      <c r="L3" s="106"/>
      <c r="M3" s="106"/>
      <c r="N3" s="106"/>
      <c r="O3" s="106"/>
      <c r="P3" s="106"/>
      <c r="Q3" s="143"/>
      <c r="R3" s="143"/>
      <c r="S3" s="106"/>
      <c r="T3" s="129"/>
      <c r="U3" s="129"/>
      <c r="V3" s="129"/>
      <c r="W3" s="129"/>
      <c r="X3" s="129"/>
      <c r="Y3" s="129"/>
      <c r="Z3" s="129"/>
      <c r="BF3" s="989"/>
      <c r="BG3" s="989"/>
      <c r="BH3" s="989"/>
      <c r="BI3" s="990"/>
      <c r="BJ3" s="990"/>
    </row>
    <row r="4" spans="1:62" s="1152" customFormat="1" ht="12" hidden="1" customHeight="1">
      <c r="B4" s="667"/>
      <c r="E4" s="667"/>
      <c r="G4" s="106"/>
      <c r="H4" s="106"/>
      <c r="I4" s="106"/>
      <c r="J4" s="106"/>
      <c r="K4" s="106"/>
      <c r="L4" s="106"/>
      <c r="M4" s="106"/>
      <c r="N4" s="106"/>
      <c r="O4" s="106"/>
      <c r="P4" s="106"/>
      <c r="Q4" s="143"/>
      <c r="R4" s="143"/>
      <c r="S4" s="106"/>
      <c r="T4" s="129"/>
      <c r="U4" s="129"/>
      <c r="V4" s="129"/>
      <c r="W4" s="129"/>
      <c r="X4" s="129"/>
      <c r="Y4" s="129"/>
      <c r="Z4" s="129"/>
      <c r="BF4" s="989"/>
      <c r="BG4" s="989"/>
      <c r="BH4" s="989"/>
      <c r="BI4" s="990"/>
      <c r="BJ4" s="990"/>
    </row>
    <row r="5" spans="1:62"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11</v>
      </c>
      <c r="AC5" s="676">
        <v>47.13</v>
      </c>
      <c r="AD5" s="676">
        <v>12.13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c r="BG5" s="973"/>
      <c r="BH5" s="973"/>
      <c r="BI5" s="985"/>
      <c r="BJ5" s="985"/>
    </row>
    <row r="6" spans="1:62" s="1152" customFormat="1" ht="12" hidden="1" customHeight="1">
      <c r="B6" s="667"/>
      <c r="E6" s="676"/>
      <c r="G6" s="106"/>
      <c r="H6" s="106"/>
      <c r="I6" s="106"/>
      <c r="J6" s="106"/>
      <c r="K6" s="106"/>
      <c r="L6" s="106"/>
      <c r="M6" s="106"/>
      <c r="N6" s="106"/>
      <c r="O6" s="106"/>
      <c r="P6" s="106"/>
      <c r="Q6" s="143"/>
      <c r="R6" s="143"/>
      <c r="S6" s="106"/>
      <c r="T6" s="129"/>
      <c r="U6" s="129"/>
      <c r="V6" s="129"/>
      <c r="W6" s="129"/>
      <c r="X6" s="129"/>
      <c r="Y6" s="129"/>
      <c r="Z6" s="129"/>
      <c r="AE6" s="133">
        <f>god-2</f>
        <v>2024</v>
      </c>
      <c r="AF6" s="133">
        <f>god-2</f>
        <v>2024</v>
      </c>
      <c r="AG6" s="133">
        <f>god-2</f>
        <v>2024</v>
      </c>
      <c r="AH6" s="133">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9"/>
      <c r="BG6" s="989"/>
      <c r="BH6" s="989"/>
      <c r="BI6" s="990"/>
      <c r="BJ6" s="990"/>
    </row>
    <row r="7" spans="1:62" s="1156" customFormat="1" ht="12" hidden="1" customHeight="1">
      <c r="A7" s="133"/>
      <c r="B7" s="667"/>
      <c r="C7" s="133"/>
      <c r="D7" s="133"/>
      <c r="E7" s="676"/>
      <c r="Q7" s="143"/>
      <c r="R7" s="143"/>
      <c r="T7" s="164"/>
      <c r="U7" s="164"/>
      <c r="V7" s="164"/>
      <c r="W7" s="164"/>
      <c r="X7" s="164"/>
      <c r="Y7" s="164"/>
      <c r="Z7" s="164"/>
      <c r="AE7" s="106" t="str" cm="1">
        <f t="array" ref="AE7">AE25</f>
        <v>Принято органом регулирования</v>
      </c>
      <c r="AF7" s="106" t="str" cm="1">
        <f t="array" ref="AF7">AF25</f>
        <v>Факт по данным организации</v>
      </c>
      <c r="AG7" s="106" t="str" cm="1">
        <f t="array" ref="AG7">AG25</f>
        <v>Факт, принятый органом регулирования</v>
      </c>
      <c r="AH7" s="106" t="str" cm="1">
        <f t="array" ref="AH7">AH25</f>
        <v>Принято органом регулирования</v>
      </c>
      <c r="AI7" s="106" t="str" cm="1">
        <f t="array" ref="AI7">AI25</f>
        <v>Предложение организации</v>
      </c>
      <c r="AJ7" s="106" t="str" cm="1">
        <f t="array" ref="AJ7">AJ25</f>
        <v>Предложение организации</v>
      </c>
      <c r="AK7" s="106" t="str" cm="1">
        <f t="array" ref="AK7">AK25</f>
        <v>Предложение организации</v>
      </c>
      <c r="AL7" s="106" t="str" cm="1">
        <f t="array" ref="AL7">AL25</f>
        <v>Предложение организации</v>
      </c>
      <c r="AM7" s="106" t="str" cm="1">
        <f t="array" ref="AM7">AM25</f>
        <v>Предложение организации</v>
      </c>
      <c r="AN7" s="106" t="str" cm="1">
        <f t="array" ref="AN7">AN25</f>
        <v>Предложение организации</v>
      </c>
      <c r="AO7" s="106" t="str" cm="1">
        <f t="array" ref="AO7">AO25</f>
        <v>Предложение организации</v>
      </c>
      <c r="AP7" s="106" t="str" cm="1">
        <f t="array" ref="AP7">AP25</f>
        <v>Предложение организации</v>
      </c>
      <c r="AQ7" s="106" t="str" cm="1">
        <f t="array" ref="AQ7">AQ25</f>
        <v>Предложение организации</v>
      </c>
      <c r="AR7" s="106" t="str" cm="1">
        <f t="array" ref="AR7">AR25</f>
        <v>Предложение организации</v>
      </c>
      <c r="AS7" s="106" t="str" cm="1">
        <f t="array" ref="AS7">AS25</f>
        <v>Принято органом регулирования</v>
      </c>
      <c r="AT7" s="106" t="str" cm="1">
        <f t="array" ref="AT7">AT25</f>
        <v>Принято органом регулирования</v>
      </c>
      <c r="AU7" s="106" t="str" cm="1">
        <f t="array" ref="AU7">AU25</f>
        <v>Принято органом регулирования</v>
      </c>
      <c r="AV7" s="106" t="str" cm="1">
        <f t="array" ref="AV7">AV25</f>
        <v>Принято органом регулирования</v>
      </c>
      <c r="AW7" s="106" t="str" cm="1">
        <f t="array" ref="AW7">AW25</f>
        <v>Принято органом регулирования</v>
      </c>
      <c r="AX7" s="106" t="str" cm="1">
        <f t="array" ref="AX7">AX25</f>
        <v>Принято органом регулирования</v>
      </c>
      <c r="AY7" s="106" t="str" cm="1">
        <f t="array" ref="AY7">AY25</f>
        <v>Принято органом регулирования</v>
      </c>
      <c r="AZ7" s="106" t="str" cm="1">
        <f t="array" ref="AZ7">AZ25</f>
        <v>Принято органом регулирования</v>
      </c>
      <c r="BA7" s="106" t="str" cm="1">
        <f t="array" ref="BA7">BA25</f>
        <v>Принято органом регулирования</v>
      </c>
      <c r="BB7" s="106" t="str" cm="1">
        <f t="array" ref="BB7">BB25</f>
        <v>Принято органом регулирования</v>
      </c>
      <c r="BF7" s="989"/>
      <c r="BG7" s="989"/>
      <c r="BH7" s="989"/>
      <c r="BI7" s="990"/>
      <c r="BJ7" s="990"/>
    </row>
    <row r="8" spans="1:62" s="1156" customFormat="1" ht="12" hidden="1" customHeight="1">
      <c r="A8" s="133"/>
      <c r="B8" s="667"/>
      <c r="C8" s="133"/>
      <c r="D8" s="133"/>
      <c r="E8" s="676"/>
      <c r="Q8" s="143"/>
      <c r="R8" s="143"/>
      <c r="T8" s="164"/>
      <c r="U8" s="164"/>
      <c r="V8" s="164"/>
      <c r="W8" s="164"/>
      <c r="X8" s="164"/>
      <c r="Y8" s="164"/>
      <c r="Z8" s="164"/>
      <c r="BF8" s="989"/>
      <c r="BG8" s="989"/>
      <c r="BH8" s="989"/>
      <c r="BI8" s="990"/>
      <c r="BJ8" s="990"/>
    </row>
    <row r="9" spans="1:62" s="1007" customFormat="1" ht="12" hidden="1" customHeight="1">
      <c r="A9" s="980" t="s">
        <v>472</v>
      </c>
      <c r="B9" s="951"/>
      <c r="E9" s="951"/>
      <c r="Q9" s="1008"/>
      <c r="R9" s="1008"/>
      <c r="T9" s="949"/>
      <c r="U9" s="949"/>
      <c r="V9" s="949"/>
      <c r="W9" s="949"/>
      <c r="X9" s="949"/>
      <c r="Y9" s="949"/>
      <c r="Z9" s="949"/>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989"/>
      <c r="BG9" s="989"/>
      <c r="BH9" s="989"/>
      <c r="BI9" s="990"/>
      <c r="BJ9" s="990"/>
    </row>
    <row r="10" spans="1:62" s="1007" customFormat="1" ht="12" hidden="1" customHeight="1">
      <c r="A10" s="980" t="s">
        <v>473</v>
      </c>
      <c r="B10" s="951"/>
      <c r="E10" s="951"/>
      <c r="Q10" s="1008"/>
      <c r="R10" s="1008"/>
      <c r="T10" s="949"/>
      <c r="U10" s="949"/>
      <c r="V10" s="949"/>
      <c r="W10" s="949"/>
      <c r="X10" s="949"/>
      <c r="Y10" s="949"/>
      <c r="Z10" s="949"/>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989"/>
      <c r="BG10" s="989"/>
      <c r="BH10" s="989"/>
      <c r="BI10" s="990"/>
      <c r="BJ10" s="990"/>
    </row>
    <row r="11" spans="1:62" s="1007" customFormat="1" ht="12" hidden="1" customHeight="1">
      <c r="A11" s="968" t="s">
        <v>474</v>
      </c>
      <c r="B11" s="951"/>
      <c r="E11" s="951"/>
      <c r="G11" s="1009"/>
      <c r="H11" s="1009"/>
      <c r="I11" s="1009"/>
      <c r="J11" s="1009"/>
      <c r="K11" s="1009"/>
      <c r="L11" s="1009"/>
      <c r="M11" s="1009"/>
      <c r="N11" s="1009"/>
      <c r="O11" s="1009"/>
      <c r="P11" s="1009"/>
      <c r="Q11" s="1010"/>
      <c r="R11" s="1010"/>
      <c r="S11" s="1009"/>
      <c r="T11" s="949"/>
      <c r="U11" s="949"/>
      <c r="V11" s="949"/>
      <c r="W11" s="949"/>
      <c r="X11" s="949"/>
      <c r="Y11" s="949"/>
      <c r="Z11" s="949"/>
      <c r="BC11" s="1007" t="str" cm="1">
        <f t="array" ref="BC11">BC24</f>
        <v>Ссылка на правовую норму (основание для принятия показателя в расчет тарифа)</v>
      </c>
      <c r="BF11" s="989"/>
      <c r="BG11" s="989"/>
      <c r="BH11" s="989"/>
      <c r="BI11" s="989"/>
      <c r="BJ11" s="989"/>
    </row>
    <row r="12" spans="1:62" s="1007" customFormat="1" ht="12" hidden="1" customHeight="1">
      <c r="A12" s="968" t="s">
        <v>394</v>
      </c>
      <c r="B12" s="951"/>
      <c r="E12" s="951"/>
      <c r="G12" s="1009"/>
      <c r="H12" s="1009"/>
      <c r="I12" s="1009"/>
      <c r="J12" s="1009"/>
      <c r="K12" s="1009"/>
      <c r="L12" s="1009"/>
      <c r="M12" s="1009"/>
      <c r="N12" s="1009"/>
      <c r="O12" s="1009"/>
      <c r="P12" s="1009"/>
      <c r="Q12" s="1010"/>
      <c r="R12" s="1010"/>
      <c r="S12" s="1009"/>
      <c r="T12" s="949"/>
      <c r="U12" s="949"/>
      <c r="V12" s="949"/>
      <c r="W12" s="949"/>
      <c r="X12" s="949"/>
      <c r="Y12" s="949"/>
      <c r="Z12" s="949"/>
      <c r="AC12" s="1007" t="s">
        <v>385</v>
      </c>
      <c r="BF12" s="989"/>
      <c r="BG12" s="989"/>
      <c r="BH12" s="989"/>
      <c r="BI12" s="989"/>
      <c r="BJ12" s="989"/>
    </row>
    <row r="13" spans="1:62" s="1152" customFormat="1" ht="12" hidden="1" customHeight="1">
      <c r="B13" s="667"/>
      <c r="E13" s="676"/>
      <c r="G13" s="106"/>
      <c r="H13" s="106"/>
      <c r="I13" s="106"/>
      <c r="J13" s="106"/>
      <c r="K13" s="106"/>
      <c r="L13" s="106"/>
      <c r="M13" s="106"/>
      <c r="N13" s="106"/>
      <c r="O13" s="106"/>
      <c r="P13" s="106"/>
      <c r="Q13" s="143"/>
      <c r="R13" s="143"/>
      <c r="S13" s="106"/>
      <c r="T13" s="129"/>
      <c r="U13" s="129"/>
      <c r="V13" s="129"/>
      <c r="W13" s="129"/>
      <c r="X13" s="129"/>
      <c r="Y13" s="129"/>
      <c r="Z13" s="129"/>
      <c r="AI13" s="126"/>
      <c r="AJ13" s="126"/>
      <c r="AK13" s="126"/>
      <c r="AL13" s="126"/>
      <c r="AM13" s="126"/>
      <c r="AN13" s="126"/>
      <c r="AO13" s="126"/>
      <c r="AP13" s="126"/>
      <c r="AQ13" s="126"/>
      <c r="AR13" s="126"/>
      <c r="AS13" s="126"/>
      <c r="AT13" s="126"/>
      <c r="AU13" s="126"/>
      <c r="AV13" s="126"/>
      <c r="AW13" s="126"/>
      <c r="AX13" s="126"/>
      <c r="AY13" s="126"/>
      <c r="AZ13" s="126"/>
      <c r="BA13" s="126"/>
      <c r="BB13" s="126"/>
      <c r="BF13" s="989"/>
      <c r="BG13" s="989"/>
      <c r="BH13" s="989"/>
      <c r="BI13" s="990"/>
      <c r="BJ13" s="990"/>
    </row>
    <row r="14" spans="1:62" s="1152" customFormat="1" ht="12" hidden="1" customHeight="1">
      <c r="B14" s="667"/>
      <c r="E14" s="676"/>
      <c r="G14" s="106"/>
      <c r="H14" s="106"/>
      <c r="I14" s="106"/>
      <c r="J14" s="106"/>
      <c r="K14" s="106"/>
      <c r="L14" s="106"/>
      <c r="M14" s="106"/>
      <c r="N14" s="106"/>
      <c r="O14" s="106"/>
      <c r="P14" s="106"/>
      <c r="Q14" s="143"/>
      <c r="R14" s="143"/>
      <c r="S14" s="106"/>
      <c r="T14" s="129"/>
      <c r="U14" s="129"/>
      <c r="V14" s="129"/>
      <c r="W14" s="129"/>
      <c r="X14" s="129"/>
      <c r="Y14" s="129"/>
      <c r="Z14" s="129"/>
      <c r="AI14" s="126"/>
      <c r="AJ14" s="126"/>
      <c r="AK14" s="126"/>
      <c r="AL14" s="126"/>
      <c r="AM14" s="126"/>
      <c r="AN14" s="126"/>
      <c r="AO14" s="126"/>
      <c r="AP14" s="126"/>
      <c r="AQ14" s="126"/>
      <c r="AR14" s="126"/>
      <c r="AS14" s="126"/>
      <c r="AT14" s="126"/>
      <c r="AU14" s="126"/>
      <c r="AV14" s="126"/>
      <c r="AW14" s="126"/>
      <c r="AX14" s="126"/>
      <c r="AY14" s="126"/>
      <c r="AZ14" s="126"/>
      <c r="BA14" s="126"/>
      <c r="BB14" s="126"/>
      <c r="BF14" s="989"/>
      <c r="BG14" s="989"/>
      <c r="BH14" s="989"/>
      <c r="BI14" s="990"/>
      <c r="BJ14" s="990"/>
    </row>
    <row r="15" spans="1:62" s="1152" customFormat="1" ht="12" hidden="1" customHeight="1">
      <c r="B15" s="667"/>
      <c r="E15" s="676"/>
      <c r="G15" s="106"/>
      <c r="H15" s="106"/>
      <c r="I15" s="106"/>
      <c r="J15" s="106"/>
      <c r="K15" s="106"/>
      <c r="L15" s="106"/>
      <c r="M15" s="106"/>
      <c r="N15" s="106"/>
      <c r="O15" s="106"/>
      <c r="P15" s="106"/>
      <c r="Q15" s="143"/>
      <c r="R15" s="143"/>
      <c r="S15" s="106"/>
      <c r="T15" s="129"/>
      <c r="U15" s="129"/>
      <c r="V15" s="129"/>
      <c r="W15" s="129"/>
      <c r="X15" s="129"/>
      <c r="Y15" s="129"/>
      <c r="Z15" s="129"/>
      <c r="AI15" s="126"/>
      <c r="AJ15" s="126"/>
      <c r="AK15" s="126"/>
      <c r="AL15" s="126"/>
      <c r="AM15" s="126"/>
      <c r="AN15" s="126"/>
      <c r="AO15" s="126"/>
      <c r="AP15" s="126"/>
      <c r="AQ15" s="126"/>
      <c r="AR15" s="126"/>
      <c r="AS15" s="126"/>
      <c r="AT15" s="126"/>
      <c r="AU15" s="126"/>
      <c r="AV15" s="126"/>
      <c r="AW15" s="126"/>
      <c r="AX15" s="126"/>
      <c r="AY15" s="126"/>
      <c r="AZ15" s="126"/>
      <c r="BA15" s="126"/>
      <c r="BB15" s="126"/>
      <c r="BF15" s="989"/>
      <c r="BG15" s="989"/>
      <c r="BH15" s="989"/>
      <c r="BI15" s="990"/>
      <c r="BJ15" s="990"/>
    </row>
    <row r="16" spans="1:62" s="1152" customFormat="1" ht="12" hidden="1" customHeight="1">
      <c r="B16" s="667"/>
      <c r="E16" s="676"/>
      <c r="G16" s="106"/>
      <c r="H16" s="106"/>
      <c r="I16" s="106"/>
      <c r="J16" s="106"/>
      <c r="K16" s="106"/>
      <c r="L16" s="106"/>
      <c r="M16" s="106"/>
      <c r="N16" s="106"/>
      <c r="O16" s="106"/>
      <c r="P16" s="106"/>
      <c r="Q16" s="143"/>
      <c r="R16" s="143"/>
      <c r="S16" s="106"/>
      <c r="T16" s="129"/>
      <c r="U16" s="129"/>
      <c r="V16" s="129"/>
      <c r="W16" s="129"/>
      <c r="X16" s="129"/>
      <c r="Y16" s="129"/>
      <c r="Z16" s="129"/>
      <c r="AI16" s="126"/>
      <c r="AJ16" s="126"/>
      <c r="AK16" s="126"/>
      <c r="AL16" s="126"/>
      <c r="AM16" s="126"/>
      <c r="AN16" s="126"/>
      <c r="AO16" s="126"/>
      <c r="AP16" s="126"/>
      <c r="AQ16" s="126"/>
      <c r="AR16" s="126"/>
      <c r="AS16" s="126"/>
      <c r="AT16" s="126"/>
      <c r="AU16" s="126"/>
      <c r="AV16" s="126"/>
      <c r="AW16" s="126"/>
      <c r="AX16" s="126"/>
      <c r="AY16" s="126"/>
      <c r="AZ16" s="126"/>
      <c r="BA16" s="126"/>
      <c r="BB16" s="126"/>
      <c r="BF16" s="989"/>
      <c r="BG16" s="989"/>
      <c r="BH16" s="989"/>
      <c r="BI16" s="990"/>
      <c r="BJ16" s="990"/>
    </row>
    <row r="17" spans="1:62" s="1152" customFormat="1" ht="12" hidden="1" customHeight="1">
      <c r="B17" s="667"/>
      <c r="E17" s="676"/>
      <c r="G17" s="106"/>
      <c r="H17" s="106"/>
      <c r="I17" s="106"/>
      <c r="J17" s="106"/>
      <c r="K17" s="106"/>
      <c r="L17" s="106"/>
      <c r="M17" s="106"/>
      <c r="N17" s="106"/>
      <c r="O17" s="106"/>
      <c r="P17" s="106"/>
      <c r="Q17" s="143"/>
      <c r="R17" s="143"/>
      <c r="S17" s="106"/>
      <c r="T17" s="129"/>
      <c r="U17" s="129"/>
      <c r="V17" s="129"/>
      <c r="W17" s="129"/>
      <c r="X17" s="129"/>
      <c r="Y17" s="129"/>
      <c r="Z17" s="129"/>
      <c r="BF17" s="989"/>
      <c r="BG17" s="989"/>
      <c r="BH17" s="989"/>
      <c r="BI17" s="990"/>
      <c r="BJ17" s="990"/>
    </row>
    <row r="18" spans="1:62" s="1152" customFormat="1" ht="12" hidden="1" customHeight="1">
      <c r="A18" s="859" t="s">
        <v>530</v>
      </c>
      <c r="B18" s="667"/>
      <c r="E18" s="676"/>
      <c r="G18" s="106"/>
      <c r="H18" s="106"/>
      <c r="I18" s="106"/>
      <c r="J18" s="106"/>
      <c r="K18" s="106"/>
      <c r="L18" s="106"/>
      <c r="M18" s="106"/>
      <c r="N18" s="106"/>
      <c r="O18" s="106"/>
      <c r="P18" s="106"/>
      <c r="Q18" s="143"/>
      <c r="R18" s="143"/>
      <c r="S18" s="106"/>
      <c r="T18" s="129"/>
      <c r="U18" s="129"/>
      <c r="V18" s="129"/>
      <c r="W18" s="129"/>
      <c r="X18" s="129"/>
      <c r="Y18" s="129"/>
      <c r="Z18" s="129"/>
      <c r="AC18" s="133" t="s">
        <v>225</v>
      </c>
      <c r="BF18" s="989"/>
      <c r="BG18" s="989"/>
      <c r="BH18" s="989"/>
      <c r="BI18" s="990"/>
      <c r="BJ18" s="990"/>
    </row>
    <row r="19" spans="1:62" s="1152" customFormat="1" ht="12" hidden="1" customHeight="1">
      <c r="B19" s="667"/>
      <c r="E19" s="676"/>
      <c r="G19" s="106"/>
      <c r="H19" s="106"/>
      <c r="I19" s="106"/>
      <c r="J19" s="106"/>
      <c r="K19" s="106"/>
      <c r="L19" s="106"/>
      <c r="M19" s="106"/>
      <c r="N19" s="106"/>
      <c r="O19" s="106"/>
      <c r="P19" s="106"/>
      <c r="Q19" s="143"/>
      <c r="R19" s="143"/>
      <c r="S19" s="106"/>
      <c r="T19" s="129"/>
      <c r="U19" s="129"/>
      <c r="V19" s="129"/>
      <c r="W19" s="129"/>
      <c r="X19" s="129"/>
      <c r="Y19" s="129"/>
      <c r="Z19" s="129"/>
      <c r="BF19" s="989"/>
      <c r="BG19" s="989"/>
      <c r="BH19" s="989"/>
      <c r="BI19" s="990"/>
      <c r="BJ19" s="990"/>
    </row>
    <row r="20" spans="1:62" s="1152" customFormat="1" ht="12" hidden="1" customHeight="1">
      <c r="B20" s="667"/>
      <c r="E20" s="676"/>
      <c r="G20" s="106"/>
      <c r="H20" s="106"/>
      <c r="I20" s="106"/>
      <c r="J20" s="106"/>
      <c r="K20" s="106"/>
      <c r="L20" s="106"/>
      <c r="M20" s="106"/>
      <c r="N20" s="106"/>
      <c r="O20" s="106"/>
      <c r="P20" s="106"/>
      <c r="Q20" s="143"/>
      <c r="R20" s="143"/>
      <c r="S20" s="106"/>
      <c r="T20" s="129"/>
      <c r="U20" s="129"/>
      <c r="V20" s="129"/>
      <c r="W20" s="129"/>
      <c r="X20" s="129"/>
      <c r="Y20" s="129"/>
      <c r="Z20" s="129"/>
      <c r="BF20" s="989"/>
      <c r="BG20" s="989"/>
      <c r="BH20" s="989"/>
      <c r="BI20" s="990"/>
      <c r="BJ20" s="990"/>
    </row>
    <row r="21" spans="1:62" ht="14.65" customHeight="1">
      <c r="E21" s="676">
        <v>15</v>
      </c>
      <c r="AA21" s="699"/>
      <c r="AC21" s="343" t="str" cm="1">
        <f t="array" ref="AC21">tpl_title</f>
        <v>Кемеровская область / 2026 / ОАО «СКЭК» (ИНН:4205153492, КПП:420501001) / ДПР: 2021-2030</v>
      </c>
    </row>
    <row r="22" spans="1:62" ht="19.5" customHeight="1">
      <c r="E22" s="676">
        <v>20.100000000000001</v>
      </c>
      <c r="AB22" s="333" t="s">
        <v>41</v>
      </c>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24"/>
    </row>
    <row r="23" spans="1:62" ht="11.1" customHeight="1">
      <c r="E23" s="676">
        <v>11.3</v>
      </c>
      <c r="AB23" s="174"/>
      <c r="AC23" s="175"/>
      <c r="AD23" s="175"/>
      <c r="AE23" s="175"/>
      <c r="AF23" s="175"/>
      <c r="AG23" s="175"/>
      <c r="AH23" s="175"/>
      <c r="AI23" s="175"/>
      <c r="AJ23" s="175"/>
      <c r="AK23" s="175"/>
      <c r="AL23" s="175"/>
      <c r="AM23" s="175"/>
      <c r="AN23" s="175"/>
      <c r="AO23" s="175"/>
      <c r="AP23" s="175"/>
      <c r="AQ23" s="175"/>
      <c r="AR23" s="175"/>
      <c r="AS23" s="175"/>
      <c r="AT23" s="176"/>
      <c r="AU23" s="176"/>
      <c r="AV23" s="176"/>
      <c r="AW23" s="176"/>
      <c r="AX23" s="176"/>
      <c r="AY23" s="176"/>
      <c r="AZ23" s="176"/>
      <c r="BA23" s="176"/>
      <c r="BB23" s="176"/>
    </row>
    <row r="24" spans="1:62" ht="14.65" customHeight="1">
      <c r="E24" s="676">
        <v>15</v>
      </c>
      <c r="AB24" s="1802" t="s">
        <v>1049</v>
      </c>
      <c r="AC24" s="1810" t="s">
        <v>225</v>
      </c>
      <c r="AD24" s="1802" t="s">
        <v>476</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748" t="s">
        <v>630</v>
      </c>
    </row>
    <row r="25" spans="1:62" ht="48.75" customHeight="1">
      <c r="E25" s="676">
        <v>50.1</v>
      </c>
      <c r="AB25" s="1809"/>
      <c r="AC25" s="1809"/>
      <c r="AD25" s="1809"/>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809"/>
    </row>
    <row r="26" spans="1:62" ht="50.25" hidden="1" customHeight="1">
      <c r="E26" s="676">
        <v>0</v>
      </c>
      <c r="AB26" s="430"/>
      <c r="AC26" s="431"/>
      <c r="AD26" s="431"/>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2"/>
    </row>
    <row r="27" spans="1:62" ht="14.65" hidden="1" customHeight="1">
      <c r="E27" s="676">
        <v>15</v>
      </c>
      <c r="F27" s="779" cm="1">
        <f t="array" ref="F27">X27</f>
        <v>0</v>
      </c>
      <c r="T27" s="687" t="b">
        <f>X27&gt;0</f>
        <v>0</v>
      </c>
      <c r="V27" s="126" t="s">
        <v>315</v>
      </c>
      <c r="X27" s="1687">
        <v>0</v>
      </c>
      <c r="Z27" s="1687"/>
      <c r="AB27" s="237" t="str" cm="1">
        <f t="array" ref="AB27">INDEX('Общие сведения'!$AG$187:$AG$236,MATCH($F27,'Общие сведения'!$Z$187:$Z$236,0))</f>
        <v xml:space="preserve">Тариф 0 (Теплоснабжение) - </v>
      </c>
      <c r="AC27" s="210"/>
      <c r="AD27" s="210"/>
      <c r="AE27" s="321">
        <f t="shared" ref="AE27:BB27" si="1">AE28+AE34</f>
        <v>0</v>
      </c>
      <c r="AF27" s="321">
        <f t="shared" si="1"/>
        <v>0</v>
      </c>
      <c r="AG27" s="321">
        <f t="shared" si="1"/>
        <v>0</v>
      </c>
      <c r="AH27" s="321">
        <f t="shared" si="1"/>
        <v>0</v>
      </c>
      <c r="AI27" s="321">
        <f t="shared" si="1"/>
        <v>0</v>
      </c>
      <c r="AJ27" s="321">
        <f t="shared" si="1"/>
        <v>0</v>
      </c>
      <c r="AK27" s="321">
        <f t="shared" si="1"/>
        <v>0</v>
      </c>
      <c r="AL27" s="321">
        <f t="shared" si="1"/>
        <v>0</v>
      </c>
      <c r="AM27" s="321">
        <f t="shared" si="1"/>
        <v>0</v>
      </c>
      <c r="AN27" s="321">
        <f t="shared" si="1"/>
        <v>0</v>
      </c>
      <c r="AO27" s="321">
        <f t="shared" si="1"/>
        <v>0</v>
      </c>
      <c r="AP27" s="321">
        <f t="shared" si="1"/>
        <v>0</v>
      </c>
      <c r="AQ27" s="321">
        <f t="shared" si="1"/>
        <v>0</v>
      </c>
      <c r="AR27" s="321">
        <f t="shared" si="1"/>
        <v>0</v>
      </c>
      <c r="AS27" s="321">
        <f t="shared" si="1"/>
        <v>0</v>
      </c>
      <c r="AT27" s="321">
        <f t="shared" si="1"/>
        <v>0</v>
      </c>
      <c r="AU27" s="321">
        <f t="shared" si="1"/>
        <v>0</v>
      </c>
      <c r="AV27" s="321">
        <f t="shared" si="1"/>
        <v>0</v>
      </c>
      <c r="AW27" s="321">
        <f t="shared" si="1"/>
        <v>0</v>
      </c>
      <c r="AX27" s="321">
        <f t="shared" si="1"/>
        <v>0</v>
      </c>
      <c r="AY27" s="321">
        <f t="shared" si="1"/>
        <v>0</v>
      </c>
      <c r="AZ27" s="321">
        <f t="shared" si="1"/>
        <v>0</v>
      </c>
      <c r="BA27" s="321">
        <f t="shared" si="1"/>
        <v>0</v>
      </c>
      <c r="BB27" s="321">
        <f t="shared" si="1"/>
        <v>0</v>
      </c>
      <c r="BC27" s="239"/>
    </row>
    <row r="28" spans="1:62" ht="14.65" hidden="1" customHeight="1">
      <c r="E28" s="676">
        <v>15</v>
      </c>
      <c r="F28" s="779" cm="1">
        <f t="array" ref="F28">F27</f>
        <v>0</v>
      </c>
      <c r="G28" s="143" t="s">
        <v>1050</v>
      </c>
      <c r="T28" s="698" t="b" cm="1">
        <f t="array" ref="T28">T27</f>
        <v>0</v>
      </c>
      <c r="X28" s="1687"/>
      <c r="Z28" s="1687"/>
      <c r="AB28" s="233">
        <v>1</v>
      </c>
      <c r="AC28" s="228" t="s">
        <v>1051</v>
      </c>
      <c r="AD28" s="227" t="s">
        <v>839</v>
      </c>
      <c r="AE28" s="229">
        <f t="shared" ref="AE28:BB28" si="2">SUMIF($AD29:$AD33,$AD28,AE29:AE33)</f>
        <v>0</v>
      </c>
      <c r="AF28" s="229">
        <f t="shared" si="2"/>
        <v>0</v>
      </c>
      <c r="AG28" s="229">
        <f t="shared" si="2"/>
        <v>0</v>
      </c>
      <c r="AH28" s="229">
        <f t="shared" si="2"/>
        <v>0</v>
      </c>
      <c r="AI28" s="229">
        <f t="shared" si="2"/>
        <v>0</v>
      </c>
      <c r="AJ28" s="242">
        <f t="shared" si="2"/>
        <v>0</v>
      </c>
      <c r="AK28" s="242">
        <f t="shared" si="2"/>
        <v>0</v>
      </c>
      <c r="AL28" s="242">
        <f t="shared" si="2"/>
        <v>0</v>
      </c>
      <c r="AM28" s="242">
        <f t="shared" si="2"/>
        <v>0</v>
      </c>
      <c r="AN28" s="57">
        <f t="shared" si="2"/>
        <v>0</v>
      </c>
      <c r="AO28" s="57">
        <f t="shared" si="2"/>
        <v>0</v>
      </c>
      <c r="AP28" s="57">
        <f t="shared" si="2"/>
        <v>0</v>
      </c>
      <c r="AQ28" s="57">
        <f t="shared" si="2"/>
        <v>0</v>
      </c>
      <c r="AR28" s="57">
        <f t="shared" si="2"/>
        <v>0</v>
      </c>
      <c r="AS28" s="229">
        <f t="shared" si="2"/>
        <v>0</v>
      </c>
      <c r="AT28" s="242">
        <f t="shared" si="2"/>
        <v>0</v>
      </c>
      <c r="AU28" s="242">
        <f t="shared" si="2"/>
        <v>0</v>
      </c>
      <c r="AV28" s="242">
        <f t="shared" si="2"/>
        <v>0</v>
      </c>
      <c r="AW28" s="242">
        <f t="shared" si="2"/>
        <v>0</v>
      </c>
      <c r="AX28" s="57">
        <f t="shared" si="2"/>
        <v>0</v>
      </c>
      <c r="AY28" s="57">
        <f t="shared" si="2"/>
        <v>0</v>
      </c>
      <c r="AZ28" s="57">
        <f t="shared" si="2"/>
        <v>0</v>
      </c>
      <c r="BA28" s="57">
        <f t="shared" si="2"/>
        <v>0</v>
      </c>
      <c r="BB28" s="57">
        <f t="shared" si="2"/>
        <v>0</v>
      </c>
      <c r="BC28" s="28"/>
      <c r="BF28" s="970" t="s">
        <v>1052</v>
      </c>
    </row>
    <row r="29" spans="1:62" ht="0.2" hidden="1" customHeight="1">
      <c r="E29" s="676">
        <v>0.2</v>
      </c>
      <c r="F29" s="779" cm="1">
        <f t="array" ref="F29">F28</f>
        <v>0</v>
      </c>
      <c r="T29" s="698" t="b" cm="1">
        <f t="array" ref="T29">T28</f>
        <v>0</v>
      </c>
      <c r="X29" s="1687"/>
      <c r="Z29" s="1687"/>
      <c r="AB29" s="233"/>
      <c r="AC29" s="228"/>
      <c r="AD29" s="227"/>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40"/>
      <c r="BF29" s="970" t="str">
        <f>IF(AND(ISNUMBER(VALUE(TRIM(SUBSTITUTE(AB29,".","")))),TRIM(SUBSTITUTE(AB29,".",""))&lt;&gt;""),"P"&amp;SUBSTITUTE(AB29,".",""),"")</f>
        <v/>
      </c>
    </row>
    <row r="30" spans="1:62" ht="14.65" hidden="1" customHeight="1">
      <c r="A30" s="927" t="str">
        <f ca="1">"checkCosts_1."&amp;F30&amp;"."&amp;Y30</f>
        <v>checkCosts_1.0.0</v>
      </c>
      <c r="E30" s="676">
        <v>15</v>
      </c>
      <c r="F30" s="779" cm="1">
        <f t="array" aca="1" ref="F30" ca="1">OFFSET(G30,-1,-1)</f>
        <v>0</v>
      </c>
      <c r="H30" s="106" cm="1">
        <f t="array" ref="H30">AC30</f>
        <v>0</v>
      </c>
      <c r="T30" s="780" t="b">
        <f ca="1">AND(F30&gt;0,Y30&gt;0)</f>
        <v>0</v>
      </c>
      <c r="W30" s="110" t="s">
        <v>236</v>
      </c>
      <c r="X30" s="1687"/>
      <c r="Y30" s="1687">
        <v>0</v>
      </c>
      <c r="Z30" s="1687"/>
      <c r="AA30" s="1806" t="s">
        <v>218</v>
      </c>
      <c r="AB30" s="235" t="str">
        <f>"1."&amp;Y30</f>
        <v>1.0</v>
      </c>
      <c r="AC30" s="396"/>
      <c r="AD30" s="227" t="s">
        <v>839</v>
      </c>
      <c r="AE30" s="279">
        <f>AE31*AE32</f>
        <v>0</v>
      </c>
      <c r="AF30" s="17"/>
      <c r="AG30" s="17"/>
      <c r="AH30" s="279">
        <f>AH31*AH32</f>
        <v>0</v>
      </c>
      <c r="AI30" s="230"/>
      <c r="AJ30" s="230"/>
      <c r="AK30" s="230"/>
      <c r="AL30" s="230"/>
      <c r="AM30" s="230"/>
      <c r="AN30" s="17"/>
      <c r="AO30" s="17"/>
      <c r="AP30" s="17"/>
      <c r="AQ30" s="17"/>
      <c r="AR30" s="17"/>
      <c r="AS30" s="279">
        <f t="shared" ref="AS30:BB30" si="3">AS31*AS32</f>
        <v>0</v>
      </c>
      <c r="AT30" s="279">
        <f t="shared" si="3"/>
        <v>0</v>
      </c>
      <c r="AU30" s="279">
        <f t="shared" si="3"/>
        <v>0</v>
      </c>
      <c r="AV30" s="279">
        <f t="shared" si="3"/>
        <v>0</v>
      </c>
      <c r="AW30" s="279">
        <f t="shared" si="3"/>
        <v>0</v>
      </c>
      <c r="AX30" s="279">
        <f t="shared" si="3"/>
        <v>0</v>
      </c>
      <c r="AY30" s="279">
        <f t="shared" si="3"/>
        <v>0</v>
      </c>
      <c r="AZ30" s="279">
        <f t="shared" si="3"/>
        <v>0</v>
      </c>
      <c r="BA30" s="279">
        <f t="shared" si="3"/>
        <v>0</v>
      </c>
      <c r="BB30" s="279">
        <f t="shared" si="3"/>
        <v>0</v>
      </c>
      <c r="BC30" s="28"/>
      <c r="BF30" s="970" t="s">
        <v>1053</v>
      </c>
      <c r="BG30" s="989" t="s">
        <v>1054</v>
      </c>
      <c r="BH30" s="989" cm="1">
        <f t="array" ref="BH30">AC30</f>
        <v>0</v>
      </c>
      <c r="BJ30" s="990" t="b">
        <v>1</v>
      </c>
    </row>
    <row r="31" spans="1:62" s="1229" customFormat="1" ht="14.65" hidden="1" customHeight="1">
      <c r="E31" s="676">
        <v>15</v>
      </c>
      <c r="F31" s="779" cm="1">
        <f t="array" ref="F31">F29</f>
        <v>0</v>
      </c>
      <c r="H31" s="106" cm="1">
        <f t="array" ref="H31">H30</f>
        <v>0</v>
      </c>
      <c r="T31" s="780" t="b" cm="1">
        <f t="array" aca="1" ref="T31" ca="1">T30</f>
        <v>0</v>
      </c>
      <c r="X31" s="1722"/>
      <c r="Y31" s="1722"/>
      <c r="Z31" s="1722"/>
      <c r="AA31" s="1807"/>
      <c r="AB31" s="235" t="str">
        <f>AB30&amp;".1"</f>
        <v>1.0.1</v>
      </c>
      <c r="AC31" s="241" t="s">
        <v>1000</v>
      </c>
      <c r="AD31" s="105" t="s">
        <v>1055</v>
      </c>
      <c r="AE31" s="17"/>
      <c r="AF31" s="279">
        <f>IF(AF32=0,0,AF30/AF32)</f>
        <v>0</v>
      </c>
      <c r="AG31" s="279">
        <f>IF(AG32=0,0,AG30/AG32)</f>
        <v>0</v>
      </c>
      <c r="AH31" s="17"/>
      <c r="AI31" s="279">
        <f t="shared" ref="AI31:AR31" si="4">IF(AI32=0,0,AI30/AI32)</f>
        <v>0</v>
      </c>
      <c r="AJ31" s="279">
        <f t="shared" si="4"/>
        <v>0</v>
      </c>
      <c r="AK31" s="279">
        <f t="shared" si="4"/>
        <v>0</v>
      </c>
      <c r="AL31" s="279">
        <f t="shared" si="4"/>
        <v>0</v>
      </c>
      <c r="AM31" s="279">
        <f t="shared" si="4"/>
        <v>0</v>
      </c>
      <c r="AN31" s="279">
        <f t="shared" si="4"/>
        <v>0</v>
      </c>
      <c r="AO31" s="279">
        <f t="shared" si="4"/>
        <v>0</v>
      </c>
      <c r="AP31" s="279">
        <f t="shared" si="4"/>
        <v>0</v>
      </c>
      <c r="AQ31" s="279">
        <f t="shared" si="4"/>
        <v>0</v>
      </c>
      <c r="AR31" s="279">
        <f t="shared" si="4"/>
        <v>0</v>
      </c>
      <c r="AS31" s="230"/>
      <c r="AT31" s="230"/>
      <c r="AU31" s="230"/>
      <c r="AV31" s="230"/>
      <c r="AW31" s="230"/>
      <c r="AX31" s="17"/>
      <c r="AY31" s="17"/>
      <c r="AZ31" s="17"/>
      <c r="BA31" s="17"/>
      <c r="BB31" s="17"/>
      <c r="BC31" s="28"/>
      <c r="BF31" s="970" t="s">
        <v>1056</v>
      </c>
      <c r="BG31" s="989" t="s">
        <v>1054</v>
      </c>
      <c r="BH31" s="989" cm="1">
        <f t="array" ref="BH31">BH30</f>
        <v>0</v>
      </c>
      <c r="BI31" s="990"/>
      <c r="BJ31" s="990"/>
    </row>
    <row r="32" spans="1:62" ht="14.65" hidden="1" customHeight="1">
      <c r="A32" s="927" t="str">
        <f ca="1">"checkVolume_1."&amp;F32&amp;"."&amp;Y30</f>
        <v>checkVolume_1.0.0</v>
      </c>
      <c r="E32" s="676">
        <v>15</v>
      </c>
      <c r="F32" s="779" cm="1">
        <f t="array" aca="1" ref="F32" ca="1">F30</f>
        <v>0</v>
      </c>
      <c r="H32" s="106" cm="1">
        <f t="array" ref="H32">H30</f>
        <v>0</v>
      </c>
      <c r="T32" s="780" t="b" cm="1">
        <f t="array" aca="1" ref="T32" ca="1">T30</f>
        <v>0</v>
      </c>
      <c r="X32" s="1687"/>
      <c r="Y32" s="1687"/>
      <c r="Z32" s="1687"/>
      <c r="AA32" s="1806"/>
      <c r="AB32" s="235" t="str">
        <f>AB30&amp;".2"</f>
        <v>1.0.2</v>
      </c>
      <c r="AC32" s="241" t="s">
        <v>1057</v>
      </c>
      <c r="AD32" s="105" t="s">
        <v>1058</v>
      </c>
      <c r="AE32" s="17"/>
      <c r="AF32" s="17"/>
      <c r="AG32" s="17"/>
      <c r="AH32" s="17"/>
      <c r="AI32" s="230"/>
      <c r="AJ32" s="230"/>
      <c r="AK32" s="230"/>
      <c r="AL32" s="230"/>
      <c r="AM32" s="230"/>
      <c r="AN32" s="17"/>
      <c r="AO32" s="17"/>
      <c r="AP32" s="17"/>
      <c r="AQ32" s="17"/>
      <c r="AR32" s="17"/>
      <c r="AS32" s="230"/>
      <c r="AT32" s="230"/>
      <c r="AU32" s="230"/>
      <c r="AV32" s="230"/>
      <c r="AW32" s="230"/>
      <c r="AX32" s="17"/>
      <c r="AY32" s="17"/>
      <c r="AZ32" s="17"/>
      <c r="BA32" s="17"/>
      <c r="BB32" s="17"/>
      <c r="BC32" s="28"/>
      <c r="BF32" s="970" t="s">
        <v>1059</v>
      </c>
      <c r="BG32" s="989" t="s">
        <v>1054</v>
      </c>
      <c r="BH32" s="989" cm="1">
        <f t="array" ref="BH32">BH30</f>
        <v>0</v>
      </c>
    </row>
    <row r="33" spans="1:62" ht="14.65" hidden="1" customHeight="1">
      <c r="E33" s="676">
        <v>15</v>
      </c>
      <c r="F33" s="779" cm="1">
        <f t="array" ref="F33">F29</f>
        <v>0</v>
      </c>
      <c r="T33" s="698" t="b">
        <f>F33&gt;0</f>
        <v>0</v>
      </c>
      <c r="W33" s="318" t="s">
        <v>1060</v>
      </c>
      <c r="X33" s="1687"/>
      <c r="Z33" s="1687"/>
      <c r="AB33" s="249"/>
      <c r="AC33" s="250" t="s">
        <v>1036</v>
      </c>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909"/>
      <c r="BF33" s="970" t="str">
        <f>IF(AND(ISNUMBER(VALUE(TRIM(SUBSTITUTE(AB33,".","")))),TRIM(SUBSTITUTE(AB33,".",""))&lt;&gt;""),"P"&amp;SUBSTITUTE(AB33,".",""),"")</f>
        <v/>
      </c>
      <c r="BI33" s="990" t="s">
        <v>1054</v>
      </c>
    </row>
    <row r="34" spans="1:62" ht="14.65" hidden="1" customHeight="1">
      <c r="E34" s="676">
        <v>15</v>
      </c>
      <c r="F34" s="779" cm="1">
        <f t="array" ref="F34">F33</f>
        <v>0</v>
      </c>
      <c r="G34" s="143" t="s">
        <v>1061</v>
      </c>
      <c r="T34" s="698" t="b">
        <f>F34&gt;0</f>
        <v>0</v>
      </c>
      <c r="X34" s="1687"/>
      <c r="Z34" s="1687"/>
      <c r="AB34" s="233">
        <v>2</v>
      </c>
      <c r="AC34" s="228" t="s">
        <v>1062</v>
      </c>
      <c r="AD34" s="227" t="s">
        <v>839</v>
      </c>
      <c r="AE34" s="229">
        <f t="shared" ref="AE34:BB34" si="5">SUMIF($AD35:$AD39,$AD34,AE35:AE39)</f>
        <v>0</v>
      </c>
      <c r="AF34" s="229">
        <f t="shared" si="5"/>
        <v>0</v>
      </c>
      <c r="AG34" s="229">
        <f t="shared" si="5"/>
        <v>0</v>
      </c>
      <c r="AH34" s="229">
        <f t="shared" si="5"/>
        <v>0</v>
      </c>
      <c r="AI34" s="229">
        <f t="shared" si="5"/>
        <v>0</v>
      </c>
      <c r="AJ34" s="242">
        <f t="shared" si="5"/>
        <v>0</v>
      </c>
      <c r="AK34" s="242">
        <f t="shared" si="5"/>
        <v>0</v>
      </c>
      <c r="AL34" s="242">
        <f t="shared" si="5"/>
        <v>0</v>
      </c>
      <c r="AM34" s="242">
        <f t="shared" si="5"/>
        <v>0</v>
      </c>
      <c r="AN34" s="57">
        <f t="shared" si="5"/>
        <v>0</v>
      </c>
      <c r="AO34" s="57">
        <f t="shared" si="5"/>
        <v>0</v>
      </c>
      <c r="AP34" s="57">
        <f t="shared" si="5"/>
        <v>0</v>
      </c>
      <c r="AQ34" s="57">
        <f t="shared" si="5"/>
        <v>0</v>
      </c>
      <c r="AR34" s="57">
        <f t="shared" si="5"/>
        <v>0</v>
      </c>
      <c r="AS34" s="229">
        <f t="shared" si="5"/>
        <v>0</v>
      </c>
      <c r="AT34" s="242">
        <f t="shared" si="5"/>
        <v>0</v>
      </c>
      <c r="AU34" s="242">
        <f t="shared" si="5"/>
        <v>0</v>
      </c>
      <c r="AV34" s="242">
        <f t="shared" si="5"/>
        <v>0</v>
      </c>
      <c r="AW34" s="242">
        <f t="shared" si="5"/>
        <v>0</v>
      </c>
      <c r="AX34" s="57">
        <f t="shared" si="5"/>
        <v>0</v>
      </c>
      <c r="AY34" s="57">
        <f t="shared" si="5"/>
        <v>0</v>
      </c>
      <c r="AZ34" s="57">
        <f t="shared" si="5"/>
        <v>0</v>
      </c>
      <c r="BA34" s="57">
        <f t="shared" si="5"/>
        <v>0</v>
      </c>
      <c r="BB34" s="57">
        <f t="shared" si="5"/>
        <v>0</v>
      </c>
      <c r="BC34" s="28"/>
      <c r="BF34" s="970" t="s">
        <v>1063</v>
      </c>
    </row>
    <row r="35" spans="1:62" ht="0.2" hidden="1" customHeight="1">
      <c r="E35" s="676">
        <v>0.2</v>
      </c>
      <c r="F35" s="779" cm="1">
        <f t="array" aca="1" ref="F35" ca="1">OFFSET(G35,-1,-1)</f>
        <v>0</v>
      </c>
      <c r="T35" s="698" t="b">
        <f ca="1">F35&gt;0</f>
        <v>0</v>
      </c>
      <c r="X35" s="1687"/>
      <c r="Z35" s="1687"/>
      <c r="AB35" s="233"/>
      <c r="AC35" s="228"/>
      <c r="AD35" s="227"/>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40"/>
      <c r="BF35" s="970" t="str">
        <f>IF(AND(ISNUMBER(VALUE(TRIM(SUBSTITUTE(AB35,".","")))),TRIM(SUBSTITUTE(AB35,".",""))&lt;&gt;""),"P"&amp;SUBSTITUTE(AB35,".",""),"")</f>
        <v/>
      </c>
    </row>
    <row r="36" spans="1:62" ht="14.65" hidden="1" customHeight="1">
      <c r="A36" s="927" t="str">
        <f ca="1">"checkCosts_2."&amp;F36&amp;"."&amp;Y36</f>
        <v>checkCosts_2.0.0</v>
      </c>
      <c r="E36" s="676">
        <v>15</v>
      </c>
      <c r="F36" s="779" cm="1">
        <f t="array" aca="1" ref="F36" ca="1">OFFSET(G36,-1,-1)</f>
        <v>0</v>
      </c>
      <c r="H36" s="106" cm="1">
        <f t="array" ref="H36">AC36</f>
        <v>0</v>
      </c>
      <c r="T36" s="780" t="b">
        <f ca="1">AND(F36&gt;0,Y36&gt;0)</f>
        <v>0</v>
      </c>
      <c r="W36" s="110" t="s">
        <v>236</v>
      </c>
      <c r="X36" s="1687"/>
      <c r="Y36" s="1687">
        <v>0</v>
      </c>
      <c r="Z36" s="1687"/>
      <c r="AA36" s="1806" t="s">
        <v>218</v>
      </c>
      <c r="AB36" s="235" t="str">
        <f>"2."&amp;Y36</f>
        <v>2.0</v>
      </c>
      <c r="AC36" s="396"/>
      <c r="AD36" s="227" t="s">
        <v>839</v>
      </c>
      <c r="AE36" s="279">
        <f>AE37*AE38</f>
        <v>0</v>
      </c>
      <c r="AF36" s="17"/>
      <c r="AG36" s="17"/>
      <c r="AH36" s="279">
        <f>AH37*AH38</f>
        <v>0</v>
      </c>
      <c r="AI36" s="230"/>
      <c r="AJ36" s="230"/>
      <c r="AK36" s="230"/>
      <c r="AL36" s="230"/>
      <c r="AM36" s="230"/>
      <c r="AN36" s="17"/>
      <c r="AO36" s="17"/>
      <c r="AP36" s="17"/>
      <c r="AQ36" s="17"/>
      <c r="AR36" s="17"/>
      <c r="AS36" s="279">
        <f t="shared" ref="AS36:BB36" si="6">AS37*AS38</f>
        <v>0</v>
      </c>
      <c r="AT36" s="279">
        <f t="shared" si="6"/>
        <v>0</v>
      </c>
      <c r="AU36" s="279">
        <f t="shared" si="6"/>
        <v>0</v>
      </c>
      <c r="AV36" s="279">
        <f t="shared" si="6"/>
        <v>0</v>
      </c>
      <c r="AW36" s="279">
        <f t="shared" si="6"/>
        <v>0</v>
      </c>
      <c r="AX36" s="279">
        <f t="shared" si="6"/>
        <v>0</v>
      </c>
      <c r="AY36" s="279">
        <f t="shared" si="6"/>
        <v>0</v>
      </c>
      <c r="AZ36" s="279">
        <f t="shared" si="6"/>
        <v>0</v>
      </c>
      <c r="BA36" s="279">
        <f t="shared" si="6"/>
        <v>0</v>
      </c>
      <c r="BB36" s="279">
        <f t="shared" si="6"/>
        <v>0</v>
      </c>
      <c r="BC36" s="28"/>
      <c r="BF36" s="970" t="s">
        <v>1064</v>
      </c>
      <c r="BG36" s="989" t="s">
        <v>1065</v>
      </c>
      <c r="BH36" s="989" cm="1">
        <f t="array" ref="BH36">AC36</f>
        <v>0</v>
      </c>
      <c r="BJ36" s="990" t="b">
        <v>1</v>
      </c>
    </row>
    <row r="37" spans="1:62" s="1229" customFormat="1" ht="14.65" hidden="1" customHeight="1">
      <c r="E37" s="676">
        <v>15</v>
      </c>
      <c r="F37" s="779" cm="1">
        <f t="array" aca="1" ref="F37" ca="1">OFFSET(G37,-1,-1)</f>
        <v>0</v>
      </c>
      <c r="H37" s="106" cm="1">
        <f t="array" ref="H37">H36</f>
        <v>0</v>
      </c>
      <c r="T37" s="780" t="b" cm="1">
        <f t="array" aca="1" ref="T37" ca="1">T36</f>
        <v>0</v>
      </c>
      <c r="X37" s="1722"/>
      <c r="Y37" s="1722"/>
      <c r="Z37" s="1722"/>
      <c r="AA37" s="1807"/>
      <c r="AB37" s="235" t="str">
        <f>AB36&amp;".1"</f>
        <v>2.0.1</v>
      </c>
      <c r="AC37" s="241" t="s">
        <v>1000</v>
      </c>
      <c r="AD37" s="105" t="s">
        <v>1055</v>
      </c>
      <c r="AE37" s="17"/>
      <c r="AF37" s="279">
        <f>IF(AF38=0,0,AF36/AF38)</f>
        <v>0</v>
      </c>
      <c r="AG37" s="279">
        <f>IF(AG38=0,0,AG36/AG38)</f>
        <v>0</v>
      </c>
      <c r="AH37" s="17"/>
      <c r="AI37" s="279">
        <f t="shared" ref="AI37:AR37" si="7">IF(AI38=0,0,AI36/AI38)</f>
        <v>0</v>
      </c>
      <c r="AJ37" s="279">
        <f t="shared" si="7"/>
        <v>0</v>
      </c>
      <c r="AK37" s="279">
        <f t="shared" si="7"/>
        <v>0</v>
      </c>
      <c r="AL37" s="279">
        <f t="shared" si="7"/>
        <v>0</v>
      </c>
      <c r="AM37" s="279">
        <f t="shared" si="7"/>
        <v>0</v>
      </c>
      <c r="AN37" s="279">
        <f t="shared" si="7"/>
        <v>0</v>
      </c>
      <c r="AO37" s="279">
        <f t="shared" si="7"/>
        <v>0</v>
      </c>
      <c r="AP37" s="279">
        <f t="shared" si="7"/>
        <v>0</v>
      </c>
      <c r="AQ37" s="279">
        <f t="shared" si="7"/>
        <v>0</v>
      </c>
      <c r="AR37" s="279">
        <f t="shared" si="7"/>
        <v>0</v>
      </c>
      <c r="AS37" s="230"/>
      <c r="AT37" s="230"/>
      <c r="AU37" s="230"/>
      <c r="AV37" s="230"/>
      <c r="AW37" s="230"/>
      <c r="AX37" s="17"/>
      <c r="AY37" s="17"/>
      <c r="AZ37" s="17"/>
      <c r="BA37" s="17"/>
      <c r="BB37" s="17"/>
      <c r="BC37" s="28"/>
      <c r="BF37" s="970" t="s">
        <v>1066</v>
      </c>
      <c r="BG37" s="989" t="s">
        <v>1065</v>
      </c>
      <c r="BH37" s="989" cm="1">
        <f t="array" ref="BH37">BH36</f>
        <v>0</v>
      </c>
      <c r="BI37" s="990"/>
      <c r="BJ37" s="990"/>
    </row>
    <row r="38" spans="1:62" ht="14.65" hidden="1" customHeight="1">
      <c r="A38" s="927" t="str">
        <f ca="1">"checkVolume_2."&amp;F38&amp;"."&amp;Y36</f>
        <v>checkVolume_2.0.0</v>
      </c>
      <c r="E38" s="676">
        <v>15</v>
      </c>
      <c r="F38" s="779" cm="1">
        <f t="array" aca="1" ref="F38" ca="1">OFFSET(G38,-1,-1)</f>
        <v>0</v>
      </c>
      <c r="H38" s="106" cm="1">
        <f t="array" ref="H38">H36</f>
        <v>0</v>
      </c>
      <c r="T38" s="780" t="b" cm="1">
        <f t="array" aca="1" ref="T38" ca="1">T36</f>
        <v>0</v>
      </c>
      <c r="X38" s="1687"/>
      <c r="Y38" s="1687"/>
      <c r="Z38" s="1687"/>
      <c r="AA38" s="1806"/>
      <c r="AB38" s="235" t="str">
        <f>AB36&amp;".2"</f>
        <v>2.0.2</v>
      </c>
      <c r="AC38" s="241" t="s">
        <v>1067</v>
      </c>
      <c r="AD38" s="105" t="s">
        <v>1058</v>
      </c>
      <c r="AE38" s="17"/>
      <c r="AF38" s="17"/>
      <c r="AG38" s="17"/>
      <c r="AH38" s="17"/>
      <c r="AI38" s="230"/>
      <c r="AJ38" s="230"/>
      <c r="AK38" s="230"/>
      <c r="AL38" s="230"/>
      <c r="AM38" s="230"/>
      <c r="AN38" s="17"/>
      <c r="AO38" s="17"/>
      <c r="AP38" s="17"/>
      <c r="AQ38" s="17"/>
      <c r="AR38" s="17"/>
      <c r="AS38" s="230"/>
      <c r="AT38" s="230"/>
      <c r="AU38" s="230"/>
      <c r="AV38" s="230"/>
      <c r="AW38" s="230"/>
      <c r="AX38" s="17"/>
      <c r="AY38" s="17"/>
      <c r="AZ38" s="17"/>
      <c r="BA38" s="17"/>
      <c r="BB38" s="17"/>
      <c r="BC38" s="28"/>
      <c r="BF38" s="970" t="s">
        <v>1068</v>
      </c>
      <c r="BG38" s="989" t="s">
        <v>1065</v>
      </c>
      <c r="BH38" s="989" cm="1">
        <f t="array" ref="BH38">BH36</f>
        <v>0</v>
      </c>
    </row>
    <row r="39" spans="1:62" ht="14.65" hidden="1" customHeight="1">
      <c r="E39" s="676">
        <v>15</v>
      </c>
      <c r="F39" s="779" cm="1">
        <f t="array" aca="1" ref="F39" ca="1">OFFSET(G39,-1,-1)</f>
        <v>0</v>
      </c>
      <c r="T39" s="698" t="b">
        <f ca="1">F39&gt;0</f>
        <v>0</v>
      </c>
      <c r="W39" s="318" t="s">
        <v>1069</v>
      </c>
      <c r="X39" s="1687"/>
      <c r="Z39" s="1687"/>
      <c r="AB39" s="249"/>
      <c r="AC39" s="250" t="s">
        <v>1036</v>
      </c>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1"/>
      <c r="BI39" s="990" t="s">
        <v>1065</v>
      </c>
    </row>
    <row r="40" spans="1:62" s="1229" customFormat="1" ht="14.25" customHeight="1">
      <c r="A40" s="1152"/>
      <c r="B40" s="783"/>
      <c r="C40" s="1152"/>
      <c r="D40" s="1152"/>
      <c r="E40" s="676">
        <v>15</v>
      </c>
      <c r="F40" s="779" t="str" cm="1">
        <f t="array" ref="F40">X40</f>
        <v>1</v>
      </c>
      <c r="G40" s="1156"/>
      <c r="H40" s="1156"/>
      <c r="I40" s="1156"/>
      <c r="J40" s="1156"/>
      <c r="K40" s="1156"/>
      <c r="L40" s="1156"/>
      <c r="M40" s="1156"/>
      <c r="N40" s="1156"/>
      <c r="O40" s="1156"/>
      <c r="P40" s="1156"/>
      <c r="Q40" s="143"/>
      <c r="R40" s="143"/>
      <c r="S40" s="1156"/>
      <c r="T40" s="687" t="b">
        <f>X40&gt;0</f>
        <v>1</v>
      </c>
      <c r="U40" s="1155"/>
      <c r="V40" s="126" t="str" cm="1">
        <f t="array" ref="V40">ЭнергоРесурсы!$AB$68</f>
        <v>Тариф 1 (Теплоснабжение) - Тариф на тепловую энергию (мощность), поставляемую потребителям (Не определено)</v>
      </c>
      <c r="W40" s="1155"/>
      <c r="X40" s="1687" t="s">
        <v>341</v>
      </c>
      <c r="Y40" s="1155"/>
      <c r="Z40" s="1687"/>
      <c r="AA40" s="173"/>
      <c r="AB40" s="237"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10"/>
      <c r="AD40" s="210"/>
      <c r="AE40" s="321">
        <f t="shared" ref="AE40:BB40" si="8">AE41+AE50</f>
        <v>0</v>
      </c>
      <c r="AF40" s="321">
        <f t="shared" si="8"/>
        <v>0</v>
      </c>
      <c r="AG40" s="321">
        <f t="shared" si="8"/>
        <v>0</v>
      </c>
      <c r="AH40" s="321">
        <f t="shared" si="8"/>
        <v>11768.99556440798</v>
      </c>
      <c r="AI40" s="321">
        <f t="shared" si="8"/>
        <v>0</v>
      </c>
      <c r="AJ40" s="321">
        <f t="shared" si="8"/>
        <v>0</v>
      </c>
      <c r="AK40" s="321">
        <f t="shared" si="8"/>
        <v>0</v>
      </c>
      <c r="AL40" s="321">
        <f t="shared" si="8"/>
        <v>0</v>
      </c>
      <c r="AM40" s="321">
        <f t="shared" si="8"/>
        <v>0</v>
      </c>
      <c r="AN40" s="321">
        <f t="shared" si="8"/>
        <v>0</v>
      </c>
      <c r="AO40" s="321">
        <f t="shared" si="8"/>
        <v>0</v>
      </c>
      <c r="AP40" s="321">
        <f t="shared" si="8"/>
        <v>0</v>
      </c>
      <c r="AQ40" s="321">
        <f t="shared" si="8"/>
        <v>0</v>
      </c>
      <c r="AR40" s="321">
        <f t="shared" si="8"/>
        <v>0</v>
      </c>
      <c r="AS40" s="321">
        <f t="shared" si="8"/>
        <v>15588.424354086299</v>
      </c>
      <c r="AT40" s="321">
        <f t="shared" si="8"/>
        <v>0</v>
      </c>
      <c r="AU40" s="321">
        <f t="shared" si="8"/>
        <v>0</v>
      </c>
      <c r="AV40" s="321">
        <f t="shared" si="8"/>
        <v>0</v>
      </c>
      <c r="AW40" s="321">
        <f t="shared" si="8"/>
        <v>0</v>
      </c>
      <c r="AX40" s="321">
        <f t="shared" si="8"/>
        <v>0</v>
      </c>
      <c r="AY40" s="321">
        <f t="shared" si="8"/>
        <v>0</v>
      </c>
      <c r="AZ40" s="321">
        <f t="shared" si="8"/>
        <v>0</v>
      </c>
      <c r="BA40" s="321">
        <f t="shared" si="8"/>
        <v>0</v>
      </c>
      <c r="BB40" s="321">
        <f t="shared" si="8"/>
        <v>0</v>
      </c>
      <c r="BC40" s="239"/>
      <c r="BD40" s="173"/>
      <c r="BE40" s="173"/>
      <c r="BF40" s="989"/>
      <c r="BG40" s="989"/>
      <c r="BH40" s="989"/>
      <c r="BI40" s="990"/>
      <c r="BJ40" s="990"/>
    </row>
    <row r="41" spans="1:62" s="1229" customFormat="1" ht="14.25" customHeight="1">
      <c r="A41" s="1152"/>
      <c r="B41" s="783"/>
      <c r="C41" s="1152"/>
      <c r="D41" s="1152"/>
      <c r="E41" s="676">
        <v>15</v>
      </c>
      <c r="F41" s="779" t="str" cm="1">
        <f t="array" ref="F41">F40</f>
        <v>1</v>
      </c>
      <c r="G41" s="143" t="s">
        <v>1050</v>
      </c>
      <c r="H41" s="1156"/>
      <c r="I41" s="1156"/>
      <c r="J41" s="1156"/>
      <c r="K41" s="1156"/>
      <c r="L41" s="1156"/>
      <c r="M41" s="1156"/>
      <c r="N41" s="1156"/>
      <c r="O41" s="1156"/>
      <c r="P41" s="1156"/>
      <c r="Q41" s="143"/>
      <c r="R41" s="143"/>
      <c r="S41" s="1156"/>
      <c r="T41" s="698" t="b" cm="1">
        <f t="array" ref="T41">T40</f>
        <v>1</v>
      </c>
      <c r="U41" s="1155"/>
      <c r="V41" s="1155"/>
      <c r="W41" s="1155"/>
      <c r="X41" s="1687"/>
      <c r="Y41" s="1155"/>
      <c r="Z41" s="1687"/>
      <c r="AA41" s="173"/>
      <c r="AB41" s="233">
        <v>1</v>
      </c>
      <c r="AC41" s="228" t="s">
        <v>1051</v>
      </c>
      <c r="AD41" s="227" t="s">
        <v>839</v>
      </c>
      <c r="AE41" s="229">
        <f t="shared" ref="AE41:BB41" si="9">SUMIF($AD42:$AD49,$AD41,AE42:AE49)</f>
        <v>0</v>
      </c>
      <c r="AF41" s="229">
        <f t="shared" si="9"/>
        <v>0</v>
      </c>
      <c r="AG41" s="229">
        <f t="shared" si="9"/>
        <v>0</v>
      </c>
      <c r="AH41" s="229">
        <f t="shared" si="9"/>
        <v>11768.99556440798</v>
      </c>
      <c r="AI41" s="229">
        <f t="shared" si="9"/>
        <v>0</v>
      </c>
      <c r="AJ41" s="242">
        <f t="shared" si="9"/>
        <v>0</v>
      </c>
      <c r="AK41" s="242">
        <f t="shared" si="9"/>
        <v>0</v>
      </c>
      <c r="AL41" s="242">
        <f t="shared" si="9"/>
        <v>0</v>
      </c>
      <c r="AM41" s="242">
        <f t="shared" si="9"/>
        <v>0</v>
      </c>
      <c r="AN41" s="1320">
        <f t="shared" si="9"/>
        <v>0</v>
      </c>
      <c r="AO41" s="1320">
        <f t="shared" si="9"/>
        <v>0</v>
      </c>
      <c r="AP41" s="1320">
        <f t="shared" si="9"/>
        <v>0</v>
      </c>
      <c r="AQ41" s="1320">
        <f t="shared" si="9"/>
        <v>0</v>
      </c>
      <c r="AR41" s="1320">
        <f t="shared" si="9"/>
        <v>0</v>
      </c>
      <c r="AS41" s="229">
        <f t="shared" si="9"/>
        <v>15588.424354086299</v>
      </c>
      <c r="AT41" s="242">
        <f t="shared" si="9"/>
        <v>0</v>
      </c>
      <c r="AU41" s="242">
        <f t="shared" si="9"/>
        <v>0</v>
      </c>
      <c r="AV41" s="242">
        <f t="shared" si="9"/>
        <v>0</v>
      </c>
      <c r="AW41" s="242">
        <f t="shared" si="9"/>
        <v>0</v>
      </c>
      <c r="AX41" s="1320">
        <f t="shared" si="9"/>
        <v>0</v>
      </c>
      <c r="AY41" s="1320">
        <f t="shared" si="9"/>
        <v>0</v>
      </c>
      <c r="AZ41" s="1320">
        <f t="shared" si="9"/>
        <v>0</v>
      </c>
      <c r="BA41" s="1320">
        <f t="shared" si="9"/>
        <v>0</v>
      </c>
      <c r="BB41" s="1320">
        <f t="shared" si="9"/>
        <v>0</v>
      </c>
      <c r="BC41" s="1290"/>
      <c r="BD41" s="173"/>
      <c r="BE41" s="173"/>
      <c r="BF41" s="970" t="s">
        <v>1052</v>
      </c>
      <c r="BG41" s="989"/>
      <c r="BH41" s="989"/>
      <c r="BI41" s="990"/>
      <c r="BJ41" s="990"/>
    </row>
    <row r="42" spans="1:62" s="1229" customFormat="1" ht="0" hidden="1" customHeight="1">
      <c r="A42" s="1152"/>
      <c r="B42" s="783"/>
      <c r="C42" s="1152"/>
      <c r="D42" s="1152"/>
      <c r="E42" s="676">
        <v>0.2</v>
      </c>
      <c r="F42" s="779" t="str" cm="1">
        <f t="array" ref="F42">F41</f>
        <v>1</v>
      </c>
      <c r="G42" s="1156"/>
      <c r="H42" s="1156"/>
      <c r="I42" s="1156"/>
      <c r="J42" s="1156"/>
      <c r="K42" s="1156"/>
      <c r="L42" s="1156"/>
      <c r="M42" s="1156"/>
      <c r="N42" s="1156"/>
      <c r="O42" s="1156"/>
      <c r="P42" s="1156"/>
      <c r="Q42" s="143"/>
      <c r="R42" s="143"/>
      <c r="S42" s="1156"/>
      <c r="T42" s="698" t="b" cm="1">
        <f t="array" ref="T42">T41</f>
        <v>1</v>
      </c>
      <c r="U42" s="1155"/>
      <c r="V42" s="1155"/>
      <c r="W42" s="1155"/>
      <c r="X42" s="1687"/>
      <c r="Y42" s="1155"/>
      <c r="Z42" s="1687"/>
      <c r="AA42" s="173"/>
      <c r="AB42" s="233"/>
      <c r="AC42" s="228"/>
      <c r="AD42" s="227"/>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40"/>
      <c r="BD42" s="173"/>
      <c r="BE42" s="173"/>
      <c r="BF42" s="970" t="str">
        <f>IF(AND(ISNUMBER(VALUE(TRIM(SUBSTITUTE(AB42,".","")))),TRIM(SUBSTITUTE(AB42,".",""))&lt;&gt;""),"P"&amp;SUBSTITUTE(AB42,".",""),"")</f>
        <v/>
      </c>
      <c r="BG42" s="989"/>
      <c r="BH42" s="989"/>
      <c r="BI42" s="990"/>
      <c r="BJ42" s="990"/>
    </row>
    <row r="43" spans="1:62" s="1229" customFormat="1" ht="14.25" hidden="1" customHeight="1">
      <c r="A43" s="927" t="str">
        <f ca="1">"checkCosts_1."&amp;F43&amp;"."&amp;Y43</f>
        <v>checkCosts_1.1.0</v>
      </c>
      <c r="E43" s="676">
        <v>15</v>
      </c>
      <c r="F43" s="779" t="str" cm="1">
        <f t="array" aca="1" ref="F43" ca="1">OFFSET(G43,-1,-1)</f>
        <v>1</v>
      </c>
      <c r="H43" s="106" cm="1">
        <f t="array" ref="H43">AC43</f>
        <v>0</v>
      </c>
      <c r="T43" s="780" t="b">
        <f ca="1">AND(F43&gt;0,Y43&gt;0)</f>
        <v>0</v>
      </c>
      <c r="W43" s="110" t="s">
        <v>236</v>
      </c>
      <c r="X43" s="1722"/>
      <c r="Y43" s="1687">
        <v>0</v>
      </c>
      <c r="Z43" s="1722"/>
      <c r="AA43" s="1806" t="s">
        <v>218</v>
      </c>
      <c r="AB43" s="235" t="str">
        <f>"1."&amp;Y43</f>
        <v>1.0</v>
      </c>
      <c r="AC43" s="396"/>
      <c r="AD43" s="227" t="s">
        <v>839</v>
      </c>
      <c r="AE43" s="279">
        <f>AE44*AE45</f>
        <v>0</v>
      </c>
      <c r="AF43" s="17"/>
      <c r="AG43" s="17"/>
      <c r="AH43" s="279">
        <f>AH44*AH45</f>
        <v>0</v>
      </c>
      <c r="AI43" s="230"/>
      <c r="AJ43" s="230"/>
      <c r="AK43" s="230"/>
      <c r="AL43" s="230"/>
      <c r="AM43" s="230"/>
      <c r="AN43" s="17"/>
      <c r="AO43" s="17"/>
      <c r="AP43" s="17"/>
      <c r="AQ43" s="17"/>
      <c r="AR43" s="17"/>
      <c r="AS43" s="279">
        <f t="shared" ref="AS43:BB43" si="10">AS44*AS45</f>
        <v>0</v>
      </c>
      <c r="AT43" s="279">
        <f t="shared" si="10"/>
        <v>0</v>
      </c>
      <c r="AU43" s="279">
        <f t="shared" si="10"/>
        <v>0</v>
      </c>
      <c r="AV43" s="279">
        <f t="shared" si="10"/>
        <v>0</v>
      </c>
      <c r="AW43" s="279">
        <f t="shared" si="10"/>
        <v>0</v>
      </c>
      <c r="AX43" s="279">
        <f t="shared" si="10"/>
        <v>0</v>
      </c>
      <c r="AY43" s="279">
        <f t="shared" si="10"/>
        <v>0</v>
      </c>
      <c r="AZ43" s="279">
        <f t="shared" si="10"/>
        <v>0</v>
      </c>
      <c r="BA43" s="279">
        <f t="shared" si="10"/>
        <v>0</v>
      </c>
      <c r="BB43" s="279">
        <f t="shared" si="10"/>
        <v>0</v>
      </c>
      <c r="BC43" s="28"/>
      <c r="BF43" s="970" t="s">
        <v>1053</v>
      </c>
      <c r="BG43" s="989" t="s">
        <v>1054</v>
      </c>
      <c r="BH43" s="989" cm="1">
        <f t="array" ref="BH43">AC43</f>
        <v>0</v>
      </c>
      <c r="BI43" s="990"/>
      <c r="BJ43" s="990" t="b">
        <v>1</v>
      </c>
    </row>
    <row r="44" spans="1:62" s="1229" customFormat="1" ht="14.25" hidden="1" customHeight="1">
      <c r="E44" s="676">
        <v>15</v>
      </c>
      <c r="F44" s="779" t="str" cm="1">
        <f t="array" ref="F44">F42</f>
        <v>1</v>
      </c>
      <c r="H44" s="106" cm="1">
        <f t="array" ref="H44">H43</f>
        <v>0</v>
      </c>
      <c r="T44" s="780" t="b" cm="1">
        <f t="array" aca="1" ref="T44" ca="1">T43</f>
        <v>0</v>
      </c>
      <c r="X44" s="1722"/>
      <c r="Y44" s="1722"/>
      <c r="Z44" s="1722"/>
      <c r="AA44" s="1807"/>
      <c r="AB44" s="235" t="str">
        <f>AB43&amp;".1"</f>
        <v>1.0.1</v>
      </c>
      <c r="AC44" s="241" t="s">
        <v>1000</v>
      </c>
      <c r="AD44" s="105" t="s">
        <v>1055</v>
      </c>
      <c r="AE44" s="17"/>
      <c r="AF44" s="279">
        <f>IF(AF45=0,0,AF43/AF45)</f>
        <v>0</v>
      </c>
      <c r="AG44" s="279">
        <f>IF(AG45=0,0,AG43/AG45)</f>
        <v>0</v>
      </c>
      <c r="AH44" s="17"/>
      <c r="AI44" s="279">
        <f t="shared" ref="AI44:AR44" si="11">IF(AI45=0,0,AI43/AI45)</f>
        <v>0</v>
      </c>
      <c r="AJ44" s="279">
        <f t="shared" si="11"/>
        <v>0</v>
      </c>
      <c r="AK44" s="279">
        <f t="shared" si="11"/>
        <v>0</v>
      </c>
      <c r="AL44" s="279">
        <f t="shared" si="11"/>
        <v>0</v>
      </c>
      <c r="AM44" s="279">
        <f t="shared" si="11"/>
        <v>0</v>
      </c>
      <c r="AN44" s="279">
        <f t="shared" si="11"/>
        <v>0</v>
      </c>
      <c r="AO44" s="279">
        <f t="shared" si="11"/>
        <v>0</v>
      </c>
      <c r="AP44" s="279">
        <f t="shared" si="11"/>
        <v>0</v>
      </c>
      <c r="AQ44" s="279">
        <f t="shared" si="11"/>
        <v>0</v>
      </c>
      <c r="AR44" s="279">
        <f t="shared" si="11"/>
        <v>0</v>
      </c>
      <c r="AS44" s="230"/>
      <c r="AT44" s="230"/>
      <c r="AU44" s="230"/>
      <c r="AV44" s="230"/>
      <c r="AW44" s="230"/>
      <c r="AX44" s="17"/>
      <c r="AY44" s="17"/>
      <c r="AZ44" s="17"/>
      <c r="BA44" s="17"/>
      <c r="BB44" s="17"/>
      <c r="BC44" s="28"/>
      <c r="BF44" s="970" t="s">
        <v>1056</v>
      </c>
      <c r="BG44" s="989" t="s">
        <v>1054</v>
      </c>
      <c r="BH44" s="989" cm="1">
        <f t="array" ref="BH44">BH43</f>
        <v>0</v>
      </c>
      <c r="BI44" s="990"/>
      <c r="BJ44" s="990"/>
    </row>
    <row r="45" spans="1:62" s="1229" customFormat="1" ht="14.25" hidden="1" customHeight="1">
      <c r="A45" s="927" t="str">
        <f ca="1">"checkVolume_1."&amp;F45&amp;"."&amp;Y43</f>
        <v>checkVolume_1.1.0</v>
      </c>
      <c r="E45" s="676">
        <v>15</v>
      </c>
      <c r="F45" s="779" t="str" cm="1">
        <f t="array" aca="1" ref="F45" ca="1">F43</f>
        <v>1</v>
      </c>
      <c r="H45" s="106" cm="1">
        <f t="array" ref="H45">H43</f>
        <v>0</v>
      </c>
      <c r="T45" s="780" t="b" cm="1">
        <f t="array" aca="1" ref="T45" ca="1">T43</f>
        <v>0</v>
      </c>
      <c r="X45" s="1722"/>
      <c r="Y45" s="1722"/>
      <c r="Z45" s="1722"/>
      <c r="AA45" s="1806"/>
      <c r="AB45" s="235" t="str">
        <f>AB43&amp;".2"</f>
        <v>1.0.2</v>
      </c>
      <c r="AC45" s="241" t="s">
        <v>1057</v>
      </c>
      <c r="AD45" s="105" t="s">
        <v>1058</v>
      </c>
      <c r="AE45" s="17"/>
      <c r="AF45" s="17"/>
      <c r="AG45" s="17"/>
      <c r="AH45" s="17"/>
      <c r="AI45" s="230"/>
      <c r="AJ45" s="230"/>
      <c r="AK45" s="230"/>
      <c r="AL45" s="230"/>
      <c r="AM45" s="230"/>
      <c r="AN45" s="17"/>
      <c r="AO45" s="17"/>
      <c r="AP45" s="17"/>
      <c r="AQ45" s="17"/>
      <c r="AR45" s="17"/>
      <c r="AS45" s="230"/>
      <c r="AT45" s="230"/>
      <c r="AU45" s="230"/>
      <c r="AV45" s="230"/>
      <c r="AW45" s="230"/>
      <c r="AX45" s="17"/>
      <c r="AY45" s="17"/>
      <c r="AZ45" s="17"/>
      <c r="BA45" s="17"/>
      <c r="BB45" s="17"/>
      <c r="BC45" s="28"/>
      <c r="BF45" s="970" t="s">
        <v>1059</v>
      </c>
      <c r="BG45" s="989" t="s">
        <v>1054</v>
      </c>
      <c r="BH45" s="989" cm="1">
        <f t="array" ref="BH45">BH43</f>
        <v>0</v>
      </c>
      <c r="BI45" s="990"/>
      <c r="BJ45" s="990"/>
    </row>
    <row r="46" spans="1:62" s="1229" customFormat="1" ht="14.25" customHeight="1">
      <c r="A46" s="927" t="str">
        <f ca="1">"checkCosts_1."&amp;F46&amp;"."&amp;Y46</f>
        <v>checkCosts_1.1.1</v>
      </c>
      <c r="E46" s="676">
        <v>15</v>
      </c>
      <c r="F46" s="779" t="str" cm="1">
        <f t="array" aca="1" ref="F46" ca="1">OFFSET(G46,-1,-1)</f>
        <v>1</v>
      </c>
      <c r="H46" s="106" t="str" cm="1">
        <f t="array" ref="H46">AC46</f>
        <v>ООО "ТВКХ"::4205375960::424601001</v>
      </c>
      <c r="T46" s="780" t="b">
        <f ca="1">AND(F46&gt;0,Y46&gt;0)</f>
        <v>1</v>
      </c>
      <c r="W46" s="110"/>
      <c r="X46" s="1722"/>
      <c r="Y46" s="1687" t="s">
        <v>341</v>
      </c>
      <c r="Z46" s="1722"/>
      <c r="AA46" s="1806" t="s">
        <v>218</v>
      </c>
      <c r="AB46" s="235" t="str">
        <f>"1."&amp;Y46</f>
        <v>1.1</v>
      </c>
      <c r="AC46" s="396" t="s">
        <v>1070</v>
      </c>
      <c r="AD46" s="227" t="s">
        <v>839</v>
      </c>
      <c r="AE46" s="279">
        <f>AE47*AE48</f>
        <v>0</v>
      </c>
      <c r="AF46" s="1249"/>
      <c r="AG46" s="1249"/>
      <c r="AH46" s="279">
        <f>AH47*AH48</f>
        <v>11768.99556440798</v>
      </c>
      <c r="AI46" s="230"/>
      <c r="AJ46" s="230"/>
      <c r="AK46" s="230"/>
      <c r="AL46" s="230"/>
      <c r="AM46" s="230"/>
      <c r="AN46" s="1249"/>
      <c r="AO46" s="1249"/>
      <c r="AP46" s="1249"/>
      <c r="AQ46" s="1249"/>
      <c r="AR46" s="1249"/>
      <c r="AS46" s="279">
        <f t="shared" ref="AS46:BB46" si="12">AS47*AS48</f>
        <v>15588.424354086299</v>
      </c>
      <c r="AT46" s="279">
        <f t="shared" si="12"/>
        <v>0</v>
      </c>
      <c r="AU46" s="279">
        <f t="shared" si="12"/>
        <v>0</v>
      </c>
      <c r="AV46" s="279">
        <f t="shared" si="12"/>
        <v>0</v>
      </c>
      <c r="AW46" s="279">
        <f t="shared" si="12"/>
        <v>0</v>
      </c>
      <c r="AX46" s="279">
        <f t="shared" si="12"/>
        <v>0</v>
      </c>
      <c r="AY46" s="279">
        <f t="shared" si="12"/>
        <v>0</v>
      </c>
      <c r="AZ46" s="279">
        <f t="shared" si="12"/>
        <v>0</v>
      </c>
      <c r="BA46" s="279">
        <f t="shared" si="12"/>
        <v>0</v>
      </c>
      <c r="BB46" s="279">
        <f t="shared" si="12"/>
        <v>0</v>
      </c>
      <c r="BC46" s="1290"/>
      <c r="BF46" s="970" t="s">
        <v>1053</v>
      </c>
      <c r="BG46" s="989" t="s">
        <v>1054</v>
      </c>
      <c r="BH46" s="989" t="str" cm="1">
        <f t="array" ref="BH46">AC46</f>
        <v>ООО "ТВКХ"::4205375960::424601001</v>
      </c>
      <c r="BI46" s="990"/>
      <c r="BJ46" s="990" t="b">
        <v>1</v>
      </c>
    </row>
    <row r="47" spans="1:62" s="1229" customFormat="1" ht="14.25" customHeight="1">
      <c r="E47" s="676">
        <v>15</v>
      </c>
      <c r="F47" s="779" t="str" cm="1">
        <f t="array" aca="1" ref="F47" ca="1">F45</f>
        <v>1</v>
      </c>
      <c r="H47" s="106" t="str" cm="1">
        <f t="array" ref="H47">H46</f>
        <v>ООО "ТВКХ"::4205375960::424601001</v>
      </c>
      <c r="T47" s="780" t="b" cm="1">
        <f t="array" aca="1" ref="T47" ca="1">T46</f>
        <v>1</v>
      </c>
      <c r="X47" s="1722"/>
      <c r="Y47" s="1722"/>
      <c r="Z47" s="1722"/>
      <c r="AA47" s="1807"/>
      <c r="AB47" s="235" t="str">
        <f>AB46&amp;".1"</f>
        <v>1.1.1</v>
      </c>
      <c r="AC47" s="241" t="s">
        <v>1000</v>
      </c>
      <c r="AD47" s="105" t="s">
        <v>1055</v>
      </c>
      <c r="AE47" s="1249"/>
      <c r="AF47" s="279">
        <f>IF(AF48=0,0,AF46/AF48)</f>
        <v>0</v>
      </c>
      <c r="AG47" s="279">
        <f>IF(AG48=0,0,AG46/AG48)</f>
        <v>0</v>
      </c>
      <c r="AH47" s="1249">
        <v>127.086338234094</v>
      </c>
      <c r="AI47" s="279">
        <f t="shared" ref="AI47:AR47" si="13">IF(AI48=0,0,AI46/AI48)</f>
        <v>0</v>
      </c>
      <c r="AJ47" s="279">
        <f t="shared" si="13"/>
        <v>0</v>
      </c>
      <c r="AK47" s="279">
        <f t="shared" si="13"/>
        <v>0</v>
      </c>
      <c r="AL47" s="279">
        <f t="shared" si="13"/>
        <v>0</v>
      </c>
      <c r="AM47" s="279">
        <f t="shared" si="13"/>
        <v>0</v>
      </c>
      <c r="AN47" s="279">
        <f t="shared" si="13"/>
        <v>0</v>
      </c>
      <c r="AO47" s="279">
        <f t="shared" si="13"/>
        <v>0</v>
      </c>
      <c r="AP47" s="279">
        <f t="shared" si="13"/>
        <v>0</v>
      </c>
      <c r="AQ47" s="279">
        <f t="shared" si="13"/>
        <v>0</v>
      </c>
      <c r="AR47" s="279">
        <f t="shared" si="13"/>
        <v>0</v>
      </c>
      <c r="AS47" s="230">
        <v>168.33</v>
      </c>
      <c r="AT47" s="230"/>
      <c r="AU47" s="230"/>
      <c r="AV47" s="230"/>
      <c r="AW47" s="230"/>
      <c r="AX47" s="1249"/>
      <c r="AY47" s="1249"/>
      <c r="AZ47" s="1249"/>
      <c r="BA47" s="1249"/>
      <c r="BB47" s="1249"/>
      <c r="BC47" s="1290"/>
      <c r="BF47" s="970" t="s">
        <v>1056</v>
      </c>
      <c r="BG47" s="989" t="s">
        <v>1054</v>
      </c>
      <c r="BH47" s="989" t="str" cm="1">
        <f t="array" ref="BH47">BH46</f>
        <v>ООО "ТВКХ"::4205375960::424601001</v>
      </c>
      <c r="BI47" s="990"/>
      <c r="BJ47" s="990"/>
    </row>
    <row r="48" spans="1:62" s="1229" customFormat="1" ht="14.25" customHeight="1">
      <c r="A48" s="927" t="str">
        <f ca="1">"checkVolume_1."&amp;F48&amp;"."&amp;Y46</f>
        <v>checkVolume_1.1.1</v>
      </c>
      <c r="E48" s="676">
        <v>15</v>
      </c>
      <c r="F48" s="779" t="str" cm="1">
        <f t="array" aca="1" ref="F48" ca="1">F46</f>
        <v>1</v>
      </c>
      <c r="H48" s="106" t="str" cm="1">
        <f t="array" ref="H48">H46</f>
        <v>ООО "ТВКХ"::4205375960::424601001</v>
      </c>
      <c r="T48" s="780" t="b" cm="1">
        <f t="array" aca="1" ref="T48" ca="1">T46</f>
        <v>1</v>
      </c>
      <c r="X48" s="1722"/>
      <c r="Y48" s="1722"/>
      <c r="Z48" s="1722"/>
      <c r="AA48" s="1806"/>
      <c r="AB48" s="235" t="str">
        <f>AB46&amp;".2"</f>
        <v>1.1.2</v>
      </c>
      <c r="AC48" s="241" t="s">
        <v>1057</v>
      </c>
      <c r="AD48" s="105" t="s">
        <v>1058</v>
      </c>
      <c r="AE48" s="1249"/>
      <c r="AF48" s="1249"/>
      <c r="AG48" s="1249"/>
      <c r="AH48" s="1249">
        <v>92.606300000000005</v>
      </c>
      <c r="AI48" s="230"/>
      <c r="AJ48" s="230"/>
      <c r="AK48" s="230"/>
      <c r="AL48" s="230"/>
      <c r="AM48" s="230"/>
      <c r="AN48" s="1249"/>
      <c r="AO48" s="1249"/>
      <c r="AP48" s="1249"/>
      <c r="AQ48" s="1249"/>
      <c r="AR48" s="1249"/>
      <c r="AS48" s="230">
        <v>92.606334902193893</v>
      </c>
      <c r="AT48" s="230"/>
      <c r="AU48" s="230"/>
      <c r="AV48" s="230"/>
      <c r="AW48" s="230"/>
      <c r="AX48" s="1249"/>
      <c r="AY48" s="1249"/>
      <c r="AZ48" s="1249"/>
      <c r="BA48" s="1249"/>
      <c r="BB48" s="1249"/>
      <c r="BC48" s="1290"/>
      <c r="BF48" s="970" t="s">
        <v>1059</v>
      </c>
      <c r="BG48" s="989" t="s">
        <v>1054</v>
      </c>
      <c r="BH48" s="989" t="str" cm="1">
        <f t="array" ref="BH48">BH46</f>
        <v>ООО "ТВКХ"::4205375960::424601001</v>
      </c>
      <c r="BI48" s="990"/>
      <c r="BJ48" s="990"/>
    </row>
    <row r="49" spans="1:62" s="1229" customFormat="1" ht="14.25" customHeight="1">
      <c r="A49" s="1152"/>
      <c r="B49" s="783"/>
      <c r="C49" s="1152"/>
      <c r="D49" s="1152"/>
      <c r="E49" s="676">
        <v>15</v>
      </c>
      <c r="F49" s="779" t="str" cm="1">
        <f t="array" ref="F49">F42</f>
        <v>1</v>
      </c>
      <c r="G49" s="1156"/>
      <c r="H49" s="1156"/>
      <c r="I49" s="1156"/>
      <c r="J49" s="1156"/>
      <c r="K49" s="1156"/>
      <c r="L49" s="1156"/>
      <c r="M49" s="1156"/>
      <c r="N49" s="1156"/>
      <c r="O49" s="1156"/>
      <c r="P49" s="1156"/>
      <c r="Q49" s="143"/>
      <c r="R49" s="143"/>
      <c r="S49" s="1156"/>
      <c r="T49" s="698" t="b">
        <f>F49&gt;0</f>
        <v>1</v>
      </c>
      <c r="U49" s="1155"/>
      <c r="V49" s="1155"/>
      <c r="W49" s="318" t="s">
        <v>1060</v>
      </c>
      <c r="X49" s="1687"/>
      <c r="Y49" s="1155"/>
      <c r="Z49" s="1687"/>
      <c r="AA49" s="173"/>
      <c r="AB49" s="249"/>
      <c r="AC49" s="250" t="s">
        <v>1036</v>
      </c>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909"/>
      <c r="BD49" s="173"/>
      <c r="BE49" s="173"/>
      <c r="BF49" s="970" t="str">
        <f>IF(AND(ISNUMBER(VALUE(TRIM(SUBSTITUTE(AB49,".","")))),TRIM(SUBSTITUTE(AB49,".",""))&lt;&gt;""),"P"&amp;SUBSTITUTE(AB49,".",""),"")</f>
        <v/>
      </c>
      <c r="BG49" s="989"/>
      <c r="BH49" s="989"/>
      <c r="BI49" s="990" t="s">
        <v>1054</v>
      </c>
      <c r="BJ49" s="990"/>
    </row>
    <row r="50" spans="1:62" s="1229" customFormat="1" ht="14.25" customHeight="1">
      <c r="A50" s="1152"/>
      <c r="B50" s="783"/>
      <c r="C50" s="1152"/>
      <c r="D50" s="1152"/>
      <c r="E50" s="676">
        <v>15</v>
      </c>
      <c r="F50" s="779" t="str" cm="1">
        <f t="array" ref="F50">F49</f>
        <v>1</v>
      </c>
      <c r="G50" s="143" t="s">
        <v>1061</v>
      </c>
      <c r="H50" s="1156"/>
      <c r="I50" s="1156"/>
      <c r="J50" s="1156"/>
      <c r="K50" s="1156"/>
      <c r="L50" s="1156"/>
      <c r="M50" s="1156"/>
      <c r="N50" s="1156"/>
      <c r="O50" s="1156"/>
      <c r="P50" s="1156"/>
      <c r="Q50" s="143"/>
      <c r="R50" s="143"/>
      <c r="S50" s="1156"/>
      <c r="T50" s="698" t="b">
        <f>F50&gt;0</f>
        <v>1</v>
      </c>
      <c r="U50" s="1155"/>
      <c r="V50" s="1155"/>
      <c r="W50" s="1155"/>
      <c r="X50" s="1687"/>
      <c r="Y50" s="1155"/>
      <c r="Z50" s="1687"/>
      <c r="AA50" s="173"/>
      <c r="AB50" s="233">
        <v>2</v>
      </c>
      <c r="AC50" s="228" t="s">
        <v>1062</v>
      </c>
      <c r="AD50" s="227" t="s">
        <v>839</v>
      </c>
      <c r="AE50" s="229">
        <f t="shared" ref="AE50:BB50" si="14">SUMIF($AD51:$AD55,$AD50,AE51:AE55)</f>
        <v>0</v>
      </c>
      <c r="AF50" s="229">
        <f t="shared" si="14"/>
        <v>0</v>
      </c>
      <c r="AG50" s="229">
        <f t="shared" si="14"/>
        <v>0</v>
      </c>
      <c r="AH50" s="229">
        <f t="shared" si="14"/>
        <v>0</v>
      </c>
      <c r="AI50" s="229">
        <f t="shared" si="14"/>
        <v>0</v>
      </c>
      <c r="AJ50" s="242">
        <f t="shared" si="14"/>
        <v>0</v>
      </c>
      <c r="AK50" s="242">
        <f t="shared" si="14"/>
        <v>0</v>
      </c>
      <c r="AL50" s="242">
        <f t="shared" si="14"/>
        <v>0</v>
      </c>
      <c r="AM50" s="242">
        <f t="shared" si="14"/>
        <v>0</v>
      </c>
      <c r="AN50" s="1320">
        <f t="shared" si="14"/>
        <v>0</v>
      </c>
      <c r="AO50" s="1320">
        <f t="shared" si="14"/>
        <v>0</v>
      </c>
      <c r="AP50" s="1320">
        <f t="shared" si="14"/>
        <v>0</v>
      </c>
      <c r="AQ50" s="1320">
        <f t="shared" si="14"/>
        <v>0</v>
      </c>
      <c r="AR50" s="1320">
        <f t="shared" si="14"/>
        <v>0</v>
      </c>
      <c r="AS50" s="229">
        <f t="shared" si="14"/>
        <v>0</v>
      </c>
      <c r="AT50" s="242">
        <f t="shared" si="14"/>
        <v>0</v>
      </c>
      <c r="AU50" s="242">
        <f t="shared" si="14"/>
        <v>0</v>
      </c>
      <c r="AV50" s="242">
        <f t="shared" si="14"/>
        <v>0</v>
      </c>
      <c r="AW50" s="242">
        <f t="shared" si="14"/>
        <v>0</v>
      </c>
      <c r="AX50" s="1320">
        <f t="shared" si="14"/>
        <v>0</v>
      </c>
      <c r="AY50" s="1320">
        <f t="shared" si="14"/>
        <v>0</v>
      </c>
      <c r="AZ50" s="1320">
        <f t="shared" si="14"/>
        <v>0</v>
      </c>
      <c r="BA50" s="1320">
        <f t="shared" si="14"/>
        <v>0</v>
      </c>
      <c r="BB50" s="1320">
        <f t="shared" si="14"/>
        <v>0</v>
      </c>
      <c r="BC50" s="1290"/>
      <c r="BD50" s="173"/>
      <c r="BE50" s="173"/>
      <c r="BF50" s="970" t="s">
        <v>1063</v>
      </c>
      <c r="BG50" s="989"/>
      <c r="BH50" s="989"/>
      <c r="BI50" s="990"/>
      <c r="BJ50" s="990"/>
    </row>
    <row r="51" spans="1:62" s="1229" customFormat="1" ht="0" hidden="1" customHeight="1">
      <c r="A51" s="1152"/>
      <c r="B51" s="783"/>
      <c r="C51" s="1152"/>
      <c r="D51" s="1152"/>
      <c r="E51" s="676">
        <v>0.2</v>
      </c>
      <c r="F51" s="779" t="str" cm="1">
        <f t="array" aca="1" ref="F51" ca="1">OFFSET(G51,-1,-1)</f>
        <v>1</v>
      </c>
      <c r="G51" s="1156"/>
      <c r="H51" s="1156"/>
      <c r="I51" s="1156"/>
      <c r="J51" s="1156"/>
      <c r="K51" s="1156"/>
      <c r="L51" s="1156"/>
      <c r="M51" s="1156"/>
      <c r="N51" s="1156"/>
      <c r="O51" s="1156"/>
      <c r="P51" s="1156"/>
      <c r="Q51" s="143"/>
      <c r="R51" s="143"/>
      <c r="S51" s="1156"/>
      <c r="T51" s="698" t="b">
        <f ca="1">F51&gt;0</f>
        <v>1</v>
      </c>
      <c r="U51" s="1155"/>
      <c r="V51" s="1155"/>
      <c r="W51" s="1155"/>
      <c r="X51" s="1687"/>
      <c r="Y51" s="1155"/>
      <c r="Z51" s="1687"/>
      <c r="AA51" s="173"/>
      <c r="AB51" s="233"/>
      <c r="AC51" s="228"/>
      <c r="AD51" s="227"/>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40"/>
      <c r="BD51" s="173"/>
      <c r="BE51" s="173"/>
      <c r="BF51" s="970" t="str">
        <f>IF(AND(ISNUMBER(VALUE(TRIM(SUBSTITUTE(AB51,".","")))),TRIM(SUBSTITUTE(AB51,".",""))&lt;&gt;""),"P"&amp;SUBSTITUTE(AB51,".",""),"")</f>
        <v/>
      </c>
      <c r="BG51" s="989"/>
      <c r="BH51" s="989"/>
      <c r="BI51" s="990"/>
      <c r="BJ51" s="990"/>
    </row>
    <row r="52" spans="1:62" s="1229" customFormat="1" ht="14.25" hidden="1" customHeight="1">
      <c r="A52" s="927" t="str">
        <f ca="1">"checkCosts_2."&amp;F52&amp;"."&amp;Y52</f>
        <v>checkCosts_2.1.0</v>
      </c>
      <c r="B52" s="783"/>
      <c r="C52" s="1152"/>
      <c r="D52" s="1152"/>
      <c r="E52" s="676">
        <v>15</v>
      </c>
      <c r="F52" s="779" t="str" cm="1">
        <f t="array" aca="1" ref="F52" ca="1">OFFSET(G52,-1,-1)</f>
        <v>1</v>
      </c>
      <c r="G52" s="1156"/>
      <c r="H52" s="106" cm="1">
        <f t="array" ref="H52">AC52</f>
        <v>0</v>
      </c>
      <c r="I52" s="1156"/>
      <c r="J52" s="1156"/>
      <c r="K52" s="1156"/>
      <c r="L52" s="1156"/>
      <c r="M52" s="1156"/>
      <c r="N52" s="1156"/>
      <c r="O52" s="1156"/>
      <c r="P52" s="1156"/>
      <c r="Q52" s="143"/>
      <c r="R52" s="143"/>
      <c r="S52" s="1156"/>
      <c r="T52" s="780" t="b">
        <f ca="1">AND(F52&gt;0,Y52&gt;0)</f>
        <v>0</v>
      </c>
      <c r="U52" s="1155"/>
      <c r="V52" s="1155"/>
      <c r="W52" s="110" t="s">
        <v>236</v>
      </c>
      <c r="X52" s="1687"/>
      <c r="Y52" s="1687">
        <v>0</v>
      </c>
      <c r="Z52" s="1687"/>
      <c r="AA52" s="1806" t="s">
        <v>218</v>
      </c>
      <c r="AB52" s="235" t="str">
        <f>"2."&amp;Y52</f>
        <v>2.0</v>
      </c>
      <c r="AC52" s="396"/>
      <c r="AD52" s="227" t="s">
        <v>839</v>
      </c>
      <c r="AE52" s="279">
        <f>AE53*AE54</f>
        <v>0</v>
      </c>
      <c r="AF52" s="17"/>
      <c r="AG52" s="17"/>
      <c r="AH52" s="279">
        <f>AH53*AH54</f>
        <v>0</v>
      </c>
      <c r="AI52" s="230"/>
      <c r="AJ52" s="230"/>
      <c r="AK52" s="230"/>
      <c r="AL52" s="230"/>
      <c r="AM52" s="230"/>
      <c r="AN52" s="17"/>
      <c r="AO52" s="17"/>
      <c r="AP52" s="17"/>
      <c r="AQ52" s="17"/>
      <c r="AR52" s="17"/>
      <c r="AS52" s="279">
        <f t="shared" ref="AS52:BB52" si="15">AS53*AS54</f>
        <v>0</v>
      </c>
      <c r="AT52" s="279">
        <f t="shared" si="15"/>
        <v>0</v>
      </c>
      <c r="AU52" s="279">
        <f t="shared" si="15"/>
        <v>0</v>
      </c>
      <c r="AV52" s="279">
        <f t="shared" si="15"/>
        <v>0</v>
      </c>
      <c r="AW52" s="279">
        <f t="shared" si="15"/>
        <v>0</v>
      </c>
      <c r="AX52" s="279">
        <f t="shared" si="15"/>
        <v>0</v>
      </c>
      <c r="AY52" s="279">
        <f t="shared" si="15"/>
        <v>0</v>
      </c>
      <c r="AZ52" s="279">
        <f t="shared" si="15"/>
        <v>0</v>
      </c>
      <c r="BA52" s="279">
        <f t="shared" si="15"/>
        <v>0</v>
      </c>
      <c r="BB52" s="279">
        <f t="shared" si="15"/>
        <v>0</v>
      </c>
      <c r="BC52" s="28"/>
      <c r="BD52" s="173"/>
      <c r="BE52" s="173"/>
      <c r="BF52" s="970" t="s">
        <v>1064</v>
      </c>
      <c r="BG52" s="989" t="s">
        <v>1065</v>
      </c>
      <c r="BH52" s="989" cm="1">
        <f t="array" ref="BH52">AC52</f>
        <v>0</v>
      </c>
      <c r="BI52" s="990"/>
      <c r="BJ52" s="990" t="b">
        <v>1</v>
      </c>
    </row>
    <row r="53" spans="1:62" s="1229" customFormat="1" ht="14.25" hidden="1" customHeight="1">
      <c r="E53" s="676">
        <v>15</v>
      </c>
      <c r="F53" s="779" t="str" cm="1">
        <f t="array" aca="1" ref="F53" ca="1">OFFSET(G53,-1,-1)</f>
        <v>1</v>
      </c>
      <c r="H53" s="106" cm="1">
        <f t="array" ref="H53">H52</f>
        <v>0</v>
      </c>
      <c r="T53" s="780" t="b" cm="1">
        <f t="array" aca="1" ref="T53" ca="1">T52</f>
        <v>0</v>
      </c>
      <c r="X53" s="1722"/>
      <c r="Y53" s="1722"/>
      <c r="Z53" s="1722"/>
      <c r="AA53" s="1807"/>
      <c r="AB53" s="235" t="str">
        <f>AB52&amp;".1"</f>
        <v>2.0.1</v>
      </c>
      <c r="AC53" s="241" t="s">
        <v>1000</v>
      </c>
      <c r="AD53" s="105" t="s">
        <v>1055</v>
      </c>
      <c r="AE53" s="17"/>
      <c r="AF53" s="279">
        <f>IF(AF54=0,0,AF52/AF54)</f>
        <v>0</v>
      </c>
      <c r="AG53" s="279">
        <f>IF(AG54=0,0,AG52/AG54)</f>
        <v>0</v>
      </c>
      <c r="AH53" s="17"/>
      <c r="AI53" s="279">
        <f t="shared" ref="AI53:AR53" si="16">IF(AI54=0,0,AI52/AI54)</f>
        <v>0</v>
      </c>
      <c r="AJ53" s="279">
        <f t="shared" si="16"/>
        <v>0</v>
      </c>
      <c r="AK53" s="279">
        <f t="shared" si="16"/>
        <v>0</v>
      </c>
      <c r="AL53" s="279">
        <f t="shared" si="16"/>
        <v>0</v>
      </c>
      <c r="AM53" s="279">
        <f t="shared" si="16"/>
        <v>0</v>
      </c>
      <c r="AN53" s="279">
        <f t="shared" si="16"/>
        <v>0</v>
      </c>
      <c r="AO53" s="279">
        <f t="shared" si="16"/>
        <v>0</v>
      </c>
      <c r="AP53" s="279">
        <f t="shared" si="16"/>
        <v>0</v>
      </c>
      <c r="AQ53" s="279">
        <f t="shared" si="16"/>
        <v>0</v>
      </c>
      <c r="AR53" s="279">
        <f t="shared" si="16"/>
        <v>0</v>
      </c>
      <c r="AS53" s="230"/>
      <c r="AT53" s="230"/>
      <c r="AU53" s="230"/>
      <c r="AV53" s="230"/>
      <c r="AW53" s="230"/>
      <c r="AX53" s="17"/>
      <c r="AY53" s="17"/>
      <c r="AZ53" s="17"/>
      <c r="BA53" s="17"/>
      <c r="BB53" s="17"/>
      <c r="BC53" s="28"/>
      <c r="BF53" s="970" t="s">
        <v>1066</v>
      </c>
      <c r="BG53" s="989" t="s">
        <v>1065</v>
      </c>
      <c r="BH53" s="989" cm="1">
        <f t="array" ref="BH53">BH52</f>
        <v>0</v>
      </c>
      <c r="BI53" s="990"/>
      <c r="BJ53" s="990"/>
    </row>
    <row r="54" spans="1:62" s="1229" customFormat="1" ht="14.25" hidden="1" customHeight="1">
      <c r="A54" s="927" t="str">
        <f ca="1">"checkVolume_2."&amp;F54&amp;"."&amp;Y52</f>
        <v>checkVolume_2.1.0</v>
      </c>
      <c r="B54" s="783"/>
      <c r="C54" s="1152"/>
      <c r="D54" s="1152"/>
      <c r="E54" s="676">
        <v>15</v>
      </c>
      <c r="F54" s="779" t="str" cm="1">
        <f t="array" aca="1" ref="F54" ca="1">OFFSET(G54,-1,-1)</f>
        <v>1</v>
      </c>
      <c r="G54" s="1156"/>
      <c r="H54" s="106" cm="1">
        <f t="array" ref="H54">H52</f>
        <v>0</v>
      </c>
      <c r="I54" s="1156"/>
      <c r="J54" s="1156"/>
      <c r="K54" s="1156"/>
      <c r="L54" s="1156"/>
      <c r="M54" s="1156"/>
      <c r="N54" s="1156"/>
      <c r="O54" s="1156"/>
      <c r="P54" s="1156"/>
      <c r="Q54" s="143"/>
      <c r="R54" s="143"/>
      <c r="S54" s="1156"/>
      <c r="T54" s="780" t="b" cm="1">
        <f t="array" aca="1" ref="T54" ca="1">T52</f>
        <v>0</v>
      </c>
      <c r="U54" s="1155"/>
      <c r="V54" s="1155"/>
      <c r="W54" s="1155"/>
      <c r="X54" s="1687"/>
      <c r="Y54" s="1687"/>
      <c r="Z54" s="1687"/>
      <c r="AA54" s="1806"/>
      <c r="AB54" s="235" t="str">
        <f>AB52&amp;".2"</f>
        <v>2.0.2</v>
      </c>
      <c r="AC54" s="241" t="s">
        <v>1067</v>
      </c>
      <c r="AD54" s="105" t="s">
        <v>1058</v>
      </c>
      <c r="AE54" s="17"/>
      <c r="AF54" s="17"/>
      <c r="AG54" s="17"/>
      <c r="AH54" s="17"/>
      <c r="AI54" s="230"/>
      <c r="AJ54" s="230"/>
      <c r="AK54" s="230"/>
      <c r="AL54" s="230"/>
      <c r="AM54" s="230"/>
      <c r="AN54" s="17"/>
      <c r="AO54" s="17"/>
      <c r="AP54" s="17"/>
      <c r="AQ54" s="17"/>
      <c r="AR54" s="17"/>
      <c r="AS54" s="230"/>
      <c r="AT54" s="230"/>
      <c r="AU54" s="230"/>
      <c r="AV54" s="230"/>
      <c r="AW54" s="230"/>
      <c r="AX54" s="17"/>
      <c r="AY54" s="17"/>
      <c r="AZ54" s="17"/>
      <c r="BA54" s="17"/>
      <c r="BB54" s="17"/>
      <c r="BC54" s="28"/>
      <c r="BD54" s="173"/>
      <c r="BE54" s="173"/>
      <c r="BF54" s="970" t="s">
        <v>1068</v>
      </c>
      <c r="BG54" s="989" t="s">
        <v>1065</v>
      </c>
      <c r="BH54" s="989" cm="1">
        <f t="array" ref="BH54">BH52</f>
        <v>0</v>
      </c>
      <c r="BI54" s="990"/>
      <c r="BJ54" s="990"/>
    </row>
    <row r="55" spans="1:62" s="1229" customFormat="1" ht="14.25" customHeight="1">
      <c r="A55" s="1152"/>
      <c r="B55" s="783"/>
      <c r="C55" s="1152"/>
      <c r="D55" s="1152"/>
      <c r="E55" s="676">
        <v>15</v>
      </c>
      <c r="F55" s="779" t="str" cm="1">
        <f t="array" aca="1" ref="F55" ca="1">OFFSET(G55,-1,-1)</f>
        <v>1</v>
      </c>
      <c r="G55" s="1156"/>
      <c r="H55" s="1156"/>
      <c r="I55" s="1156"/>
      <c r="J55" s="1156"/>
      <c r="K55" s="1156"/>
      <c r="L55" s="1156"/>
      <c r="M55" s="1156"/>
      <c r="N55" s="1156"/>
      <c r="O55" s="1156"/>
      <c r="P55" s="1156"/>
      <c r="Q55" s="143"/>
      <c r="R55" s="143"/>
      <c r="S55" s="1156"/>
      <c r="T55" s="698" t="b">
        <f ca="1">F55&gt;0</f>
        <v>1</v>
      </c>
      <c r="U55" s="1155"/>
      <c r="V55" s="1155"/>
      <c r="W55" s="318" t="s">
        <v>1069</v>
      </c>
      <c r="X55" s="1687"/>
      <c r="Y55" s="1155"/>
      <c r="Z55" s="1687"/>
      <c r="AA55" s="173"/>
      <c r="AB55" s="249"/>
      <c r="AC55" s="250" t="s">
        <v>1036</v>
      </c>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1"/>
      <c r="BD55" s="173"/>
      <c r="BE55" s="173"/>
      <c r="BF55" s="989"/>
      <c r="BG55" s="989"/>
      <c r="BH55" s="989"/>
      <c r="BI55" s="990" t="s">
        <v>1065</v>
      </c>
      <c r="BJ55" s="990"/>
    </row>
    <row r="56" spans="1:62" s="1229" customFormat="1" ht="14.25" customHeight="1">
      <c r="A56" s="1152"/>
      <c r="B56" s="783"/>
      <c r="C56" s="1152"/>
      <c r="D56" s="1152"/>
      <c r="E56" s="676">
        <v>15</v>
      </c>
      <c r="F56" s="779" t="str" cm="1">
        <f t="array" ref="F56">X56</f>
        <v>2</v>
      </c>
      <c r="G56" s="1156"/>
      <c r="H56" s="1156"/>
      <c r="I56" s="1156"/>
      <c r="J56" s="1156"/>
      <c r="K56" s="1156"/>
      <c r="L56" s="1156"/>
      <c r="M56" s="1156"/>
      <c r="N56" s="1156"/>
      <c r="O56" s="1156"/>
      <c r="P56" s="1156"/>
      <c r="Q56" s="143"/>
      <c r="R56" s="143"/>
      <c r="S56" s="1156"/>
      <c r="T56" s="687" t="b">
        <f>X56&gt;0</f>
        <v>1</v>
      </c>
      <c r="U56" s="1155"/>
      <c r="V56" s="126" t="str" cm="1">
        <f t="array" ref="V56">ЭнергоРесурсы!$AB$112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6" s="1155"/>
      <c r="X56" s="1687" t="s">
        <v>348</v>
      </c>
      <c r="Y56" s="1155"/>
      <c r="Z56" s="1687"/>
      <c r="AA56" s="173"/>
      <c r="AB56" s="237" t="str" cm="1">
        <f t="array" ref="AB56">IF(ISBLANK(ЭнергоРесурсы!$AB$112),"",ЭнергоРесурсы!$AB$112)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6" s="210"/>
      <c r="AD56" s="210"/>
      <c r="AE56" s="321">
        <f t="shared" ref="AE56:BB56" si="17">AE57+AE66</f>
        <v>0</v>
      </c>
      <c r="AF56" s="321">
        <f t="shared" si="17"/>
        <v>0</v>
      </c>
      <c r="AG56" s="321">
        <f t="shared" si="17"/>
        <v>0</v>
      </c>
      <c r="AH56" s="321">
        <f t="shared" si="17"/>
        <v>10646.549941719999</v>
      </c>
      <c r="AI56" s="321">
        <f t="shared" si="17"/>
        <v>0</v>
      </c>
      <c r="AJ56" s="321">
        <f t="shared" si="17"/>
        <v>0</v>
      </c>
      <c r="AK56" s="321">
        <f t="shared" si="17"/>
        <v>0</v>
      </c>
      <c r="AL56" s="321">
        <f t="shared" si="17"/>
        <v>0</v>
      </c>
      <c r="AM56" s="321">
        <f t="shared" si="17"/>
        <v>0</v>
      </c>
      <c r="AN56" s="321">
        <f t="shared" si="17"/>
        <v>0</v>
      </c>
      <c r="AO56" s="321">
        <f t="shared" si="17"/>
        <v>0</v>
      </c>
      <c r="AP56" s="321">
        <f t="shared" si="17"/>
        <v>0</v>
      </c>
      <c r="AQ56" s="321">
        <f t="shared" si="17"/>
        <v>0</v>
      </c>
      <c r="AR56" s="321">
        <f t="shared" si="17"/>
        <v>0</v>
      </c>
      <c r="AS56" s="321">
        <f t="shared" si="17"/>
        <v>14405.681400000001</v>
      </c>
      <c r="AT56" s="321">
        <f t="shared" si="17"/>
        <v>0</v>
      </c>
      <c r="AU56" s="321">
        <f t="shared" si="17"/>
        <v>0</v>
      </c>
      <c r="AV56" s="321">
        <f t="shared" si="17"/>
        <v>0</v>
      </c>
      <c r="AW56" s="321">
        <f t="shared" si="17"/>
        <v>0</v>
      </c>
      <c r="AX56" s="321">
        <f t="shared" si="17"/>
        <v>0</v>
      </c>
      <c r="AY56" s="321">
        <f t="shared" si="17"/>
        <v>0</v>
      </c>
      <c r="AZ56" s="321">
        <f t="shared" si="17"/>
        <v>0</v>
      </c>
      <c r="BA56" s="321">
        <f t="shared" si="17"/>
        <v>0</v>
      </c>
      <c r="BB56" s="321">
        <f t="shared" si="17"/>
        <v>0</v>
      </c>
      <c r="BC56" s="239"/>
      <c r="BD56" s="173"/>
      <c r="BE56" s="173"/>
      <c r="BF56" s="989"/>
      <c r="BG56" s="989"/>
      <c r="BH56" s="989"/>
      <c r="BI56" s="990"/>
      <c r="BJ56" s="990"/>
    </row>
    <row r="57" spans="1:62" s="1229" customFormat="1" ht="14.25" customHeight="1">
      <c r="A57" s="1152"/>
      <c r="B57" s="783"/>
      <c r="C57" s="1152"/>
      <c r="D57" s="1152"/>
      <c r="E57" s="676">
        <v>15</v>
      </c>
      <c r="F57" s="779" t="str" cm="1">
        <f t="array" ref="F57">F56</f>
        <v>2</v>
      </c>
      <c r="G57" s="143" t="s">
        <v>1050</v>
      </c>
      <c r="H57" s="1156"/>
      <c r="I57" s="1156"/>
      <c r="J57" s="1156"/>
      <c r="K57" s="1156"/>
      <c r="L57" s="1156"/>
      <c r="M57" s="1156"/>
      <c r="N57" s="1156"/>
      <c r="O57" s="1156"/>
      <c r="P57" s="1156"/>
      <c r="Q57" s="143"/>
      <c r="R57" s="143"/>
      <c r="S57" s="1156"/>
      <c r="T57" s="698" t="b" cm="1">
        <f t="array" ref="T57">T56</f>
        <v>1</v>
      </c>
      <c r="U57" s="1155"/>
      <c r="V57" s="1155"/>
      <c r="W57" s="1155"/>
      <c r="X57" s="1687"/>
      <c r="Y57" s="1155"/>
      <c r="Z57" s="1687"/>
      <c r="AA57" s="173"/>
      <c r="AB57" s="233">
        <v>1</v>
      </c>
      <c r="AC57" s="228" t="s">
        <v>1051</v>
      </c>
      <c r="AD57" s="227" t="s">
        <v>839</v>
      </c>
      <c r="AE57" s="229">
        <f t="shared" ref="AE57:BB57" si="18">SUMIF($AD58:$AD65,$AD57,AE58:AE65)</f>
        <v>0</v>
      </c>
      <c r="AF57" s="229">
        <f t="shared" si="18"/>
        <v>0</v>
      </c>
      <c r="AG57" s="229">
        <f t="shared" si="18"/>
        <v>0</v>
      </c>
      <c r="AH57" s="229">
        <f t="shared" si="18"/>
        <v>10646.549941719999</v>
      </c>
      <c r="AI57" s="229">
        <f t="shared" si="18"/>
        <v>0</v>
      </c>
      <c r="AJ57" s="242">
        <f t="shared" si="18"/>
        <v>0</v>
      </c>
      <c r="AK57" s="242">
        <f t="shared" si="18"/>
        <v>0</v>
      </c>
      <c r="AL57" s="242">
        <f t="shared" si="18"/>
        <v>0</v>
      </c>
      <c r="AM57" s="242">
        <f t="shared" si="18"/>
        <v>0</v>
      </c>
      <c r="AN57" s="1320">
        <f t="shared" si="18"/>
        <v>0</v>
      </c>
      <c r="AO57" s="1320">
        <f t="shared" si="18"/>
        <v>0</v>
      </c>
      <c r="AP57" s="1320">
        <f t="shared" si="18"/>
        <v>0</v>
      </c>
      <c r="AQ57" s="1320">
        <f t="shared" si="18"/>
        <v>0</v>
      </c>
      <c r="AR57" s="1320">
        <f t="shared" si="18"/>
        <v>0</v>
      </c>
      <c r="AS57" s="229">
        <f t="shared" si="18"/>
        <v>14405.681400000001</v>
      </c>
      <c r="AT57" s="242">
        <f t="shared" si="18"/>
        <v>0</v>
      </c>
      <c r="AU57" s="242">
        <f t="shared" si="18"/>
        <v>0</v>
      </c>
      <c r="AV57" s="242">
        <f t="shared" si="18"/>
        <v>0</v>
      </c>
      <c r="AW57" s="242">
        <f t="shared" si="18"/>
        <v>0</v>
      </c>
      <c r="AX57" s="1320">
        <f t="shared" si="18"/>
        <v>0</v>
      </c>
      <c r="AY57" s="1320">
        <f t="shared" si="18"/>
        <v>0</v>
      </c>
      <c r="AZ57" s="1320">
        <f t="shared" si="18"/>
        <v>0</v>
      </c>
      <c r="BA57" s="1320">
        <f t="shared" si="18"/>
        <v>0</v>
      </c>
      <c r="BB57" s="1320">
        <f t="shared" si="18"/>
        <v>0</v>
      </c>
      <c r="BC57" s="1290"/>
      <c r="BD57" s="173"/>
      <c r="BE57" s="173"/>
      <c r="BF57" s="970" t="s">
        <v>1052</v>
      </c>
      <c r="BG57" s="989"/>
      <c r="BH57" s="989"/>
      <c r="BI57" s="990"/>
      <c r="BJ57" s="990"/>
    </row>
    <row r="58" spans="1:62" s="1229" customFormat="1" ht="0" hidden="1" customHeight="1">
      <c r="A58" s="1152"/>
      <c r="B58" s="783"/>
      <c r="C58" s="1152"/>
      <c r="D58" s="1152"/>
      <c r="E58" s="676">
        <v>0.2</v>
      </c>
      <c r="F58" s="779" t="str" cm="1">
        <f t="array" ref="F58">F57</f>
        <v>2</v>
      </c>
      <c r="G58" s="1156"/>
      <c r="H58" s="1156"/>
      <c r="I58" s="1156"/>
      <c r="J58" s="1156"/>
      <c r="K58" s="1156"/>
      <c r="L58" s="1156"/>
      <c r="M58" s="1156"/>
      <c r="N58" s="1156"/>
      <c r="O58" s="1156"/>
      <c r="P58" s="1156"/>
      <c r="Q58" s="143"/>
      <c r="R58" s="143"/>
      <c r="S58" s="1156"/>
      <c r="T58" s="698" t="b" cm="1">
        <f t="array" ref="T58">T57</f>
        <v>1</v>
      </c>
      <c r="U58" s="1155"/>
      <c r="V58" s="1155"/>
      <c r="W58" s="1155"/>
      <c r="X58" s="1687"/>
      <c r="Y58" s="1155"/>
      <c r="Z58" s="1687"/>
      <c r="AA58" s="173"/>
      <c r="AB58" s="233"/>
      <c r="AC58" s="228"/>
      <c r="AD58" s="227"/>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40"/>
      <c r="BD58" s="173"/>
      <c r="BE58" s="173"/>
      <c r="BF58" s="970" t="str">
        <f>IF(AND(ISNUMBER(VALUE(TRIM(SUBSTITUTE(AB58,".","")))),TRIM(SUBSTITUTE(AB58,".",""))&lt;&gt;""),"P"&amp;SUBSTITUTE(AB58,".",""),"")</f>
        <v/>
      </c>
      <c r="BG58" s="989"/>
      <c r="BH58" s="989"/>
      <c r="BI58" s="990"/>
      <c r="BJ58" s="990"/>
    </row>
    <row r="59" spans="1:62" s="1229" customFormat="1" ht="14.25" hidden="1" customHeight="1">
      <c r="A59" s="927" t="str">
        <f ca="1">"checkCosts_1."&amp;F59&amp;"."&amp;Y59</f>
        <v>checkCosts_1.2.0</v>
      </c>
      <c r="E59" s="676">
        <v>15</v>
      </c>
      <c r="F59" s="779" t="str" cm="1">
        <f t="array" aca="1" ref="F59" ca="1">OFFSET(G59,-1,-1)</f>
        <v>2</v>
      </c>
      <c r="H59" s="106" cm="1">
        <f t="array" ref="H59">AC59</f>
        <v>0</v>
      </c>
      <c r="T59" s="780" t="b">
        <f ca="1">AND(F59&gt;0,Y59&gt;0)</f>
        <v>0</v>
      </c>
      <c r="W59" s="110" t="s">
        <v>236</v>
      </c>
      <c r="X59" s="1722"/>
      <c r="Y59" s="1687">
        <v>0</v>
      </c>
      <c r="Z59" s="1722"/>
      <c r="AA59" s="1806" t="s">
        <v>218</v>
      </c>
      <c r="AB59" s="235" t="str">
        <f>"1."&amp;Y59</f>
        <v>1.0</v>
      </c>
      <c r="AC59" s="396"/>
      <c r="AD59" s="227" t="s">
        <v>839</v>
      </c>
      <c r="AE59" s="279">
        <f>AE60*AE61</f>
        <v>0</v>
      </c>
      <c r="AF59" s="17"/>
      <c r="AG59" s="17"/>
      <c r="AH59" s="279">
        <f>AH60*AH61</f>
        <v>0</v>
      </c>
      <c r="AI59" s="230"/>
      <c r="AJ59" s="230"/>
      <c r="AK59" s="230"/>
      <c r="AL59" s="230"/>
      <c r="AM59" s="230"/>
      <c r="AN59" s="17"/>
      <c r="AO59" s="17"/>
      <c r="AP59" s="17"/>
      <c r="AQ59" s="17"/>
      <c r="AR59" s="17"/>
      <c r="AS59" s="279">
        <f t="shared" ref="AS59:BB59" si="19">AS60*AS61</f>
        <v>0</v>
      </c>
      <c r="AT59" s="279">
        <f t="shared" si="19"/>
        <v>0</v>
      </c>
      <c r="AU59" s="279">
        <f t="shared" si="19"/>
        <v>0</v>
      </c>
      <c r="AV59" s="279">
        <f t="shared" si="19"/>
        <v>0</v>
      </c>
      <c r="AW59" s="279">
        <f t="shared" si="19"/>
        <v>0</v>
      </c>
      <c r="AX59" s="279">
        <f t="shared" si="19"/>
        <v>0</v>
      </c>
      <c r="AY59" s="279">
        <f t="shared" si="19"/>
        <v>0</v>
      </c>
      <c r="AZ59" s="279">
        <f t="shared" si="19"/>
        <v>0</v>
      </c>
      <c r="BA59" s="279">
        <f t="shared" si="19"/>
        <v>0</v>
      </c>
      <c r="BB59" s="279">
        <f t="shared" si="19"/>
        <v>0</v>
      </c>
      <c r="BC59" s="28"/>
      <c r="BF59" s="970" t="s">
        <v>1053</v>
      </c>
      <c r="BG59" s="989" t="s">
        <v>1054</v>
      </c>
      <c r="BH59" s="989" cm="1">
        <f t="array" ref="BH59">AC59</f>
        <v>0</v>
      </c>
      <c r="BI59" s="990"/>
      <c r="BJ59" s="990" t="b">
        <v>1</v>
      </c>
    </row>
    <row r="60" spans="1:62" s="1229" customFormat="1" ht="14.25" hidden="1" customHeight="1">
      <c r="E60" s="676">
        <v>15</v>
      </c>
      <c r="F60" s="779" t="str" cm="1">
        <f t="array" ref="F60">F58</f>
        <v>2</v>
      </c>
      <c r="H60" s="106" cm="1">
        <f t="array" ref="H60">H59</f>
        <v>0</v>
      </c>
      <c r="T60" s="780" t="b" cm="1">
        <f t="array" aca="1" ref="T60" ca="1">T59</f>
        <v>0</v>
      </c>
      <c r="X60" s="1722"/>
      <c r="Y60" s="1722"/>
      <c r="Z60" s="1722"/>
      <c r="AA60" s="1807"/>
      <c r="AB60" s="235" t="str">
        <f>AB59&amp;".1"</f>
        <v>1.0.1</v>
      </c>
      <c r="AC60" s="241" t="s">
        <v>1000</v>
      </c>
      <c r="AD60" s="105" t="s">
        <v>1055</v>
      </c>
      <c r="AE60" s="17"/>
      <c r="AF60" s="279">
        <f>IF(AF61=0,0,AF59/AF61)</f>
        <v>0</v>
      </c>
      <c r="AG60" s="279">
        <f>IF(AG61=0,0,AG59/AG61)</f>
        <v>0</v>
      </c>
      <c r="AH60" s="17"/>
      <c r="AI60" s="279">
        <f t="shared" ref="AI60:AR60" si="20">IF(AI61=0,0,AI59/AI61)</f>
        <v>0</v>
      </c>
      <c r="AJ60" s="279">
        <f t="shared" si="20"/>
        <v>0</v>
      </c>
      <c r="AK60" s="279">
        <f t="shared" si="20"/>
        <v>0</v>
      </c>
      <c r="AL60" s="279">
        <f t="shared" si="20"/>
        <v>0</v>
      </c>
      <c r="AM60" s="279">
        <f t="shared" si="20"/>
        <v>0</v>
      </c>
      <c r="AN60" s="279">
        <f t="shared" si="20"/>
        <v>0</v>
      </c>
      <c r="AO60" s="279">
        <f t="shared" si="20"/>
        <v>0</v>
      </c>
      <c r="AP60" s="279">
        <f t="shared" si="20"/>
        <v>0</v>
      </c>
      <c r="AQ60" s="279">
        <f t="shared" si="20"/>
        <v>0</v>
      </c>
      <c r="AR60" s="279">
        <f t="shared" si="20"/>
        <v>0</v>
      </c>
      <c r="AS60" s="230"/>
      <c r="AT60" s="230"/>
      <c r="AU60" s="230"/>
      <c r="AV60" s="230"/>
      <c r="AW60" s="230"/>
      <c r="AX60" s="17"/>
      <c r="AY60" s="17"/>
      <c r="AZ60" s="17"/>
      <c r="BA60" s="17"/>
      <c r="BB60" s="17"/>
      <c r="BC60" s="28"/>
      <c r="BF60" s="970" t="s">
        <v>1056</v>
      </c>
      <c r="BG60" s="989" t="s">
        <v>1054</v>
      </c>
      <c r="BH60" s="989" cm="1">
        <f t="array" ref="BH60">BH59</f>
        <v>0</v>
      </c>
      <c r="BI60" s="990"/>
      <c r="BJ60" s="990"/>
    </row>
    <row r="61" spans="1:62" s="1229" customFormat="1" ht="14.25" hidden="1" customHeight="1">
      <c r="A61" s="927" t="str">
        <f ca="1">"checkVolume_1."&amp;F61&amp;"."&amp;Y59</f>
        <v>checkVolume_1.2.0</v>
      </c>
      <c r="E61" s="676">
        <v>15</v>
      </c>
      <c r="F61" s="779" t="str" cm="1">
        <f t="array" aca="1" ref="F61" ca="1">F59</f>
        <v>2</v>
      </c>
      <c r="H61" s="106" cm="1">
        <f t="array" ref="H61">H59</f>
        <v>0</v>
      </c>
      <c r="T61" s="780" t="b" cm="1">
        <f t="array" aca="1" ref="T61" ca="1">T59</f>
        <v>0</v>
      </c>
      <c r="X61" s="1722"/>
      <c r="Y61" s="1722"/>
      <c r="Z61" s="1722"/>
      <c r="AA61" s="1806"/>
      <c r="AB61" s="235" t="str">
        <f>AB59&amp;".2"</f>
        <v>1.0.2</v>
      </c>
      <c r="AC61" s="241" t="s">
        <v>1057</v>
      </c>
      <c r="AD61" s="105" t="s">
        <v>1058</v>
      </c>
      <c r="AE61" s="17"/>
      <c r="AF61" s="17"/>
      <c r="AG61" s="17"/>
      <c r="AH61" s="17"/>
      <c r="AI61" s="230"/>
      <c r="AJ61" s="230"/>
      <c r="AK61" s="230"/>
      <c r="AL61" s="230"/>
      <c r="AM61" s="230"/>
      <c r="AN61" s="17"/>
      <c r="AO61" s="17"/>
      <c r="AP61" s="17"/>
      <c r="AQ61" s="17"/>
      <c r="AR61" s="17"/>
      <c r="AS61" s="230"/>
      <c r="AT61" s="230"/>
      <c r="AU61" s="230"/>
      <c r="AV61" s="230"/>
      <c r="AW61" s="230"/>
      <c r="AX61" s="17"/>
      <c r="AY61" s="17"/>
      <c r="AZ61" s="17"/>
      <c r="BA61" s="17"/>
      <c r="BB61" s="17"/>
      <c r="BC61" s="28"/>
      <c r="BF61" s="970" t="s">
        <v>1059</v>
      </c>
      <c r="BG61" s="989" t="s">
        <v>1054</v>
      </c>
      <c r="BH61" s="989" cm="1">
        <f t="array" ref="BH61">BH59</f>
        <v>0</v>
      </c>
      <c r="BI61" s="990"/>
      <c r="BJ61" s="990"/>
    </row>
    <row r="62" spans="1:62" s="1229" customFormat="1" ht="14.25" customHeight="1">
      <c r="A62" s="927" t="str">
        <f ca="1">"checkCosts_1."&amp;F62&amp;"."&amp;Y62</f>
        <v>checkCosts_1.2.1</v>
      </c>
      <c r="E62" s="676">
        <v>15</v>
      </c>
      <c r="F62" s="779" t="str" cm="1">
        <f t="array" aca="1" ref="F62" ca="1">OFFSET(G62,-1,-1)</f>
        <v>2</v>
      </c>
      <c r="H62" s="106" t="str" cm="1">
        <f t="array" ref="H62">AC62</f>
        <v>ООО "ТВКХ"::4205375960::424601001</v>
      </c>
      <c r="T62" s="780" t="b">
        <f ca="1">AND(F62&gt;0,Y62&gt;0)</f>
        <v>1</v>
      </c>
      <c r="W62" s="110"/>
      <c r="X62" s="1722"/>
      <c r="Y62" s="1687" t="s">
        <v>341</v>
      </c>
      <c r="Z62" s="1722"/>
      <c r="AA62" s="1806" t="s">
        <v>218</v>
      </c>
      <c r="AB62" s="235" t="str">
        <f>"1."&amp;Y62</f>
        <v>1.1</v>
      </c>
      <c r="AC62" s="396" t="s">
        <v>1070</v>
      </c>
      <c r="AD62" s="227" t="s">
        <v>839</v>
      </c>
      <c r="AE62" s="279">
        <f>AE63*AE64</f>
        <v>0</v>
      </c>
      <c r="AF62" s="1249"/>
      <c r="AG62" s="1249"/>
      <c r="AH62" s="279">
        <f>AH63*AH64</f>
        <v>10646.549941719999</v>
      </c>
      <c r="AI62" s="230"/>
      <c r="AJ62" s="230"/>
      <c r="AK62" s="230"/>
      <c r="AL62" s="230"/>
      <c r="AM62" s="230"/>
      <c r="AN62" s="1249"/>
      <c r="AO62" s="1249"/>
      <c r="AP62" s="1249"/>
      <c r="AQ62" s="1249"/>
      <c r="AR62" s="1249"/>
      <c r="AS62" s="279">
        <f t="shared" ref="AS62:BB62" si="21">AS63*AS64</f>
        <v>14405.681400000001</v>
      </c>
      <c r="AT62" s="279">
        <f t="shared" si="21"/>
        <v>0</v>
      </c>
      <c r="AU62" s="279">
        <f t="shared" si="21"/>
        <v>0</v>
      </c>
      <c r="AV62" s="279">
        <f t="shared" si="21"/>
        <v>0</v>
      </c>
      <c r="AW62" s="279">
        <f t="shared" si="21"/>
        <v>0</v>
      </c>
      <c r="AX62" s="279">
        <f t="shared" si="21"/>
        <v>0</v>
      </c>
      <c r="AY62" s="279">
        <f t="shared" si="21"/>
        <v>0</v>
      </c>
      <c r="AZ62" s="279">
        <f t="shared" si="21"/>
        <v>0</v>
      </c>
      <c r="BA62" s="279">
        <f t="shared" si="21"/>
        <v>0</v>
      </c>
      <c r="BB62" s="279">
        <f t="shared" si="21"/>
        <v>0</v>
      </c>
      <c r="BC62" s="1290"/>
      <c r="BF62" s="970" t="s">
        <v>1053</v>
      </c>
      <c r="BG62" s="989" t="s">
        <v>1054</v>
      </c>
      <c r="BH62" s="989" t="str" cm="1">
        <f t="array" ref="BH62">AC62</f>
        <v>ООО "ТВКХ"::4205375960::424601001</v>
      </c>
      <c r="BI62" s="990"/>
      <c r="BJ62" s="990" t="b">
        <v>1</v>
      </c>
    </row>
    <row r="63" spans="1:62" s="1229" customFormat="1" ht="14.25" customHeight="1">
      <c r="E63" s="676">
        <v>15</v>
      </c>
      <c r="F63" s="779" t="str" cm="1">
        <f t="array" aca="1" ref="F63" ca="1">F61</f>
        <v>2</v>
      </c>
      <c r="H63" s="106" t="str" cm="1">
        <f t="array" ref="H63">H62</f>
        <v>ООО "ТВКХ"::4205375960::424601001</v>
      </c>
      <c r="T63" s="780" t="b" cm="1">
        <f t="array" aca="1" ref="T63" ca="1">T62</f>
        <v>1</v>
      </c>
      <c r="X63" s="1722"/>
      <c r="Y63" s="1722"/>
      <c r="Z63" s="1722"/>
      <c r="AA63" s="1807"/>
      <c r="AB63" s="235" t="str">
        <f>AB62&amp;".1"</f>
        <v>1.1.1</v>
      </c>
      <c r="AC63" s="241" t="s">
        <v>1000</v>
      </c>
      <c r="AD63" s="105" t="s">
        <v>1055</v>
      </c>
      <c r="AE63" s="1249"/>
      <c r="AF63" s="279">
        <f>IF(AF64=0,0,AF62/AF64)</f>
        <v>0</v>
      </c>
      <c r="AG63" s="279">
        <f>IF(AG64=0,0,AG62/AG64)</f>
        <v>0</v>
      </c>
      <c r="AH63" s="1249">
        <v>127.08499999999999</v>
      </c>
      <c r="AI63" s="279">
        <f t="shared" ref="AI63:AR63" si="22">IF(AI64=0,0,AI62/AI64)</f>
        <v>0</v>
      </c>
      <c r="AJ63" s="279">
        <f t="shared" si="22"/>
        <v>0</v>
      </c>
      <c r="AK63" s="279">
        <f t="shared" si="22"/>
        <v>0</v>
      </c>
      <c r="AL63" s="279">
        <f t="shared" si="22"/>
        <v>0</v>
      </c>
      <c r="AM63" s="279">
        <f t="shared" si="22"/>
        <v>0</v>
      </c>
      <c r="AN63" s="279">
        <f t="shared" si="22"/>
        <v>0</v>
      </c>
      <c r="AO63" s="279">
        <f t="shared" si="22"/>
        <v>0</v>
      </c>
      <c r="AP63" s="279">
        <f t="shared" si="22"/>
        <v>0</v>
      </c>
      <c r="AQ63" s="279">
        <f t="shared" si="22"/>
        <v>0</v>
      </c>
      <c r="AR63" s="279">
        <f t="shared" si="22"/>
        <v>0</v>
      </c>
      <c r="AS63" s="230">
        <v>168.33</v>
      </c>
      <c r="AT63" s="230"/>
      <c r="AU63" s="230"/>
      <c r="AV63" s="230"/>
      <c r="AW63" s="230"/>
      <c r="AX63" s="1249"/>
      <c r="AY63" s="1249"/>
      <c r="AZ63" s="1249"/>
      <c r="BA63" s="1249"/>
      <c r="BB63" s="1249"/>
      <c r="BC63" s="1290"/>
      <c r="BF63" s="970" t="s">
        <v>1056</v>
      </c>
      <c r="BG63" s="989" t="s">
        <v>1054</v>
      </c>
      <c r="BH63" s="989" t="str" cm="1">
        <f t="array" ref="BH63">BH62</f>
        <v>ООО "ТВКХ"::4205375960::424601001</v>
      </c>
      <c r="BI63" s="990"/>
      <c r="BJ63" s="990"/>
    </row>
    <row r="64" spans="1:62" s="1229" customFormat="1" ht="14.25" customHeight="1">
      <c r="A64" s="927" t="str">
        <f ca="1">"checkVolume_1."&amp;F64&amp;"."&amp;Y62</f>
        <v>checkVolume_1.2.1</v>
      </c>
      <c r="E64" s="676">
        <v>15</v>
      </c>
      <c r="F64" s="779" t="str" cm="1">
        <f t="array" aca="1" ref="F64" ca="1">F62</f>
        <v>2</v>
      </c>
      <c r="H64" s="106" t="str" cm="1">
        <f t="array" ref="H64">H62</f>
        <v>ООО "ТВКХ"::4205375960::424601001</v>
      </c>
      <c r="T64" s="780" t="b" cm="1">
        <f t="array" aca="1" ref="T64" ca="1">T62</f>
        <v>1</v>
      </c>
      <c r="X64" s="1722"/>
      <c r="Y64" s="1722"/>
      <c r="Z64" s="1722"/>
      <c r="AA64" s="1806"/>
      <c r="AB64" s="235" t="str">
        <f>AB62&amp;".2"</f>
        <v>1.1.2</v>
      </c>
      <c r="AC64" s="241" t="s">
        <v>1057</v>
      </c>
      <c r="AD64" s="105" t="s">
        <v>1058</v>
      </c>
      <c r="AE64" s="1249"/>
      <c r="AF64" s="1249"/>
      <c r="AG64" s="1249"/>
      <c r="AH64" s="1249">
        <v>83.775031999999996</v>
      </c>
      <c r="AI64" s="230"/>
      <c r="AJ64" s="230"/>
      <c r="AK64" s="230"/>
      <c r="AL64" s="230"/>
      <c r="AM64" s="230"/>
      <c r="AN64" s="1249"/>
      <c r="AO64" s="1249"/>
      <c r="AP64" s="1249"/>
      <c r="AQ64" s="1249"/>
      <c r="AR64" s="1249"/>
      <c r="AS64" s="230">
        <v>85.58</v>
      </c>
      <c r="AT64" s="230"/>
      <c r="AU64" s="230"/>
      <c r="AV64" s="230"/>
      <c r="AW64" s="230"/>
      <c r="AX64" s="1249"/>
      <c r="AY64" s="1249"/>
      <c r="AZ64" s="1249"/>
      <c r="BA64" s="1249"/>
      <c r="BB64" s="1249"/>
      <c r="BC64" s="1290"/>
      <c r="BF64" s="970" t="s">
        <v>1059</v>
      </c>
      <c r="BG64" s="989" t="s">
        <v>1054</v>
      </c>
      <c r="BH64" s="989" t="str" cm="1">
        <f t="array" ref="BH64">BH62</f>
        <v>ООО "ТВКХ"::4205375960::424601001</v>
      </c>
      <c r="BI64" s="990"/>
      <c r="BJ64" s="990"/>
    </row>
    <row r="65" spans="1:62" s="1229" customFormat="1" ht="14.25" customHeight="1">
      <c r="A65" s="1152"/>
      <c r="B65" s="783"/>
      <c r="C65" s="1152"/>
      <c r="D65" s="1152"/>
      <c r="E65" s="676">
        <v>15</v>
      </c>
      <c r="F65" s="779" t="str" cm="1">
        <f t="array" ref="F65">F58</f>
        <v>2</v>
      </c>
      <c r="G65" s="1156"/>
      <c r="H65" s="1156"/>
      <c r="I65" s="1156"/>
      <c r="J65" s="1156"/>
      <c r="K65" s="1156"/>
      <c r="L65" s="1156"/>
      <c r="M65" s="1156"/>
      <c r="N65" s="1156"/>
      <c r="O65" s="1156"/>
      <c r="P65" s="1156"/>
      <c r="Q65" s="143"/>
      <c r="R65" s="143"/>
      <c r="S65" s="1156"/>
      <c r="T65" s="698" t="b">
        <f>F65&gt;0</f>
        <v>1</v>
      </c>
      <c r="U65" s="1155"/>
      <c r="V65" s="1155"/>
      <c r="W65" s="318" t="s">
        <v>1060</v>
      </c>
      <c r="X65" s="1687"/>
      <c r="Y65" s="1155"/>
      <c r="Z65" s="1687"/>
      <c r="AA65" s="173"/>
      <c r="AB65" s="249"/>
      <c r="AC65" s="250" t="s">
        <v>1036</v>
      </c>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909"/>
      <c r="BD65" s="173"/>
      <c r="BE65" s="173"/>
      <c r="BF65" s="970" t="str">
        <f>IF(AND(ISNUMBER(VALUE(TRIM(SUBSTITUTE(AB65,".","")))),TRIM(SUBSTITUTE(AB65,".",""))&lt;&gt;""),"P"&amp;SUBSTITUTE(AB65,".",""),"")</f>
        <v/>
      </c>
      <c r="BG65" s="989"/>
      <c r="BH65" s="989"/>
      <c r="BI65" s="990" t="s">
        <v>1054</v>
      </c>
      <c r="BJ65" s="990"/>
    </row>
    <row r="66" spans="1:62" s="1229" customFormat="1" ht="14.25" customHeight="1">
      <c r="A66" s="1152"/>
      <c r="B66" s="783"/>
      <c r="C66" s="1152"/>
      <c r="D66" s="1152"/>
      <c r="E66" s="676">
        <v>15</v>
      </c>
      <c r="F66" s="779" t="str" cm="1">
        <f t="array" ref="F66">F65</f>
        <v>2</v>
      </c>
      <c r="G66" s="143" t="s">
        <v>1061</v>
      </c>
      <c r="H66" s="1156"/>
      <c r="I66" s="1156"/>
      <c r="J66" s="1156"/>
      <c r="K66" s="1156"/>
      <c r="L66" s="1156"/>
      <c r="M66" s="1156"/>
      <c r="N66" s="1156"/>
      <c r="O66" s="1156"/>
      <c r="P66" s="1156"/>
      <c r="Q66" s="143"/>
      <c r="R66" s="143"/>
      <c r="S66" s="1156"/>
      <c r="T66" s="698" t="b">
        <f>F66&gt;0</f>
        <v>1</v>
      </c>
      <c r="U66" s="1155"/>
      <c r="V66" s="1155"/>
      <c r="W66" s="1155"/>
      <c r="X66" s="1687"/>
      <c r="Y66" s="1155"/>
      <c r="Z66" s="1687"/>
      <c r="AA66" s="173"/>
      <c r="AB66" s="233">
        <v>2</v>
      </c>
      <c r="AC66" s="228" t="s">
        <v>1062</v>
      </c>
      <c r="AD66" s="227" t="s">
        <v>839</v>
      </c>
      <c r="AE66" s="229">
        <f t="shared" ref="AE66:BB66" si="23">SUMIF($AD67:$AD71,$AD66,AE67:AE71)</f>
        <v>0</v>
      </c>
      <c r="AF66" s="229">
        <f t="shared" si="23"/>
        <v>0</v>
      </c>
      <c r="AG66" s="229">
        <f t="shared" si="23"/>
        <v>0</v>
      </c>
      <c r="AH66" s="229">
        <f t="shared" si="23"/>
        <v>0</v>
      </c>
      <c r="AI66" s="229">
        <f t="shared" si="23"/>
        <v>0</v>
      </c>
      <c r="AJ66" s="242">
        <f t="shared" si="23"/>
        <v>0</v>
      </c>
      <c r="AK66" s="242">
        <f t="shared" si="23"/>
        <v>0</v>
      </c>
      <c r="AL66" s="242">
        <f t="shared" si="23"/>
        <v>0</v>
      </c>
      <c r="AM66" s="242">
        <f t="shared" si="23"/>
        <v>0</v>
      </c>
      <c r="AN66" s="1320">
        <f t="shared" si="23"/>
        <v>0</v>
      </c>
      <c r="AO66" s="1320">
        <f t="shared" si="23"/>
        <v>0</v>
      </c>
      <c r="AP66" s="1320">
        <f t="shared" si="23"/>
        <v>0</v>
      </c>
      <c r="AQ66" s="1320">
        <f t="shared" si="23"/>
        <v>0</v>
      </c>
      <c r="AR66" s="1320">
        <f t="shared" si="23"/>
        <v>0</v>
      </c>
      <c r="AS66" s="229">
        <f t="shared" si="23"/>
        <v>0</v>
      </c>
      <c r="AT66" s="242">
        <f t="shared" si="23"/>
        <v>0</v>
      </c>
      <c r="AU66" s="242">
        <f t="shared" si="23"/>
        <v>0</v>
      </c>
      <c r="AV66" s="242">
        <f t="shared" si="23"/>
        <v>0</v>
      </c>
      <c r="AW66" s="242">
        <f t="shared" si="23"/>
        <v>0</v>
      </c>
      <c r="AX66" s="1320">
        <f t="shared" si="23"/>
        <v>0</v>
      </c>
      <c r="AY66" s="1320">
        <f t="shared" si="23"/>
        <v>0</v>
      </c>
      <c r="AZ66" s="1320">
        <f t="shared" si="23"/>
        <v>0</v>
      </c>
      <c r="BA66" s="1320">
        <f t="shared" si="23"/>
        <v>0</v>
      </c>
      <c r="BB66" s="1320">
        <f t="shared" si="23"/>
        <v>0</v>
      </c>
      <c r="BC66" s="1290"/>
      <c r="BD66" s="173"/>
      <c r="BE66" s="173"/>
      <c r="BF66" s="970" t="s">
        <v>1063</v>
      </c>
      <c r="BG66" s="989"/>
      <c r="BH66" s="989"/>
      <c r="BI66" s="990"/>
      <c r="BJ66" s="990"/>
    </row>
    <row r="67" spans="1:62" s="1229" customFormat="1" ht="0" hidden="1" customHeight="1">
      <c r="A67" s="1152"/>
      <c r="B67" s="783"/>
      <c r="C67" s="1152"/>
      <c r="D67" s="1152"/>
      <c r="E67" s="676">
        <v>0.2</v>
      </c>
      <c r="F67" s="779" t="str" cm="1">
        <f t="array" aca="1" ref="F67" ca="1">OFFSET(G67,-1,-1)</f>
        <v>2</v>
      </c>
      <c r="G67" s="1156"/>
      <c r="H67" s="1156"/>
      <c r="I67" s="1156"/>
      <c r="J67" s="1156"/>
      <c r="K67" s="1156"/>
      <c r="L67" s="1156"/>
      <c r="M67" s="1156"/>
      <c r="N67" s="1156"/>
      <c r="O67" s="1156"/>
      <c r="P67" s="1156"/>
      <c r="Q67" s="143"/>
      <c r="R67" s="143"/>
      <c r="S67" s="1156"/>
      <c r="T67" s="698" t="b">
        <f ca="1">F67&gt;0</f>
        <v>1</v>
      </c>
      <c r="U67" s="1155"/>
      <c r="V67" s="1155"/>
      <c r="W67" s="1155"/>
      <c r="X67" s="1687"/>
      <c r="Y67" s="1155"/>
      <c r="Z67" s="1687"/>
      <c r="AA67" s="173"/>
      <c r="AB67" s="233"/>
      <c r="AC67" s="228"/>
      <c r="AD67" s="227"/>
      <c r="AE67" s="231"/>
      <c r="AF67" s="231"/>
      <c r="AG67" s="231"/>
      <c r="AH67" s="231"/>
      <c r="AI67" s="231"/>
      <c r="AJ67" s="231"/>
      <c r="AK67" s="231"/>
      <c r="AL67" s="231"/>
      <c r="AM67" s="231"/>
      <c r="AN67" s="231"/>
      <c r="AO67" s="231"/>
      <c r="AP67" s="231"/>
      <c r="AQ67" s="231"/>
      <c r="AR67" s="231"/>
      <c r="AS67" s="231"/>
      <c r="AT67" s="231"/>
      <c r="AU67" s="231"/>
      <c r="AV67" s="231"/>
      <c r="AW67" s="231"/>
      <c r="AX67" s="231"/>
      <c r="AY67" s="231"/>
      <c r="AZ67" s="231"/>
      <c r="BA67" s="231"/>
      <c r="BB67" s="231"/>
      <c r="BC67" s="240"/>
      <c r="BD67" s="173"/>
      <c r="BE67" s="173"/>
      <c r="BF67" s="970" t="str">
        <f>IF(AND(ISNUMBER(VALUE(TRIM(SUBSTITUTE(AB67,".","")))),TRIM(SUBSTITUTE(AB67,".",""))&lt;&gt;""),"P"&amp;SUBSTITUTE(AB67,".",""),"")</f>
        <v/>
      </c>
      <c r="BG67" s="989"/>
      <c r="BH67" s="989"/>
      <c r="BI67" s="990"/>
      <c r="BJ67" s="990"/>
    </row>
    <row r="68" spans="1:62" s="1229" customFormat="1" ht="14.25" hidden="1" customHeight="1">
      <c r="A68" s="927" t="str">
        <f ca="1">"checkCosts_2."&amp;F68&amp;"."&amp;Y68</f>
        <v>checkCosts_2.2.0</v>
      </c>
      <c r="B68" s="783"/>
      <c r="C68" s="1152"/>
      <c r="D68" s="1152"/>
      <c r="E68" s="676">
        <v>15</v>
      </c>
      <c r="F68" s="779" t="str" cm="1">
        <f t="array" aca="1" ref="F68" ca="1">OFFSET(G68,-1,-1)</f>
        <v>2</v>
      </c>
      <c r="G68" s="1156"/>
      <c r="H68" s="106" cm="1">
        <f t="array" ref="H68">AC68</f>
        <v>0</v>
      </c>
      <c r="I68" s="1156"/>
      <c r="J68" s="1156"/>
      <c r="K68" s="1156"/>
      <c r="L68" s="1156"/>
      <c r="M68" s="1156"/>
      <c r="N68" s="1156"/>
      <c r="O68" s="1156"/>
      <c r="P68" s="1156"/>
      <c r="Q68" s="143"/>
      <c r="R68" s="143"/>
      <c r="S68" s="1156"/>
      <c r="T68" s="780" t="b">
        <f ca="1">AND(F68&gt;0,Y68&gt;0)</f>
        <v>0</v>
      </c>
      <c r="U68" s="1155"/>
      <c r="V68" s="1155"/>
      <c r="W68" s="110" t="s">
        <v>236</v>
      </c>
      <c r="X68" s="1687"/>
      <c r="Y68" s="1687">
        <v>0</v>
      </c>
      <c r="Z68" s="1687"/>
      <c r="AA68" s="1806" t="s">
        <v>218</v>
      </c>
      <c r="AB68" s="235" t="str">
        <f>"2."&amp;Y68</f>
        <v>2.0</v>
      </c>
      <c r="AC68" s="396"/>
      <c r="AD68" s="227" t="s">
        <v>839</v>
      </c>
      <c r="AE68" s="279">
        <f>AE69*AE70</f>
        <v>0</v>
      </c>
      <c r="AF68" s="17"/>
      <c r="AG68" s="17"/>
      <c r="AH68" s="279">
        <f>AH69*AH70</f>
        <v>0</v>
      </c>
      <c r="AI68" s="230"/>
      <c r="AJ68" s="230"/>
      <c r="AK68" s="230"/>
      <c r="AL68" s="230"/>
      <c r="AM68" s="230"/>
      <c r="AN68" s="17"/>
      <c r="AO68" s="17"/>
      <c r="AP68" s="17"/>
      <c r="AQ68" s="17"/>
      <c r="AR68" s="17"/>
      <c r="AS68" s="279">
        <f t="shared" ref="AS68:BB68" si="24">AS69*AS70</f>
        <v>0</v>
      </c>
      <c r="AT68" s="279">
        <f t="shared" si="24"/>
        <v>0</v>
      </c>
      <c r="AU68" s="279">
        <f t="shared" si="24"/>
        <v>0</v>
      </c>
      <c r="AV68" s="279">
        <f t="shared" si="24"/>
        <v>0</v>
      </c>
      <c r="AW68" s="279">
        <f t="shared" si="24"/>
        <v>0</v>
      </c>
      <c r="AX68" s="279">
        <f t="shared" si="24"/>
        <v>0</v>
      </c>
      <c r="AY68" s="279">
        <f t="shared" si="24"/>
        <v>0</v>
      </c>
      <c r="AZ68" s="279">
        <f t="shared" si="24"/>
        <v>0</v>
      </c>
      <c r="BA68" s="279">
        <f t="shared" si="24"/>
        <v>0</v>
      </c>
      <c r="BB68" s="279">
        <f t="shared" si="24"/>
        <v>0</v>
      </c>
      <c r="BC68" s="28"/>
      <c r="BD68" s="173"/>
      <c r="BE68" s="173"/>
      <c r="BF68" s="970" t="s">
        <v>1064</v>
      </c>
      <c r="BG68" s="989" t="s">
        <v>1065</v>
      </c>
      <c r="BH68" s="989" cm="1">
        <f t="array" ref="BH68">AC68</f>
        <v>0</v>
      </c>
      <c r="BI68" s="990"/>
      <c r="BJ68" s="990" t="b">
        <v>1</v>
      </c>
    </row>
    <row r="69" spans="1:62" s="1229" customFormat="1" ht="14.25" hidden="1" customHeight="1">
      <c r="E69" s="676">
        <v>15</v>
      </c>
      <c r="F69" s="779" t="str" cm="1">
        <f t="array" aca="1" ref="F69" ca="1">OFFSET(G69,-1,-1)</f>
        <v>2</v>
      </c>
      <c r="H69" s="106" cm="1">
        <f t="array" ref="H69">H68</f>
        <v>0</v>
      </c>
      <c r="T69" s="780" t="b" cm="1">
        <f t="array" aca="1" ref="T69" ca="1">T68</f>
        <v>0</v>
      </c>
      <c r="X69" s="1722"/>
      <c r="Y69" s="1722"/>
      <c r="Z69" s="1722"/>
      <c r="AA69" s="1807"/>
      <c r="AB69" s="235" t="str">
        <f>AB68&amp;".1"</f>
        <v>2.0.1</v>
      </c>
      <c r="AC69" s="241" t="s">
        <v>1000</v>
      </c>
      <c r="AD69" s="105" t="s">
        <v>1055</v>
      </c>
      <c r="AE69" s="17"/>
      <c r="AF69" s="279">
        <f>IF(AF70=0,0,AF68/AF70)</f>
        <v>0</v>
      </c>
      <c r="AG69" s="279">
        <f>IF(AG70=0,0,AG68/AG70)</f>
        <v>0</v>
      </c>
      <c r="AH69" s="17"/>
      <c r="AI69" s="279">
        <f t="shared" ref="AI69:AR69" si="25">IF(AI70=0,0,AI68/AI70)</f>
        <v>0</v>
      </c>
      <c r="AJ69" s="279">
        <f t="shared" si="25"/>
        <v>0</v>
      </c>
      <c r="AK69" s="279">
        <f t="shared" si="25"/>
        <v>0</v>
      </c>
      <c r="AL69" s="279">
        <f t="shared" si="25"/>
        <v>0</v>
      </c>
      <c r="AM69" s="279">
        <f t="shared" si="25"/>
        <v>0</v>
      </c>
      <c r="AN69" s="279">
        <f t="shared" si="25"/>
        <v>0</v>
      </c>
      <c r="AO69" s="279">
        <f t="shared" si="25"/>
        <v>0</v>
      </c>
      <c r="AP69" s="279">
        <f t="shared" si="25"/>
        <v>0</v>
      </c>
      <c r="AQ69" s="279">
        <f t="shared" si="25"/>
        <v>0</v>
      </c>
      <c r="AR69" s="279">
        <f t="shared" si="25"/>
        <v>0</v>
      </c>
      <c r="AS69" s="230"/>
      <c r="AT69" s="230"/>
      <c r="AU69" s="230"/>
      <c r="AV69" s="230"/>
      <c r="AW69" s="230"/>
      <c r="AX69" s="17"/>
      <c r="AY69" s="17"/>
      <c r="AZ69" s="17"/>
      <c r="BA69" s="17"/>
      <c r="BB69" s="17"/>
      <c r="BC69" s="28"/>
      <c r="BF69" s="970" t="s">
        <v>1066</v>
      </c>
      <c r="BG69" s="989" t="s">
        <v>1065</v>
      </c>
      <c r="BH69" s="989" cm="1">
        <f t="array" ref="BH69">BH68</f>
        <v>0</v>
      </c>
      <c r="BI69" s="990"/>
      <c r="BJ69" s="990"/>
    </row>
    <row r="70" spans="1:62" s="1229" customFormat="1" ht="14.25" hidden="1" customHeight="1">
      <c r="A70" s="927" t="str">
        <f ca="1">"checkVolume_2."&amp;F70&amp;"."&amp;Y68</f>
        <v>checkVolume_2.2.0</v>
      </c>
      <c r="B70" s="783"/>
      <c r="C70" s="1152"/>
      <c r="D70" s="1152"/>
      <c r="E70" s="676">
        <v>15</v>
      </c>
      <c r="F70" s="779" t="str" cm="1">
        <f t="array" aca="1" ref="F70" ca="1">OFFSET(G70,-1,-1)</f>
        <v>2</v>
      </c>
      <c r="G70" s="1156"/>
      <c r="H70" s="106" cm="1">
        <f t="array" ref="H70">H68</f>
        <v>0</v>
      </c>
      <c r="I70" s="1156"/>
      <c r="J70" s="1156"/>
      <c r="K70" s="1156"/>
      <c r="L70" s="1156"/>
      <c r="M70" s="1156"/>
      <c r="N70" s="1156"/>
      <c r="O70" s="1156"/>
      <c r="P70" s="1156"/>
      <c r="Q70" s="143"/>
      <c r="R70" s="143"/>
      <c r="S70" s="1156"/>
      <c r="T70" s="780" t="b" cm="1">
        <f t="array" aca="1" ref="T70" ca="1">T68</f>
        <v>0</v>
      </c>
      <c r="U70" s="1155"/>
      <c r="V70" s="1155"/>
      <c r="W70" s="1155"/>
      <c r="X70" s="1687"/>
      <c r="Y70" s="1687"/>
      <c r="Z70" s="1687"/>
      <c r="AA70" s="1806"/>
      <c r="AB70" s="235" t="str">
        <f>AB68&amp;".2"</f>
        <v>2.0.2</v>
      </c>
      <c r="AC70" s="241" t="s">
        <v>1067</v>
      </c>
      <c r="AD70" s="105" t="s">
        <v>1058</v>
      </c>
      <c r="AE70" s="17"/>
      <c r="AF70" s="17"/>
      <c r="AG70" s="17"/>
      <c r="AH70" s="17"/>
      <c r="AI70" s="230"/>
      <c r="AJ70" s="230"/>
      <c r="AK70" s="230"/>
      <c r="AL70" s="230"/>
      <c r="AM70" s="230"/>
      <c r="AN70" s="17"/>
      <c r="AO70" s="17"/>
      <c r="AP70" s="17"/>
      <c r="AQ70" s="17"/>
      <c r="AR70" s="17"/>
      <c r="AS70" s="230"/>
      <c r="AT70" s="230"/>
      <c r="AU70" s="230"/>
      <c r="AV70" s="230"/>
      <c r="AW70" s="230"/>
      <c r="AX70" s="17"/>
      <c r="AY70" s="17"/>
      <c r="AZ70" s="17"/>
      <c r="BA70" s="17"/>
      <c r="BB70" s="17"/>
      <c r="BC70" s="28"/>
      <c r="BD70" s="173"/>
      <c r="BE70" s="173"/>
      <c r="BF70" s="970" t="s">
        <v>1068</v>
      </c>
      <c r="BG70" s="989" t="s">
        <v>1065</v>
      </c>
      <c r="BH70" s="989" cm="1">
        <f t="array" ref="BH70">BH68</f>
        <v>0</v>
      </c>
      <c r="BI70" s="990"/>
      <c r="BJ70" s="990"/>
    </row>
    <row r="71" spans="1:62" s="1229" customFormat="1" ht="14.25" customHeight="1">
      <c r="A71" s="1152"/>
      <c r="B71" s="783"/>
      <c r="C71" s="1152"/>
      <c r="D71" s="1152"/>
      <c r="E71" s="676">
        <v>15</v>
      </c>
      <c r="F71" s="779" t="str" cm="1">
        <f t="array" aca="1" ref="F71" ca="1">OFFSET(G71,-1,-1)</f>
        <v>2</v>
      </c>
      <c r="G71" s="1156"/>
      <c r="H71" s="1156"/>
      <c r="I71" s="1156"/>
      <c r="J71" s="1156"/>
      <c r="K71" s="1156"/>
      <c r="L71" s="1156"/>
      <c r="M71" s="1156"/>
      <c r="N71" s="1156"/>
      <c r="O71" s="1156"/>
      <c r="P71" s="1156"/>
      <c r="Q71" s="143"/>
      <c r="R71" s="143"/>
      <c r="S71" s="1156"/>
      <c r="T71" s="698" t="b">
        <f ca="1">F71&gt;0</f>
        <v>1</v>
      </c>
      <c r="U71" s="1155"/>
      <c r="V71" s="1155"/>
      <c r="W71" s="318" t="s">
        <v>1069</v>
      </c>
      <c r="X71" s="1687"/>
      <c r="Y71" s="1155"/>
      <c r="Z71" s="1687"/>
      <c r="AA71" s="173"/>
      <c r="AB71" s="249"/>
      <c r="AC71" s="250" t="s">
        <v>1036</v>
      </c>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1"/>
      <c r="BD71" s="173"/>
      <c r="BE71" s="173"/>
      <c r="BF71" s="989"/>
      <c r="BG71" s="989"/>
      <c r="BH71" s="989"/>
      <c r="BI71" s="990" t="s">
        <v>1065</v>
      </c>
      <c r="BJ71" s="990"/>
    </row>
    <row r="72" spans="1:62" ht="11.1" customHeight="1">
      <c r="E72" s="782">
        <v>11.4</v>
      </c>
      <c r="Q72" s="620"/>
      <c r="U72" s="129" t="s">
        <v>238</v>
      </c>
      <c r="V72" s="122" t="s">
        <v>1071</v>
      </c>
    </row>
    <row r="73" spans="1:62" ht="11.25" hidden="1" customHeight="1">
      <c r="E73" s="782">
        <v>0</v>
      </c>
      <c r="Q73" s="620"/>
      <c r="V73" s="122"/>
    </row>
    <row r="74" spans="1:62" s="425" customFormat="1" ht="14.65" customHeight="1">
      <c r="A74" s="126"/>
      <c r="B74" s="667"/>
      <c r="C74" s="126"/>
      <c r="D74" s="126"/>
      <c r="E74" s="676">
        <v>15</v>
      </c>
      <c r="F74" s="126"/>
      <c r="Q74" s="620"/>
      <c r="R74" s="620"/>
      <c r="T74" s="126"/>
      <c r="U74" s="126"/>
      <c r="V74" s="126"/>
      <c r="W74" s="126"/>
      <c r="X74" s="126"/>
      <c r="Y74" s="126"/>
      <c r="Z74" s="126"/>
      <c r="AB74" s="1802" t="s">
        <v>734</v>
      </c>
      <c r="AC74" s="1802"/>
      <c r="AD74" s="1802"/>
      <c r="AE74" s="1802"/>
      <c r="AF74" s="1802"/>
      <c r="AG74" s="1802"/>
      <c r="AH74" s="1802"/>
      <c r="AI74" s="1803"/>
      <c r="AJ74" s="1803"/>
      <c r="AK74" s="1803"/>
      <c r="AL74" s="1803"/>
      <c r="AM74" s="1803"/>
      <c r="AN74" s="1803"/>
      <c r="AO74" s="1803"/>
      <c r="AP74" s="1803"/>
      <c r="AQ74" s="1803"/>
      <c r="AR74" s="1803"/>
      <c r="AS74" s="1803"/>
      <c r="AT74" s="1803"/>
      <c r="AU74" s="1803"/>
      <c r="AV74" s="1803"/>
      <c r="AW74" s="1803"/>
      <c r="AX74" s="1803"/>
      <c r="AY74" s="1803"/>
      <c r="AZ74" s="1803"/>
      <c r="BA74" s="1803"/>
      <c r="BB74" s="1803"/>
      <c r="BC74" s="1803"/>
      <c r="BF74" s="981"/>
      <c r="BG74" s="981"/>
      <c r="BH74" s="981"/>
      <c r="BI74" s="984"/>
      <c r="BJ74" s="984"/>
    </row>
    <row r="75" spans="1:62" s="425" customFormat="1" ht="14.65" customHeight="1">
      <c r="A75" s="126"/>
      <c r="B75" s="667"/>
      <c r="C75" s="126"/>
      <c r="D75" s="126"/>
      <c r="E75" s="676">
        <v>15</v>
      </c>
      <c r="F75" s="126"/>
      <c r="Q75" s="620"/>
      <c r="R75" s="620"/>
      <c r="T75" s="126"/>
      <c r="U75" s="126"/>
      <c r="V75" s="126"/>
      <c r="W75" s="126"/>
      <c r="X75" s="126"/>
      <c r="Y75" s="126"/>
      <c r="Z75" s="126"/>
      <c r="AA75" s="778"/>
      <c r="AB75" s="1804"/>
      <c r="AC75" s="1804"/>
      <c r="AD75" s="1804"/>
      <c r="AE75" s="1804"/>
      <c r="AF75" s="1804"/>
      <c r="AG75" s="1804"/>
      <c r="AH75" s="1804"/>
      <c r="AI75" s="1796"/>
      <c r="AJ75" s="1796"/>
      <c r="AK75" s="1796"/>
      <c r="AL75" s="1796"/>
      <c r="AM75" s="1796"/>
      <c r="AN75" s="1797"/>
      <c r="AO75" s="1797"/>
      <c r="AP75" s="1797"/>
      <c r="AQ75" s="1797"/>
      <c r="AR75" s="1797"/>
      <c r="AS75" s="1796"/>
      <c r="AT75" s="1796"/>
      <c r="AU75" s="1796"/>
      <c r="AV75" s="1796"/>
      <c r="AW75" s="1796"/>
      <c r="AX75" s="1797"/>
      <c r="AY75" s="1797"/>
      <c r="AZ75" s="1797"/>
      <c r="BA75" s="1797"/>
      <c r="BB75" s="1797"/>
      <c r="BC75" s="1796"/>
      <c r="BF75" s="981"/>
      <c r="BG75" s="981"/>
      <c r="BH75" s="981"/>
      <c r="BI75" s="984"/>
      <c r="BJ75" s="984"/>
    </row>
    <row r="76" spans="1:62" s="425" customFormat="1" ht="14.65" hidden="1" customHeight="1">
      <c r="A76" s="126"/>
      <c r="B76" s="667"/>
      <c r="C76" s="126"/>
      <c r="D76" s="126"/>
      <c r="E76" s="676">
        <v>15</v>
      </c>
      <c r="F76" s="126"/>
      <c r="Q76" s="620"/>
      <c r="R76" s="620"/>
      <c r="T76" s="687" t="b">
        <f>ROW(W76)&gt;ROW(W$76)</f>
        <v>0</v>
      </c>
      <c r="U76" s="126"/>
      <c r="V76" s="126"/>
      <c r="W76" s="126" t="s">
        <v>236</v>
      </c>
      <c r="X76" s="126"/>
      <c r="Y76" s="126"/>
      <c r="Z76" s="126"/>
      <c r="AA76" s="774" t="s">
        <v>218</v>
      </c>
      <c r="AB76" s="1795"/>
      <c r="AC76" s="1795"/>
      <c r="AD76" s="1795"/>
      <c r="AE76" s="1795"/>
      <c r="AF76" s="1795"/>
      <c r="AG76" s="1795"/>
      <c r="AH76" s="1795"/>
      <c r="AI76" s="1796"/>
      <c r="AJ76" s="1796"/>
      <c r="AK76" s="1796"/>
      <c r="AL76" s="1796"/>
      <c r="AM76" s="1796"/>
      <c r="AN76" s="1797"/>
      <c r="AO76" s="1797"/>
      <c r="AP76" s="1797"/>
      <c r="AQ76" s="1797"/>
      <c r="AR76" s="1797"/>
      <c r="AS76" s="1796"/>
      <c r="AT76" s="1796"/>
      <c r="AU76" s="1796"/>
      <c r="AV76" s="1796"/>
      <c r="AW76" s="1796"/>
      <c r="AX76" s="1797"/>
      <c r="AY76" s="1797"/>
      <c r="AZ76" s="1797"/>
      <c r="BA76" s="1797"/>
      <c r="BB76" s="1797"/>
      <c r="BC76" s="1797"/>
      <c r="BF76" s="981"/>
      <c r="BG76" s="981"/>
      <c r="BH76" s="981"/>
      <c r="BI76" s="984"/>
      <c r="BJ76" s="984"/>
    </row>
    <row r="77" spans="1:62" s="425" customFormat="1" ht="14.65" customHeight="1">
      <c r="A77" s="126"/>
      <c r="B77" s="667"/>
      <c r="C77" s="126"/>
      <c r="D77" s="126"/>
      <c r="E77" s="676">
        <v>15</v>
      </c>
      <c r="F77" s="126"/>
      <c r="Q77" s="620"/>
      <c r="R77" s="620"/>
      <c r="T77" s="126"/>
      <c r="U77" s="126"/>
      <c r="V77" s="126"/>
      <c r="W77" s="122" t="s">
        <v>1072</v>
      </c>
      <c r="X77" s="126"/>
      <c r="Y77" s="126"/>
      <c r="Z77" s="126"/>
      <c r="AB77" s="1736" t="s">
        <v>735</v>
      </c>
      <c r="AC77" s="1737"/>
      <c r="AD77" s="324"/>
      <c r="AE77" s="324"/>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6"/>
      <c r="BF77" s="981"/>
      <c r="BG77" s="981"/>
      <c r="BH77" s="981"/>
      <c r="BI77" s="984"/>
      <c r="BJ77" s="984"/>
    </row>
  </sheetData>
  <sheetProtection formatColumns="0" formatRows="0" insertRows="0" deleteColumns="0" deleteRows="0" sort="0" autoFilter="0"/>
  <mergeCells count="30">
    <mergeCell ref="X56:X71"/>
    <mergeCell ref="Z56:Z71"/>
    <mergeCell ref="Y68:Y70"/>
    <mergeCell ref="AA68:AA70"/>
    <mergeCell ref="Y59:Y61"/>
    <mergeCell ref="AA59:AA61"/>
    <mergeCell ref="Y62:Y64"/>
    <mergeCell ref="AA62:AA64"/>
    <mergeCell ref="AB24:AB25"/>
    <mergeCell ref="AC24:AC25"/>
    <mergeCell ref="AD24:AD25"/>
    <mergeCell ref="BC24:BC25"/>
    <mergeCell ref="Y30:Y32"/>
    <mergeCell ref="AA30:AA32"/>
    <mergeCell ref="X27:X39"/>
    <mergeCell ref="Z27:Z39"/>
    <mergeCell ref="AB74:BC74"/>
    <mergeCell ref="AB75:BC75"/>
    <mergeCell ref="AB77:AC77"/>
    <mergeCell ref="Y36:Y38"/>
    <mergeCell ref="AA36:AA38"/>
    <mergeCell ref="AB76:BC76"/>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AE59 AF59 AG59 AH59 AI59 AJ59 AK59 AL59 AM59 AN59 AO59 AP59 AQ59 AR59 AS59 AT59 AU59 AV59 AW59 AX59 AY59 AZ59 BA59 BB59 AE60 AF60 AG60 AH60 AI60 AJ60 AK60 AL60 AM60 AN60 AO60 AP60 AQ60 AR60 AS60 AT60 AU60 AV60 AW60 AX60 AY60 AZ60 BA60 BB60 AE61:AE64 AF61:AF64 AG61:AG64 AH61:AH64 AI61:AI64 AJ61:AJ64 AK61:AK64 AL61:AL64 AM61:AM64 AN61:AN64 AO61:AO64 AP61:AP64 AQ61:AQ64 AR61:AR64 AS61:AS64 AT61:AT64 AU61:AU64 AV61:AV64 AW61:AW64 AX61:AX64 AY61:AY64 AZ61:AZ64 BA61:BA64 BB61:BB64 AE68 AF68 AG68 AH68 AI68 AJ68 AK68 AL68 AM68 AN68 AO68 AP68 AQ68 AR68 AS68 AT68 AU68 AV68 AW68 AX68 AY68 AZ68 BA68 BB68 AE69 AF69 AG69 AH69 AI69 AJ69 AK69 AL69 AM69 AN69 AO69 AP69 AQ69 AR69 AS69 AT69 AU69 AV69 AW69 AX69 AY69 AZ69 BA69 BB69 AE70 AF70 AG70 AH70 AI70 AJ70 AK70 AL70 AM70 AN70 AO70 AP70 AQ70 AR70 AS70 AT70 AU70 AV70 AW70 AX70 AY70 AZ70 BA70 BB70"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18308-C72F-2758-1E38-06B24F1CFD0A}">
  <sheetPr>
    <tabColor rgb="FF002060"/>
    <outlinePr summaryBelow="0" summaryRight="0"/>
    <pageSetUpPr fitToPage="1"/>
  </sheetPr>
  <dimension ref="A1:BF330"/>
  <sheetViews>
    <sheetView showGridLines="0" workbookViewId="0">
      <pane xSplit="30" ySplit="26" topLeftCell="AH300" activePane="bottomRight" state="frozen"/>
      <selection pane="topRight" activeCell="AE1" sqref="AE1"/>
      <selection pane="bottomLeft" activeCell="A27" sqref="A27"/>
      <selection pane="bottomRight" activeCell="AH311" sqref="AH311"/>
    </sheetView>
  </sheetViews>
  <sheetFormatPr defaultColWidth="8.7109375" defaultRowHeight="11.25" customHeight="1"/>
  <cols>
    <col min="1" max="1" width="3.5703125" style="1155" hidden="1" customWidth="1"/>
    <col min="2" max="2" width="8.5703125" style="783" hidden="1" customWidth="1"/>
    <col min="3" max="4" width="3.5703125" style="1155" hidden="1" customWidth="1"/>
    <col min="5" max="5" width="8.42578125" style="782" hidden="1" customWidth="1"/>
    <col min="6" max="6" width="6.42578125" style="1155" hidden="1" customWidth="1"/>
    <col min="7" max="16" width="3.5703125" style="814" hidden="1" customWidth="1"/>
    <col min="17" max="18" width="3.5703125" style="784" hidden="1" customWidth="1"/>
    <col min="19" max="19" width="3.5703125" style="814" hidden="1" customWidth="1"/>
    <col min="20" max="20" width="9.5703125" style="1155" hidden="1" customWidth="1"/>
    <col min="21" max="21" width="6" style="1155" hidden="1" customWidth="1"/>
    <col min="22" max="23" width="6.28515625" style="1155" hidden="1" customWidth="1"/>
    <col min="24" max="25" width="5.7109375" style="1155" hidden="1" customWidth="1"/>
    <col min="26" max="26" width="5.42578125" style="1155" hidden="1" customWidth="1"/>
    <col min="27" max="27" width="3" style="791" customWidth="1"/>
    <col min="28" max="28" width="7.28515625" style="791" customWidth="1"/>
    <col min="29" max="29" width="41.7109375" style="791" customWidth="1"/>
    <col min="30" max="30" width="11.140625" style="152" customWidth="1"/>
    <col min="31" max="39" width="12.5703125" style="152" customWidth="1"/>
    <col min="40" max="44" width="12.5703125" style="152" hidden="1" customWidth="1"/>
    <col min="45" max="49" width="12.5703125" style="152" customWidth="1"/>
    <col min="50" max="54" width="12.5703125" style="152" hidden="1" customWidth="1"/>
    <col min="55" max="55" width="20.140625" style="791" customWidth="1"/>
    <col min="56" max="56" width="3" style="791" customWidth="1"/>
    <col min="57" max="57" width="8.7109375" style="791" hidden="1"/>
    <col min="58" max="58" width="10" style="977" hidden="1" customWidth="1"/>
  </cols>
  <sheetData>
    <row r="1" spans="1:58" s="1155" customFormat="1" ht="12" hidden="1" customHeight="1">
      <c r="B1" s="667"/>
      <c r="E1" s="667"/>
      <c r="F1" s="698" t="s">
        <v>83</v>
      </c>
      <c r="G1" s="164"/>
      <c r="H1" s="164"/>
      <c r="I1" s="164"/>
      <c r="J1" s="164"/>
      <c r="K1" s="164"/>
      <c r="L1" s="164"/>
      <c r="M1" s="164"/>
      <c r="N1" s="164"/>
      <c r="O1" s="164"/>
      <c r="P1" s="164"/>
      <c r="Q1" s="620"/>
      <c r="R1" s="620"/>
      <c r="S1" s="164"/>
      <c r="T1" s="687" t="s">
        <v>86</v>
      </c>
      <c r="U1" s="687" t="s">
        <v>91</v>
      </c>
      <c r="V1" s="687" t="s">
        <v>87</v>
      </c>
      <c r="W1" s="687" t="s">
        <v>88</v>
      </c>
      <c r="X1" s="687" t="s">
        <v>89</v>
      </c>
      <c r="Y1" s="698" t="s">
        <v>382</v>
      </c>
      <c r="Z1" s="687" t="s">
        <v>93</v>
      </c>
      <c r="AA1" s="698" t="s">
        <v>90</v>
      </c>
      <c r="AB1" s="698" t="s">
        <v>92</v>
      </c>
      <c r="BF1" s="970" t="s">
        <v>383</v>
      </c>
    </row>
    <row r="2" spans="1:58" s="783" customFormat="1" ht="12" hidden="1" customHeight="1">
      <c r="B2" s="768" t="s">
        <v>15</v>
      </c>
      <c r="G2" s="786"/>
      <c r="H2" s="786"/>
      <c r="I2" s="786"/>
      <c r="J2" s="786"/>
      <c r="K2" s="786"/>
      <c r="L2" s="786"/>
      <c r="M2" s="786"/>
      <c r="N2" s="786"/>
      <c r="O2" s="786"/>
      <c r="P2" s="786"/>
      <c r="Q2" s="786"/>
      <c r="R2" s="786"/>
      <c r="S2" s="786"/>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973"/>
    </row>
    <row r="3" spans="1:58" s="1155" customFormat="1" ht="12" hidden="1" customHeight="1">
      <c r="B3" s="667"/>
      <c r="E3" s="667"/>
      <c r="G3" s="164"/>
      <c r="H3" s="164"/>
      <c r="I3" s="164"/>
      <c r="J3" s="164"/>
      <c r="K3" s="164"/>
      <c r="L3" s="164"/>
      <c r="M3" s="164"/>
      <c r="N3" s="164"/>
      <c r="O3" s="164"/>
      <c r="P3" s="164"/>
      <c r="Q3" s="620"/>
      <c r="R3" s="620"/>
      <c r="S3" s="164"/>
      <c r="BF3" s="970"/>
    </row>
    <row r="4" spans="1:58" s="1155" customFormat="1" ht="12" hidden="1" customHeight="1">
      <c r="B4" s="667"/>
      <c r="E4" s="667"/>
      <c r="G4" s="164"/>
      <c r="H4" s="164"/>
      <c r="I4" s="164"/>
      <c r="J4" s="164"/>
      <c r="K4" s="164"/>
      <c r="L4" s="164"/>
      <c r="M4" s="164"/>
      <c r="N4" s="164"/>
      <c r="O4" s="164"/>
      <c r="P4" s="164"/>
      <c r="Q4" s="620"/>
      <c r="R4" s="620"/>
      <c r="S4" s="164"/>
      <c r="BF4" s="970"/>
    </row>
    <row r="5" spans="1:58"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7.25</v>
      </c>
      <c r="AC5" s="676">
        <v>41.75</v>
      </c>
      <c r="AD5" s="676">
        <v>11.13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row>
    <row r="6" spans="1:58" s="1155" customFormat="1" ht="12" hidden="1" customHeight="1">
      <c r="B6" s="667"/>
      <c r="E6" s="676"/>
      <c r="G6" s="164"/>
      <c r="H6" s="164"/>
      <c r="I6" s="164"/>
      <c r="J6" s="164"/>
      <c r="K6" s="164"/>
      <c r="L6" s="164"/>
      <c r="M6" s="164"/>
      <c r="N6" s="164"/>
      <c r="O6" s="164"/>
      <c r="P6" s="164"/>
      <c r="Q6" s="620"/>
      <c r="R6" s="620"/>
      <c r="S6" s="164"/>
      <c r="AE6" s="129">
        <f>god-2</f>
        <v>2024</v>
      </c>
      <c r="AF6" s="129">
        <f>god-2</f>
        <v>2024</v>
      </c>
      <c r="AG6" s="129">
        <f>god-2</f>
        <v>2024</v>
      </c>
      <c r="AH6" s="129">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70"/>
    </row>
    <row r="7" spans="1:58" s="814" customFormat="1" ht="12" hidden="1" customHeight="1">
      <c r="A7" s="129"/>
      <c r="B7" s="667"/>
      <c r="C7" s="129"/>
      <c r="D7" s="129"/>
      <c r="E7" s="676"/>
      <c r="Q7" s="620"/>
      <c r="R7" s="620"/>
      <c r="AE7" s="164" t="str" cm="1">
        <f t="array" ref="AE7">AE25</f>
        <v>Принято органом регулирования</v>
      </c>
      <c r="AF7" s="164" t="str" cm="1">
        <f t="array" ref="AF7">AF25</f>
        <v>Факт по данным организации</v>
      </c>
      <c r="AG7" s="164" t="str" cm="1">
        <f t="array" ref="AG7">AG25</f>
        <v>Факт, принятый органом регулирования</v>
      </c>
      <c r="AH7" s="164" t="str" cm="1">
        <f t="array" ref="AH7">AH25</f>
        <v>Принято органом регулирования</v>
      </c>
      <c r="AI7" s="164" t="str" cm="1">
        <f t="array" ref="AI7">AI25</f>
        <v>Предложение организации</v>
      </c>
      <c r="AJ7" s="164" t="str" cm="1">
        <f t="array" ref="AJ7">AJ25</f>
        <v>Предложение организации</v>
      </c>
      <c r="AK7" s="164" t="str" cm="1">
        <f t="array" ref="AK7">AK25</f>
        <v>Предложение организации</v>
      </c>
      <c r="AL7" s="164" t="str" cm="1">
        <f t="array" ref="AL7">AL25</f>
        <v>Предложение организации</v>
      </c>
      <c r="AM7" s="164" t="str" cm="1">
        <f t="array" ref="AM7">AM25</f>
        <v>Предложение организации</v>
      </c>
      <c r="AN7" s="164" t="str" cm="1">
        <f t="array" ref="AN7">AN25</f>
        <v>Предложение организации</v>
      </c>
      <c r="AO7" s="164" t="str" cm="1">
        <f t="array" ref="AO7">AO25</f>
        <v>Предложение организации</v>
      </c>
      <c r="AP7" s="164" t="str" cm="1">
        <f t="array" ref="AP7">AP25</f>
        <v>Предложение организации</v>
      </c>
      <c r="AQ7" s="164" t="str" cm="1">
        <f t="array" ref="AQ7">AQ25</f>
        <v>Предложение организации</v>
      </c>
      <c r="AR7" s="164" t="str" cm="1">
        <f t="array" ref="AR7">AR25</f>
        <v>Предложение организации</v>
      </c>
      <c r="AS7" s="164" t="str" cm="1">
        <f t="array" ref="AS7">AS25</f>
        <v>Принято органом регулирования</v>
      </c>
      <c r="AT7" s="164" t="str" cm="1">
        <f t="array" ref="AT7">AT25</f>
        <v>Принято органом регулирования</v>
      </c>
      <c r="AU7" s="164" t="str" cm="1">
        <f t="array" ref="AU7">AU25</f>
        <v>Принято органом регулирования</v>
      </c>
      <c r="AV7" s="164" t="str" cm="1">
        <f t="array" ref="AV7">AV25</f>
        <v>Принято органом регулирования</v>
      </c>
      <c r="AW7" s="164" t="str" cm="1">
        <f t="array" ref="AW7">AW25</f>
        <v>Принято органом регулирования</v>
      </c>
      <c r="AX7" s="164" t="str" cm="1">
        <f t="array" ref="AX7">AX25</f>
        <v>Принято органом регулирования</v>
      </c>
      <c r="AY7" s="164" t="str" cm="1">
        <f t="array" ref="AY7">AY25</f>
        <v>Принято органом регулирования</v>
      </c>
      <c r="AZ7" s="164" t="str" cm="1">
        <f t="array" ref="AZ7">AZ25</f>
        <v>Принято органом регулирования</v>
      </c>
      <c r="BA7" s="164" t="str" cm="1">
        <f t="array" ref="BA7">BA25</f>
        <v>Принято органом регулирования</v>
      </c>
      <c r="BB7" s="164" t="str" cm="1">
        <f t="array" ref="BB7">BB25</f>
        <v>Принято органом регулирования</v>
      </c>
      <c r="BF7" s="970"/>
    </row>
    <row r="8" spans="1:58" s="814" customFormat="1" ht="12" hidden="1" customHeight="1">
      <c r="A8" s="129"/>
      <c r="B8" s="667"/>
      <c r="C8" s="129"/>
      <c r="D8" s="129"/>
      <c r="E8" s="676"/>
      <c r="Q8" s="620"/>
      <c r="R8" s="620"/>
      <c r="BF8" s="970"/>
    </row>
    <row r="9" spans="1:58" s="969" customFormat="1" ht="12" hidden="1" customHeight="1">
      <c r="A9" s="955" t="s">
        <v>472</v>
      </c>
      <c r="B9" s="951"/>
      <c r="E9" s="951"/>
      <c r="Q9" s="960"/>
      <c r="R9" s="960"/>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0"/>
    </row>
    <row r="10" spans="1:58" s="969" customFormat="1" ht="12" hidden="1" customHeight="1">
      <c r="A10" s="955" t="s">
        <v>473</v>
      </c>
      <c r="B10" s="951"/>
      <c r="E10" s="951"/>
      <c r="Q10" s="960"/>
      <c r="R10" s="96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c r="BF10" s="970"/>
    </row>
    <row r="11" spans="1:58" s="969" customFormat="1" ht="11.25" hidden="1" customHeight="1">
      <c r="A11" s="955" t="s">
        <v>474</v>
      </c>
      <c r="B11" s="951"/>
      <c r="E11" s="951"/>
      <c r="G11" s="956"/>
      <c r="H11" s="956"/>
      <c r="I11" s="956"/>
      <c r="J11" s="956"/>
      <c r="K11" s="956"/>
      <c r="L11" s="956"/>
      <c r="M11" s="956"/>
      <c r="N11" s="956"/>
      <c r="O11" s="956"/>
      <c r="P11" s="956"/>
      <c r="Q11" s="982"/>
      <c r="R11" s="982"/>
      <c r="S11" s="956"/>
      <c r="BC11" s="949" t="str" cm="1">
        <f t="array" ref="BC11">BC24</f>
        <v>Ссылка на правовую норму (основание для принятия показателя в расчет тарифа)</v>
      </c>
      <c r="BF11" s="970"/>
    </row>
    <row r="12" spans="1:58" s="1155" customFormat="1" ht="11.25" hidden="1" customHeight="1">
      <c r="B12" s="667"/>
      <c r="E12" s="676"/>
      <c r="G12" s="164"/>
      <c r="H12" s="164"/>
      <c r="I12" s="164"/>
      <c r="J12" s="164"/>
      <c r="K12" s="164"/>
      <c r="L12" s="164"/>
      <c r="M12" s="164"/>
      <c r="N12" s="164"/>
      <c r="O12" s="164"/>
      <c r="P12" s="164"/>
      <c r="Q12" s="620"/>
      <c r="R12" s="620"/>
      <c r="S12" s="164"/>
      <c r="BF12" s="970"/>
    </row>
    <row r="13" spans="1:58" s="1155" customFormat="1" ht="11.25" hidden="1" customHeight="1">
      <c r="B13" s="667"/>
      <c r="E13" s="676"/>
      <c r="G13" s="164"/>
      <c r="H13" s="164"/>
      <c r="I13" s="164"/>
      <c r="J13" s="164"/>
      <c r="K13" s="164"/>
      <c r="L13" s="164"/>
      <c r="M13" s="164"/>
      <c r="N13" s="164"/>
      <c r="O13" s="164"/>
      <c r="P13" s="164"/>
      <c r="Q13" s="620"/>
      <c r="R13" s="620"/>
      <c r="S13" s="164"/>
      <c r="AI13" s="126"/>
      <c r="AJ13" s="126"/>
      <c r="AK13" s="126"/>
      <c r="AL13" s="126"/>
      <c r="AM13" s="126"/>
      <c r="AN13" s="126"/>
      <c r="AO13" s="126"/>
      <c r="AP13" s="126"/>
      <c r="AQ13" s="126"/>
      <c r="AR13" s="126"/>
      <c r="AS13" s="126"/>
      <c r="AT13" s="126"/>
      <c r="AU13" s="126"/>
      <c r="AV13" s="126"/>
      <c r="AW13" s="126"/>
      <c r="AX13" s="126"/>
      <c r="AY13" s="126"/>
      <c r="AZ13" s="126"/>
      <c r="BA13" s="126"/>
      <c r="BB13" s="126"/>
      <c r="BF13" s="970"/>
    </row>
    <row r="14" spans="1:58" s="1155" customFormat="1" ht="11.25" hidden="1" customHeight="1">
      <c r="B14" s="667"/>
      <c r="E14" s="676"/>
      <c r="G14" s="164"/>
      <c r="H14" s="164"/>
      <c r="I14" s="164"/>
      <c r="J14" s="164"/>
      <c r="K14" s="164"/>
      <c r="L14" s="164"/>
      <c r="M14" s="164"/>
      <c r="N14" s="164"/>
      <c r="O14" s="164"/>
      <c r="P14" s="164"/>
      <c r="Q14" s="620"/>
      <c r="R14" s="620"/>
      <c r="S14" s="164"/>
      <c r="AI14" s="126"/>
      <c r="AJ14" s="126"/>
      <c r="AK14" s="126"/>
      <c r="AL14" s="126"/>
      <c r="AM14" s="126"/>
      <c r="AN14" s="126"/>
      <c r="AO14" s="126"/>
      <c r="AP14" s="126"/>
      <c r="AQ14" s="126"/>
      <c r="AR14" s="126"/>
      <c r="AS14" s="126"/>
      <c r="AT14" s="126"/>
      <c r="AU14" s="126"/>
      <c r="AV14" s="126"/>
      <c r="AW14" s="126"/>
      <c r="AX14" s="126"/>
      <c r="AY14" s="126"/>
      <c r="AZ14" s="126"/>
      <c r="BA14" s="126"/>
      <c r="BB14" s="126"/>
      <c r="BF14" s="970"/>
    </row>
    <row r="15" spans="1:58" s="1155" customFormat="1" ht="11.25" hidden="1" customHeight="1">
      <c r="B15" s="667"/>
      <c r="E15" s="676"/>
      <c r="G15" s="164"/>
      <c r="H15" s="164"/>
      <c r="I15" s="164"/>
      <c r="J15" s="164"/>
      <c r="K15" s="164"/>
      <c r="L15" s="164"/>
      <c r="M15" s="164"/>
      <c r="N15" s="164"/>
      <c r="O15" s="164"/>
      <c r="P15" s="164"/>
      <c r="Q15" s="620"/>
      <c r="R15" s="620"/>
      <c r="S15" s="164"/>
      <c r="AI15" s="126"/>
      <c r="AJ15" s="126"/>
      <c r="AK15" s="126"/>
      <c r="AL15" s="126"/>
      <c r="AM15" s="126"/>
      <c r="AN15" s="126"/>
      <c r="AO15" s="126"/>
      <c r="AP15" s="126"/>
      <c r="AQ15" s="126"/>
      <c r="AR15" s="126"/>
      <c r="AS15" s="126"/>
      <c r="AT15" s="126"/>
      <c r="AU15" s="126"/>
      <c r="AV15" s="126"/>
      <c r="AW15" s="126"/>
      <c r="AX15" s="126"/>
      <c r="AY15" s="126"/>
      <c r="AZ15" s="126"/>
      <c r="BA15" s="126"/>
      <c r="BB15" s="126"/>
      <c r="BF15" s="970"/>
    </row>
    <row r="16" spans="1:58" s="1155" customFormat="1" ht="11.25" hidden="1" customHeight="1">
      <c r="B16" s="667"/>
      <c r="E16" s="676"/>
      <c r="G16" s="164"/>
      <c r="H16" s="164"/>
      <c r="I16" s="164"/>
      <c r="J16" s="164"/>
      <c r="K16" s="164"/>
      <c r="L16" s="164"/>
      <c r="M16" s="164"/>
      <c r="N16" s="164"/>
      <c r="O16" s="164"/>
      <c r="P16" s="164"/>
      <c r="Q16" s="620"/>
      <c r="R16" s="620"/>
      <c r="S16" s="164"/>
      <c r="AI16" s="126"/>
      <c r="AJ16" s="126"/>
      <c r="AK16" s="126"/>
      <c r="AL16" s="126"/>
      <c r="AM16" s="126"/>
      <c r="AN16" s="126"/>
      <c r="AO16" s="126"/>
      <c r="AP16" s="126"/>
      <c r="AQ16" s="126"/>
      <c r="AR16" s="126"/>
      <c r="AS16" s="126"/>
      <c r="AT16" s="126"/>
      <c r="AU16" s="126"/>
      <c r="AV16" s="126"/>
      <c r="AW16" s="126"/>
      <c r="AX16" s="126"/>
      <c r="AY16" s="126"/>
      <c r="AZ16" s="126"/>
      <c r="BA16" s="126"/>
      <c r="BB16" s="126"/>
      <c r="BF16" s="970"/>
    </row>
    <row r="17" spans="2:58" s="1155" customFormat="1" ht="11.25" hidden="1" customHeight="1">
      <c r="B17" s="667"/>
      <c r="E17" s="676"/>
      <c r="G17" s="164"/>
      <c r="H17" s="164"/>
      <c r="I17" s="164"/>
      <c r="J17" s="164"/>
      <c r="K17" s="164"/>
      <c r="L17" s="164"/>
      <c r="M17" s="164"/>
      <c r="N17" s="164"/>
      <c r="O17" s="164"/>
      <c r="P17" s="164"/>
      <c r="Q17" s="620"/>
      <c r="R17" s="620"/>
      <c r="S17" s="164"/>
      <c r="AX17" s="126"/>
      <c r="AY17" s="126"/>
      <c r="AZ17" s="126"/>
      <c r="BA17" s="126"/>
      <c r="BB17" s="126"/>
      <c r="BF17" s="970"/>
    </row>
    <row r="18" spans="2:58" s="1155" customFormat="1" ht="11.25" hidden="1" customHeight="1">
      <c r="B18" s="667"/>
      <c r="E18" s="676"/>
      <c r="G18" s="164"/>
      <c r="H18" s="164"/>
      <c r="I18" s="164"/>
      <c r="J18" s="164"/>
      <c r="K18" s="164"/>
      <c r="L18" s="164"/>
      <c r="M18" s="164"/>
      <c r="N18" s="164"/>
      <c r="O18" s="164"/>
      <c r="P18" s="164"/>
      <c r="Q18" s="620"/>
      <c r="R18" s="620"/>
      <c r="S18" s="164"/>
      <c r="BF18" s="970"/>
    </row>
    <row r="19" spans="2:58" s="1155" customFormat="1" ht="11.25" hidden="1" customHeight="1">
      <c r="B19" s="667"/>
      <c r="E19" s="676"/>
      <c r="G19" s="164"/>
      <c r="H19" s="164"/>
      <c r="I19" s="164"/>
      <c r="J19" s="164"/>
      <c r="K19" s="164"/>
      <c r="L19" s="164"/>
      <c r="M19" s="164"/>
      <c r="N19" s="164"/>
      <c r="O19" s="164"/>
      <c r="P19" s="164"/>
      <c r="Q19" s="620"/>
      <c r="R19" s="620"/>
      <c r="S19" s="164"/>
      <c r="BF19" s="970"/>
    </row>
    <row r="20" spans="2:58" s="1155" customFormat="1" ht="11.25" hidden="1" customHeight="1">
      <c r="B20" s="667"/>
      <c r="E20" s="676"/>
      <c r="G20" s="164"/>
      <c r="H20" s="164"/>
      <c r="I20" s="164"/>
      <c r="J20" s="164"/>
      <c r="K20" s="164"/>
      <c r="L20" s="164"/>
      <c r="M20" s="164"/>
      <c r="N20" s="164"/>
      <c r="O20" s="164"/>
      <c r="P20" s="164"/>
      <c r="Q20" s="620"/>
      <c r="R20" s="620"/>
      <c r="S20" s="164"/>
      <c r="BF20" s="970"/>
    </row>
    <row r="21" spans="2:58" ht="14.65" customHeight="1">
      <c r="E21" s="676">
        <v>15</v>
      </c>
      <c r="AA21" s="699"/>
      <c r="AC21" s="343" t="str" cm="1">
        <f t="array" ref="AC21">tpl_title</f>
        <v>Кемеровская область / 2026 / ОАО «СКЭК» (ИНН:4205153492, КПП:420501001) / ДПР: 2021-2030</v>
      </c>
    </row>
    <row r="22" spans="2:58" ht="19.5" customHeight="1">
      <c r="E22" s="676">
        <v>20.100000000000001</v>
      </c>
      <c r="AB22" s="333" t="s">
        <v>1073</v>
      </c>
      <c r="AC22" s="222"/>
      <c r="AD22" s="225"/>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4"/>
    </row>
    <row r="23" spans="2:58" ht="11.1" customHeight="1">
      <c r="E23" s="676">
        <v>11.4</v>
      </c>
      <c r="AB23" s="1812"/>
      <c r="AC23" s="1812"/>
      <c r="AD23" s="1812"/>
      <c r="AE23" s="1812"/>
      <c r="AF23" s="1812"/>
      <c r="AG23" s="1812"/>
      <c r="AH23" s="1812"/>
      <c r="AI23" s="1812"/>
      <c r="AJ23" s="1812"/>
      <c r="AK23" s="1812"/>
      <c r="AL23" s="1812"/>
      <c r="AM23" s="1812"/>
      <c r="AN23" s="1812"/>
      <c r="AO23" s="1812"/>
      <c r="AP23" s="1812"/>
      <c r="AQ23" s="1812"/>
      <c r="AR23" s="1812"/>
      <c r="AS23" s="1812"/>
      <c r="AT23" s="1812"/>
      <c r="AU23" s="1812"/>
      <c r="AV23" s="1812"/>
      <c r="AW23" s="1812"/>
      <c r="AX23" s="1812"/>
      <c r="AY23" s="1812"/>
      <c r="AZ23" s="1812"/>
      <c r="BA23" s="1812"/>
      <c r="BB23" s="1812"/>
    </row>
    <row r="24" spans="2:58" ht="14.65" customHeight="1">
      <c r="E24" s="676">
        <v>15</v>
      </c>
      <c r="AB24" s="1802" t="s">
        <v>1049</v>
      </c>
      <c r="AC24" s="1810" t="s">
        <v>225</v>
      </c>
      <c r="AD24" s="1802" t="s">
        <v>476</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813" t="s">
        <v>630</v>
      </c>
    </row>
    <row r="25" spans="2:58" ht="48.75" customHeight="1">
      <c r="E25" s="676">
        <v>50.1</v>
      </c>
      <c r="AB25" s="1802"/>
      <c r="AC25" s="1810"/>
      <c r="AD25" s="1802"/>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814"/>
    </row>
    <row r="26" spans="2:58" ht="50.25" hidden="1" customHeight="1">
      <c r="E26" s="676">
        <v>0</v>
      </c>
      <c r="AB26" s="435"/>
      <c r="AC26" s="441"/>
      <c r="AD26" s="436"/>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42"/>
    </row>
    <row r="27" spans="2:58" ht="11.1" hidden="1" customHeight="1">
      <c r="E27" s="676">
        <v>11.4</v>
      </c>
      <c r="F27" s="779" cm="1">
        <f t="array" ref="F27">X27</f>
        <v>0</v>
      </c>
      <c r="T27" s="698" t="b">
        <f>X27&gt;0</f>
        <v>0</v>
      </c>
      <c r="V27" s="126" t="s">
        <v>315</v>
      </c>
      <c r="X27" s="1687">
        <v>0</v>
      </c>
      <c r="Z27" s="1687"/>
      <c r="AB27" s="237" t="str" cm="1">
        <f t="array" ref="AB27">INDEX('Общие сведения'!$AG$187:$AG$236,MATCH($F27,'Общие сведения'!$Z$187:$Z$236,0))</f>
        <v xml:space="preserve">Тариф 0 (Теплоснабжение) - </v>
      </c>
      <c r="AC27" s="210"/>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26"/>
    </row>
    <row r="28" spans="2:58" s="167" customFormat="1" ht="22.15" hidden="1" customHeight="1">
      <c r="E28" s="676">
        <v>22.8</v>
      </c>
      <c r="F28" s="779" cm="1">
        <f t="array" ref="F28">F27</f>
        <v>0</v>
      </c>
      <c r="T28" s="698" t="b" cm="1">
        <f t="array" ref="T28">T27</f>
        <v>0</v>
      </c>
      <c r="X28" s="1811"/>
      <c r="Z28" s="1811"/>
      <c r="AB28" s="227">
        <v>1</v>
      </c>
      <c r="AC28" s="228" t="s">
        <v>1074</v>
      </c>
      <c r="AD28" s="107" t="s">
        <v>839</v>
      </c>
      <c r="AE28" s="57">
        <f t="shared" ref="AE28:BB28" si="1">SUM(AE29:AE32)+SUM(AE38:AE41)</f>
        <v>0</v>
      </c>
      <c r="AF28" s="57">
        <f t="shared" si="1"/>
        <v>0</v>
      </c>
      <c r="AG28" s="57">
        <f t="shared" si="1"/>
        <v>0</v>
      </c>
      <c r="AH28" s="57">
        <f t="shared" si="1"/>
        <v>0</v>
      </c>
      <c r="AI28" s="242">
        <f t="shared" si="1"/>
        <v>0</v>
      </c>
      <c r="AJ28" s="242">
        <f t="shared" si="1"/>
        <v>0</v>
      </c>
      <c r="AK28" s="242">
        <f t="shared" si="1"/>
        <v>0</v>
      </c>
      <c r="AL28" s="242">
        <f t="shared" si="1"/>
        <v>0</v>
      </c>
      <c r="AM28" s="242">
        <f t="shared" si="1"/>
        <v>0</v>
      </c>
      <c r="AN28" s="57">
        <f t="shared" si="1"/>
        <v>0</v>
      </c>
      <c r="AO28" s="57">
        <f t="shared" si="1"/>
        <v>0</v>
      </c>
      <c r="AP28" s="57">
        <f t="shared" si="1"/>
        <v>0</v>
      </c>
      <c r="AQ28" s="57">
        <f t="shared" si="1"/>
        <v>0</v>
      </c>
      <c r="AR28" s="57">
        <f t="shared" si="1"/>
        <v>0</v>
      </c>
      <c r="AS28" s="242">
        <f t="shared" si="1"/>
        <v>0</v>
      </c>
      <c r="AT28" s="242">
        <f t="shared" si="1"/>
        <v>0</v>
      </c>
      <c r="AU28" s="242">
        <f t="shared" si="1"/>
        <v>0</v>
      </c>
      <c r="AV28" s="242">
        <f t="shared" si="1"/>
        <v>0</v>
      </c>
      <c r="AW28" s="242">
        <f t="shared" si="1"/>
        <v>0</v>
      </c>
      <c r="AX28" s="57">
        <f t="shared" si="1"/>
        <v>0</v>
      </c>
      <c r="AY28" s="57">
        <f t="shared" si="1"/>
        <v>0</v>
      </c>
      <c r="AZ28" s="57">
        <f t="shared" si="1"/>
        <v>0</v>
      </c>
      <c r="BA28" s="57">
        <f t="shared" si="1"/>
        <v>0</v>
      </c>
      <c r="BB28" s="57">
        <f t="shared" si="1"/>
        <v>0</v>
      </c>
      <c r="BC28" s="28"/>
      <c r="BF28" s="970" t="s">
        <v>1075</v>
      </c>
    </row>
    <row r="29" spans="2:58" ht="14.65" hidden="1" customHeight="1">
      <c r="E29" s="676">
        <v>15</v>
      </c>
      <c r="F29" s="779" cm="1">
        <f t="array" ref="F29">F28</f>
        <v>0</v>
      </c>
      <c r="T29" s="698" t="b" cm="1">
        <f t="array" ref="T29">T28</f>
        <v>0</v>
      </c>
      <c r="X29" s="1687"/>
      <c r="Z29" s="1687"/>
      <c r="AB29" s="420" t="s">
        <v>484</v>
      </c>
      <c r="AC29" s="421" t="s">
        <v>1076</v>
      </c>
      <c r="AD29" s="420" t="s">
        <v>1077</v>
      </c>
      <c r="AE29" s="17"/>
      <c r="AF29" s="17"/>
      <c r="AG29" s="17"/>
      <c r="AH29" s="17"/>
      <c r="AI29" s="230"/>
      <c r="AJ29" s="230"/>
      <c r="AK29" s="230"/>
      <c r="AL29" s="230"/>
      <c r="AM29" s="230"/>
      <c r="AN29" s="17"/>
      <c r="AO29" s="17"/>
      <c r="AP29" s="17"/>
      <c r="AQ29" s="17"/>
      <c r="AR29" s="17"/>
      <c r="AS29" s="230"/>
      <c r="AT29" s="230"/>
      <c r="AU29" s="230"/>
      <c r="AV29" s="230"/>
      <c r="AW29" s="230"/>
      <c r="AX29" s="17"/>
      <c r="AY29" s="17"/>
      <c r="AZ29" s="17"/>
      <c r="BA29" s="17"/>
      <c r="BB29" s="17"/>
      <c r="BC29" s="28"/>
      <c r="BF29" s="970" t="s">
        <v>1078</v>
      </c>
    </row>
    <row r="30" spans="2:58" ht="14.65" hidden="1" customHeight="1">
      <c r="E30" s="676">
        <v>15</v>
      </c>
      <c r="F30" s="779" cm="1">
        <f t="array" ref="F30">F29</f>
        <v>0</v>
      </c>
      <c r="T30" s="698" t="b" cm="1">
        <f t="array" ref="T30">T29</f>
        <v>0</v>
      </c>
      <c r="X30" s="1687"/>
      <c r="Z30" s="1687"/>
      <c r="AB30" s="420" t="s">
        <v>989</v>
      </c>
      <c r="AC30" s="421" t="s">
        <v>1079</v>
      </c>
      <c r="AD30" s="420" t="s">
        <v>1077</v>
      </c>
      <c r="AE30" s="17"/>
      <c r="AF30" s="17"/>
      <c r="AG30" s="17"/>
      <c r="AH30" s="17"/>
      <c r="AI30" s="230"/>
      <c r="AJ30" s="230"/>
      <c r="AK30" s="230"/>
      <c r="AL30" s="230"/>
      <c r="AM30" s="230"/>
      <c r="AN30" s="17"/>
      <c r="AO30" s="17"/>
      <c r="AP30" s="17"/>
      <c r="AQ30" s="17"/>
      <c r="AR30" s="17"/>
      <c r="AS30" s="230"/>
      <c r="AT30" s="230"/>
      <c r="AU30" s="230"/>
      <c r="AV30" s="230"/>
      <c r="AW30" s="230"/>
      <c r="AX30" s="17"/>
      <c r="AY30" s="17"/>
      <c r="AZ30" s="17"/>
      <c r="BA30" s="17"/>
      <c r="BB30" s="17"/>
      <c r="BC30" s="28"/>
      <c r="BF30" s="970" t="s">
        <v>1080</v>
      </c>
    </row>
    <row r="31" spans="2:58" ht="14.65" hidden="1" customHeight="1">
      <c r="E31" s="676">
        <v>15</v>
      </c>
      <c r="F31" s="779" cm="1">
        <f t="array" ref="F31">F30</f>
        <v>0</v>
      </c>
      <c r="T31" s="698" t="b" cm="1">
        <f t="array" ref="T31">T30</f>
        <v>0</v>
      </c>
      <c r="X31" s="1687"/>
      <c r="Z31" s="1687"/>
      <c r="AB31" s="420" t="s">
        <v>991</v>
      </c>
      <c r="AC31" s="421" t="s">
        <v>1081</v>
      </c>
      <c r="AD31" s="420" t="s">
        <v>1077</v>
      </c>
      <c r="AE31" s="17"/>
      <c r="AF31" s="17"/>
      <c r="AG31" s="17"/>
      <c r="AH31" s="17"/>
      <c r="AI31" s="230"/>
      <c r="AJ31" s="230"/>
      <c r="AK31" s="230"/>
      <c r="AL31" s="230"/>
      <c r="AM31" s="230"/>
      <c r="AN31" s="17"/>
      <c r="AO31" s="17"/>
      <c r="AP31" s="17"/>
      <c r="AQ31" s="17"/>
      <c r="AR31" s="17"/>
      <c r="AS31" s="230"/>
      <c r="AT31" s="230"/>
      <c r="AU31" s="230"/>
      <c r="AV31" s="230"/>
      <c r="AW31" s="230"/>
      <c r="AX31" s="17"/>
      <c r="AY31" s="17"/>
      <c r="AZ31" s="17"/>
      <c r="BA31" s="17"/>
      <c r="BB31" s="17"/>
      <c r="BC31" s="28"/>
      <c r="BF31" s="970" t="s">
        <v>1082</v>
      </c>
    </row>
    <row r="32" spans="2:58" ht="14.65" hidden="1" customHeight="1">
      <c r="E32" s="676">
        <v>15</v>
      </c>
      <c r="F32" s="779" cm="1">
        <f t="array" ref="F32">F31</f>
        <v>0</v>
      </c>
      <c r="T32" s="698" t="b" cm="1">
        <f t="array" ref="T32">T31</f>
        <v>0</v>
      </c>
      <c r="X32" s="1687"/>
      <c r="Z32" s="1687"/>
      <c r="AB32" s="420" t="s">
        <v>995</v>
      </c>
      <c r="AC32" s="421" t="s">
        <v>1083</v>
      </c>
      <c r="AD32" s="420" t="s">
        <v>1077</v>
      </c>
      <c r="AE32" s="40">
        <f t="shared" ref="AE32:BB32" si="2">SUM(AE33:AE37)</f>
        <v>0</v>
      </c>
      <c r="AF32" s="40">
        <f t="shared" si="2"/>
        <v>0</v>
      </c>
      <c r="AG32" s="40">
        <f t="shared" si="2"/>
        <v>0</v>
      </c>
      <c r="AH32" s="40">
        <f t="shared" si="2"/>
        <v>0</v>
      </c>
      <c r="AI32" s="415">
        <f t="shared" si="2"/>
        <v>0</v>
      </c>
      <c r="AJ32" s="415">
        <f t="shared" si="2"/>
        <v>0</v>
      </c>
      <c r="AK32" s="415">
        <f t="shared" si="2"/>
        <v>0</v>
      </c>
      <c r="AL32" s="415">
        <f t="shared" si="2"/>
        <v>0</v>
      </c>
      <c r="AM32" s="415">
        <f t="shared" si="2"/>
        <v>0</v>
      </c>
      <c r="AN32" s="40">
        <f t="shared" si="2"/>
        <v>0</v>
      </c>
      <c r="AO32" s="40">
        <f t="shared" si="2"/>
        <v>0</v>
      </c>
      <c r="AP32" s="40">
        <f t="shared" si="2"/>
        <v>0</v>
      </c>
      <c r="AQ32" s="40">
        <f t="shared" si="2"/>
        <v>0</v>
      </c>
      <c r="AR32" s="40">
        <f t="shared" si="2"/>
        <v>0</v>
      </c>
      <c r="AS32" s="415">
        <f t="shared" si="2"/>
        <v>0</v>
      </c>
      <c r="AT32" s="415">
        <f t="shared" si="2"/>
        <v>0</v>
      </c>
      <c r="AU32" s="415">
        <f t="shared" si="2"/>
        <v>0</v>
      </c>
      <c r="AV32" s="415">
        <f t="shared" si="2"/>
        <v>0</v>
      </c>
      <c r="AW32" s="415">
        <f t="shared" si="2"/>
        <v>0</v>
      </c>
      <c r="AX32" s="40">
        <f t="shared" si="2"/>
        <v>0</v>
      </c>
      <c r="AY32" s="40">
        <f t="shared" si="2"/>
        <v>0</v>
      </c>
      <c r="AZ32" s="40">
        <f t="shared" si="2"/>
        <v>0</v>
      </c>
      <c r="BA32" s="40">
        <f t="shared" si="2"/>
        <v>0</v>
      </c>
      <c r="BB32" s="40">
        <f t="shared" si="2"/>
        <v>0</v>
      </c>
      <c r="BC32" s="28"/>
      <c r="BF32" s="970" t="s">
        <v>1084</v>
      </c>
    </row>
    <row r="33" spans="5:58" ht="14.65" hidden="1" customHeight="1">
      <c r="E33" s="676">
        <v>15</v>
      </c>
      <c r="F33" s="779" cm="1">
        <f t="array" ref="F33">F32</f>
        <v>0</v>
      </c>
      <c r="T33" s="698" t="b" cm="1">
        <f t="array" ref="T33">T32</f>
        <v>0</v>
      </c>
      <c r="X33" s="1687"/>
      <c r="Z33" s="1687"/>
      <c r="AB33" s="420" t="s">
        <v>1085</v>
      </c>
      <c r="AC33" s="422" t="s">
        <v>1086</v>
      </c>
      <c r="AD33" s="420" t="s">
        <v>1077</v>
      </c>
      <c r="AE33" s="17"/>
      <c r="AF33" s="17"/>
      <c r="AG33" s="17"/>
      <c r="AH33" s="17"/>
      <c r="AI33" s="230"/>
      <c r="AJ33" s="230"/>
      <c r="AK33" s="230"/>
      <c r="AL33" s="230"/>
      <c r="AM33" s="230"/>
      <c r="AN33" s="17"/>
      <c r="AO33" s="17"/>
      <c r="AP33" s="17"/>
      <c r="AQ33" s="17"/>
      <c r="AR33" s="17"/>
      <c r="AS33" s="230"/>
      <c r="AT33" s="230"/>
      <c r="AU33" s="230"/>
      <c r="AV33" s="230"/>
      <c r="AW33" s="230"/>
      <c r="AX33" s="17"/>
      <c r="AY33" s="17"/>
      <c r="AZ33" s="17"/>
      <c r="BA33" s="17"/>
      <c r="BB33" s="17"/>
      <c r="BC33" s="28"/>
      <c r="BF33" s="970" t="s">
        <v>1087</v>
      </c>
    </row>
    <row r="34" spans="5:58" ht="14.65" hidden="1" customHeight="1">
      <c r="E34" s="676">
        <v>15</v>
      </c>
      <c r="F34" s="779" cm="1">
        <f t="array" ref="F34">F33</f>
        <v>0</v>
      </c>
      <c r="T34" s="698" t="b" cm="1">
        <f t="array" ref="T34">T33</f>
        <v>0</v>
      </c>
      <c r="X34" s="1687"/>
      <c r="Z34" s="1687"/>
      <c r="AB34" s="420" t="s">
        <v>1088</v>
      </c>
      <c r="AC34" s="422" t="s">
        <v>1089</v>
      </c>
      <c r="AD34" s="420" t="s">
        <v>1077</v>
      </c>
      <c r="AE34" s="17"/>
      <c r="AF34" s="17"/>
      <c r="AG34" s="17"/>
      <c r="AH34" s="17"/>
      <c r="AI34" s="230"/>
      <c r="AJ34" s="230"/>
      <c r="AK34" s="230"/>
      <c r="AL34" s="230"/>
      <c r="AM34" s="230"/>
      <c r="AN34" s="17"/>
      <c r="AO34" s="17"/>
      <c r="AP34" s="17"/>
      <c r="AQ34" s="17"/>
      <c r="AR34" s="17"/>
      <c r="AS34" s="230"/>
      <c r="AT34" s="230"/>
      <c r="AU34" s="230"/>
      <c r="AV34" s="230"/>
      <c r="AW34" s="230"/>
      <c r="AX34" s="17"/>
      <c r="AY34" s="17"/>
      <c r="AZ34" s="17"/>
      <c r="BA34" s="17"/>
      <c r="BB34" s="17"/>
      <c r="BC34" s="28"/>
      <c r="BF34" s="970" t="s">
        <v>1090</v>
      </c>
    </row>
    <row r="35" spans="5:58" ht="14.65" hidden="1" customHeight="1">
      <c r="E35" s="676">
        <v>15</v>
      </c>
      <c r="F35" s="779" cm="1">
        <f t="array" ref="F35">F34</f>
        <v>0</v>
      </c>
      <c r="T35" s="698" t="b" cm="1">
        <f t="array" ref="T35">T34</f>
        <v>0</v>
      </c>
      <c r="X35" s="1687"/>
      <c r="Z35" s="1687"/>
      <c r="AB35" s="420" t="s">
        <v>1091</v>
      </c>
      <c r="AC35" s="422" t="s">
        <v>1092</v>
      </c>
      <c r="AD35" s="420" t="s">
        <v>1077</v>
      </c>
      <c r="AE35" s="17"/>
      <c r="AF35" s="17"/>
      <c r="AG35" s="17"/>
      <c r="AH35" s="17"/>
      <c r="AI35" s="230"/>
      <c r="AJ35" s="230"/>
      <c r="AK35" s="230"/>
      <c r="AL35" s="230"/>
      <c r="AM35" s="230"/>
      <c r="AN35" s="17"/>
      <c r="AO35" s="17"/>
      <c r="AP35" s="17"/>
      <c r="AQ35" s="17"/>
      <c r="AR35" s="17"/>
      <c r="AS35" s="230"/>
      <c r="AT35" s="230"/>
      <c r="AU35" s="230"/>
      <c r="AV35" s="230"/>
      <c r="AW35" s="230"/>
      <c r="AX35" s="17"/>
      <c r="AY35" s="17"/>
      <c r="AZ35" s="17"/>
      <c r="BA35" s="17"/>
      <c r="BB35" s="17"/>
      <c r="BC35" s="28"/>
      <c r="BF35" s="970" t="s">
        <v>1093</v>
      </c>
    </row>
    <row r="36" spans="5:58" ht="14.65" hidden="1" customHeight="1">
      <c r="E36" s="676">
        <v>15</v>
      </c>
      <c r="F36" s="779" cm="1">
        <f t="array" ref="F36">F35</f>
        <v>0</v>
      </c>
      <c r="T36" s="698" t="b" cm="1">
        <f t="array" ref="T36">T35</f>
        <v>0</v>
      </c>
      <c r="X36" s="1687"/>
      <c r="Z36" s="1687"/>
      <c r="AB36" s="420" t="s">
        <v>1094</v>
      </c>
      <c r="AC36" s="422" t="s">
        <v>1095</v>
      </c>
      <c r="AD36" s="420" t="s">
        <v>1077</v>
      </c>
      <c r="AE36" s="17"/>
      <c r="AF36" s="17"/>
      <c r="AG36" s="17"/>
      <c r="AH36" s="17"/>
      <c r="AI36" s="230"/>
      <c r="AJ36" s="230"/>
      <c r="AK36" s="230"/>
      <c r="AL36" s="230"/>
      <c r="AM36" s="230"/>
      <c r="AN36" s="17"/>
      <c r="AO36" s="17"/>
      <c r="AP36" s="17"/>
      <c r="AQ36" s="17"/>
      <c r="AR36" s="17"/>
      <c r="AS36" s="230"/>
      <c r="AT36" s="230"/>
      <c r="AU36" s="230"/>
      <c r="AV36" s="230"/>
      <c r="AW36" s="230"/>
      <c r="AX36" s="17"/>
      <c r="AY36" s="17"/>
      <c r="AZ36" s="17"/>
      <c r="BA36" s="17"/>
      <c r="BB36" s="17"/>
      <c r="BC36" s="28"/>
      <c r="BF36" s="970" t="s">
        <v>1096</v>
      </c>
    </row>
    <row r="37" spans="5:58" ht="14.65" hidden="1" customHeight="1">
      <c r="E37" s="676">
        <v>15</v>
      </c>
      <c r="F37" s="779" cm="1">
        <f t="array" ref="F37">F36</f>
        <v>0</v>
      </c>
      <c r="T37" s="698" t="b" cm="1">
        <f t="array" ref="T37">T36</f>
        <v>0</v>
      </c>
      <c r="X37" s="1687"/>
      <c r="Z37" s="1687"/>
      <c r="AB37" s="420" t="s">
        <v>1097</v>
      </c>
      <c r="AC37" s="422" t="s">
        <v>1098</v>
      </c>
      <c r="AD37" s="420" t="s">
        <v>1077</v>
      </c>
      <c r="AE37" s="17"/>
      <c r="AF37" s="17"/>
      <c r="AG37" s="17"/>
      <c r="AH37" s="17"/>
      <c r="AI37" s="230"/>
      <c r="AJ37" s="230"/>
      <c r="AK37" s="230"/>
      <c r="AL37" s="230"/>
      <c r="AM37" s="230"/>
      <c r="AN37" s="17"/>
      <c r="AO37" s="17"/>
      <c r="AP37" s="17"/>
      <c r="AQ37" s="17"/>
      <c r="AR37" s="17"/>
      <c r="AS37" s="230"/>
      <c r="AT37" s="230"/>
      <c r="AU37" s="230"/>
      <c r="AV37" s="230"/>
      <c r="AW37" s="230"/>
      <c r="AX37" s="17"/>
      <c r="AY37" s="17"/>
      <c r="AZ37" s="17"/>
      <c r="BA37" s="17"/>
      <c r="BB37" s="17"/>
      <c r="BC37" s="28"/>
      <c r="BF37" s="970" t="s">
        <v>1099</v>
      </c>
    </row>
    <row r="38" spans="5:58" ht="14.65" hidden="1" customHeight="1">
      <c r="E38" s="676">
        <v>15</v>
      </c>
      <c r="F38" s="779" cm="1">
        <f t="array" ref="F38">F37</f>
        <v>0</v>
      </c>
      <c r="T38" s="698" t="b" cm="1">
        <f t="array" ref="T38">T37</f>
        <v>0</v>
      </c>
      <c r="X38" s="1687"/>
      <c r="Z38" s="1687"/>
      <c r="AB38" s="420" t="s">
        <v>1100</v>
      </c>
      <c r="AC38" s="421" t="s">
        <v>1101</v>
      </c>
      <c r="AD38" s="420" t="s">
        <v>1077</v>
      </c>
      <c r="AE38" s="17"/>
      <c r="AF38" s="17"/>
      <c r="AG38" s="17"/>
      <c r="AH38" s="17"/>
      <c r="AI38" s="230"/>
      <c r="AJ38" s="230"/>
      <c r="AK38" s="230"/>
      <c r="AL38" s="230"/>
      <c r="AM38" s="230"/>
      <c r="AN38" s="17"/>
      <c r="AO38" s="17"/>
      <c r="AP38" s="17"/>
      <c r="AQ38" s="17"/>
      <c r="AR38" s="17"/>
      <c r="AS38" s="230"/>
      <c r="AT38" s="230"/>
      <c r="AU38" s="230"/>
      <c r="AV38" s="230"/>
      <c r="AW38" s="230"/>
      <c r="AX38" s="17"/>
      <c r="AY38" s="17"/>
      <c r="AZ38" s="17"/>
      <c r="BA38" s="17"/>
      <c r="BB38" s="17"/>
      <c r="BC38" s="28"/>
      <c r="BF38" s="970" t="s">
        <v>1102</v>
      </c>
    </row>
    <row r="39" spans="5:58" ht="14.65" hidden="1" customHeight="1">
      <c r="E39" s="676">
        <v>15</v>
      </c>
      <c r="F39" s="779" cm="1">
        <f t="array" ref="F39">F38</f>
        <v>0</v>
      </c>
      <c r="T39" s="698" t="b" cm="1">
        <f t="array" ref="T39">T38</f>
        <v>0</v>
      </c>
      <c r="X39" s="1687"/>
      <c r="Z39" s="1687"/>
      <c r="AB39" s="420" t="s">
        <v>1103</v>
      </c>
      <c r="AC39" s="421" t="s">
        <v>1104</v>
      </c>
      <c r="AD39" s="420" t="s">
        <v>1077</v>
      </c>
      <c r="AE39" s="17"/>
      <c r="AF39" s="17"/>
      <c r="AG39" s="17"/>
      <c r="AH39" s="17"/>
      <c r="AI39" s="230"/>
      <c r="AJ39" s="230"/>
      <c r="AK39" s="230"/>
      <c r="AL39" s="230"/>
      <c r="AM39" s="230"/>
      <c r="AN39" s="17"/>
      <c r="AO39" s="17"/>
      <c r="AP39" s="17"/>
      <c r="AQ39" s="17"/>
      <c r="AR39" s="17"/>
      <c r="AS39" s="230"/>
      <c r="AT39" s="230"/>
      <c r="AU39" s="230"/>
      <c r="AV39" s="230"/>
      <c r="AW39" s="230"/>
      <c r="AX39" s="17"/>
      <c r="AY39" s="17"/>
      <c r="AZ39" s="17"/>
      <c r="BA39" s="17"/>
      <c r="BB39" s="17"/>
      <c r="BC39" s="28"/>
      <c r="BF39" s="970" t="s">
        <v>1105</v>
      </c>
    </row>
    <row r="40" spans="5:58" ht="14.65" hidden="1" customHeight="1">
      <c r="E40" s="676">
        <v>15</v>
      </c>
      <c r="F40" s="779" cm="1">
        <f t="array" ref="F40">F39</f>
        <v>0</v>
      </c>
      <c r="T40" s="698" t="b" cm="1">
        <f t="array" ref="T40">T39</f>
        <v>0</v>
      </c>
      <c r="X40" s="1687"/>
      <c r="Z40" s="1687"/>
      <c r="AB40" s="420" t="s">
        <v>1106</v>
      </c>
      <c r="AC40" s="421" t="s">
        <v>1107</v>
      </c>
      <c r="AD40" s="420" t="s">
        <v>1077</v>
      </c>
      <c r="AE40" s="17"/>
      <c r="AF40" s="17"/>
      <c r="AG40" s="17"/>
      <c r="AH40" s="17"/>
      <c r="AI40" s="230"/>
      <c r="AJ40" s="230"/>
      <c r="AK40" s="230"/>
      <c r="AL40" s="230"/>
      <c r="AM40" s="230"/>
      <c r="AN40" s="17"/>
      <c r="AO40" s="17"/>
      <c r="AP40" s="17"/>
      <c r="AQ40" s="17"/>
      <c r="AR40" s="17"/>
      <c r="AS40" s="230"/>
      <c r="AT40" s="230"/>
      <c r="AU40" s="230"/>
      <c r="AV40" s="230"/>
      <c r="AW40" s="230"/>
      <c r="AX40" s="17"/>
      <c r="AY40" s="17"/>
      <c r="AZ40" s="17"/>
      <c r="BA40" s="17"/>
      <c r="BB40" s="17"/>
      <c r="BC40" s="28"/>
      <c r="BF40" s="970" t="s">
        <v>1108</v>
      </c>
    </row>
    <row r="41" spans="5:58" ht="14.65" hidden="1" customHeight="1">
      <c r="E41" s="676">
        <v>15</v>
      </c>
      <c r="F41" s="779" cm="1">
        <f t="array" ref="F41">F40</f>
        <v>0</v>
      </c>
      <c r="T41" s="698" t="b" cm="1">
        <f t="array" ref="T41">T40</f>
        <v>0</v>
      </c>
      <c r="X41" s="1687"/>
      <c r="Z41" s="1687"/>
      <c r="AB41" s="420" t="s">
        <v>1109</v>
      </c>
      <c r="AC41" s="421" t="s">
        <v>1110</v>
      </c>
      <c r="AD41" s="420" t="s">
        <v>1077</v>
      </c>
      <c r="AE41" s="17"/>
      <c r="AF41" s="17"/>
      <c r="AG41" s="17"/>
      <c r="AH41" s="17"/>
      <c r="AI41" s="230"/>
      <c r="AJ41" s="230"/>
      <c r="AK41" s="230"/>
      <c r="AL41" s="230"/>
      <c r="AM41" s="230"/>
      <c r="AN41" s="17"/>
      <c r="AO41" s="17"/>
      <c r="AP41" s="17"/>
      <c r="AQ41" s="17"/>
      <c r="AR41" s="17"/>
      <c r="AS41" s="230"/>
      <c r="AT41" s="230"/>
      <c r="AU41" s="230"/>
      <c r="AV41" s="230"/>
      <c r="AW41" s="230"/>
      <c r="AX41" s="17"/>
      <c r="AY41" s="17"/>
      <c r="AZ41" s="17"/>
      <c r="BA41" s="17"/>
      <c r="BB41" s="17"/>
      <c r="BC41" s="28"/>
      <c r="BF41" s="970" t="s">
        <v>1111</v>
      </c>
    </row>
    <row r="42" spans="5:58" s="167" customFormat="1" ht="44.45" hidden="1" customHeight="1">
      <c r="E42" s="676">
        <v>45.6</v>
      </c>
      <c r="F42" s="779" cm="1">
        <f t="array" ref="F42">F41</f>
        <v>0</v>
      </c>
      <c r="T42" s="698" t="b" cm="1">
        <f t="array" ref="T42">T41</f>
        <v>0</v>
      </c>
      <c r="X42" s="1811"/>
      <c r="Z42" s="1811"/>
      <c r="AB42" s="227">
        <v>2</v>
      </c>
      <c r="AC42" s="228" t="s">
        <v>1112</v>
      </c>
      <c r="AD42" s="107" t="s">
        <v>839</v>
      </c>
      <c r="AE42" s="57">
        <f t="shared" ref="AE42:BB42" si="3">SUM(AE43:AE46)+SUM(AE52:AE55)</f>
        <v>0</v>
      </c>
      <c r="AF42" s="57">
        <f t="shared" si="3"/>
        <v>0</v>
      </c>
      <c r="AG42" s="57">
        <f t="shared" si="3"/>
        <v>0</v>
      </c>
      <c r="AH42" s="57">
        <f t="shared" si="3"/>
        <v>0</v>
      </c>
      <c r="AI42" s="242">
        <f t="shared" si="3"/>
        <v>0</v>
      </c>
      <c r="AJ42" s="242">
        <f t="shared" si="3"/>
        <v>0</v>
      </c>
      <c r="AK42" s="242">
        <f t="shared" si="3"/>
        <v>0</v>
      </c>
      <c r="AL42" s="242">
        <f t="shared" si="3"/>
        <v>0</v>
      </c>
      <c r="AM42" s="242">
        <f t="shared" si="3"/>
        <v>0</v>
      </c>
      <c r="AN42" s="57">
        <f t="shared" si="3"/>
        <v>0</v>
      </c>
      <c r="AO42" s="57">
        <f t="shared" si="3"/>
        <v>0</v>
      </c>
      <c r="AP42" s="57">
        <f t="shared" si="3"/>
        <v>0</v>
      </c>
      <c r="AQ42" s="57">
        <f t="shared" si="3"/>
        <v>0</v>
      </c>
      <c r="AR42" s="57">
        <f t="shared" si="3"/>
        <v>0</v>
      </c>
      <c r="AS42" s="242">
        <f t="shared" si="3"/>
        <v>0</v>
      </c>
      <c r="AT42" s="242">
        <f t="shared" si="3"/>
        <v>0</v>
      </c>
      <c r="AU42" s="242">
        <f t="shared" si="3"/>
        <v>0</v>
      </c>
      <c r="AV42" s="242">
        <f t="shared" si="3"/>
        <v>0</v>
      </c>
      <c r="AW42" s="242">
        <f t="shared" si="3"/>
        <v>0</v>
      </c>
      <c r="AX42" s="57">
        <f t="shared" si="3"/>
        <v>0</v>
      </c>
      <c r="AY42" s="57">
        <f t="shared" si="3"/>
        <v>0</v>
      </c>
      <c r="AZ42" s="57">
        <f t="shared" si="3"/>
        <v>0</v>
      </c>
      <c r="BA42" s="57">
        <f t="shared" si="3"/>
        <v>0</v>
      </c>
      <c r="BB42" s="57">
        <f t="shared" si="3"/>
        <v>0</v>
      </c>
      <c r="BC42" s="28"/>
      <c r="BF42" s="970" t="s">
        <v>1113</v>
      </c>
    </row>
    <row r="43" spans="5:58" ht="14.65" hidden="1" customHeight="1">
      <c r="E43" s="676">
        <v>15</v>
      </c>
      <c r="F43" s="779" cm="1">
        <f t="array" ref="F43">F42</f>
        <v>0</v>
      </c>
      <c r="T43" s="698" t="b" cm="1">
        <f t="array" ref="T43">T42</f>
        <v>0</v>
      </c>
      <c r="X43" s="1687"/>
      <c r="Z43" s="1687"/>
      <c r="AB43" s="420" t="str">
        <f>AB42&amp;".1"</f>
        <v>2.1</v>
      </c>
      <c r="AC43" s="421" t="s">
        <v>1076</v>
      </c>
      <c r="AD43" s="420" t="s">
        <v>1077</v>
      </c>
      <c r="AE43" s="17"/>
      <c r="AF43" s="17"/>
      <c r="AG43" s="17"/>
      <c r="AH43" s="17"/>
      <c r="AI43" s="230"/>
      <c r="AJ43" s="230"/>
      <c r="AK43" s="230"/>
      <c r="AL43" s="230"/>
      <c r="AM43" s="230"/>
      <c r="AN43" s="17"/>
      <c r="AO43" s="17"/>
      <c r="AP43" s="17"/>
      <c r="AQ43" s="17"/>
      <c r="AR43" s="17"/>
      <c r="AS43" s="230"/>
      <c r="AT43" s="230"/>
      <c r="AU43" s="230"/>
      <c r="AV43" s="230"/>
      <c r="AW43" s="230"/>
      <c r="AX43" s="17"/>
      <c r="AY43" s="17"/>
      <c r="AZ43" s="17"/>
      <c r="BA43" s="17"/>
      <c r="BB43" s="17"/>
      <c r="BC43" s="28"/>
      <c r="BF43" s="970" t="s">
        <v>1114</v>
      </c>
    </row>
    <row r="44" spans="5:58" ht="14.65" hidden="1" customHeight="1">
      <c r="E44" s="676">
        <v>15</v>
      </c>
      <c r="F44" s="779" cm="1">
        <f t="array" ref="F44">F43</f>
        <v>0</v>
      </c>
      <c r="T44" s="698" t="b" cm="1">
        <f t="array" ref="T44">T43</f>
        <v>0</v>
      </c>
      <c r="X44" s="1687"/>
      <c r="Z44" s="1687"/>
      <c r="AB44" s="420" t="str">
        <f>AB42&amp;".2"</f>
        <v>2.2</v>
      </c>
      <c r="AC44" s="421" t="s">
        <v>1079</v>
      </c>
      <c r="AD44" s="420" t="s">
        <v>1077</v>
      </c>
      <c r="AE44" s="17"/>
      <c r="AF44" s="17"/>
      <c r="AG44" s="17"/>
      <c r="AH44" s="17"/>
      <c r="AI44" s="230"/>
      <c r="AJ44" s="230"/>
      <c r="AK44" s="230"/>
      <c r="AL44" s="230"/>
      <c r="AM44" s="230"/>
      <c r="AN44" s="17"/>
      <c r="AO44" s="17"/>
      <c r="AP44" s="17"/>
      <c r="AQ44" s="17"/>
      <c r="AR44" s="17"/>
      <c r="AS44" s="230"/>
      <c r="AT44" s="230"/>
      <c r="AU44" s="230"/>
      <c r="AV44" s="230"/>
      <c r="AW44" s="230"/>
      <c r="AX44" s="17"/>
      <c r="AY44" s="17"/>
      <c r="AZ44" s="17"/>
      <c r="BA44" s="17"/>
      <c r="BB44" s="17"/>
      <c r="BC44" s="28"/>
      <c r="BF44" s="970" t="s">
        <v>1115</v>
      </c>
    </row>
    <row r="45" spans="5:58" ht="14.65" hidden="1" customHeight="1">
      <c r="E45" s="676">
        <v>15</v>
      </c>
      <c r="F45" s="779" cm="1">
        <f t="array" ref="F45">F44</f>
        <v>0</v>
      </c>
      <c r="T45" s="698" t="b" cm="1">
        <f t="array" ref="T45">T44</f>
        <v>0</v>
      </c>
      <c r="X45" s="1687"/>
      <c r="Z45" s="1687"/>
      <c r="AB45" s="420" t="str">
        <f>AB42&amp;".3"</f>
        <v>2.3</v>
      </c>
      <c r="AC45" s="421" t="s">
        <v>1081</v>
      </c>
      <c r="AD45" s="420" t="s">
        <v>1077</v>
      </c>
      <c r="AE45" s="17"/>
      <c r="AF45" s="17"/>
      <c r="AG45" s="17"/>
      <c r="AH45" s="17"/>
      <c r="AI45" s="230"/>
      <c r="AJ45" s="230"/>
      <c r="AK45" s="230"/>
      <c r="AL45" s="230"/>
      <c r="AM45" s="230"/>
      <c r="AN45" s="17"/>
      <c r="AO45" s="17"/>
      <c r="AP45" s="17"/>
      <c r="AQ45" s="17"/>
      <c r="AR45" s="17"/>
      <c r="AS45" s="230"/>
      <c r="AT45" s="230"/>
      <c r="AU45" s="230"/>
      <c r="AV45" s="230"/>
      <c r="AW45" s="230"/>
      <c r="AX45" s="17"/>
      <c r="AY45" s="17"/>
      <c r="AZ45" s="17"/>
      <c r="BA45" s="17"/>
      <c r="BB45" s="17"/>
      <c r="BC45" s="28"/>
      <c r="BF45" s="970" t="s">
        <v>1116</v>
      </c>
    </row>
    <row r="46" spans="5:58" ht="14.65" hidden="1" customHeight="1">
      <c r="E46" s="676">
        <v>15</v>
      </c>
      <c r="F46" s="779" cm="1">
        <f t="array" ref="F46">F45</f>
        <v>0</v>
      </c>
      <c r="T46" s="698" t="b" cm="1">
        <f t="array" ref="T46">T45</f>
        <v>0</v>
      </c>
      <c r="X46" s="1687"/>
      <c r="Z46" s="1687"/>
      <c r="AB46" s="420" t="str">
        <f>AB42&amp;".4"</f>
        <v>2.4</v>
      </c>
      <c r="AC46" s="421" t="s">
        <v>1083</v>
      </c>
      <c r="AD46" s="420" t="s">
        <v>1077</v>
      </c>
      <c r="AE46" s="40">
        <f t="shared" ref="AE46:BB46" si="4">SUM(AE47:AE51)</f>
        <v>0</v>
      </c>
      <c r="AF46" s="40">
        <f t="shared" si="4"/>
        <v>0</v>
      </c>
      <c r="AG46" s="40">
        <f t="shared" si="4"/>
        <v>0</v>
      </c>
      <c r="AH46" s="40">
        <f t="shared" si="4"/>
        <v>0</v>
      </c>
      <c r="AI46" s="415">
        <f t="shared" si="4"/>
        <v>0</v>
      </c>
      <c r="AJ46" s="415">
        <f t="shared" si="4"/>
        <v>0</v>
      </c>
      <c r="AK46" s="415">
        <f t="shared" si="4"/>
        <v>0</v>
      </c>
      <c r="AL46" s="415">
        <f t="shared" si="4"/>
        <v>0</v>
      </c>
      <c r="AM46" s="415">
        <f t="shared" si="4"/>
        <v>0</v>
      </c>
      <c r="AN46" s="40">
        <f t="shared" si="4"/>
        <v>0</v>
      </c>
      <c r="AO46" s="40">
        <f t="shared" si="4"/>
        <v>0</v>
      </c>
      <c r="AP46" s="40">
        <f t="shared" si="4"/>
        <v>0</v>
      </c>
      <c r="AQ46" s="40">
        <f t="shared" si="4"/>
        <v>0</v>
      </c>
      <c r="AR46" s="40">
        <f t="shared" si="4"/>
        <v>0</v>
      </c>
      <c r="AS46" s="415">
        <f t="shared" si="4"/>
        <v>0</v>
      </c>
      <c r="AT46" s="415">
        <f t="shared" si="4"/>
        <v>0</v>
      </c>
      <c r="AU46" s="415">
        <f t="shared" si="4"/>
        <v>0</v>
      </c>
      <c r="AV46" s="415">
        <f t="shared" si="4"/>
        <v>0</v>
      </c>
      <c r="AW46" s="415">
        <f t="shared" si="4"/>
        <v>0</v>
      </c>
      <c r="AX46" s="40">
        <f t="shared" si="4"/>
        <v>0</v>
      </c>
      <c r="AY46" s="40">
        <f t="shared" si="4"/>
        <v>0</v>
      </c>
      <c r="AZ46" s="40">
        <f t="shared" si="4"/>
        <v>0</v>
      </c>
      <c r="BA46" s="40">
        <f t="shared" si="4"/>
        <v>0</v>
      </c>
      <c r="BB46" s="40">
        <f t="shared" si="4"/>
        <v>0</v>
      </c>
      <c r="BC46" s="28"/>
      <c r="BF46" s="970" t="s">
        <v>1117</v>
      </c>
    </row>
    <row r="47" spans="5:58" ht="14.65" hidden="1" customHeight="1">
      <c r="E47" s="676">
        <v>15</v>
      </c>
      <c r="F47" s="779" cm="1">
        <f t="array" ref="F47">F46</f>
        <v>0</v>
      </c>
      <c r="T47" s="698" t="b" cm="1">
        <f t="array" ref="T47">T46</f>
        <v>0</v>
      </c>
      <c r="X47" s="1687"/>
      <c r="Z47" s="1687"/>
      <c r="AB47" s="420" t="str">
        <f>AB46&amp;".1"</f>
        <v>2.4.1</v>
      </c>
      <c r="AC47" s="422" t="s">
        <v>1086</v>
      </c>
      <c r="AD47" s="420" t="s">
        <v>1077</v>
      </c>
      <c r="AE47" s="17"/>
      <c r="AF47" s="17"/>
      <c r="AG47" s="17"/>
      <c r="AH47" s="17"/>
      <c r="AI47" s="230"/>
      <c r="AJ47" s="230"/>
      <c r="AK47" s="230"/>
      <c r="AL47" s="230"/>
      <c r="AM47" s="230"/>
      <c r="AN47" s="17"/>
      <c r="AO47" s="17"/>
      <c r="AP47" s="17"/>
      <c r="AQ47" s="17"/>
      <c r="AR47" s="17"/>
      <c r="AS47" s="230"/>
      <c r="AT47" s="230"/>
      <c r="AU47" s="230"/>
      <c r="AV47" s="230"/>
      <c r="AW47" s="230"/>
      <c r="AX47" s="17"/>
      <c r="AY47" s="17"/>
      <c r="AZ47" s="17"/>
      <c r="BA47" s="17"/>
      <c r="BB47" s="17"/>
      <c r="BC47" s="28"/>
      <c r="BF47" s="970" t="s">
        <v>1118</v>
      </c>
    </row>
    <row r="48" spans="5:58" ht="14.65" hidden="1" customHeight="1">
      <c r="E48" s="676">
        <v>15</v>
      </c>
      <c r="F48" s="779" cm="1">
        <f t="array" ref="F48">F47</f>
        <v>0</v>
      </c>
      <c r="T48" s="698" t="b" cm="1">
        <f t="array" ref="T48">T47</f>
        <v>0</v>
      </c>
      <c r="X48" s="1687"/>
      <c r="Z48" s="1687"/>
      <c r="AB48" s="420" t="str">
        <f>AB46&amp;".2"</f>
        <v>2.4.2</v>
      </c>
      <c r="AC48" s="422" t="s">
        <v>1089</v>
      </c>
      <c r="AD48" s="420" t="s">
        <v>1077</v>
      </c>
      <c r="AE48" s="17"/>
      <c r="AF48" s="17"/>
      <c r="AG48" s="17"/>
      <c r="AH48" s="17"/>
      <c r="AI48" s="230"/>
      <c r="AJ48" s="230"/>
      <c r="AK48" s="230"/>
      <c r="AL48" s="230"/>
      <c r="AM48" s="230"/>
      <c r="AN48" s="17"/>
      <c r="AO48" s="17"/>
      <c r="AP48" s="17"/>
      <c r="AQ48" s="17"/>
      <c r="AR48" s="17"/>
      <c r="AS48" s="230"/>
      <c r="AT48" s="230"/>
      <c r="AU48" s="230"/>
      <c r="AV48" s="230"/>
      <c r="AW48" s="230"/>
      <c r="AX48" s="17"/>
      <c r="AY48" s="17"/>
      <c r="AZ48" s="17"/>
      <c r="BA48" s="17"/>
      <c r="BB48" s="17"/>
      <c r="BC48" s="28"/>
      <c r="BF48" s="970" t="s">
        <v>1119</v>
      </c>
    </row>
    <row r="49" spans="5:58" ht="14.65" hidden="1" customHeight="1">
      <c r="E49" s="676">
        <v>15</v>
      </c>
      <c r="F49" s="779" cm="1">
        <f t="array" ref="F49">F48</f>
        <v>0</v>
      </c>
      <c r="T49" s="698" t="b" cm="1">
        <f t="array" ref="T49">T48</f>
        <v>0</v>
      </c>
      <c r="X49" s="1687"/>
      <c r="Z49" s="1687"/>
      <c r="AB49" s="420" t="str">
        <f>AB46&amp;".3"</f>
        <v>2.4.3</v>
      </c>
      <c r="AC49" s="422" t="s">
        <v>1092</v>
      </c>
      <c r="AD49" s="420" t="s">
        <v>1077</v>
      </c>
      <c r="AE49" s="17"/>
      <c r="AF49" s="17"/>
      <c r="AG49" s="17"/>
      <c r="AH49" s="17"/>
      <c r="AI49" s="230"/>
      <c r="AJ49" s="230"/>
      <c r="AK49" s="230"/>
      <c r="AL49" s="230"/>
      <c r="AM49" s="230"/>
      <c r="AN49" s="17"/>
      <c r="AO49" s="17"/>
      <c r="AP49" s="17"/>
      <c r="AQ49" s="17"/>
      <c r="AR49" s="17"/>
      <c r="AS49" s="230"/>
      <c r="AT49" s="230"/>
      <c r="AU49" s="230"/>
      <c r="AV49" s="230"/>
      <c r="AW49" s="230"/>
      <c r="AX49" s="17"/>
      <c r="AY49" s="17"/>
      <c r="AZ49" s="17"/>
      <c r="BA49" s="17"/>
      <c r="BB49" s="17"/>
      <c r="BC49" s="28"/>
      <c r="BF49" s="970" t="s">
        <v>1120</v>
      </c>
    </row>
    <row r="50" spans="5:58" ht="14.65" hidden="1" customHeight="1">
      <c r="E50" s="676">
        <v>15</v>
      </c>
      <c r="F50" s="779" cm="1">
        <f t="array" ref="F50">F49</f>
        <v>0</v>
      </c>
      <c r="T50" s="698" t="b" cm="1">
        <f t="array" ref="T50">T49</f>
        <v>0</v>
      </c>
      <c r="X50" s="1687"/>
      <c r="Z50" s="1687"/>
      <c r="AB50" s="420" t="str">
        <f>AB46&amp;".4"</f>
        <v>2.4.4</v>
      </c>
      <c r="AC50" s="422" t="s">
        <v>1095</v>
      </c>
      <c r="AD50" s="420" t="s">
        <v>1077</v>
      </c>
      <c r="AE50" s="17"/>
      <c r="AF50" s="17"/>
      <c r="AG50" s="17"/>
      <c r="AH50" s="17"/>
      <c r="AI50" s="230"/>
      <c r="AJ50" s="230"/>
      <c r="AK50" s="230"/>
      <c r="AL50" s="230"/>
      <c r="AM50" s="230"/>
      <c r="AN50" s="17"/>
      <c r="AO50" s="17"/>
      <c r="AP50" s="17"/>
      <c r="AQ50" s="17"/>
      <c r="AR50" s="17"/>
      <c r="AS50" s="230"/>
      <c r="AT50" s="230"/>
      <c r="AU50" s="230"/>
      <c r="AV50" s="230"/>
      <c r="AW50" s="230"/>
      <c r="AX50" s="17"/>
      <c r="AY50" s="17"/>
      <c r="AZ50" s="17"/>
      <c r="BA50" s="17"/>
      <c r="BB50" s="17"/>
      <c r="BC50" s="28"/>
      <c r="BF50" s="970" t="s">
        <v>1121</v>
      </c>
    </row>
    <row r="51" spans="5:58" ht="14.65" hidden="1" customHeight="1">
      <c r="E51" s="676">
        <v>15</v>
      </c>
      <c r="F51" s="779" cm="1">
        <f t="array" ref="F51">F50</f>
        <v>0</v>
      </c>
      <c r="T51" s="698" t="b" cm="1">
        <f t="array" ref="T51">T50</f>
        <v>0</v>
      </c>
      <c r="X51" s="1687"/>
      <c r="Z51" s="1687"/>
      <c r="AB51" s="420" t="str">
        <f>AB46&amp;".5"</f>
        <v>2.4.5</v>
      </c>
      <c r="AC51" s="422" t="s">
        <v>1098</v>
      </c>
      <c r="AD51" s="420" t="s">
        <v>1077</v>
      </c>
      <c r="AE51" s="17"/>
      <c r="AF51" s="17"/>
      <c r="AG51" s="17"/>
      <c r="AH51" s="17"/>
      <c r="AI51" s="230"/>
      <c r="AJ51" s="230"/>
      <c r="AK51" s="230"/>
      <c r="AL51" s="230"/>
      <c r="AM51" s="230"/>
      <c r="AN51" s="17"/>
      <c r="AO51" s="17"/>
      <c r="AP51" s="17"/>
      <c r="AQ51" s="17"/>
      <c r="AR51" s="17"/>
      <c r="AS51" s="230"/>
      <c r="AT51" s="230"/>
      <c r="AU51" s="230"/>
      <c r="AV51" s="230"/>
      <c r="AW51" s="230"/>
      <c r="AX51" s="17"/>
      <c r="AY51" s="17"/>
      <c r="AZ51" s="17"/>
      <c r="BA51" s="17"/>
      <c r="BB51" s="17"/>
      <c r="BC51" s="28"/>
      <c r="BF51" s="970" t="s">
        <v>1122</v>
      </c>
    </row>
    <row r="52" spans="5:58" ht="14.65" hidden="1" customHeight="1">
      <c r="E52" s="676">
        <v>15</v>
      </c>
      <c r="F52" s="779" cm="1">
        <f t="array" ref="F52">F51</f>
        <v>0</v>
      </c>
      <c r="T52" s="698" t="b" cm="1">
        <f t="array" ref="T52">T51</f>
        <v>0</v>
      </c>
      <c r="X52" s="1687"/>
      <c r="Z52" s="1687"/>
      <c r="AB52" s="420" t="str">
        <f>AB42&amp;".5"</f>
        <v>2.5</v>
      </c>
      <c r="AC52" s="421" t="s">
        <v>1101</v>
      </c>
      <c r="AD52" s="420" t="s">
        <v>1077</v>
      </c>
      <c r="AE52" s="17"/>
      <c r="AF52" s="17"/>
      <c r="AG52" s="17"/>
      <c r="AH52" s="17"/>
      <c r="AI52" s="230"/>
      <c r="AJ52" s="230"/>
      <c r="AK52" s="230"/>
      <c r="AL52" s="230"/>
      <c r="AM52" s="230"/>
      <c r="AN52" s="17"/>
      <c r="AO52" s="17"/>
      <c r="AP52" s="17"/>
      <c r="AQ52" s="17"/>
      <c r="AR52" s="17"/>
      <c r="AS52" s="230"/>
      <c r="AT52" s="230"/>
      <c r="AU52" s="230"/>
      <c r="AV52" s="230"/>
      <c r="AW52" s="230"/>
      <c r="AX52" s="17"/>
      <c r="AY52" s="17"/>
      <c r="AZ52" s="17"/>
      <c r="BA52" s="17"/>
      <c r="BB52" s="17"/>
      <c r="BC52" s="28"/>
      <c r="BF52" s="970" t="s">
        <v>1123</v>
      </c>
    </row>
    <row r="53" spans="5:58" ht="14.65" hidden="1" customHeight="1">
      <c r="E53" s="676">
        <v>15</v>
      </c>
      <c r="F53" s="779" cm="1">
        <f t="array" ref="F53">F52</f>
        <v>0</v>
      </c>
      <c r="T53" s="698" t="b" cm="1">
        <f t="array" ref="T53">T52</f>
        <v>0</v>
      </c>
      <c r="X53" s="1687"/>
      <c r="Z53" s="1687"/>
      <c r="AB53" s="420" t="str">
        <f>AB42&amp;".6"</f>
        <v>2.6</v>
      </c>
      <c r="AC53" s="421" t="s">
        <v>1104</v>
      </c>
      <c r="AD53" s="420" t="s">
        <v>1077</v>
      </c>
      <c r="AE53" s="17"/>
      <c r="AF53" s="17"/>
      <c r="AG53" s="17"/>
      <c r="AH53" s="17"/>
      <c r="AI53" s="230"/>
      <c r="AJ53" s="230"/>
      <c r="AK53" s="230"/>
      <c r="AL53" s="230"/>
      <c r="AM53" s="230"/>
      <c r="AN53" s="17"/>
      <c r="AO53" s="17"/>
      <c r="AP53" s="17"/>
      <c r="AQ53" s="17"/>
      <c r="AR53" s="17"/>
      <c r="AS53" s="230"/>
      <c r="AT53" s="230"/>
      <c r="AU53" s="230"/>
      <c r="AV53" s="230"/>
      <c r="AW53" s="230"/>
      <c r="AX53" s="17"/>
      <c r="AY53" s="17"/>
      <c r="AZ53" s="17"/>
      <c r="BA53" s="17"/>
      <c r="BB53" s="17"/>
      <c r="BC53" s="28"/>
      <c r="BF53" s="970" t="s">
        <v>1124</v>
      </c>
    </row>
    <row r="54" spans="5:58" ht="14.65" hidden="1" customHeight="1">
      <c r="E54" s="676">
        <v>15</v>
      </c>
      <c r="F54" s="779" cm="1">
        <f t="array" ref="F54">F53</f>
        <v>0</v>
      </c>
      <c r="T54" s="698" t="b" cm="1">
        <f t="array" ref="T54">T53</f>
        <v>0</v>
      </c>
      <c r="X54" s="1687"/>
      <c r="Z54" s="1687"/>
      <c r="AB54" s="420" t="str">
        <f>AB42&amp;".7"</f>
        <v>2.7</v>
      </c>
      <c r="AC54" s="421" t="s">
        <v>1107</v>
      </c>
      <c r="AD54" s="420" t="s">
        <v>1077</v>
      </c>
      <c r="AE54" s="17"/>
      <c r="AF54" s="17"/>
      <c r="AG54" s="17"/>
      <c r="AH54" s="17"/>
      <c r="AI54" s="230"/>
      <c r="AJ54" s="230"/>
      <c r="AK54" s="230"/>
      <c r="AL54" s="230"/>
      <c r="AM54" s="230"/>
      <c r="AN54" s="17"/>
      <c r="AO54" s="17"/>
      <c r="AP54" s="17"/>
      <c r="AQ54" s="17"/>
      <c r="AR54" s="17"/>
      <c r="AS54" s="230"/>
      <c r="AT54" s="230"/>
      <c r="AU54" s="230"/>
      <c r="AV54" s="230"/>
      <c r="AW54" s="230"/>
      <c r="AX54" s="17"/>
      <c r="AY54" s="17"/>
      <c r="AZ54" s="17"/>
      <c r="BA54" s="17"/>
      <c r="BB54" s="17"/>
      <c r="BC54" s="28"/>
      <c r="BF54" s="970" t="s">
        <v>1125</v>
      </c>
    </row>
    <row r="55" spans="5:58" ht="14.65" hidden="1" customHeight="1">
      <c r="E55" s="676">
        <v>15</v>
      </c>
      <c r="F55" s="779" cm="1">
        <f t="array" ref="F55">F54</f>
        <v>0</v>
      </c>
      <c r="T55" s="698" t="b" cm="1">
        <f t="array" ref="T55">T54</f>
        <v>0</v>
      </c>
      <c r="X55" s="1687"/>
      <c r="Z55" s="1687"/>
      <c r="AB55" s="420" t="str">
        <f>AB42&amp;".8"</f>
        <v>2.8</v>
      </c>
      <c r="AC55" s="421" t="s">
        <v>1110</v>
      </c>
      <c r="AD55" s="420" t="s">
        <v>1077</v>
      </c>
      <c r="AE55" s="17"/>
      <c r="AF55" s="17"/>
      <c r="AG55" s="17"/>
      <c r="AH55" s="17"/>
      <c r="AI55" s="230"/>
      <c r="AJ55" s="230"/>
      <c r="AK55" s="230"/>
      <c r="AL55" s="230"/>
      <c r="AM55" s="230"/>
      <c r="AN55" s="17"/>
      <c r="AO55" s="17"/>
      <c r="AP55" s="17"/>
      <c r="AQ55" s="17"/>
      <c r="AR55" s="17"/>
      <c r="AS55" s="230"/>
      <c r="AT55" s="230"/>
      <c r="AU55" s="230"/>
      <c r="AV55" s="230"/>
      <c r="AW55" s="230"/>
      <c r="AX55" s="17"/>
      <c r="AY55" s="17"/>
      <c r="AZ55" s="17"/>
      <c r="BA55" s="17"/>
      <c r="BB55" s="17"/>
      <c r="BC55" s="28"/>
      <c r="BF55" s="970" t="s">
        <v>1126</v>
      </c>
    </row>
    <row r="56" spans="5:58" s="167" customFormat="1" ht="14.65" hidden="1" customHeight="1">
      <c r="E56" s="676">
        <v>15</v>
      </c>
      <c r="F56" s="779" cm="1">
        <f t="array" ref="F56">F55</f>
        <v>0</v>
      </c>
      <c r="T56" s="698" t="b" cm="1">
        <f t="array" ref="T56">T55</f>
        <v>0</v>
      </c>
      <c r="X56" s="1811"/>
      <c r="Z56" s="1811"/>
      <c r="AB56" s="227">
        <v>3</v>
      </c>
      <c r="AC56" s="228" t="s">
        <v>1127</v>
      </c>
      <c r="AD56" s="107" t="s">
        <v>839</v>
      </c>
      <c r="AE56" s="57">
        <f t="shared" ref="AE56:BB56" si="5">SUM(AE57:AE60)+SUM(AE66:AE69)</f>
        <v>0</v>
      </c>
      <c r="AF56" s="57">
        <f t="shared" si="5"/>
        <v>0</v>
      </c>
      <c r="AG56" s="57">
        <f t="shared" si="5"/>
        <v>0</v>
      </c>
      <c r="AH56" s="57">
        <f t="shared" si="5"/>
        <v>0</v>
      </c>
      <c r="AI56" s="242">
        <f t="shared" si="5"/>
        <v>0</v>
      </c>
      <c r="AJ56" s="242">
        <f t="shared" si="5"/>
        <v>0</v>
      </c>
      <c r="AK56" s="242">
        <f t="shared" si="5"/>
        <v>0</v>
      </c>
      <c r="AL56" s="242">
        <f t="shared" si="5"/>
        <v>0</v>
      </c>
      <c r="AM56" s="242">
        <f t="shared" si="5"/>
        <v>0</v>
      </c>
      <c r="AN56" s="57">
        <f t="shared" si="5"/>
        <v>0</v>
      </c>
      <c r="AO56" s="57">
        <f t="shared" si="5"/>
        <v>0</v>
      </c>
      <c r="AP56" s="57">
        <f t="shared" si="5"/>
        <v>0</v>
      </c>
      <c r="AQ56" s="57">
        <f t="shared" si="5"/>
        <v>0</v>
      </c>
      <c r="AR56" s="57">
        <f t="shared" si="5"/>
        <v>0</v>
      </c>
      <c r="AS56" s="242">
        <f t="shared" si="5"/>
        <v>0</v>
      </c>
      <c r="AT56" s="242">
        <f t="shared" si="5"/>
        <v>0</v>
      </c>
      <c r="AU56" s="242">
        <f t="shared" si="5"/>
        <v>0</v>
      </c>
      <c r="AV56" s="242">
        <f t="shared" si="5"/>
        <v>0</v>
      </c>
      <c r="AW56" s="242">
        <f t="shared" si="5"/>
        <v>0</v>
      </c>
      <c r="AX56" s="57">
        <f t="shared" si="5"/>
        <v>0</v>
      </c>
      <c r="AY56" s="57">
        <f t="shared" si="5"/>
        <v>0</v>
      </c>
      <c r="AZ56" s="57">
        <f t="shared" si="5"/>
        <v>0</v>
      </c>
      <c r="BA56" s="57">
        <f t="shared" si="5"/>
        <v>0</v>
      </c>
      <c r="BB56" s="57">
        <f t="shared" si="5"/>
        <v>0</v>
      </c>
      <c r="BC56" s="28"/>
      <c r="BF56" s="970" t="s">
        <v>1128</v>
      </c>
    </row>
    <row r="57" spans="5:58" ht="14.65" hidden="1" customHeight="1">
      <c r="E57" s="676">
        <v>15</v>
      </c>
      <c r="F57" s="779" cm="1">
        <f t="array" ref="F57">F56</f>
        <v>0</v>
      </c>
      <c r="T57" s="698" t="b" cm="1">
        <f t="array" ref="T57">T56</f>
        <v>0</v>
      </c>
      <c r="X57" s="1687"/>
      <c r="Z57" s="1687"/>
      <c r="AB57" s="420" t="str">
        <f>AB56&amp;".1"</f>
        <v>3.1</v>
      </c>
      <c r="AC57" s="421" t="s">
        <v>1076</v>
      </c>
      <c r="AD57" s="420" t="s">
        <v>1077</v>
      </c>
      <c r="AE57" s="17"/>
      <c r="AF57" s="17"/>
      <c r="AG57" s="17"/>
      <c r="AH57" s="17"/>
      <c r="AI57" s="230"/>
      <c r="AJ57" s="230"/>
      <c r="AK57" s="230"/>
      <c r="AL57" s="230"/>
      <c r="AM57" s="230"/>
      <c r="AN57" s="17"/>
      <c r="AO57" s="17"/>
      <c r="AP57" s="17"/>
      <c r="AQ57" s="17"/>
      <c r="AR57" s="17"/>
      <c r="AS57" s="230"/>
      <c r="AT57" s="230"/>
      <c r="AU57" s="230"/>
      <c r="AV57" s="230"/>
      <c r="AW57" s="230"/>
      <c r="AX57" s="17"/>
      <c r="AY57" s="17"/>
      <c r="AZ57" s="17"/>
      <c r="BA57" s="17"/>
      <c r="BB57" s="17"/>
      <c r="BC57" s="28"/>
      <c r="BF57" s="970" t="s">
        <v>1129</v>
      </c>
    </row>
    <row r="58" spans="5:58" ht="14.65" hidden="1" customHeight="1">
      <c r="E58" s="676">
        <v>15</v>
      </c>
      <c r="F58" s="779" cm="1">
        <f t="array" ref="F58">F57</f>
        <v>0</v>
      </c>
      <c r="T58" s="698" t="b" cm="1">
        <f t="array" ref="T58">T57</f>
        <v>0</v>
      </c>
      <c r="X58" s="1687"/>
      <c r="Z58" s="1687"/>
      <c r="AB58" s="420" t="str">
        <f>AB56&amp;".2"</f>
        <v>3.2</v>
      </c>
      <c r="AC58" s="421" t="s">
        <v>1079</v>
      </c>
      <c r="AD58" s="420" t="s">
        <v>1077</v>
      </c>
      <c r="AE58" s="17"/>
      <c r="AF58" s="17"/>
      <c r="AG58" s="17"/>
      <c r="AH58" s="17"/>
      <c r="AI58" s="230"/>
      <c r="AJ58" s="230"/>
      <c r="AK58" s="230"/>
      <c r="AL58" s="230"/>
      <c r="AM58" s="230"/>
      <c r="AN58" s="17"/>
      <c r="AO58" s="17"/>
      <c r="AP58" s="17"/>
      <c r="AQ58" s="17"/>
      <c r="AR58" s="17"/>
      <c r="AS58" s="230"/>
      <c r="AT58" s="230"/>
      <c r="AU58" s="230"/>
      <c r="AV58" s="230"/>
      <c r="AW58" s="230"/>
      <c r="AX58" s="17"/>
      <c r="AY58" s="17"/>
      <c r="AZ58" s="17"/>
      <c r="BA58" s="17"/>
      <c r="BB58" s="17"/>
      <c r="BC58" s="28"/>
      <c r="BF58" s="970" t="s">
        <v>1130</v>
      </c>
    </row>
    <row r="59" spans="5:58" ht="14.65" hidden="1" customHeight="1">
      <c r="E59" s="676">
        <v>15</v>
      </c>
      <c r="F59" s="779" cm="1">
        <f t="array" ref="F59">F58</f>
        <v>0</v>
      </c>
      <c r="T59" s="698" t="b" cm="1">
        <f t="array" ref="T59">T58</f>
        <v>0</v>
      </c>
      <c r="X59" s="1687"/>
      <c r="Z59" s="1687"/>
      <c r="AB59" s="420" t="str">
        <f>AB56&amp;".3"</f>
        <v>3.3</v>
      </c>
      <c r="AC59" s="421" t="s">
        <v>1081</v>
      </c>
      <c r="AD59" s="420" t="s">
        <v>1077</v>
      </c>
      <c r="AE59" s="17"/>
      <c r="AF59" s="17"/>
      <c r="AG59" s="17"/>
      <c r="AH59" s="17"/>
      <c r="AI59" s="230"/>
      <c r="AJ59" s="230"/>
      <c r="AK59" s="230"/>
      <c r="AL59" s="230"/>
      <c r="AM59" s="230"/>
      <c r="AN59" s="17"/>
      <c r="AO59" s="17"/>
      <c r="AP59" s="17"/>
      <c r="AQ59" s="17"/>
      <c r="AR59" s="17"/>
      <c r="AS59" s="230"/>
      <c r="AT59" s="230"/>
      <c r="AU59" s="230"/>
      <c r="AV59" s="230"/>
      <c r="AW59" s="230"/>
      <c r="AX59" s="17"/>
      <c r="AY59" s="17"/>
      <c r="AZ59" s="17"/>
      <c r="BA59" s="17"/>
      <c r="BB59" s="17"/>
      <c r="BC59" s="28"/>
      <c r="BF59" s="970" t="s">
        <v>1131</v>
      </c>
    </row>
    <row r="60" spans="5:58" ht="14.65" hidden="1" customHeight="1">
      <c r="E60" s="676">
        <v>15</v>
      </c>
      <c r="F60" s="779" cm="1">
        <f t="array" ref="F60">F59</f>
        <v>0</v>
      </c>
      <c r="T60" s="698" t="b" cm="1">
        <f t="array" ref="T60">T59</f>
        <v>0</v>
      </c>
      <c r="X60" s="1687"/>
      <c r="Z60" s="1687"/>
      <c r="AB60" s="420" t="str">
        <f>AB56&amp;".4"</f>
        <v>3.4</v>
      </c>
      <c r="AC60" s="421" t="s">
        <v>1083</v>
      </c>
      <c r="AD60" s="420" t="s">
        <v>1077</v>
      </c>
      <c r="AE60" s="40">
        <f t="shared" ref="AE60:BB60" si="6">SUM(AE61:AE65)</f>
        <v>0</v>
      </c>
      <c r="AF60" s="40">
        <f t="shared" si="6"/>
        <v>0</v>
      </c>
      <c r="AG60" s="40">
        <f t="shared" si="6"/>
        <v>0</v>
      </c>
      <c r="AH60" s="40">
        <f t="shared" si="6"/>
        <v>0</v>
      </c>
      <c r="AI60" s="415">
        <f t="shared" si="6"/>
        <v>0</v>
      </c>
      <c r="AJ60" s="415">
        <f t="shared" si="6"/>
        <v>0</v>
      </c>
      <c r="AK60" s="415">
        <f t="shared" si="6"/>
        <v>0</v>
      </c>
      <c r="AL60" s="415">
        <f t="shared" si="6"/>
        <v>0</v>
      </c>
      <c r="AM60" s="415">
        <f t="shared" si="6"/>
        <v>0</v>
      </c>
      <c r="AN60" s="40">
        <f t="shared" si="6"/>
        <v>0</v>
      </c>
      <c r="AO60" s="40">
        <f t="shared" si="6"/>
        <v>0</v>
      </c>
      <c r="AP60" s="40">
        <f t="shared" si="6"/>
        <v>0</v>
      </c>
      <c r="AQ60" s="40">
        <f t="shared" si="6"/>
        <v>0</v>
      </c>
      <c r="AR60" s="40">
        <f t="shared" si="6"/>
        <v>0</v>
      </c>
      <c r="AS60" s="415">
        <f t="shared" si="6"/>
        <v>0</v>
      </c>
      <c r="AT60" s="415">
        <f t="shared" si="6"/>
        <v>0</v>
      </c>
      <c r="AU60" s="415">
        <f t="shared" si="6"/>
        <v>0</v>
      </c>
      <c r="AV60" s="415">
        <f t="shared" si="6"/>
        <v>0</v>
      </c>
      <c r="AW60" s="415">
        <f t="shared" si="6"/>
        <v>0</v>
      </c>
      <c r="AX60" s="40">
        <f t="shared" si="6"/>
        <v>0</v>
      </c>
      <c r="AY60" s="40">
        <f t="shared" si="6"/>
        <v>0</v>
      </c>
      <c r="AZ60" s="40">
        <f t="shared" si="6"/>
        <v>0</v>
      </c>
      <c r="BA60" s="40">
        <f t="shared" si="6"/>
        <v>0</v>
      </c>
      <c r="BB60" s="40">
        <f t="shared" si="6"/>
        <v>0</v>
      </c>
      <c r="BC60" s="28"/>
      <c r="BF60" s="970" t="s">
        <v>1132</v>
      </c>
    </row>
    <row r="61" spans="5:58" ht="14.65" hidden="1" customHeight="1">
      <c r="E61" s="676">
        <v>15</v>
      </c>
      <c r="F61" s="779" cm="1">
        <f t="array" ref="F61">F60</f>
        <v>0</v>
      </c>
      <c r="T61" s="698" t="b" cm="1">
        <f t="array" ref="T61">T60</f>
        <v>0</v>
      </c>
      <c r="X61" s="1687"/>
      <c r="Z61" s="1687"/>
      <c r="AB61" s="420" t="str">
        <f>AB60&amp;".1"</f>
        <v>3.4.1</v>
      </c>
      <c r="AC61" s="422" t="s">
        <v>1086</v>
      </c>
      <c r="AD61" s="420" t="s">
        <v>1077</v>
      </c>
      <c r="AE61" s="17"/>
      <c r="AF61" s="17"/>
      <c r="AG61" s="17"/>
      <c r="AH61" s="17"/>
      <c r="AI61" s="230"/>
      <c r="AJ61" s="230"/>
      <c r="AK61" s="230"/>
      <c r="AL61" s="230"/>
      <c r="AM61" s="230"/>
      <c r="AN61" s="17"/>
      <c r="AO61" s="17"/>
      <c r="AP61" s="17"/>
      <c r="AQ61" s="17"/>
      <c r="AR61" s="17"/>
      <c r="AS61" s="230"/>
      <c r="AT61" s="230"/>
      <c r="AU61" s="230"/>
      <c r="AV61" s="230"/>
      <c r="AW61" s="230"/>
      <c r="AX61" s="17"/>
      <c r="AY61" s="17"/>
      <c r="AZ61" s="17"/>
      <c r="BA61" s="17"/>
      <c r="BB61" s="17"/>
      <c r="BC61" s="28"/>
      <c r="BF61" s="970" t="s">
        <v>1133</v>
      </c>
    </row>
    <row r="62" spans="5:58" ht="14.65" hidden="1" customHeight="1">
      <c r="E62" s="676">
        <v>15</v>
      </c>
      <c r="F62" s="779" cm="1">
        <f t="array" ref="F62">F61</f>
        <v>0</v>
      </c>
      <c r="T62" s="698" t="b" cm="1">
        <f t="array" ref="T62">T61</f>
        <v>0</v>
      </c>
      <c r="X62" s="1687"/>
      <c r="Z62" s="1687"/>
      <c r="AB62" s="420" t="str">
        <f>AB60&amp;".2"</f>
        <v>3.4.2</v>
      </c>
      <c r="AC62" s="422" t="s">
        <v>1089</v>
      </c>
      <c r="AD62" s="420" t="s">
        <v>1077</v>
      </c>
      <c r="AE62" s="17"/>
      <c r="AF62" s="17"/>
      <c r="AG62" s="17"/>
      <c r="AH62" s="17"/>
      <c r="AI62" s="230"/>
      <c r="AJ62" s="230"/>
      <c r="AK62" s="230"/>
      <c r="AL62" s="230"/>
      <c r="AM62" s="230"/>
      <c r="AN62" s="17"/>
      <c r="AO62" s="17"/>
      <c r="AP62" s="17"/>
      <c r="AQ62" s="17"/>
      <c r="AR62" s="17"/>
      <c r="AS62" s="230"/>
      <c r="AT62" s="230"/>
      <c r="AU62" s="230"/>
      <c r="AV62" s="230"/>
      <c r="AW62" s="230"/>
      <c r="AX62" s="17"/>
      <c r="AY62" s="17"/>
      <c r="AZ62" s="17"/>
      <c r="BA62" s="17"/>
      <c r="BB62" s="17"/>
      <c r="BC62" s="28"/>
      <c r="BF62" s="970" t="s">
        <v>1134</v>
      </c>
    </row>
    <row r="63" spans="5:58" ht="14.65" hidden="1" customHeight="1">
      <c r="E63" s="676">
        <v>15</v>
      </c>
      <c r="F63" s="779" cm="1">
        <f t="array" ref="F63">F62</f>
        <v>0</v>
      </c>
      <c r="T63" s="698" t="b" cm="1">
        <f t="array" ref="T63">T62</f>
        <v>0</v>
      </c>
      <c r="X63" s="1687"/>
      <c r="Z63" s="1687"/>
      <c r="AB63" s="420" t="str">
        <f>AB60&amp;".3"</f>
        <v>3.4.3</v>
      </c>
      <c r="AC63" s="422" t="s">
        <v>1092</v>
      </c>
      <c r="AD63" s="420" t="s">
        <v>1077</v>
      </c>
      <c r="AE63" s="17"/>
      <c r="AF63" s="17"/>
      <c r="AG63" s="17"/>
      <c r="AH63" s="17"/>
      <c r="AI63" s="230"/>
      <c r="AJ63" s="230"/>
      <c r="AK63" s="230"/>
      <c r="AL63" s="230"/>
      <c r="AM63" s="230"/>
      <c r="AN63" s="17"/>
      <c r="AO63" s="17"/>
      <c r="AP63" s="17"/>
      <c r="AQ63" s="17"/>
      <c r="AR63" s="17"/>
      <c r="AS63" s="230"/>
      <c r="AT63" s="230"/>
      <c r="AU63" s="230"/>
      <c r="AV63" s="230"/>
      <c r="AW63" s="230"/>
      <c r="AX63" s="17"/>
      <c r="AY63" s="17"/>
      <c r="AZ63" s="17"/>
      <c r="BA63" s="17"/>
      <c r="BB63" s="17"/>
      <c r="BC63" s="28"/>
      <c r="BF63" s="970" t="s">
        <v>1135</v>
      </c>
    </row>
    <row r="64" spans="5:58" ht="14.65" hidden="1" customHeight="1">
      <c r="E64" s="676">
        <v>15</v>
      </c>
      <c r="F64" s="779" cm="1">
        <f t="array" ref="F64">F63</f>
        <v>0</v>
      </c>
      <c r="T64" s="698" t="b" cm="1">
        <f t="array" ref="T64">T63</f>
        <v>0</v>
      </c>
      <c r="X64" s="1687"/>
      <c r="Z64" s="1687"/>
      <c r="AB64" s="420" t="str">
        <f>AB60&amp;".4"</f>
        <v>3.4.4</v>
      </c>
      <c r="AC64" s="422" t="s">
        <v>1095</v>
      </c>
      <c r="AD64" s="420" t="s">
        <v>1077</v>
      </c>
      <c r="AE64" s="17"/>
      <c r="AF64" s="17"/>
      <c r="AG64" s="17"/>
      <c r="AH64" s="17"/>
      <c r="AI64" s="230"/>
      <c r="AJ64" s="230"/>
      <c r="AK64" s="230"/>
      <c r="AL64" s="230"/>
      <c r="AM64" s="230"/>
      <c r="AN64" s="17"/>
      <c r="AO64" s="17"/>
      <c r="AP64" s="17"/>
      <c r="AQ64" s="17"/>
      <c r="AR64" s="17"/>
      <c r="AS64" s="230"/>
      <c r="AT64" s="230"/>
      <c r="AU64" s="230"/>
      <c r="AV64" s="230"/>
      <c r="AW64" s="230"/>
      <c r="AX64" s="17"/>
      <c r="AY64" s="17"/>
      <c r="AZ64" s="17"/>
      <c r="BA64" s="17"/>
      <c r="BB64" s="17"/>
      <c r="BC64" s="28"/>
      <c r="BF64" s="970" t="s">
        <v>1136</v>
      </c>
    </row>
    <row r="65" spans="5:58" ht="14.65" hidden="1" customHeight="1">
      <c r="E65" s="676">
        <v>15</v>
      </c>
      <c r="F65" s="779" cm="1">
        <f t="array" ref="F65">F64</f>
        <v>0</v>
      </c>
      <c r="T65" s="698" t="b" cm="1">
        <f t="array" ref="T65">T64</f>
        <v>0</v>
      </c>
      <c r="X65" s="1687"/>
      <c r="Z65" s="1687"/>
      <c r="AB65" s="420" t="str">
        <f>AB60&amp;".5"</f>
        <v>3.4.5</v>
      </c>
      <c r="AC65" s="422" t="s">
        <v>1098</v>
      </c>
      <c r="AD65" s="420" t="s">
        <v>1077</v>
      </c>
      <c r="AE65" s="17"/>
      <c r="AF65" s="17"/>
      <c r="AG65" s="17"/>
      <c r="AH65" s="17"/>
      <c r="AI65" s="230"/>
      <c r="AJ65" s="230"/>
      <c r="AK65" s="230"/>
      <c r="AL65" s="230"/>
      <c r="AM65" s="230"/>
      <c r="AN65" s="17"/>
      <c r="AO65" s="17"/>
      <c r="AP65" s="17"/>
      <c r="AQ65" s="17"/>
      <c r="AR65" s="17"/>
      <c r="AS65" s="230"/>
      <c r="AT65" s="230"/>
      <c r="AU65" s="230"/>
      <c r="AV65" s="230"/>
      <c r="AW65" s="230"/>
      <c r="AX65" s="17"/>
      <c r="AY65" s="17"/>
      <c r="AZ65" s="17"/>
      <c r="BA65" s="17"/>
      <c r="BB65" s="17"/>
      <c r="BC65" s="28"/>
      <c r="BF65" s="970" t="s">
        <v>1137</v>
      </c>
    </row>
    <row r="66" spans="5:58" ht="14.65" hidden="1" customHeight="1">
      <c r="E66" s="676">
        <v>15</v>
      </c>
      <c r="F66" s="779" cm="1">
        <f t="array" ref="F66">F65</f>
        <v>0</v>
      </c>
      <c r="T66" s="698" t="b" cm="1">
        <f t="array" ref="T66">T65</f>
        <v>0</v>
      </c>
      <c r="X66" s="1687"/>
      <c r="Z66" s="1687"/>
      <c r="AB66" s="420" t="str">
        <f>AB56&amp;".5"</f>
        <v>3.5</v>
      </c>
      <c r="AC66" s="421" t="s">
        <v>1101</v>
      </c>
      <c r="AD66" s="420" t="s">
        <v>1077</v>
      </c>
      <c r="AE66" s="17"/>
      <c r="AF66" s="17"/>
      <c r="AG66" s="17"/>
      <c r="AH66" s="17"/>
      <c r="AI66" s="230"/>
      <c r="AJ66" s="230"/>
      <c r="AK66" s="230"/>
      <c r="AL66" s="230"/>
      <c r="AM66" s="230"/>
      <c r="AN66" s="17"/>
      <c r="AO66" s="17"/>
      <c r="AP66" s="17"/>
      <c r="AQ66" s="17"/>
      <c r="AR66" s="17"/>
      <c r="AS66" s="230"/>
      <c r="AT66" s="230"/>
      <c r="AU66" s="230"/>
      <c r="AV66" s="230"/>
      <c r="AW66" s="230"/>
      <c r="AX66" s="17"/>
      <c r="AY66" s="17"/>
      <c r="AZ66" s="17"/>
      <c r="BA66" s="17"/>
      <c r="BB66" s="17"/>
      <c r="BC66" s="28"/>
      <c r="BF66" s="970" t="s">
        <v>1138</v>
      </c>
    </row>
    <row r="67" spans="5:58" ht="14.65" hidden="1" customHeight="1">
      <c r="E67" s="676">
        <v>15</v>
      </c>
      <c r="F67" s="779" cm="1">
        <f t="array" ref="F67">F66</f>
        <v>0</v>
      </c>
      <c r="T67" s="698" t="b" cm="1">
        <f t="array" ref="T67">T66</f>
        <v>0</v>
      </c>
      <c r="X67" s="1687"/>
      <c r="Z67" s="1687"/>
      <c r="AB67" s="420" t="str">
        <f>AB56&amp;".6"</f>
        <v>3.6</v>
      </c>
      <c r="AC67" s="421" t="s">
        <v>1104</v>
      </c>
      <c r="AD67" s="420" t="s">
        <v>1077</v>
      </c>
      <c r="AE67" s="17"/>
      <c r="AF67" s="17"/>
      <c r="AG67" s="17"/>
      <c r="AH67" s="17"/>
      <c r="AI67" s="230"/>
      <c r="AJ67" s="230"/>
      <c r="AK67" s="230"/>
      <c r="AL67" s="230"/>
      <c r="AM67" s="230"/>
      <c r="AN67" s="17"/>
      <c r="AO67" s="17"/>
      <c r="AP67" s="17"/>
      <c r="AQ67" s="17"/>
      <c r="AR67" s="17"/>
      <c r="AS67" s="230"/>
      <c r="AT67" s="230"/>
      <c r="AU67" s="230"/>
      <c r="AV67" s="230"/>
      <c r="AW67" s="230"/>
      <c r="AX67" s="17"/>
      <c r="AY67" s="17"/>
      <c r="AZ67" s="17"/>
      <c r="BA67" s="17"/>
      <c r="BB67" s="17"/>
      <c r="BC67" s="28"/>
      <c r="BF67" s="970" t="s">
        <v>1139</v>
      </c>
    </row>
    <row r="68" spans="5:58" ht="14.65" hidden="1" customHeight="1">
      <c r="E68" s="676">
        <v>15</v>
      </c>
      <c r="F68" s="779" cm="1">
        <f t="array" ref="F68">F67</f>
        <v>0</v>
      </c>
      <c r="T68" s="698" t="b" cm="1">
        <f t="array" ref="T68">T67</f>
        <v>0</v>
      </c>
      <c r="X68" s="1687"/>
      <c r="Z68" s="1687"/>
      <c r="AB68" s="420" t="str">
        <f>AB56&amp;".7"</f>
        <v>3.7</v>
      </c>
      <c r="AC68" s="421" t="s">
        <v>1107</v>
      </c>
      <c r="AD68" s="420" t="s">
        <v>1077</v>
      </c>
      <c r="AE68" s="17"/>
      <c r="AF68" s="17"/>
      <c r="AG68" s="17"/>
      <c r="AH68" s="17"/>
      <c r="AI68" s="230"/>
      <c r="AJ68" s="230"/>
      <c r="AK68" s="230"/>
      <c r="AL68" s="230"/>
      <c r="AM68" s="230"/>
      <c r="AN68" s="17"/>
      <c r="AO68" s="17"/>
      <c r="AP68" s="17"/>
      <c r="AQ68" s="17"/>
      <c r="AR68" s="17"/>
      <c r="AS68" s="230"/>
      <c r="AT68" s="230"/>
      <c r="AU68" s="230"/>
      <c r="AV68" s="230"/>
      <c r="AW68" s="230"/>
      <c r="AX68" s="17"/>
      <c r="AY68" s="17"/>
      <c r="AZ68" s="17"/>
      <c r="BA68" s="17"/>
      <c r="BB68" s="17"/>
      <c r="BC68" s="28"/>
      <c r="BF68" s="970" t="s">
        <v>1140</v>
      </c>
    </row>
    <row r="69" spans="5:58" ht="14.65" hidden="1" customHeight="1">
      <c r="E69" s="676">
        <v>15</v>
      </c>
      <c r="F69" s="779" cm="1">
        <f t="array" ref="F69">F68</f>
        <v>0</v>
      </c>
      <c r="T69" s="698" t="b" cm="1">
        <f t="array" ref="T69">T68</f>
        <v>0</v>
      </c>
      <c r="X69" s="1687"/>
      <c r="Z69" s="1687"/>
      <c r="AB69" s="420" t="str">
        <f>AB56&amp;".8"</f>
        <v>3.8</v>
      </c>
      <c r="AC69" s="421" t="s">
        <v>1110</v>
      </c>
      <c r="AD69" s="420" t="s">
        <v>1077</v>
      </c>
      <c r="AE69" s="17"/>
      <c r="AF69" s="17"/>
      <c r="AG69" s="17"/>
      <c r="AH69" s="17"/>
      <c r="AI69" s="230"/>
      <c r="AJ69" s="230"/>
      <c r="AK69" s="230"/>
      <c r="AL69" s="230"/>
      <c r="AM69" s="230"/>
      <c r="AN69" s="17"/>
      <c r="AO69" s="17"/>
      <c r="AP69" s="17"/>
      <c r="AQ69" s="17"/>
      <c r="AR69" s="17"/>
      <c r="AS69" s="230"/>
      <c r="AT69" s="230"/>
      <c r="AU69" s="230"/>
      <c r="AV69" s="230"/>
      <c r="AW69" s="230"/>
      <c r="AX69" s="17"/>
      <c r="AY69" s="17"/>
      <c r="AZ69" s="17"/>
      <c r="BA69" s="17"/>
      <c r="BB69" s="17"/>
      <c r="BC69" s="28"/>
      <c r="BF69" s="970" t="s">
        <v>1141</v>
      </c>
    </row>
    <row r="70" spans="5:58" s="167" customFormat="1" ht="14.65" hidden="1" customHeight="1">
      <c r="E70" s="676">
        <v>15</v>
      </c>
      <c r="F70" s="779" cm="1">
        <f t="array" ref="F70">F69</f>
        <v>0</v>
      </c>
      <c r="T70" s="698" t="b" cm="1">
        <f t="array" ref="T70">T69</f>
        <v>0</v>
      </c>
      <c r="X70" s="1811"/>
      <c r="Z70" s="1811"/>
      <c r="AB70" s="227">
        <v>4</v>
      </c>
      <c r="AC70" s="228" t="s">
        <v>1142</v>
      </c>
      <c r="AD70" s="107" t="s">
        <v>839</v>
      </c>
      <c r="AE70" s="57">
        <f t="shared" ref="AE70:BB70" si="7">SUM(AE71:AE74)+SUM(AE80:AE83)</f>
        <v>0</v>
      </c>
      <c r="AF70" s="57">
        <f t="shared" si="7"/>
        <v>0</v>
      </c>
      <c r="AG70" s="57">
        <f t="shared" si="7"/>
        <v>0</v>
      </c>
      <c r="AH70" s="57">
        <f t="shared" si="7"/>
        <v>0</v>
      </c>
      <c r="AI70" s="242">
        <f t="shared" si="7"/>
        <v>0</v>
      </c>
      <c r="AJ70" s="242">
        <f t="shared" si="7"/>
        <v>0</v>
      </c>
      <c r="AK70" s="242">
        <f t="shared" si="7"/>
        <v>0</v>
      </c>
      <c r="AL70" s="242">
        <f t="shared" si="7"/>
        <v>0</v>
      </c>
      <c r="AM70" s="242">
        <f t="shared" si="7"/>
        <v>0</v>
      </c>
      <c r="AN70" s="57">
        <f t="shared" si="7"/>
        <v>0</v>
      </c>
      <c r="AO70" s="57">
        <f t="shared" si="7"/>
        <v>0</v>
      </c>
      <c r="AP70" s="57">
        <f t="shared" si="7"/>
        <v>0</v>
      </c>
      <c r="AQ70" s="57">
        <f t="shared" si="7"/>
        <v>0</v>
      </c>
      <c r="AR70" s="57">
        <f t="shared" si="7"/>
        <v>0</v>
      </c>
      <c r="AS70" s="242">
        <f t="shared" si="7"/>
        <v>0</v>
      </c>
      <c r="AT70" s="242">
        <f t="shared" si="7"/>
        <v>0</v>
      </c>
      <c r="AU70" s="242">
        <f t="shared" si="7"/>
        <v>0</v>
      </c>
      <c r="AV70" s="242">
        <f t="shared" si="7"/>
        <v>0</v>
      </c>
      <c r="AW70" s="242">
        <f t="shared" si="7"/>
        <v>0</v>
      </c>
      <c r="AX70" s="57">
        <f t="shared" si="7"/>
        <v>0</v>
      </c>
      <c r="AY70" s="57">
        <f t="shared" si="7"/>
        <v>0</v>
      </c>
      <c r="AZ70" s="57">
        <f t="shared" si="7"/>
        <v>0</v>
      </c>
      <c r="BA70" s="57">
        <f t="shared" si="7"/>
        <v>0</v>
      </c>
      <c r="BB70" s="57">
        <f t="shared" si="7"/>
        <v>0</v>
      </c>
      <c r="BC70" s="28"/>
      <c r="BF70" s="970" t="s">
        <v>1143</v>
      </c>
    </row>
    <row r="71" spans="5:58" ht="14.65" hidden="1" customHeight="1">
      <c r="E71" s="676">
        <v>15</v>
      </c>
      <c r="F71" s="779" cm="1">
        <f t="array" ref="F71">F70</f>
        <v>0</v>
      </c>
      <c r="T71" s="698" t="b" cm="1">
        <f t="array" ref="T71">T70</f>
        <v>0</v>
      </c>
      <c r="X71" s="1687"/>
      <c r="Z71" s="1687"/>
      <c r="AB71" s="420" t="str">
        <f>AB70&amp;".1"</f>
        <v>4.1</v>
      </c>
      <c r="AC71" s="421" t="s">
        <v>1076</v>
      </c>
      <c r="AD71" s="420" t="s">
        <v>1077</v>
      </c>
      <c r="AE71" s="17"/>
      <c r="AF71" s="17"/>
      <c r="AG71" s="17"/>
      <c r="AH71" s="17"/>
      <c r="AI71" s="230"/>
      <c r="AJ71" s="230"/>
      <c r="AK71" s="230"/>
      <c r="AL71" s="230"/>
      <c r="AM71" s="230"/>
      <c r="AN71" s="17"/>
      <c r="AO71" s="17"/>
      <c r="AP71" s="17"/>
      <c r="AQ71" s="17"/>
      <c r="AR71" s="17"/>
      <c r="AS71" s="230"/>
      <c r="AT71" s="230"/>
      <c r="AU71" s="230"/>
      <c r="AV71" s="230"/>
      <c r="AW71" s="230"/>
      <c r="AX71" s="17"/>
      <c r="AY71" s="17"/>
      <c r="AZ71" s="17"/>
      <c r="BA71" s="17"/>
      <c r="BB71" s="17"/>
      <c r="BC71" s="28"/>
      <c r="BF71" s="970" t="s">
        <v>1144</v>
      </c>
    </row>
    <row r="72" spans="5:58" ht="14.65" hidden="1" customHeight="1">
      <c r="E72" s="676">
        <v>15</v>
      </c>
      <c r="F72" s="779" cm="1">
        <f t="array" ref="F72">F71</f>
        <v>0</v>
      </c>
      <c r="T72" s="698" t="b" cm="1">
        <f t="array" ref="T72">T71</f>
        <v>0</v>
      </c>
      <c r="X72" s="1687"/>
      <c r="Z72" s="1687"/>
      <c r="AB72" s="420" t="str">
        <f>AB70&amp;".2"</f>
        <v>4.2</v>
      </c>
      <c r="AC72" s="421" t="s">
        <v>1079</v>
      </c>
      <c r="AD72" s="420" t="s">
        <v>1077</v>
      </c>
      <c r="AE72" s="17"/>
      <c r="AF72" s="17"/>
      <c r="AG72" s="17"/>
      <c r="AH72" s="17"/>
      <c r="AI72" s="230"/>
      <c r="AJ72" s="230"/>
      <c r="AK72" s="230"/>
      <c r="AL72" s="230"/>
      <c r="AM72" s="230"/>
      <c r="AN72" s="17"/>
      <c r="AO72" s="17"/>
      <c r="AP72" s="17"/>
      <c r="AQ72" s="17"/>
      <c r="AR72" s="17"/>
      <c r="AS72" s="230"/>
      <c r="AT72" s="230"/>
      <c r="AU72" s="230"/>
      <c r="AV72" s="230"/>
      <c r="AW72" s="230"/>
      <c r="AX72" s="17"/>
      <c r="AY72" s="17"/>
      <c r="AZ72" s="17"/>
      <c r="BA72" s="17"/>
      <c r="BB72" s="17"/>
      <c r="BC72" s="28"/>
      <c r="BF72" s="970" t="s">
        <v>1145</v>
      </c>
    </row>
    <row r="73" spans="5:58" ht="14.65" hidden="1" customHeight="1">
      <c r="E73" s="676">
        <v>15</v>
      </c>
      <c r="F73" s="779" cm="1">
        <f t="array" ref="F73">F72</f>
        <v>0</v>
      </c>
      <c r="T73" s="698" t="b" cm="1">
        <f t="array" ref="T73">T72</f>
        <v>0</v>
      </c>
      <c r="X73" s="1687"/>
      <c r="Z73" s="1687"/>
      <c r="AB73" s="420" t="str">
        <f>AB70&amp;".3"</f>
        <v>4.3</v>
      </c>
      <c r="AC73" s="421" t="s">
        <v>1081</v>
      </c>
      <c r="AD73" s="420" t="s">
        <v>1077</v>
      </c>
      <c r="AE73" s="17"/>
      <c r="AF73" s="17"/>
      <c r="AG73" s="17"/>
      <c r="AH73" s="17"/>
      <c r="AI73" s="230"/>
      <c r="AJ73" s="230"/>
      <c r="AK73" s="230"/>
      <c r="AL73" s="230"/>
      <c r="AM73" s="230"/>
      <c r="AN73" s="17"/>
      <c r="AO73" s="17"/>
      <c r="AP73" s="17"/>
      <c r="AQ73" s="17"/>
      <c r="AR73" s="17"/>
      <c r="AS73" s="230"/>
      <c r="AT73" s="230"/>
      <c r="AU73" s="230"/>
      <c r="AV73" s="230"/>
      <c r="AW73" s="230"/>
      <c r="AX73" s="17"/>
      <c r="AY73" s="17"/>
      <c r="AZ73" s="17"/>
      <c r="BA73" s="17"/>
      <c r="BB73" s="17"/>
      <c r="BC73" s="28"/>
      <c r="BF73" s="970" t="s">
        <v>1146</v>
      </c>
    </row>
    <row r="74" spans="5:58" ht="14.65" hidden="1" customHeight="1">
      <c r="E74" s="676">
        <v>15</v>
      </c>
      <c r="F74" s="779" cm="1">
        <f t="array" ref="F74">F73</f>
        <v>0</v>
      </c>
      <c r="T74" s="698" t="b" cm="1">
        <f t="array" ref="T74">T73</f>
        <v>0</v>
      </c>
      <c r="X74" s="1687"/>
      <c r="Z74" s="1687"/>
      <c r="AB74" s="420" t="str">
        <f>AB70&amp;".4"</f>
        <v>4.4</v>
      </c>
      <c r="AC74" s="421" t="s">
        <v>1083</v>
      </c>
      <c r="AD74" s="420" t="s">
        <v>1077</v>
      </c>
      <c r="AE74" s="40">
        <f t="shared" ref="AE74:BB74" si="8">SUM(AE75:AE79)</f>
        <v>0</v>
      </c>
      <c r="AF74" s="40">
        <f t="shared" si="8"/>
        <v>0</v>
      </c>
      <c r="AG74" s="40">
        <f t="shared" si="8"/>
        <v>0</v>
      </c>
      <c r="AH74" s="40">
        <f t="shared" si="8"/>
        <v>0</v>
      </c>
      <c r="AI74" s="415">
        <f t="shared" si="8"/>
        <v>0</v>
      </c>
      <c r="AJ74" s="415">
        <f t="shared" si="8"/>
        <v>0</v>
      </c>
      <c r="AK74" s="415">
        <f t="shared" si="8"/>
        <v>0</v>
      </c>
      <c r="AL74" s="415">
        <f t="shared" si="8"/>
        <v>0</v>
      </c>
      <c r="AM74" s="415">
        <f t="shared" si="8"/>
        <v>0</v>
      </c>
      <c r="AN74" s="40">
        <f t="shared" si="8"/>
        <v>0</v>
      </c>
      <c r="AO74" s="40">
        <f t="shared" si="8"/>
        <v>0</v>
      </c>
      <c r="AP74" s="40">
        <f t="shared" si="8"/>
        <v>0</v>
      </c>
      <c r="AQ74" s="40">
        <f t="shared" si="8"/>
        <v>0</v>
      </c>
      <c r="AR74" s="40">
        <f t="shared" si="8"/>
        <v>0</v>
      </c>
      <c r="AS74" s="415">
        <f t="shared" si="8"/>
        <v>0</v>
      </c>
      <c r="AT74" s="415">
        <f t="shared" si="8"/>
        <v>0</v>
      </c>
      <c r="AU74" s="415">
        <f t="shared" si="8"/>
        <v>0</v>
      </c>
      <c r="AV74" s="415">
        <f t="shared" si="8"/>
        <v>0</v>
      </c>
      <c r="AW74" s="415">
        <f t="shared" si="8"/>
        <v>0</v>
      </c>
      <c r="AX74" s="40">
        <f t="shared" si="8"/>
        <v>0</v>
      </c>
      <c r="AY74" s="40">
        <f t="shared" si="8"/>
        <v>0</v>
      </c>
      <c r="AZ74" s="40">
        <f t="shared" si="8"/>
        <v>0</v>
      </c>
      <c r="BA74" s="40">
        <f t="shared" si="8"/>
        <v>0</v>
      </c>
      <c r="BB74" s="40">
        <f t="shared" si="8"/>
        <v>0</v>
      </c>
      <c r="BC74" s="28"/>
      <c r="BF74" s="970" t="s">
        <v>1147</v>
      </c>
    </row>
    <row r="75" spans="5:58" ht="14.65" hidden="1" customHeight="1">
      <c r="E75" s="676">
        <v>15</v>
      </c>
      <c r="F75" s="779" cm="1">
        <f t="array" ref="F75">F74</f>
        <v>0</v>
      </c>
      <c r="T75" s="698" t="b" cm="1">
        <f t="array" ref="T75">T74</f>
        <v>0</v>
      </c>
      <c r="X75" s="1687"/>
      <c r="Z75" s="1687"/>
      <c r="AB75" s="420" t="str">
        <f>AB74&amp;".1"</f>
        <v>4.4.1</v>
      </c>
      <c r="AC75" s="422" t="s">
        <v>1086</v>
      </c>
      <c r="AD75" s="420" t="s">
        <v>1077</v>
      </c>
      <c r="AE75" s="17"/>
      <c r="AF75" s="17"/>
      <c r="AG75" s="17"/>
      <c r="AH75" s="17"/>
      <c r="AI75" s="230"/>
      <c r="AJ75" s="230"/>
      <c r="AK75" s="230"/>
      <c r="AL75" s="230"/>
      <c r="AM75" s="230"/>
      <c r="AN75" s="17"/>
      <c r="AO75" s="17"/>
      <c r="AP75" s="17"/>
      <c r="AQ75" s="17"/>
      <c r="AR75" s="17"/>
      <c r="AS75" s="230"/>
      <c r="AT75" s="230"/>
      <c r="AU75" s="230"/>
      <c r="AV75" s="230"/>
      <c r="AW75" s="230"/>
      <c r="AX75" s="17"/>
      <c r="AY75" s="17"/>
      <c r="AZ75" s="17"/>
      <c r="BA75" s="17"/>
      <c r="BB75" s="17"/>
      <c r="BC75" s="28"/>
      <c r="BF75" s="970" t="s">
        <v>1148</v>
      </c>
    </row>
    <row r="76" spans="5:58" ht="14.65" hidden="1" customHeight="1">
      <c r="E76" s="676">
        <v>15</v>
      </c>
      <c r="F76" s="779" cm="1">
        <f t="array" ref="F76">F75</f>
        <v>0</v>
      </c>
      <c r="T76" s="698" t="b" cm="1">
        <f t="array" ref="T76">T75</f>
        <v>0</v>
      </c>
      <c r="X76" s="1687"/>
      <c r="Z76" s="1687"/>
      <c r="AB76" s="420" t="str">
        <f>AB74&amp;".2"</f>
        <v>4.4.2</v>
      </c>
      <c r="AC76" s="422" t="s">
        <v>1089</v>
      </c>
      <c r="AD76" s="420" t="s">
        <v>1077</v>
      </c>
      <c r="AE76" s="17"/>
      <c r="AF76" s="17"/>
      <c r="AG76" s="17"/>
      <c r="AH76" s="17"/>
      <c r="AI76" s="230"/>
      <c r="AJ76" s="230"/>
      <c r="AK76" s="230"/>
      <c r="AL76" s="230"/>
      <c r="AM76" s="230"/>
      <c r="AN76" s="17"/>
      <c r="AO76" s="17"/>
      <c r="AP76" s="17"/>
      <c r="AQ76" s="17"/>
      <c r="AR76" s="17"/>
      <c r="AS76" s="230"/>
      <c r="AT76" s="230"/>
      <c r="AU76" s="230"/>
      <c r="AV76" s="230"/>
      <c r="AW76" s="230"/>
      <c r="AX76" s="17"/>
      <c r="AY76" s="17"/>
      <c r="AZ76" s="17"/>
      <c r="BA76" s="17"/>
      <c r="BB76" s="17"/>
      <c r="BC76" s="28"/>
      <c r="BF76" s="970" t="s">
        <v>1149</v>
      </c>
    </row>
    <row r="77" spans="5:58" ht="14.65" hidden="1" customHeight="1">
      <c r="E77" s="676">
        <v>15</v>
      </c>
      <c r="F77" s="779" cm="1">
        <f t="array" ref="F77">F76</f>
        <v>0</v>
      </c>
      <c r="T77" s="698" t="b" cm="1">
        <f t="array" ref="T77">T76</f>
        <v>0</v>
      </c>
      <c r="X77" s="1687"/>
      <c r="Z77" s="1687"/>
      <c r="AB77" s="420" t="str">
        <f>AB74&amp;".3"</f>
        <v>4.4.3</v>
      </c>
      <c r="AC77" s="422" t="s">
        <v>1092</v>
      </c>
      <c r="AD77" s="420" t="s">
        <v>1077</v>
      </c>
      <c r="AE77" s="17"/>
      <c r="AF77" s="17"/>
      <c r="AG77" s="17"/>
      <c r="AH77" s="17"/>
      <c r="AI77" s="230"/>
      <c r="AJ77" s="230"/>
      <c r="AK77" s="230"/>
      <c r="AL77" s="230"/>
      <c r="AM77" s="230"/>
      <c r="AN77" s="17"/>
      <c r="AO77" s="17"/>
      <c r="AP77" s="17"/>
      <c r="AQ77" s="17"/>
      <c r="AR77" s="17"/>
      <c r="AS77" s="230"/>
      <c r="AT77" s="230"/>
      <c r="AU77" s="230"/>
      <c r="AV77" s="230"/>
      <c r="AW77" s="230"/>
      <c r="AX77" s="17"/>
      <c r="AY77" s="17"/>
      <c r="AZ77" s="17"/>
      <c r="BA77" s="17"/>
      <c r="BB77" s="17"/>
      <c r="BC77" s="28"/>
      <c r="BF77" s="970" t="s">
        <v>1150</v>
      </c>
    </row>
    <row r="78" spans="5:58" ht="14.65" hidden="1" customHeight="1">
      <c r="E78" s="676">
        <v>15</v>
      </c>
      <c r="F78" s="779" cm="1">
        <f t="array" ref="F78">F77</f>
        <v>0</v>
      </c>
      <c r="T78" s="698" t="b" cm="1">
        <f t="array" ref="T78">T77</f>
        <v>0</v>
      </c>
      <c r="X78" s="1687"/>
      <c r="Z78" s="1687"/>
      <c r="AB78" s="420" t="str">
        <f>AB74&amp;".4"</f>
        <v>4.4.4</v>
      </c>
      <c r="AC78" s="422" t="s">
        <v>1095</v>
      </c>
      <c r="AD78" s="420" t="s">
        <v>1077</v>
      </c>
      <c r="AE78" s="17"/>
      <c r="AF78" s="17"/>
      <c r="AG78" s="17"/>
      <c r="AH78" s="17"/>
      <c r="AI78" s="230"/>
      <c r="AJ78" s="230"/>
      <c r="AK78" s="230"/>
      <c r="AL78" s="230"/>
      <c r="AM78" s="230"/>
      <c r="AN78" s="17"/>
      <c r="AO78" s="17"/>
      <c r="AP78" s="17"/>
      <c r="AQ78" s="17"/>
      <c r="AR78" s="17"/>
      <c r="AS78" s="230"/>
      <c r="AT78" s="230"/>
      <c r="AU78" s="230"/>
      <c r="AV78" s="230"/>
      <c r="AW78" s="230"/>
      <c r="AX78" s="17"/>
      <c r="AY78" s="17"/>
      <c r="AZ78" s="17"/>
      <c r="BA78" s="17"/>
      <c r="BB78" s="17"/>
      <c r="BC78" s="28"/>
      <c r="BF78" s="970" t="s">
        <v>1151</v>
      </c>
    </row>
    <row r="79" spans="5:58" ht="14.65" hidden="1" customHeight="1">
      <c r="E79" s="676">
        <v>15</v>
      </c>
      <c r="F79" s="779" cm="1">
        <f t="array" ref="F79">F78</f>
        <v>0</v>
      </c>
      <c r="T79" s="698" t="b" cm="1">
        <f t="array" ref="T79">T78</f>
        <v>0</v>
      </c>
      <c r="X79" s="1687"/>
      <c r="Z79" s="1687"/>
      <c r="AB79" s="420" t="str">
        <f>AB74&amp;".5"</f>
        <v>4.4.5</v>
      </c>
      <c r="AC79" s="422" t="s">
        <v>1098</v>
      </c>
      <c r="AD79" s="420" t="s">
        <v>1077</v>
      </c>
      <c r="AE79" s="17"/>
      <c r="AF79" s="17"/>
      <c r="AG79" s="17"/>
      <c r="AH79" s="17"/>
      <c r="AI79" s="230"/>
      <c r="AJ79" s="230"/>
      <c r="AK79" s="230"/>
      <c r="AL79" s="230"/>
      <c r="AM79" s="230"/>
      <c r="AN79" s="17"/>
      <c r="AO79" s="17"/>
      <c r="AP79" s="17"/>
      <c r="AQ79" s="17"/>
      <c r="AR79" s="17"/>
      <c r="AS79" s="230"/>
      <c r="AT79" s="230"/>
      <c r="AU79" s="230"/>
      <c r="AV79" s="230"/>
      <c r="AW79" s="230"/>
      <c r="AX79" s="17"/>
      <c r="AY79" s="17"/>
      <c r="AZ79" s="17"/>
      <c r="BA79" s="17"/>
      <c r="BB79" s="17"/>
      <c r="BC79" s="28"/>
      <c r="BF79" s="970" t="s">
        <v>1152</v>
      </c>
    </row>
    <row r="80" spans="5:58" ht="14.65" hidden="1" customHeight="1">
      <c r="E80" s="676">
        <v>15</v>
      </c>
      <c r="F80" s="779" cm="1">
        <f t="array" ref="F80">F79</f>
        <v>0</v>
      </c>
      <c r="T80" s="698" t="b" cm="1">
        <f t="array" ref="T80">T79</f>
        <v>0</v>
      </c>
      <c r="X80" s="1687"/>
      <c r="Z80" s="1687"/>
      <c r="AB80" s="420" t="str">
        <f>AB70&amp;".5"</f>
        <v>4.5</v>
      </c>
      <c r="AC80" s="421" t="s">
        <v>1101</v>
      </c>
      <c r="AD80" s="420" t="s">
        <v>1077</v>
      </c>
      <c r="AE80" s="17"/>
      <c r="AF80" s="17"/>
      <c r="AG80" s="17"/>
      <c r="AH80" s="17"/>
      <c r="AI80" s="230"/>
      <c r="AJ80" s="230"/>
      <c r="AK80" s="230"/>
      <c r="AL80" s="230"/>
      <c r="AM80" s="230"/>
      <c r="AN80" s="17"/>
      <c r="AO80" s="17"/>
      <c r="AP80" s="17"/>
      <c r="AQ80" s="17"/>
      <c r="AR80" s="17"/>
      <c r="AS80" s="230"/>
      <c r="AT80" s="230"/>
      <c r="AU80" s="230"/>
      <c r="AV80" s="230"/>
      <c r="AW80" s="230"/>
      <c r="AX80" s="17"/>
      <c r="AY80" s="17"/>
      <c r="AZ80" s="17"/>
      <c r="BA80" s="17"/>
      <c r="BB80" s="17"/>
      <c r="BC80" s="28"/>
      <c r="BF80" s="970" t="s">
        <v>1153</v>
      </c>
    </row>
    <row r="81" spans="5:58" ht="14.65" hidden="1" customHeight="1">
      <c r="E81" s="676">
        <v>15</v>
      </c>
      <c r="F81" s="779" cm="1">
        <f t="array" ref="F81">F80</f>
        <v>0</v>
      </c>
      <c r="T81" s="698" t="b" cm="1">
        <f t="array" ref="T81">T80</f>
        <v>0</v>
      </c>
      <c r="X81" s="1687"/>
      <c r="Z81" s="1687"/>
      <c r="AB81" s="420" t="str">
        <f>AB70&amp;".6"</f>
        <v>4.6</v>
      </c>
      <c r="AC81" s="421" t="s">
        <v>1104</v>
      </c>
      <c r="AD81" s="420" t="s">
        <v>1077</v>
      </c>
      <c r="AE81" s="17"/>
      <c r="AF81" s="17"/>
      <c r="AG81" s="17"/>
      <c r="AH81" s="17"/>
      <c r="AI81" s="230"/>
      <c r="AJ81" s="230"/>
      <c r="AK81" s="230"/>
      <c r="AL81" s="230"/>
      <c r="AM81" s="230"/>
      <c r="AN81" s="17"/>
      <c r="AO81" s="17"/>
      <c r="AP81" s="17"/>
      <c r="AQ81" s="17"/>
      <c r="AR81" s="17"/>
      <c r="AS81" s="230"/>
      <c r="AT81" s="230"/>
      <c r="AU81" s="230"/>
      <c r="AV81" s="230"/>
      <c r="AW81" s="230"/>
      <c r="AX81" s="17"/>
      <c r="AY81" s="17"/>
      <c r="AZ81" s="17"/>
      <c r="BA81" s="17"/>
      <c r="BB81" s="17"/>
      <c r="BC81" s="28"/>
      <c r="BF81" s="970" t="s">
        <v>1154</v>
      </c>
    </row>
    <row r="82" spans="5:58" ht="14.65" hidden="1" customHeight="1">
      <c r="E82" s="676">
        <v>15</v>
      </c>
      <c r="F82" s="779" cm="1">
        <f t="array" ref="F82">F81</f>
        <v>0</v>
      </c>
      <c r="T82" s="698" t="b" cm="1">
        <f t="array" ref="T82">T81</f>
        <v>0</v>
      </c>
      <c r="X82" s="1687"/>
      <c r="Z82" s="1687"/>
      <c r="AB82" s="420" t="str">
        <f>AB70&amp;".7"</f>
        <v>4.7</v>
      </c>
      <c r="AC82" s="421" t="s">
        <v>1107</v>
      </c>
      <c r="AD82" s="420" t="s">
        <v>1077</v>
      </c>
      <c r="AE82" s="17"/>
      <c r="AF82" s="17"/>
      <c r="AG82" s="17"/>
      <c r="AH82" s="17"/>
      <c r="AI82" s="230"/>
      <c r="AJ82" s="230"/>
      <c r="AK82" s="230"/>
      <c r="AL82" s="230"/>
      <c r="AM82" s="230"/>
      <c r="AN82" s="17"/>
      <c r="AO82" s="17"/>
      <c r="AP82" s="17"/>
      <c r="AQ82" s="17"/>
      <c r="AR82" s="17"/>
      <c r="AS82" s="230"/>
      <c r="AT82" s="230"/>
      <c r="AU82" s="230"/>
      <c r="AV82" s="230"/>
      <c r="AW82" s="230"/>
      <c r="AX82" s="17"/>
      <c r="AY82" s="17"/>
      <c r="AZ82" s="17"/>
      <c r="BA82" s="17"/>
      <c r="BB82" s="17"/>
      <c r="BC82" s="28"/>
      <c r="BF82" s="970" t="s">
        <v>1155</v>
      </c>
    </row>
    <row r="83" spans="5:58" ht="14.65" hidden="1" customHeight="1">
      <c r="E83" s="676">
        <v>15</v>
      </c>
      <c r="F83" s="779" cm="1">
        <f t="array" ref="F83">F82</f>
        <v>0</v>
      </c>
      <c r="T83" s="698" t="b" cm="1">
        <f t="array" ref="T83">T82</f>
        <v>0</v>
      </c>
      <c r="X83" s="1687"/>
      <c r="Z83" s="1687"/>
      <c r="AB83" s="420" t="str">
        <f>AB70&amp;".8"</f>
        <v>4.8</v>
      </c>
      <c r="AC83" s="421" t="s">
        <v>1110</v>
      </c>
      <c r="AD83" s="420" t="s">
        <v>1077</v>
      </c>
      <c r="AE83" s="17"/>
      <c r="AF83" s="17"/>
      <c r="AG83" s="17"/>
      <c r="AH83" s="17"/>
      <c r="AI83" s="230"/>
      <c r="AJ83" s="230"/>
      <c r="AK83" s="230"/>
      <c r="AL83" s="230"/>
      <c r="AM83" s="230"/>
      <c r="AN83" s="17"/>
      <c r="AO83" s="17"/>
      <c r="AP83" s="17"/>
      <c r="AQ83" s="17"/>
      <c r="AR83" s="17"/>
      <c r="AS83" s="230"/>
      <c r="AT83" s="230"/>
      <c r="AU83" s="230"/>
      <c r="AV83" s="230"/>
      <c r="AW83" s="230"/>
      <c r="AX83" s="17"/>
      <c r="AY83" s="17"/>
      <c r="AZ83" s="17"/>
      <c r="BA83" s="17"/>
      <c r="BB83" s="17"/>
      <c r="BC83" s="28"/>
      <c r="BF83" s="970" t="s">
        <v>1156</v>
      </c>
    </row>
    <row r="84" spans="5:58" s="167" customFormat="1" ht="22.15" hidden="1" customHeight="1">
      <c r="E84" s="676">
        <v>22.8</v>
      </c>
      <c r="F84" s="779" cm="1">
        <f t="array" ref="F84">F83</f>
        <v>0</v>
      </c>
      <c r="T84" s="698" t="b" cm="1">
        <f t="array" ref="T84">T83</f>
        <v>0</v>
      </c>
      <c r="X84" s="1811"/>
      <c r="Z84" s="1811"/>
      <c r="AB84" s="227">
        <v>5</v>
      </c>
      <c r="AC84" s="228" t="s">
        <v>1157</v>
      </c>
      <c r="AD84" s="107" t="s">
        <v>839</v>
      </c>
      <c r="AE84" s="57">
        <f t="shared" ref="AE84:BB84" si="9">SUM(AE85:AE88)+SUM(AE94:AE97)</f>
        <v>0</v>
      </c>
      <c r="AF84" s="57">
        <f t="shared" si="9"/>
        <v>0</v>
      </c>
      <c r="AG84" s="57">
        <f t="shared" si="9"/>
        <v>0</v>
      </c>
      <c r="AH84" s="57">
        <f t="shared" si="9"/>
        <v>0</v>
      </c>
      <c r="AI84" s="242">
        <f t="shared" si="9"/>
        <v>0</v>
      </c>
      <c r="AJ84" s="242">
        <f t="shared" si="9"/>
        <v>0</v>
      </c>
      <c r="AK84" s="242">
        <f t="shared" si="9"/>
        <v>0</v>
      </c>
      <c r="AL84" s="242">
        <f t="shared" si="9"/>
        <v>0</v>
      </c>
      <c r="AM84" s="242">
        <f t="shared" si="9"/>
        <v>0</v>
      </c>
      <c r="AN84" s="57">
        <f t="shared" si="9"/>
        <v>0</v>
      </c>
      <c r="AO84" s="57">
        <f t="shared" si="9"/>
        <v>0</v>
      </c>
      <c r="AP84" s="57">
        <f t="shared" si="9"/>
        <v>0</v>
      </c>
      <c r="AQ84" s="57">
        <f t="shared" si="9"/>
        <v>0</v>
      </c>
      <c r="AR84" s="57">
        <f t="shared" si="9"/>
        <v>0</v>
      </c>
      <c r="AS84" s="242">
        <f t="shared" si="9"/>
        <v>0</v>
      </c>
      <c r="AT84" s="242">
        <f t="shared" si="9"/>
        <v>0</v>
      </c>
      <c r="AU84" s="242">
        <f t="shared" si="9"/>
        <v>0</v>
      </c>
      <c r="AV84" s="242">
        <f t="shared" si="9"/>
        <v>0</v>
      </c>
      <c r="AW84" s="242">
        <f t="shared" si="9"/>
        <v>0</v>
      </c>
      <c r="AX84" s="57">
        <f t="shared" si="9"/>
        <v>0</v>
      </c>
      <c r="AY84" s="57">
        <f t="shared" si="9"/>
        <v>0</v>
      </c>
      <c r="AZ84" s="57">
        <f t="shared" si="9"/>
        <v>0</v>
      </c>
      <c r="BA84" s="57">
        <f t="shared" si="9"/>
        <v>0</v>
      </c>
      <c r="BB84" s="57">
        <f t="shared" si="9"/>
        <v>0</v>
      </c>
      <c r="BC84" s="28"/>
      <c r="BF84" s="970" t="s">
        <v>1158</v>
      </c>
    </row>
    <row r="85" spans="5:58" ht="14.65" hidden="1" customHeight="1">
      <c r="E85" s="676">
        <v>15</v>
      </c>
      <c r="F85" s="779" cm="1">
        <f t="array" ref="F85">F84</f>
        <v>0</v>
      </c>
      <c r="T85" s="698" t="b" cm="1">
        <f t="array" ref="T85">T84</f>
        <v>0</v>
      </c>
      <c r="X85" s="1687"/>
      <c r="Z85" s="1687"/>
      <c r="AB85" s="412" t="str">
        <f>AB84&amp;".1"</f>
        <v>5.1</v>
      </c>
      <c r="AC85" s="404" t="s">
        <v>1076</v>
      </c>
      <c r="AD85" s="412" t="s">
        <v>1077</v>
      </c>
      <c r="AE85" s="40">
        <f t="shared" ref="AE85:BB85" si="10">(AE29*2+AE43+AE57-AE71)/2</f>
        <v>0</v>
      </c>
      <c r="AF85" s="40">
        <f t="shared" si="10"/>
        <v>0</v>
      </c>
      <c r="AG85" s="40">
        <f t="shared" si="10"/>
        <v>0</v>
      </c>
      <c r="AH85" s="40">
        <f t="shared" si="10"/>
        <v>0</v>
      </c>
      <c r="AI85" s="415">
        <f t="shared" si="10"/>
        <v>0</v>
      </c>
      <c r="AJ85" s="415">
        <f t="shared" si="10"/>
        <v>0</v>
      </c>
      <c r="AK85" s="415">
        <f t="shared" si="10"/>
        <v>0</v>
      </c>
      <c r="AL85" s="415">
        <f t="shared" si="10"/>
        <v>0</v>
      </c>
      <c r="AM85" s="415">
        <f t="shared" si="10"/>
        <v>0</v>
      </c>
      <c r="AN85" s="40">
        <f t="shared" si="10"/>
        <v>0</v>
      </c>
      <c r="AO85" s="40">
        <f t="shared" si="10"/>
        <v>0</v>
      </c>
      <c r="AP85" s="40">
        <f t="shared" si="10"/>
        <v>0</v>
      </c>
      <c r="AQ85" s="40">
        <f t="shared" si="10"/>
        <v>0</v>
      </c>
      <c r="AR85" s="40">
        <f t="shared" si="10"/>
        <v>0</v>
      </c>
      <c r="AS85" s="415">
        <f t="shared" si="10"/>
        <v>0</v>
      </c>
      <c r="AT85" s="415">
        <f t="shared" si="10"/>
        <v>0</v>
      </c>
      <c r="AU85" s="415">
        <f t="shared" si="10"/>
        <v>0</v>
      </c>
      <c r="AV85" s="415">
        <f t="shared" si="10"/>
        <v>0</v>
      </c>
      <c r="AW85" s="415">
        <f t="shared" si="10"/>
        <v>0</v>
      </c>
      <c r="AX85" s="40">
        <f t="shared" si="10"/>
        <v>0</v>
      </c>
      <c r="AY85" s="40">
        <f t="shared" si="10"/>
        <v>0</v>
      </c>
      <c r="AZ85" s="40">
        <f t="shared" si="10"/>
        <v>0</v>
      </c>
      <c r="BA85" s="40">
        <f t="shared" si="10"/>
        <v>0</v>
      </c>
      <c r="BB85" s="40">
        <f t="shared" si="10"/>
        <v>0</v>
      </c>
      <c r="BC85" s="60"/>
      <c r="BF85" s="970" t="s">
        <v>1159</v>
      </c>
    </row>
    <row r="86" spans="5:58" ht="14.65" hidden="1" customHeight="1">
      <c r="E86" s="676">
        <v>15</v>
      </c>
      <c r="F86" s="779" cm="1">
        <f t="array" ref="F86">F85</f>
        <v>0</v>
      </c>
      <c r="T86" s="698" t="b" cm="1">
        <f t="array" ref="T86">T85</f>
        <v>0</v>
      </c>
      <c r="X86" s="1687"/>
      <c r="Z86" s="1687"/>
      <c r="AB86" s="412" t="str">
        <f>AB84&amp;".2"</f>
        <v>5.2</v>
      </c>
      <c r="AC86" s="404" t="s">
        <v>1079</v>
      </c>
      <c r="AD86" s="412" t="s">
        <v>1077</v>
      </c>
      <c r="AE86" s="40">
        <f t="shared" ref="AE86:BB86" si="11">(AE30*2+AE44+AE58-AE72)/2</f>
        <v>0</v>
      </c>
      <c r="AF86" s="40">
        <f t="shared" si="11"/>
        <v>0</v>
      </c>
      <c r="AG86" s="40">
        <f t="shared" si="11"/>
        <v>0</v>
      </c>
      <c r="AH86" s="40">
        <f t="shared" si="11"/>
        <v>0</v>
      </c>
      <c r="AI86" s="415">
        <f t="shared" si="11"/>
        <v>0</v>
      </c>
      <c r="AJ86" s="415">
        <f t="shared" si="11"/>
        <v>0</v>
      </c>
      <c r="AK86" s="415">
        <f t="shared" si="11"/>
        <v>0</v>
      </c>
      <c r="AL86" s="415">
        <f t="shared" si="11"/>
        <v>0</v>
      </c>
      <c r="AM86" s="415">
        <f t="shared" si="11"/>
        <v>0</v>
      </c>
      <c r="AN86" s="40">
        <f t="shared" si="11"/>
        <v>0</v>
      </c>
      <c r="AO86" s="40">
        <f t="shared" si="11"/>
        <v>0</v>
      </c>
      <c r="AP86" s="40">
        <f t="shared" si="11"/>
        <v>0</v>
      </c>
      <c r="AQ86" s="40">
        <f t="shared" si="11"/>
        <v>0</v>
      </c>
      <c r="AR86" s="40">
        <f t="shared" si="11"/>
        <v>0</v>
      </c>
      <c r="AS86" s="415">
        <f t="shared" si="11"/>
        <v>0</v>
      </c>
      <c r="AT86" s="415">
        <f t="shared" si="11"/>
        <v>0</v>
      </c>
      <c r="AU86" s="415">
        <f t="shared" si="11"/>
        <v>0</v>
      </c>
      <c r="AV86" s="415">
        <f t="shared" si="11"/>
        <v>0</v>
      </c>
      <c r="AW86" s="415">
        <f t="shared" si="11"/>
        <v>0</v>
      </c>
      <c r="AX86" s="40">
        <f t="shared" si="11"/>
        <v>0</v>
      </c>
      <c r="AY86" s="40">
        <f t="shared" si="11"/>
        <v>0</v>
      </c>
      <c r="AZ86" s="40">
        <f t="shared" si="11"/>
        <v>0</v>
      </c>
      <c r="BA86" s="40">
        <f t="shared" si="11"/>
        <v>0</v>
      </c>
      <c r="BB86" s="40">
        <f t="shared" si="11"/>
        <v>0</v>
      </c>
      <c r="BC86" s="60"/>
      <c r="BF86" s="970" t="s">
        <v>1160</v>
      </c>
    </row>
    <row r="87" spans="5:58" ht="14.65" hidden="1" customHeight="1">
      <c r="E87" s="676">
        <v>15</v>
      </c>
      <c r="F87" s="779" cm="1">
        <f t="array" ref="F87">F86</f>
        <v>0</v>
      </c>
      <c r="T87" s="698" t="b" cm="1">
        <f t="array" ref="T87">T86</f>
        <v>0</v>
      </c>
      <c r="X87" s="1687"/>
      <c r="Z87" s="1687"/>
      <c r="AB87" s="412" t="str">
        <f>AB84&amp;".3"</f>
        <v>5.3</v>
      </c>
      <c r="AC87" s="404" t="s">
        <v>1081</v>
      </c>
      <c r="AD87" s="412" t="s">
        <v>1077</v>
      </c>
      <c r="AE87" s="40">
        <f t="shared" ref="AE87:BB87" si="12">(AE31*2+AE45+AE59-AE73)/2</f>
        <v>0</v>
      </c>
      <c r="AF87" s="40">
        <f t="shared" si="12"/>
        <v>0</v>
      </c>
      <c r="AG87" s="40">
        <f t="shared" si="12"/>
        <v>0</v>
      </c>
      <c r="AH87" s="40">
        <f t="shared" si="12"/>
        <v>0</v>
      </c>
      <c r="AI87" s="415">
        <f t="shared" si="12"/>
        <v>0</v>
      </c>
      <c r="AJ87" s="415">
        <f t="shared" si="12"/>
        <v>0</v>
      </c>
      <c r="AK87" s="415">
        <f t="shared" si="12"/>
        <v>0</v>
      </c>
      <c r="AL87" s="415">
        <f t="shared" si="12"/>
        <v>0</v>
      </c>
      <c r="AM87" s="415">
        <f t="shared" si="12"/>
        <v>0</v>
      </c>
      <c r="AN87" s="40">
        <f t="shared" si="12"/>
        <v>0</v>
      </c>
      <c r="AO87" s="40">
        <f t="shared" si="12"/>
        <v>0</v>
      </c>
      <c r="AP87" s="40">
        <f t="shared" si="12"/>
        <v>0</v>
      </c>
      <c r="AQ87" s="40">
        <f t="shared" si="12"/>
        <v>0</v>
      </c>
      <c r="AR87" s="40">
        <f t="shared" si="12"/>
        <v>0</v>
      </c>
      <c r="AS87" s="415">
        <f t="shared" si="12"/>
        <v>0</v>
      </c>
      <c r="AT87" s="415">
        <f t="shared" si="12"/>
        <v>0</v>
      </c>
      <c r="AU87" s="415">
        <f t="shared" si="12"/>
        <v>0</v>
      </c>
      <c r="AV87" s="415">
        <f t="shared" si="12"/>
        <v>0</v>
      </c>
      <c r="AW87" s="415">
        <f t="shared" si="12"/>
        <v>0</v>
      </c>
      <c r="AX87" s="40">
        <f t="shared" si="12"/>
        <v>0</v>
      </c>
      <c r="AY87" s="40">
        <f t="shared" si="12"/>
        <v>0</v>
      </c>
      <c r="AZ87" s="40">
        <f t="shared" si="12"/>
        <v>0</v>
      </c>
      <c r="BA87" s="40">
        <f t="shared" si="12"/>
        <v>0</v>
      </c>
      <c r="BB87" s="40">
        <f t="shared" si="12"/>
        <v>0</v>
      </c>
      <c r="BC87" s="60"/>
      <c r="BF87" s="970" t="s">
        <v>1161</v>
      </c>
    </row>
    <row r="88" spans="5:58" ht="14.65" hidden="1" customHeight="1">
      <c r="E88" s="676">
        <v>15</v>
      </c>
      <c r="F88" s="779" cm="1">
        <f t="array" ref="F88">F87</f>
        <v>0</v>
      </c>
      <c r="T88" s="698" t="b" cm="1">
        <f t="array" ref="T88">T87</f>
        <v>0</v>
      </c>
      <c r="X88" s="1687"/>
      <c r="Z88" s="1687"/>
      <c r="AB88" s="412" t="str">
        <f>AB84&amp;".4"</f>
        <v>5.4</v>
      </c>
      <c r="AC88" s="404" t="s">
        <v>1083</v>
      </c>
      <c r="AD88" s="412" t="s">
        <v>1077</v>
      </c>
      <c r="AE88" s="40">
        <f t="shared" ref="AE88:BB88" si="13">SUM(AE89:AE93)</f>
        <v>0</v>
      </c>
      <c r="AF88" s="40">
        <f t="shared" si="13"/>
        <v>0</v>
      </c>
      <c r="AG88" s="40">
        <f t="shared" si="13"/>
        <v>0</v>
      </c>
      <c r="AH88" s="40">
        <f t="shared" si="13"/>
        <v>0</v>
      </c>
      <c r="AI88" s="415">
        <f t="shared" si="13"/>
        <v>0</v>
      </c>
      <c r="AJ88" s="415">
        <f t="shared" si="13"/>
        <v>0</v>
      </c>
      <c r="AK88" s="415">
        <f t="shared" si="13"/>
        <v>0</v>
      </c>
      <c r="AL88" s="415">
        <f t="shared" si="13"/>
        <v>0</v>
      </c>
      <c r="AM88" s="415">
        <f t="shared" si="13"/>
        <v>0</v>
      </c>
      <c r="AN88" s="40">
        <f t="shared" si="13"/>
        <v>0</v>
      </c>
      <c r="AO88" s="40">
        <f t="shared" si="13"/>
        <v>0</v>
      </c>
      <c r="AP88" s="40">
        <f t="shared" si="13"/>
        <v>0</v>
      </c>
      <c r="AQ88" s="40">
        <f t="shared" si="13"/>
        <v>0</v>
      </c>
      <c r="AR88" s="40">
        <f t="shared" si="13"/>
        <v>0</v>
      </c>
      <c r="AS88" s="415">
        <f t="shared" si="13"/>
        <v>0</v>
      </c>
      <c r="AT88" s="415">
        <f t="shared" si="13"/>
        <v>0</v>
      </c>
      <c r="AU88" s="415">
        <f t="shared" si="13"/>
        <v>0</v>
      </c>
      <c r="AV88" s="415">
        <f t="shared" si="13"/>
        <v>0</v>
      </c>
      <c r="AW88" s="415">
        <f t="shared" si="13"/>
        <v>0</v>
      </c>
      <c r="AX88" s="40">
        <f t="shared" si="13"/>
        <v>0</v>
      </c>
      <c r="AY88" s="40">
        <f t="shared" si="13"/>
        <v>0</v>
      </c>
      <c r="AZ88" s="40">
        <f t="shared" si="13"/>
        <v>0</v>
      </c>
      <c r="BA88" s="40">
        <f t="shared" si="13"/>
        <v>0</v>
      </c>
      <c r="BB88" s="40">
        <f t="shared" si="13"/>
        <v>0</v>
      </c>
      <c r="BC88" s="60"/>
      <c r="BF88" s="970" t="s">
        <v>1162</v>
      </c>
    </row>
    <row r="89" spans="5:58" ht="14.65" hidden="1" customHeight="1">
      <c r="E89" s="676">
        <v>15</v>
      </c>
      <c r="F89" s="779" cm="1">
        <f t="array" ref="F89">F88</f>
        <v>0</v>
      </c>
      <c r="T89" s="698" t="b" cm="1">
        <f t="array" ref="T89">T88</f>
        <v>0</v>
      </c>
      <c r="X89" s="1687"/>
      <c r="Z89" s="1687"/>
      <c r="AB89" s="412" t="str">
        <f>AB88&amp;".1"</f>
        <v>5.4.1</v>
      </c>
      <c r="AC89" s="450" t="s">
        <v>1086</v>
      </c>
      <c r="AD89" s="412" t="s">
        <v>1077</v>
      </c>
      <c r="AE89" s="40">
        <f t="shared" ref="AE89:BB89" si="14">(AE33*2+AE47+AE61-AE75)/2</f>
        <v>0</v>
      </c>
      <c r="AF89" s="40">
        <f t="shared" si="14"/>
        <v>0</v>
      </c>
      <c r="AG89" s="40">
        <f t="shared" si="14"/>
        <v>0</v>
      </c>
      <c r="AH89" s="40">
        <f t="shared" si="14"/>
        <v>0</v>
      </c>
      <c r="AI89" s="415">
        <f t="shared" si="14"/>
        <v>0</v>
      </c>
      <c r="AJ89" s="415">
        <f t="shared" si="14"/>
        <v>0</v>
      </c>
      <c r="AK89" s="415">
        <f t="shared" si="14"/>
        <v>0</v>
      </c>
      <c r="AL89" s="415">
        <f t="shared" si="14"/>
        <v>0</v>
      </c>
      <c r="AM89" s="415">
        <f t="shared" si="14"/>
        <v>0</v>
      </c>
      <c r="AN89" s="40">
        <f t="shared" si="14"/>
        <v>0</v>
      </c>
      <c r="AO89" s="40">
        <f t="shared" si="14"/>
        <v>0</v>
      </c>
      <c r="AP89" s="40">
        <f t="shared" si="14"/>
        <v>0</v>
      </c>
      <c r="AQ89" s="40">
        <f t="shared" si="14"/>
        <v>0</v>
      </c>
      <c r="AR89" s="40">
        <f t="shared" si="14"/>
        <v>0</v>
      </c>
      <c r="AS89" s="415">
        <f t="shared" si="14"/>
        <v>0</v>
      </c>
      <c r="AT89" s="415">
        <f t="shared" si="14"/>
        <v>0</v>
      </c>
      <c r="AU89" s="415">
        <f t="shared" si="14"/>
        <v>0</v>
      </c>
      <c r="AV89" s="415">
        <f t="shared" si="14"/>
        <v>0</v>
      </c>
      <c r="AW89" s="415">
        <f t="shared" si="14"/>
        <v>0</v>
      </c>
      <c r="AX89" s="40">
        <f t="shared" si="14"/>
        <v>0</v>
      </c>
      <c r="AY89" s="40">
        <f t="shared" si="14"/>
        <v>0</v>
      </c>
      <c r="AZ89" s="40">
        <f t="shared" si="14"/>
        <v>0</v>
      </c>
      <c r="BA89" s="40">
        <f t="shared" si="14"/>
        <v>0</v>
      </c>
      <c r="BB89" s="40">
        <f t="shared" si="14"/>
        <v>0</v>
      </c>
      <c r="BC89" s="60"/>
      <c r="BF89" s="970" t="s">
        <v>1163</v>
      </c>
    </row>
    <row r="90" spans="5:58" ht="14.65" hidden="1" customHeight="1">
      <c r="E90" s="676">
        <v>15</v>
      </c>
      <c r="F90" s="779" cm="1">
        <f t="array" ref="F90">F89</f>
        <v>0</v>
      </c>
      <c r="T90" s="698" t="b" cm="1">
        <f t="array" ref="T90">T89</f>
        <v>0</v>
      </c>
      <c r="X90" s="1687"/>
      <c r="Z90" s="1687"/>
      <c r="AB90" s="412" t="str">
        <f>AB88&amp;".2"</f>
        <v>5.4.2</v>
      </c>
      <c r="AC90" s="450" t="s">
        <v>1089</v>
      </c>
      <c r="AD90" s="412" t="s">
        <v>1077</v>
      </c>
      <c r="AE90" s="40">
        <f t="shared" ref="AE90:BB90" si="15">(AE34*2+AE48+AE62-AE76)/2</f>
        <v>0</v>
      </c>
      <c r="AF90" s="40">
        <f t="shared" si="15"/>
        <v>0</v>
      </c>
      <c r="AG90" s="40">
        <f t="shared" si="15"/>
        <v>0</v>
      </c>
      <c r="AH90" s="40">
        <f t="shared" si="15"/>
        <v>0</v>
      </c>
      <c r="AI90" s="415">
        <f t="shared" si="15"/>
        <v>0</v>
      </c>
      <c r="AJ90" s="415">
        <f t="shared" si="15"/>
        <v>0</v>
      </c>
      <c r="AK90" s="415">
        <f t="shared" si="15"/>
        <v>0</v>
      </c>
      <c r="AL90" s="415">
        <f t="shared" si="15"/>
        <v>0</v>
      </c>
      <c r="AM90" s="415">
        <f t="shared" si="15"/>
        <v>0</v>
      </c>
      <c r="AN90" s="40">
        <f t="shared" si="15"/>
        <v>0</v>
      </c>
      <c r="AO90" s="40">
        <f t="shared" si="15"/>
        <v>0</v>
      </c>
      <c r="AP90" s="40">
        <f t="shared" si="15"/>
        <v>0</v>
      </c>
      <c r="AQ90" s="40">
        <f t="shared" si="15"/>
        <v>0</v>
      </c>
      <c r="AR90" s="40">
        <f t="shared" si="15"/>
        <v>0</v>
      </c>
      <c r="AS90" s="415">
        <f t="shared" si="15"/>
        <v>0</v>
      </c>
      <c r="AT90" s="415">
        <f t="shared" si="15"/>
        <v>0</v>
      </c>
      <c r="AU90" s="415">
        <f t="shared" si="15"/>
        <v>0</v>
      </c>
      <c r="AV90" s="415">
        <f t="shared" si="15"/>
        <v>0</v>
      </c>
      <c r="AW90" s="415">
        <f t="shared" si="15"/>
        <v>0</v>
      </c>
      <c r="AX90" s="40">
        <f t="shared" si="15"/>
        <v>0</v>
      </c>
      <c r="AY90" s="40">
        <f t="shared" si="15"/>
        <v>0</v>
      </c>
      <c r="AZ90" s="40">
        <f t="shared" si="15"/>
        <v>0</v>
      </c>
      <c r="BA90" s="40">
        <f t="shared" si="15"/>
        <v>0</v>
      </c>
      <c r="BB90" s="40">
        <f t="shared" si="15"/>
        <v>0</v>
      </c>
      <c r="BC90" s="60"/>
      <c r="BF90" s="970" t="s">
        <v>1164</v>
      </c>
    </row>
    <row r="91" spans="5:58" ht="14.65" hidden="1" customHeight="1">
      <c r="E91" s="676">
        <v>15</v>
      </c>
      <c r="F91" s="779" cm="1">
        <f t="array" ref="F91">F90</f>
        <v>0</v>
      </c>
      <c r="T91" s="698" t="b" cm="1">
        <f t="array" ref="T91">T90</f>
        <v>0</v>
      </c>
      <c r="X91" s="1687"/>
      <c r="Z91" s="1687"/>
      <c r="AB91" s="412" t="str">
        <f>AB88&amp;".3"</f>
        <v>5.4.3</v>
      </c>
      <c r="AC91" s="450" t="s">
        <v>1092</v>
      </c>
      <c r="AD91" s="412" t="s">
        <v>1077</v>
      </c>
      <c r="AE91" s="40">
        <f t="shared" ref="AE91:BB91" si="16">(AE35*2+AE49+AE63-AE77)/2</f>
        <v>0</v>
      </c>
      <c r="AF91" s="40">
        <f t="shared" si="16"/>
        <v>0</v>
      </c>
      <c r="AG91" s="40">
        <f t="shared" si="16"/>
        <v>0</v>
      </c>
      <c r="AH91" s="40">
        <f t="shared" si="16"/>
        <v>0</v>
      </c>
      <c r="AI91" s="415">
        <f t="shared" si="16"/>
        <v>0</v>
      </c>
      <c r="AJ91" s="415">
        <f t="shared" si="16"/>
        <v>0</v>
      </c>
      <c r="AK91" s="415">
        <f t="shared" si="16"/>
        <v>0</v>
      </c>
      <c r="AL91" s="415">
        <f t="shared" si="16"/>
        <v>0</v>
      </c>
      <c r="AM91" s="415">
        <f t="shared" si="16"/>
        <v>0</v>
      </c>
      <c r="AN91" s="40">
        <f t="shared" si="16"/>
        <v>0</v>
      </c>
      <c r="AO91" s="40">
        <f t="shared" si="16"/>
        <v>0</v>
      </c>
      <c r="AP91" s="40">
        <f t="shared" si="16"/>
        <v>0</v>
      </c>
      <c r="AQ91" s="40">
        <f t="shared" si="16"/>
        <v>0</v>
      </c>
      <c r="AR91" s="40">
        <f t="shared" si="16"/>
        <v>0</v>
      </c>
      <c r="AS91" s="415">
        <f t="shared" si="16"/>
        <v>0</v>
      </c>
      <c r="AT91" s="415">
        <f t="shared" si="16"/>
        <v>0</v>
      </c>
      <c r="AU91" s="415">
        <f t="shared" si="16"/>
        <v>0</v>
      </c>
      <c r="AV91" s="415">
        <f t="shared" si="16"/>
        <v>0</v>
      </c>
      <c r="AW91" s="415">
        <f t="shared" si="16"/>
        <v>0</v>
      </c>
      <c r="AX91" s="40">
        <f t="shared" si="16"/>
        <v>0</v>
      </c>
      <c r="AY91" s="40">
        <f t="shared" si="16"/>
        <v>0</v>
      </c>
      <c r="AZ91" s="40">
        <f t="shared" si="16"/>
        <v>0</v>
      </c>
      <c r="BA91" s="40">
        <f t="shared" si="16"/>
        <v>0</v>
      </c>
      <c r="BB91" s="40">
        <f t="shared" si="16"/>
        <v>0</v>
      </c>
      <c r="BC91" s="60"/>
      <c r="BF91" s="970" t="s">
        <v>1165</v>
      </c>
    </row>
    <row r="92" spans="5:58" ht="14.65" hidden="1" customHeight="1">
      <c r="E92" s="676">
        <v>15</v>
      </c>
      <c r="F92" s="779" cm="1">
        <f t="array" ref="F92">F91</f>
        <v>0</v>
      </c>
      <c r="T92" s="698" t="b" cm="1">
        <f t="array" ref="T92">T91</f>
        <v>0</v>
      </c>
      <c r="X92" s="1687"/>
      <c r="Z92" s="1687"/>
      <c r="AB92" s="412" t="str">
        <f>AB88&amp;".4"</f>
        <v>5.4.4</v>
      </c>
      <c r="AC92" s="450" t="s">
        <v>1095</v>
      </c>
      <c r="AD92" s="412" t="s">
        <v>1077</v>
      </c>
      <c r="AE92" s="40">
        <f t="shared" ref="AE92:BB92" si="17">(AE36*2+AE50+AE64-AE78)/2</f>
        <v>0</v>
      </c>
      <c r="AF92" s="40">
        <f t="shared" si="17"/>
        <v>0</v>
      </c>
      <c r="AG92" s="40">
        <f t="shared" si="17"/>
        <v>0</v>
      </c>
      <c r="AH92" s="40">
        <f t="shared" si="17"/>
        <v>0</v>
      </c>
      <c r="AI92" s="415">
        <f t="shared" si="17"/>
        <v>0</v>
      </c>
      <c r="AJ92" s="415">
        <f t="shared" si="17"/>
        <v>0</v>
      </c>
      <c r="AK92" s="415">
        <f t="shared" si="17"/>
        <v>0</v>
      </c>
      <c r="AL92" s="415">
        <f t="shared" si="17"/>
        <v>0</v>
      </c>
      <c r="AM92" s="415">
        <f t="shared" si="17"/>
        <v>0</v>
      </c>
      <c r="AN92" s="40">
        <f t="shared" si="17"/>
        <v>0</v>
      </c>
      <c r="AO92" s="40">
        <f t="shared" si="17"/>
        <v>0</v>
      </c>
      <c r="AP92" s="40">
        <f t="shared" si="17"/>
        <v>0</v>
      </c>
      <c r="AQ92" s="40">
        <f t="shared" si="17"/>
        <v>0</v>
      </c>
      <c r="AR92" s="40">
        <f t="shared" si="17"/>
        <v>0</v>
      </c>
      <c r="AS92" s="415">
        <f t="shared" si="17"/>
        <v>0</v>
      </c>
      <c r="AT92" s="415">
        <f t="shared" si="17"/>
        <v>0</v>
      </c>
      <c r="AU92" s="415">
        <f t="shared" si="17"/>
        <v>0</v>
      </c>
      <c r="AV92" s="415">
        <f t="shared" si="17"/>
        <v>0</v>
      </c>
      <c r="AW92" s="415">
        <f t="shared" si="17"/>
        <v>0</v>
      </c>
      <c r="AX92" s="40">
        <f t="shared" si="17"/>
        <v>0</v>
      </c>
      <c r="AY92" s="40">
        <f t="shared" si="17"/>
        <v>0</v>
      </c>
      <c r="AZ92" s="40">
        <f t="shared" si="17"/>
        <v>0</v>
      </c>
      <c r="BA92" s="40">
        <f t="shared" si="17"/>
        <v>0</v>
      </c>
      <c r="BB92" s="40">
        <f t="shared" si="17"/>
        <v>0</v>
      </c>
      <c r="BC92" s="60"/>
      <c r="BF92" s="970" t="s">
        <v>1166</v>
      </c>
    </row>
    <row r="93" spans="5:58" ht="14.65" hidden="1" customHeight="1">
      <c r="E93" s="676">
        <v>15</v>
      </c>
      <c r="F93" s="779" cm="1">
        <f t="array" ref="F93">F92</f>
        <v>0</v>
      </c>
      <c r="T93" s="698" t="b" cm="1">
        <f t="array" ref="T93">T92</f>
        <v>0</v>
      </c>
      <c r="X93" s="1687"/>
      <c r="Z93" s="1687"/>
      <c r="AB93" s="412" t="str">
        <f>AB88&amp;".5"</f>
        <v>5.4.5</v>
      </c>
      <c r="AC93" s="450" t="s">
        <v>1098</v>
      </c>
      <c r="AD93" s="412" t="s">
        <v>1077</v>
      </c>
      <c r="AE93" s="40">
        <f t="shared" ref="AE93:BB93" si="18">(AE37*2+AE51+AE65-AE79)/2</f>
        <v>0</v>
      </c>
      <c r="AF93" s="40">
        <f t="shared" si="18"/>
        <v>0</v>
      </c>
      <c r="AG93" s="40">
        <f t="shared" si="18"/>
        <v>0</v>
      </c>
      <c r="AH93" s="40">
        <f t="shared" si="18"/>
        <v>0</v>
      </c>
      <c r="AI93" s="415">
        <f t="shared" si="18"/>
        <v>0</v>
      </c>
      <c r="AJ93" s="415">
        <f t="shared" si="18"/>
        <v>0</v>
      </c>
      <c r="AK93" s="415">
        <f t="shared" si="18"/>
        <v>0</v>
      </c>
      <c r="AL93" s="415">
        <f t="shared" si="18"/>
        <v>0</v>
      </c>
      <c r="AM93" s="415">
        <f t="shared" si="18"/>
        <v>0</v>
      </c>
      <c r="AN93" s="40">
        <f t="shared" si="18"/>
        <v>0</v>
      </c>
      <c r="AO93" s="40">
        <f t="shared" si="18"/>
        <v>0</v>
      </c>
      <c r="AP93" s="40">
        <f t="shared" si="18"/>
        <v>0</v>
      </c>
      <c r="AQ93" s="40">
        <f t="shared" si="18"/>
        <v>0</v>
      </c>
      <c r="AR93" s="40">
        <f t="shared" si="18"/>
        <v>0</v>
      </c>
      <c r="AS93" s="415">
        <f t="shared" si="18"/>
        <v>0</v>
      </c>
      <c r="AT93" s="415">
        <f t="shared" si="18"/>
        <v>0</v>
      </c>
      <c r="AU93" s="415">
        <f t="shared" si="18"/>
        <v>0</v>
      </c>
      <c r="AV93" s="415">
        <f t="shared" si="18"/>
        <v>0</v>
      </c>
      <c r="AW93" s="415">
        <f t="shared" si="18"/>
        <v>0</v>
      </c>
      <c r="AX93" s="40">
        <f t="shared" si="18"/>
        <v>0</v>
      </c>
      <c r="AY93" s="40">
        <f t="shared" si="18"/>
        <v>0</v>
      </c>
      <c r="AZ93" s="40">
        <f t="shared" si="18"/>
        <v>0</v>
      </c>
      <c r="BA93" s="40">
        <f t="shared" si="18"/>
        <v>0</v>
      </c>
      <c r="BB93" s="40">
        <f t="shared" si="18"/>
        <v>0</v>
      </c>
      <c r="BC93" s="60"/>
      <c r="BF93" s="970" t="s">
        <v>1167</v>
      </c>
    </row>
    <row r="94" spans="5:58" ht="14.65" hidden="1" customHeight="1">
      <c r="E94" s="676">
        <v>15</v>
      </c>
      <c r="F94" s="779" cm="1">
        <f t="array" ref="F94">F93</f>
        <v>0</v>
      </c>
      <c r="T94" s="698" t="b" cm="1">
        <f t="array" ref="T94">T93</f>
        <v>0</v>
      </c>
      <c r="X94" s="1687"/>
      <c r="Z94" s="1687"/>
      <c r="AB94" s="412" t="str">
        <f>AB84&amp;".5"</f>
        <v>5.5</v>
      </c>
      <c r="AC94" s="404" t="s">
        <v>1101</v>
      </c>
      <c r="AD94" s="412" t="s">
        <v>1077</v>
      </c>
      <c r="AE94" s="40">
        <f t="shared" ref="AE94:BB94" si="19">(AE38*2+AE52+AE66-AE80)/2</f>
        <v>0</v>
      </c>
      <c r="AF94" s="40">
        <f t="shared" si="19"/>
        <v>0</v>
      </c>
      <c r="AG94" s="40">
        <f t="shared" si="19"/>
        <v>0</v>
      </c>
      <c r="AH94" s="40">
        <f t="shared" si="19"/>
        <v>0</v>
      </c>
      <c r="AI94" s="415">
        <f t="shared" si="19"/>
        <v>0</v>
      </c>
      <c r="AJ94" s="415">
        <f t="shared" si="19"/>
        <v>0</v>
      </c>
      <c r="AK94" s="415">
        <f t="shared" si="19"/>
        <v>0</v>
      </c>
      <c r="AL94" s="415">
        <f t="shared" si="19"/>
        <v>0</v>
      </c>
      <c r="AM94" s="415">
        <f t="shared" si="19"/>
        <v>0</v>
      </c>
      <c r="AN94" s="40">
        <f t="shared" si="19"/>
        <v>0</v>
      </c>
      <c r="AO94" s="40">
        <f t="shared" si="19"/>
        <v>0</v>
      </c>
      <c r="AP94" s="40">
        <f t="shared" si="19"/>
        <v>0</v>
      </c>
      <c r="AQ94" s="40">
        <f t="shared" si="19"/>
        <v>0</v>
      </c>
      <c r="AR94" s="40">
        <f t="shared" si="19"/>
        <v>0</v>
      </c>
      <c r="AS94" s="415">
        <f t="shared" si="19"/>
        <v>0</v>
      </c>
      <c r="AT94" s="415">
        <f t="shared" si="19"/>
        <v>0</v>
      </c>
      <c r="AU94" s="415">
        <f t="shared" si="19"/>
        <v>0</v>
      </c>
      <c r="AV94" s="415">
        <f t="shared" si="19"/>
        <v>0</v>
      </c>
      <c r="AW94" s="415">
        <f t="shared" si="19"/>
        <v>0</v>
      </c>
      <c r="AX94" s="40">
        <f t="shared" si="19"/>
        <v>0</v>
      </c>
      <c r="AY94" s="40">
        <f t="shared" si="19"/>
        <v>0</v>
      </c>
      <c r="AZ94" s="40">
        <f t="shared" si="19"/>
        <v>0</v>
      </c>
      <c r="BA94" s="40">
        <f t="shared" si="19"/>
        <v>0</v>
      </c>
      <c r="BB94" s="40">
        <f t="shared" si="19"/>
        <v>0</v>
      </c>
      <c r="BC94" s="60"/>
      <c r="BF94" s="970" t="s">
        <v>1168</v>
      </c>
    </row>
    <row r="95" spans="5:58" ht="14.65" hidden="1" customHeight="1">
      <c r="E95" s="676">
        <v>15</v>
      </c>
      <c r="F95" s="779" cm="1">
        <f t="array" ref="F95">F94</f>
        <v>0</v>
      </c>
      <c r="T95" s="698" t="b" cm="1">
        <f t="array" ref="T95">T94</f>
        <v>0</v>
      </c>
      <c r="X95" s="1687"/>
      <c r="Z95" s="1687"/>
      <c r="AB95" s="412" t="str">
        <f>AB84&amp;".6"</f>
        <v>5.6</v>
      </c>
      <c r="AC95" s="404" t="s">
        <v>1104</v>
      </c>
      <c r="AD95" s="412" t="s">
        <v>1077</v>
      </c>
      <c r="AE95" s="40">
        <f t="shared" ref="AE95:BB95" si="20">(AE39*2+AE53+AE67-AE81)/2</f>
        <v>0</v>
      </c>
      <c r="AF95" s="40">
        <f t="shared" si="20"/>
        <v>0</v>
      </c>
      <c r="AG95" s="40">
        <f t="shared" si="20"/>
        <v>0</v>
      </c>
      <c r="AH95" s="40">
        <f t="shared" si="20"/>
        <v>0</v>
      </c>
      <c r="AI95" s="415">
        <f t="shared" si="20"/>
        <v>0</v>
      </c>
      <c r="AJ95" s="415">
        <f t="shared" si="20"/>
        <v>0</v>
      </c>
      <c r="AK95" s="415">
        <f t="shared" si="20"/>
        <v>0</v>
      </c>
      <c r="AL95" s="415">
        <f t="shared" si="20"/>
        <v>0</v>
      </c>
      <c r="AM95" s="415">
        <f t="shared" si="20"/>
        <v>0</v>
      </c>
      <c r="AN95" s="40">
        <f t="shared" si="20"/>
        <v>0</v>
      </c>
      <c r="AO95" s="40">
        <f t="shared" si="20"/>
        <v>0</v>
      </c>
      <c r="AP95" s="40">
        <f t="shared" si="20"/>
        <v>0</v>
      </c>
      <c r="AQ95" s="40">
        <f t="shared" si="20"/>
        <v>0</v>
      </c>
      <c r="AR95" s="40">
        <f t="shared" si="20"/>
        <v>0</v>
      </c>
      <c r="AS95" s="415">
        <f t="shared" si="20"/>
        <v>0</v>
      </c>
      <c r="AT95" s="415">
        <f t="shared" si="20"/>
        <v>0</v>
      </c>
      <c r="AU95" s="415">
        <f t="shared" si="20"/>
        <v>0</v>
      </c>
      <c r="AV95" s="415">
        <f t="shared" si="20"/>
        <v>0</v>
      </c>
      <c r="AW95" s="415">
        <f t="shared" si="20"/>
        <v>0</v>
      </c>
      <c r="AX95" s="40">
        <f t="shared" si="20"/>
        <v>0</v>
      </c>
      <c r="AY95" s="40">
        <f t="shared" si="20"/>
        <v>0</v>
      </c>
      <c r="AZ95" s="40">
        <f t="shared" si="20"/>
        <v>0</v>
      </c>
      <c r="BA95" s="40">
        <f t="shared" si="20"/>
        <v>0</v>
      </c>
      <c r="BB95" s="40">
        <f t="shared" si="20"/>
        <v>0</v>
      </c>
      <c r="BC95" s="60"/>
      <c r="BF95" s="970" t="s">
        <v>1169</v>
      </c>
    </row>
    <row r="96" spans="5:58" ht="14.65" hidden="1" customHeight="1">
      <c r="E96" s="676">
        <v>15</v>
      </c>
      <c r="F96" s="779" cm="1">
        <f t="array" ref="F96">F95</f>
        <v>0</v>
      </c>
      <c r="T96" s="698" t="b" cm="1">
        <f t="array" ref="T96">T95</f>
        <v>0</v>
      </c>
      <c r="X96" s="1687"/>
      <c r="Z96" s="1687"/>
      <c r="AB96" s="412" t="str">
        <f>AB84&amp;".7"</f>
        <v>5.7</v>
      </c>
      <c r="AC96" s="404" t="s">
        <v>1107</v>
      </c>
      <c r="AD96" s="412" t="s">
        <v>1077</v>
      </c>
      <c r="AE96" s="40">
        <f t="shared" ref="AE96:BB96" si="21">(AE40*2+AE54+AE68-AE82)/2</f>
        <v>0</v>
      </c>
      <c r="AF96" s="40">
        <f t="shared" si="21"/>
        <v>0</v>
      </c>
      <c r="AG96" s="40">
        <f t="shared" si="21"/>
        <v>0</v>
      </c>
      <c r="AH96" s="40">
        <f t="shared" si="21"/>
        <v>0</v>
      </c>
      <c r="AI96" s="415">
        <f t="shared" si="21"/>
        <v>0</v>
      </c>
      <c r="AJ96" s="415">
        <f t="shared" si="21"/>
        <v>0</v>
      </c>
      <c r="AK96" s="415">
        <f t="shared" si="21"/>
        <v>0</v>
      </c>
      <c r="AL96" s="415">
        <f t="shared" si="21"/>
        <v>0</v>
      </c>
      <c r="AM96" s="415">
        <f t="shared" si="21"/>
        <v>0</v>
      </c>
      <c r="AN96" s="40">
        <f t="shared" si="21"/>
        <v>0</v>
      </c>
      <c r="AO96" s="40">
        <f t="shared" si="21"/>
        <v>0</v>
      </c>
      <c r="AP96" s="40">
        <f t="shared" si="21"/>
        <v>0</v>
      </c>
      <c r="AQ96" s="40">
        <f t="shared" si="21"/>
        <v>0</v>
      </c>
      <c r="AR96" s="40">
        <f t="shared" si="21"/>
        <v>0</v>
      </c>
      <c r="AS96" s="415">
        <f t="shared" si="21"/>
        <v>0</v>
      </c>
      <c r="AT96" s="415">
        <f t="shared" si="21"/>
        <v>0</v>
      </c>
      <c r="AU96" s="415">
        <f t="shared" si="21"/>
        <v>0</v>
      </c>
      <c r="AV96" s="415">
        <f t="shared" si="21"/>
        <v>0</v>
      </c>
      <c r="AW96" s="415">
        <f t="shared" si="21"/>
        <v>0</v>
      </c>
      <c r="AX96" s="40">
        <f t="shared" si="21"/>
        <v>0</v>
      </c>
      <c r="AY96" s="40">
        <f t="shared" si="21"/>
        <v>0</v>
      </c>
      <c r="AZ96" s="40">
        <f t="shared" si="21"/>
        <v>0</v>
      </c>
      <c r="BA96" s="40">
        <f t="shared" si="21"/>
        <v>0</v>
      </c>
      <c r="BB96" s="40">
        <f t="shared" si="21"/>
        <v>0</v>
      </c>
      <c r="BC96" s="60"/>
      <c r="BF96" s="970" t="s">
        <v>1170</v>
      </c>
    </row>
    <row r="97" spans="5:58" ht="14.65" hidden="1" customHeight="1">
      <c r="E97" s="676">
        <v>15</v>
      </c>
      <c r="F97" s="779" cm="1">
        <f t="array" ref="F97">F96</f>
        <v>0</v>
      </c>
      <c r="T97" s="698" t="b" cm="1">
        <f t="array" ref="T97">T96</f>
        <v>0</v>
      </c>
      <c r="X97" s="1687"/>
      <c r="Z97" s="1687"/>
      <c r="AB97" s="412" t="str">
        <f>AB84&amp;".8"</f>
        <v>5.8</v>
      </c>
      <c r="AC97" s="404" t="s">
        <v>1110</v>
      </c>
      <c r="AD97" s="412" t="s">
        <v>1077</v>
      </c>
      <c r="AE97" s="40">
        <f t="shared" ref="AE97:BB97" si="22">(AE41*2+AE55+AE69-AE83)/2</f>
        <v>0</v>
      </c>
      <c r="AF97" s="40">
        <f t="shared" si="22"/>
        <v>0</v>
      </c>
      <c r="AG97" s="40">
        <f t="shared" si="22"/>
        <v>0</v>
      </c>
      <c r="AH97" s="40">
        <f t="shared" si="22"/>
        <v>0</v>
      </c>
      <c r="AI97" s="415">
        <f t="shared" si="22"/>
        <v>0</v>
      </c>
      <c r="AJ97" s="415">
        <f t="shared" si="22"/>
        <v>0</v>
      </c>
      <c r="AK97" s="415">
        <f t="shared" si="22"/>
        <v>0</v>
      </c>
      <c r="AL97" s="415">
        <f t="shared" si="22"/>
        <v>0</v>
      </c>
      <c r="AM97" s="415">
        <f t="shared" si="22"/>
        <v>0</v>
      </c>
      <c r="AN97" s="40">
        <f t="shared" si="22"/>
        <v>0</v>
      </c>
      <c r="AO97" s="40">
        <f t="shared" si="22"/>
        <v>0</v>
      </c>
      <c r="AP97" s="40">
        <f t="shared" si="22"/>
        <v>0</v>
      </c>
      <c r="AQ97" s="40">
        <f t="shared" si="22"/>
        <v>0</v>
      </c>
      <c r="AR97" s="40">
        <f t="shared" si="22"/>
        <v>0</v>
      </c>
      <c r="AS97" s="415">
        <f t="shared" si="22"/>
        <v>0</v>
      </c>
      <c r="AT97" s="415">
        <f t="shared" si="22"/>
        <v>0</v>
      </c>
      <c r="AU97" s="415">
        <f t="shared" si="22"/>
        <v>0</v>
      </c>
      <c r="AV97" s="415">
        <f t="shared" si="22"/>
        <v>0</v>
      </c>
      <c r="AW97" s="415">
        <f t="shared" si="22"/>
        <v>0</v>
      </c>
      <c r="AX97" s="40">
        <f t="shared" si="22"/>
        <v>0</v>
      </c>
      <c r="AY97" s="40">
        <f t="shared" si="22"/>
        <v>0</v>
      </c>
      <c r="AZ97" s="40">
        <f t="shared" si="22"/>
        <v>0</v>
      </c>
      <c r="BA97" s="40">
        <f t="shared" si="22"/>
        <v>0</v>
      </c>
      <c r="BB97" s="40">
        <f t="shared" si="22"/>
        <v>0</v>
      </c>
      <c r="BC97" s="60"/>
      <c r="BF97" s="970" t="s">
        <v>1171</v>
      </c>
    </row>
    <row r="98" spans="5:58" s="167" customFormat="1" ht="22.15" hidden="1" customHeight="1">
      <c r="E98" s="676">
        <v>22.8</v>
      </c>
      <c r="F98" s="779" cm="1">
        <f t="array" ref="F98">F97</f>
        <v>0</v>
      </c>
      <c r="T98" s="698" t="b" cm="1">
        <f t="array" ref="T98">T97</f>
        <v>0</v>
      </c>
      <c r="X98" s="1811"/>
      <c r="Z98" s="1811"/>
      <c r="AB98" s="227">
        <v>6</v>
      </c>
      <c r="AC98" s="228" t="s">
        <v>1172</v>
      </c>
      <c r="AD98" s="420" t="s">
        <v>533</v>
      </c>
      <c r="AE98" s="57"/>
      <c r="AF98" s="57"/>
      <c r="AG98" s="57"/>
      <c r="AH98" s="57"/>
      <c r="AI98" s="242"/>
      <c r="AJ98" s="242"/>
      <c r="AK98" s="242"/>
      <c r="AL98" s="242"/>
      <c r="AM98" s="242"/>
      <c r="AN98" s="57"/>
      <c r="AO98" s="57"/>
      <c r="AP98" s="57"/>
      <c r="AQ98" s="57"/>
      <c r="AR98" s="57"/>
      <c r="AS98" s="242"/>
      <c r="AT98" s="242"/>
      <c r="AU98" s="242"/>
      <c r="AV98" s="242"/>
      <c r="AW98" s="242"/>
      <c r="AX98" s="57"/>
      <c r="AY98" s="57"/>
      <c r="AZ98" s="57"/>
      <c r="BA98" s="57"/>
      <c r="BB98" s="57"/>
      <c r="BC98" s="28"/>
      <c r="BF98" s="970" t="s">
        <v>1173</v>
      </c>
    </row>
    <row r="99" spans="5:58" ht="14.65" hidden="1" customHeight="1">
      <c r="E99" s="676">
        <v>15</v>
      </c>
      <c r="F99" s="779" cm="1">
        <f t="array" ref="F99">F98</f>
        <v>0</v>
      </c>
      <c r="T99" s="698" t="b" cm="1">
        <f t="array" ref="T99">T98</f>
        <v>0</v>
      </c>
      <c r="X99" s="1687"/>
      <c r="Z99" s="1687"/>
      <c r="AB99" s="420" t="str">
        <f>AB98&amp;".1"</f>
        <v>6.1</v>
      </c>
      <c r="AC99" s="421" t="s">
        <v>1076</v>
      </c>
      <c r="AD99" s="420" t="s">
        <v>533</v>
      </c>
      <c r="AE99" s="17">
        <f t="shared" ref="AE99:BB99" si="23">IF(AE85=0,0,AE113/AE85*100)</f>
        <v>0</v>
      </c>
      <c r="AF99" s="17">
        <f t="shared" si="23"/>
        <v>0</v>
      </c>
      <c r="AG99" s="17">
        <f t="shared" si="23"/>
        <v>0</v>
      </c>
      <c r="AH99" s="17">
        <f t="shared" si="23"/>
        <v>0</v>
      </c>
      <c r="AI99" s="230">
        <f t="shared" si="23"/>
        <v>0</v>
      </c>
      <c r="AJ99" s="230">
        <f t="shared" si="23"/>
        <v>0</v>
      </c>
      <c r="AK99" s="230">
        <f t="shared" si="23"/>
        <v>0</v>
      </c>
      <c r="AL99" s="230">
        <f t="shared" si="23"/>
        <v>0</v>
      </c>
      <c r="AM99" s="230">
        <f t="shared" si="23"/>
        <v>0</v>
      </c>
      <c r="AN99" s="17">
        <f t="shared" si="23"/>
        <v>0</v>
      </c>
      <c r="AO99" s="17">
        <f t="shared" si="23"/>
        <v>0</v>
      </c>
      <c r="AP99" s="17">
        <f t="shared" si="23"/>
        <v>0</v>
      </c>
      <c r="AQ99" s="17">
        <f t="shared" si="23"/>
        <v>0</v>
      </c>
      <c r="AR99" s="17">
        <f t="shared" si="23"/>
        <v>0</v>
      </c>
      <c r="AS99" s="230">
        <f t="shared" si="23"/>
        <v>0</v>
      </c>
      <c r="AT99" s="230">
        <f t="shared" si="23"/>
        <v>0</v>
      </c>
      <c r="AU99" s="230">
        <f t="shared" si="23"/>
        <v>0</v>
      </c>
      <c r="AV99" s="230">
        <f t="shared" si="23"/>
        <v>0</v>
      </c>
      <c r="AW99" s="230">
        <f t="shared" si="23"/>
        <v>0</v>
      </c>
      <c r="AX99" s="17">
        <f t="shared" si="23"/>
        <v>0</v>
      </c>
      <c r="AY99" s="17">
        <f t="shared" si="23"/>
        <v>0</v>
      </c>
      <c r="AZ99" s="17">
        <f t="shared" si="23"/>
        <v>0</v>
      </c>
      <c r="BA99" s="17">
        <f t="shared" si="23"/>
        <v>0</v>
      </c>
      <c r="BB99" s="17">
        <f t="shared" si="23"/>
        <v>0</v>
      </c>
      <c r="BC99" s="28"/>
      <c r="BF99" s="970" t="s">
        <v>1174</v>
      </c>
    </row>
    <row r="100" spans="5:58" ht="14.65" hidden="1" customHeight="1">
      <c r="E100" s="676">
        <v>15</v>
      </c>
      <c r="F100" s="779" cm="1">
        <f t="array" ref="F100">F99</f>
        <v>0</v>
      </c>
      <c r="T100" s="698" t="b" cm="1">
        <f t="array" ref="T100">T99</f>
        <v>0</v>
      </c>
      <c r="X100" s="1687"/>
      <c r="Z100" s="1687"/>
      <c r="AB100" s="420" t="str">
        <f>AB98&amp;".2"</f>
        <v>6.2</v>
      </c>
      <c r="AC100" s="421" t="s">
        <v>1079</v>
      </c>
      <c r="AD100" s="420" t="s">
        <v>533</v>
      </c>
      <c r="AE100" s="17">
        <f t="shared" ref="AE100:BB100" si="24">IF(AE86=0,0,AE114/AE86*100)</f>
        <v>0</v>
      </c>
      <c r="AF100" s="17">
        <f t="shared" si="24"/>
        <v>0</v>
      </c>
      <c r="AG100" s="17">
        <f t="shared" si="24"/>
        <v>0</v>
      </c>
      <c r="AH100" s="17">
        <f t="shared" si="24"/>
        <v>0</v>
      </c>
      <c r="AI100" s="230">
        <f t="shared" si="24"/>
        <v>0</v>
      </c>
      <c r="AJ100" s="230">
        <f t="shared" si="24"/>
        <v>0</v>
      </c>
      <c r="AK100" s="230">
        <f t="shared" si="24"/>
        <v>0</v>
      </c>
      <c r="AL100" s="230">
        <f t="shared" si="24"/>
        <v>0</v>
      </c>
      <c r="AM100" s="230">
        <f t="shared" si="24"/>
        <v>0</v>
      </c>
      <c r="AN100" s="17">
        <f t="shared" si="24"/>
        <v>0</v>
      </c>
      <c r="AO100" s="17">
        <f t="shared" si="24"/>
        <v>0</v>
      </c>
      <c r="AP100" s="17">
        <f t="shared" si="24"/>
        <v>0</v>
      </c>
      <c r="AQ100" s="17">
        <f t="shared" si="24"/>
        <v>0</v>
      </c>
      <c r="AR100" s="17">
        <f t="shared" si="24"/>
        <v>0</v>
      </c>
      <c r="AS100" s="230">
        <f t="shared" si="24"/>
        <v>0</v>
      </c>
      <c r="AT100" s="230">
        <f t="shared" si="24"/>
        <v>0</v>
      </c>
      <c r="AU100" s="230">
        <f t="shared" si="24"/>
        <v>0</v>
      </c>
      <c r="AV100" s="230">
        <f t="shared" si="24"/>
        <v>0</v>
      </c>
      <c r="AW100" s="230">
        <f t="shared" si="24"/>
        <v>0</v>
      </c>
      <c r="AX100" s="17">
        <f t="shared" si="24"/>
        <v>0</v>
      </c>
      <c r="AY100" s="17">
        <f t="shared" si="24"/>
        <v>0</v>
      </c>
      <c r="AZ100" s="17">
        <f t="shared" si="24"/>
        <v>0</v>
      </c>
      <c r="BA100" s="17">
        <f t="shared" si="24"/>
        <v>0</v>
      </c>
      <c r="BB100" s="17">
        <f t="shared" si="24"/>
        <v>0</v>
      </c>
      <c r="BC100" s="28"/>
      <c r="BF100" s="970" t="s">
        <v>1175</v>
      </c>
    </row>
    <row r="101" spans="5:58" ht="14.65" hidden="1" customHeight="1">
      <c r="E101" s="676">
        <v>15</v>
      </c>
      <c r="F101" s="779" cm="1">
        <f t="array" ref="F101">F100</f>
        <v>0</v>
      </c>
      <c r="T101" s="698" t="b" cm="1">
        <f t="array" ref="T101">T100</f>
        <v>0</v>
      </c>
      <c r="X101" s="1687"/>
      <c r="Z101" s="1687"/>
      <c r="AB101" s="420" t="str">
        <f>AB98&amp;".3"</f>
        <v>6.3</v>
      </c>
      <c r="AC101" s="421" t="s">
        <v>1081</v>
      </c>
      <c r="AD101" s="420" t="s">
        <v>533</v>
      </c>
      <c r="AE101" s="17">
        <f t="shared" ref="AE101:BB101" si="25">IF(AE87=0,0,AE115/AE87*100)</f>
        <v>0</v>
      </c>
      <c r="AF101" s="17">
        <f t="shared" si="25"/>
        <v>0</v>
      </c>
      <c r="AG101" s="17">
        <f t="shared" si="25"/>
        <v>0</v>
      </c>
      <c r="AH101" s="17">
        <f t="shared" si="25"/>
        <v>0</v>
      </c>
      <c r="AI101" s="230">
        <f t="shared" si="25"/>
        <v>0</v>
      </c>
      <c r="AJ101" s="230">
        <f t="shared" si="25"/>
        <v>0</v>
      </c>
      <c r="AK101" s="230">
        <f t="shared" si="25"/>
        <v>0</v>
      </c>
      <c r="AL101" s="230">
        <f t="shared" si="25"/>
        <v>0</v>
      </c>
      <c r="AM101" s="230">
        <f t="shared" si="25"/>
        <v>0</v>
      </c>
      <c r="AN101" s="17">
        <f t="shared" si="25"/>
        <v>0</v>
      </c>
      <c r="AO101" s="17">
        <f t="shared" si="25"/>
        <v>0</v>
      </c>
      <c r="AP101" s="17">
        <f t="shared" si="25"/>
        <v>0</v>
      </c>
      <c r="AQ101" s="17">
        <f t="shared" si="25"/>
        <v>0</v>
      </c>
      <c r="AR101" s="17">
        <f t="shared" si="25"/>
        <v>0</v>
      </c>
      <c r="AS101" s="230">
        <f t="shared" si="25"/>
        <v>0</v>
      </c>
      <c r="AT101" s="230">
        <f t="shared" si="25"/>
        <v>0</v>
      </c>
      <c r="AU101" s="230">
        <f t="shared" si="25"/>
        <v>0</v>
      </c>
      <c r="AV101" s="230">
        <f t="shared" si="25"/>
        <v>0</v>
      </c>
      <c r="AW101" s="230">
        <f t="shared" si="25"/>
        <v>0</v>
      </c>
      <c r="AX101" s="17">
        <f t="shared" si="25"/>
        <v>0</v>
      </c>
      <c r="AY101" s="17">
        <f t="shared" si="25"/>
        <v>0</v>
      </c>
      <c r="AZ101" s="17">
        <f t="shared" si="25"/>
        <v>0</v>
      </c>
      <c r="BA101" s="17">
        <f t="shared" si="25"/>
        <v>0</v>
      </c>
      <c r="BB101" s="17">
        <f t="shared" si="25"/>
        <v>0</v>
      </c>
      <c r="BC101" s="28"/>
      <c r="BF101" s="970" t="s">
        <v>1176</v>
      </c>
    </row>
    <row r="102" spans="5:58" ht="14.65" hidden="1" customHeight="1">
      <c r="E102" s="676">
        <v>15</v>
      </c>
      <c r="F102" s="779" cm="1">
        <f t="array" ref="F102">F101</f>
        <v>0</v>
      </c>
      <c r="T102" s="698" t="b" cm="1">
        <f t="array" ref="T102">T101</f>
        <v>0</v>
      </c>
      <c r="X102" s="1687"/>
      <c r="Z102" s="1687"/>
      <c r="AB102" s="420" t="str">
        <f>AB98&amp;".4"</f>
        <v>6.4</v>
      </c>
      <c r="AC102" s="421" t="s">
        <v>1083</v>
      </c>
      <c r="AD102" s="420" t="s">
        <v>533</v>
      </c>
      <c r="AE102" s="17">
        <f t="shared" ref="AE102:BB102" si="26">IF(AE88=0,0,AE116/AE88*100)</f>
        <v>0</v>
      </c>
      <c r="AF102" s="17">
        <f t="shared" si="26"/>
        <v>0</v>
      </c>
      <c r="AG102" s="17">
        <f t="shared" si="26"/>
        <v>0</v>
      </c>
      <c r="AH102" s="17">
        <f t="shared" si="26"/>
        <v>0</v>
      </c>
      <c r="AI102" s="230">
        <f t="shared" si="26"/>
        <v>0</v>
      </c>
      <c r="AJ102" s="230">
        <f t="shared" si="26"/>
        <v>0</v>
      </c>
      <c r="AK102" s="230">
        <f t="shared" si="26"/>
        <v>0</v>
      </c>
      <c r="AL102" s="230">
        <f t="shared" si="26"/>
        <v>0</v>
      </c>
      <c r="AM102" s="230">
        <f t="shared" si="26"/>
        <v>0</v>
      </c>
      <c r="AN102" s="17">
        <f t="shared" si="26"/>
        <v>0</v>
      </c>
      <c r="AO102" s="17">
        <f t="shared" si="26"/>
        <v>0</v>
      </c>
      <c r="AP102" s="17">
        <f t="shared" si="26"/>
        <v>0</v>
      </c>
      <c r="AQ102" s="17">
        <f t="shared" si="26"/>
        <v>0</v>
      </c>
      <c r="AR102" s="17">
        <f t="shared" si="26"/>
        <v>0</v>
      </c>
      <c r="AS102" s="230">
        <f t="shared" si="26"/>
        <v>0</v>
      </c>
      <c r="AT102" s="230">
        <f t="shared" si="26"/>
        <v>0</v>
      </c>
      <c r="AU102" s="230">
        <f t="shared" si="26"/>
        <v>0</v>
      </c>
      <c r="AV102" s="230">
        <f t="shared" si="26"/>
        <v>0</v>
      </c>
      <c r="AW102" s="230">
        <f t="shared" si="26"/>
        <v>0</v>
      </c>
      <c r="AX102" s="17">
        <f t="shared" si="26"/>
        <v>0</v>
      </c>
      <c r="AY102" s="17">
        <f t="shared" si="26"/>
        <v>0</v>
      </c>
      <c r="AZ102" s="17">
        <f t="shared" si="26"/>
        <v>0</v>
      </c>
      <c r="BA102" s="17">
        <f t="shared" si="26"/>
        <v>0</v>
      </c>
      <c r="BB102" s="17">
        <f t="shared" si="26"/>
        <v>0</v>
      </c>
      <c r="BC102" s="28"/>
      <c r="BF102" s="970" t="s">
        <v>1177</v>
      </c>
    </row>
    <row r="103" spans="5:58" ht="14.65" hidden="1" customHeight="1">
      <c r="E103" s="676">
        <v>15</v>
      </c>
      <c r="F103" s="779" cm="1">
        <f t="array" ref="F103">F102</f>
        <v>0</v>
      </c>
      <c r="T103" s="698" t="b" cm="1">
        <f t="array" ref="T103">T102</f>
        <v>0</v>
      </c>
      <c r="X103" s="1687"/>
      <c r="Z103" s="1687"/>
      <c r="AB103" s="420" t="str">
        <f>AB102&amp;".1"</f>
        <v>6.4.1</v>
      </c>
      <c r="AC103" s="422" t="s">
        <v>1086</v>
      </c>
      <c r="AD103" s="420" t="s">
        <v>533</v>
      </c>
      <c r="AE103" s="17">
        <f t="shared" ref="AE103:BB103" si="27">IF(AE89=0,0,AE117/AE89*100)</f>
        <v>0</v>
      </c>
      <c r="AF103" s="17">
        <f t="shared" si="27"/>
        <v>0</v>
      </c>
      <c r="AG103" s="17">
        <f t="shared" si="27"/>
        <v>0</v>
      </c>
      <c r="AH103" s="17">
        <f t="shared" si="27"/>
        <v>0</v>
      </c>
      <c r="AI103" s="230">
        <f t="shared" si="27"/>
        <v>0</v>
      </c>
      <c r="AJ103" s="230">
        <f t="shared" si="27"/>
        <v>0</v>
      </c>
      <c r="AK103" s="230">
        <f t="shared" si="27"/>
        <v>0</v>
      </c>
      <c r="AL103" s="230">
        <f t="shared" si="27"/>
        <v>0</v>
      </c>
      <c r="AM103" s="230">
        <f t="shared" si="27"/>
        <v>0</v>
      </c>
      <c r="AN103" s="17">
        <f t="shared" si="27"/>
        <v>0</v>
      </c>
      <c r="AO103" s="17">
        <f t="shared" si="27"/>
        <v>0</v>
      </c>
      <c r="AP103" s="17">
        <f t="shared" si="27"/>
        <v>0</v>
      </c>
      <c r="AQ103" s="17">
        <f t="shared" si="27"/>
        <v>0</v>
      </c>
      <c r="AR103" s="17">
        <f t="shared" si="27"/>
        <v>0</v>
      </c>
      <c r="AS103" s="230">
        <f t="shared" si="27"/>
        <v>0</v>
      </c>
      <c r="AT103" s="230">
        <f t="shared" si="27"/>
        <v>0</v>
      </c>
      <c r="AU103" s="230">
        <f t="shared" si="27"/>
        <v>0</v>
      </c>
      <c r="AV103" s="230">
        <f t="shared" si="27"/>
        <v>0</v>
      </c>
      <c r="AW103" s="230">
        <f t="shared" si="27"/>
        <v>0</v>
      </c>
      <c r="AX103" s="17">
        <f t="shared" si="27"/>
        <v>0</v>
      </c>
      <c r="AY103" s="17">
        <f t="shared" si="27"/>
        <v>0</v>
      </c>
      <c r="AZ103" s="17">
        <f t="shared" si="27"/>
        <v>0</v>
      </c>
      <c r="BA103" s="17">
        <f t="shared" si="27"/>
        <v>0</v>
      </c>
      <c r="BB103" s="17">
        <f t="shared" si="27"/>
        <v>0</v>
      </c>
      <c r="BC103" s="28"/>
      <c r="BF103" s="970" t="s">
        <v>1178</v>
      </c>
    </row>
    <row r="104" spans="5:58" ht="14.65" hidden="1" customHeight="1">
      <c r="E104" s="676">
        <v>15</v>
      </c>
      <c r="F104" s="779" cm="1">
        <f t="array" ref="F104">F103</f>
        <v>0</v>
      </c>
      <c r="T104" s="698" t="b" cm="1">
        <f t="array" ref="T104">T103</f>
        <v>0</v>
      </c>
      <c r="X104" s="1687"/>
      <c r="Z104" s="1687"/>
      <c r="AB104" s="420" t="str">
        <f>AB102&amp;".2"</f>
        <v>6.4.2</v>
      </c>
      <c r="AC104" s="422" t="s">
        <v>1089</v>
      </c>
      <c r="AD104" s="420" t="s">
        <v>533</v>
      </c>
      <c r="AE104" s="17">
        <f t="shared" ref="AE104:BB104" si="28">IF(AE90=0,0,AE118/AE90*100)</f>
        <v>0</v>
      </c>
      <c r="AF104" s="17">
        <f t="shared" si="28"/>
        <v>0</v>
      </c>
      <c r="AG104" s="17">
        <f t="shared" si="28"/>
        <v>0</v>
      </c>
      <c r="AH104" s="17">
        <f t="shared" si="28"/>
        <v>0</v>
      </c>
      <c r="AI104" s="230">
        <f t="shared" si="28"/>
        <v>0</v>
      </c>
      <c r="AJ104" s="230">
        <f t="shared" si="28"/>
        <v>0</v>
      </c>
      <c r="AK104" s="230">
        <f t="shared" si="28"/>
        <v>0</v>
      </c>
      <c r="AL104" s="230">
        <f t="shared" si="28"/>
        <v>0</v>
      </c>
      <c r="AM104" s="230">
        <f t="shared" si="28"/>
        <v>0</v>
      </c>
      <c r="AN104" s="17">
        <f t="shared" si="28"/>
        <v>0</v>
      </c>
      <c r="AO104" s="17">
        <f t="shared" si="28"/>
        <v>0</v>
      </c>
      <c r="AP104" s="17">
        <f t="shared" si="28"/>
        <v>0</v>
      </c>
      <c r="AQ104" s="17">
        <f t="shared" si="28"/>
        <v>0</v>
      </c>
      <c r="AR104" s="17">
        <f t="shared" si="28"/>
        <v>0</v>
      </c>
      <c r="AS104" s="230">
        <f t="shared" si="28"/>
        <v>0</v>
      </c>
      <c r="AT104" s="230">
        <f t="shared" si="28"/>
        <v>0</v>
      </c>
      <c r="AU104" s="230">
        <f t="shared" si="28"/>
        <v>0</v>
      </c>
      <c r="AV104" s="230">
        <f t="shared" si="28"/>
        <v>0</v>
      </c>
      <c r="AW104" s="230">
        <f t="shared" si="28"/>
        <v>0</v>
      </c>
      <c r="AX104" s="17">
        <f t="shared" si="28"/>
        <v>0</v>
      </c>
      <c r="AY104" s="17">
        <f t="shared" si="28"/>
        <v>0</v>
      </c>
      <c r="AZ104" s="17">
        <f t="shared" si="28"/>
        <v>0</v>
      </c>
      <c r="BA104" s="17">
        <f t="shared" si="28"/>
        <v>0</v>
      </c>
      <c r="BB104" s="17">
        <f t="shared" si="28"/>
        <v>0</v>
      </c>
      <c r="BC104" s="28"/>
      <c r="BF104" s="970" t="s">
        <v>1179</v>
      </c>
    </row>
    <row r="105" spans="5:58" ht="14.65" hidden="1" customHeight="1">
      <c r="E105" s="676">
        <v>15</v>
      </c>
      <c r="F105" s="779" cm="1">
        <f t="array" ref="F105">F104</f>
        <v>0</v>
      </c>
      <c r="T105" s="698" t="b" cm="1">
        <f t="array" ref="T105">T104</f>
        <v>0</v>
      </c>
      <c r="X105" s="1687"/>
      <c r="Z105" s="1687"/>
      <c r="AB105" s="420" t="str">
        <f>AB102&amp;".3"</f>
        <v>6.4.3</v>
      </c>
      <c r="AC105" s="422" t="s">
        <v>1092</v>
      </c>
      <c r="AD105" s="420" t="s">
        <v>533</v>
      </c>
      <c r="AE105" s="17">
        <f t="shared" ref="AE105:BB105" si="29">IF(AE91=0,0,AE119/AE91*100)</f>
        <v>0</v>
      </c>
      <c r="AF105" s="17">
        <f t="shared" si="29"/>
        <v>0</v>
      </c>
      <c r="AG105" s="17">
        <f t="shared" si="29"/>
        <v>0</v>
      </c>
      <c r="AH105" s="17">
        <f t="shared" si="29"/>
        <v>0</v>
      </c>
      <c r="AI105" s="230">
        <f t="shared" si="29"/>
        <v>0</v>
      </c>
      <c r="AJ105" s="230">
        <f t="shared" si="29"/>
        <v>0</v>
      </c>
      <c r="AK105" s="230">
        <f t="shared" si="29"/>
        <v>0</v>
      </c>
      <c r="AL105" s="230">
        <f t="shared" si="29"/>
        <v>0</v>
      </c>
      <c r="AM105" s="230">
        <f t="shared" si="29"/>
        <v>0</v>
      </c>
      <c r="AN105" s="17">
        <f t="shared" si="29"/>
        <v>0</v>
      </c>
      <c r="AO105" s="17">
        <f t="shared" si="29"/>
        <v>0</v>
      </c>
      <c r="AP105" s="17">
        <f t="shared" si="29"/>
        <v>0</v>
      </c>
      <c r="AQ105" s="17">
        <f t="shared" si="29"/>
        <v>0</v>
      </c>
      <c r="AR105" s="17">
        <f t="shared" si="29"/>
        <v>0</v>
      </c>
      <c r="AS105" s="230">
        <f t="shared" si="29"/>
        <v>0</v>
      </c>
      <c r="AT105" s="230">
        <f t="shared" si="29"/>
        <v>0</v>
      </c>
      <c r="AU105" s="230">
        <f t="shared" si="29"/>
        <v>0</v>
      </c>
      <c r="AV105" s="230">
        <f t="shared" si="29"/>
        <v>0</v>
      </c>
      <c r="AW105" s="230">
        <f t="shared" si="29"/>
        <v>0</v>
      </c>
      <c r="AX105" s="17">
        <f t="shared" si="29"/>
        <v>0</v>
      </c>
      <c r="AY105" s="17">
        <f t="shared" si="29"/>
        <v>0</v>
      </c>
      <c r="AZ105" s="17">
        <f t="shared" si="29"/>
        <v>0</v>
      </c>
      <c r="BA105" s="17">
        <f t="shared" si="29"/>
        <v>0</v>
      </c>
      <c r="BB105" s="17">
        <f t="shared" si="29"/>
        <v>0</v>
      </c>
      <c r="BC105" s="28"/>
      <c r="BF105" s="970" t="s">
        <v>1180</v>
      </c>
    </row>
    <row r="106" spans="5:58" ht="14.65" hidden="1" customHeight="1">
      <c r="E106" s="676">
        <v>15</v>
      </c>
      <c r="F106" s="779" cm="1">
        <f t="array" ref="F106">F105</f>
        <v>0</v>
      </c>
      <c r="T106" s="698" t="b" cm="1">
        <f t="array" ref="T106">T105</f>
        <v>0</v>
      </c>
      <c r="X106" s="1687"/>
      <c r="Z106" s="1687"/>
      <c r="AB106" s="420" t="str">
        <f>AB102&amp;".4"</f>
        <v>6.4.4</v>
      </c>
      <c r="AC106" s="422" t="s">
        <v>1095</v>
      </c>
      <c r="AD106" s="420" t="s">
        <v>533</v>
      </c>
      <c r="AE106" s="17">
        <f t="shared" ref="AE106:BB106" si="30">IF(AE92=0,0,AE120/AE92*100)</f>
        <v>0</v>
      </c>
      <c r="AF106" s="17">
        <f t="shared" si="30"/>
        <v>0</v>
      </c>
      <c r="AG106" s="17">
        <f t="shared" si="30"/>
        <v>0</v>
      </c>
      <c r="AH106" s="17">
        <f t="shared" si="30"/>
        <v>0</v>
      </c>
      <c r="AI106" s="230">
        <f t="shared" si="30"/>
        <v>0</v>
      </c>
      <c r="AJ106" s="230">
        <f t="shared" si="30"/>
        <v>0</v>
      </c>
      <c r="AK106" s="230">
        <f t="shared" si="30"/>
        <v>0</v>
      </c>
      <c r="AL106" s="230">
        <f t="shared" si="30"/>
        <v>0</v>
      </c>
      <c r="AM106" s="230">
        <f t="shared" si="30"/>
        <v>0</v>
      </c>
      <c r="AN106" s="17">
        <f t="shared" si="30"/>
        <v>0</v>
      </c>
      <c r="AO106" s="17">
        <f t="shared" si="30"/>
        <v>0</v>
      </c>
      <c r="AP106" s="17">
        <f t="shared" si="30"/>
        <v>0</v>
      </c>
      <c r="AQ106" s="17">
        <f t="shared" si="30"/>
        <v>0</v>
      </c>
      <c r="AR106" s="17">
        <f t="shared" si="30"/>
        <v>0</v>
      </c>
      <c r="AS106" s="230">
        <f t="shared" si="30"/>
        <v>0</v>
      </c>
      <c r="AT106" s="230">
        <f t="shared" si="30"/>
        <v>0</v>
      </c>
      <c r="AU106" s="230">
        <f t="shared" si="30"/>
        <v>0</v>
      </c>
      <c r="AV106" s="230">
        <f t="shared" si="30"/>
        <v>0</v>
      </c>
      <c r="AW106" s="230">
        <f t="shared" si="30"/>
        <v>0</v>
      </c>
      <c r="AX106" s="17">
        <f t="shared" si="30"/>
        <v>0</v>
      </c>
      <c r="AY106" s="17">
        <f t="shared" si="30"/>
        <v>0</v>
      </c>
      <c r="AZ106" s="17">
        <f t="shared" si="30"/>
        <v>0</v>
      </c>
      <c r="BA106" s="17">
        <f t="shared" si="30"/>
        <v>0</v>
      </c>
      <c r="BB106" s="17">
        <f t="shared" si="30"/>
        <v>0</v>
      </c>
      <c r="BC106" s="28"/>
      <c r="BF106" s="970" t="s">
        <v>1181</v>
      </c>
    </row>
    <row r="107" spans="5:58" ht="14.65" hidden="1" customHeight="1">
      <c r="E107" s="676">
        <v>15</v>
      </c>
      <c r="F107" s="779" cm="1">
        <f t="array" ref="F107">F106</f>
        <v>0</v>
      </c>
      <c r="T107" s="698" t="b" cm="1">
        <f t="array" ref="T107">T106</f>
        <v>0</v>
      </c>
      <c r="X107" s="1687"/>
      <c r="Z107" s="1687"/>
      <c r="AB107" s="420" t="str">
        <f>AB102&amp;".5"</f>
        <v>6.4.5</v>
      </c>
      <c r="AC107" s="422" t="s">
        <v>1098</v>
      </c>
      <c r="AD107" s="420" t="s">
        <v>533</v>
      </c>
      <c r="AE107" s="17">
        <f t="shared" ref="AE107:BB107" si="31">IF(AE93=0,0,AE121/AE93*100)</f>
        <v>0</v>
      </c>
      <c r="AF107" s="17">
        <f t="shared" si="31"/>
        <v>0</v>
      </c>
      <c r="AG107" s="17">
        <f t="shared" si="31"/>
        <v>0</v>
      </c>
      <c r="AH107" s="17">
        <f t="shared" si="31"/>
        <v>0</v>
      </c>
      <c r="AI107" s="230">
        <f t="shared" si="31"/>
        <v>0</v>
      </c>
      <c r="AJ107" s="230">
        <f t="shared" si="31"/>
        <v>0</v>
      </c>
      <c r="AK107" s="230">
        <f t="shared" si="31"/>
        <v>0</v>
      </c>
      <c r="AL107" s="230">
        <f t="shared" si="31"/>
        <v>0</v>
      </c>
      <c r="AM107" s="230">
        <f t="shared" si="31"/>
        <v>0</v>
      </c>
      <c r="AN107" s="17">
        <f t="shared" si="31"/>
        <v>0</v>
      </c>
      <c r="AO107" s="17">
        <f t="shared" si="31"/>
        <v>0</v>
      </c>
      <c r="AP107" s="17">
        <f t="shared" si="31"/>
        <v>0</v>
      </c>
      <c r="AQ107" s="17">
        <f t="shared" si="31"/>
        <v>0</v>
      </c>
      <c r="AR107" s="17">
        <f t="shared" si="31"/>
        <v>0</v>
      </c>
      <c r="AS107" s="230">
        <f t="shared" si="31"/>
        <v>0</v>
      </c>
      <c r="AT107" s="230">
        <f t="shared" si="31"/>
        <v>0</v>
      </c>
      <c r="AU107" s="230">
        <f t="shared" si="31"/>
        <v>0</v>
      </c>
      <c r="AV107" s="230">
        <f t="shared" si="31"/>
        <v>0</v>
      </c>
      <c r="AW107" s="230">
        <f t="shared" si="31"/>
        <v>0</v>
      </c>
      <c r="AX107" s="17">
        <f t="shared" si="31"/>
        <v>0</v>
      </c>
      <c r="AY107" s="17">
        <f t="shared" si="31"/>
        <v>0</v>
      </c>
      <c r="AZ107" s="17">
        <f t="shared" si="31"/>
        <v>0</v>
      </c>
      <c r="BA107" s="17">
        <f t="shared" si="31"/>
        <v>0</v>
      </c>
      <c r="BB107" s="17">
        <f t="shared" si="31"/>
        <v>0</v>
      </c>
      <c r="BC107" s="28"/>
      <c r="BF107" s="970" t="s">
        <v>1182</v>
      </c>
    </row>
    <row r="108" spans="5:58" ht="14.65" hidden="1" customHeight="1">
      <c r="E108" s="676">
        <v>15</v>
      </c>
      <c r="F108" s="779" cm="1">
        <f t="array" ref="F108">F107</f>
        <v>0</v>
      </c>
      <c r="T108" s="698" t="b" cm="1">
        <f t="array" ref="T108">T107</f>
        <v>0</v>
      </c>
      <c r="X108" s="1687"/>
      <c r="Z108" s="1687"/>
      <c r="AB108" s="420" t="str">
        <f>AB98&amp;".5"</f>
        <v>6.5</v>
      </c>
      <c r="AC108" s="421" t="s">
        <v>1101</v>
      </c>
      <c r="AD108" s="420" t="s">
        <v>533</v>
      </c>
      <c r="AE108" s="17">
        <f t="shared" ref="AE108:BB108" si="32">IF(AE94=0,0,AE122/AE94*100)</f>
        <v>0</v>
      </c>
      <c r="AF108" s="17">
        <f t="shared" si="32"/>
        <v>0</v>
      </c>
      <c r="AG108" s="17">
        <f t="shared" si="32"/>
        <v>0</v>
      </c>
      <c r="AH108" s="17">
        <f t="shared" si="32"/>
        <v>0</v>
      </c>
      <c r="AI108" s="230">
        <f t="shared" si="32"/>
        <v>0</v>
      </c>
      <c r="AJ108" s="230">
        <f t="shared" si="32"/>
        <v>0</v>
      </c>
      <c r="AK108" s="230">
        <f t="shared" si="32"/>
        <v>0</v>
      </c>
      <c r="AL108" s="230">
        <f t="shared" si="32"/>
        <v>0</v>
      </c>
      <c r="AM108" s="230">
        <f t="shared" si="32"/>
        <v>0</v>
      </c>
      <c r="AN108" s="17">
        <f t="shared" si="32"/>
        <v>0</v>
      </c>
      <c r="AO108" s="17">
        <f t="shared" si="32"/>
        <v>0</v>
      </c>
      <c r="AP108" s="17">
        <f t="shared" si="32"/>
        <v>0</v>
      </c>
      <c r="AQ108" s="17">
        <f t="shared" si="32"/>
        <v>0</v>
      </c>
      <c r="AR108" s="17">
        <f t="shared" si="32"/>
        <v>0</v>
      </c>
      <c r="AS108" s="230">
        <f t="shared" si="32"/>
        <v>0</v>
      </c>
      <c r="AT108" s="230">
        <f t="shared" si="32"/>
        <v>0</v>
      </c>
      <c r="AU108" s="230">
        <f t="shared" si="32"/>
        <v>0</v>
      </c>
      <c r="AV108" s="230">
        <f t="shared" si="32"/>
        <v>0</v>
      </c>
      <c r="AW108" s="230">
        <f t="shared" si="32"/>
        <v>0</v>
      </c>
      <c r="AX108" s="17">
        <f t="shared" si="32"/>
        <v>0</v>
      </c>
      <c r="AY108" s="17">
        <f t="shared" si="32"/>
        <v>0</v>
      </c>
      <c r="AZ108" s="17">
        <f t="shared" si="32"/>
        <v>0</v>
      </c>
      <c r="BA108" s="17">
        <f t="shared" si="32"/>
        <v>0</v>
      </c>
      <c r="BB108" s="17">
        <f t="shared" si="32"/>
        <v>0</v>
      </c>
      <c r="BC108" s="28"/>
      <c r="BF108" s="970" t="s">
        <v>1183</v>
      </c>
    </row>
    <row r="109" spans="5:58" ht="14.65" hidden="1" customHeight="1">
      <c r="E109" s="676">
        <v>15</v>
      </c>
      <c r="F109" s="779" cm="1">
        <f t="array" ref="F109">F108</f>
        <v>0</v>
      </c>
      <c r="T109" s="698" t="b" cm="1">
        <f t="array" ref="T109">T108</f>
        <v>0</v>
      </c>
      <c r="X109" s="1687"/>
      <c r="Z109" s="1687"/>
      <c r="AB109" s="420" t="str">
        <f>AB98&amp;".6"</f>
        <v>6.6</v>
      </c>
      <c r="AC109" s="421" t="s">
        <v>1104</v>
      </c>
      <c r="AD109" s="420" t="s">
        <v>533</v>
      </c>
      <c r="AE109" s="17">
        <f t="shared" ref="AE109:BB109" si="33">IF(AE95=0,0,AE123/AE95*100)</f>
        <v>0</v>
      </c>
      <c r="AF109" s="17">
        <f t="shared" si="33"/>
        <v>0</v>
      </c>
      <c r="AG109" s="17">
        <f t="shared" si="33"/>
        <v>0</v>
      </c>
      <c r="AH109" s="17">
        <f t="shared" si="33"/>
        <v>0</v>
      </c>
      <c r="AI109" s="230">
        <f t="shared" si="33"/>
        <v>0</v>
      </c>
      <c r="AJ109" s="230">
        <f t="shared" si="33"/>
        <v>0</v>
      </c>
      <c r="AK109" s="230">
        <f t="shared" si="33"/>
        <v>0</v>
      </c>
      <c r="AL109" s="230">
        <f t="shared" si="33"/>
        <v>0</v>
      </c>
      <c r="AM109" s="230">
        <f t="shared" si="33"/>
        <v>0</v>
      </c>
      <c r="AN109" s="17">
        <f t="shared" si="33"/>
        <v>0</v>
      </c>
      <c r="AO109" s="17">
        <f t="shared" si="33"/>
        <v>0</v>
      </c>
      <c r="AP109" s="17">
        <f t="shared" si="33"/>
        <v>0</v>
      </c>
      <c r="AQ109" s="17">
        <f t="shared" si="33"/>
        <v>0</v>
      </c>
      <c r="AR109" s="17">
        <f t="shared" si="33"/>
        <v>0</v>
      </c>
      <c r="AS109" s="230">
        <f t="shared" si="33"/>
        <v>0</v>
      </c>
      <c r="AT109" s="230">
        <f t="shared" si="33"/>
        <v>0</v>
      </c>
      <c r="AU109" s="230">
        <f t="shared" si="33"/>
        <v>0</v>
      </c>
      <c r="AV109" s="230">
        <f t="shared" si="33"/>
        <v>0</v>
      </c>
      <c r="AW109" s="230">
        <f t="shared" si="33"/>
        <v>0</v>
      </c>
      <c r="AX109" s="17">
        <f t="shared" si="33"/>
        <v>0</v>
      </c>
      <c r="AY109" s="17">
        <f t="shared" si="33"/>
        <v>0</v>
      </c>
      <c r="AZ109" s="17">
        <f t="shared" si="33"/>
        <v>0</v>
      </c>
      <c r="BA109" s="17">
        <f t="shared" si="33"/>
        <v>0</v>
      </c>
      <c r="BB109" s="17">
        <f t="shared" si="33"/>
        <v>0</v>
      </c>
      <c r="BC109" s="28"/>
      <c r="BF109" s="970" t="s">
        <v>1184</v>
      </c>
    </row>
    <row r="110" spans="5:58" ht="14.65" hidden="1" customHeight="1">
      <c r="E110" s="676">
        <v>15</v>
      </c>
      <c r="F110" s="779" cm="1">
        <f t="array" ref="F110">F109</f>
        <v>0</v>
      </c>
      <c r="T110" s="698" t="b" cm="1">
        <f t="array" ref="T110">T109</f>
        <v>0</v>
      </c>
      <c r="X110" s="1687"/>
      <c r="Z110" s="1687"/>
      <c r="AB110" s="420" t="str">
        <f>AB98&amp;".7"</f>
        <v>6.7</v>
      </c>
      <c r="AC110" s="421" t="s">
        <v>1107</v>
      </c>
      <c r="AD110" s="420" t="s">
        <v>533</v>
      </c>
      <c r="AE110" s="17">
        <f t="shared" ref="AE110:BB110" si="34">IF(AE96=0,0,AE124/AE96*100)</f>
        <v>0</v>
      </c>
      <c r="AF110" s="17">
        <f t="shared" si="34"/>
        <v>0</v>
      </c>
      <c r="AG110" s="17">
        <f t="shared" si="34"/>
        <v>0</v>
      </c>
      <c r="AH110" s="17">
        <f t="shared" si="34"/>
        <v>0</v>
      </c>
      <c r="AI110" s="230">
        <f t="shared" si="34"/>
        <v>0</v>
      </c>
      <c r="AJ110" s="230">
        <f t="shared" si="34"/>
        <v>0</v>
      </c>
      <c r="AK110" s="230">
        <f t="shared" si="34"/>
        <v>0</v>
      </c>
      <c r="AL110" s="230">
        <f t="shared" si="34"/>
        <v>0</v>
      </c>
      <c r="AM110" s="230">
        <f t="shared" si="34"/>
        <v>0</v>
      </c>
      <c r="AN110" s="17">
        <f t="shared" si="34"/>
        <v>0</v>
      </c>
      <c r="AO110" s="17">
        <f t="shared" si="34"/>
        <v>0</v>
      </c>
      <c r="AP110" s="17">
        <f t="shared" si="34"/>
        <v>0</v>
      </c>
      <c r="AQ110" s="17">
        <f t="shared" si="34"/>
        <v>0</v>
      </c>
      <c r="AR110" s="17">
        <f t="shared" si="34"/>
        <v>0</v>
      </c>
      <c r="AS110" s="230">
        <f t="shared" si="34"/>
        <v>0</v>
      </c>
      <c r="AT110" s="230">
        <f t="shared" si="34"/>
        <v>0</v>
      </c>
      <c r="AU110" s="230">
        <f t="shared" si="34"/>
        <v>0</v>
      </c>
      <c r="AV110" s="230">
        <f t="shared" si="34"/>
        <v>0</v>
      </c>
      <c r="AW110" s="230">
        <f t="shared" si="34"/>
        <v>0</v>
      </c>
      <c r="AX110" s="17">
        <f t="shared" si="34"/>
        <v>0</v>
      </c>
      <c r="AY110" s="17">
        <f t="shared" si="34"/>
        <v>0</v>
      </c>
      <c r="AZ110" s="17">
        <f t="shared" si="34"/>
        <v>0</v>
      </c>
      <c r="BA110" s="17">
        <f t="shared" si="34"/>
        <v>0</v>
      </c>
      <c r="BB110" s="17">
        <f t="shared" si="34"/>
        <v>0</v>
      </c>
      <c r="BC110" s="28"/>
      <c r="BF110" s="970" t="s">
        <v>1185</v>
      </c>
    </row>
    <row r="111" spans="5:58" ht="14.65" hidden="1" customHeight="1">
      <c r="E111" s="676">
        <v>15</v>
      </c>
      <c r="F111" s="779" cm="1">
        <f t="array" ref="F111">F110</f>
        <v>0</v>
      </c>
      <c r="T111" s="698" t="b" cm="1">
        <f t="array" ref="T111">T110</f>
        <v>0</v>
      </c>
      <c r="X111" s="1687"/>
      <c r="Z111" s="1687"/>
      <c r="AB111" s="420" t="str">
        <f>AB98&amp;".8"</f>
        <v>6.8</v>
      </c>
      <c r="AC111" s="421" t="s">
        <v>1110</v>
      </c>
      <c r="AD111" s="420" t="s">
        <v>533</v>
      </c>
      <c r="AE111" s="17">
        <f t="shared" ref="AE111:BB111" si="35">IF(AE97=0,0,AE125/AE97*100)</f>
        <v>0</v>
      </c>
      <c r="AF111" s="17">
        <f t="shared" si="35"/>
        <v>0</v>
      </c>
      <c r="AG111" s="17">
        <f t="shared" si="35"/>
        <v>0</v>
      </c>
      <c r="AH111" s="17">
        <f t="shared" si="35"/>
        <v>0</v>
      </c>
      <c r="AI111" s="230">
        <f t="shared" si="35"/>
        <v>0</v>
      </c>
      <c r="AJ111" s="230">
        <f t="shared" si="35"/>
        <v>0</v>
      </c>
      <c r="AK111" s="230">
        <f t="shared" si="35"/>
        <v>0</v>
      </c>
      <c r="AL111" s="230">
        <f t="shared" si="35"/>
        <v>0</v>
      </c>
      <c r="AM111" s="230">
        <f t="shared" si="35"/>
        <v>0</v>
      </c>
      <c r="AN111" s="17">
        <f t="shared" si="35"/>
        <v>0</v>
      </c>
      <c r="AO111" s="17">
        <f t="shared" si="35"/>
        <v>0</v>
      </c>
      <c r="AP111" s="17">
        <f t="shared" si="35"/>
        <v>0</v>
      </c>
      <c r="AQ111" s="17">
        <f t="shared" si="35"/>
        <v>0</v>
      </c>
      <c r="AR111" s="17">
        <f t="shared" si="35"/>
        <v>0</v>
      </c>
      <c r="AS111" s="230">
        <f t="shared" si="35"/>
        <v>0</v>
      </c>
      <c r="AT111" s="230">
        <f t="shared" si="35"/>
        <v>0</v>
      </c>
      <c r="AU111" s="230">
        <f t="shared" si="35"/>
        <v>0</v>
      </c>
      <c r="AV111" s="230">
        <f t="shared" si="35"/>
        <v>0</v>
      </c>
      <c r="AW111" s="230">
        <f t="shared" si="35"/>
        <v>0</v>
      </c>
      <c r="AX111" s="17">
        <f t="shared" si="35"/>
        <v>0</v>
      </c>
      <c r="AY111" s="17">
        <f t="shared" si="35"/>
        <v>0</v>
      </c>
      <c r="AZ111" s="17">
        <f t="shared" si="35"/>
        <v>0</v>
      </c>
      <c r="BA111" s="17">
        <f t="shared" si="35"/>
        <v>0</v>
      </c>
      <c r="BB111" s="17">
        <f t="shared" si="35"/>
        <v>0</v>
      </c>
      <c r="BC111" s="28"/>
      <c r="BF111" s="970" t="s">
        <v>1186</v>
      </c>
    </row>
    <row r="112" spans="5:58" s="167" customFormat="1" ht="14.65" hidden="1" customHeight="1">
      <c r="E112" s="676">
        <v>15</v>
      </c>
      <c r="F112" s="779" cm="1">
        <f t="array" ref="F112">F111</f>
        <v>0</v>
      </c>
      <c r="G112" s="620" t="s">
        <v>1187</v>
      </c>
      <c r="T112" s="698" t="b" cm="1">
        <f t="array" ref="T112">T111</f>
        <v>0</v>
      </c>
      <c r="X112" s="1811"/>
      <c r="Z112" s="1811"/>
      <c r="AB112" s="227">
        <v>7</v>
      </c>
      <c r="AC112" s="228" t="s">
        <v>1188</v>
      </c>
      <c r="AD112" s="107" t="s">
        <v>839</v>
      </c>
      <c r="AE112" s="57">
        <f t="shared" ref="AE112:BB112" si="36">SUM(AE113:AE116)+SUM(AE122:AE125)</f>
        <v>0</v>
      </c>
      <c r="AF112" s="57">
        <f t="shared" si="36"/>
        <v>0</v>
      </c>
      <c r="AG112" s="57">
        <f t="shared" si="36"/>
        <v>0</v>
      </c>
      <c r="AH112" s="57">
        <f t="shared" si="36"/>
        <v>0</v>
      </c>
      <c r="AI112" s="242">
        <f t="shared" si="36"/>
        <v>0</v>
      </c>
      <c r="AJ112" s="242">
        <f t="shared" si="36"/>
        <v>0</v>
      </c>
      <c r="AK112" s="242">
        <f t="shared" si="36"/>
        <v>0</v>
      </c>
      <c r="AL112" s="242">
        <f t="shared" si="36"/>
        <v>0</v>
      </c>
      <c r="AM112" s="242">
        <f t="shared" si="36"/>
        <v>0</v>
      </c>
      <c r="AN112" s="57">
        <f t="shared" si="36"/>
        <v>0</v>
      </c>
      <c r="AO112" s="57">
        <f t="shared" si="36"/>
        <v>0</v>
      </c>
      <c r="AP112" s="57">
        <f t="shared" si="36"/>
        <v>0</v>
      </c>
      <c r="AQ112" s="57">
        <f t="shared" si="36"/>
        <v>0</v>
      </c>
      <c r="AR112" s="57">
        <f t="shared" si="36"/>
        <v>0</v>
      </c>
      <c r="AS112" s="242">
        <f t="shared" si="36"/>
        <v>0</v>
      </c>
      <c r="AT112" s="242">
        <f t="shared" si="36"/>
        <v>0</v>
      </c>
      <c r="AU112" s="242">
        <f t="shared" si="36"/>
        <v>0</v>
      </c>
      <c r="AV112" s="242">
        <f t="shared" si="36"/>
        <v>0</v>
      </c>
      <c r="AW112" s="242">
        <f t="shared" si="36"/>
        <v>0</v>
      </c>
      <c r="AX112" s="57">
        <f t="shared" si="36"/>
        <v>0</v>
      </c>
      <c r="AY112" s="57">
        <f t="shared" si="36"/>
        <v>0</v>
      </c>
      <c r="AZ112" s="57">
        <f t="shared" si="36"/>
        <v>0</v>
      </c>
      <c r="BA112" s="57">
        <f t="shared" si="36"/>
        <v>0</v>
      </c>
      <c r="BB112" s="57">
        <f t="shared" si="36"/>
        <v>0</v>
      </c>
      <c r="BC112" s="28"/>
      <c r="BF112" s="970" t="s">
        <v>1189</v>
      </c>
    </row>
    <row r="113" spans="1:58" ht="14.65" hidden="1" customHeight="1">
      <c r="E113" s="676">
        <v>15</v>
      </c>
      <c r="F113" s="779" cm="1">
        <f t="array" ref="F113">F112</f>
        <v>0</v>
      </c>
      <c r="T113" s="698" t="b" cm="1">
        <f t="array" ref="T113">T112</f>
        <v>0</v>
      </c>
      <c r="X113" s="1687"/>
      <c r="Z113" s="1687"/>
      <c r="AB113" s="420" t="str">
        <f>AB112&amp;".1"</f>
        <v>7.1</v>
      </c>
      <c r="AC113" s="421" t="s">
        <v>1076</v>
      </c>
      <c r="AD113" s="420" t="s">
        <v>1077</v>
      </c>
      <c r="AE113" s="17"/>
      <c r="AF113" s="17"/>
      <c r="AG113" s="17"/>
      <c r="AH113" s="17"/>
      <c r="AI113" s="230"/>
      <c r="AJ113" s="230"/>
      <c r="AK113" s="230"/>
      <c r="AL113" s="230"/>
      <c r="AM113" s="230"/>
      <c r="AN113" s="17"/>
      <c r="AO113" s="17"/>
      <c r="AP113" s="17"/>
      <c r="AQ113" s="17"/>
      <c r="AR113" s="17"/>
      <c r="AS113" s="230"/>
      <c r="AT113" s="230"/>
      <c r="AU113" s="230"/>
      <c r="AV113" s="230"/>
      <c r="AW113" s="230"/>
      <c r="AX113" s="17"/>
      <c r="AY113" s="17"/>
      <c r="AZ113" s="17"/>
      <c r="BA113" s="17"/>
      <c r="BB113" s="17"/>
      <c r="BC113" s="28"/>
      <c r="BF113" s="970" t="s">
        <v>1190</v>
      </c>
    </row>
    <row r="114" spans="1:58" ht="14.65" hidden="1" customHeight="1">
      <c r="E114" s="676">
        <v>15</v>
      </c>
      <c r="F114" s="779" cm="1">
        <f t="array" ref="F114">F113</f>
        <v>0</v>
      </c>
      <c r="T114" s="698" t="b" cm="1">
        <f t="array" ref="T114">T113</f>
        <v>0</v>
      </c>
      <c r="X114" s="1687"/>
      <c r="Z114" s="1687"/>
      <c r="AB114" s="420" t="str">
        <f>AB112&amp;".2"</f>
        <v>7.2</v>
      </c>
      <c r="AC114" s="421" t="s">
        <v>1079</v>
      </c>
      <c r="AD114" s="420" t="s">
        <v>1077</v>
      </c>
      <c r="AE114" s="17"/>
      <c r="AF114" s="17"/>
      <c r="AG114" s="17"/>
      <c r="AH114" s="17"/>
      <c r="AI114" s="230"/>
      <c r="AJ114" s="230"/>
      <c r="AK114" s="230"/>
      <c r="AL114" s="230"/>
      <c r="AM114" s="230"/>
      <c r="AN114" s="17"/>
      <c r="AO114" s="17"/>
      <c r="AP114" s="17"/>
      <c r="AQ114" s="17"/>
      <c r="AR114" s="17"/>
      <c r="AS114" s="230"/>
      <c r="AT114" s="230"/>
      <c r="AU114" s="230"/>
      <c r="AV114" s="230"/>
      <c r="AW114" s="230"/>
      <c r="AX114" s="17"/>
      <c r="AY114" s="17"/>
      <c r="AZ114" s="17"/>
      <c r="BA114" s="17"/>
      <c r="BB114" s="17"/>
      <c r="BC114" s="28"/>
      <c r="BF114" s="970" t="s">
        <v>1191</v>
      </c>
    </row>
    <row r="115" spans="1:58" ht="14.65" hidden="1" customHeight="1">
      <c r="E115" s="676">
        <v>15</v>
      </c>
      <c r="F115" s="779" cm="1">
        <f t="array" ref="F115">F114</f>
        <v>0</v>
      </c>
      <c r="T115" s="698" t="b" cm="1">
        <f t="array" ref="T115">T114</f>
        <v>0</v>
      </c>
      <c r="X115" s="1687"/>
      <c r="Z115" s="1687"/>
      <c r="AB115" s="420" t="str">
        <f>AB112&amp;".3"</f>
        <v>7.3</v>
      </c>
      <c r="AC115" s="421" t="s">
        <v>1081</v>
      </c>
      <c r="AD115" s="420" t="s">
        <v>1077</v>
      </c>
      <c r="AE115" s="17"/>
      <c r="AF115" s="17"/>
      <c r="AG115" s="17"/>
      <c r="AH115" s="17"/>
      <c r="AI115" s="230"/>
      <c r="AJ115" s="230"/>
      <c r="AK115" s="230"/>
      <c r="AL115" s="230"/>
      <c r="AM115" s="230"/>
      <c r="AN115" s="17"/>
      <c r="AO115" s="17"/>
      <c r="AP115" s="17"/>
      <c r="AQ115" s="17"/>
      <c r="AR115" s="17"/>
      <c r="AS115" s="230"/>
      <c r="AT115" s="230"/>
      <c r="AU115" s="230"/>
      <c r="AV115" s="230"/>
      <c r="AW115" s="230"/>
      <c r="AX115" s="17"/>
      <c r="AY115" s="17"/>
      <c r="AZ115" s="17"/>
      <c r="BA115" s="17"/>
      <c r="BB115" s="17"/>
      <c r="BC115" s="28"/>
      <c r="BF115" s="970" t="s">
        <v>1192</v>
      </c>
    </row>
    <row r="116" spans="1:58" ht="14.65" hidden="1" customHeight="1">
      <c r="E116" s="676">
        <v>15</v>
      </c>
      <c r="F116" s="779" cm="1">
        <f t="array" ref="F116">F115</f>
        <v>0</v>
      </c>
      <c r="T116" s="698" t="b" cm="1">
        <f t="array" ref="T116">T115</f>
        <v>0</v>
      </c>
      <c r="X116" s="1687"/>
      <c r="Z116" s="1687"/>
      <c r="AB116" s="420" t="str">
        <f>AB112&amp;".4"</f>
        <v>7.4</v>
      </c>
      <c r="AC116" s="421" t="s">
        <v>1083</v>
      </c>
      <c r="AD116" s="420" t="s">
        <v>1077</v>
      </c>
      <c r="AE116" s="40">
        <f t="shared" ref="AE116:BB116" si="37">SUM(AE117:AE121)</f>
        <v>0</v>
      </c>
      <c r="AF116" s="40">
        <f t="shared" si="37"/>
        <v>0</v>
      </c>
      <c r="AG116" s="40">
        <f t="shared" si="37"/>
        <v>0</v>
      </c>
      <c r="AH116" s="40">
        <f t="shared" si="37"/>
        <v>0</v>
      </c>
      <c r="AI116" s="415">
        <f t="shared" si="37"/>
        <v>0</v>
      </c>
      <c r="AJ116" s="415">
        <f t="shared" si="37"/>
        <v>0</v>
      </c>
      <c r="AK116" s="415">
        <f t="shared" si="37"/>
        <v>0</v>
      </c>
      <c r="AL116" s="415">
        <f t="shared" si="37"/>
        <v>0</v>
      </c>
      <c r="AM116" s="415">
        <f t="shared" si="37"/>
        <v>0</v>
      </c>
      <c r="AN116" s="40">
        <f t="shared" si="37"/>
        <v>0</v>
      </c>
      <c r="AO116" s="40">
        <f t="shared" si="37"/>
        <v>0</v>
      </c>
      <c r="AP116" s="40">
        <f t="shared" si="37"/>
        <v>0</v>
      </c>
      <c r="AQ116" s="40">
        <f t="shared" si="37"/>
        <v>0</v>
      </c>
      <c r="AR116" s="40">
        <f t="shared" si="37"/>
        <v>0</v>
      </c>
      <c r="AS116" s="415">
        <f t="shared" si="37"/>
        <v>0</v>
      </c>
      <c r="AT116" s="415">
        <f t="shared" si="37"/>
        <v>0</v>
      </c>
      <c r="AU116" s="415">
        <f t="shared" si="37"/>
        <v>0</v>
      </c>
      <c r="AV116" s="415">
        <f t="shared" si="37"/>
        <v>0</v>
      </c>
      <c r="AW116" s="415">
        <f t="shared" si="37"/>
        <v>0</v>
      </c>
      <c r="AX116" s="40">
        <f t="shared" si="37"/>
        <v>0</v>
      </c>
      <c r="AY116" s="40">
        <f t="shared" si="37"/>
        <v>0</v>
      </c>
      <c r="AZ116" s="40">
        <f t="shared" si="37"/>
        <v>0</v>
      </c>
      <c r="BA116" s="40">
        <f t="shared" si="37"/>
        <v>0</v>
      </c>
      <c r="BB116" s="40">
        <f t="shared" si="37"/>
        <v>0</v>
      </c>
      <c r="BC116" s="28"/>
      <c r="BF116" s="970" t="s">
        <v>1193</v>
      </c>
    </row>
    <row r="117" spans="1:58" ht="14.65" hidden="1" customHeight="1">
      <c r="E117" s="676">
        <v>15</v>
      </c>
      <c r="F117" s="779" cm="1">
        <f t="array" ref="F117">F116</f>
        <v>0</v>
      </c>
      <c r="T117" s="698" t="b" cm="1">
        <f t="array" ref="T117">T116</f>
        <v>0</v>
      </c>
      <c r="X117" s="1687"/>
      <c r="Z117" s="1687"/>
      <c r="AB117" s="420" t="str">
        <f>AB116&amp;".1"</f>
        <v>7.4.1</v>
      </c>
      <c r="AC117" s="422" t="s">
        <v>1086</v>
      </c>
      <c r="AD117" s="420" t="s">
        <v>1077</v>
      </c>
      <c r="AE117" s="17"/>
      <c r="AF117" s="17"/>
      <c r="AG117" s="17"/>
      <c r="AH117" s="17"/>
      <c r="AI117" s="230"/>
      <c r="AJ117" s="230"/>
      <c r="AK117" s="230"/>
      <c r="AL117" s="230"/>
      <c r="AM117" s="230"/>
      <c r="AN117" s="17"/>
      <c r="AO117" s="17"/>
      <c r="AP117" s="17"/>
      <c r="AQ117" s="17"/>
      <c r="AR117" s="17"/>
      <c r="AS117" s="230"/>
      <c r="AT117" s="230"/>
      <c r="AU117" s="230"/>
      <c r="AV117" s="230"/>
      <c r="AW117" s="230"/>
      <c r="AX117" s="17"/>
      <c r="AY117" s="17"/>
      <c r="AZ117" s="17"/>
      <c r="BA117" s="17"/>
      <c r="BB117" s="17"/>
      <c r="BC117" s="28"/>
      <c r="BF117" s="970" t="s">
        <v>1194</v>
      </c>
    </row>
    <row r="118" spans="1:58" ht="14.65" hidden="1" customHeight="1">
      <c r="E118" s="676">
        <v>15</v>
      </c>
      <c r="F118" s="779" cm="1">
        <f t="array" ref="F118">F117</f>
        <v>0</v>
      </c>
      <c r="T118" s="698" t="b" cm="1">
        <f t="array" ref="T118">T117</f>
        <v>0</v>
      </c>
      <c r="X118" s="1687"/>
      <c r="Z118" s="1687"/>
      <c r="AB118" s="420" t="str">
        <f>AB116&amp;".2"</f>
        <v>7.4.2</v>
      </c>
      <c r="AC118" s="422" t="s">
        <v>1089</v>
      </c>
      <c r="AD118" s="420" t="s">
        <v>1077</v>
      </c>
      <c r="AE118" s="17"/>
      <c r="AF118" s="17"/>
      <c r="AG118" s="17"/>
      <c r="AH118" s="17"/>
      <c r="AI118" s="230"/>
      <c r="AJ118" s="230"/>
      <c r="AK118" s="230"/>
      <c r="AL118" s="230"/>
      <c r="AM118" s="230"/>
      <c r="AN118" s="17"/>
      <c r="AO118" s="17"/>
      <c r="AP118" s="17"/>
      <c r="AQ118" s="17"/>
      <c r="AR118" s="17"/>
      <c r="AS118" s="230"/>
      <c r="AT118" s="230"/>
      <c r="AU118" s="230"/>
      <c r="AV118" s="230"/>
      <c r="AW118" s="230"/>
      <c r="AX118" s="17"/>
      <c r="AY118" s="17"/>
      <c r="AZ118" s="17"/>
      <c r="BA118" s="17"/>
      <c r="BB118" s="17"/>
      <c r="BC118" s="28"/>
      <c r="BF118" s="970" t="s">
        <v>1195</v>
      </c>
    </row>
    <row r="119" spans="1:58" ht="14.65" hidden="1" customHeight="1">
      <c r="E119" s="676">
        <v>15</v>
      </c>
      <c r="F119" s="779" cm="1">
        <f t="array" ref="F119">F118</f>
        <v>0</v>
      </c>
      <c r="T119" s="698" t="b" cm="1">
        <f t="array" ref="T119">T118</f>
        <v>0</v>
      </c>
      <c r="X119" s="1687"/>
      <c r="Z119" s="1687"/>
      <c r="AB119" s="420" t="str">
        <f>AB116&amp;".3"</f>
        <v>7.4.3</v>
      </c>
      <c r="AC119" s="422" t="s">
        <v>1092</v>
      </c>
      <c r="AD119" s="420" t="s">
        <v>1077</v>
      </c>
      <c r="AE119" s="17"/>
      <c r="AF119" s="17"/>
      <c r="AG119" s="17"/>
      <c r="AH119" s="17"/>
      <c r="AI119" s="230"/>
      <c r="AJ119" s="230"/>
      <c r="AK119" s="230"/>
      <c r="AL119" s="230"/>
      <c r="AM119" s="230"/>
      <c r="AN119" s="17"/>
      <c r="AO119" s="17"/>
      <c r="AP119" s="17"/>
      <c r="AQ119" s="17"/>
      <c r="AR119" s="17"/>
      <c r="AS119" s="230"/>
      <c r="AT119" s="230"/>
      <c r="AU119" s="230"/>
      <c r="AV119" s="230"/>
      <c r="AW119" s="230"/>
      <c r="AX119" s="17"/>
      <c r="AY119" s="17"/>
      <c r="AZ119" s="17"/>
      <c r="BA119" s="17"/>
      <c r="BB119" s="17"/>
      <c r="BC119" s="28"/>
      <c r="BF119" s="970" t="s">
        <v>1196</v>
      </c>
    </row>
    <row r="120" spans="1:58" ht="14.65" hidden="1" customHeight="1">
      <c r="E120" s="676">
        <v>15</v>
      </c>
      <c r="F120" s="779" cm="1">
        <f t="array" ref="F120">F119</f>
        <v>0</v>
      </c>
      <c r="T120" s="698" t="b" cm="1">
        <f t="array" ref="T120">T119</f>
        <v>0</v>
      </c>
      <c r="X120" s="1687"/>
      <c r="Z120" s="1687"/>
      <c r="AB120" s="420" t="str">
        <f>AB116&amp;".4"</f>
        <v>7.4.4</v>
      </c>
      <c r="AC120" s="422" t="s">
        <v>1095</v>
      </c>
      <c r="AD120" s="420" t="s">
        <v>1077</v>
      </c>
      <c r="AE120" s="17"/>
      <c r="AF120" s="17"/>
      <c r="AG120" s="17"/>
      <c r="AH120" s="17"/>
      <c r="AI120" s="230"/>
      <c r="AJ120" s="230"/>
      <c r="AK120" s="230"/>
      <c r="AL120" s="230"/>
      <c r="AM120" s="230"/>
      <c r="AN120" s="17"/>
      <c r="AO120" s="17"/>
      <c r="AP120" s="17"/>
      <c r="AQ120" s="17"/>
      <c r="AR120" s="17"/>
      <c r="AS120" s="230"/>
      <c r="AT120" s="230"/>
      <c r="AU120" s="230"/>
      <c r="AV120" s="230"/>
      <c r="AW120" s="230"/>
      <c r="AX120" s="17"/>
      <c r="AY120" s="17"/>
      <c r="AZ120" s="17"/>
      <c r="BA120" s="17"/>
      <c r="BB120" s="17"/>
      <c r="BC120" s="28"/>
      <c r="BF120" s="970" t="s">
        <v>1197</v>
      </c>
    </row>
    <row r="121" spans="1:58" ht="14.65" hidden="1" customHeight="1">
      <c r="E121" s="676">
        <v>15</v>
      </c>
      <c r="F121" s="779" cm="1">
        <f t="array" ref="F121">F120</f>
        <v>0</v>
      </c>
      <c r="T121" s="698" t="b" cm="1">
        <f t="array" ref="T121">T120</f>
        <v>0</v>
      </c>
      <c r="X121" s="1687"/>
      <c r="Z121" s="1687"/>
      <c r="AB121" s="420" t="str">
        <f>AB116&amp;".5"</f>
        <v>7.4.5</v>
      </c>
      <c r="AC121" s="422" t="s">
        <v>1098</v>
      </c>
      <c r="AD121" s="420" t="s">
        <v>1077</v>
      </c>
      <c r="AE121" s="17"/>
      <c r="AF121" s="17"/>
      <c r="AG121" s="17"/>
      <c r="AH121" s="17"/>
      <c r="AI121" s="230"/>
      <c r="AJ121" s="230"/>
      <c r="AK121" s="230"/>
      <c r="AL121" s="230"/>
      <c r="AM121" s="230"/>
      <c r="AN121" s="17"/>
      <c r="AO121" s="17"/>
      <c r="AP121" s="17"/>
      <c r="AQ121" s="17"/>
      <c r="AR121" s="17"/>
      <c r="AS121" s="230"/>
      <c r="AT121" s="230"/>
      <c r="AU121" s="230"/>
      <c r="AV121" s="230"/>
      <c r="AW121" s="230"/>
      <c r="AX121" s="17"/>
      <c r="AY121" s="17"/>
      <c r="AZ121" s="17"/>
      <c r="BA121" s="17"/>
      <c r="BB121" s="17"/>
      <c r="BC121" s="28"/>
      <c r="BF121" s="970" t="s">
        <v>1198</v>
      </c>
    </row>
    <row r="122" spans="1:58" ht="14.65" hidden="1" customHeight="1">
      <c r="E122" s="676">
        <v>15</v>
      </c>
      <c r="F122" s="779" cm="1">
        <f t="array" ref="F122">F121</f>
        <v>0</v>
      </c>
      <c r="T122" s="698" t="b" cm="1">
        <f t="array" ref="T122">T121</f>
        <v>0</v>
      </c>
      <c r="X122" s="1687"/>
      <c r="Z122" s="1687"/>
      <c r="AB122" s="420" t="str">
        <f>AB112&amp;".5"</f>
        <v>7.5</v>
      </c>
      <c r="AC122" s="421" t="s">
        <v>1101</v>
      </c>
      <c r="AD122" s="420" t="s">
        <v>1077</v>
      </c>
      <c r="AE122" s="17"/>
      <c r="AF122" s="17"/>
      <c r="AG122" s="17"/>
      <c r="AH122" s="17"/>
      <c r="AI122" s="230"/>
      <c r="AJ122" s="230"/>
      <c r="AK122" s="230"/>
      <c r="AL122" s="230"/>
      <c r="AM122" s="230"/>
      <c r="AN122" s="17"/>
      <c r="AO122" s="17"/>
      <c r="AP122" s="17"/>
      <c r="AQ122" s="17"/>
      <c r="AR122" s="17"/>
      <c r="AS122" s="230"/>
      <c r="AT122" s="230"/>
      <c r="AU122" s="230"/>
      <c r="AV122" s="230"/>
      <c r="AW122" s="230"/>
      <c r="AX122" s="17"/>
      <c r="AY122" s="17"/>
      <c r="AZ122" s="17"/>
      <c r="BA122" s="17"/>
      <c r="BB122" s="17"/>
      <c r="BC122" s="28"/>
      <c r="BF122" s="970" t="s">
        <v>1199</v>
      </c>
    </row>
    <row r="123" spans="1:58" ht="14.65" hidden="1" customHeight="1">
      <c r="E123" s="676">
        <v>15</v>
      </c>
      <c r="F123" s="779" cm="1">
        <f t="array" ref="F123">F122</f>
        <v>0</v>
      </c>
      <c r="T123" s="698" t="b" cm="1">
        <f t="array" ref="T123">T122</f>
        <v>0</v>
      </c>
      <c r="X123" s="1687"/>
      <c r="Z123" s="1687"/>
      <c r="AB123" s="420" t="str">
        <f>AB112&amp;".6"</f>
        <v>7.6</v>
      </c>
      <c r="AC123" s="421" t="s">
        <v>1104</v>
      </c>
      <c r="AD123" s="420" t="s">
        <v>1077</v>
      </c>
      <c r="AE123" s="17"/>
      <c r="AF123" s="17"/>
      <c r="AG123" s="17"/>
      <c r="AH123" s="17"/>
      <c r="AI123" s="230"/>
      <c r="AJ123" s="230"/>
      <c r="AK123" s="230"/>
      <c r="AL123" s="230"/>
      <c r="AM123" s="230"/>
      <c r="AN123" s="17"/>
      <c r="AO123" s="17"/>
      <c r="AP123" s="17"/>
      <c r="AQ123" s="17"/>
      <c r="AR123" s="17"/>
      <c r="AS123" s="230"/>
      <c r="AT123" s="230"/>
      <c r="AU123" s="230"/>
      <c r="AV123" s="230"/>
      <c r="AW123" s="230"/>
      <c r="AX123" s="17"/>
      <c r="AY123" s="17"/>
      <c r="AZ123" s="17"/>
      <c r="BA123" s="17"/>
      <c r="BB123" s="17"/>
      <c r="BC123" s="28"/>
      <c r="BF123" s="970" t="s">
        <v>1200</v>
      </c>
    </row>
    <row r="124" spans="1:58" ht="14.65" hidden="1" customHeight="1">
      <c r="E124" s="676">
        <v>15</v>
      </c>
      <c r="F124" s="779" cm="1">
        <f t="array" ref="F124">F123</f>
        <v>0</v>
      </c>
      <c r="T124" s="698" t="b" cm="1">
        <f t="array" ref="T124">T123</f>
        <v>0</v>
      </c>
      <c r="X124" s="1687"/>
      <c r="Z124" s="1687"/>
      <c r="AB124" s="420" t="str">
        <f>AB112&amp;".7"</f>
        <v>7.7</v>
      </c>
      <c r="AC124" s="421" t="s">
        <v>1107</v>
      </c>
      <c r="AD124" s="420" t="s">
        <v>1077</v>
      </c>
      <c r="AE124" s="17"/>
      <c r="AF124" s="17"/>
      <c r="AG124" s="17"/>
      <c r="AH124" s="17"/>
      <c r="AI124" s="230"/>
      <c r="AJ124" s="230"/>
      <c r="AK124" s="230"/>
      <c r="AL124" s="230"/>
      <c r="AM124" s="230"/>
      <c r="AN124" s="17"/>
      <c r="AO124" s="17"/>
      <c r="AP124" s="17"/>
      <c r="AQ124" s="17"/>
      <c r="AR124" s="17"/>
      <c r="AS124" s="230"/>
      <c r="AT124" s="230"/>
      <c r="AU124" s="230"/>
      <c r="AV124" s="230"/>
      <c r="AW124" s="230"/>
      <c r="AX124" s="17"/>
      <c r="AY124" s="17"/>
      <c r="AZ124" s="17"/>
      <c r="BA124" s="17"/>
      <c r="BB124" s="17"/>
      <c r="BC124" s="28"/>
      <c r="BF124" s="970" t="s">
        <v>1201</v>
      </c>
    </row>
    <row r="125" spans="1:58" ht="14.65" hidden="1" customHeight="1">
      <c r="E125" s="676">
        <v>15</v>
      </c>
      <c r="F125" s="779" cm="1">
        <f t="array" ref="F125">F124</f>
        <v>0</v>
      </c>
      <c r="T125" s="698" t="b" cm="1">
        <f t="array" ref="T125">T124</f>
        <v>0</v>
      </c>
      <c r="X125" s="1687"/>
      <c r="Z125" s="1687"/>
      <c r="AB125" s="420" t="str">
        <f>AB112&amp;".8"</f>
        <v>7.8</v>
      </c>
      <c r="AC125" s="421" t="s">
        <v>1110</v>
      </c>
      <c r="AD125" s="420" t="s">
        <v>1077</v>
      </c>
      <c r="AE125" s="17"/>
      <c r="AF125" s="17"/>
      <c r="AG125" s="17"/>
      <c r="AH125" s="17"/>
      <c r="AI125" s="230"/>
      <c r="AJ125" s="230"/>
      <c r="AK125" s="230"/>
      <c r="AL125" s="230"/>
      <c r="AM125" s="230"/>
      <c r="AN125" s="17"/>
      <c r="AO125" s="17"/>
      <c r="AP125" s="17"/>
      <c r="AQ125" s="17"/>
      <c r="AR125" s="17"/>
      <c r="AS125" s="230"/>
      <c r="AT125" s="230"/>
      <c r="AU125" s="230"/>
      <c r="AV125" s="230"/>
      <c r="AW125" s="230"/>
      <c r="AX125" s="17"/>
      <c r="AY125" s="17"/>
      <c r="AZ125" s="17"/>
      <c r="BA125" s="17"/>
      <c r="BB125" s="17"/>
      <c r="BC125" s="28"/>
      <c r="BF125" s="970" t="s">
        <v>1202</v>
      </c>
    </row>
    <row r="126" spans="1:58" s="1229" customFormat="1" ht="10.5" customHeight="1">
      <c r="A126" s="1155"/>
      <c r="B126" s="783"/>
      <c r="C126" s="1155"/>
      <c r="D126" s="1155"/>
      <c r="E126" s="676">
        <v>11.4</v>
      </c>
      <c r="F126" s="779" t="str" cm="1">
        <f t="array" ref="F126">X126</f>
        <v>1</v>
      </c>
      <c r="G126" s="814"/>
      <c r="H126" s="814"/>
      <c r="I126" s="814"/>
      <c r="J126" s="814"/>
      <c r="K126" s="814"/>
      <c r="L126" s="814"/>
      <c r="M126" s="814"/>
      <c r="N126" s="814"/>
      <c r="O126" s="814"/>
      <c r="P126" s="814"/>
      <c r="Q126" s="784"/>
      <c r="R126" s="784"/>
      <c r="S126" s="814"/>
      <c r="T126" s="698" t="b">
        <f>X126&gt;0</f>
        <v>1</v>
      </c>
      <c r="U126" s="1155"/>
      <c r="V126" s="126" t="str" cm="1">
        <f t="array" ref="V126">'ХВС, ТН'!$AB$40</f>
        <v>Тариф 1 (Теплоснабжение) - Тариф на тепловую энергию (мощность), поставляемую потребителям (Не определено)</v>
      </c>
      <c r="W126" s="1155"/>
      <c r="X126" s="1687" t="s">
        <v>341</v>
      </c>
      <c r="Y126" s="1155"/>
      <c r="Z126" s="1687"/>
      <c r="AA126" s="791"/>
      <c r="AB126" s="237" t="str" cm="1">
        <f t="array" ref="AB126">IF(ISBLANK('ХВС, ТН'!$AB$40),"",'ХВС, ТН'!$AB$40)</f>
        <v>Тариф 1 (Теплоснабжение) - Тариф на тепловую энергию (мощность), поставляемую потребителям (Не определено)</v>
      </c>
      <c r="AC126" s="210"/>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26"/>
      <c r="BD126" s="791"/>
      <c r="BE126" s="791"/>
      <c r="BF126" s="977"/>
    </row>
    <row r="127" spans="1:58" s="167" customFormat="1" ht="21.75" customHeight="1">
      <c r="E127" s="676">
        <v>22.8</v>
      </c>
      <c r="F127" s="779" t="str" cm="1">
        <f t="array" ref="F127">F126</f>
        <v>1</v>
      </c>
      <c r="T127" s="698" t="b" cm="1">
        <f t="array" ref="T127">T126</f>
        <v>1</v>
      </c>
      <c r="X127" s="1811"/>
      <c r="Z127" s="1811"/>
      <c r="AB127" s="227">
        <v>1</v>
      </c>
      <c r="AC127" s="228" t="s">
        <v>1074</v>
      </c>
      <c r="AD127" s="107" t="s">
        <v>839</v>
      </c>
      <c r="AE127" s="1320">
        <f t="shared" ref="AE127:BB127" si="38">SUM(AE128:AE131)+SUM(AE137:AE140)</f>
        <v>0</v>
      </c>
      <c r="AF127" s="1320">
        <f t="shared" si="38"/>
        <v>0</v>
      </c>
      <c r="AG127" s="1320">
        <f t="shared" si="38"/>
        <v>0</v>
      </c>
      <c r="AH127" s="1320">
        <f t="shared" si="38"/>
        <v>0</v>
      </c>
      <c r="AI127" s="242">
        <f t="shared" si="38"/>
        <v>0</v>
      </c>
      <c r="AJ127" s="242">
        <f t="shared" si="38"/>
        <v>0</v>
      </c>
      <c r="AK127" s="242">
        <f t="shared" si="38"/>
        <v>0</v>
      </c>
      <c r="AL127" s="242">
        <f t="shared" si="38"/>
        <v>0</v>
      </c>
      <c r="AM127" s="242">
        <f t="shared" si="38"/>
        <v>0</v>
      </c>
      <c r="AN127" s="1320">
        <f t="shared" si="38"/>
        <v>0</v>
      </c>
      <c r="AO127" s="1320">
        <f t="shared" si="38"/>
        <v>0</v>
      </c>
      <c r="AP127" s="1320">
        <f t="shared" si="38"/>
        <v>0</v>
      </c>
      <c r="AQ127" s="1320">
        <f t="shared" si="38"/>
        <v>0</v>
      </c>
      <c r="AR127" s="1320">
        <f t="shared" si="38"/>
        <v>0</v>
      </c>
      <c r="AS127" s="242">
        <f t="shared" si="38"/>
        <v>0</v>
      </c>
      <c r="AT127" s="242">
        <f t="shared" si="38"/>
        <v>0</v>
      </c>
      <c r="AU127" s="242">
        <f t="shared" si="38"/>
        <v>0</v>
      </c>
      <c r="AV127" s="242">
        <f t="shared" si="38"/>
        <v>0</v>
      </c>
      <c r="AW127" s="242">
        <f t="shared" si="38"/>
        <v>0</v>
      </c>
      <c r="AX127" s="1320">
        <f t="shared" si="38"/>
        <v>0</v>
      </c>
      <c r="AY127" s="1320">
        <f t="shared" si="38"/>
        <v>0</v>
      </c>
      <c r="AZ127" s="1320">
        <f t="shared" si="38"/>
        <v>0</v>
      </c>
      <c r="BA127" s="1320">
        <f t="shared" si="38"/>
        <v>0</v>
      </c>
      <c r="BB127" s="1320">
        <f t="shared" si="38"/>
        <v>0</v>
      </c>
      <c r="BC127" s="1290"/>
      <c r="BF127" s="970" t="s">
        <v>1075</v>
      </c>
    </row>
    <row r="128" spans="1:58" s="1229" customFormat="1" ht="14.25" customHeight="1">
      <c r="A128" s="1155"/>
      <c r="B128" s="783"/>
      <c r="C128" s="1155"/>
      <c r="D128" s="1155"/>
      <c r="E128" s="676">
        <v>15</v>
      </c>
      <c r="F128" s="779" t="str" cm="1">
        <f t="array" ref="F128">F127</f>
        <v>1</v>
      </c>
      <c r="G128" s="814"/>
      <c r="H128" s="814"/>
      <c r="I128" s="814"/>
      <c r="J128" s="814"/>
      <c r="K128" s="814"/>
      <c r="L128" s="814"/>
      <c r="M128" s="814"/>
      <c r="N128" s="814"/>
      <c r="O128" s="814"/>
      <c r="P128" s="814"/>
      <c r="Q128" s="784"/>
      <c r="R128" s="784"/>
      <c r="S128" s="814"/>
      <c r="T128" s="698" t="b" cm="1">
        <f t="array" ref="T128">T127</f>
        <v>1</v>
      </c>
      <c r="U128" s="1155"/>
      <c r="V128" s="1155"/>
      <c r="W128" s="1155"/>
      <c r="X128" s="1687"/>
      <c r="Y128" s="1155"/>
      <c r="Z128" s="1687"/>
      <c r="AA128" s="791"/>
      <c r="AB128" s="420" t="s">
        <v>484</v>
      </c>
      <c r="AC128" s="421" t="s">
        <v>1076</v>
      </c>
      <c r="AD128" s="420" t="s">
        <v>1077</v>
      </c>
      <c r="AE128" s="1249"/>
      <c r="AF128" s="1249"/>
      <c r="AG128" s="1249"/>
      <c r="AH128" s="1249"/>
      <c r="AI128" s="230"/>
      <c r="AJ128" s="230"/>
      <c r="AK128" s="230"/>
      <c r="AL128" s="230"/>
      <c r="AM128" s="230"/>
      <c r="AN128" s="1249"/>
      <c r="AO128" s="1249"/>
      <c r="AP128" s="1249"/>
      <c r="AQ128" s="1249"/>
      <c r="AR128" s="1249"/>
      <c r="AS128" s="230"/>
      <c r="AT128" s="230"/>
      <c r="AU128" s="230"/>
      <c r="AV128" s="230"/>
      <c r="AW128" s="230"/>
      <c r="AX128" s="1249"/>
      <c r="AY128" s="1249"/>
      <c r="AZ128" s="1249"/>
      <c r="BA128" s="1249"/>
      <c r="BB128" s="1249"/>
      <c r="BC128" s="1290"/>
      <c r="BD128" s="791"/>
      <c r="BE128" s="791"/>
      <c r="BF128" s="970" t="s">
        <v>1078</v>
      </c>
    </row>
    <row r="129" spans="1:58" s="1229" customFormat="1" ht="14.25" customHeight="1">
      <c r="A129" s="1155"/>
      <c r="B129" s="783"/>
      <c r="C129" s="1155"/>
      <c r="D129" s="1155"/>
      <c r="E129" s="676">
        <v>15</v>
      </c>
      <c r="F129" s="779" t="str" cm="1">
        <f t="array" ref="F129">F128</f>
        <v>1</v>
      </c>
      <c r="G129" s="814"/>
      <c r="H129" s="814"/>
      <c r="I129" s="814"/>
      <c r="J129" s="814"/>
      <c r="K129" s="814"/>
      <c r="L129" s="814"/>
      <c r="M129" s="814"/>
      <c r="N129" s="814"/>
      <c r="O129" s="814"/>
      <c r="P129" s="814"/>
      <c r="Q129" s="784"/>
      <c r="R129" s="784"/>
      <c r="S129" s="814"/>
      <c r="T129" s="698" t="b" cm="1">
        <f t="array" ref="T129">T128</f>
        <v>1</v>
      </c>
      <c r="U129" s="1155"/>
      <c r="V129" s="1155"/>
      <c r="W129" s="1155"/>
      <c r="X129" s="1687"/>
      <c r="Y129" s="1155"/>
      <c r="Z129" s="1687"/>
      <c r="AA129" s="791"/>
      <c r="AB129" s="420" t="s">
        <v>989</v>
      </c>
      <c r="AC129" s="421" t="s">
        <v>1079</v>
      </c>
      <c r="AD129" s="420" t="s">
        <v>1077</v>
      </c>
      <c r="AE129" s="1249"/>
      <c r="AF129" s="1249"/>
      <c r="AG129" s="1249"/>
      <c r="AH129" s="1249"/>
      <c r="AI129" s="230"/>
      <c r="AJ129" s="230"/>
      <c r="AK129" s="230"/>
      <c r="AL129" s="230"/>
      <c r="AM129" s="230"/>
      <c r="AN129" s="1249"/>
      <c r="AO129" s="1249"/>
      <c r="AP129" s="1249"/>
      <c r="AQ129" s="1249"/>
      <c r="AR129" s="1249"/>
      <c r="AS129" s="230"/>
      <c r="AT129" s="230"/>
      <c r="AU129" s="230"/>
      <c r="AV129" s="230"/>
      <c r="AW129" s="230"/>
      <c r="AX129" s="1249"/>
      <c r="AY129" s="1249"/>
      <c r="AZ129" s="1249"/>
      <c r="BA129" s="1249"/>
      <c r="BB129" s="1249"/>
      <c r="BC129" s="1290"/>
      <c r="BD129" s="791"/>
      <c r="BE129" s="791"/>
      <c r="BF129" s="970" t="s">
        <v>1080</v>
      </c>
    </row>
    <row r="130" spans="1:58" s="1229" customFormat="1" ht="14.25" customHeight="1">
      <c r="A130" s="1155"/>
      <c r="B130" s="783"/>
      <c r="C130" s="1155"/>
      <c r="D130" s="1155"/>
      <c r="E130" s="676">
        <v>15</v>
      </c>
      <c r="F130" s="779" t="str" cm="1">
        <f t="array" ref="F130">F129</f>
        <v>1</v>
      </c>
      <c r="G130" s="814"/>
      <c r="H130" s="814"/>
      <c r="I130" s="814"/>
      <c r="J130" s="814"/>
      <c r="K130" s="814"/>
      <c r="L130" s="814"/>
      <c r="M130" s="814"/>
      <c r="N130" s="814"/>
      <c r="O130" s="814"/>
      <c r="P130" s="814"/>
      <c r="Q130" s="784"/>
      <c r="R130" s="784"/>
      <c r="S130" s="814"/>
      <c r="T130" s="698" t="b" cm="1">
        <f t="array" ref="T130">T129</f>
        <v>1</v>
      </c>
      <c r="U130" s="1155"/>
      <c r="V130" s="1155"/>
      <c r="W130" s="1155"/>
      <c r="X130" s="1687"/>
      <c r="Y130" s="1155"/>
      <c r="Z130" s="1687"/>
      <c r="AA130" s="791"/>
      <c r="AB130" s="420" t="s">
        <v>991</v>
      </c>
      <c r="AC130" s="421" t="s">
        <v>1081</v>
      </c>
      <c r="AD130" s="420" t="s">
        <v>1077</v>
      </c>
      <c r="AE130" s="1249"/>
      <c r="AF130" s="1249"/>
      <c r="AG130" s="1249"/>
      <c r="AH130" s="1249"/>
      <c r="AI130" s="230"/>
      <c r="AJ130" s="230"/>
      <c r="AK130" s="230"/>
      <c r="AL130" s="230"/>
      <c r="AM130" s="230"/>
      <c r="AN130" s="1249"/>
      <c r="AO130" s="1249"/>
      <c r="AP130" s="1249"/>
      <c r="AQ130" s="1249"/>
      <c r="AR130" s="1249"/>
      <c r="AS130" s="230"/>
      <c r="AT130" s="230"/>
      <c r="AU130" s="230"/>
      <c r="AV130" s="230"/>
      <c r="AW130" s="230"/>
      <c r="AX130" s="1249"/>
      <c r="AY130" s="1249"/>
      <c r="AZ130" s="1249"/>
      <c r="BA130" s="1249"/>
      <c r="BB130" s="1249"/>
      <c r="BC130" s="1290"/>
      <c r="BD130" s="791"/>
      <c r="BE130" s="791"/>
      <c r="BF130" s="970" t="s">
        <v>1082</v>
      </c>
    </row>
    <row r="131" spans="1:58" s="1229" customFormat="1" ht="14.25" customHeight="1">
      <c r="A131" s="1155"/>
      <c r="B131" s="783"/>
      <c r="C131" s="1155"/>
      <c r="D131" s="1155"/>
      <c r="E131" s="676">
        <v>15</v>
      </c>
      <c r="F131" s="779" t="str" cm="1">
        <f t="array" ref="F131">F130</f>
        <v>1</v>
      </c>
      <c r="G131" s="814"/>
      <c r="H131" s="814"/>
      <c r="I131" s="814"/>
      <c r="J131" s="814"/>
      <c r="K131" s="814"/>
      <c r="L131" s="814"/>
      <c r="M131" s="814"/>
      <c r="N131" s="814"/>
      <c r="O131" s="814"/>
      <c r="P131" s="814"/>
      <c r="Q131" s="784"/>
      <c r="R131" s="784"/>
      <c r="S131" s="814"/>
      <c r="T131" s="698" t="b" cm="1">
        <f t="array" ref="T131">T130</f>
        <v>1</v>
      </c>
      <c r="U131" s="1155"/>
      <c r="V131" s="1155"/>
      <c r="W131" s="1155"/>
      <c r="X131" s="1687"/>
      <c r="Y131" s="1155"/>
      <c r="Z131" s="1687"/>
      <c r="AA131" s="791"/>
      <c r="AB131" s="420" t="s">
        <v>995</v>
      </c>
      <c r="AC131" s="421" t="s">
        <v>1083</v>
      </c>
      <c r="AD131" s="420" t="s">
        <v>1077</v>
      </c>
      <c r="AE131" s="1324">
        <f t="shared" ref="AE131:BB131" si="39">SUM(AE132:AE136)</f>
        <v>0</v>
      </c>
      <c r="AF131" s="1324">
        <f t="shared" si="39"/>
        <v>0</v>
      </c>
      <c r="AG131" s="1324">
        <f t="shared" si="39"/>
        <v>0</v>
      </c>
      <c r="AH131" s="1324">
        <f t="shared" si="39"/>
        <v>0</v>
      </c>
      <c r="AI131" s="415">
        <f t="shared" si="39"/>
        <v>0</v>
      </c>
      <c r="AJ131" s="415">
        <f t="shared" si="39"/>
        <v>0</v>
      </c>
      <c r="AK131" s="415">
        <f t="shared" si="39"/>
        <v>0</v>
      </c>
      <c r="AL131" s="415">
        <f t="shared" si="39"/>
        <v>0</v>
      </c>
      <c r="AM131" s="415">
        <f t="shared" si="39"/>
        <v>0</v>
      </c>
      <c r="AN131" s="1324">
        <f t="shared" si="39"/>
        <v>0</v>
      </c>
      <c r="AO131" s="1324">
        <f t="shared" si="39"/>
        <v>0</v>
      </c>
      <c r="AP131" s="1324">
        <f t="shared" si="39"/>
        <v>0</v>
      </c>
      <c r="AQ131" s="1324">
        <f t="shared" si="39"/>
        <v>0</v>
      </c>
      <c r="AR131" s="1324">
        <f t="shared" si="39"/>
        <v>0</v>
      </c>
      <c r="AS131" s="415">
        <f t="shared" si="39"/>
        <v>0</v>
      </c>
      <c r="AT131" s="415">
        <f t="shared" si="39"/>
        <v>0</v>
      </c>
      <c r="AU131" s="415">
        <f t="shared" si="39"/>
        <v>0</v>
      </c>
      <c r="AV131" s="415">
        <f t="shared" si="39"/>
        <v>0</v>
      </c>
      <c r="AW131" s="415">
        <f t="shared" si="39"/>
        <v>0</v>
      </c>
      <c r="AX131" s="1324">
        <f t="shared" si="39"/>
        <v>0</v>
      </c>
      <c r="AY131" s="1324">
        <f t="shared" si="39"/>
        <v>0</v>
      </c>
      <c r="AZ131" s="1324">
        <f t="shared" si="39"/>
        <v>0</v>
      </c>
      <c r="BA131" s="1324">
        <f t="shared" si="39"/>
        <v>0</v>
      </c>
      <c r="BB131" s="1324">
        <f t="shared" si="39"/>
        <v>0</v>
      </c>
      <c r="BC131" s="1290"/>
      <c r="BD131" s="791"/>
      <c r="BE131" s="791"/>
      <c r="BF131" s="970" t="s">
        <v>1084</v>
      </c>
    </row>
    <row r="132" spans="1:58" s="1229" customFormat="1" ht="14.25" customHeight="1">
      <c r="A132" s="1155"/>
      <c r="B132" s="783"/>
      <c r="C132" s="1155"/>
      <c r="D132" s="1155"/>
      <c r="E132" s="676">
        <v>15</v>
      </c>
      <c r="F132" s="779" t="str" cm="1">
        <f t="array" ref="F132">F131</f>
        <v>1</v>
      </c>
      <c r="G132" s="814"/>
      <c r="H132" s="814"/>
      <c r="I132" s="814"/>
      <c r="J132" s="814"/>
      <c r="K132" s="814"/>
      <c r="L132" s="814"/>
      <c r="M132" s="814"/>
      <c r="N132" s="814"/>
      <c r="O132" s="814"/>
      <c r="P132" s="814"/>
      <c r="Q132" s="784"/>
      <c r="R132" s="784"/>
      <c r="S132" s="814"/>
      <c r="T132" s="698" t="b" cm="1">
        <f t="array" ref="T132">T131</f>
        <v>1</v>
      </c>
      <c r="U132" s="1155"/>
      <c r="V132" s="1155"/>
      <c r="W132" s="1155"/>
      <c r="X132" s="1687"/>
      <c r="Y132" s="1155"/>
      <c r="Z132" s="1687"/>
      <c r="AA132" s="791"/>
      <c r="AB132" s="420" t="s">
        <v>1085</v>
      </c>
      <c r="AC132" s="422" t="s">
        <v>1086</v>
      </c>
      <c r="AD132" s="420" t="s">
        <v>1077</v>
      </c>
      <c r="AE132" s="1249"/>
      <c r="AF132" s="1249"/>
      <c r="AG132" s="1249"/>
      <c r="AH132" s="1249"/>
      <c r="AI132" s="230"/>
      <c r="AJ132" s="230"/>
      <c r="AK132" s="230"/>
      <c r="AL132" s="230"/>
      <c r="AM132" s="230"/>
      <c r="AN132" s="1249"/>
      <c r="AO132" s="1249"/>
      <c r="AP132" s="1249"/>
      <c r="AQ132" s="1249"/>
      <c r="AR132" s="1249"/>
      <c r="AS132" s="230"/>
      <c r="AT132" s="230"/>
      <c r="AU132" s="230"/>
      <c r="AV132" s="230"/>
      <c r="AW132" s="230"/>
      <c r="AX132" s="1249"/>
      <c r="AY132" s="1249"/>
      <c r="AZ132" s="1249"/>
      <c r="BA132" s="1249"/>
      <c r="BB132" s="1249"/>
      <c r="BC132" s="1290"/>
      <c r="BD132" s="791"/>
      <c r="BE132" s="791"/>
      <c r="BF132" s="970" t="s">
        <v>1087</v>
      </c>
    </row>
    <row r="133" spans="1:58" s="1229" customFormat="1" ht="14.25" customHeight="1">
      <c r="A133" s="1155"/>
      <c r="B133" s="783"/>
      <c r="C133" s="1155"/>
      <c r="D133" s="1155"/>
      <c r="E133" s="676">
        <v>15</v>
      </c>
      <c r="F133" s="779" t="str" cm="1">
        <f t="array" ref="F133">F132</f>
        <v>1</v>
      </c>
      <c r="G133" s="814"/>
      <c r="H133" s="814"/>
      <c r="I133" s="814"/>
      <c r="J133" s="814"/>
      <c r="K133" s="814"/>
      <c r="L133" s="814"/>
      <c r="M133" s="814"/>
      <c r="N133" s="814"/>
      <c r="O133" s="814"/>
      <c r="P133" s="814"/>
      <c r="Q133" s="784"/>
      <c r="R133" s="784"/>
      <c r="S133" s="814"/>
      <c r="T133" s="698" t="b" cm="1">
        <f t="array" ref="T133">T132</f>
        <v>1</v>
      </c>
      <c r="U133" s="1155"/>
      <c r="V133" s="1155"/>
      <c r="W133" s="1155"/>
      <c r="X133" s="1687"/>
      <c r="Y133" s="1155"/>
      <c r="Z133" s="1687"/>
      <c r="AA133" s="791"/>
      <c r="AB133" s="420" t="s">
        <v>1088</v>
      </c>
      <c r="AC133" s="422" t="s">
        <v>1089</v>
      </c>
      <c r="AD133" s="420" t="s">
        <v>1077</v>
      </c>
      <c r="AE133" s="1249"/>
      <c r="AF133" s="1249"/>
      <c r="AG133" s="1249"/>
      <c r="AH133" s="1249"/>
      <c r="AI133" s="230"/>
      <c r="AJ133" s="230"/>
      <c r="AK133" s="230"/>
      <c r="AL133" s="230"/>
      <c r="AM133" s="230"/>
      <c r="AN133" s="1249"/>
      <c r="AO133" s="1249"/>
      <c r="AP133" s="1249"/>
      <c r="AQ133" s="1249"/>
      <c r="AR133" s="1249"/>
      <c r="AS133" s="230"/>
      <c r="AT133" s="230"/>
      <c r="AU133" s="230"/>
      <c r="AV133" s="230"/>
      <c r="AW133" s="230"/>
      <c r="AX133" s="1249"/>
      <c r="AY133" s="1249"/>
      <c r="AZ133" s="1249"/>
      <c r="BA133" s="1249"/>
      <c r="BB133" s="1249"/>
      <c r="BC133" s="1290"/>
      <c r="BD133" s="791"/>
      <c r="BE133" s="791"/>
      <c r="BF133" s="970" t="s">
        <v>1090</v>
      </c>
    </row>
    <row r="134" spans="1:58" s="1229" customFormat="1" ht="14.25" customHeight="1">
      <c r="A134" s="1155"/>
      <c r="B134" s="783"/>
      <c r="C134" s="1155"/>
      <c r="D134" s="1155"/>
      <c r="E134" s="676">
        <v>15</v>
      </c>
      <c r="F134" s="779" t="str" cm="1">
        <f t="array" ref="F134">F133</f>
        <v>1</v>
      </c>
      <c r="G134" s="814"/>
      <c r="H134" s="814"/>
      <c r="I134" s="814"/>
      <c r="J134" s="814"/>
      <c r="K134" s="814"/>
      <c r="L134" s="814"/>
      <c r="M134" s="814"/>
      <c r="N134" s="814"/>
      <c r="O134" s="814"/>
      <c r="P134" s="814"/>
      <c r="Q134" s="784"/>
      <c r="R134" s="784"/>
      <c r="S134" s="814"/>
      <c r="T134" s="698" t="b" cm="1">
        <f t="array" ref="T134">T133</f>
        <v>1</v>
      </c>
      <c r="U134" s="1155"/>
      <c r="V134" s="1155"/>
      <c r="W134" s="1155"/>
      <c r="X134" s="1687"/>
      <c r="Y134" s="1155"/>
      <c r="Z134" s="1687"/>
      <c r="AA134" s="791"/>
      <c r="AB134" s="420" t="s">
        <v>1091</v>
      </c>
      <c r="AC134" s="422" t="s">
        <v>1092</v>
      </c>
      <c r="AD134" s="420" t="s">
        <v>1077</v>
      </c>
      <c r="AE134" s="1249"/>
      <c r="AF134" s="1249"/>
      <c r="AG134" s="1249"/>
      <c r="AH134" s="1249"/>
      <c r="AI134" s="230"/>
      <c r="AJ134" s="230"/>
      <c r="AK134" s="230"/>
      <c r="AL134" s="230"/>
      <c r="AM134" s="230"/>
      <c r="AN134" s="1249"/>
      <c r="AO134" s="1249"/>
      <c r="AP134" s="1249"/>
      <c r="AQ134" s="1249"/>
      <c r="AR134" s="1249"/>
      <c r="AS134" s="230"/>
      <c r="AT134" s="230"/>
      <c r="AU134" s="230"/>
      <c r="AV134" s="230"/>
      <c r="AW134" s="230"/>
      <c r="AX134" s="1249"/>
      <c r="AY134" s="1249"/>
      <c r="AZ134" s="1249"/>
      <c r="BA134" s="1249"/>
      <c r="BB134" s="1249"/>
      <c r="BC134" s="1290"/>
      <c r="BD134" s="791"/>
      <c r="BE134" s="791"/>
      <c r="BF134" s="970" t="s">
        <v>1093</v>
      </c>
    </row>
    <row r="135" spans="1:58" s="1229" customFormat="1" ht="14.25" customHeight="1">
      <c r="A135" s="1155"/>
      <c r="B135" s="783"/>
      <c r="C135" s="1155"/>
      <c r="D135" s="1155"/>
      <c r="E135" s="676">
        <v>15</v>
      </c>
      <c r="F135" s="779" t="str" cm="1">
        <f t="array" ref="F135">F134</f>
        <v>1</v>
      </c>
      <c r="G135" s="814"/>
      <c r="H135" s="814"/>
      <c r="I135" s="814"/>
      <c r="J135" s="814"/>
      <c r="K135" s="814"/>
      <c r="L135" s="814"/>
      <c r="M135" s="814"/>
      <c r="N135" s="814"/>
      <c r="O135" s="814"/>
      <c r="P135" s="814"/>
      <c r="Q135" s="784"/>
      <c r="R135" s="784"/>
      <c r="S135" s="814"/>
      <c r="T135" s="698" t="b" cm="1">
        <f t="array" ref="T135">T134</f>
        <v>1</v>
      </c>
      <c r="U135" s="1155"/>
      <c r="V135" s="1155"/>
      <c r="W135" s="1155"/>
      <c r="X135" s="1687"/>
      <c r="Y135" s="1155"/>
      <c r="Z135" s="1687"/>
      <c r="AA135" s="791"/>
      <c r="AB135" s="420" t="s">
        <v>1094</v>
      </c>
      <c r="AC135" s="422" t="s">
        <v>1095</v>
      </c>
      <c r="AD135" s="420" t="s">
        <v>1077</v>
      </c>
      <c r="AE135" s="1249"/>
      <c r="AF135" s="1249"/>
      <c r="AG135" s="1249"/>
      <c r="AH135" s="1249"/>
      <c r="AI135" s="230"/>
      <c r="AJ135" s="230"/>
      <c r="AK135" s="230"/>
      <c r="AL135" s="230"/>
      <c r="AM135" s="230"/>
      <c r="AN135" s="1249"/>
      <c r="AO135" s="1249"/>
      <c r="AP135" s="1249"/>
      <c r="AQ135" s="1249"/>
      <c r="AR135" s="1249"/>
      <c r="AS135" s="230"/>
      <c r="AT135" s="230"/>
      <c r="AU135" s="230"/>
      <c r="AV135" s="230"/>
      <c r="AW135" s="230"/>
      <c r="AX135" s="1249"/>
      <c r="AY135" s="1249"/>
      <c r="AZ135" s="1249"/>
      <c r="BA135" s="1249"/>
      <c r="BB135" s="1249"/>
      <c r="BC135" s="1290"/>
      <c r="BD135" s="791"/>
      <c r="BE135" s="791"/>
      <c r="BF135" s="970" t="s">
        <v>1096</v>
      </c>
    </row>
    <row r="136" spans="1:58" s="1229" customFormat="1" ht="14.25" customHeight="1">
      <c r="A136" s="1155"/>
      <c r="B136" s="783"/>
      <c r="C136" s="1155"/>
      <c r="D136" s="1155"/>
      <c r="E136" s="676">
        <v>15</v>
      </c>
      <c r="F136" s="779" t="str" cm="1">
        <f t="array" ref="F136">F135</f>
        <v>1</v>
      </c>
      <c r="G136" s="814"/>
      <c r="H136" s="814"/>
      <c r="I136" s="814"/>
      <c r="J136" s="814"/>
      <c r="K136" s="814"/>
      <c r="L136" s="814"/>
      <c r="M136" s="814"/>
      <c r="N136" s="814"/>
      <c r="O136" s="814"/>
      <c r="P136" s="814"/>
      <c r="Q136" s="784"/>
      <c r="R136" s="784"/>
      <c r="S136" s="814"/>
      <c r="T136" s="698" t="b" cm="1">
        <f t="array" ref="T136">T135</f>
        <v>1</v>
      </c>
      <c r="U136" s="1155"/>
      <c r="V136" s="1155"/>
      <c r="W136" s="1155"/>
      <c r="X136" s="1687"/>
      <c r="Y136" s="1155"/>
      <c r="Z136" s="1687"/>
      <c r="AA136" s="791"/>
      <c r="AB136" s="420" t="s">
        <v>1097</v>
      </c>
      <c r="AC136" s="422" t="s">
        <v>1098</v>
      </c>
      <c r="AD136" s="420" t="s">
        <v>1077</v>
      </c>
      <c r="AE136" s="1249"/>
      <c r="AF136" s="1249"/>
      <c r="AG136" s="1249"/>
      <c r="AH136" s="1249"/>
      <c r="AI136" s="230"/>
      <c r="AJ136" s="230"/>
      <c r="AK136" s="230"/>
      <c r="AL136" s="230"/>
      <c r="AM136" s="230"/>
      <c r="AN136" s="1249"/>
      <c r="AO136" s="1249"/>
      <c r="AP136" s="1249"/>
      <c r="AQ136" s="1249"/>
      <c r="AR136" s="1249"/>
      <c r="AS136" s="230"/>
      <c r="AT136" s="230"/>
      <c r="AU136" s="230"/>
      <c r="AV136" s="230"/>
      <c r="AW136" s="230"/>
      <c r="AX136" s="1249"/>
      <c r="AY136" s="1249"/>
      <c r="AZ136" s="1249"/>
      <c r="BA136" s="1249"/>
      <c r="BB136" s="1249"/>
      <c r="BC136" s="1290"/>
      <c r="BD136" s="791"/>
      <c r="BE136" s="791"/>
      <c r="BF136" s="970" t="s">
        <v>1099</v>
      </c>
    </row>
    <row r="137" spans="1:58" s="1229" customFormat="1" ht="14.25" customHeight="1">
      <c r="A137" s="1155"/>
      <c r="B137" s="783"/>
      <c r="C137" s="1155"/>
      <c r="D137" s="1155"/>
      <c r="E137" s="676">
        <v>15</v>
      </c>
      <c r="F137" s="779" t="str" cm="1">
        <f t="array" ref="F137">F136</f>
        <v>1</v>
      </c>
      <c r="G137" s="814"/>
      <c r="H137" s="814"/>
      <c r="I137" s="814"/>
      <c r="J137" s="814"/>
      <c r="K137" s="814"/>
      <c r="L137" s="814"/>
      <c r="M137" s="814"/>
      <c r="N137" s="814"/>
      <c r="O137" s="814"/>
      <c r="P137" s="814"/>
      <c r="Q137" s="784"/>
      <c r="R137" s="784"/>
      <c r="S137" s="814"/>
      <c r="T137" s="698" t="b" cm="1">
        <f t="array" ref="T137">T136</f>
        <v>1</v>
      </c>
      <c r="U137" s="1155"/>
      <c r="V137" s="1155"/>
      <c r="W137" s="1155"/>
      <c r="X137" s="1687"/>
      <c r="Y137" s="1155"/>
      <c r="Z137" s="1687"/>
      <c r="AA137" s="791"/>
      <c r="AB137" s="420" t="s">
        <v>1100</v>
      </c>
      <c r="AC137" s="421" t="s">
        <v>1101</v>
      </c>
      <c r="AD137" s="420" t="s">
        <v>1077</v>
      </c>
      <c r="AE137" s="1249"/>
      <c r="AF137" s="1249"/>
      <c r="AG137" s="1249"/>
      <c r="AH137" s="1249"/>
      <c r="AI137" s="230"/>
      <c r="AJ137" s="230"/>
      <c r="AK137" s="230"/>
      <c r="AL137" s="230"/>
      <c r="AM137" s="230"/>
      <c r="AN137" s="1249"/>
      <c r="AO137" s="1249"/>
      <c r="AP137" s="1249"/>
      <c r="AQ137" s="1249"/>
      <c r="AR137" s="1249"/>
      <c r="AS137" s="230"/>
      <c r="AT137" s="230"/>
      <c r="AU137" s="230"/>
      <c r="AV137" s="230"/>
      <c r="AW137" s="230"/>
      <c r="AX137" s="1249"/>
      <c r="AY137" s="1249"/>
      <c r="AZ137" s="1249"/>
      <c r="BA137" s="1249"/>
      <c r="BB137" s="1249"/>
      <c r="BC137" s="1290"/>
      <c r="BD137" s="791"/>
      <c r="BE137" s="791"/>
      <c r="BF137" s="970" t="s">
        <v>1102</v>
      </c>
    </row>
    <row r="138" spans="1:58" s="1229" customFormat="1" ht="14.25" customHeight="1">
      <c r="A138" s="1155"/>
      <c r="B138" s="783"/>
      <c r="C138" s="1155"/>
      <c r="D138" s="1155"/>
      <c r="E138" s="676">
        <v>15</v>
      </c>
      <c r="F138" s="779" t="str" cm="1">
        <f t="array" ref="F138">F137</f>
        <v>1</v>
      </c>
      <c r="G138" s="814"/>
      <c r="H138" s="814"/>
      <c r="I138" s="814"/>
      <c r="J138" s="814"/>
      <c r="K138" s="814"/>
      <c r="L138" s="814"/>
      <c r="M138" s="814"/>
      <c r="N138" s="814"/>
      <c r="O138" s="814"/>
      <c r="P138" s="814"/>
      <c r="Q138" s="784"/>
      <c r="R138" s="784"/>
      <c r="S138" s="814"/>
      <c r="T138" s="698" t="b" cm="1">
        <f t="array" ref="T138">T137</f>
        <v>1</v>
      </c>
      <c r="U138" s="1155"/>
      <c r="V138" s="1155"/>
      <c r="W138" s="1155"/>
      <c r="X138" s="1687"/>
      <c r="Y138" s="1155"/>
      <c r="Z138" s="1687"/>
      <c r="AA138" s="791"/>
      <c r="AB138" s="420" t="s">
        <v>1103</v>
      </c>
      <c r="AC138" s="421" t="s">
        <v>1104</v>
      </c>
      <c r="AD138" s="420" t="s">
        <v>1077</v>
      </c>
      <c r="AE138" s="1249"/>
      <c r="AF138" s="1249"/>
      <c r="AG138" s="1249"/>
      <c r="AH138" s="1249"/>
      <c r="AI138" s="230"/>
      <c r="AJ138" s="230"/>
      <c r="AK138" s="230"/>
      <c r="AL138" s="230"/>
      <c r="AM138" s="230"/>
      <c r="AN138" s="1249"/>
      <c r="AO138" s="1249"/>
      <c r="AP138" s="1249"/>
      <c r="AQ138" s="1249"/>
      <c r="AR138" s="1249"/>
      <c r="AS138" s="230"/>
      <c r="AT138" s="230"/>
      <c r="AU138" s="230"/>
      <c r="AV138" s="230"/>
      <c r="AW138" s="230"/>
      <c r="AX138" s="1249"/>
      <c r="AY138" s="1249"/>
      <c r="AZ138" s="1249"/>
      <c r="BA138" s="1249"/>
      <c r="BB138" s="1249"/>
      <c r="BC138" s="1290"/>
      <c r="BD138" s="791"/>
      <c r="BE138" s="791"/>
      <c r="BF138" s="970" t="s">
        <v>1105</v>
      </c>
    </row>
    <row r="139" spans="1:58" s="1229" customFormat="1" ht="14.25" customHeight="1">
      <c r="A139" s="1155"/>
      <c r="B139" s="783"/>
      <c r="C139" s="1155"/>
      <c r="D139" s="1155"/>
      <c r="E139" s="676">
        <v>15</v>
      </c>
      <c r="F139" s="779" t="str" cm="1">
        <f t="array" ref="F139">F138</f>
        <v>1</v>
      </c>
      <c r="G139" s="814"/>
      <c r="H139" s="814"/>
      <c r="I139" s="814"/>
      <c r="J139" s="814"/>
      <c r="K139" s="814"/>
      <c r="L139" s="814"/>
      <c r="M139" s="814"/>
      <c r="N139" s="814"/>
      <c r="O139" s="814"/>
      <c r="P139" s="814"/>
      <c r="Q139" s="784"/>
      <c r="R139" s="784"/>
      <c r="S139" s="814"/>
      <c r="T139" s="698" t="b" cm="1">
        <f t="array" ref="T139">T138</f>
        <v>1</v>
      </c>
      <c r="U139" s="1155"/>
      <c r="V139" s="1155"/>
      <c r="W139" s="1155"/>
      <c r="X139" s="1687"/>
      <c r="Y139" s="1155"/>
      <c r="Z139" s="1687"/>
      <c r="AA139" s="791"/>
      <c r="AB139" s="420" t="s">
        <v>1106</v>
      </c>
      <c r="AC139" s="421" t="s">
        <v>1107</v>
      </c>
      <c r="AD139" s="420" t="s">
        <v>1077</v>
      </c>
      <c r="AE139" s="1249"/>
      <c r="AF139" s="1249"/>
      <c r="AG139" s="1249"/>
      <c r="AH139" s="1249"/>
      <c r="AI139" s="230"/>
      <c r="AJ139" s="230"/>
      <c r="AK139" s="230"/>
      <c r="AL139" s="230"/>
      <c r="AM139" s="230"/>
      <c r="AN139" s="1249"/>
      <c r="AO139" s="1249"/>
      <c r="AP139" s="1249"/>
      <c r="AQ139" s="1249"/>
      <c r="AR139" s="1249"/>
      <c r="AS139" s="230"/>
      <c r="AT139" s="230"/>
      <c r="AU139" s="230"/>
      <c r="AV139" s="230"/>
      <c r="AW139" s="230"/>
      <c r="AX139" s="1249"/>
      <c r="AY139" s="1249"/>
      <c r="AZ139" s="1249"/>
      <c r="BA139" s="1249"/>
      <c r="BB139" s="1249"/>
      <c r="BC139" s="1290"/>
      <c r="BD139" s="791"/>
      <c r="BE139" s="791"/>
      <c r="BF139" s="970" t="s">
        <v>1108</v>
      </c>
    </row>
    <row r="140" spans="1:58" s="1229" customFormat="1" ht="14.25" customHeight="1">
      <c r="A140" s="1155"/>
      <c r="B140" s="783"/>
      <c r="C140" s="1155"/>
      <c r="D140" s="1155"/>
      <c r="E140" s="676">
        <v>15</v>
      </c>
      <c r="F140" s="779" t="str" cm="1">
        <f t="array" ref="F140">F139</f>
        <v>1</v>
      </c>
      <c r="G140" s="814"/>
      <c r="H140" s="814"/>
      <c r="I140" s="814"/>
      <c r="J140" s="814"/>
      <c r="K140" s="814"/>
      <c r="L140" s="814"/>
      <c r="M140" s="814"/>
      <c r="N140" s="814"/>
      <c r="O140" s="814"/>
      <c r="P140" s="814"/>
      <c r="Q140" s="784"/>
      <c r="R140" s="784"/>
      <c r="S140" s="814"/>
      <c r="T140" s="698" t="b" cm="1">
        <f t="array" ref="T140">T139</f>
        <v>1</v>
      </c>
      <c r="U140" s="1155"/>
      <c r="V140" s="1155"/>
      <c r="W140" s="1155"/>
      <c r="X140" s="1687"/>
      <c r="Y140" s="1155"/>
      <c r="Z140" s="1687"/>
      <c r="AA140" s="791"/>
      <c r="AB140" s="420" t="s">
        <v>1109</v>
      </c>
      <c r="AC140" s="421" t="s">
        <v>1110</v>
      </c>
      <c r="AD140" s="420" t="s">
        <v>1077</v>
      </c>
      <c r="AE140" s="1249"/>
      <c r="AF140" s="1249"/>
      <c r="AG140" s="1249"/>
      <c r="AH140" s="1249"/>
      <c r="AI140" s="230"/>
      <c r="AJ140" s="230"/>
      <c r="AK140" s="230"/>
      <c r="AL140" s="230"/>
      <c r="AM140" s="230"/>
      <c r="AN140" s="1249"/>
      <c r="AO140" s="1249"/>
      <c r="AP140" s="1249"/>
      <c r="AQ140" s="1249"/>
      <c r="AR140" s="1249"/>
      <c r="AS140" s="230"/>
      <c r="AT140" s="230"/>
      <c r="AU140" s="230"/>
      <c r="AV140" s="230"/>
      <c r="AW140" s="230"/>
      <c r="AX140" s="1249"/>
      <c r="AY140" s="1249"/>
      <c r="AZ140" s="1249"/>
      <c r="BA140" s="1249"/>
      <c r="BB140" s="1249"/>
      <c r="BC140" s="1290"/>
      <c r="BD140" s="791"/>
      <c r="BE140" s="791"/>
      <c r="BF140" s="970" t="s">
        <v>1111</v>
      </c>
    </row>
    <row r="141" spans="1:58" s="167" customFormat="1" ht="44.25" customHeight="1">
      <c r="E141" s="676">
        <v>45.6</v>
      </c>
      <c r="F141" s="779" t="str" cm="1">
        <f t="array" ref="F141">F140</f>
        <v>1</v>
      </c>
      <c r="T141" s="698" t="b" cm="1">
        <f t="array" ref="T141">T140</f>
        <v>1</v>
      </c>
      <c r="X141" s="1811"/>
      <c r="Z141" s="1811"/>
      <c r="AB141" s="227">
        <v>2</v>
      </c>
      <c r="AC141" s="228" t="s">
        <v>1112</v>
      </c>
      <c r="AD141" s="107" t="s">
        <v>839</v>
      </c>
      <c r="AE141" s="1320">
        <f t="shared" ref="AE141:BB141" si="40">SUM(AE142:AE145)+SUM(AE151:AE154)</f>
        <v>0</v>
      </c>
      <c r="AF141" s="1320">
        <f t="shared" si="40"/>
        <v>0</v>
      </c>
      <c r="AG141" s="1320">
        <f t="shared" si="40"/>
        <v>0</v>
      </c>
      <c r="AH141" s="1320">
        <f t="shared" si="40"/>
        <v>0</v>
      </c>
      <c r="AI141" s="242">
        <f t="shared" si="40"/>
        <v>0</v>
      </c>
      <c r="AJ141" s="242">
        <f t="shared" si="40"/>
        <v>0</v>
      </c>
      <c r="AK141" s="242">
        <f t="shared" si="40"/>
        <v>0</v>
      </c>
      <c r="AL141" s="242">
        <f t="shared" si="40"/>
        <v>0</v>
      </c>
      <c r="AM141" s="242">
        <f t="shared" si="40"/>
        <v>0</v>
      </c>
      <c r="AN141" s="1320">
        <f t="shared" si="40"/>
        <v>0</v>
      </c>
      <c r="AO141" s="1320">
        <f t="shared" si="40"/>
        <v>0</v>
      </c>
      <c r="AP141" s="1320">
        <f t="shared" si="40"/>
        <v>0</v>
      </c>
      <c r="AQ141" s="1320">
        <f t="shared" si="40"/>
        <v>0</v>
      </c>
      <c r="AR141" s="1320">
        <f t="shared" si="40"/>
        <v>0</v>
      </c>
      <c r="AS141" s="242">
        <f t="shared" si="40"/>
        <v>0</v>
      </c>
      <c r="AT141" s="242">
        <f t="shared" si="40"/>
        <v>0</v>
      </c>
      <c r="AU141" s="242">
        <f t="shared" si="40"/>
        <v>0</v>
      </c>
      <c r="AV141" s="242">
        <f t="shared" si="40"/>
        <v>0</v>
      </c>
      <c r="AW141" s="242">
        <f t="shared" si="40"/>
        <v>0</v>
      </c>
      <c r="AX141" s="1320">
        <f t="shared" si="40"/>
        <v>0</v>
      </c>
      <c r="AY141" s="1320">
        <f t="shared" si="40"/>
        <v>0</v>
      </c>
      <c r="AZ141" s="1320">
        <f t="shared" si="40"/>
        <v>0</v>
      </c>
      <c r="BA141" s="1320">
        <f t="shared" si="40"/>
        <v>0</v>
      </c>
      <c r="BB141" s="1320">
        <f t="shared" si="40"/>
        <v>0</v>
      </c>
      <c r="BC141" s="1290"/>
      <c r="BF141" s="970" t="s">
        <v>1113</v>
      </c>
    </row>
    <row r="142" spans="1:58" s="1229" customFormat="1" ht="14.25" customHeight="1">
      <c r="A142" s="1155"/>
      <c r="B142" s="783"/>
      <c r="C142" s="1155"/>
      <c r="D142" s="1155"/>
      <c r="E142" s="676">
        <v>15</v>
      </c>
      <c r="F142" s="779" t="str" cm="1">
        <f t="array" ref="F142">F141</f>
        <v>1</v>
      </c>
      <c r="G142" s="814"/>
      <c r="H142" s="814"/>
      <c r="I142" s="814"/>
      <c r="J142" s="814"/>
      <c r="K142" s="814"/>
      <c r="L142" s="814"/>
      <c r="M142" s="814"/>
      <c r="N142" s="814"/>
      <c r="O142" s="814"/>
      <c r="P142" s="814"/>
      <c r="Q142" s="784"/>
      <c r="R142" s="784"/>
      <c r="S142" s="814"/>
      <c r="T142" s="698" t="b" cm="1">
        <f t="array" ref="T142">T141</f>
        <v>1</v>
      </c>
      <c r="U142" s="1155"/>
      <c r="V142" s="1155"/>
      <c r="W142" s="1155"/>
      <c r="X142" s="1687"/>
      <c r="Y142" s="1155"/>
      <c r="Z142" s="1687"/>
      <c r="AA142" s="791"/>
      <c r="AB142" s="420" t="str">
        <f>AB141&amp;".1"</f>
        <v>2.1</v>
      </c>
      <c r="AC142" s="421" t="s">
        <v>1076</v>
      </c>
      <c r="AD142" s="420" t="s">
        <v>1077</v>
      </c>
      <c r="AE142" s="1249"/>
      <c r="AF142" s="1249"/>
      <c r="AG142" s="1249"/>
      <c r="AH142" s="1249"/>
      <c r="AI142" s="230"/>
      <c r="AJ142" s="230"/>
      <c r="AK142" s="230"/>
      <c r="AL142" s="230"/>
      <c r="AM142" s="230"/>
      <c r="AN142" s="1249"/>
      <c r="AO142" s="1249"/>
      <c r="AP142" s="1249"/>
      <c r="AQ142" s="1249"/>
      <c r="AR142" s="1249"/>
      <c r="AS142" s="230"/>
      <c r="AT142" s="230"/>
      <c r="AU142" s="230"/>
      <c r="AV142" s="230"/>
      <c r="AW142" s="230"/>
      <c r="AX142" s="1249"/>
      <c r="AY142" s="1249"/>
      <c r="AZ142" s="1249"/>
      <c r="BA142" s="1249"/>
      <c r="BB142" s="1249"/>
      <c r="BC142" s="1290"/>
      <c r="BD142" s="791"/>
      <c r="BE142" s="791"/>
      <c r="BF142" s="970" t="s">
        <v>1114</v>
      </c>
    </row>
    <row r="143" spans="1:58" s="1229" customFormat="1" ht="14.25" customHeight="1">
      <c r="A143" s="1155"/>
      <c r="B143" s="783"/>
      <c r="C143" s="1155"/>
      <c r="D143" s="1155"/>
      <c r="E143" s="676">
        <v>15</v>
      </c>
      <c r="F143" s="779" t="str" cm="1">
        <f t="array" ref="F143">F142</f>
        <v>1</v>
      </c>
      <c r="G143" s="814"/>
      <c r="H143" s="814"/>
      <c r="I143" s="814"/>
      <c r="J143" s="814"/>
      <c r="K143" s="814"/>
      <c r="L143" s="814"/>
      <c r="M143" s="814"/>
      <c r="N143" s="814"/>
      <c r="O143" s="814"/>
      <c r="P143" s="814"/>
      <c r="Q143" s="784"/>
      <c r="R143" s="784"/>
      <c r="S143" s="814"/>
      <c r="T143" s="698" t="b" cm="1">
        <f t="array" ref="T143">T142</f>
        <v>1</v>
      </c>
      <c r="U143" s="1155"/>
      <c r="V143" s="1155"/>
      <c r="W143" s="1155"/>
      <c r="X143" s="1687"/>
      <c r="Y143" s="1155"/>
      <c r="Z143" s="1687"/>
      <c r="AA143" s="791"/>
      <c r="AB143" s="420" t="str">
        <f>AB141&amp;".2"</f>
        <v>2.2</v>
      </c>
      <c r="AC143" s="421" t="s">
        <v>1079</v>
      </c>
      <c r="AD143" s="420" t="s">
        <v>1077</v>
      </c>
      <c r="AE143" s="1249"/>
      <c r="AF143" s="1249"/>
      <c r="AG143" s="1249"/>
      <c r="AH143" s="1249"/>
      <c r="AI143" s="230"/>
      <c r="AJ143" s="230"/>
      <c r="AK143" s="230"/>
      <c r="AL143" s="230"/>
      <c r="AM143" s="230"/>
      <c r="AN143" s="1249"/>
      <c r="AO143" s="1249"/>
      <c r="AP143" s="1249"/>
      <c r="AQ143" s="1249"/>
      <c r="AR143" s="1249"/>
      <c r="AS143" s="230"/>
      <c r="AT143" s="230"/>
      <c r="AU143" s="230"/>
      <c r="AV143" s="230"/>
      <c r="AW143" s="230"/>
      <c r="AX143" s="1249"/>
      <c r="AY143" s="1249"/>
      <c r="AZ143" s="1249"/>
      <c r="BA143" s="1249"/>
      <c r="BB143" s="1249"/>
      <c r="BC143" s="1290"/>
      <c r="BD143" s="791"/>
      <c r="BE143" s="791"/>
      <c r="BF143" s="970" t="s">
        <v>1115</v>
      </c>
    </row>
    <row r="144" spans="1:58" s="1229" customFormat="1" ht="14.25" customHeight="1">
      <c r="A144" s="1155"/>
      <c r="B144" s="783"/>
      <c r="C144" s="1155"/>
      <c r="D144" s="1155"/>
      <c r="E144" s="676">
        <v>15</v>
      </c>
      <c r="F144" s="779" t="str" cm="1">
        <f t="array" ref="F144">F143</f>
        <v>1</v>
      </c>
      <c r="G144" s="814"/>
      <c r="H144" s="814"/>
      <c r="I144" s="814"/>
      <c r="J144" s="814"/>
      <c r="K144" s="814"/>
      <c r="L144" s="814"/>
      <c r="M144" s="814"/>
      <c r="N144" s="814"/>
      <c r="O144" s="814"/>
      <c r="P144" s="814"/>
      <c r="Q144" s="784"/>
      <c r="R144" s="784"/>
      <c r="S144" s="814"/>
      <c r="T144" s="698" t="b" cm="1">
        <f t="array" ref="T144">T143</f>
        <v>1</v>
      </c>
      <c r="U144" s="1155"/>
      <c r="V144" s="1155"/>
      <c r="W144" s="1155"/>
      <c r="X144" s="1687"/>
      <c r="Y144" s="1155"/>
      <c r="Z144" s="1687"/>
      <c r="AA144" s="791"/>
      <c r="AB144" s="420" t="str">
        <f>AB141&amp;".3"</f>
        <v>2.3</v>
      </c>
      <c r="AC144" s="421" t="s">
        <v>1081</v>
      </c>
      <c r="AD144" s="420" t="s">
        <v>1077</v>
      </c>
      <c r="AE144" s="1249"/>
      <c r="AF144" s="1249"/>
      <c r="AG144" s="1249"/>
      <c r="AH144" s="1249"/>
      <c r="AI144" s="230"/>
      <c r="AJ144" s="230"/>
      <c r="AK144" s="230"/>
      <c r="AL144" s="230"/>
      <c r="AM144" s="230"/>
      <c r="AN144" s="1249"/>
      <c r="AO144" s="1249"/>
      <c r="AP144" s="1249"/>
      <c r="AQ144" s="1249"/>
      <c r="AR144" s="1249"/>
      <c r="AS144" s="230"/>
      <c r="AT144" s="230"/>
      <c r="AU144" s="230"/>
      <c r="AV144" s="230"/>
      <c r="AW144" s="230"/>
      <c r="AX144" s="1249"/>
      <c r="AY144" s="1249"/>
      <c r="AZ144" s="1249"/>
      <c r="BA144" s="1249"/>
      <c r="BB144" s="1249"/>
      <c r="BC144" s="1290"/>
      <c r="BD144" s="791"/>
      <c r="BE144" s="791"/>
      <c r="BF144" s="970" t="s">
        <v>1116</v>
      </c>
    </row>
    <row r="145" spans="1:58" s="1229" customFormat="1" ht="14.25" customHeight="1">
      <c r="A145" s="1155"/>
      <c r="B145" s="783"/>
      <c r="C145" s="1155"/>
      <c r="D145" s="1155"/>
      <c r="E145" s="676">
        <v>15</v>
      </c>
      <c r="F145" s="779" t="str" cm="1">
        <f t="array" ref="F145">F144</f>
        <v>1</v>
      </c>
      <c r="G145" s="814"/>
      <c r="H145" s="814"/>
      <c r="I145" s="814"/>
      <c r="J145" s="814"/>
      <c r="K145" s="814"/>
      <c r="L145" s="814"/>
      <c r="M145" s="814"/>
      <c r="N145" s="814"/>
      <c r="O145" s="814"/>
      <c r="P145" s="814"/>
      <c r="Q145" s="784"/>
      <c r="R145" s="784"/>
      <c r="S145" s="814"/>
      <c r="T145" s="698" t="b" cm="1">
        <f t="array" ref="T145">T144</f>
        <v>1</v>
      </c>
      <c r="U145" s="1155"/>
      <c r="V145" s="1155"/>
      <c r="W145" s="1155"/>
      <c r="X145" s="1687"/>
      <c r="Y145" s="1155"/>
      <c r="Z145" s="1687"/>
      <c r="AA145" s="791"/>
      <c r="AB145" s="420" t="str">
        <f>AB141&amp;".4"</f>
        <v>2.4</v>
      </c>
      <c r="AC145" s="421" t="s">
        <v>1083</v>
      </c>
      <c r="AD145" s="420" t="s">
        <v>1077</v>
      </c>
      <c r="AE145" s="1324">
        <f t="shared" ref="AE145:BB145" si="41">SUM(AE146:AE150)</f>
        <v>0</v>
      </c>
      <c r="AF145" s="1324">
        <f t="shared" si="41"/>
        <v>0</v>
      </c>
      <c r="AG145" s="1324">
        <f t="shared" si="41"/>
        <v>0</v>
      </c>
      <c r="AH145" s="1324">
        <f t="shared" si="41"/>
        <v>0</v>
      </c>
      <c r="AI145" s="415">
        <f t="shared" si="41"/>
        <v>0</v>
      </c>
      <c r="AJ145" s="415">
        <f t="shared" si="41"/>
        <v>0</v>
      </c>
      <c r="AK145" s="415">
        <f t="shared" si="41"/>
        <v>0</v>
      </c>
      <c r="AL145" s="415">
        <f t="shared" si="41"/>
        <v>0</v>
      </c>
      <c r="AM145" s="415">
        <f t="shared" si="41"/>
        <v>0</v>
      </c>
      <c r="AN145" s="1324">
        <f t="shared" si="41"/>
        <v>0</v>
      </c>
      <c r="AO145" s="1324">
        <f t="shared" si="41"/>
        <v>0</v>
      </c>
      <c r="AP145" s="1324">
        <f t="shared" si="41"/>
        <v>0</v>
      </c>
      <c r="AQ145" s="1324">
        <f t="shared" si="41"/>
        <v>0</v>
      </c>
      <c r="AR145" s="1324">
        <f t="shared" si="41"/>
        <v>0</v>
      </c>
      <c r="AS145" s="415">
        <f t="shared" si="41"/>
        <v>0</v>
      </c>
      <c r="AT145" s="415">
        <f t="shared" si="41"/>
        <v>0</v>
      </c>
      <c r="AU145" s="415">
        <f t="shared" si="41"/>
        <v>0</v>
      </c>
      <c r="AV145" s="415">
        <f t="shared" si="41"/>
        <v>0</v>
      </c>
      <c r="AW145" s="415">
        <f t="shared" si="41"/>
        <v>0</v>
      </c>
      <c r="AX145" s="1324">
        <f t="shared" si="41"/>
        <v>0</v>
      </c>
      <c r="AY145" s="1324">
        <f t="shared" si="41"/>
        <v>0</v>
      </c>
      <c r="AZ145" s="1324">
        <f t="shared" si="41"/>
        <v>0</v>
      </c>
      <c r="BA145" s="1324">
        <f t="shared" si="41"/>
        <v>0</v>
      </c>
      <c r="BB145" s="1324">
        <f t="shared" si="41"/>
        <v>0</v>
      </c>
      <c r="BC145" s="1290"/>
      <c r="BD145" s="791"/>
      <c r="BE145" s="791"/>
      <c r="BF145" s="970" t="s">
        <v>1117</v>
      </c>
    </row>
    <row r="146" spans="1:58" s="1229" customFormat="1" ht="14.25" customHeight="1">
      <c r="A146" s="1155"/>
      <c r="B146" s="783"/>
      <c r="C146" s="1155"/>
      <c r="D146" s="1155"/>
      <c r="E146" s="676">
        <v>15</v>
      </c>
      <c r="F146" s="779" t="str" cm="1">
        <f t="array" ref="F146">F145</f>
        <v>1</v>
      </c>
      <c r="G146" s="814"/>
      <c r="H146" s="814"/>
      <c r="I146" s="814"/>
      <c r="J146" s="814"/>
      <c r="K146" s="814"/>
      <c r="L146" s="814"/>
      <c r="M146" s="814"/>
      <c r="N146" s="814"/>
      <c r="O146" s="814"/>
      <c r="P146" s="814"/>
      <c r="Q146" s="784"/>
      <c r="R146" s="784"/>
      <c r="S146" s="814"/>
      <c r="T146" s="698" t="b" cm="1">
        <f t="array" ref="T146">T145</f>
        <v>1</v>
      </c>
      <c r="U146" s="1155"/>
      <c r="V146" s="1155"/>
      <c r="W146" s="1155"/>
      <c r="X146" s="1687"/>
      <c r="Y146" s="1155"/>
      <c r="Z146" s="1687"/>
      <c r="AA146" s="791"/>
      <c r="AB146" s="420" t="str">
        <f>AB145&amp;".1"</f>
        <v>2.4.1</v>
      </c>
      <c r="AC146" s="422" t="s">
        <v>1086</v>
      </c>
      <c r="AD146" s="420" t="s">
        <v>1077</v>
      </c>
      <c r="AE146" s="1249"/>
      <c r="AF146" s="1249"/>
      <c r="AG146" s="1249"/>
      <c r="AH146" s="1249"/>
      <c r="AI146" s="230"/>
      <c r="AJ146" s="230"/>
      <c r="AK146" s="230"/>
      <c r="AL146" s="230"/>
      <c r="AM146" s="230"/>
      <c r="AN146" s="1249"/>
      <c r="AO146" s="1249"/>
      <c r="AP146" s="1249"/>
      <c r="AQ146" s="1249"/>
      <c r="AR146" s="1249"/>
      <c r="AS146" s="230"/>
      <c r="AT146" s="230"/>
      <c r="AU146" s="230"/>
      <c r="AV146" s="230"/>
      <c r="AW146" s="230"/>
      <c r="AX146" s="1249"/>
      <c r="AY146" s="1249"/>
      <c r="AZ146" s="1249"/>
      <c r="BA146" s="1249"/>
      <c r="BB146" s="1249"/>
      <c r="BC146" s="1290"/>
      <c r="BD146" s="791"/>
      <c r="BE146" s="791"/>
      <c r="BF146" s="970" t="s">
        <v>1118</v>
      </c>
    </row>
    <row r="147" spans="1:58" s="1229" customFormat="1" ht="14.25" customHeight="1">
      <c r="A147" s="1155"/>
      <c r="B147" s="783"/>
      <c r="C147" s="1155"/>
      <c r="D147" s="1155"/>
      <c r="E147" s="676">
        <v>15</v>
      </c>
      <c r="F147" s="779" t="str" cm="1">
        <f t="array" ref="F147">F146</f>
        <v>1</v>
      </c>
      <c r="G147" s="814"/>
      <c r="H147" s="814"/>
      <c r="I147" s="814"/>
      <c r="J147" s="814"/>
      <c r="K147" s="814"/>
      <c r="L147" s="814"/>
      <c r="M147" s="814"/>
      <c r="N147" s="814"/>
      <c r="O147" s="814"/>
      <c r="P147" s="814"/>
      <c r="Q147" s="784"/>
      <c r="R147" s="784"/>
      <c r="S147" s="814"/>
      <c r="T147" s="698" t="b" cm="1">
        <f t="array" ref="T147">T146</f>
        <v>1</v>
      </c>
      <c r="U147" s="1155"/>
      <c r="V147" s="1155"/>
      <c r="W147" s="1155"/>
      <c r="X147" s="1687"/>
      <c r="Y147" s="1155"/>
      <c r="Z147" s="1687"/>
      <c r="AA147" s="791"/>
      <c r="AB147" s="420" t="str">
        <f>AB145&amp;".2"</f>
        <v>2.4.2</v>
      </c>
      <c r="AC147" s="422" t="s">
        <v>1089</v>
      </c>
      <c r="AD147" s="420" t="s">
        <v>1077</v>
      </c>
      <c r="AE147" s="1249"/>
      <c r="AF147" s="1249"/>
      <c r="AG147" s="1249"/>
      <c r="AH147" s="1249"/>
      <c r="AI147" s="230"/>
      <c r="AJ147" s="230"/>
      <c r="AK147" s="230"/>
      <c r="AL147" s="230"/>
      <c r="AM147" s="230"/>
      <c r="AN147" s="1249"/>
      <c r="AO147" s="1249"/>
      <c r="AP147" s="1249"/>
      <c r="AQ147" s="1249"/>
      <c r="AR147" s="1249"/>
      <c r="AS147" s="230"/>
      <c r="AT147" s="230"/>
      <c r="AU147" s="230"/>
      <c r="AV147" s="230"/>
      <c r="AW147" s="230"/>
      <c r="AX147" s="1249"/>
      <c r="AY147" s="1249"/>
      <c r="AZ147" s="1249"/>
      <c r="BA147" s="1249"/>
      <c r="BB147" s="1249"/>
      <c r="BC147" s="1290"/>
      <c r="BD147" s="791"/>
      <c r="BE147" s="791"/>
      <c r="BF147" s="970" t="s">
        <v>1119</v>
      </c>
    </row>
    <row r="148" spans="1:58" s="1229" customFormat="1" ht="14.25" customHeight="1">
      <c r="A148" s="1155"/>
      <c r="B148" s="783"/>
      <c r="C148" s="1155"/>
      <c r="D148" s="1155"/>
      <c r="E148" s="676">
        <v>15</v>
      </c>
      <c r="F148" s="779" t="str" cm="1">
        <f t="array" ref="F148">F147</f>
        <v>1</v>
      </c>
      <c r="G148" s="814"/>
      <c r="H148" s="814"/>
      <c r="I148" s="814"/>
      <c r="J148" s="814"/>
      <c r="K148" s="814"/>
      <c r="L148" s="814"/>
      <c r="M148" s="814"/>
      <c r="N148" s="814"/>
      <c r="O148" s="814"/>
      <c r="P148" s="814"/>
      <c r="Q148" s="784"/>
      <c r="R148" s="784"/>
      <c r="S148" s="814"/>
      <c r="T148" s="698" t="b" cm="1">
        <f t="array" ref="T148">T147</f>
        <v>1</v>
      </c>
      <c r="U148" s="1155"/>
      <c r="V148" s="1155"/>
      <c r="W148" s="1155"/>
      <c r="X148" s="1687"/>
      <c r="Y148" s="1155"/>
      <c r="Z148" s="1687"/>
      <c r="AA148" s="791"/>
      <c r="AB148" s="420" t="str">
        <f>AB145&amp;".3"</f>
        <v>2.4.3</v>
      </c>
      <c r="AC148" s="422" t="s">
        <v>1092</v>
      </c>
      <c r="AD148" s="420" t="s">
        <v>1077</v>
      </c>
      <c r="AE148" s="1249"/>
      <c r="AF148" s="1249"/>
      <c r="AG148" s="1249"/>
      <c r="AH148" s="1249"/>
      <c r="AI148" s="230"/>
      <c r="AJ148" s="230"/>
      <c r="AK148" s="230"/>
      <c r="AL148" s="230"/>
      <c r="AM148" s="230"/>
      <c r="AN148" s="1249"/>
      <c r="AO148" s="1249"/>
      <c r="AP148" s="1249"/>
      <c r="AQ148" s="1249"/>
      <c r="AR148" s="1249"/>
      <c r="AS148" s="230"/>
      <c r="AT148" s="230"/>
      <c r="AU148" s="230"/>
      <c r="AV148" s="230"/>
      <c r="AW148" s="230"/>
      <c r="AX148" s="1249"/>
      <c r="AY148" s="1249"/>
      <c r="AZ148" s="1249"/>
      <c r="BA148" s="1249"/>
      <c r="BB148" s="1249"/>
      <c r="BC148" s="1290"/>
      <c r="BD148" s="791"/>
      <c r="BE148" s="791"/>
      <c r="BF148" s="970" t="s">
        <v>1120</v>
      </c>
    </row>
    <row r="149" spans="1:58" s="1229" customFormat="1" ht="14.25" customHeight="1">
      <c r="A149" s="1155"/>
      <c r="B149" s="783"/>
      <c r="C149" s="1155"/>
      <c r="D149" s="1155"/>
      <c r="E149" s="676">
        <v>15</v>
      </c>
      <c r="F149" s="779" t="str" cm="1">
        <f t="array" ref="F149">F148</f>
        <v>1</v>
      </c>
      <c r="G149" s="814"/>
      <c r="H149" s="814"/>
      <c r="I149" s="814"/>
      <c r="J149" s="814"/>
      <c r="K149" s="814"/>
      <c r="L149" s="814"/>
      <c r="M149" s="814"/>
      <c r="N149" s="814"/>
      <c r="O149" s="814"/>
      <c r="P149" s="814"/>
      <c r="Q149" s="784"/>
      <c r="R149" s="784"/>
      <c r="S149" s="814"/>
      <c r="T149" s="698" t="b" cm="1">
        <f t="array" ref="T149">T148</f>
        <v>1</v>
      </c>
      <c r="U149" s="1155"/>
      <c r="V149" s="1155"/>
      <c r="W149" s="1155"/>
      <c r="X149" s="1687"/>
      <c r="Y149" s="1155"/>
      <c r="Z149" s="1687"/>
      <c r="AA149" s="791"/>
      <c r="AB149" s="420" t="str">
        <f>AB145&amp;".4"</f>
        <v>2.4.4</v>
      </c>
      <c r="AC149" s="422" t="s">
        <v>1095</v>
      </c>
      <c r="AD149" s="420" t="s">
        <v>1077</v>
      </c>
      <c r="AE149" s="1249"/>
      <c r="AF149" s="1249"/>
      <c r="AG149" s="1249"/>
      <c r="AH149" s="1249"/>
      <c r="AI149" s="230"/>
      <c r="AJ149" s="230"/>
      <c r="AK149" s="230"/>
      <c r="AL149" s="230"/>
      <c r="AM149" s="230"/>
      <c r="AN149" s="1249"/>
      <c r="AO149" s="1249"/>
      <c r="AP149" s="1249"/>
      <c r="AQ149" s="1249"/>
      <c r="AR149" s="1249"/>
      <c r="AS149" s="230"/>
      <c r="AT149" s="230"/>
      <c r="AU149" s="230"/>
      <c r="AV149" s="230"/>
      <c r="AW149" s="230"/>
      <c r="AX149" s="1249"/>
      <c r="AY149" s="1249"/>
      <c r="AZ149" s="1249"/>
      <c r="BA149" s="1249"/>
      <c r="BB149" s="1249"/>
      <c r="BC149" s="1290"/>
      <c r="BD149" s="791"/>
      <c r="BE149" s="791"/>
      <c r="BF149" s="970" t="s">
        <v>1121</v>
      </c>
    </row>
    <row r="150" spans="1:58" s="1229" customFormat="1" ht="14.25" customHeight="1">
      <c r="A150" s="1155"/>
      <c r="B150" s="783"/>
      <c r="C150" s="1155"/>
      <c r="D150" s="1155"/>
      <c r="E150" s="676">
        <v>15</v>
      </c>
      <c r="F150" s="779" t="str" cm="1">
        <f t="array" ref="F150">F149</f>
        <v>1</v>
      </c>
      <c r="G150" s="814"/>
      <c r="H150" s="814"/>
      <c r="I150" s="814"/>
      <c r="J150" s="814"/>
      <c r="K150" s="814"/>
      <c r="L150" s="814"/>
      <c r="M150" s="814"/>
      <c r="N150" s="814"/>
      <c r="O150" s="814"/>
      <c r="P150" s="814"/>
      <c r="Q150" s="784"/>
      <c r="R150" s="784"/>
      <c r="S150" s="814"/>
      <c r="T150" s="698" t="b" cm="1">
        <f t="array" ref="T150">T149</f>
        <v>1</v>
      </c>
      <c r="U150" s="1155"/>
      <c r="V150" s="1155"/>
      <c r="W150" s="1155"/>
      <c r="X150" s="1687"/>
      <c r="Y150" s="1155"/>
      <c r="Z150" s="1687"/>
      <c r="AA150" s="791"/>
      <c r="AB150" s="420" t="str">
        <f>AB145&amp;".5"</f>
        <v>2.4.5</v>
      </c>
      <c r="AC150" s="422" t="s">
        <v>1098</v>
      </c>
      <c r="AD150" s="420" t="s">
        <v>1077</v>
      </c>
      <c r="AE150" s="1249"/>
      <c r="AF150" s="1249"/>
      <c r="AG150" s="1249"/>
      <c r="AH150" s="1249"/>
      <c r="AI150" s="230"/>
      <c r="AJ150" s="230"/>
      <c r="AK150" s="230"/>
      <c r="AL150" s="230"/>
      <c r="AM150" s="230"/>
      <c r="AN150" s="1249"/>
      <c r="AO150" s="1249"/>
      <c r="AP150" s="1249"/>
      <c r="AQ150" s="1249"/>
      <c r="AR150" s="1249"/>
      <c r="AS150" s="230"/>
      <c r="AT150" s="230"/>
      <c r="AU150" s="230"/>
      <c r="AV150" s="230"/>
      <c r="AW150" s="230"/>
      <c r="AX150" s="1249"/>
      <c r="AY150" s="1249"/>
      <c r="AZ150" s="1249"/>
      <c r="BA150" s="1249"/>
      <c r="BB150" s="1249"/>
      <c r="BC150" s="1290"/>
      <c r="BD150" s="791"/>
      <c r="BE150" s="791"/>
      <c r="BF150" s="970" t="s">
        <v>1122</v>
      </c>
    </row>
    <row r="151" spans="1:58" s="1229" customFormat="1" ht="14.25" customHeight="1">
      <c r="A151" s="1155"/>
      <c r="B151" s="783"/>
      <c r="C151" s="1155"/>
      <c r="D151" s="1155"/>
      <c r="E151" s="676">
        <v>15</v>
      </c>
      <c r="F151" s="779" t="str" cm="1">
        <f t="array" ref="F151">F150</f>
        <v>1</v>
      </c>
      <c r="G151" s="814"/>
      <c r="H151" s="814"/>
      <c r="I151" s="814"/>
      <c r="J151" s="814"/>
      <c r="K151" s="814"/>
      <c r="L151" s="814"/>
      <c r="M151" s="814"/>
      <c r="N151" s="814"/>
      <c r="O151" s="814"/>
      <c r="P151" s="814"/>
      <c r="Q151" s="784"/>
      <c r="R151" s="784"/>
      <c r="S151" s="814"/>
      <c r="T151" s="698" t="b" cm="1">
        <f t="array" ref="T151">T150</f>
        <v>1</v>
      </c>
      <c r="U151" s="1155"/>
      <c r="V151" s="1155"/>
      <c r="W151" s="1155"/>
      <c r="X151" s="1687"/>
      <c r="Y151" s="1155"/>
      <c r="Z151" s="1687"/>
      <c r="AA151" s="791"/>
      <c r="AB151" s="420" t="str">
        <f>AB141&amp;".5"</f>
        <v>2.5</v>
      </c>
      <c r="AC151" s="421" t="s">
        <v>1101</v>
      </c>
      <c r="AD151" s="420" t="s">
        <v>1077</v>
      </c>
      <c r="AE151" s="1249"/>
      <c r="AF151" s="1249"/>
      <c r="AG151" s="1249"/>
      <c r="AH151" s="1249"/>
      <c r="AI151" s="230"/>
      <c r="AJ151" s="230"/>
      <c r="AK151" s="230"/>
      <c r="AL151" s="230"/>
      <c r="AM151" s="230"/>
      <c r="AN151" s="1249"/>
      <c r="AO151" s="1249"/>
      <c r="AP151" s="1249"/>
      <c r="AQ151" s="1249"/>
      <c r="AR151" s="1249"/>
      <c r="AS151" s="230"/>
      <c r="AT151" s="230"/>
      <c r="AU151" s="230"/>
      <c r="AV151" s="230"/>
      <c r="AW151" s="230"/>
      <c r="AX151" s="1249"/>
      <c r="AY151" s="1249"/>
      <c r="AZ151" s="1249"/>
      <c r="BA151" s="1249"/>
      <c r="BB151" s="1249"/>
      <c r="BC151" s="1290"/>
      <c r="BD151" s="791"/>
      <c r="BE151" s="791"/>
      <c r="BF151" s="970" t="s">
        <v>1123</v>
      </c>
    </row>
    <row r="152" spans="1:58" s="1229" customFormat="1" ht="14.25" customHeight="1">
      <c r="A152" s="1155"/>
      <c r="B152" s="783"/>
      <c r="C152" s="1155"/>
      <c r="D152" s="1155"/>
      <c r="E152" s="676">
        <v>15</v>
      </c>
      <c r="F152" s="779" t="str" cm="1">
        <f t="array" ref="F152">F151</f>
        <v>1</v>
      </c>
      <c r="G152" s="814"/>
      <c r="H152" s="814"/>
      <c r="I152" s="814"/>
      <c r="J152" s="814"/>
      <c r="K152" s="814"/>
      <c r="L152" s="814"/>
      <c r="M152" s="814"/>
      <c r="N152" s="814"/>
      <c r="O152" s="814"/>
      <c r="P152" s="814"/>
      <c r="Q152" s="784"/>
      <c r="R152" s="784"/>
      <c r="S152" s="814"/>
      <c r="T152" s="698" t="b" cm="1">
        <f t="array" ref="T152">T151</f>
        <v>1</v>
      </c>
      <c r="U152" s="1155"/>
      <c r="V152" s="1155"/>
      <c r="W152" s="1155"/>
      <c r="X152" s="1687"/>
      <c r="Y152" s="1155"/>
      <c r="Z152" s="1687"/>
      <c r="AA152" s="791"/>
      <c r="AB152" s="420" t="str">
        <f>AB141&amp;".6"</f>
        <v>2.6</v>
      </c>
      <c r="AC152" s="421" t="s">
        <v>1104</v>
      </c>
      <c r="AD152" s="420" t="s">
        <v>1077</v>
      </c>
      <c r="AE152" s="1249"/>
      <c r="AF152" s="1249"/>
      <c r="AG152" s="1249"/>
      <c r="AH152" s="1249"/>
      <c r="AI152" s="230"/>
      <c r="AJ152" s="230"/>
      <c r="AK152" s="230"/>
      <c r="AL152" s="230"/>
      <c r="AM152" s="230"/>
      <c r="AN152" s="1249"/>
      <c r="AO152" s="1249"/>
      <c r="AP152" s="1249"/>
      <c r="AQ152" s="1249"/>
      <c r="AR152" s="1249"/>
      <c r="AS152" s="230"/>
      <c r="AT152" s="230"/>
      <c r="AU152" s="230"/>
      <c r="AV152" s="230"/>
      <c r="AW152" s="230"/>
      <c r="AX152" s="1249"/>
      <c r="AY152" s="1249"/>
      <c r="AZ152" s="1249"/>
      <c r="BA152" s="1249"/>
      <c r="BB152" s="1249"/>
      <c r="BC152" s="1290"/>
      <c r="BD152" s="791"/>
      <c r="BE152" s="791"/>
      <c r="BF152" s="970" t="s">
        <v>1124</v>
      </c>
    </row>
    <row r="153" spans="1:58" s="1229" customFormat="1" ht="14.25" customHeight="1">
      <c r="A153" s="1155"/>
      <c r="B153" s="783"/>
      <c r="C153" s="1155"/>
      <c r="D153" s="1155"/>
      <c r="E153" s="676">
        <v>15</v>
      </c>
      <c r="F153" s="779" t="str" cm="1">
        <f t="array" ref="F153">F152</f>
        <v>1</v>
      </c>
      <c r="G153" s="814"/>
      <c r="H153" s="814"/>
      <c r="I153" s="814"/>
      <c r="J153" s="814"/>
      <c r="K153" s="814"/>
      <c r="L153" s="814"/>
      <c r="M153" s="814"/>
      <c r="N153" s="814"/>
      <c r="O153" s="814"/>
      <c r="P153" s="814"/>
      <c r="Q153" s="784"/>
      <c r="R153" s="784"/>
      <c r="S153" s="814"/>
      <c r="T153" s="698" t="b" cm="1">
        <f t="array" ref="T153">T152</f>
        <v>1</v>
      </c>
      <c r="U153" s="1155"/>
      <c r="V153" s="1155"/>
      <c r="W153" s="1155"/>
      <c r="X153" s="1687"/>
      <c r="Y153" s="1155"/>
      <c r="Z153" s="1687"/>
      <c r="AA153" s="791"/>
      <c r="AB153" s="420" t="str">
        <f>AB141&amp;".7"</f>
        <v>2.7</v>
      </c>
      <c r="AC153" s="421" t="s">
        <v>1107</v>
      </c>
      <c r="AD153" s="420" t="s">
        <v>1077</v>
      </c>
      <c r="AE153" s="1249"/>
      <c r="AF153" s="1249"/>
      <c r="AG153" s="1249"/>
      <c r="AH153" s="1249"/>
      <c r="AI153" s="230"/>
      <c r="AJ153" s="230"/>
      <c r="AK153" s="230"/>
      <c r="AL153" s="230"/>
      <c r="AM153" s="230"/>
      <c r="AN153" s="1249"/>
      <c r="AO153" s="1249"/>
      <c r="AP153" s="1249"/>
      <c r="AQ153" s="1249"/>
      <c r="AR153" s="1249"/>
      <c r="AS153" s="230"/>
      <c r="AT153" s="230"/>
      <c r="AU153" s="230"/>
      <c r="AV153" s="230"/>
      <c r="AW153" s="230"/>
      <c r="AX153" s="1249"/>
      <c r="AY153" s="1249"/>
      <c r="AZ153" s="1249"/>
      <c r="BA153" s="1249"/>
      <c r="BB153" s="1249"/>
      <c r="BC153" s="1290"/>
      <c r="BD153" s="791"/>
      <c r="BE153" s="791"/>
      <c r="BF153" s="970" t="s">
        <v>1125</v>
      </c>
    </row>
    <row r="154" spans="1:58" s="1229" customFormat="1" ht="14.25" customHeight="1">
      <c r="A154" s="1155"/>
      <c r="B154" s="783"/>
      <c r="C154" s="1155"/>
      <c r="D154" s="1155"/>
      <c r="E154" s="676">
        <v>15</v>
      </c>
      <c r="F154" s="779" t="str" cm="1">
        <f t="array" ref="F154">F153</f>
        <v>1</v>
      </c>
      <c r="G154" s="814"/>
      <c r="H154" s="814"/>
      <c r="I154" s="814"/>
      <c r="J154" s="814"/>
      <c r="K154" s="814"/>
      <c r="L154" s="814"/>
      <c r="M154" s="814"/>
      <c r="N154" s="814"/>
      <c r="O154" s="814"/>
      <c r="P154" s="814"/>
      <c r="Q154" s="784"/>
      <c r="R154" s="784"/>
      <c r="S154" s="814"/>
      <c r="T154" s="698" t="b" cm="1">
        <f t="array" ref="T154">T153</f>
        <v>1</v>
      </c>
      <c r="U154" s="1155"/>
      <c r="V154" s="1155"/>
      <c r="W154" s="1155"/>
      <c r="X154" s="1687"/>
      <c r="Y154" s="1155"/>
      <c r="Z154" s="1687"/>
      <c r="AA154" s="791"/>
      <c r="AB154" s="420" t="str">
        <f>AB141&amp;".8"</f>
        <v>2.8</v>
      </c>
      <c r="AC154" s="421" t="s">
        <v>1110</v>
      </c>
      <c r="AD154" s="420" t="s">
        <v>1077</v>
      </c>
      <c r="AE154" s="1249"/>
      <c r="AF154" s="1249"/>
      <c r="AG154" s="1249"/>
      <c r="AH154" s="1249"/>
      <c r="AI154" s="230"/>
      <c r="AJ154" s="230"/>
      <c r="AK154" s="230"/>
      <c r="AL154" s="230"/>
      <c r="AM154" s="230"/>
      <c r="AN154" s="1249"/>
      <c r="AO154" s="1249"/>
      <c r="AP154" s="1249"/>
      <c r="AQ154" s="1249"/>
      <c r="AR154" s="1249"/>
      <c r="AS154" s="230"/>
      <c r="AT154" s="230"/>
      <c r="AU154" s="230"/>
      <c r="AV154" s="230"/>
      <c r="AW154" s="230"/>
      <c r="AX154" s="1249"/>
      <c r="AY154" s="1249"/>
      <c r="AZ154" s="1249"/>
      <c r="BA154" s="1249"/>
      <c r="BB154" s="1249"/>
      <c r="BC154" s="1290"/>
      <c r="BD154" s="791"/>
      <c r="BE154" s="791"/>
      <c r="BF154" s="970" t="s">
        <v>1126</v>
      </c>
    </row>
    <row r="155" spans="1:58" s="167" customFormat="1" ht="14.25" customHeight="1">
      <c r="E155" s="676">
        <v>15</v>
      </c>
      <c r="F155" s="779" t="str" cm="1">
        <f t="array" ref="F155">F154</f>
        <v>1</v>
      </c>
      <c r="T155" s="698" t="b" cm="1">
        <f t="array" ref="T155">T154</f>
        <v>1</v>
      </c>
      <c r="X155" s="1811"/>
      <c r="Z155" s="1811"/>
      <c r="AB155" s="227">
        <v>3</v>
      </c>
      <c r="AC155" s="228" t="s">
        <v>1127</v>
      </c>
      <c r="AD155" s="107" t="s">
        <v>839</v>
      </c>
      <c r="AE155" s="1320">
        <f t="shared" ref="AE155:BB155" si="42">SUM(AE156:AE159)+SUM(AE165:AE168)</f>
        <v>0</v>
      </c>
      <c r="AF155" s="1320">
        <f t="shared" si="42"/>
        <v>0</v>
      </c>
      <c r="AG155" s="1320">
        <f t="shared" si="42"/>
        <v>0</v>
      </c>
      <c r="AH155" s="1320">
        <f t="shared" si="42"/>
        <v>0</v>
      </c>
      <c r="AI155" s="242">
        <f t="shared" si="42"/>
        <v>0</v>
      </c>
      <c r="AJ155" s="242">
        <f t="shared" si="42"/>
        <v>0</v>
      </c>
      <c r="AK155" s="242">
        <f t="shared" si="42"/>
        <v>0</v>
      </c>
      <c r="AL155" s="242">
        <f t="shared" si="42"/>
        <v>0</v>
      </c>
      <c r="AM155" s="242">
        <f t="shared" si="42"/>
        <v>0</v>
      </c>
      <c r="AN155" s="1320">
        <f t="shared" si="42"/>
        <v>0</v>
      </c>
      <c r="AO155" s="1320">
        <f t="shared" si="42"/>
        <v>0</v>
      </c>
      <c r="AP155" s="1320">
        <f t="shared" si="42"/>
        <v>0</v>
      </c>
      <c r="AQ155" s="1320">
        <f t="shared" si="42"/>
        <v>0</v>
      </c>
      <c r="AR155" s="1320">
        <f t="shared" si="42"/>
        <v>0</v>
      </c>
      <c r="AS155" s="242">
        <f t="shared" si="42"/>
        <v>0</v>
      </c>
      <c r="AT155" s="242">
        <f t="shared" si="42"/>
        <v>0</v>
      </c>
      <c r="AU155" s="242">
        <f t="shared" si="42"/>
        <v>0</v>
      </c>
      <c r="AV155" s="242">
        <f t="shared" si="42"/>
        <v>0</v>
      </c>
      <c r="AW155" s="242">
        <f t="shared" si="42"/>
        <v>0</v>
      </c>
      <c r="AX155" s="1320">
        <f t="shared" si="42"/>
        <v>0</v>
      </c>
      <c r="AY155" s="1320">
        <f t="shared" si="42"/>
        <v>0</v>
      </c>
      <c r="AZ155" s="1320">
        <f t="shared" si="42"/>
        <v>0</v>
      </c>
      <c r="BA155" s="1320">
        <f t="shared" si="42"/>
        <v>0</v>
      </c>
      <c r="BB155" s="1320">
        <f t="shared" si="42"/>
        <v>0</v>
      </c>
      <c r="BC155" s="1290"/>
      <c r="BF155" s="970" t="s">
        <v>1128</v>
      </c>
    </row>
    <row r="156" spans="1:58" s="1229" customFormat="1" ht="14.25" customHeight="1">
      <c r="A156" s="1155"/>
      <c r="B156" s="783"/>
      <c r="C156" s="1155"/>
      <c r="D156" s="1155"/>
      <c r="E156" s="676">
        <v>15</v>
      </c>
      <c r="F156" s="779" t="str" cm="1">
        <f t="array" ref="F156">F155</f>
        <v>1</v>
      </c>
      <c r="G156" s="814"/>
      <c r="H156" s="814"/>
      <c r="I156" s="814"/>
      <c r="J156" s="814"/>
      <c r="K156" s="814"/>
      <c r="L156" s="814"/>
      <c r="M156" s="814"/>
      <c r="N156" s="814"/>
      <c r="O156" s="814"/>
      <c r="P156" s="814"/>
      <c r="Q156" s="784"/>
      <c r="R156" s="784"/>
      <c r="S156" s="814"/>
      <c r="T156" s="698" t="b" cm="1">
        <f t="array" ref="T156">T155</f>
        <v>1</v>
      </c>
      <c r="U156" s="1155"/>
      <c r="V156" s="1155"/>
      <c r="W156" s="1155"/>
      <c r="X156" s="1687"/>
      <c r="Y156" s="1155"/>
      <c r="Z156" s="1687"/>
      <c r="AA156" s="791"/>
      <c r="AB156" s="420" t="str">
        <f>AB155&amp;".1"</f>
        <v>3.1</v>
      </c>
      <c r="AC156" s="421" t="s">
        <v>1076</v>
      </c>
      <c r="AD156" s="420" t="s">
        <v>1077</v>
      </c>
      <c r="AE156" s="1249"/>
      <c r="AF156" s="1249"/>
      <c r="AG156" s="1249"/>
      <c r="AH156" s="1249"/>
      <c r="AI156" s="230"/>
      <c r="AJ156" s="230"/>
      <c r="AK156" s="230"/>
      <c r="AL156" s="230"/>
      <c r="AM156" s="230"/>
      <c r="AN156" s="1249"/>
      <c r="AO156" s="1249"/>
      <c r="AP156" s="1249"/>
      <c r="AQ156" s="1249"/>
      <c r="AR156" s="1249"/>
      <c r="AS156" s="230"/>
      <c r="AT156" s="230"/>
      <c r="AU156" s="230"/>
      <c r="AV156" s="230"/>
      <c r="AW156" s="230"/>
      <c r="AX156" s="1249"/>
      <c r="AY156" s="1249"/>
      <c r="AZ156" s="1249"/>
      <c r="BA156" s="1249"/>
      <c r="BB156" s="1249"/>
      <c r="BC156" s="1290"/>
      <c r="BD156" s="791"/>
      <c r="BE156" s="791"/>
      <c r="BF156" s="970" t="s">
        <v>1129</v>
      </c>
    </row>
    <row r="157" spans="1:58" s="1229" customFormat="1" ht="14.25" customHeight="1">
      <c r="A157" s="1155"/>
      <c r="B157" s="783"/>
      <c r="C157" s="1155"/>
      <c r="D157" s="1155"/>
      <c r="E157" s="676">
        <v>15</v>
      </c>
      <c r="F157" s="779" t="str" cm="1">
        <f t="array" ref="F157">F156</f>
        <v>1</v>
      </c>
      <c r="G157" s="814"/>
      <c r="H157" s="814"/>
      <c r="I157" s="814"/>
      <c r="J157" s="814"/>
      <c r="K157" s="814"/>
      <c r="L157" s="814"/>
      <c r="M157" s="814"/>
      <c r="N157" s="814"/>
      <c r="O157" s="814"/>
      <c r="P157" s="814"/>
      <c r="Q157" s="784"/>
      <c r="R157" s="784"/>
      <c r="S157" s="814"/>
      <c r="T157" s="698" t="b" cm="1">
        <f t="array" ref="T157">T156</f>
        <v>1</v>
      </c>
      <c r="U157" s="1155"/>
      <c r="V157" s="1155"/>
      <c r="W157" s="1155"/>
      <c r="X157" s="1687"/>
      <c r="Y157" s="1155"/>
      <c r="Z157" s="1687"/>
      <c r="AA157" s="791"/>
      <c r="AB157" s="420" t="str">
        <f>AB155&amp;".2"</f>
        <v>3.2</v>
      </c>
      <c r="AC157" s="421" t="s">
        <v>1079</v>
      </c>
      <c r="AD157" s="420" t="s">
        <v>1077</v>
      </c>
      <c r="AE157" s="1249"/>
      <c r="AF157" s="1249"/>
      <c r="AG157" s="1249"/>
      <c r="AH157" s="1249"/>
      <c r="AI157" s="230"/>
      <c r="AJ157" s="230"/>
      <c r="AK157" s="230"/>
      <c r="AL157" s="230"/>
      <c r="AM157" s="230"/>
      <c r="AN157" s="1249"/>
      <c r="AO157" s="1249"/>
      <c r="AP157" s="1249"/>
      <c r="AQ157" s="1249"/>
      <c r="AR157" s="1249"/>
      <c r="AS157" s="230"/>
      <c r="AT157" s="230"/>
      <c r="AU157" s="230"/>
      <c r="AV157" s="230"/>
      <c r="AW157" s="230"/>
      <c r="AX157" s="1249"/>
      <c r="AY157" s="1249"/>
      <c r="AZ157" s="1249"/>
      <c r="BA157" s="1249"/>
      <c r="BB157" s="1249"/>
      <c r="BC157" s="1290"/>
      <c r="BD157" s="791"/>
      <c r="BE157" s="791"/>
      <c r="BF157" s="970" t="s">
        <v>1130</v>
      </c>
    </row>
    <row r="158" spans="1:58" s="1229" customFormat="1" ht="14.25" customHeight="1">
      <c r="A158" s="1155"/>
      <c r="B158" s="783"/>
      <c r="C158" s="1155"/>
      <c r="D158" s="1155"/>
      <c r="E158" s="676">
        <v>15</v>
      </c>
      <c r="F158" s="779" t="str" cm="1">
        <f t="array" ref="F158">F157</f>
        <v>1</v>
      </c>
      <c r="G158" s="814"/>
      <c r="H158" s="814"/>
      <c r="I158" s="814"/>
      <c r="J158" s="814"/>
      <c r="K158" s="814"/>
      <c r="L158" s="814"/>
      <c r="M158" s="814"/>
      <c r="N158" s="814"/>
      <c r="O158" s="814"/>
      <c r="P158" s="814"/>
      <c r="Q158" s="784"/>
      <c r="R158" s="784"/>
      <c r="S158" s="814"/>
      <c r="T158" s="698" t="b" cm="1">
        <f t="array" ref="T158">T157</f>
        <v>1</v>
      </c>
      <c r="U158" s="1155"/>
      <c r="V158" s="1155"/>
      <c r="W158" s="1155"/>
      <c r="X158" s="1687"/>
      <c r="Y158" s="1155"/>
      <c r="Z158" s="1687"/>
      <c r="AA158" s="791"/>
      <c r="AB158" s="420" t="str">
        <f>AB155&amp;".3"</f>
        <v>3.3</v>
      </c>
      <c r="AC158" s="421" t="s">
        <v>1081</v>
      </c>
      <c r="AD158" s="420" t="s">
        <v>1077</v>
      </c>
      <c r="AE158" s="1249"/>
      <c r="AF158" s="1249"/>
      <c r="AG158" s="1249"/>
      <c r="AH158" s="1249"/>
      <c r="AI158" s="230"/>
      <c r="AJ158" s="230"/>
      <c r="AK158" s="230"/>
      <c r="AL158" s="230"/>
      <c r="AM158" s="230"/>
      <c r="AN158" s="1249"/>
      <c r="AO158" s="1249"/>
      <c r="AP158" s="1249"/>
      <c r="AQ158" s="1249"/>
      <c r="AR158" s="1249"/>
      <c r="AS158" s="230"/>
      <c r="AT158" s="230"/>
      <c r="AU158" s="230"/>
      <c r="AV158" s="230"/>
      <c r="AW158" s="230"/>
      <c r="AX158" s="1249"/>
      <c r="AY158" s="1249"/>
      <c r="AZ158" s="1249"/>
      <c r="BA158" s="1249"/>
      <c r="BB158" s="1249"/>
      <c r="BC158" s="1290"/>
      <c r="BD158" s="791"/>
      <c r="BE158" s="791"/>
      <c r="BF158" s="970" t="s">
        <v>1131</v>
      </c>
    </row>
    <row r="159" spans="1:58" s="1229" customFormat="1" ht="14.25" customHeight="1">
      <c r="A159" s="1155"/>
      <c r="B159" s="783"/>
      <c r="C159" s="1155"/>
      <c r="D159" s="1155"/>
      <c r="E159" s="676">
        <v>15</v>
      </c>
      <c r="F159" s="779" t="str" cm="1">
        <f t="array" ref="F159">F158</f>
        <v>1</v>
      </c>
      <c r="G159" s="814"/>
      <c r="H159" s="814"/>
      <c r="I159" s="814"/>
      <c r="J159" s="814"/>
      <c r="K159" s="814"/>
      <c r="L159" s="814"/>
      <c r="M159" s="814"/>
      <c r="N159" s="814"/>
      <c r="O159" s="814"/>
      <c r="P159" s="814"/>
      <c r="Q159" s="784"/>
      <c r="R159" s="784"/>
      <c r="S159" s="814"/>
      <c r="T159" s="698" t="b" cm="1">
        <f t="array" ref="T159">T158</f>
        <v>1</v>
      </c>
      <c r="U159" s="1155"/>
      <c r="V159" s="1155"/>
      <c r="W159" s="1155"/>
      <c r="X159" s="1687"/>
      <c r="Y159" s="1155"/>
      <c r="Z159" s="1687"/>
      <c r="AA159" s="791"/>
      <c r="AB159" s="420" t="str">
        <f>AB155&amp;".4"</f>
        <v>3.4</v>
      </c>
      <c r="AC159" s="421" t="s">
        <v>1083</v>
      </c>
      <c r="AD159" s="420" t="s">
        <v>1077</v>
      </c>
      <c r="AE159" s="1324">
        <f t="shared" ref="AE159:BB159" si="43">SUM(AE160:AE164)</f>
        <v>0</v>
      </c>
      <c r="AF159" s="1324">
        <f t="shared" si="43"/>
        <v>0</v>
      </c>
      <c r="AG159" s="1324">
        <f t="shared" si="43"/>
        <v>0</v>
      </c>
      <c r="AH159" s="1324">
        <f t="shared" si="43"/>
        <v>0</v>
      </c>
      <c r="AI159" s="415">
        <f t="shared" si="43"/>
        <v>0</v>
      </c>
      <c r="AJ159" s="415">
        <f t="shared" si="43"/>
        <v>0</v>
      </c>
      <c r="AK159" s="415">
        <f t="shared" si="43"/>
        <v>0</v>
      </c>
      <c r="AL159" s="415">
        <f t="shared" si="43"/>
        <v>0</v>
      </c>
      <c r="AM159" s="415">
        <f t="shared" si="43"/>
        <v>0</v>
      </c>
      <c r="AN159" s="1324">
        <f t="shared" si="43"/>
        <v>0</v>
      </c>
      <c r="AO159" s="1324">
        <f t="shared" si="43"/>
        <v>0</v>
      </c>
      <c r="AP159" s="1324">
        <f t="shared" si="43"/>
        <v>0</v>
      </c>
      <c r="AQ159" s="1324">
        <f t="shared" si="43"/>
        <v>0</v>
      </c>
      <c r="AR159" s="1324">
        <f t="shared" si="43"/>
        <v>0</v>
      </c>
      <c r="AS159" s="415">
        <f t="shared" si="43"/>
        <v>0</v>
      </c>
      <c r="AT159" s="415">
        <f t="shared" si="43"/>
        <v>0</v>
      </c>
      <c r="AU159" s="415">
        <f t="shared" si="43"/>
        <v>0</v>
      </c>
      <c r="AV159" s="415">
        <f t="shared" si="43"/>
        <v>0</v>
      </c>
      <c r="AW159" s="415">
        <f t="shared" si="43"/>
        <v>0</v>
      </c>
      <c r="AX159" s="1324">
        <f t="shared" si="43"/>
        <v>0</v>
      </c>
      <c r="AY159" s="1324">
        <f t="shared" si="43"/>
        <v>0</v>
      </c>
      <c r="AZ159" s="1324">
        <f t="shared" si="43"/>
        <v>0</v>
      </c>
      <c r="BA159" s="1324">
        <f t="shared" si="43"/>
        <v>0</v>
      </c>
      <c r="BB159" s="1324">
        <f t="shared" si="43"/>
        <v>0</v>
      </c>
      <c r="BC159" s="1290"/>
      <c r="BD159" s="791"/>
      <c r="BE159" s="791"/>
      <c r="BF159" s="970" t="s">
        <v>1132</v>
      </c>
    </row>
    <row r="160" spans="1:58" s="1229" customFormat="1" ht="14.25" customHeight="1">
      <c r="A160" s="1155"/>
      <c r="B160" s="783"/>
      <c r="C160" s="1155"/>
      <c r="D160" s="1155"/>
      <c r="E160" s="676">
        <v>15</v>
      </c>
      <c r="F160" s="779" t="str" cm="1">
        <f t="array" ref="F160">F159</f>
        <v>1</v>
      </c>
      <c r="G160" s="814"/>
      <c r="H160" s="814"/>
      <c r="I160" s="814"/>
      <c r="J160" s="814"/>
      <c r="K160" s="814"/>
      <c r="L160" s="814"/>
      <c r="M160" s="814"/>
      <c r="N160" s="814"/>
      <c r="O160" s="814"/>
      <c r="P160" s="814"/>
      <c r="Q160" s="784"/>
      <c r="R160" s="784"/>
      <c r="S160" s="814"/>
      <c r="T160" s="698" t="b" cm="1">
        <f t="array" ref="T160">T159</f>
        <v>1</v>
      </c>
      <c r="U160" s="1155"/>
      <c r="V160" s="1155"/>
      <c r="W160" s="1155"/>
      <c r="X160" s="1687"/>
      <c r="Y160" s="1155"/>
      <c r="Z160" s="1687"/>
      <c r="AA160" s="791"/>
      <c r="AB160" s="420" t="str">
        <f>AB159&amp;".1"</f>
        <v>3.4.1</v>
      </c>
      <c r="AC160" s="422" t="s">
        <v>1086</v>
      </c>
      <c r="AD160" s="420" t="s">
        <v>1077</v>
      </c>
      <c r="AE160" s="1249"/>
      <c r="AF160" s="1249"/>
      <c r="AG160" s="1249"/>
      <c r="AH160" s="1249"/>
      <c r="AI160" s="230"/>
      <c r="AJ160" s="230"/>
      <c r="AK160" s="230"/>
      <c r="AL160" s="230"/>
      <c r="AM160" s="230"/>
      <c r="AN160" s="1249"/>
      <c r="AO160" s="1249"/>
      <c r="AP160" s="1249"/>
      <c r="AQ160" s="1249"/>
      <c r="AR160" s="1249"/>
      <c r="AS160" s="230"/>
      <c r="AT160" s="230"/>
      <c r="AU160" s="230"/>
      <c r="AV160" s="230"/>
      <c r="AW160" s="230"/>
      <c r="AX160" s="1249"/>
      <c r="AY160" s="1249"/>
      <c r="AZ160" s="1249"/>
      <c r="BA160" s="1249"/>
      <c r="BB160" s="1249"/>
      <c r="BC160" s="1290"/>
      <c r="BD160" s="791"/>
      <c r="BE160" s="791"/>
      <c r="BF160" s="970" t="s">
        <v>1133</v>
      </c>
    </row>
    <row r="161" spans="1:58" s="1229" customFormat="1" ht="14.25" customHeight="1">
      <c r="A161" s="1155"/>
      <c r="B161" s="783"/>
      <c r="C161" s="1155"/>
      <c r="D161" s="1155"/>
      <c r="E161" s="676">
        <v>15</v>
      </c>
      <c r="F161" s="779" t="str" cm="1">
        <f t="array" ref="F161">F160</f>
        <v>1</v>
      </c>
      <c r="G161" s="814"/>
      <c r="H161" s="814"/>
      <c r="I161" s="814"/>
      <c r="J161" s="814"/>
      <c r="K161" s="814"/>
      <c r="L161" s="814"/>
      <c r="M161" s="814"/>
      <c r="N161" s="814"/>
      <c r="O161" s="814"/>
      <c r="P161" s="814"/>
      <c r="Q161" s="784"/>
      <c r="R161" s="784"/>
      <c r="S161" s="814"/>
      <c r="T161" s="698" t="b" cm="1">
        <f t="array" ref="T161">T160</f>
        <v>1</v>
      </c>
      <c r="U161" s="1155"/>
      <c r="V161" s="1155"/>
      <c r="W161" s="1155"/>
      <c r="X161" s="1687"/>
      <c r="Y161" s="1155"/>
      <c r="Z161" s="1687"/>
      <c r="AA161" s="791"/>
      <c r="AB161" s="420" t="str">
        <f>AB159&amp;".2"</f>
        <v>3.4.2</v>
      </c>
      <c r="AC161" s="422" t="s">
        <v>1089</v>
      </c>
      <c r="AD161" s="420" t="s">
        <v>1077</v>
      </c>
      <c r="AE161" s="1249"/>
      <c r="AF161" s="1249"/>
      <c r="AG161" s="1249"/>
      <c r="AH161" s="1249"/>
      <c r="AI161" s="230"/>
      <c r="AJ161" s="230"/>
      <c r="AK161" s="230"/>
      <c r="AL161" s="230"/>
      <c r="AM161" s="230"/>
      <c r="AN161" s="1249"/>
      <c r="AO161" s="1249"/>
      <c r="AP161" s="1249"/>
      <c r="AQ161" s="1249"/>
      <c r="AR161" s="1249"/>
      <c r="AS161" s="230"/>
      <c r="AT161" s="230"/>
      <c r="AU161" s="230"/>
      <c r="AV161" s="230"/>
      <c r="AW161" s="230"/>
      <c r="AX161" s="1249"/>
      <c r="AY161" s="1249"/>
      <c r="AZ161" s="1249"/>
      <c r="BA161" s="1249"/>
      <c r="BB161" s="1249"/>
      <c r="BC161" s="1290"/>
      <c r="BD161" s="791"/>
      <c r="BE161" s="791"/>
      <c r="BF161" s="970" t="s">
        <v>1134</v>
      </c>
    </row>
    <row r="162" spans="1:58" s="1229" customFormat="1" ht="14.25" customHeight="1">
      <c r="A162" s="1155"/>
      <c r="B162" s="783"/>
      <c r="C162" s="1155"/>
      <c r="D162" s="1155"/>
      <c r="E162" s="676">
        <v>15</v>
      </c>
      <c r="F162" s="779" t="str" cm="1">
        <f t="array" ref="F162">F161</f>
        <v>1</v>
      </c>
      <c r="G162" s="814"/>
      <c r="H162" s="814"/>
      <c r="I162" s="814"/>
      <c r="J162" s="814"/>
      <c r="K162" s="814"/>
      <c r="L162" s="814"/>
      <c r="M162" s="814"/>
      <c r="N162" s="814"/>
      <c r="O162" s="814"/>
      <c r="P162" s="814"/>
      <c r="Q162" s="784"/>
      <c r="R162" s="784"/>
      <c r="S162" s="814"/>
      <c r="T162" s="698" t="b" cm="1">
        <f t="array" ref="T162">T161</f>
        <v>1</v>
      </c>
      <c r="U162" s="1155"/>
      <c r="V162" s="1155"/>
      <c r="W162" s="1155"/>
      <c r="X162" s="1687"/>
      <c r="Y162" s="1155"/>
      <c r="Z162" s="1687"/>
      <c r="AA162" s="791"/>
      <c r="AB162" s="420" t="str">
        <f>AB159&amp;".3"</f>
        <v>3.4.3</v>
      </c>
      <c r="AC162" s="422" t="s">
        <v>1092</v>
      </c>
      <c r="AD162" s="420" t="s">
        <v>1077</v>
      </c>
      <c r="AE162" s="1249"/>
      <c r="AF162" s="1249"/>
      <c r="AG162" s="1249"/>
      <c r="AH162" s="1249"/>
      <c r="AI162" s="230"/>
      <c r="AJ162" s="230"/>
      <c r="AK162" s="230"/>
      <c r="AL162" s="230"/>
      <c r="AM162" s="230"/>
      <c r="AN162" s="1249"/>
      <c r="AO162" s="1249"/>
      <c r="AP162" s="1249"/>
      <c r="AQ162" s="1249"/>
      <c r="AR162" s="1249"/>
      <c r="AS162" s="230"/>
      <c r="AT162" s="230"/>
      <c r="AU162" s="230"/>
      <c r="AV162" s="230"/>
      <c r="AW162" s="230"/>
      <c r="AX162" s="1249"/>
      <c r="AY162" s="1249"/>
      <c r="AZ162" s="1249"/>
      <c r="BA162" s="1249"/>
      <c r="BB162" s="1249"/>
      <c r="BC162" s="1290"/>
      <c r="BD162" s="791"/>
      <c r="BE162" s="791"/>
      <c r="BF162" s="970" t="s">
        <v>1135</v>
      </c>
    </row>
    <row r="163" spans="1:58" s="1229" customFormat="1" ht="14.25" customHeight="1">
      <c r="A163" s="1155"/>
      <c r="B163" s="783"/>
      <c r="C163" s="1155"/>
      <c r="D163" s="1155"/>
      <c r="E163" s="676">
        <v>15</v>
      </c>
      <c r="F163" s="779" t="str" cm="1">
        <f t="array" ref="F163">F162</f>
        <v>1</v>
      </c>
      <c r="G163" s="814"/>
      <c r="H163" s="814"/>
      <c r="I163" s="814"/>
      <c r="J163" s="814"/>
      <c r="K163" s="814"/>
      <c r="L163" s="814"/>
      <c r="M163" s="814"/>
      <c r="N163" s="814"/>
      <c r="O163" s="814"/>
      <c r="P163" s="814"/>
      <c r="Q163" s="784"/>
      <c r="R163" s="784"/>
      <c r="S163" s="814"/>
      <c r="T163" s="698" t="b" cm="1">
        <f t="array" ref="T163">T162</f>
        <v>1</v>
      </c>
      <c r="U163" s="1155"/>
      <c r="V163" s="1155"/>
      <c r="W163" s="1155"/>
      <c r="X163" s="1687"/>
      <c r="Y163" s="1155"/>
      <c r="Z163" s="1687"/>
      <c r="AA163" s="791"/>
      <c r="AB163" s="420" t="str">
        <f>AB159&amp;".4"</f>
        <v>3.4.4</v>
      </c>
      <c r="AC163" s="422" t="s">
        <v>1095</v>
      </c>
      <c r="AD163" s="420" t="s">
        <v>1077</v>
      </c>
      <c r="AE163" s="1249"/>
      <c r="AF163" s="1249"/>
      <c r="AG163" s="1249"/>
      <c r="AH163" s="1249"/>
      <c r="AI163" s="230"/>
      <c r="AJ163" s="230"/>
      <c r="AK163" s="230"/>
      <c r="AL163" s="230"/>
      <c r="AM163" s="230"/>
      <c r="AN163" s="1249"/>
      <c r="AO163" s="1249"/>
      <c r="AP163" s="1249"/>
      <c r="AQ163" s="1249"/>
      <c r="AR163" s="1249"/>
      <c r="AS163" s="230"/>
      <c r="AT163" s="230"/>
      <c r="AU163" s="230"/>
      <c r="AV163" s="230"/>
      <c r="AW163" s="230"/>
      <c r="AX163" s="1249"/>
      <c r="AY163" s="1249"/>
      <c r="AZ163" s="1249"/>
      <c r="BA163" s="1249"/>
      <c r="BB163" s="1249"/>
      <c r="BC163" s="1290"/>
      <c r="BD163" s="791"/>
      <c r="BE163" s="791"/>
      <c r="BF163" s="970" t="s">
        <v>1136</v>
      </c>
    </row>
    <row r="164" spans="1:58" s="1229" customFormat="1" ht="14.25" customHeight="1">
      <c r="A164" s="1155"/>
      <c r="B164" s="783"/>
      <c r="C164" s="1155"/>
      <c r="D164" s="1155"/>
      <c r="E164" s="676">
        <v>15</v>
      </c>
      <c r="F164" s="779" t="str" cm="1">
        <f t="array" ref="F164">F163</f>
        <v>1</v>
      </c>
      <c r="G164" s="814"/>
      <c r="H164" s="814"/>
      <c r="I164" s="814"/>
      <c r="J164" s="814"/>
      <c r="K164" s="814"/>
      <c r="L164" s="814"/>
      <c r="M164" s="814"/>
      <c r="N164" s="814"/>
      <c r="O164" s="814"/>
      <c r="P164" s="814"/>
      <c r="Q164" s="784"/>
      <c r="R164" s="784"/>
      <c r="S164" s="814"/>
      <c r="T164" s="698" t="b" cm="1">
        <f t="array" ref="T164">T163</f>
        <v>1</v>
      </c>
      <c r="U164" s="1155"/>
      <c r="V164" s="1155"/>
      <c r="W164" s="1155"/>
      <c r="X164" s="1687"/>
      <c r="Y164" s="1155"/>
      <c r="Z164" s="1687"/>
      <c r="AA164" s="791"/>
      <c r="AB164" s="420" t="str">
        <f>AB159&amp;".5"</f>
        <v>3.4.5</v>
      </c>
      <c r="AC164" s="422" t="s">
        <v>1098</v>
      </c>
      <c r="AD164" s="420" t="s">
        <v>1077</v>
      </c>
      <c r="AE164" s="1249"/>
      <c r="AF164" s="1249"/>
      <c r="AG164" s="1249"/>
      <c r="AH164" s="1249"/>
      <c r="AI164" s="230"/>
      <c r="AJ164" s="230"/>
      <c r="AK164" s="230"/>
      <c r="AL164" s="230"/>
      <c r="AM164" s="230"/>
      <c r="AN164" s="1249"/>
      <c r="AO164" s="1249"/>
      <c r="AP164" s="1249"/>
      <c r="AQ164" s="1249"/>
      <c r="AR164" s="1249"/>
      <c r="AS164" s="230"/>
      <c r="AT164" s="230"/>
      <c r="AU164" s="230"/>
      <c r="AV164" s="230"/>
      <c r="AW164" s="230"/>
      <c r="AX164" s="1249"/>
      <c r="AY164" s="1249"/>
      <c r="AZ164" s="1249"/>
      <c r="BA164" s="1249"/>
      <c r="BB164" s="1249"/>
      <c r="BC164" s="1290"/>
      <c r="BD164" s="791"/>
      <c r="BE164" s="791"/>
      <c r="BF164" s="970" t="s">
        <v>1137</v>
      </c>
    </row>
    <row r="165" spans="1:58" s="1229" customFormat="1" ht="14.25" customHeight="1">
      <c r="A165" s="1155"/>
      <c r="B165" s="783"/>
      <c r="C165" s="1155"/>
      <c r="D165" s="1155"/>
      <c r="E165" s="676">
        <v>15</v>
      </c>
      <c r="F165" s="779" t="str" cm="1">
        <f t="array" ref="F165">F164</f>
        <v>1</v>
      </c>
      <c r="G165" s="814"/>
      <c r="H165" s="814"/>
      <c r="I165" s="814"/>
      <c r="J165" s="814"/>
      <c r="K165" s="814"/>
      <c r="L165" s="814"/>
      <c r="M165" s="814"/>
      <c r="N165" s="814"/>
      <c r="O165" s="814"/>
      <c r="P165" s="814"/>
      <c r="Q165" s="784"/>
      <c r="R165" s="784"/>
      <c r="S165" s="814"/>
      <c r="T165" s="698" t="b" cm="1">
        <f t="array" ref="T165">T164</f>
        <v>1</v>
      </c>
      <c r="U165" s="1155"/>
      <c r="V165" s="1155"/>
      <c r="W165" s="1155"/>
      <c r="X165" s="1687"/>
      <c r="Y165" s="1155"/>
      <c r="Z165" s="1687"/>
      <c r="AA165" s="791"/>
      <c r="AB165" s="420" t="str">
        <f>AB155&amp;".5"</f>
        <v>3.5</v>
      </c>
      <c r="AC165" s="421" t="s">
        <v>1101</v>
      </c>
      <c r="AD165" s="420" t="s">
        <v>1077</v>
      </c>
      <c r="AE165" s="1249"/>
      <c r="AF165" s="1249"/>
      <c r="AG165" s="1249"/>
      <c r="AH165" s="1249"/>
      <c r="AI165" s="230"/>
      <c r="AJ165" s="230"/>
      <c r="AK165" s="230"/>
      <c r="AL165" s="230"/>
      <c r="AM165" s="230"/>
      <c r="AN165" s="1249"/>
      <c r="AO165" s="1249"/>
      <c r="AP165" s="1249"/>
      <c r="AQ165" s="1249"/>
      <c r="AR165" s="1249"/>
      <c r="AS165" s="230"/>
      <c r="AT165" s="230"/>
      <c r="AU165" s="230"/>
      <c r="AV165" s="230"/>
      <c r="AW165" s="230"/>
      <c r="AX165" s="1249"/>
      <c r="AY165" s="1249"/>
      <c r="AZ165" s="1249"/>
      <c r="BA165" s="1249"/>
      <c r="BB165" s="1249"/>
      <c r="BC165" s="1290"/>
      <c r="BD165" s="791"/>
      <c r="BE165" s="791"/>
      <c r="BF165" s="970" t="s">
        <v>1138</v>
      </c>
    </row>
    <row r="166" spans="1:58" s="1229" customFormat="1" ht="14.25" customHeight="1">
      <c r="A166" s="1155"/>
      <c r="B166" s="783"/>
      <c r="C166" s="1155"/>
      <c r="D166" s="1155"/>
      <c r="E166" s="676">
        <v>15</v>
      </c>
      <c r="F166" s="779" t="str" cm="1">
        <f t="array" ref="F166">F165</f>
        <v>1</v>
      </c>
      <c r="G166" s="814"/>
      <c r="H166" s="814"/>
      <c r="I166" s="814"/>
      <c r="J166" s="814"/>
      <c r="K166" s="814"/>
      <c r="L166" s="814"/>
      <c r="M166" s="814"/>
      <c r="N166" s="814"/>
      <c r="O166" s="814"/>
      <c r="P166" s="814"/>
      <c r="Q166" s="784"/>
      <c r="R166" s="784"/>
      <c r="S166" s="814"/>
      <c r="T166" s="698" t="b" cm="1">
        <f t="array" ref="T166">T165</f>
        <v>1</v>
      </c>
      <c r="U166" s="1155"/>
      <c r="V166" s="1155"/>
      <c r="W166" s="1155"/>
      <c r="X166" s="1687"/>
      <c r="Y166" s="1155"/>
      <c r="Z166" s="1687"/>
      <c r="AA166" s="791"/>
      <c r="AB166" s="420" t="str">
        <f>AB155&amp;".6"</f>
        <v>3.6</v>
      </c>
      <c r="AC166" s="421" t="s">
        <v>1104</v>
      </c>
      <c r="AD166" s="420" t="s">
        <v>1077</v>
      </c>
      <c r="AE166" s="1249"/>
      <c r="AF166" s="1249"/>
      <c r="AG166" s="1249"/>
      <c r="AH166" s="1249"/>
      <c r="AI166" s="230"/>
      <c r="AJ166" s="230"/>
      <c r="AK166" s="230"/>
      <c r="AL166" s="230"/>
      <c r="AM166" s="230"/>
      <c r="AN166" s="1249"/>
      <c r="AO166" s="1249"/>
      <c r="AP166" s="1249"/>
      <c r="AQ166" s="1249"/>
      <c r="AR166" s="1249"/>
      <c r="AS166" s="230"/>
      <c r="AT166" s="230"/>
      <c r="AU166" s="230"/>
      <c r="AV166" s="230"/>
      <c r="AW166" s="230"/>
      <c r="AX166" s="1249"/>
      <c r="AY166" s="1249"/>
      <c r="AZ166" s="1249"/>
      <c r="BA166" s="1249"/>
      <c r="BB166" s="1249"/>
      <c r="BC166" s="1290"/>
      <c r="BD166" s="791"/>
      <c r="BE166" s="791"/>
      <c r="BF166" s="970" t="s">
        <v>1139</v>
      </c>
    </row>
    <row r="167" spans="1:58" s="1229" customFormat="1" ht="14.25" customHeight="1">
      <c r="A167" s="1155"/>
      <c r="B167" s="783"/>
      <c r="C167" s="1155"/>
      <c r="D167" s="1155"/>
      <c r="E167" s="676">
        <v>15</v>
      </c>
      <c r="F167" s="779" t="str" cm="1">
        <f t="array" ref="F167">F166</f>
        <v>1</v>
      </c>
      <c r="G167" s="814"/>
      <c r="H167" s="814"/>
      <c r="I167" s="814"/>
      <c r="J167" s="814"/>
      <c r="K167" s="814"/>
      <c r="L167" s="814"/>
      <c r="M167" s="814"/>
      <c r="N167" s="814"/>
      <c r="O167" s="814"/>
      <c r="P167" s="814"/>
      <c r="Q167" s="784"/>
      <c r="R167" s="784"/>
      <c r="S167" s="814"/>
      <c r="T167" s="698" t="b" cm="1">
        <f t="array" ref="T167">T166</f>
        <v>1</v>
      </c>
      <c r="U167" s="1155"/>
      <c r="V167" s="1155"/>
      <c r="W167" s="1155"/>
      <c r="X167" s="1687"/>
      <c r="Y167" s="1155"/>
      <c r="Z167" s="1687"/>
      <c r="AA167" s="791"/>
      <c r="AB167" s="420" t="str">
        <f>AB155&amp;".7"</f>
        <v>3.7</v>
      </c>
      <c r="AC167" s="421" t="s">
        <v>1107</v>
      </c>
      <c r="AD167" s="420" t="s">
        <v>1077</v>
      </c>
      <c r="AE167" s="1249"/>
      <c r="AF167" s="1249"/>
      <c r="AG167" s="1249"/>
      <c r="AH167" s="1249"/>
      <c r="AI167" s="230"/>
      <c r="AJ167" s="230"/>
      <c r="AK167" s="230"/>
      <c r="AL167" s="230"/>
      <c r="AM167" s="230"/>
      <c r="AN167" s="1249"/>
      <c r="AO167" s="1249"/>
      <c r="AP167" s="1249"/>
      <c r="AQ167" s="1249"/>
      <c r="AR167" s="1249"/>
      <c r="AS167" s="230"/>
      <c r="AT167" s="230"/>
      <c r="AU167" s="230"/>
      <c r="AV167" s="230"/>
      <c r="AW167" s="230"/>
      <c r="AX167" s="1249"/>
      <c r="AY167" s="1249"/>
      <c r="AZ167" s="1249"/>
      <c r="BA167" s="1249"/>
      <c r="BB167" s="1249"/>
      <c r="BC167" s="1290"/>
      <c r="BD167" s="791"/>
      <c r="BE167" s="791"/>
      <c r="BF167" s="970" t="s">
        <v>1140</v>
      </c>
    </row>
    <row r="168" spans="1:58" s="1229" customFormat="1" ht="14.25" customHeight="1">
      <c r="A168" s="1155"/>
      <c r="B168" s="783"/>
      <c r="C168" s="1155"/>
      <c r="D168" s="1155"/>
      <c r="E168" s="676">
        <v>15</v>
      </c>
      <c r="F168" s="779" t="str" cm="1">
        <f t="array" ref="F168">F167</f>
        <v>1</v>
      </c>
      <c r="G168" s="814"/>
      <c r="H168" s="814"/>
      <c r="I168" s="814"/>
      <c r="J168" s="814"/>
      <c r="K168" s="814"/>
      <c r="L168" s="814"/>
      <c r="M168" s="814"/>
      <c r="N168" s="814"/>
      <c r="O168" s="814"/>
      <c r="P168" s="814"/>
      <c r="Q168" s="784"/>
      <c r="R168" s="784"/>
      <c r="S168" s="814"/>
      <c r="T168" s="698" t="b" cm="1">
        <f t="array" ref="T168">T167</f>
        <v>1</v>
      </c>
      <c r="U168" s="1155"/>
      <c r="V168" s="1155"/>
      <c r="W168" s="1155"/>
      <c r="X168" s="1687"/>
      <c r="Y168" s="1155"/>
      <c r="Z168" s="1687"/>
      <c r="AA168" s="791"/>
      <c r="AB168" s="420" t="str">
        <f>AB155&amp;".8"</f>
        <v>3.8</v>
      </c>
      <c r="AC168" s="421" t="s">
        <v>1110</v>
      </c>
      <c r="AD168" s="420" t="s">
        <v>1077</v>
      </c>
      <c r="AE168" s="1249"/>
      <c r="AF168" s="1249"/>
      <c r="AG168" s="1249"/>
      <c r="AH168" s="1249"/>
      <c r="AI168" s="230"/>
      <c r="AJ168" s="230"/>
      <c r="AK168" s="230"/>
      <c r="AL168" s="230"/>
      <c r="AM168" s="230"/>
      <c r="AN168" s="1249"/>
      <c r="AO168" s="1249"/>
      <c r="AP168" s="1249"/>
      <c r="AQ168" s="1249"/>
      <c r="AR168" s="1249"/>
      <c r="AS168" s="230"/>
      <c r="AT168" s="230"/>
      <c r="AU168" s="230"/>
      <c r="AV168" s="230"/>
      <c r="AW168" s="230"/>
      <c r="AX168" s="1249"/>
      <c r="AY168" s="1249"/>
      <c r="AZ168" s="1249"/>
      <c r="BA168" s="1249"/>
      <c r="BB168" s="1249"/>
      <c r="BC168" s="1290"/>
      <c r="BD168" s="791"/>
      <c r="BE168" s="791"/>
      <c r="BF168" s="970" t="s">
        <v>1141</v>
      </c>
    </row>
    <row r="169" spans="1:58" s="167" customFormat="1" ht="14.25" customHeight="1">
      <c r="E169" s="676">
        <v>15</v>
      </c>
      <c r="F169" s="779" t="str" cm="1">
        <f t="array" ref="F169">F168</f>
        <v>1</v>
      </c>
      <c r="T169" s="698" t="b" cm="1">
        <f t="array" ref="T169">T168</f>
        <v>1</v>
      </c>
      <c r="X169" s="1811"/>
      <c r="Z169" s="1811"/>
      <c r="AB169" s="227">
        <v>4</v>
      </c>
      <c r="AC169" s="228" t="s">
        <v>1142</v>
      </c>
      <c r="AD169" s="107" t="s">
        <v>839</v>
      </c>
      <c r="AE169" s="1320">
        <f t="shared" ref="AE169:BB169" si="44">SUM(AE170:AE173)+SUM(AE179:AE182)</f>
        <v>0</v>
      </c>
      <c r="AF169" s="1320">
        <f t="shared" si="44"/>
        <v>0</v>
      </c>
      <c r="AG169" s="1320">
        <f t="shared" si="44"/>
        <v>0</v>
      </c>
      <c r="AH169" s="1320">
        <f t="shared" si="44"/>
        <v>0</v>
      </c>
      <c r="AI169" s="242">
        <f t="shared" si="44"/>
        <v>0</v>
      </c>
      <c r="AJ169" s="242">
        <f t="shared" si="44"/>
        <v>0</v>
      </c>
      <c r="AK169" s="242">
        <f t="shared" si="44"/>
        <v>0</v>
      </c>
      <c r="AL169" s="242">
        <f t="shared" si="44"/>
        <v>0</v>
      </c>
      <c r="AM169" s="242">
        <f t="shared" si="44"/>
        <v>0</v>
      </c>
      <c r="AN169" s="1320">
        <f t="shared" si="44"/>
        <v>0</v>
      </c>
      <c r="AO169" s="1320">
        <f t="shared" si="44"/>
        <v>0</v>
      </c>
      <c r="AP169" s="1320">
        <f t="shared" si="44"/>
        <v>0</v>
      </c>
      <c r="AQ169" s="1320">
        <f t="shared" si="44"/>
        <v>0</v>
      </c>
      <c r="AR169" s="1320">
        <f t="shared" si="44"/>
        <v>0</v>
      </c>
      <c r="AS169" s="242">
        <f t="shared" si="44"/>
        <v>0</v>
      </c>
      <c r="AT169" s="242">
        <f t="shared" si="44"/>
        <v>0</v>
      </c>
      <c r="AU169" s="242">
        <f t="shared" si="44"/>
        <v>0</v>
      </c>
      <c r="AV169" s="242">
        <f t="shared" si="44"/>
        <v>0</v>
      </c>
      <c r="AW169" s="242">
        <f t="shared" si="44"/>
        <v>0</v>
      </c>
      <c r="AX169" s="1320">
        <f t="shared" si="44"/>
        <v>0</v>
      </c>
      <c r="AY169" s="1320">
        <f t="shared" si="44"/>
        <v>0</v>
      </c>
      <c r="AZ169" s="1320">
        <f t="shared" si="44"/>
        <v>0</v>
      </c>
      <c r="BA169" s="1320">
        <f t="shared" si="44"/>
        <v>0</v>
      </c>
      <c r="BB169" s="1320">
        <f t="shared" si="44"/>
        <v>0</v>
      </c>
      <c r="BC169" s="1290"/>
      <c r="BF169" s="970" t="s">
        <v>1143</v>
      </c>
    </row>
    <row r="170" spans="1:58" s="1229" customFormat="1" ht="14.25" customHeight="1">
      <c r="A170" s="1155"/>
      <c r="B170" s="783"/>
      <c r="C170" s="1155"/>
      <c r="D170" s="1155"/>
      <c r="E170" s="676">
        <v>15</v>
      </c>
      <c r="F170" s="779" t="str" cm="1">
        <f t="array" ref="F170">F169</f>
        <v>1</v>
      </c>
      <c r="G170" s="814"/>
      <c r="H170" s="814"/>
      <c r="I170" s="814"/>
      <c r="J170" s="814"/>
      <c r="K170" s="814"/>
      <c r="L170" s="814"/>
      <c r="M170" s="814"/>
      <c r="N170" s="814"/>
      <c r="O170" s="814"/>
      <c r="P170" s="814"/>
      <c r="Q170" s="784"/>
      <c r="R170" s="784"/>
      <c r="S170" s="814"/>
      <c r="T170" s="698" t="b" cm="1">
        <f t="array" ref="T170">T169</f>
        <v>1</v>
      </c>
      <c r="U170" s="1155"/>
      <c r="V170" s="1155"/>
      <c r="W170" s="1155"/>
      <c r="X170" s="1687"/>
      <c r="Y170" s="1155"/>
      <c r="Z170" s="1687"/>
      <c r="AA170" s="791"/>
      <c r="AB170" s="420" t="str">
        <f>AB169&amp;".1"</f>
        <v>4.1</v>
      </c>
      <c r="AC170" s="421" t="s">
        <v>1076</v>
      </c>
      <c r="AD170" s="420" t="s">
        <v>1077</v>
      </c>
      <c r="AE170" s="1249"/>
      <c r="AF170" s="1249"/>
      <c r="AG170" s="1249"/>
      <c r="AH170" s="1249"/>
      <c r="AI170" s="230"/>
      <c r="AJ170" s="230"/>
      <c r="AK170" s="230"/>
      <c r="AL170" s="230"/>
      <c r="AM170" s="230"/>
      <c r="AN170" s="1249"/>
      <c r="AO170" s="1249"/>
      <c r="AP170" s="1249"/>
      <c r="AQ170" s="1249"/>
      <c r="AR170" s="1249"/>
      <c r="AS170" s="230"/>
      <c r="AT170" s="230"/>
      <c r="AU170" s="230"/>
      <c r="AV170" s="230"/>
      <c r="AW170" s="230"/>
      <c r="AX170" s="1249"/>
      <c r="AY170" s="1249"/>
      <c r="AZ170" s="1249"/>
      <c r="BA170" s="1249"/>
      <c r="BB170" s="1249"/>
      <c r="BC170" s="1290"/>
      <c r="BD170" s="791"/>
      <c r="BE170" s="791"/>
      <c r="BF170" s="970" t="s">
        <v>1144</v>
      </c>
    </row>
    <row r="171" spans="1:58" s="1229" customFormat="1" ht="14.25" customHeight="1">
      <c r="A171" s="1155"/>
      <c r="B171" s="783"/>
      <c r="C171" s="1155"/>
      <c r="D171" s="1155"/>
      <c r="E171" s="676">
        <v>15</v>
      </c>
      <c r="F171" s="779" t="str" cm="1">
        <f t="array" ref="F171">F170</f>
        <v>1</v>
      </c>
      <c r="G171" s="814"/>
      <c r="H171" s="814"/>
      <c r="I171" s="814"/>
      <c r="J171" s="814"/>
      <c r="K171" s="814"/>
      <c r="L171" s="814"/>
      <c r="M171" s="814"/>
      <c r="N171" s="814"/>
      <c r="O171" s="814"/>
      <c r="P171" s="814"/>
      <c r="Q171" s="784"/>
      <c r="R171" s="784"/>
      <c r="S171" s="814"/>
      <c r="T171" s="698" t="b" cm="1">
        <f t="array" ref="T171">T170</f>
        <v>1</v>
      </c>
      <c r="U171" s="1155"/>
      <c r="V171" s="1155"/>
      <c r="W171" s="1155"/>
      <c r="X171" s="1687"/>
      <c r="Y171" s="1155"/>
      <c r="Z171" s="1687"/>
      <c r="AA171" s="791"/>
      <c r="AB171" s="420" t="str">
        <f>AB169&amp;".2"</f>
        <v>4.2</v>
      </c>
      <c r="AC171" s="421" t="s">
        <v>1079</v>
      </c>
      <c r="AD171" s="420" t="s">
        <v>1077</v>
      </c>
      <c r="AE171" s="1249"/>
      <c r="AF171" s="1249"/>
      <c r="AG171" s="1249"/>
      <c r="AH171" s="1249"/>
      <c r="AI171" s="230"/>
      <c r="AJ171" s="230"/>
      <c r="AK171" s="230"/>
      <c r="AL171" s="230"/>
      <c r="AM171" s="230"/>
      <c r="AN171" s="1249"/>
      <c r="AO171" s="1249"/>
      <c r="AP171" s="1249"/>
      <c r="AQ171" s="1249"/>
      <c r="AR171" s="1249"/>
      <c r="AS171" s="230"/>
      <c r="AT171" s="230"/>
      <c r="AU171" s="230"/>
      <c r="AV171" s="230"/>
      <c r="AW171" s="230"/>
      <c r="AX171" s="1249"/>
      <c r="AY171" s="1249"/>
      <c r="AZ171" s="1249"/>
      <c r="BA171" s="1249"/>
      <c r="BB171" s="1249"/>
      <c r="BC171" s="1290"/>
      <c r="BD171" s="791"/>
      <c r="BE171" s="791"/>
      <c r="BF171" s="970" t="s">
        <v>1145</v>
      </c>
    </row>
    <row r="172" spans="1:58" s="1229" customFormat="1" ht="14.25" customHeight="1">
      <c r="A172" s="1155"/>
      <c r="B172" s="783"/>
      <c r="C172" s="1155"/>
      <c r="D172" s="1155"/>
      <c r="E172" s="676">
        <v>15</v>
      </c>
      <c r="F172" s="779" t="str" cm="1">
        <f t="array" ref="F172">F171</f>
        <v>1</v>
      </c>
      <c r="G172" s="814"/>
      <c r="H172" s="814"/>
      <c r="I172" s="814"/>
      <c r="J172" s="814"/>
      <c r="K172" s="814"/>
      <c r="L172" s="814"/>
      <c r="M172" s="814"/>
      <c r="N172" s="814"/>
      <c r="O172" s="814"/>
      <c r="P172" s="814"/>
      <c r="Q172" s="784"/>
      <c r="R172" s="784"/>
      <c r="S172" s="814"/>
      <c r="T172" s="698" t="b" cm="1">
        <f t="array" ref="T172">T171</f>
        <v>1</v>
      </c>
      <c r="U172" s="1155"/>
      <c r="V172" s="1155"/>
      <c r="W172" s="1155"/>
      <c r="X172" s="1687"/>
      <c r="Y172" s="1155"/>
      <c r="Z172" s="1687"/>
      <c r="AA172" s="791"/>
      <c r="AB172" s="420" t="str">
        <f>AB169&amp;".3"</f>
        <v>4.3</v>
      </c>
      <c r="AC172" s="421" t="s">
        <v>1081</v>
      </c>
      <c r="AD172" s="420" t="s">
        <v>1077</v>
      </c>
      <c r="AE172" s="1249"/>
      <c r="AF172" s="1249"/>
      <c r="AG172" s="1249"/>
      <c r="AH172" s="1249"/>
      <c r="AI172" s="230"/>
      <c r="AJ172" s="230"/>
      <c r="AK172" s="230"/>
      <c r="AL172" s="230"/>
      <c r="AM172" s="230"/>
      <c r="AN172" s="1249"/>
      <c r="AO172" s="1249"/>
      <c r="AP172" s="1249"/>
      <c r="AQ172" s="1249"/>
      <c r="AR172" s="1249"/>
      <c r="AS172" s="230"/>
      <c r="AT172" s="230"/>
      <c r="AU172" s="230"/>
      <c r="AV172" s="230"/>
      <c r="AW172" s="230"/>
      <c r="AX172" s="1249"/>
      <c r="AY172" s="1249"/>
      <c r="AZ172" s="1249"/>
      <c r="BA172" s="1249"/>
      <c r="BB172" s="1249"/>
      <c r="BC172" s="1290"/>
      <c r="BD172" s="791"/>
      <c r="BE172" s="791"/>
      <c r="BF172" s="970" t="s">
        <v>1146</v>
      </c>
    </row>
    <row r="173" spans="1:58" s="1229" customFormat="1" ht="14.25" customHeight="1">
      <c r="A173" s="1155"/>
      <c r="B173" s="783"/>
      <c r="C173" s="1155"/>
      <c r="D173" s="1155"/>
      <c r="E173" s="676">
        <v>15</v>
      </c>
      <c r="F173" s="779" t="str" cm="1">
        <f t="array" ref="F173">F172</f>
        <v>1</v>
      </c>
      <c r="G173" s="814"/>
      <c r="H173" s="814"/>
      <c r="I173" s="814"/>
      <c r="J173" s="814"/>
      <c r="K173" s="814"/>
      <c r="L173" s="814"/>
      <c r="M173" s="814"/>
      <c r="N173" s="814"/>
      <c r="O173" s="814"/>
      <c r="P173" s="814"/>
      <c r="Q173" s="784"/>
      <c r="R173" s="784"/>
      <c r="S173" s="814"/>
      <c r="T173" s="698" t="b" cm="1">
        <f t="array" ref="T173">T172</f>
        <v>1</v>
      </c>
      <c r="U173" s="1155"/>
      <c r="V173" s="1155"/>
      <c r="W173" s="1155"/>
      <c r="X173" s="1687"/>
      <c r="Y173" s="1155"/>
      <c r="Z173" s="1687"/>
      <c r="AA173" s="791"/>
      <c r="AB173" s="420" t="str">
        <f>AB169&amp;".4"</f>
        <v>4.4</v>
      </c>
      <c r="AC173" s="421" t="s">
        <v>1083</v>
      </c>
      <c r="AD173" s="420" t="s">
        <v>1077</v>
      </c>
      <c r="AE173" s="1324">
        <f t="shared" ref="AE173:BB173" si="45">SUM(AE174:AE178)</f>
        <v>0</v>
      </c>
      <c r="AF173" s="1324">
        <f t="shared" si="45"/>
        <v>0</v>
      </c>
      <c r="AG173" s="1324">
        <f t="shared" si="45"/>
        <v>0</v>
      </c>
      <c r="AH173" s="1324">
        <f t="shared" si="45"/>
        <v>0</v>
      </c>
      <c r="AI173" s="415">
        <f t="shared" si="45"/>
        <v>0</v>
      </c>
      <c r="AJ173" s="415">
        <f t="shared" si="45"/>
        <v>0</v>
      </c>
      <c r="AK173" s="415">
        <f t="shared" si="45"/>
        <v>0</v>
      </c>
      <c r="AL173" s="415">
        <f t="shared" si="45"/>
        <v>0</v>
      </c>
      <c r="AM173" s="415">
        <f t="shared" si="45"/>
        <v>0</v>
      </c>
      <c r="AN173" s="1324">
        <f t="shared" si="45"/>
        <v>0</v>
      </c>
      <c r="AO173" s="1324">
        <f t="shared" si="45"/>
        <v>0</v>
      </c>
      <c r="AP173" s="1324">
        <f t="shared" si="45"/>
        <v>0</v>
      </c>
      <c r="AQ173" s="1324">
        <f t="shared" si="45"/>
        <v>0</v>
      </c>
      <c r="AR173" s="1324">
        <f t="shared" si="45"/>
        <v>0</v>
      </c>
      <c r="AS173" s="415">
        <f t="shared" si="45"/>
        <v>0</v>
      </c>
      <c r="AT173" s="415">
        <f t="shared" si="45"/>
        <v>0</v>
      </c>
      <c r="AU173" s="415">
        <f t="shared" si="45"/>
        <v>0</v>
      </c>
      <c r="AV173" s="415">
        <f t="shared" si="45"/>
        <v>0</v>
      </c>
      <c r="AW173" s="415">
        <f t="shared" si="45"/>
        <v>0</v>
      </c>
      <c r="AX173" s="1324">
        <f t="shared" si="45"/>
        <v>0</v>
      </c>
      <c r="AY173" s="1324">
        <f t="shared" si="45"/>
        <v>0</v>
      </c>
      <c r="AZ173" s="1324">
        <f t="shared" si="45"/>
        <v>0</v>
      </c>
      <c r="BA173" s="1324">
        <f t="shared" si="45"/>
        <v>0</v>
      </c>
      <c r="BB173" s="1324">
        <f t="shared" si="45"/>
        <v>0</v>
      </c>
      <c r="BC173" s="1290"/>
      <c r="BD173" s="791"/>
      <c r="BE173" s="791"/>
      <c r="BF173" s="970" t="s">
        <v>1147</v>
      </c>
    </row>
    <row r="174" spans="1:58" s="1229" customFormat="1" ht="14.25" customHeight="1">
      <c r="A174" s="1155"/>
      <c r="B174" s="783"/>
      <c r="C174" s="1155"/>
      <c r="D174" s="1155"/>
      <c r="E174" s="676">
        <v>15</v>
      </c>
      <c r="F174" s="779" t="str" cm="1">
        <f t="array" ref="F174">F173</f>
        <v>1</v>
      </c>
      <c r="G174" s="814"/>
      <c r="H174" s="814"/>
      <c r="I174" s="814"/>
      <c r="J174" s="814"/>
      <c r="K174" s="814"/>
      <c r="L174" s="814"/>
      <c r="M174" s="814"/>
      <c r="N174" s="814"/>
      <c r="O174" s="814"/>
      <c r="P174" s="814"/>
      <c r="Q174" s="784"/>
      <c r="R174" s="784"/>
      <c r="S174" s="814"/>
      <c r="T174" s="698" t="b" cm="1">
        <f t="array" ref="T174">T173</f>
        <v>1</v>
      </c>
      <c r="U174" s="1155"/>
      <c r="V174" s="1155"/>
      <c r="W174" s="1155"/>
      <c r="X174" s="1687"/>
      <c r="Y174" s="1155"/>
      <c r="Z174" s="1687"/>
      <c r="AA174" s="791"/>
      <c r="AB174" s="420" t="str">
        <f>AB173&amp;".1"</f>
        <v>4.4.1</v>
      </c>
      <c r="AC174" s="422" t="s">
        <v>1086</v>
      </c>
      <c r="AD174" s="420" t="s">
        <v>1077</v>
      </c>
      <c r="AE174" s="1249"/>
      <c r="AF174" s="1249"/>
      <c r="AG174" s="1249"/>
      <c r="AH174" s="1249"/>
      <c r="AI174" s="230"/>
      <c r="AJ174" s="230"/>
      <c r="AK174" s="230"/>
      <c r="AL174" s="230"/>
      <c r="AM174" s="230"/>
      <c r="AN174" s="1249"/>
      <c r="AO174" s="1249"/>
      <c r="AP174" s="1249"/>
      <c r="AQ174" s="1249"/>
      <c r="AR174" s="1249"/>
      <c r="AS174" s="230"/>
      <c r="AT174" s="230"/>
      <c r="AU174" s="230"/>
      <c r="AV174" s="230"/>
      <c r="AW174" s="230"/>
      <c r="AX174" s="1249"/>
      <c r="AY174" s="1249"/>
      <c r="AZ174" s="1249"/>
      <c r="BA174" s="1249"/>
      <c r="BB174" s="1249"/>
      <c r="BC174" s="1290"/>
      <c r="BD174" s="791"/>
      <c r="BE174" s="791"/>
      <c r="BF174" s="970" t="s">
        <v>1148</v>
      </c>
    </row>
    <row r="175" spans="1:58" s="1229" customFormat="1" ht="14.25" customHeight="1">
      <c r="A175" s="1155"/>
      <c r="B175" s="783"/>
      <c r="C175" s="1155"/>
      <c r="D175" s="1155"/>
      <c r="E175" s="676">
        <v>15</v>
      </c>
      <c r="F175" s="779" t="str" cm="1">
        <f t="array" ref="F175">F174</f>
        <v>1</v>
      </c>
      <c r="G175" s="814"/>
      <c r="H175" s="814"/>
      <c r="I175" s="814"/>
      <c r="J175" s="814"/>
      <c r="K175" s="814"/>
      <c r="L175" s="814"/>
      <c r="M175" s="814"/>
      <c r="N175" s="814"/>
      <c r="O175" s="814"/>
      <c r="P175" s="814"/>
      <c r="Q175" s="784"/>
      <c r="R175" s="784"/>
      <c r="S175" s="814"/>
      <c r="T175" s="698" t="b" cm="1">
        <f t="array" ref="T175">T174</f>
        <v>1</v>
      </c>
      <c r="U175" s="1155"/>
      <c r="V175" s="1155"/>
      <c r="W175" s="1155"/>
      <c r="X175" s="1687"/>
      <c r="Y175" s="1155"/>
      <c r="Z175" s="1687"/>
      <c r="AA175" s="791"/>
      <c r="AB175" s="420" t="str">
        <f>AB173&amp;".2"</f>
        <v>4.4.2</v>
      </c>
      <c r="AC175" s="422" t="s">
        <v>1089</v>
      </c>
      <c r="AD175" s="420" t="s">
        <v>1077</v>
      </c>
      <c r="AE175" s="1249"/>
      <c r="AF175" s="1249"/>
      <c r="AG175" s="1249"/>
      <c r="AH175" s="1249"/>
      <c r="AI175" s="230"/>
      <c r="AJ175" s="230"/>
      <c r="AK175" s="230"/>
      <c r="AL175" s="230"/>
      <c r="AM175" s="230"/>
      <c r="AN175" s="1249"/>
      <c r="AO175" s="1249"/>
      <c r="AP175" s="1249"/>
      <c r="AQ175" s="1249"/>
      <c r="AR175" s="1249"/>
      <c r="AS175" s="230"/>
      <c r="AT175" s="230"/>
      <c r="AU175" s="230"/>
      <c r="AV175" s="230"/>
      <c r="AW175" s="230"/>
      <c r="AX175" s="1249"/>
      <c r="AY175" s="1249"/>
      <c r="AZ175" s="1249"/>
      <c r="BA175" s="1249"/>
      <c r="BB175" s="1249"/>
      <c r="BC175" s="1290"/>
      <c r="BD175" s="791"/>
      <c r="BE175" s="791"/>
      <c r="BF175" s="970" t="s">
        <v>1149</v>
      </c>
    </row>
    <row r="176" spans="1:58" s="1229" customFormat="1" ht="14.25" customHeight="1">
      <c r="A176" s="1155"/>
      <c r="B176" s="783"/>
      <c r="C176" s="1155"/>
      <c r="D176" s="1155"/>
      <c r="E176" s="676">
        <v>15</v>
      </c>
      <c r="F176" s="779" t="str" cm="1">
        <f t="array" ref="F176">F175</f>
        <v>1</v>
      </c>
      <c r="G176" s="814"/>
      <c r="H176" s="814"/>
      <c r="I176" s="814"/>
      <c r="J176" s="814"/>
      <c r="K176" s="814"/>
      <c r="L176" s="814"/>
      <c r="M176" s="814"/>
      <c r="N176" s="814"/>
      <c r="O176" s="814"/>
      <c r="P176" s="814"/>
      <c r="Q176" s="784"/>
      <c r="R176" s="784"/>
      <c r="S176" s="814"/>
      <c r="T176" s="698" t="b" cm="1">
        <f t="array" ref="T176">T175</f>
        <v>1</v>
      </c>
      <c r="U176" s="1155"/>
      <c r="V176" s="1155"/>
      <c r="W176" s="1155"/>
      <c r="X176" s="1687"/>
      <c r="Y176" s="1155"/>
      <c r="Z176" s="1687"/>
      <c r="AA176" s="791"/>
      <c r="AB176" s="420" t="str">
        <f>AB173&amp;".3"</f>
        <v>4.4.3</v>
      </c>
      <c r="AC176" s="422" t="s">
        <v>1092</v>
      </c>
      <c r="AD176" s="420" t="s">
        <v>1077</v>
      </c>
      <c r="AE176" s="1249"/>
      <c r="AF176" s="1249"/>
      <c r="AG176" s="1249"/>
      <c r="AH176" s="1249"/>
      <c r="AI176" s="230"/>
      <c r="AJ176" s="230"/>
      <c r="AK176" s="230"/>
      <c r="AL176" s="230"/>
      <c r="AM176" s="230"/>
      <c r="AN176" s="1249"/>
      <c r="AO176" s="1249"/>
      <c r="AP176" s="1249"/>
      <c r="AQ176" s="1249"/>
      <c r="AR176" s="1249"/>
      <c r="AS176" s="230"/>
      <c r="AT176" s="230"/>
      <c r="AU176" s="230"/>
      <c r="AV176" s="230"/>
      <c r="AW176" s="230"/>
      <c r="AX176" s="1249"/>
      <c r="AY176" s="1249"/>
      <c r="AZ176" s="1249"/>
      <c r="BA176" s="1249"/>
      <c r="BB176" s="1249"/>
      <c r="BC176" s="1290"/>
      <c r="BD176" s="791"/>
      <c r="BE176" s="791"/>
      <c r="BF176" s="970" t="s">
        <v>1150</v>
      </c>
    </row>
    <row r="177" spans="1:58" s="1229" customFormat="1" ht="14.25" customHeight="1">
      <c r="A177" s="1155"/>
      <c r="B177" s="783"/>
      <c r="C177" s="1155"/>
      <c r="D177" s="1155"/>
      <c r="E177" s="676">
        <v>15</v>
      </c>
      <c r="F177" s="779" t="str" cm="1">
        <f t="array" ref="F177">F176</f>
        <v>1</v>
      </c>
      <c r="G177" s="814"/>
      <c r="H177" s="814"/>
      <c r="I177" s="814"/>
      <c r="J177" s="814"/>
      <c r="K177" s="814"/>
      <c r="L177" s="814"/>
      <c r="M177" s="814"/>
      <c r="N177" s="814"/>
      <c r="O177" s="814"/>
      <c r="P177" s="814"/>
      <c r="Q177" s="784"/>
      <c r="R177" s="784"/>
      <c r="S177" s="814"/>
      <c r="T177" s="698" t="b" cm="1">
        <f t="array" ref="T177">T176</f>
        <v>1</v>
      </c>
      <c r="U177" s="1155"/>
      <c r="V177" s="1155"/>
      <c r="W177" s="1155"/>
      <c r="X177" s="1687"/>
      <c r="Y177" s="1155"/>
      <c r="Z177" s="1687"/>
      <c r="AA177" s="791"/>
      <c r="AB177" s="420" t="str">
        <f>AB173&amp;".4"</f>
        <v>4.4.4</v>
      </c>
      <c r="AC177" s="422" t="s">
        <v>1095</v>
      </c>
      <c r="AD177" s="420" t="s">
        <v>1077</v>
      </c>
      <c r="AE177" s="1249"/>
      <c r="AF177" s="1249"/>
      <c r="AG177" s="1249"/>
      <c r="AH177" s="1249"/>
      <c r="AI177" s="230"/>
      <c r="AJ177" s="230"/>
      <c r="AK177" s="230"/>
      <c r="AL177" s="230"/>
      <c r="AM177" s="230"/>
      <c r="AN177" s="1249"/>
      <c r="AO177" s="1249"/>
      <c r="AP177" s="1249"/>
      <c r="AQ177" s="1249"/>
      <c r="AR177" s="1249"/>
      <c r="AS177" s="230"/>
      <c r="AT177" s="230"/>
      <c r="AU177" s="230"/>
      <c r="AV177" s="230"/>
      <c r="AW177" s="230"/>
      <c r="AX177" s="1249"/>
      <c r="AY177" s="1249"/>
      <c r="AZ177" s="1249"/>
      <c r="BA177" s="1249"/>
      <c r="BB177" s="1249"/>
      <c r="BC177" s="1290"/>
      <c r="BD177" s="791"/>
      <c r="BE177" s="791"/>
      <c r="BF177" s="970" t="s">
        <v>1151</v>
      </c>
    </row>
    <row r="178" spans="1:58" s="1229" customFormat="1" ht="14.25" customHeight="1">
      <c r="A178" s="1155"/>
      <c r="B178" s="783"/>
      <c r="C178" s="1155"/>
      <c r="D178" s="1155"/>
      <c r="E178" s="676">
        <v>15</v>
      </c>
      <c r="F178" s="779" t="str" cm="1">
        <f t="array" ref="F178">F177</f>
        <v>1</v>
      </c>
      <c r="G178" s="814"/>
      <c r="H178" s="814"/>
      <c r="I178" s="814"/>
      <c r="J178" s="814"/>
      <c r="K178" s="814"/>
      <c r="L178" s="814"/>
      <c r="M178" s="814"/>
      <c r="N178" s="814"/>
      <c r="O178" s="814"/>
      <c r="P178" s="814"/>
      <c r="Q178" s="784"/>
      <c r="R178" s="784"/>
      <c r="S178" s="814"/>
      <c r="T178" s="698" t="b" cm="1">
        <f t="array" ref="T178">T177</f>
        <v>1</v>
      </c>
      <c r="U178" s="1155"/>
      <c r="V178" s="1155"/>
      <c r="W178" s="1155"/>
      <c r="X178" s="1687"/>
      <c r="Y178" s="1155"/>
      <c r="Z178" s="1687"/>
      <c r="AA178" s="791"/>
      <c r="AB178" s="420" t="str">
        <f>AB173&amp;".5"</f>
        <v>4.4.5</v>
      </c>
      <c r="AC178" s="422" t="s">
        <v>1098</v>
      </c>
      <c r="AD178" s="420" t="s">
        <v>1077</v>
      </c>
      <c r="AE178" s="1249"/>
      <c r="AF178" s="1249"/>
      <c r="AG178" s="1249"/>
      <c r="AH178" s="1249"/>
      <c r="AI178" s="230"/>
      <c r="AJ178" s="230"/>
      <c r="AK178" s="230"/>
      <c r="AL178" s="230"/>
      <c r="AM178" s="230"/>
      <c r="AN178" s="1249"/>
      <c r="AO178" s="1249"/>
      <c r="AP178" s="1249"/>
      <c r="AQ178" s="1249"/>
      <c r="AR178" s="1249"/>
      <c r="AS178" s="230"/>
      <c r="AT178" s="230"/>
      <c r="AU178" s="230"/>
      <c r="AV178" s="230"/>
      <c r="AW178" s="230"/>
      <c r="AX178" s="1249"/>
      <c r="AY178" s="1249"/>
      <c r="AZ178" s="1249"/>
      <c r="BA178" s="1249"/>
      <c r="BB178" s="1249"/>
      <c r="BC178" s="1290"/>
      <c r="BD178" s="791"/>
      <c r="BE178" s="791"/>
      <c r="BF178" s="970" t="s">
        <v>1152</v>
      </c>
    </row>
    <row r="179" spans="1:58" s="1229" customFormat="1" ht="14.25" customHeight="1">
      <c r="A179" s="1155"/>
      <c r="B179" s="783"/>
      <c r="C179" s="1155"/>
      <c r="D179" s="1155"/>
      <c r="E179" s="676">
        <v>15</v>
      </c>
      <c r="F179" s="779" t="str" cm="1">
        <f t="array" ref="F179">F178</f>
        <v>1</v>
      </c>
      <c r="G179" s="814"/>
      <c r="H179" s="814"/>
      <c r="I179" s="814"/>
      <c r="J179" s="814"/>
      <c r="K179" s="814"/>
      <c r="L179" s="814"/>
      <c r="M179" s="814"/>
      <c r="N179" s="814"/>
      <c r="O179" s="814"/>
      <c r="P179" s="814"/>
      <c r="Q179" s="784"/>
      <c r="R179" s="784"/>
      <c r="S179" s="814"/>
      <c r="T179" s="698" t="b" cm="1">
        <f t="array" ref="T179">T178</f>
        <v>1</v>
      </c>
      <c r="U179" s="1155"/>
      <c r="V179" s="1155"/>
      <c r="W179" s="1155"/>
      <c r="X179" s="1687"/>
      <c r="Y179" s="1155"/>
      <c r="Z179" s="1687"/>
      <c r="AA179" s="791"/>
      <c r="AB179" s="420" t="str">
        <f>AB169&amp;".5"</f>
        <v>4.5</v>
      </c>
      <c r="AC179" s="421" t="s">
        <v>1101</v>
      </c>
      <c r="AD179" s="420" t="s">
        <v>1077</v>
      </c>
      <c r="AE179" s="1249"/>
      <c r="AF179" s="1249"/>
      <c r="AG179" s="1249"/>
      <c r="AH179" s="1249"/>
      <c r="AI179" s="230"/>
      <c r="AJ179" s="230"/>
      <c r="AK179" s="230"/>
      <c r="AL179" s="230"/>
      <c r="AM179" s="230"/>
      <c r="AN179" s="1249"/>
      <c r="AO179" s="1249"/>
      <c r="AP179" s="1249"/>
      <c r="AQ179" s="1249"/>
      <c r="AR179" s="1249"/>
      <c r="AS179" s="230"/>
      <c r="AT179" s="230"/>
      <c r="AU179" s="230"/>
      <c r="AV179" s="230"/>
      <c r="AW179" s="230"/>
      <c r="AX179" s="1249"/>
      <c r="AY179" s="1249"/>
      <c r="AZ179" s="1249"/>
      <c r="BA179" s="1249"/>
      <c r="BB179" s="1249"/>
      <c r="BC179" s="1290"/>
      <c r="BD179" s="791"/>
      <c r="BE179" s="791"/>
      <c r="BF179" s="970" t="s">
        <v>1153</v>
      </c>
    </row>
    <row r="180" spans="1:58" s="1229" customFormat="1" ht="14.25" customHeight="1">
      <c r="A180" s="1155"/>
      <c r="B180" s="783"/>
      <c r="C180" s="1155"/>
      <c r="D180" s="1155"/>
      <c r="E180" s="676">
        <v>15</v>
      </c>
      <c r="F180" s="779" t="str" cm="1">
        <f t="array" ref="F180">F179</f>
        <v>1</v>
      </c>
      <c r="G180" s="814"/>
      <c r="H180" s="814"/>
      <c r="I180" s="814"/>
      <c r="J180" s="814"/>
      <c r="K180" s="814"/>
      <c r="L180" s="814"/>
      <c r="M180" s="814"/>
      <c r="N180" s="814"/>
      <c r="O180" s="814"/>
      <c r="P180" s="814"/>
      <c r="Q180" s="784"/>
      <c r="R180" s="784"/>
      <c r="S180" s="814"/>
      <c r="T180" s="698" t="b" cm="1">
        <f t="array" ref="T180">T179</f>
        <v>1</v>
      </c>
      <c r="U180" s="1155"/>
      <c r="V180" s="1155"/>
      <c r="W180" s="1155"/>
      <c r="X180" s="1687"/>
      <c r="Y180" s="1155"/>
      <c r="Z180" s="1687"/>
      <c r="AA180" s="791"/>
      <c r="AB180" s="420" t="str">
        <f>AB169&amp;".6"</f>
        <v>4.6</v>
      </c>
      <c r="AC180" s="421" t="s">
        <v>1104</v>
      </c>
      <c r="AD180" s="420" t="s">
        <v>1077</v>
      </c>
      <c r="AE180" s="1249"/>
      <c r="AF180" s="1249"/>
      <c r="AG180" s="1249"/>
      <c r="AH180" s="1249"/>
      <c r="AI180" s="230"/>
      <c r="AJ180" s="230"/>
      <c r="AK180" s="230"/>
      <c r="AL180" s="230"/>
      <c r="AM180" s="230"/>
      <c r="AN180" s="1249"/>
      <c r="AO180" s="1249"/>
      <c r="AP180" s="1249"/>
      <c r="AQ180" s="1249"/>
      <c r="AR180" s="1249"/>
      <c r="AS180" s="230"/>
      <c r="AT180" s="230"/>
      <c r="AU180" s="230"/>
      <c r="AV180" s="230"/>
      <c r="AW180" s="230"/>
      <c r="AX180" s="1249"/>
      <c r="AY180" s="1249"/>
      <c r="AZ180" s="1249"/>
      <c r="BA180" s="1249"/>
      <c r="BB180" s="1249"/>
      <c r="BC180" s="1290"/>
      <c r="BD180" s="791"/>
      <c r="BE180" s="791"/>
      <c r="BF180" s="970" t="s">
        <v>1154</v>
      </c>
    </row>
    <row r="181" spans="1:58" s="1229" customFormat="1" ht="14.25" customHeight="1">
      <c r="A181" s="1155"/>
      <c r="B181" s="783"/>
      <c r="C181" s="1155"/>
      <c r="D181" s="1155"/>
      <c r="E181" s="676">
        <v>15</v>
      </c>
      <c r="F181" s="779" t="str" cm="1">
        <f t="array" ref="F181">F180</f>
        <v>1</v>
      </c>
      <c r="G181" s="814"/>
      <c r="H181" s="814"/>
      <c r="I181" s="814"/>
      <c r="J181" s="814"/>
      <c r="K181" s="814"/>
      <c r="L181" s="814"/>
      <c r="M181" s="814"/>
      <c r="N181" s="814"/>
      <c r="O181" s="814"/>
      <c r="P181" s="814"/>
      <c r="Q181" s="784"/>
      <c r="R181" s="784"/>
      <c r="S181" s="814"/>
      <c r="T181" s="698" t="b" cm="1">
        <f t="array" ref="T181">T180</f>
        <v>1</v>
      </c>
      <c r="U181" s="1155"/>
      <c r="V181" s="1155"/>
      <c r="W181" s="1155"/>
      <c r="X181" s="1687"/>
      <c r="Y181" s="1155"/>
      <c r="Z181" s="1687"/>
      <c r="AA181" s="791"/>
      <c r="AB181" s="420" t="str">
        <f>AB169&amp;".7"</f>
        <v>4.7</v>
      </c>
      <c r="AC181" s="421" t="s">
        <v>1107</v>
      </c>
      <c r="AD181" s="420" t="s">
        <v>1077</v>
      </c>
      <c r="AE181" s="1249"/>
      <c r="AF181" s="1249"/>
      <c r="AG181" s="1249"/>
      <c r="AH181" s="1249"/>
      <c r="AI181" s="230"/>
      <c r="AJ181" s="230"/>
      <c r="AK181" s="230"/>
      <c r="AL181" s="230"/>
      <c r="AM181" s="230"/>
      <c r="AN181" s="1249"/>
      <c r="AO181" s="1249"/>
      <c r="AP181" s="1249"/>
      <c r="AQ181" s="1249"/>
      <c r="AR181" s="1249"/>
      <c r="AS181" s="230"/>
      <c r="AT181" s="230"/>
      <c r="AU181" s="230"/>
      <c r="AV181" s="230"/>
      <c r="AW181" s="230"/>
      <c r="AX181" s="1249"/>
      <c r="AY181" s="1249"/>
      <c r="AZ181" s="1249"/>
      <c r="BA181" s="1249"/>
      <c r="BB181" s="1249"/>
      <c r="BC181" s="1290"/>
      <c r="BD181" s="791"/>
      <c r="BE181" s="791"/>
      <c r="BF181" s="970" t="s">
        <v>1155</v>
      </c>
    </row>
    <row r="182" spans="1:58" s="1229" customFormat="1" ht="14.25" customHeight="1">
      <c r="A182" s="1155"/>
      <c r="B182" s="783"/>
      <c r="C182" s="1155"/>
      <c r="D182" s="1155"/>
      <c r="E182" s="676">
        <v>15</v>
      </c>
      <c r="F182" s="779" t="str" cm="1">
        <f t="array" ref="F182">F181</f>
        <v>1</v>
      </c>
      <c r="G182" s="814"/>
      <c r="H182" s="814"/>
      <c r="I182" s="814"/>
      <c r="J182" s="814"/>
      <c r="K182" s="814"/>
      <c r="L182" s="814"/>
      <c r="M182" s="814"/>
      <c r="N182" s="814"/>
      <c r="O182" s="814"/>
      <c r="P182" s="814"/>
      <c r="Q182" s="784"/>
      <c r="R182" s="784"/>
      <c r="S182" s="814"/>
      <c r="T182" s="698" t="b" cm="1">
        <f t="array" ref="T182">T181</f>
        <v>1</v>
      </c>
      <c r="U182" s="1155"/>
      <c r="V182" s="1155"/>
      <c r="W182" s="1155"/>
      <c r="X182" s="1687"/>
      <c r="Y182" s="1155"/>
      <c r="Z182" s="1687"/>
      <c r="AA182" s="791"/>
      <c r="AB182" s="420" t="str">
        <f>AB169&amp;".8"</f>
        <v>4.8</v>
      </c>
      <c r="AC182" s="421" t="s">
        <v>1110</v>
      </c>
      <c r="AD182" s="420" t="s">
        <v>1077</v>
      </c>
      <c r="AE182" s="1249"/>
      <c r="AF182" s="1249"/>
      <c r="AG182" s="1249"/>
      <c r="AH182" s="1249"/>
      <c r="AI182" s="230"/>
      <c r="AJ182" s="230"/>
      <c r="AK182" s="230"/>
      <c r="AL182" s="230"/>
      <c r="AM182" s="230"/>
      <c r="AN182" s="1249"/>
      <c r="AO182" s="1249"/>
      <c r="AP182" s="1249"/>
      <c r="AQ182" s="1249"/>
      <c r="AR182" s="1249"/>
      <c r="AS182" s="230"/>
      <c r="AT182" s="230"/>
      <c r="AU182" s="230"/>
      <c r="AV182" s="230"/>
      <c r="AW182" s="230"/>
      <c r="AX182" s="1249"/>
      <c r="AY182" s="1249"/>
      <c r="AZ182" s="1249"/>
      <c r="BA182" s="1249"/>
      <c r="BB182" s="1249"/>
      <c r="BC182" s="1290"/>
      <c r="BD182" s="791"/>
      <c r="BE182" s="791"/>
      <c r="BF182" s="970" t="s">
        <v>1156</v>
      </c>
    </row>
    <row r="183" spans="1:58" s="167" customFormat="1" ht="21.75" customHeight="1">
      <c r="E183" s="676">
        <v>22.8</v>
      </c>
      <c r="F183" s="779" t="str" cm="1">
        <f t="array" ref="F183">F182</f>
        <v>1</v>
      </c>
      <c r="T183" s="698" t="b" cm="1">
        <f t="array" ref="T183">T182</f>
        <v>1</v>
      </c>
      <c r="X183" s="1811"/>
      <c r="Z183" s="1811"/>
      <c r="AB183" s="227">
        <v>5</v>
      </c>
      <c r="AC183" s="228" t="s">
        <v>1157</v>
      </c>
      <c r="AD183" s="107" t="s">
        <v>839</v>
      </c>
      <c r="AE183" s="1320">
        <f t="shared" ref="AE183:BB183" si="46">SUM(AE184:AE187)+SUM(AE193:AE196)</f>
        <v>0</v>
      </c>
      <c r="AF183" s="1320">
        <f t="shared" si="46"/>
        <v>0</v>
      </c>
      <c r="AG183" s="1320">
        <f t="shared" si="46"/>
        <v>0</v>
      </c>
      <c r="AH183" s="1320">
        <f t="shared" si="46"/>
        <v>0</v>
      </c>
      <c r="AI183" s="242">
        <f t="shared" si="46"/>
        <v>0</v>
      </c>
      <c r="AJ183" s="242">
        <f t="shared" si="46"/>
        <v>0</v>
      </c>
      <c r="AK183" s="242">
        <f t="shared" si="46"/>
        <v>0</v>
      </c>
      <c r="AL183" s="242">
        <f t="shared" si="46"/>
        <v>0</v>
      </c>
      <c r="AM183" s="242">
        <f t="shared" si="46"/>
        <v>0</v>
      </c>
      <c r="AN183" s="1320">
        <f t="shared" si="46"/>
        <v>0</v>
      </c>
      <c r="AO183" s="1320">
        <f t="shared" si="46"/>
        <v>0</v>
      </c>
      <c r="AP183" s="1320">
        <f t="shared" si="46"/>
        <v>0</v>
      </c>
      <c r="AQ183" s="1320">
        <f t="shared" si="46"/>
        <v>0</v>
      </c>
      <c r="AR183" s="1320">
        <f t="shared" si="46"/>
        <v>0</v>
      </c>
      <c r="AS183" s="242">
        <f t="shared" si="46"/>
        <v>0</v>
      </c>
      <c r="AT183" s="242">
        <f t="shared" si="46"/>
        <v>0</v>
      </c>
      <c r="AU183" s="242">
        <f t="shared" si="46"/>
        <v>0</v>
      </c>
      <c r="AV183" s="242">
        <f t="shared" si="46"/>
        <v>0</v>
      </c>
      <c r="AW183" s="242">
        <f t="shared" si="46"/>
        <v>0</v>
      </c>
      <c r="AX183" s="1320">
        <f t="shared" si="46"/>
        <v>0</v>
      </c>
      <c r="AY183" s="1320">
        <f t="shared" si="46"/>
        <v>0</v>
      </c>
      <c r="AZ183" s="1320">
        <f t="shared" si="46"/>
        <v>0</v>
      </c>
      <c r="BA183" s="1320">
        <f t="shared" si="46"/>
        <v>0</v>
      </c>
      <c r="BB183" s="1320">
        <f t="shared" si="46"/>
        <v>0</v>
      </c>
      <c r="BC183" s="1290"/>
      <c r="BF183" s="970" t="s">
        <v>1158</v>
      </c>
    </row>
    <row r="184" spans="1:58" s="1229" customFormat="1" ht="14.25" customHeight="1">
      <c r="A184" s="1155"/>
      <c r="B184" s="783"/>
      <c r="C184" s="1155"/>
      <c r="D184" s="1155"/>
      <c r="E184" s="676">
        <v>15</v>
      </c>
      <c r="F184" s="779" t="str" cm="1">
        <f t="array" ref="F184">F183</f>
        <v>1</v>
      </c>
      <c r="G184" s="814"/>
      <c r="H184" s="814"/>
      <c r="I184" s="814"/>
      <c r="J184" s="814"/>
      <c r="K184" s="814"/>
      <c r="L184" s="814"/>
      <c r="M184" s="814"/>
      <c r="N184" s="814"/>
      <c r="O184" s="814"/>
      <c r="P184" s="814"/>
      <c r="Q184" s="784"/>
      <c r="R184" s="784"/>
      <c r="S184" s="814"/>
      <c r="T184" s="698" t="b" cm="1">
        <f t="array" ref="T184">T183</f>
        <v>1</v>
      </c>
      <c r="U184" s="1155"/>
      <c r="V184" s="1155"/>
      <c r="W184" s="1155"/>
      <c r="X184" s="1687"/>
      <c r="Y184" s="1155"/>
      <c r="Z184" s="1687"/>
      <c r="AA184" s="791"/>
      <c r="AB184" s="412" t="str">
        <f>AB183&amp;".1"</f>
        <v>5.1</v>
      </c>
      <c r="AC184" s="404" t="s">
        <v>1076</v>
      </c>
      <c r="AD184" s="412" t="s">
        <v>1077</v>
      </c>
      <c r="AE184" s="1324">
        <f t="shared" ref="AE184:BB184" si="47">(AE128*2+AE142+AE156-AE170)/2</f>
        <v>0</v>
      </c>
      <c r="AF184" s="1324">
        <f t="shared" si="47"/>
        <v>0</v>
      </c>
      <c r="AG184" s="1324">
        <f t="shared" si="47"/>
        <v>0</v>
      </c>
      <c r="AH184" s="1324">
        <f t="shared" si="47"/>
        <v>0</v>
      </c>
      <c r="AI184" s="415">
        <f t="shared" si="47"/>
        <v>0</v>
      </c>
      <c r="AJ184" s="415">
        <f t="shared" si="47"/>
        <v>0</v>
      </c>
      <c r="AK184" s="415">
        <f t="shared" si="47"/>
        <v>0</v>
      </c>
      <c r="AL184" s="415">
        <f t="shared" si="47"/>
        <v>0</v>
      </c>
      <c r="AM184" s="415">
        <f t="shared" si="47"/>
        <v>0</v>
      </c>
      <c r="AN184" s="1324">
        <f t="shared" si="47"/>
        <v>0</v>
      </c>
      <c r="AO184" s="1324">
        <f t="shared" si="47"/>
        <v>0</v>
      </c>
      <c r="AP184" s="1324">
        <f t="shared" si="47"/>
        <v>0</v>
      </c>
      <c r="AQ184" s="1324">
        <f t="shared" si="47"/>
        <v>0</v>
      </c>
      <c r="AR184" s="1324">
        <f t="shared" si="47"/>
        <v>0</v>
      </c>
      <c r="AS184" s="415">
        <f t="shared" si="47"/>
        <v>0</v>
      </c>
      <c r="AT184" s="415">
        <f t="shared" si="47"/>
        <v>0</v>
      </c>
      <c r="AU184" s="415">
        <f t="shared" si="47"/>
        <v>0</v>
      </c>
      <c r="AV184" s="415">
        <f t="shared" si="47"/>
        <v>0</v>
      </c>
      <c r="AW184" s="415">
        <f t="shared" si="47"/>
        <v>0</v>
      </c>
      <c r="AX184" s="1324">
        <f t="shared" si="47"/>
        <v>0</v>
      </c>
      <c r="AY184" s="1324">
        <f t="shared" si="47"/>
        <v>0</v>
      </c>
      <c r="AZ184" s="1324">
        <f t="shared" si="47"/>
        <v>0</v>
      </c>
      <c r="BA184" s="1324">
        <f t="shared" si="47"/>
        <v>0</v>
      </c>
      <c r="BB184" s="1324">
        <f t="shared" si="47"/>
        <v>0</v>
      </c>
      <c r="BC184" s="1325"/>
      <c r="BD184" s="791"/>
      <c r="BE184" s="791"/>
      <c r="BF184" s="970" t="s">
        <v>1159</v>
      </c>
    </row>
    <row r="185" spans="1:58" s="1229" customFormat="1" ht="14.25" customHeight="1">
      <c r="A185" s="1155"/>
      <c r="B185" s="783"/>
      <c r="C185" s="1155"/>
      <c r="D185" s="1155"/>
      <c r="E185" s="676">
        <v>15</v>
      </c>
      <c r="F185" s="779" t="str" cm="1">
        <f t="array" ref="F185">F184</f>
        <v>1</v>
      </c>
      <c r="G185" s="814"/>
      <c r="H185" s="814"/>
      <c r="I185" s="814"/>
      <c r="J185" s="814"/>
      <c r="K185" s="814"/>
      <c r="L185" s="814"/>
      <c r="M185" s="814"/>
      <c r="N185" s="814"/>
      <c r="O185" s="814"/>
      <c r="P185" s="814"/>
      <c r="Q185" s="784"/>
      <c r="R185" s="784"/>
      <c r="S185" s="814"/>
      <c r="T185" s="698" t="b" cm="1">
        <f t="array" ref="T185">T184</f>
        <v>1</v>
      </c>
      <c r="U185" s="1155"/>
      <c r="V185" s="1155"/>
      <c r="W185" s="1155"/>
      <c r="X185" s="1687"/>
      <c r="Y185" s="1155"/>
      <c r="Z185" s="1687"/>
      <c r="AA185" s="791"/>
      <c r="AB185" s="412" t="str">
        <f>AB183&amp;".2"</f>
        <v>5.2</v>
      </c>
      <c r="AC185" s="404" t="s">
        <v>1079</v>
      </c>
      <c r="AD185" s="412" t="s">
        <v>1077</v>
      </c>
      <c r="AE185" s="1324">
        <f t="shared" ref="AE185:BB185" si="48">(AE129*2+AE143+AE157-AE171)/2</f>
        <v>0</v>
      </c>
      <c r="AF185" s="1324">
        <f t="shared" si="48"/>
        <v>0</v>
      </c>
      <c r="AG185" s="1324">
        <f t="shared" si="48"/>
        <v>0</v>
      </c>
      <c r="AH185" s="1324">
        <f t="shared" si="48"/>
        <v>0</v>
      </c>
      <c r="AI185" s="415">
        <f t="shared" si="48"/>
        <v>0</v>
      </c>
      <c r="AJ185" s="415">
        <f t="shared" si="48"/>
        <v>0</v>
      </c>
      <c r="AK185" s="415">
        <f t="shared" si="48"/>
        <v>0</v>
      </c>
      <c r="AL185" s="415">
        <f t="shared" si="48"/>
        <v>0</v>
      </c>
      <c r="AM185" s="415">
        <f t="shared" si="48"/>
        <v>0</v>
      </c>
      <c r="AN185" s="1324">
        <f t="shared" si="48"/>
        <v>0</v>
      </c>
      <c r="AO185" s="1324">
        <f t="shared" si="48"/>
        <v>0</v>
      </c>
      <c r="AP185" s="1324">
        <f t="shared" si="48"/>
        <v>0</v>
      </c>
      <c r="AQ185" s="1324">
        <f t="shared" si="48"/>
        <v>0</v>
      </c>
      <c r="AR185" s="1324">
        <f t="shared" si="48"/>
        <v>0</v>
      </c>
      <c r="AS185" s="415">
        <f t="shared" si="48"/>
        <v>0</v>
      </c>
      <c r="AT185" s="415">
        <f t="shared" si="48"/>
        <v>0</v>
      </c>
      <c r="AU185" s="415">
        <f t="shared" si="48"/>
        <v>0</v>
      </c>
      <c r="AV185" s="415">
        <f t="shared" si="48"/>
        <v>0</v>
      </c>
      <c r="AW185" s="415">
        <f t="shared" si="48"/>
        <v>0</v>
      </c>
      <c r="AX185" s="1324">
        <f t="shared" si="48"/>
        <v>0</v>
      </c>
      <c r="AY185" s="1324">
        <f t="shared" si="48"/>
        <v>0</v>
      </c>
      <c r="AZ185" s="1324">
        <f t="shared" si="48"/>
        <v>0</v>
      </c>
      <c r="BA185" s="1324">
        <f t="shared" si="48"/>
        <v>0</v>
      </c>
      <c r="BB185" s="1324">
        <f t="shared" si="48"/>
        <v>0</v>
      </c>
      <c r="BC185" s="1325"/>
      <c r="BD185" s="791"/>
      <c r="BE185" s="791"/>
      <c r="BF185" s="970" t="s">
        <v>1160</v>
      </c>
    </row>
    <row r="186" spans="1:58" s="1229" customFormat="1" ht="14.25" customHeight="1">
      <c r="A186" s="1155"/>
      <c r="B186" s="783"/>
      <c r="C186" s="1155"/>
      <c r="D186" s="1155"/>
      <c r="E186" s="676">
        <v>15</v>
      </c>
      <c r="F186" s="779" t="str" cm="1">
        <f t="array" ref="F186">F185</f>
        <v>1</v>
      </c>
      <c r="G186" s="814"/>
      <c r="H186" s="814"/>
      <c r="I186" s="814"/>
      <c r="J186" s="814"/>
      <c r="K186" s="814"/>
      <c r="L186" s="814"/>
      <c r="M186" s="814"/>
      <c r="N186" s="814"/>
      <c r="O186" s="814"/>
      <c r="P186" s="814"/>
      <c r="Q186" s="784"/>
      <c r="R186" s="784"/>
      <c r="S186" s="814"/>
      <c r="T186" s="698" t="b" cm="1">
        <f t="array" ref="T186">T185</f>
        <v>1</v>
      </c>
      <c r="U186" s="1155"/>
      <c r="V186" s="1155"/>
      <c r="W186" s="1155"/>
      <c r="X186" s="1687"/>
      <c r="Y186" s="1155"/>
      <c r="Z186" s="1687"/>
      <c r="AA186" s="791"/>
      <c r="AB186" s="412" t="str">
        <f>AB183&amp;".3"</f>
        <v>5.3</v>
      </c>
      <c r="AC186" s="404" t="s">
        <v>1081</v>
      </c>
      <c r="AD186" s="412" t="s">
        <v>1077</v>
      </c>
      <c r="AE186" s="1324">
        <f t="shared" ref="AE186:BB186" si="49">(AE130*2+AE144+AE158-AE172)/2</f>
        <v>0</v>
      </c>
      <c r="AF186" s="1324">
        <f t="shared" si="49"/>
        <v>0</v>
      </c>
      <c r="AG186" s="1324">
        <f t="shared" si="49"/>
        <v>0</v>
      </c>
      <c r="AH186" s="1324">
        <f t="shared" si="49"/>
        <v>0</v>
      </c>
      <c r="AI186" s="415">
        <f t="shared" si="49"/>
        <v>0</v>
      </c>
      <c r="AJ186" s="415">
        <f t="shared" si="49"/>
        <v>0</v>
      </c>
      <c r="AK186" s="415">
        <f t="shared" si="49"/>
        <v>0</v>
      </c>
      <c r="AL186" s="415">
        <f t="shared" si="49"/>
        <v>0</v>
      </c>
      <c r="AM186" s="415">
        <f t="shared" si="49"/>
        <v>0</v>
      </c>
      <c r="AN186" s="1324">
        <f t="shared" si="49"/>
        <v>0</v>
      </c>
      <c r="AO186" s="1324">
        <f t="shared" si="49"/>
        <v>0</v>
      </c>
      <c r="AP186" s="1324">
        <f t="shared" si="49"/>
        <v>0</v>
      </c>
      <c r="AQ186" s="1324">
        <f t="shared" si="49"/>
        <v>0</v>
      </c>
      <c r="AR186" s="1324">
        <f t="shared" si="49"/>
        <v>0</v>
      </c>
      <c r="AS186" s="415">
        <f t="shared" si="49"/>
        <v>0</v>
      </c>
      <c r="AT186" s="415">
        <f t="shared" si="49"/>
        <v>0</v>
      </c>
      <c r="AU186" s="415">
        <f t="shared" si="49"/>
        <v>0</v>
      </c>
      <c r="AV186" s="415">
        <f t="shared" si="49"/>
        <v>0</v>
      </c>
      <c r="AW186" s="415">
        <f t="shared" si="49"/>
        <v>0</v>
      </c>
      <c r="AX186" s="1324">
        <f t="shared" si="49"/>
        <v>0</v>
      </c>
      <c r="AY186" s="1324">
        <f t="shared" si="49"/>
        <v>0</v>
      </c>
      <c r="AZ186" s="1324">
        <f t="shared" si="49"/>
        <v>0</v>
      </c>
      <c r="BA186" s="1324">
        <f t="shared" si="49"/>
        <v>0</v>
      </c>
      <c r="BB186" s="1324">
        <f t="shared" si="49"/>
        <v>0</v>
      </c>
      <c r="BC186" s="1325"/>
      <c r="BD186" s="791"/>
      <c r="BE186" s="791"/>
      <c r="BF186" s="970" t="s">
        <v>1161</v>
      </c>
    </row>
    <row r="187" spans="1:58" s="1229" customFormat="1" ht="14.25" customHeight="1">
      <c r="A187" s="1155"/>
      <c r="B187" s="783"/>
      <c r="C187" s="1155"/>
      <c r="D187" s="1155"/>
      <c r="E187" s="676">
        <v>15</v>
      </c>
      <c r="F187" s="779" t="str" cm="1">
        <f t="array" ref="F187">F186</f>
        <v>1</v>
      </c>
      <c r="G187" s="814"/>
      <c r="H187" s="814"/>
      <c r="I187" s="814"/>
      <c r="J187" s="814"/>
      <c r="K187" s="814"/>
      <c r="L187" s="814"/>
      <c r="M187" s="814"/>
      <c r="N187" s="814"/>
      <c r="O187" s="814"/>
      <c r="P187" s="814"/>
      <c r="Q187" s="784"/>
      <c r="R187" s="784"/>
      <c r="S187" s="814"/>
      <c r="T187" s="698" t="b" cm="1">
        <f t="array" ref="T187">T186</f>
        <v>1</v>
      </c>
      <c r="U187" s="1155"/>
      <c r="V187" s="1155"/>
      <c r="W187" s="1155"/>
      <c r="X187" s="1687"/>
      <c r="Y187" s="1155"/>
      <c r="Z187" s="1687"/>
      <c r="AA187" s="791"/>
      <c r="AB187" s="412" t="str">
        <f>AB183&amp;".4"</f>
        <v>5.4</v>
      </c>
      <c r="AC187" s="404" t="s">
        <v>1083</v>
      </c>
      <c r="AD187" s="412" t="s">
        <v>1077</v>
      </c>
      <c r="AE187" s="1324">
        <f t="shared" ref="AE187:BB187" si="50">SUM(AE188:AE192)</f>
        <v>0</v>
      </c>
      <c r="AF187" s="1324">
        <f t="shared" si="50"/>
        <v>0</v>
      </c>
      <c r="AG187" s="1324">
        <f t="shared" si="50"/>
        <v>0</v>
      </c>
      <c r="AH187" s="1324">
        <f t="shared" si="50"/>
        <v>0</v>
      </c>
      <c r="AI187" s="415">
        <f t="shared" si="50"/>
        <v>0</v>
      </c>
      <c r="AJ187" s="415">
        <f t="shared" si="50"/>
        <v>0</v>
      </c>
      <c r="AK187" s="415">
        <f t="shared" si="50"/>
        <v>0</v>
      </c>
      <c r="AL187" s="415">
        <f t="shared" si="50"/>
        <v>0</v>
      </c>
      <c r="AM187" s="415">
        <f t="shared" si="50"/>
        <v>0</v>
      </c>
      <c r="AN187" s="1324">
        <f t="shared" si="50"/>
        <v>0</v>
      </c>
      <c r="AO187" s="1324">
        <f t="shared" si="50"/>
        <v>0</v>
      </c>
      <c r="AP187" s="1324">
        <f t="shared" si="50"/>
        <v>0</v>
      </c>
      <c r="AQ187" s="1324">
        <f t="shared" si="50"/>
        <v>0</v>
      </c>
      <c r="AR187" s="1324">
        <f t="shared" si="50"/>
        <v>0</v>
      </c>
      <c r="AS187" s="415">
        <f t="shared" si="50"/>
        <v>0</v>
      </c>
      <c r="AT187" s="415">
        <f t="shared" si="50"/>
        <v>0</v>
      </c>
      <c r="AU187" s="415">
        <f t="shared" si="50"/>
        <v>0</v>
      </c>
      <c r="AV187" s="415">
        <f t="shared" si="50"/>
        <v>0</v>
      </c>
      <c r="AW187" s="415">
        <f t="shared" si="50"/>
        <v>0</v>
      </c>
      <c r="AX187" s="1324">
        <f t="shared" si="50"/>
        <v>0</v>
      </c>
      <c r="AY187" s="1324">
        <f t="shared" si="50"/>
        <v>0</v>
      </c>
      <c r="AZ187" s="1324">
        <f t="shared" si="50"/>
        <v>0</v>
      </c>
      <c r="BA187" s="1324">
        <f t="shared" si="50"/>
        <v>0</v>
      </c>
      <c r="BB187" s="1324">
        <f t="shared" si="50"/>
        <v>0</v>
      </c>
      <c r="BC187" s="1325"/>
      <c r="BD187" s="791"/>
      <c r="BE187" s="791"/>
      <c r="BF187" s="970" t="s">
        <v>1162</v>
      </c>
    </row>
    <row r="188" spans="1:58" s="1229" customFormat="1" ht="14.25" customHeight="1">
      <c r="A188" s="1155"/>
      <c r="B188" s="783"/>
      <c r="C188" s="1155"/>
      <c r="D188" s="1155"/>
      <c r="E188" s="676">
        <v>15</v>
      </c>
      <c r="F188" s="779" t="str" cm="1">
        <f t="array" ref="F188">F187</f>
        <v>1</v>
      </c>
      <c r="G188" s="814"/>
      <c r="H188" s="814"/>
      <c r="I188" s="814"/>
      <c r="J188" s="814"/>
      <c r="K188" s="814"/>
      <c r="L188" s="814"/>
      <c r="M188" s="814"/>
      <c r="N188" s="814"/>
      <c r="O188" s="814"/>
      <c r="P188" s="814"/>
      <c r="Q188" s="784"/>
      <c r="R188" s="784"/>
      <c r="S188" s="814"/>
      <c r="T188" s="698" t="b" cm="1">
        <f t="array" ref="T188">T187</f>
        <v>1</v>
      </c>
      <c r="U188" s="1155"/>
      <c r="V188" s="1155"/>
      <c r="W188" s="1155"/>
      <c r="X188" s="1687"/>
      <c r="Y188" s="1155"/>
      <c r="Z188" s="1687"/>
      <c r="AA188" s="791"/>
      <c r="AB188" s="412" t="str">
        <f>AB187&amp;".1"</f>
        <v>5.4.1</v>
      </c>
      <c r="AC188" s="450" t="s">
        <v>1086</v>
      </c>
      <c r="AD188" s="412" t="s">
        <v>1077</v>
      </c>
      <c r="AE188" s="1324">
        <f t="shared" ref="AE188:BB188" si="51">(AE132*2+AE146+AE160-AE174)/2</f>
        <v>0</v>
      </c>
      <c r="AF188" s="1324">
        <f t="shared" si="51"/>
        <v>0</v>
      </c>
      <c r="AG188" s="1324">
        <f t="shared" si="51"/>
        <v>0</v>
      </c>
      <c r="AH188" s="1324">
        <f t="shared" si="51"/>
        <v>0</v>
      </c>
      <c r="AI188" s="415">
        <f t="shared" si="51"/>
        <v>0</v>
      </c>
      <c r="AJ188" s="415">
        <f t="shared" si="51"/>
        <v>0</v>
      </c>
      <c r="AK188" s="415">
        <f t="shared" si="51"/>
        <v>0</v>
      </c>
      <c r="AL188" s="415">
        <f t="shared" si="51"/>
        <v>0</v>
      </c>
      <c r="AM188" s="415">
        <f t="shared" si="51"/>
        <v>0</v>
      </c>
      <c r="AN188" s="1324">
        <f t="shared" si="51"/>
        <v>0</v>
      </c>
      <c r="AO188" s="1324">
        <f t="shared" si="51"/>
        <v>0</v>
      </c>
      <c r="AP188" s="1324">
        <f t="shared" si="51"/>
        <v>0</v>
      </c>
      <c r="AQ188" s="1324">
        <f t="shared" si="51"/>
        <v>0</v>
      </c>
      <c r="AR188" s="1324">
        <f t="shared" si="51"/>
        <v>0</v>
      </c>
      <c r="AS188" s="415">
        <f t="shared" si="51"/>
        <v>0</v>
      </c>
      <c r="AT188" s="415">
        <f t="shared" si="51"/>
        <v>0</v>
      </c>
      <c r="AU188" s="415">
        <f t="shared" si="51"/>
        <v>0</v>
      </c>
      <c r="AV188" s="415">
        <f t="shared" si="51"/>
        <v>0</v>
      </c>
      <c r="AW188" s="415">
        <f t="shared" si="51"/>
        <v>0</v>
      </c>
      <c r="AX188" s="1324">
        <f t="shared" si="51"/>
        <v>0</v>
      </c>
      <c r="AY188" s="1324">
        <f t="shared" si="51"/>
        <v>0</v>
      </c>
      <c r="AZ188" s="1324">
        <f t="shared" si="51"/>
        <v>0</v>
      </c>
      <c r="BA188" s="1324">
        <f t="shared" si="51"/>
        <v>0</v>
      </c>
      <c r="BB188" s="1324">
        <f t="shared" si="51"/>
        <v>0</v>
      </c>
      <c r="BC188" s="1325"/>
      <c r="BD188" s="791"/>
      <c r="BE188" s="791"/>
      <c r="BF188" s="970" t="s">
        <v>1163</v>
      </c>
    </row>
    <row r="189" spans="1:58" s="1229" customFormat="1" ht="14.25" customHeight="1">
      <c r="A189" s="1155"/>
      <c r="B189" s="783"/>
      <c r="C189" s="1155"/>
      <c r="D189" s="1155"/>
      <c r="E189" s="676">
        <v>15</v>
      </c>
      <c r="F189" s="779" t="str" cm="1">
        <f t="array" ref="F189">F188</f>
        <v>1</v>
      </c>
      <c r="G189" s="814"/>
      <c r="H189" s="814"/>
      <c r="I189" s="814"/>
      <c r="J189" s="814"/>
      <c r="K189" s="814"/>
      <c r="L189" s="814"/>
      <c r="M189" s="814"/>
      <c r="N189" s="814"/>
      <c r="O189" s="814"/>
      <c r="P189" s="814"/>
      <c r="Q189" s="784"/>
      <c r="R189" s="784"/>
      <c r="S189" s="814"/>
      <c r="T189" s="698" t="b" cm="1">
        <f t="array" ref="T189">T188</f>
        <v>1</v>
      </c>
      <c r="U189" s="1155"/>
      <c r="V189" s="1155"/>
      <c r="W189" s="1155"/>
      <c r="X189" s="1687"/>
      <c r="Y189" s="1155"/>
      <c r="Z189" s="1687"/>
      <c r="AA189" s="791"/>
      <c r="AB189" s="412" t="str">
        <f>AB187&amp;".2"</f>
        <v>5.4.2</v>
      </c>
      <c r="AC189" s="450" t="s">
        <v>1089</v>
      </c>
      <c r="AD189" s="412" t="s">
        <v>1077</v>
      </c>
      <c r="AE189" s="1324">
        <f t="shared" ref="AE189:BB189" si="52">(AE133*2+AE147+AE161-AE175)/2</f>
        <v>0</v>
      </c>
      <c r="AF189" s="1324">
        <f t="shared" si="52"/>
        <v>0</v>
      </c>
      <c r="AG189" s="1324">
        <f t="shared" si="52"/>
        <v>0</v>
      </c>
      <c r="AH189" s="1324">
        <f t="shared" si="52"/>
        <v>0</v>
      </c>
      <c r="AI189" s="415">
        <f t="shared" si="52"/>
        <v>0</v>
      </c>
      <c r="AJ189" s="415">
        <f t="shared" si="52"/>
        <v>0</v>
      </c>
      <c r="AK189" s="415">
        <f t="shared" si="52"/>
        <v>0</v>
      </c>
      <c r="AL189" s="415">
        <f t="shared" si="52"/>
        <v>0</v>
      </c>
      <c r="AM189" s="415">
        <f t="shared" si="52"/>
        <v>0</v>
      </c>
      <c r="AN189" s="1324">
        <f t="shared" si="52"/>
        <v>0</v>
      </c>
      <c r="AO189" s="1324">
        <f t="shared" si="52"/>
        <v>0</v>
      </c>
      <c r="AP189" s="1324">
        <f t="shared" si="52"/>
        <v>0</v>
      </c>
      <c r="AQ189" s="1324">
        <f t="shared" si="52"/>
        <v>0</v>
      </c>
      <c r="AR189" s="1324">
        <f t="shared" si="52"/>
        <v>0</v>
      </c>
      <c r="AS189" s="415">
        <f t="shared" si="52"/>
        <v>0</v>
      </c>
      <c r="AT189" s="415">
        <f t="shared" si="52"/>
        <v>0</v>
      </c>
      <c r="AU189" s="415">
        <f t="shared" si="52"/>
        <v>0</v>
      </c>
      <c r="AV189" s="415">
        <f t="shared" si="52"/>
        <v>0</v>
      </c>
      <c r="AW189" s="415">
        <f t="shared" si="52"/>
        <v>0</v>
      </c>
      <c r="AX189" s="1324">
        <f t="shared" si="52"/>
        <v>0</v>
      </c>
      <c r="AY189" s="1324">
        <f t="shared" si="52"/>
        <v>0</v>
      </c>
      <c r="AZ189" s="1324">
        <f t="shared" si="52"/>
        <v>0</v>
      </c>
      <c r="BA189" s="1324">
        <f t="shared" si="52"/>
        <v>0</v>
      </c>
      <c r="BB189" s="1324">
        <f t="shared" si="52"/>
        <v>0</v>
      </c>
      <c r="BC189" s="1325"/>
      <c r="BD189" s="791"/>
      <c r="BE189" s="791"/>
      <c r="BF189" s="970" t="s">
        <v>1164</v>
      </c>
    </row>
    <row r="190" spans="1:58" s="1229" customFormat="1" ht="14.25" customHeight="1">
      <c r="A190" s="1155"/>
      <c r="B190" s="783"/>
      <c r="C190" s="1155"/>
      <c r="D190" s="1155"/>
      <c r="E190" s="676">
        <v>15</v>
      </c>
      <c r="F190" s="779" t="str" cm="1">
        <f t="array" ref="F190">F189</f>
        <v>1</v>
      </c>
      <c r="G190" s="814"/>
      <c r="H190" s="814"/>
      <c r="I190" s="814"/>
      <c r="J190" s="814"/>
      <c r="K190" s="814"/>
      <c r="L190" s="814"/>
      <c r="M190" s="814"/>
      <c r="N190" s="814"/>
      <c r="O190" s="814"/>
      <c r="P190" s="814"/>
      <c r="Q190" s="784"/>
      <c r="R190" s="784"/>
      <c r="S190" s="814"/>
      <c r="T190" s="698" t="b" cm="1">
        <f t="array" ref="T190">T189</f>
        <v>1</v>
      </c>
      <c r="U190" s="1155"/>
      <c r="V190" s="1155"/>
      <c r="W190" s="1155"/>
      <c r="X190" s="1687"/>
      <c r="Y190" s="1155"/>
      <c r="Z190" s="1687"/>
      <c r="AA190" s="791"/>
      <c r="AB190" s="412" t="str">
        <f>AB187&amp;".3"</f>
        <v>5.4.3</v>
      </c>
      <c r="AC190" s="450" t="s">
        <v>1092</v>
      </c>
      <c r="AD190" s="412" t="s">
        <v>1077</v>
      </c>
      <c r="AE190" s="1324">
        <f t="shared" ref="AE190:BB190" si="53">(AE134*2+AE148+AE162-AE176)/2</f>
        <v>0</v>
      </c>
      <c r="AF190" s="1324">
        <f t="shared" si="53"/>
        <v>0</v>
      </c>
      <c r="AG190" s="1324">
        <f t="shared" si="53"/>
        <v>0</v>
      </c>
      <c r="AH190" s="1324">
        <f t="shared" si="53"/>
        <v>0</v>
      </c>
      <c r="AI190" s="415">
        <f t="shared" si="53"/>
        <v>0</v>
      </c>
      <c r="AJ190" s="415">
        <f t="shared" si="53"/>
        <v>0</v>
      </c>
      <c r="AK190" s="415">
        <f t="shared" si="53"/>
        <v>0</v>
      </c>
      <c r="AL190" s="415">
        <f t="shared" si="53"/>
        <v>0</v>
      </c>
      <c r="AM190" s="415">
        <f t="shared" si="53"/>
        <v>0</v>
      </c>
      <c r="AN190" s="1324">
        <f t="shared" si="53"/>
        <v>0</v>
      </c>
      <c r="AO190" s="1324">
        <f t="shared" si="53"/>
        <v>0</v>
      </c>
      <c r="AP190" s="1324">
        <f t="shared" si="53"/>
        <v>0</v>
      </c>
      <c r="AQ190" s="1324">
        <f t="shared" si="53"/>
        <v>0</v>
      </c>
      <c r="AR190" s="1324">
        <f t="shared" si="53"/>
        <v>0</v>
      </c>
      <c r="AS190" s="415">
        <f t="shared" si="53"/>
        <v>0</v>
      </c>
      <c r="AT190" s="415">
        <f t="shared" si="53"/>
        <v>0</v>
      </c>
      <c r="AU190" s="415">
        <f t="shared" si="53"/>
        <v>0</v>
      </c>
      <c r="AV190" s="415">
        <f t="shared" si="53"/>
        <v>0</v>
      </c>
      <c r="AW190" s="415">
        <f t="shared" si="53"/>
        <v>0</v>
      </c>
      <c r="AX190" s="1324">
        <f t="shared" si="53"/>
        <v>0</v>
      </c>
      <c r="AY190" s="1324">
        <f t="shared" si="53"/>
        <v>0</v>
      </c>
      <c r="AZ190" s="1324">
        <f t="shared" si="53"/>
        <v>0</v>
      </c>
      <c r="BA190" s="1324">
        <f t="shared" si="53"/>
        <v>0</v>
      </c>
      <c r="BB190" s="1324">
        <f t="shared" si="53"/>
        <v>0</v>
      </c>
      <c r="BC190" s="1325"/>
      <c r="BD190" s="791"/>
      <c r="BE190" s="791"/>
      <c r="BF190" s="970" t="s">
        <v>1165</v>
      </c>
    </row>
    <row r="191" spans="1:58" s="1229" customFormat="1" ht="14.25" customHeight="1">
      <c r="A191" s="1155"/>
      <c r="B191" s="783"/>
      <c r="C191" s="1155"/>
      <c r="D191" s="1155"/>
      <c r="E191" s="676">
        <v>15</v>
      </c>
      <c r="F191" s="779" t="str" cm="1">
        <f t="array" ref="F191">F190</f>
        <v>1</v>
      </c>
      <c r="G191" s="814"/>
      <c r="H191" s="814"/>
      <c r="I191" s="814"/>
      <c r="J191" s="814"/>
      <c r="K191" s="814"/>
      <c r="L191" s="814"/>
      <c r="M191" s="814"/>
      <c r="N191" s="814"/>
      <c r="O191" s="814"/>
      <c r="P191" s="814"/>
      <c r="Q191" s="784"/>
      <c r="R191" s="784"/>
      <c r="S191" s="814"/>
      <c r="T191" s="698" t="b" cm="1">
        <f t="array" ref="T191">T190</f>
        <v>1</v>
      </c>
      <c r="U191" s="1155"/>
      <c r="V191" s="1155"/>
      <c r="W191" s="1155"/>
      <c r="X191" s="1687"/>
      <c r="Y191" s="1155"/>
      <c r="Z191" s="1687"/>
      <c r="AA191" s="791"/>
      <c r="AB191" s="412" t="str">
        <f>AB187&amp;".4"</f>
        <v>5.4.4</v>
      </c>
      <c r="AC191" s="450" t="s">
        <v>1095</v>
      </c>
      <c r="AD191" s="412" t="s">
        <v>1077</v>
      </c>
      <c r="AE191" s="1324">
        <f t="shared" ref="AE191:BB191" si="54">(AE135*2+AE149+AE163-AE177)/2</f>
        <v>0</v>
      </c>
      <c r="AF191" s="1324">
        <f t="shared" si="54"/>
        <v>0</v>
      </c>
      <c r="AG191" s="1324">
        <f t="shared" si="54"/>
        <v>0</v>
      </c>
      <c r="AH191" s="1324">
        <f t="shared" si="54"/>
        <v>0</v>
      </c>
      <c r="AI191" s="415">
        <f t="shared" si="54"/>
        <v>0</v>
      </c>
      <c r="AJ191" s="415">
        <f t="shared" si="54"/>
        <v>0</v>
      </c>
      <c r="AK191" s="415">
        <f t="shared" si="54"/>
        <v>0</v>
      </c>
      <c r="AL191" s="415">
        <f t="shared" si="54"/>
        <v>0</v>
      </c>
      <c r="AM191" s="415">
        <f t="shared" si="54"/>
        <v>0</v>
      </c>
      <c r="AN191" s="1324">
        <f t="shared" si="54"/>
        <v>0</v>
      </c>
      <c r="AO191" s="1324">
        <f t="shared" si="54"/>
        <v>0</v>
      </c>
      <c r="AP191" s="1324">
        <f t="shared" si="54"/>
        <v>0</v>
      </c>
      <c r="AQ191" s="1324">
        <f t="shared" si="54"/>
        <v>0</v>
      </c>
      <c r="AR191" s="1324">
        <f t="shared" si="54"/>
        <v>0</v>
      </c>
      <c r="AS191" s="415">
        <f t="shared" si="54"/>
        <v>0</v>
      </c>
      <c r="AT191" s="415">
        <f t="shared" si="54"/>
        <v>0</v>
      </c>
      <c r="AU191" s="415">
        <f t="shared" si="54"/>
        <v>0</v>
      </c>
      <c r="AV191" s="415">
        <f t="shared" si="54"/>
        <v>0</v>
      </c>
      <c r="AW191" s="415">
        <f t="shared" si="54"/>
        <v>0</v>
      </c>
      <c r="AX191" s="1324">
        <f t="shared" si="54"/>
        <v>0</v>
      </c>
      <c r="AY191" s="1324">
        <f t="shared" si="54"/>
        <v>0</v>
      </c>
      <c r="AZ191" s="1324">
        <f t="shared" si="54"/>
        <v>0</v>
      </c>
      <c r="BA191" s="1324">
        <f t="shared" si="54"/>
        <v>0</v>
      </c>
      <c r="BB191" s="1324">
        <f t="shared" si="54"/>
        <v>0</v>
      </c>
      <c r="BC191" s="1325"/>
      <c r="BD191" s="791"/>
      <c r="BE191" s="791"/>
      <c r="BF191" s="970" t="s">
        <v>1166</v>
      </c>
    </row>
    <row r="192" spans="1:58" s="1229" customFormat="1" ht="14.25" customHeight="1">
      <c r="A192" s="1155"/>
      <c r="B192" s="783"/>
      <c r="C192" s="1155"/>
      <c r="D192" s="1155"/>
      <c r="E192" s="676">
        <v>15</v>
      </c>
      <c r="F192" s="779" t="str" cm="1">
        <f t="array" ref="F192">F191</f>
        <v>1</v>
      </c>
      <c r="G192" s="814"/>
      <c r="H192" s="814"/>
      <c r="I192" s="814"/>
      <c r="J192" s="814"/>
      <c r="K192" s="814"/>
      <c r="L192" s="814"/>
      <c r="M192" s="814"/>
      <c r="N192" s="814"/>
      <c r="O192" s="814"/>
      <c r="P192" s="814"/>
      <c r="Q192" s="784"/>
      <c r="R192" s="784"/>
      <c r="S192" s="814"/>
      <c r="T192" s="698" t="b" cm="1">
        <f t="array" ref="T192">T191</f>
        <v>1</v>
      </c>
      <c r="U192" s="1155"/>
      <c r="V192" s="1155"/>
      <c r="W192" s="1155"/>
      <c r="X192" s="1687"/>
      <c r="Y192" s="1155"/>
      <c r="Z192" s="1687"/>
      <c r="AA192" s="791"/>
      <c r="AB192" s="412" t="str">
        <f>AB187&amp;".5"</f>
        <v>5.4.5</v>
      </c>
      <c r="AC192" s="450" t="s">
        <v>1098</v>
      </c>
      <c r="AD192" s="412" t="s">
        <v>1077</v>
      </c>
      <c r="AE192" s="1324">
        <f t="shared" ref="AE192:BB192" si="55">(AE136*2+AE150+AE164-AE178)/2</f>
        <v>0</v>
      </c>
      <c r="AF192" s="1324">
        <f t="shared" si="55"/>
        <v>0</v>
      </c>
      <c r="AG192" s="1324">
        <f t="shared" si="55"/>
        <v>0</v>
      </c>
      <c r="AH192" s="1324">
        <f t="shared" si="55"/>
        <v>0</v>
      </c>
      <c r="AI192" s="415">
        <f t="shared" si="55"/>
        <v>0</v>
      </c>
      <c r="AJ192" s="415">
        <f t="shared" si="55"/>
        <v>0</v>
      </c>
      <c r="AK192" s="415">
        <f t="shared" si="55"/>
        <v>0</v>
      </c>
      <c r="AL192" s="415">
        <f t="shared" si="55"/>
        <v>0</v>
      </c>
      <c r="AM192" s="415">
        <f t="shared" si="55"/>
        <v>0</v>
      </c>
      <c r="AN192" s="1324">
        <f t="shared" si="55"/>
        <v>0</v>
      </c>
      <c r="AO192" s="1324">
        <f t="shared" si="55"/>
        <v>0</v>
      </c>
      <c r="AP192" s="1324">
        <f t="shared" si="55"/>
        <v>0</v>
      </c>
      <c r="AQ192" s="1324">
        <f t="shared" si="55"/>
        <v>0</v>
      </c>
      <c r="AR192" s="1324">
        <f t="shared" si="55"/>
        <v>0</v>
      </c>
      <c r="AS192" s="415">
        <f t="shared" si="55"/>
        <v>0</v>
      </c>
      <c r="AT192" s="415">
        <f t="shared" si="55"/>
        <v>0</v>
      </c>
      <c r="AU192" s="415">
        <f t="shared" si="55"/>
        <v>0</v>
      </c>
      <c r="AV192" s="415">
        <f t="shared" si="55"/>
        <v>0</v>
      </c>
      <c r="AW192" s="415">
        <f t="shared" si="55"/>
        <v>0</v>
      </c>
      <c r="AX192" s="1324">
        <f t="shared" si="55"/>
        <v>0</v>
      </c>
      <c r="AY192" s="1324">
        <f t="shared" si="55"/>
        <v>0</v>
      </c>
      <c r="AZ192" s="1324">
        <f t="shared" si="55"/>
        <v>0</v>
      </c>
      <c r="BA192" s="1324">
        <f t="shared" si="55"/>
        <v>0</v>
      </c>
      <c r="BB192" s="1324">
        <f t="shared" si="55"/>
        <v>0</v>
      </c>
      <c r="BC192" s="1325"/>
      <c r="BD192" s="791"/>
      <c r="BE192" s="791"/>
      <c r="BF192" s="970" t="s">
        <v>1167</v>
      </c>
    </row>
    <row r="193" spans="1:58" s="1229" customFormat="1" ht="14.25" customHeight="1">
      <c r="A193" s="1155"/>
      <c r="B193" s="783"/>
      <c r="C193" s="1155"/>
      <c r="D193" s="1155"/>
      <c r="E193" s="676">
        <v>15</v>
      </c>
      <c r="F193" s="779" t="str" cm="1">
        <f t="array" ref="F193">F192</f>
        <v>1</v>
      </c>
      <c r="G193" s="814"/>
      <c r="H193" s="814"/>
      <c r="I193" s="814"/>
      <c r="J193" s="814"/>
      <c r="K193" s="814"/>
      <c r="L193" s="814"/>
      <c r="M193" s="814"/>
      <c r="N193" s="814"/>
      <c r="O193" s="814"/>
      <c r="P193" s="814"/>
      <c r="Q193" s="784"/>
      <c r="R193" s="784"/>
      <c r="S193" s="814"/>
      <c r="T193" s="698" t="b" cm="1">
        <f t="array" ref="T193">T192</f>
        <v>1</v>
      </c>
      <c r="U193" s="1155"/>
      <c r="V193" s="1155"/>
      <c r="W193" s="1155"/>
      <c r="X193" s="1687"/>
      <c r="Y193" s="1155"/>
      <c r="Z193" s="1687"/>
      <c r="AA193" s="791"/>
      <c r="AB193" s="412" t="str">
        <f>AB183&amp;".5"</f>
        <v>5.5</v>
      </c>
      <c r="AC193" s="404" t="s">
        <v>1101</v>
      </c>
      <c r="AD193" s="412" t="s">
        <v>1077</v>
      </c>
      <c r="AE193" s="1324">
        <f t="shared" ref="AE193:BB193" si="56">(AE137*2+AE151+AE165-AE179)/2</f>
        <v>0</v>
      </c>
      <c r="AF193" s="1324">
        <f t="shared" si="56"/>
        <v>0</v>
      </c>
      <c r="AG193" s="1324">
        <f t="shared" si="56"/>
        <v>0</v>
      </c>
      <c r="AH193" s="1324">
        <f t="shared" si="56"/>
        <v>0</v>
      </c>
      <c r="AI193" s="415">
        <f t="shared" si="56"/>
        <v>0</v>
      </c>
      <c r="AJ193" s="415">
        <f t="shared" si="56"/>
        <v>0</v>
      </c>
      <c r="AK193" s="415">
        <f t="shared" si="56"/>
        <v>0</v>
      </c>
      <c r="AL193" s="415">
        <f t="shared" si="56"/>
        <v>0</v>
      </c>
      <c r="AM193" s="415">
        <f t="shared" si="56"/>
        <v>0</v>
      </c>
      <c r="AN193" s="1324">
        <f t="shared" si="56"/>
        <v>0</v>
      </c>
      <c r="AO193" s="1324">
        <f t="shared" si="56"/>
        <v>0</v>
      </c>
      <c r="AP193" s="1324">
        <f t="shared" si="56"/>
        <v>0</v>
      </c>
      <c r="AQ193" s="1324">
        <f t="shared" si="56"/>
        <v>0</v>
      </c>
      <c r="AR193" s="1324">
        <f t="shared" si="56"/>
        <v>0</v>
      </c>
      <c r="AS193" s="415">
        <f t="shared" si="56"/>
        <v>0</v>
      </c>
      <c r="AT193" s="415">
        <f t="shared" si="56"/>
        <v>0</v>
      </c>
      <c r="AU193" s="415">
        <f t="shared" si="56"/>
        <v>0</v>
      </c>
      <c r="AV193" s="415">
        <f t="shared" si="56"/>
        <v>0</v>
      </c>
      <c r="AW193" s="415">
        <f t="shared" si="56"/>
        <v>0</v>
      </c>
      <c r="AX193" s="1324">
        <f t="shared" si="56"/>
        <v>0</v>
      </c>
      <c r="AY193" s="1324">
        <f t="shared" si="56"/>
        <v>0</v>
      </c>
      <c r="AZ193" s="1324">
        <f t="shared" si="56"/>
        <v>0</v>
      </c>
      <c r="BA193" s="1324">
        <f t="shared" si="56"/>
        <v>0</v>
      </c>
      <c r="BB193" s="1324">
        <f t="shared" si="56"/>
        <v>0</v>
      </c>
      <c r="BC193" s="1325"/>
      <c r="BD193" s="791"/>
      <c r="BE193" s="791"/>
      <c r="BF193" s="970" t="s">
        <v>1168</v>
      </c>
    </row>
    <row r="194" spans="1:58" s="1229" customFormat="1" ht="14.25" customHeight="1">
      <c r="A194" s="1155"/>
      <c r="B194" s="783"/>
      <c r="C194" s="1155"/>
      <c r="D194" s="1155"/>
      <c r="E194" s="676">
        <v>15</v>
      </c>
      <c r="F194" s="779" t="str" cm="1">
        <f t="array" ref="F194">F193</f>
        <v>1</v>
      </c>
      <c r="G194" s="814"/>
      <c r="H194" s="814"/>
      <c r="I194" s="814"/>
      <c r="J194" s="814"/>
      <c r="K194" s="814"/>
      <c r="L194" s="814"/>
      <c r="M194" s="814"/>
      <c r="N194" s="814"/>
      <c r="O194" s="814"/>
      <c r="P194" s="814"/>
      <c r="Q194" s="784"/>
      <c r="R194" s="784"/>
      <c r="S194" s="814"/>
      <c r="T194" s="698" t="b" cm="1">
        <f t="array" ref="T194">T193</f>
        <v>1</v>
      </c>
      <c r="U194" s="1155"/>
      <c r="V194" s="1155"/>
      <c r="W194" s="1155"/>
      <c r="X194" s="1687"/>
      <c r="Y194" s="1155"/>
      <c r="Z194" s="1687"/>
      <c r="AA194" s="791"/>
      <c r="AB194" s="412" t="str">
        <f>AB183&amp;".6"</f>
        <v>5.6</v>
      </c>
      <c r="AC194" s="404" t="s">
        <v>1104</v>
      </c>
      <c r="AD194" s="412" t="s">
        <v>1077</v>
      </c>
      <c r="AE194" s="1324">
        <f t="shared" ref="AE194:BB194" si="57">(AE138*2+AE152+AE166-AE180)/2</f>
        <v>0</v>
      </c>
      <c r="AF194" s="1324">
        <f t="shared" si="57"/>
        <v>0</v>
      </c>
      <c r="AG194" s="1324">
        <f t="shared" si="57"/>
        <v>0</v>
      </c>
      <c r="AH194" s="1324">
        <f t="shared" si="57"/>
        <v>0</v>
      </c>
      <c r="AI194" s="415">
        <f t="shared" si="57"/>
        <v>0</v>
      </c>
      <c r="AJ194" s="415">
        <f t="shared" si="57"/>
        <v>0</v>
      </c>
      <c r="AK194" s="415">
        <f t="shared" si="57"/>
        <v>0</v>
      </c>
      <c r="AL194" s="415">
        <f t="shared" si="57"/>
        <v>0</v>
      </c>
      <c r="AM194" s="415">
        <f t="shared" si="57"/>
        <v>0</v>
      </c>
      <c r="AN194" s="1324">
        <f t="shared" si="57"/>
        <v>0</v>
      </c>
      <c r="AO194" s="1324">
        <f t="shared" si="57"/>
        <v>0</v>
      </c>
      <c r="AP194" s="1324">
        <f t="shared" si="57"/>
        <v>0</v>
      </c>
      <c r="AQ194" s="1324">
        <f t="shared" si="57"/>
        <v>0</v>
      </c>
      <c r="AR194" s="1324">
        <f t="shared" si="57"/>
        <v>0</v>
      </c>
      <c r="AS194" s="415">
        <f t="shared" si="57"/>
        <v>0</v>
      </c>
      <c r="AT194" s="415">
        <f t="shared" si="57"/>
        <v>0</v>
      </c>
      <c r="AU194" s="415">
        <f t="shared" si="57"/>
        <v>0</v>
      </c>
      <c r="AV194" s="415">
        <f t="shared" si="57"/>
        <v>0</v>
      </c>
      <c r="AW194" s="415">
        <f t="shared" si="57"/>
        <v>0</v>
      </c>
      <c r="AX194" s="1324">
        <f t="shared" si="57"/>
        <v>0</v>
      </c>
      <c r="AY194" s="1324">
        <f t="shared" si="57"/>
        <v>0</v>
      </c>
      <c r="AZ194" s="1324">
        <f t="shared" si="57"/>
        <v>0</v>
      </c>
      <c r="BA194" s="1324">
        <f t="shared" si="57"/>
        <v>0</v>
      </c>
      <c r="BB194" s="1324">
        <f t="shared" si="57"/>
        <v>0</v>
      </c>
      <c r="BC194" s="1325"/>
      <c r="BD194" s="791"/>
      <c r="BE194" s="791"/>
      <c r="BF194" s="970" t="s">
        <v>1169</v>
      </c>
    </row>
    <row r="195" spans="1:58" s="1229" customFormat="1" ht="14.25" customHeight="1">
      <c r="A195" s="1155"/>
      <c r="B195" s="783"/>
      <c r="C195" s="1155"/>
      <c r="D195" s="1155"/>
      <c r="E195" s="676">
        <v>15</v>
      </c>
      <c r="F195" s="779" t="str" cm="1">
        <f t="array" ref="F195">F194</f>
        <v>1</v>
      </c>
      <c r="G195" s="814"/>
      <c r="H195" s="814"/>
      <c r="I195" s="814"/>
      <c r="J195" s="814"/>
      <c r="K195" s="814"/>
      <c r="L195" s="814"/>
      <c r="M195" s="814"/>
      <c r="N195" s="814"/>
      <c r="O195" s="814"/>
      <c r="P195" s="814"/>
      <c r="Q195" s="784"/>
      <c r="R195" s="784"/>
      <c r="S195" s="814"/>
      <c r="T195" s="698" t="b" cm="1">
        <f t="array" ref="T195">T194</f>
        <v>1</v>
      </c>
      <c r="U195" s="1155"/>
      <c r="V195" s="1155"/>
      <c r="W195" s="1155"/>
      <c r="X195" s="1687"/>
      <c r="Y195" s="1155"/>
      <c r="Z195" s="1687"/>
      <c r="AA195" s="791"/>
      <c r="AB195" s="412" t="str">
        <f>AB183&amp;".7"</f>
        <v>5.7</v>
      </c>
      <c r="AC195" s="404" t="s">
        <v>1107</v>
      </c>
      <c r="AD195" s="412" t="s">
        <v>1077</v>
      </c>
      <c r="AE195" s="1324">
        <f t="shared" ref="AE195:BB195" si="58">(AE139*2+AE153+AE167-AE181)/2</f>
        <v>0</v>
      </c>
      <c r="AF195" s="1324">
        <f t="shared" si="58"/>
        <v>0</v>
      </c>
      <c r="AG195" s="1324">
        <f t="shared" si="58"/>
        <v>0</v>
      </c>
      <c r="AH195" s="1324">
        <f t="shared" si="58"/>
        <v>0</v>
      </c>
      <c r="AI195" s="415">
        <f t="shared" si="58"/>
        <v>0</v>
      </c>
      <c r="AJ195" s="415">
        <f t="shared" si="58"/>
        <v>0</v>
      </c>
      <c r="AK195" s="415">
        <f t="shared" si="58"/>
        <v>0</v>
      </c>
      <c r="AL195" s="415">
        <f t="shared" si="58"/>
        <v>0</v>
      </c>
      <c r="AM195" s="415">
        <f t="shared" si="58"/>
        <v>0</v>
      </c>
      <c r="AN195" s="1324">
        <f t="shared" si="58"/>
        <v>0</v>
      </c>
      <c r="AO195" s="1324">
        <f t="shared" si="58"/>
        <v>0</v>
      </c>
      <c r="AP195" s="1324">
        <f t="shared" si="58"/>
        <v>0</v>
      </c>
      <c r="AQ195" s="1324">
        <f t="shared" si="58"/>
        <v>0</v>
      </c>
      <c r="AR195" s="1324">
        <f t="shared" si="58"/>
        <v>0</v>
      </c>
      <c r="AS195" s="415">
        <f t="shared" si="58"/>
        <v>0</v>
      </c>
      <c r="AT195" s="415">
        <f t="shared" si="58"/>
        <v>0</v>
      </c>
      <c r="AU195" s="415">
        <f t="shared" si="58"/>
        <v>0</v>
      </c>
      <c r="AV195" s="415">
        <f t="shared" si="58"/>
        <v>0</v>
      </c>
      <c r="AW195" s="415">
        <f t="shared" si="58"/>
        <v>0</v>
      </c>
      <c r="AX195" s="1324">
        <f t="shared" si="58"/>
        <v>0</v>
      </c>
      <c r="AY195" s="1324">
        <f t="shared" si="58"/>
        <v>0</v>
      </c>
      <c r="AZ195" s="1324">
        <f t="shared" si="58"/>
        <v>0</v>
      </c>
      <c r="BA195" s="1324">
        <f t="shared" si="58"/>
        <v>0</v>
      </c>
      <c r="BB195" s="1324">
        <f t="shared" si="58"/>
        <v>0</v>
      </c>
      <c r="BC195" s="1325"/>
      <c r="BD195" s="791"/>
      <c r="BE195" s="791"/>
      <c r="BF195" s="970" t="s">
        <v>1170</v>
      </c>
    </row>
    <row r="196" spans="1:58" s="1229" customFormat="1" ht="14.25" customHeight="1">
      <c r="A196" s="1155"/>
      <c r="B196" s="783"/>
      <c r="C196" s="1155"/>
      <c r="D196" s="1155"/>
      <c r="E196" s="676">
        <v>15</v>
      </c>
      <c r="F196" s="779" t="str" cm="1">
        <f t="array" ref="F196">F195</f>
        <v>1</v>
      </c>
      <c r="G196" s="814"/>
      <c r="H196" s="814"/>
      <c r="I196" s="814"/>
      <c r="J196" s="814"/>
      <c r="K196" s="814"/>
      <c r="L196" s="814"/>
      <c r="M196" s="814"/>
      <c r="N196" s="814"/>
      <c r="O196" s="814"/>
      <c r="P196" s="814"/>
      <c r="Q196" s="784"/>
      <c r="R196" s="784"/>
      <c r="S196" s="814"/>
      <c r="T196" s="698" t="b" cm="1">
        <f t="array" ref="T196">T195</f>
        <v>1</v>
      </c>
      <c r="U196" s="1155"/>
      <c r="V196" s="1155"/>
      <c r="W196" s="1155"/>
      <c r="X196" s="1687"/>
      <c r="Y196" s="1155"/>
      <c r="Z196" s="1687"/>
      <c r="AA196" s="791"/>
      <c r="AB196" s="412" t="str">
        <f>AB183&amp;".8"</f>
        <v>5.8</v>
      </c>
      <c r="AC196" s="404" t="s">
        <v>1110</v>
      </c>
      <c r="AD196" s="412" t="s">
        <v>1077</v>
      </c>
      <c r="AE196" s="1324">
        <f t="shared" ref="AE196:BB196" si="59">(AE140*2+AE154+AE168-AE182)/2</f>
        <v>0</v>
      </c>
      <c r="AF196" s="1324">
        <f t="shared" si="59"/>
        <v>0</v>
      </c>
      <c r="AG196" s="1324">
        <f t="shared" si="59"/>
        <v>0</v>
      </c>
      <c r="AH196" s="1324">
        <f t="shared" si="59"/>
        <v>0</v>
      </c>
      <c r="AI196" s="415">
        <f t="shared" si="59"/>
        <v>0</v>
      </c>
      <c r="AJ196" s="415">
        <f t="shared" si="59"/>
        <v>0</v>
      </c>
      <c r="AK196" s="415">
        <f t="shared" si="59"/>
        <v>0</v>
      </c>
      <c r="AL196" s="415">
        <f t="shared" si="59"/>
        <v>0</v>
      </c>
      <c r="AM196" s="415">
        <f t="shared" si="59"/>
        <v>0</v>
      </c>
      <c r="AN196" s="1324">
        <f t="shared" si="59"/>
        <v>0</v>
      </c>
      <c r="AO196" s="1324">
        <f t="shared" si="59"/>
        <v>0</v>
      </c>
      <c r="AP196" s="1324">
        <f t="shared" si="59"/>
        <v>0</v>
      </c>
      <c r="AQ196" s="1324">
        <f t="shared" si="59"/>
        <v>0</v>
      </c>
      <c r="AR196" s="1324">
        <f t="shared" si="59"/>
        <v>0</v>
      </c>
      <c r="AS196" s="415">
        <f t="shared" si="59"/>
        <v>0</v>
      </c>
      <c r="AT196" s="415">
        <f t="shared" si="59"/>
        <v>0</v>
      </c>
      <c r="AU196" s="415">
        <f t="shared" si="59"/>
        <v>0</v>
      </c>
      <c r="AV196" s="415">
        <f t="shared" si="59"/>
        <v>0</v>
      </c>
      <c r="AW196" s="415">
        <f t="shared" si="59"/>
        <v>0</v>
      </c>
      <c r="AX196" s="1324">
        <f t="shared" si="59"/>
        <v>0</v>
      </c>
      <c r="AY196" s="1324">
        <f t="shared" si="59"/>
        <v>0</v>
      </c>
      <c r="AZ196" s="1324">
        <f t="shared" si="59"/>
        <v>0</v>
      </c>
      <c r="BA196" s="1324">
        <f t="shared" si="59"/>
        <v>0</v>
      </c>
      <c r="BB196" s="1324">
        <f t="shared" si="59"/>
        <v>0</v>
      </c>
      <c r="BC196" s="1325"/>
      <c r="BD196" s="791"/>
      <c r="BE196" s="791"/>
      <c r="BF196" s="970" t="s">
        <v>1171</v>
      </c>
    </row>
    <row r="197" spans="1:58" s="167" customFormat="1" ht="21.75" customHeight="1">
      <c r="E197" s="676">
        <v>22.8</v>
      </c>
      <c r="F197" s="779" t="str" cm="1">
        <f t="array" ref="F197">F196</f>
        <v>1</v>
      </c>
      <c r="T197" s="698" t="b" cm="1">
        <f t="array" ref="T197">T196</f>
        <v>1</v>
      </c>
      <c r="X197" s="1811"/>
      <c r="Z197" s="1811"/>
      <c r="AB197" s="227">
        <v>6</v>
      </c>
      <c r="AC197" s="228" t="s">
        <v>1172</v>
      </c>
      <c r="AD197" s="420" t="s">
        <v>533</v>
      </c>
      <c r="AE197" s="1320"/>
      <c r="AF197" s="1320"/>
      <c r="AG197" s="1320"/>
      <c r="AH197" s="1320"/>
      <c r="AI197" s="242"/>
      <c r="AJ197" s="242"/>
      <c r="AK197" s="242"/>
      <c r="AL197" s="242"/>
      <c r="AM197" s="242"/>
      <c r="AN197" s="1320"/>
      <c r="AO197" s="1320"/>
      <c r="AP197" s="1320"/>
      <c r="AQ197" s="1320"/>
      <c r="AR197" s="1320"/>
      <c r="AS197" s="242"/>
      <c r="AT197" s="242"/>
      <c r="AU197" s="242"/>
      <c r="AV197" s="242"/>
      <c r="AW197" s="242"/>
      <c r="AX197" s="1320"/>
      <c r="AY197" s="1320"/>
      <c r="AZ197" s="1320"/>
      <c r="BA197" s="1320"/>
      <c r="BB197" s="1320"/>
      <c r="BC197" s="1290"/>
      <c r="BF197" s="970" t="s">
        <v>1173</v>
      </c>
    </row>
    <row r="198" spans="1:58" s="1229" customFormat="1" ht="14.25" customHeight="1">
      <c r="A198" s="1155"/>
      <c r="B198" s="783"/>
      <c r="C198" s="1155"/>
      <c r="D198" s="1155"/>
      <c r="E198" s="676">
        <v>15</v>
      </c>
      <c r="F198" s="779" t="str" cm="1">
        <f t="array" ref="F198">F197</f>
        <v>1</v>
      </c>
      <c r="G198" s="814"/>
      <c r="H198" s="814"/>
      <c r="I198" s="814"/>
      <c r="J198" s="814"/>
      <c r="K198" s="814"/>
      <c r="L198" s="814"/>
      <c r="M198" s="814"/>
      <c r="N198" s="814"/>
      <c r="O198" s="814"/>
      <c r="P198" s="814"/>
      <c r="Q198" s="784"/>
      <c r="R198" s="784"/>
      <c r="S198" s="814"/>
      <c r="T198" s="698" t="b" cm="1">
        <f t="array" ref="T198">T197</f>
        <v>1</v>
      </c>
      <c r="U198" s="1155"/>
      <c r="V198" s="1155"/>
      <c r="W198" s="1155"/>
      <c r="X198" s="1687"/>
      <c r="Y198" s="1155"/>
      <c r="Z198" s="1687"/>
      <c r="AA198" s="791"/>
      <c r="AB198" s="420" t="str">
        <f>AB197&amp;".1"</f>
        <v>6.1</v>
      </c>
      <c r="AC198" s="421" t="s">
        <v>1076</v>
      </c>
      <c r="AD198" s="420" t="s">
        <v>533</v>
      </c>
      <c r="AE198" s="1249">
        <f t="shared" ref="AE198:BB198" si="60">IF(AE184=0,0,AE212/AE184*100)</f>
        <v>0</v>
      </c>
      <c r="AF198" s="1249">
        <f t="shared" si="60"/>
        <v>0</v>
      </c>
      <c r="AG198" s="1249">
        <f t="shared" si="60"/>
        <v>0</v>
      </c>
      <c r="AH198" s="1249">
        <f t="shared" si="60"/>
        <v>0</v>
      </c>
      <c r="AI198" s="230">
        <f t="shared" si="60"/>
        <v>0</v>
      </c>
      <c r="AJ198" s="230">
        <f t="shared" si="60"/>
        <v>0</v>
      </c>
      <c r="AK198" s="230">
        <f t="shared" si="60"/>
        <v>0</v>
      </c>
      <c r="AL198" s="230">
        <f t="shared" si="60"/>
        <v>0</v>
      </c>
      <c r="AM198" s="230">
        <f t="shared" si="60"/>
        <v>0</v>
      </c>
      <c r="AN198" s="1249">
        <f t="shared" si="60"/>
        <v>0</v>
      </c>
      <c r="AO198" s="1249">
        <f t="shared" si="60"/>
        <v>0</v>
      </c>
      <c r="AP198" s="1249">
        <f t="shared" si="60"/>
        <v>0</v>
      </c>
      <c r="AQ198" s="1249">
        <f t="shared" si="60"/>
        <v>0</v>
      </c>
      <c r="AR198" s="1249">
        <f t="shared" si="60"/>
        <v>0</v>
      </c>
      <c r="AS198" s="230">
        <f t="shared" si="60"/>
        <v>0</v>
      </c>
      <c r="AT198" s="230">
        <f t="shared" si="60"/>
        <v>0</v>
      </c>
      <c r="AU198" s="230">
        <f t="shared" si="60"/>
        <v>0</v>
      </c>
      <c r="AV198" s="230">
        <f t="shared" si="60"/>
        <v>0</v>
      </c>
      <c r="AW198" s="230">
        <f t="shared" si="60"/>
        <v>0</v>
      </c>
      <c r="AX198" s="1249">
        <f t="shared" si="60"/>
        <v>0</v>
      </c>
      <c r="AY198" s="1249">
        <f t="shared" si="60"/>
        <v>0</v>
      </c>
      <c r="AZ198" s="1249">
        <f t="shared" si="60"/>
        <v>0</v>
      </c>
      <c r="BA198" s="1249">
        <f t="shared" si="60"/>
        <v>0</v>
      </c>
      <c r="BB198" s="1249">
        <f t="shared" si="60"/>
        <v>0</v>
      </c>
      <c r="BC198" s="1290"/>
      <c r="BD198" s="791"/>
      <c r="BE198" s="791"/>
      <c r="BF198" s="970" t="s">
        <v>1174</v>
      </c>
    </row>
    <row r="199" spans="1:58" s="1229" customFormat="1" ht="14.25" customHeight="1">
      <c r="A199" s="1155"/>
      <c r="B199" s="783"/>
      <c r="C199" s="1155"/>
      <c r="D199" s="1155"/>
      <c r="E199" s="676">
        <v>15</v>
      </c>
      <c r="F199" s="779" t="str" cm="1">
        <f t="array" ref="F199">F198</f>
        <v>1</v>
      </c>
      <c r="G199" s="814"/>
      <c r="H199" s="814"/>
      <c r="I199" s="814"/>
      <c r="J199" s="814"/>
      <c r="K199" s="814"/>
      <c r="L199" s="814"/>
      <c r="M199" s="814"/>
      <c r="N199" s="814"/>
      <c r="O199" s="814"/>
      <c r="P199" s="814"/>
      <c r="Q199" s="784"/>
      <c r="R199" s="784"/>
      <c r="S199" s="814"/>
      <c r="T199" s="698" t="b" cm="1">
        <f t="array" ref="T199">T198</f>
        <v>1</v>
      </c>
      <c r="U199" s="1155"/>
      <c r="V199" s="1155"/>
      <c r="W199" s="1155"/>
      <c r="X199" s="1687"/>
      <c r="Y199" s="1155"/>
      <c r="Z199" s="1687"/>
      <c r="AA199" s="791"/>
      <c r="AB199" s="420" t="str">
        <f>AB197&amp;".2"</f>
        <v>6.2</v>
      </c>
      <c r="AC199" s="421" t="s">
        <v>1079</v>
      </c>
      <c r="AD199" s="420" t="s">
        <v>533</v>
      </c>
      <c r="AE199" s="1249">
        <f t="shared" ref="AE199:BB199" si="61">IF(AE185=0,0,AE213/AE185*100)</f>
        <v>0</v>
      </c>
      <c r="AF199" s="1249">
        <f t="shared" si="61"/>
        <v>0</v>
      </c>
      <c r="AG199" s="1249">
        <f t="shared" si="61"/>
        <v>0</v>
      </c>
      <c r="AH199" s="1249">
        <f t="shared" si="61"/>
        <v>0</v>
      </c>
      <c r="AI199" s="230">
        <f t="shared" si="61"/>
        <v>0</v>
      </c>
      <c r="AJ199" s="230">
        <f t="shared" si="61"/>
        <v>0</v>
      </c>
      <c r="AK199" s="230">
        <f t="shared" si="61"/>
        <v>0</v>
      </c>
      <c r="AL199" s="230">
        <f t="shared" si="61"/>
        <v>0</v>
      </c>
      <c r="AM199" s="230">
        <f t="shared" si="61"/>
        <v>0</v>
      </c>
      <c r="AN199" s="1249">
        <f t="shared" si="61"/>
        <v>0</v>
      </c>
      <c r="AO199" s="1249">
        <f t="shared" si="61"/>
        <v>0</v>
      </c>
      <c r="AP199" s="1249">
        <f t="shared" si="61"/>
        <v>0</v>
      </c>
      <c r="AQ199" s="1249">
        <f t="shared" si="61"/>
        <v>0</v>
      </c>
      <c r="AR199" s="1249">
        <f t="shared" si="61"/>
        <v>0</v>
      </c>
      <c r="AS199" s="230">
        <f t="shared" si="61"/>
        <v>0</v>
      </c>
      <c r="AT199" s="230">
        <f t="shared" si="61"/>
        <v>0</v>
      </c>
      <c r="AU199" s="230">
        <f t="shared" si="61"/>
        <v>0</v>
      </c>
      <c r="AV199" s="230">
        <f t="shared" si="61"/>
        <v>0</v>
      </c>
      <c r="AW199" s="230">
        <f t="shared" si="61"/>
        <v>0</v>
      </c>
      <c r="AX199" s="1249">
        <f t="shared" si="61"/>
        <v>0</v>
      </c>
      <c r="AY199" s="1249">
        <f t="shared" si="61"/>
        <v>0</v>
      </c>
      <c r="AZ199" s="1249">
        <f t="shared" si="61"/>
        <v>0</v>
      </c>
      <c r="BA199" s="1249">
        <f t="shared" si="61"/>
        <v>0</v>
      </c>
      <c r="BB199" s="1249">
        <f t="shared" si="61"/>
        <v>0</v>
      </c>
      <c r="BC199" s="1290"/>
      <c r="BD199" s="791"/>
      <c r="BE199" s="791"/>
      <c r="BF199" s="970" t="s">
        <v>1175</v>
      </c>
    </row>
    <row r="200" spans="1:58" s="1229" customFormat="1" ht="14.25" customHeight="1">
      <c r="A200" s="1155"/>
      <c r="B200" s="783"/>
      <c r="C200" s="1155"/>
      <c r="D200" s="1155"/>
      <c r="E200" s="676">
        <v>15</v>
      </c>
      <c r="F200" s="779" t="str" cm="1">
        <f t="array" ref="F200">F199</f>
        <v>1</v>
      </c>
      <c r="G200" s="814"/>
      <c r="H200" s="814"/>
      <c r="I200" s="814"/>
      <c r="J200" s="814"/>
      <c r="K200" s="814"/>
      <c r="L200" s="814"/>
      <c r="M200" s="814"/>
      <c r="N200" s="814"/>
      <c r="O200" s="814"/>
      <c r="P200" s="814"/>
      <c r="Q200" s="784"/>
      <c r="R200" s="784"/>
      <c r="S200" s="814"/>
      <c r="T200" s="698" t="b" cm="1">
        <f t="array" ref="T200">T199</f>
        <v>1</v>
      </c>
      <c r="U200" s="1155"/>
      <c r="V200" s="1155"/>
      <c r="W200" s="1155"/>
      <c r="X200" s="1687"/>
      <c r="Y200" s="1155"/>
      <c r="Z200" s="1687"/>
      <c r="AA200" s="791"/>
      <c r="AB200" s="420" t="str">
        <f>AB197&amp;".3"</f>
        <v>6.3</v>
      </c>
      <c r="AC200" s="421" t="s">
        <v>1081</v>
      </c>
      <c r="AD200" s="420" t="s">
        <v>533</v>
      </c>
      <c r="AE200" s="1249">
        <f t="shared" ref="AE200:BB200" si="62">IF(AE186=0,0,AE214/AE186*100)</f>
        <v>0</v>
      </c>
      <c r="AF200" s="1249">
        <f t="shared" si="62"/>
        <v>0</v>
      </c>
      <c r="AG200" s="1249">
        <f t="shared" si="62"/>
        <v>0</v>
      </c>
      <c r="AH200" s="1249">
        <f t="shared" si="62"/>
        <v>0</v>
      </c>
      <c r="AI200" s="230">
        <f t="shared" si="62"/>
        <v>0</v>
      </c>
      <c r="AJ200" s="230">
        <f t="shared" si="62"/>
        <v>0</v>
      </c>
      <c r="AK200" s="230">
        <f t="shared" si="62"/>
        <v>0</v>
      </c>
      <c r="AL200" s="230">
        <f t="shared" si="62"/>
        <v>0</v>
      </c>
      <c r="AM200" s="230">
        <f t="shared" si="62"/>
        <v>0</v>
      </c>
      <c r="AN200" s="1249">
        <f t="shared" si="62"/>
        <v>0</v>
      </c>
      <c r="AO200" s="1249">
        <f t="shared" si="62"/>
        <v>0</v>
      </c>
      <c r="AP200" s="1249">
        <f t="shared" si="62"/>
        <v>0</v>
      </c>
      <c r="AQ200" s="1249">
        <f t="shared" si="62"/>
        <v>0</v>
      </c>
      <c r="AR200" s="1249">
        <f t="shared" si="62"/>
        <v>0</v>
      </c>
      <c r="AS200" s="230">
        <f t="shared" si="62"/>
        <v>0</v>
      </c>
      <c r="AT200" s="230">
        <f t="shared" si="62"/>
        <v>0</v>
      </c>
      <c r="AU200" s="230">
        <f t="shared" si="62"/>
        <v>0</v>
      </c>
      <c r="AV200" s="230">
        <f t="shared" si="62"/>
        <v>0</v>
      </c>
      <c r="AW200" s="230">
        <f t="shared" si="62"/>
        <v>0</v>
      </c>
      <c r="AX200" s="1249">
        <f t="shared" si="62"/>
        <v>0</v>
      </c>
      <c r="AY200" s="1249">
        <f t="shared" si="62"/>
        <v>0</v>
      </c>
      <c r="AZ200" s="1249">
        <f t="shared" si="62"/>
        <v>0</v>
      </c>
      <c r="BA200" s="1249">
        <f t="shared" si="62"/>
        <v>0</v>
      </c>
      <c r="BB200" s="1249">
        <f t="shared" si="62"/>
        <v>0</v>
      </c>
      <c r="BC200" s="1290"/>
      <c r="BD200" s="791"/>
      <c r="BE200" s="791"/>
      <c r="BF200" s="970" t="s">
        <v>1176</v>
      </c>
    </row>
    <row r="201" spans="1:58" s="1229" customFormat="1" ht="14.25" customHeight="1">
      <c r="A201" s="1155"/>
      <c r="B201" s="783"/>
      <c r="C201" s="1155"/>
      <c r="D201" s="1155"/>
      <c r="E201" s="676">
        <v>15</v>
      </c>
      <c r="F201" s="779" t="str" cm="1">
        <f t="array" ref="F201">F200</f>
        <v>1</v>
      </c>
      <c r="G201" s="814"/>
      <c r="H201" s="814"/>
      <c r="I201" s="814"/>
      <c r="J201" s="814"/>
      <c r="K201" s="814"/>
      <c r="L201" s="814"/>
      <c r="M201" s="814"/>
      <c r="N201" s="814"/>
      <c r="O201" s="814"/>
      <c r="P201" s="814"/>
      <c r="Q201" s="784"/>
      <c r="R201" s="784"/>
      <c r="S201" s="814"/>
      <c r="T201" s="698" t="b" cm="1">
        <f t="array" ref="T201">T200</f>
        <v>1</v>
      </c>
      <c r="U201" s="1155"/>
      <c r="V201" s="1155"/>
      <c r="W201" s="1155"/>
      <c r="X201" s="1687"/>
      <c r="Y201" s="1155"/>
      <c r="Z201" s="1687"/>
      <c r="AA201" s="791"/>
      <c r="AB201" s="420" t="str">
        <f>AB197&amp;".4"</f>
        <v>6.4</v>
      </c>
      <c r="AC201" s="421" t="s">
        <v>1083</v>
      </c>
      <c r="AD201" s="420" t="s">
        <v>533</v>
      </c>
      <c r="AE201" s="1249">
        <f t="shared" ref="AE201:BB201" si="63">IF(AE187=0,0,AE215/AE187*100)</f>
        <v>0</v>
      </c>
      <c r="AF201" s="1249">
        <f t="shared" si="63"/>
        <v>0</v>
      </c>
      <c r="AG201" s="1249">
        <f t="shared" si="63"/>
        <v>0</v>
      </c>
      <c r="AH201" s="1249">
        <f t="shared" si="63"/>
        <v>0</v>
      </c>
      <c r="AI201" s="230">
        <f t="shared" si="63"/>
        <v>0</v>
      </c>
      <c r="AJ201" s="230">
        <f t="shared" si="63"/>
        <v>0</v>
      </c>
      <c r="AK201" s="230">
        <f t="shared" si="63"/>
        <v>0</v>
      </c>
      <c r="AL201" s="230">
        <f t="shared" si="63"/>
        <v>0</v>
      </c>
      <c r="AM201" s="230">
        <f t="shared" si="63"/>
        <v>0</v>
      </c>
      <c r="AN201" s="1249">
        <f t="shared" si="63"/>
        <v>0</v>
      </c>
      <c r="AO201" s="1249">
        <f t="shared" si="63"/>
        <v>0</v>
      </c>
      <c r="AP201" s="1249">
        <f t="shared" si="63"/>
        <v>0</v>
      </c>
      <c r="AQ201" s="1249">
        <f t="shared" si="63"/>
        <v>0</v>
      </c>
      <c r="AR201" s="1249">
        <f t="shared" si="63"/>
        <v>0</v>
      </c>
      <c r="AS201" s="230">
        <f t="shared" si="63"/>
        <v>0</v>
      </c>
      <c r="AT201" s="230">
        <f t="shared" si="63"/>
        <v>0</v>
      </c>
      <c r="AU201" s="230">
        <f t="shared" si="63"/>
        <v>0</v>
      </c>
      <c r="AV201" s="230">
        <f t="shared" si="63"/>
        <v>0</v>
      </c>
      <c r="AW201" s="230">
        <f t="shared" si="63"/>
        <v>0</v>
      </c>
      <c r="AX201" s="1249">
        <f t="shared" si="63"/>
        <v>0</v>
      </c>
      <c r="AY201" s="1249">
        <f t="shared" si="63"/>
        <v>0</v>
      </c>
      <c r="AZ201" s="1249">
        <f t="shared" si="63"/>
        <v>0</v>
      </c>
      <c r="BA201" s="1249">
        <f t="shared" si="63"/>
        <v>0</v>
      </c>
      <c r="BB201" s="1249">
        <f t="shared" si="63"/>
        <v>0</v>
      </c>
      <c r="BC201" s="1290"/>
      <c r="BD201" s="791"/>
      <c r="BE201" s="791"/>
      <c r="BF201" s="970" t="s">
        <v>1177</v>
      </c>
    </row>
    <row r="202" spans="1:58" s="1229" customFormat="1" ht="14.25" customHeight="1">
      <c r="A202" s="1155"/>
      <c r="B202" s="783"/>
      <c r="C202" s="1155"/>
      <c r="D202" s="1155"/>
      <c r="E202" s="676">
        <v>15</v>
      </c>
      <c r="F202" s="779" t="str" cm="1">
        <f t="array" ref="F202">F201</f>
        <v>1</v>
      </c>
      <c r="G202" s="814"/>
      <c r="H202" s="814"/>
      <c r="I202" s="814"/>
      <c r="J202" s="814"/>
      <c r="K202" s="814"/>
      <c r="L202" s="814"/>
      <c r="M202" s="814"/>
      <c r="N202" s="814"/>
      <c r="O202" s="814"/>
      <c r="P202" s="814"/>
      <c r="Q202" s="784"/>
      <c r="R202" s="784"/>
      <c r="S202" s="814"/>
      <c r="T202" s="698" t="b" cm="1">
        <f t="array" ref="T202">T201</f>
        <v>1</v>
      </c>
      <c r="U202" s="1155"/>
      <c r="V202" s="1155"/>
      <c r="W202" s="1155"/>
      <c r="X202" s="1687"/>
      <c r="Y202" s="1155"/>
      <c r="Z202" s="1687"/>
      <c r="AA202" s="791"/>
      <c r="AB202" s="420" t="str">
        <f>AB201&amp;".1"</f>
        <v>6.4.1</v>
      </c>
      <c r="AC202" s="422" t="s">
        <v>1086</v>
      </c>
      <c r="AD202" s="420" t="s">
        <v>533</v>
      </c>
      <c r="AE202" s="1249">
        <f t="shared" ref="AE202:BB202" si="64">IF(AE188=0,0,AE216/AE188*100)</f>
        <v>0</v>
      </c>
      <c r="AF202" s="1249">
        <f t="shared" si="64"/>
        <v>0</v>
      </c>
      <c r="AG202" s="1249">
        <f t="shared" si="64"/>
        <v>0</v>
      </c>
      <c r="AH202" s="1249">
        <f t="shared" si="64"/>
        <v>0</v>
      </c>
      <c r="AI202" s="230">
        <f t="shared" si="64"/>
        <v>0</v>
      </c>
      <c r="AJ202" s="230">
        <f t="shared" si="64"/>
        <v>0</v>
      </c>
      <c r="AK202" s="230">
        <f t="shared" si="64"/>
        <v>0</v>
      </c>
      <c r="AL202" s="230">
        <f t="shared" si="64"/>
        <v>0</v>
      </c>
      <c r="AM202" s="230">
        <f t="shared" si="64"/>
        <v>0</v>
      </c>
      <c r="AN202" s="1249">
        <f t="shared" si="64"/>
        <v>0</v>
      </c>
      <c r="AO202" s="1249">
        <f t="shared" si="64"/>
        <v>0</v>
      </c>
      <c r="AP202" s="1249">
        <f t="shared" si="64"/>
        <v>0</v>
      </c>
      <c r="AQ202" s="1249">
        <f t="shared" si="64"/>
        <v>0</v>
      </c>
      <c r="AR202" s="1249">
        <f t="shared" si="64"/>
        <v>0</v>
      </c>
      <c r="AS202" s="230">
        <f t="shared" si="64"/>
        <v>0</v>
      </c>
      <c r="AT202" s="230">
        <f t="shared" si="64"/>
        <v>0</v>
      </c>
      <c r="AU202" s="230">
        <f t="shared" si="64"/>
        <v>0</v>
      </c>
      <c r="AV202" s="230">
        <f t="shared" si="64"/>
        <v>0</v>
      </c>
      <c r="AW202" s="230">
        <f t="shared" si="64"/>
        <v>0</v>
      </c>
      <c r="AX202" s="1249">
        <f t="shared" si="64"/>
        <v>0</v>
      </c>
      <c r="AY202" s="1249">
        <f t="shared" si="64"/>
        <v>0</v>
      </c>
      <c r="AZ202" s="1249">
        <f t="shared" si="64"/>
        <v>0</v>
      </c>
      <c r="BA202" s="1249">
        <f t="shared" si="64"/>
        <v>0</v>
      </c>
      <c r="BB202" s="1249">
        <f t="shared" si="64"/>
        <v>0</v>
      </c>
      <c r="BC202" s="1290"/>
      <c r="BD202" s="791"/>
      <c r="BE202" s="791"/>
      <c r="BF202" s="970" t="s">
        <v>1178</v>
      </c>
    </row>
    <row r="203" spans="1:58" s="1229" customFormat="1" ht="14.25" customHeight="1">
      <c r="A203" s="1155"/>
      <c r="B203" s="783"/>
      <c r="C203" s="1155"/>
      <c r="D203" s="1155"/>
      <c r="E203" s="676">
        <v>15</v>
      </c>
      <c r="F203" s="779" t="str" cm="1">
        <f t="array" ref="F203">F202</f>
        <v>1</v>
      </c>
      <c r="G203" s="814"/>
      <c r="H203" s="814"/>
      <c r="I203" s="814"/>
      <c r="J203" s="814"/>
      <c r="K203" s="814"/>
      <c r="L203" s="814"/>
      <c r="M203" s="814"/>
      <c r="N203" s="814"/>
      <c r="O203" s="814"/>
      <c r="P203" s="814"/>
      <c r="Q203" s="784"/>
      <c r="R203" s="784"/>
      <c r="S203" s="814"/>
      <c r="T203" s="698" t="b" cm="1">
        <f t="array" ref="T203">T202</f>
        <v>1</v>
      </c>
      <c r="U203" s="1155"/>
      <c r="V203" s="1155"/>
      <c r="W203" s="1155"/>
      <c r="X203" s="1687"/>
      <c r="Y203" s="1155"/>
      <c r="Z203" s="1687"/>
      <c r="AA203" s="791"/>
      <c r="AB203" s="420" t="str">
        <f>AB201&amp;".2"</f>
        <v>6.4.2</v>
      </c>
      <c r="AC203" s="422" t="s">
        <v>1089</v>
      </c>
      <c r="AD203" s="420" t="s">
        <v>533</v>
      </c>
      <c r="AE203" s="1249">
        <f t="shared" ref="AE203:BB203" si="65">IF(AE189=0,0,AE217/AE189*100)</f>
        <v>0</v>
      </c>
      <c r="AF203" s="1249">
        <f t="shared" si="65"/>
        <v>0</v>
      </c>
      <c r="AG203" s="1249">
        <f t="shared" si="65"/>
        <v>0</v>
      </c>
      <c r="AH203" s="1249">
        <f t="shared" si="65"/>
        <v>0</v>
      </c>
      <c r="AI203" s="230">
        <f t="shared" si="65"/>
        <v>0</v>
      </c>
      <c r="AJ203" s="230">
        <f t="shared" si="65"/>
        <v>0</v>
      </c>
      <c r="AK203" s="230">
        <f t="shared" si="65"/>
        <v>0</v>
      </c>
      <c r="AL203" s="230">
        <f t="shared" si="65"/>
        <v>0</v>
      </c>
      <c r="AM203" s="230">
        <f t="shared" si="65"/>
        <v>0</v>
      </c>
      <c r="AN203" s="1249">
        <f t="shared" si="65"/>
        <v>0</v>
      </c>
      <c r="AO203" s="1249">
        <f t="shared" si="65"/>
        <v>0</v>
      </c>
      <c r="AP203" s="1249">
        <f t="shared" si="65"/>
        <v>0</v>
      </c>
      <c r="AQ203" s="1249">
        <f t="shared" si="65"/>
        <v>0</v>
      </c>
      <c r="AR203" s="1249">
        <f t="shared" si="65"/>
        <v>0</v>
      </c>
      <c r="AS203" s="230">
        <f t="shared" si="65"/>
        <v>0</v>
      </c>
      <c r="AT203" s="230">
        <f t="shared" si="65"/>
        <v>0</v>
      </c>
      <c r="AU203" s="230">
        <f t="shared" si="65"/>
        <v>0</v>
      </c>
      <c r="AV203" s="230">
        <f t="shared" si="65"/>
        <v>0</v>
      </c>
      <c r="AW203" s="230">
        <f t="shared" si="65"/>
        <v>0</v>
      </c>
      <c r="AX203" s="1249">
        <f t="shared" si="65"/>
        <v>0</v>
      </c>
      <c r="AY203" s="1249">
        <f t="shared" si="65"/>
        <v>0</v>
      </c>
      <c r="AZ203" s="1249">
        <f t="shared" si="65"/>
        <v>0</v>
      </c>
      <c r="BA203" s="1249">
        <f t="shared" si="65"/>
        <v>0</v>
      </c>
      <c r="BB203" s="1249">
        <f t="shared" si="65"/>
        <v>0</v>
      </c>
      <c r="BC203" s="1290"/>
      <c r="BD203" s="791"/>
      <c r="BE203" s="791"/>
      <c r="BF203" s="970" t="s">
        <v>1179</v>
      </c>
    </row>
    <row r="204" spans="1:58" s="1229" customFormat="1" ht="14.25" customHeight="1">
      <c r="A204" s="1155"/>
      <c r="B204" s="783"/>
      <c r="C204" s="1155"/>
      <c r="D204" s="1155"/>
      <c r="E204" s="676">
        <v>15</v>
      </c>
      <c r="F204" s="779" t="str" cm="1">
        <f t="array" ref="F204">F203</f>
        <v>1</v>
      </c>
      <c r="G204" s="814"/>
      <c r="H204" s="814"/>
      <c r="I204" s="814"/>
      <c r="J204" s="814"/>
      <c r="K204" s="814"/>
      <c r="L204" s="814"/>
      <c r="M204" s="814"/>
      <c r="N204" s="814"/>
      <c r="O204" s="814"/>
      <c r="P204" s="814"/>
      <c r="Q204" s="784"/>
      <c r="R204" s="784"/>
      <c r="S204" s="814"/>
      <c r="T204" s="698" t="b" cm="1">
        <f t="array" ref="T204">T203</f>
        <v>1</v>
      </c>
      <c r="U204" s="1155"/>
      <c r="V204" s="1155"/>
      <c r="W204" s="1155"/>
      <c r="X204" s="1687"/>
      <c r="Y204" s="1155"/>
      <c r="Z204" s="1687"/>
      <c r="AA204" s="791"/>
      <c r="AB204" s="420" t="str">
        <f>AB201&amp;".3"</f>
        <v>6.4.3</v>
      </c>
      <c r="AC204" s="422" t="s">
        <v>1092</v>
      </c>
      <c r="AD204" s="420" t="s">
        <v>533</v>
      </c>
      <c r="AE204" s="1249">
        <f t="shared" ref="AE204:BB204" si="66">IF(AE190=0,0,AE218/AE190*100)</f>
        <v>0</v>
      </c>
      <c r="AF204" s="1249">
        <f t="shared" si="66"/>
        <v>0</v>
      </c>
      <c r="AG204" s="1249">
        <f t="shared" si="66"/>
        <v>0</v>
      </c>
      <c r="AH204" s="1249">
        <f t="shared" si="66"/>
        <v>0</v>
      </c>
      <c r="AI204" s="230">
        <f t="shared" si="66"/>
        <v>0</v>
      </c>
      <c r="AJ204" s="230">
        <f t="shared" si="66"/>
        <v>0</v>
      </c>
      <c r="AK204" s="230">
        <f t="shared" si="66"/>
        <v>0</v>
      </c>
      <c r="AL204" s="230">
        <f t="shared" si="66"/>
        <v>0</v>
      </c>
      <c r="AM204" s="230">
        <f t="shared" si="66"/>
        <v>0</v>
      </c>
      <c r="AN204" s="1249">
        <f t="shared" si="66"/>
        <v>0</v>
      </c>
      <c r="AO204" s="1249">
        <f t="shared" si="66"/>
        <v>0</v>
      </c>
      <c r="AP204" s="1249">
        <f t="shared" si="66"/>
        <v>0</v>
      </c>
      <c r="AQ204" s="1249">
        <f t="shared" si="66"/>
        <v>0</v>
      </c>
      <c r="AR204" s="1249">
        <f t="shared" si="66"/>
        <v>0</v>
      </c>
      <c r="AS204" s="230">
        <f t="shared" si="66"/>
        <v>0</v>
      </c>
      <c r="AT204" s="230">
        <f t="shared" si="66"/>
        <v>0</v>
      </c>
      <c r="AU204" s="230">
        <f t="shared" si="66"/>
        <v>0</v>
      </c>
      <c r="AV204" s="230">
        <f t="shared" si="66"/>
        <v>0</v>
      </c>
      <c r="AW204" s="230">
        <f t="shared" si="66"/>
        <v>0</v>
      </c>
      <c r="AX204" s="1249">
        <f t="shared" si="66"/>
        <v>0</v>
      </c>
      <c r="AY204" s="1249">
        <f t="shared" si="66"/>
        <v>0</v>
      </c>
      <c r="AZ204" s="1249">
        <f t="shared" si="66"/>
        <v>0</v>
      </c>
      <c r="BA204" s="1249">
        <f t="shared" si="66"/>
        <v>0</v>
      </c>
      <c r="BB204" s="1249">
        <f t="shared" si="66"/>
        <v>0</v>
      </c>
      <c r="BC204" s="1290"/>
      <c r="BD204" s="791"/>
      <c r="BE204" s="791"/>
      <c r="BF204" s="970" t="s">
        <v>1180</v>
      </c>
    </row>
    <row r="205" spans="1:58" s="1229" customFormat="1" ht="14.25" customHeight="1">
      <c r="A205" s="1155"/>
      <c r="B205" s="783"/>
      <c r="C205" s="1155"/>
      <c r="D205" s="1155"/>
      <c r="E205" s="676">
        <v>15</v>
      </c>
      <c r="F205" s="779" t="str" cm="1">
        <f t="array" ref="F205">F204</f>
        <v>1</v>
      </c>
      <c r="G205" s="814"/>
      <c r="H205" s="814"/>
      <c r="I205" s="814"/>
      <c r="J205" s="814"/>
      <c r="K205" s="814"/>
      <c r="L205" s="814"/>
      <c r="M205" s="814"/>
      <c r="N205" s="814"/>
      <c r="O205" s="814"/>
      <c r="P205" s="814"/>
      <c r="Q205" s="784"/>
      <c r="R205" s="784"/>
      <c r="S205" s="814"/>
      <c r="T205" s="698" t="b" cm="1">
        <f t="array" ref="T205">T204</f>
        <v>1</v>
      </c>
      <c r="U205" s="1155"/>
      <c r="V205" s="1155"/>
      <c r="W205" s="1155"/>
      <c r="X205" s="1687"/>
      <c r="Y205" s="1155"/>
      <c r="Z205" s="1687"/>
      <c r="AA205" s="791"/>
      <c r="AB205" s="420" t="str">
        <f>AB201&amp;".4"</f>
        <v>6.4.4</v>
      </c>
      <c r="AC205" s="422" t="s">
        <v>1095</v>
      </c>
      <c r="AD205" s="420" t="s">
        <v>533</v>
      </c>
      <c r="AE205" s="1249">
        <f t="shared" ref="AE205:BB205" si="67">IF(AE191=0,0,AE219/AE191*100)</f>
        <v>0</v>
      </c>
      <c r="AF205" s="1249">
        <f t="shared" si="67"/>
        <v>0</v>
      </c>
      <c r="AG205" s="1249">
        <f t="shared" si="67"/>
        <v>0</v>
      </c>
      <c r="AH205" s="1249">
        <f t="shared" si="67"/>
        <v>0</v>
      </c>
      <c r="AI205" s="230">
        <f t="shared" si="67"/>
        <v>0</v>
      </c>
      <c r="AJ205" s="230">
        <f t="shared" si="67"/>
        <v>0</v>
      </c>
      <c r="AK205" s="230">
        <f t="shared" si="67"/>
        <v>0</v>
      </c>
      <c r="AL205" s="230">
        <f t="shared" si="67"/>
        <v>0</v>
      </c>
      <c r="AM205" s="230">
        <f t="shared" si="67"/>
        <v>0</v>
      </c>
      <c r="AN205" s="1249">
        <f t="shared" si="67"/>
        <v>0</v>
      </c>
      <c r="AO205" s="1249">
        <f t="shared" si="67"/>
        <v>0</v>
      </c>
      <c r="AP205" s="1249">
        <f t="shared" si="67"/>
        <v>0</v>
      </c>
      <c r="AQ205" s="1249">
        <f t="shared" si="67"/>
        <v>0</v>
      </c>
      <c r="AR205" s="1249">
        <f t="shared" si="67"/>
        <v>0</v>
      </c>
      <c r="AS205" s="230">
        <f t="shared" si="67"/>
        <v>0</v>
      </c>
      <c r="AT205" s="230">
        <f t="shared" si="67"/>
        <v>0</v>
      </c>
      <c r="AU205" s="230">
        <f t="shared" si="67"/>
        <v>0</v>
      </c>
      <c r="AV205" s="230">
        <f t="shared" si="67"/>
        <v>0</v>
      </c>
      <c r="AW205" s="230">
        <f t="shared" si="67"/>
        <v>0</v>
      </c>
      <c r="AX205" s="1249">
        <f t="shared" si="67"/>
        <v>0</v>
      </c>
      <c r="AY205" s="1249">
        <f t="shared" si="67"/>
        <v>0</v>
      </c>
      <c r="AZ205" s="1249">
        <f t="shared" si="67"/>
        <v>0</v>
      </c>
      <c r="BA205" s="1249">
        <f t="shared" si="67"/>
        <v>0</v>
      </c>
      <c r="BB205" s="1249">
        <f t="shared" si="67"/>
        <v>0</v>
      </c>
      <c r="BC205" s="1290"/>
      <c r="BD205" s="791"/>
      <c r="BE205" s="791"/>
      <c r="BF205" s="970" t="s">
        <v>1181</v>
      </c>
    </row>
    <row r="206" spans="1:58" s="1229" customFormat="1" ht="14.25" customHeight="1">
      <c r="A206" s="1155"/>
      <c r="B206" s="783"/>
      <c r="C206" s="1155"/>
      <c r="D206" s="1155"/>
      <c r="E206" s="676">
        <v>15</v>
      </c>
      <c r="F206" s="779" t="str" cm="1">
        <f t="array" ref="F206">F205</f>
        <v>1</v>
      </c>
      <c r="G206" s="814"/>
      <c r="H206" s="814"/>
      <c r="I206" s="814"/>
      <c r="J206" s="814"/>
      <c r="K206" s="814"/>
      <c r="L206" s="814"/>
      <c r="M206" s="814"/>
      <c r="N206" s="814"/>
      <c r="O206" s="814"/>
      <c r="P206" s="814"/>
      <c r="Q206" s="784"/>
      <c r="R206" s="784"/>
      <c r="S206" s="814"/>
      <c r="T206" s="698" t="b" cm="1">
        <f t="array" ref="T206">T205</f>
        <v>1</v>
      </c>
      <c r="U206" s="1155"/>
      <c r="V206" s="1155"/>
      <c r="W206" s="1155"/>
      <c r="X206" s="1687"/>
      <c r="Y206" s="1155"/>
      <c r="Z206" s="1687"/>
      <c r="AA206" s="791"/>
      <c r="AB206" s="420" t="str">
        <f>AB201&amp;".5"</f>
        <v>6.4.5</v>
      </c>
      <c r="AC206" s="422" t="s">
        <v>1098</v>
      </c>
      <c r="AD206" s="420" t="s">
        <v>533</v>
      </c>
      <c r="AE206" s="1249">
        <f t="shared" ref="AE206:BB206" si="68">IF(AE192=0,0,AE220/AE192*100)</f>
        <v>0</v>
      </c>
      <c r="AF206" s="1249">
        <f t="shared" si="68"/>
        <v>0</v>
      </c>
      <c r="AG206" s="1249">
        <f t="shared" si="68"/>
        <v>0</v>
      </c>
      <c r="AH206" s="1249">
        <f t="shared" si="68"/>
        <v>0</v>
      </c>
      <c r="AI206" s="230">
        <f t="shared" si="68"/>
        <v>0</v>
      </c>
      <c r="AJ206" s="230">
        <f t="shared" si="68"/>
        <v>0</v>
      </c>
      <c r="AK206" s="230">
        <f t="shared" si="68"/>
        <v>0</v>
      </c>
      <c r="AL206" s="230">
        <f t="shared" si="68"/>
        <v>0</v>
      </c>
      <c r="AM206" s="230">
        <f t="shared" si="68"/>
        <v>0</v>
      </c>
      <c r="AN206" s="1249">
        <f t="shared" si="68"/>
        <v>0</v>
      </c>
      <c r="AO206" s="1249">
        <f t="shared" si="68"/>
        <v>0</v>
      </c>
      <c r="AP206" s="1249">
        <f t="shared" si="68"/>
        <v>0</v>
      </c>
      <c r="AQ206" s="1249">
        <f t="shared" si="68"/>
        <v>0</v>
      </c>
      <c r="AR206" s="1249">
        <f t="shared" si="68"/>
        <v>0</v>
      </c>
      <c r="AS206" s="230">
        <f t="shared" si="68"/>
        <v>0</v>
      </c>
      <c r="AT206" s="230">
        <f t="shared" si="68"/>
        <v>0</v>
      </c>
      <c r="AU206" s="230">
        <f t="shared" si="68"/>
        <v>0</v>
      </c>
      <c r="AV206" s="230">
        <f t="shared" si="68"/>
        <v>0</v>
      </c>
      <c r="AW206" s="230">
        <f t="shared" si="68"/>
        <v>0</v>
      </c>
      <c r="AX206" s="1249">
        <f t="shared" si="68"/>
        <v>0</v>
      </c>
      <c r="AY206" s="1249">
        <f t="shared" si="68"/>
        <v>0</v>
      </c>
      <c r="AZ206" s="1249">
        <f t="shared" si="68"/>
        <v>0</v>
      </c>
      <c r="BA206" s="1249">
        <f t="shared" si="68"/>
        <v>0</v>
      </c>
      <c r="BB206" s="1249">
        <f t="shared" si="68"/>
        <v>0</v>
      </c>
      <c r="BC206" s="1290"/>
      <c r="BD206" s="791"/>
      <c r="BE206" s="791"/>
      <c r="BF206" s="970" t="s">
        <v>1182</v>
      </c>
    </row>
    <row r="207" spans="1:58" s="1229" customFormat="1" ht="14.25" customHeight="1">
      <c r="A207" s="1155"/>
      <c r="B207" s="783"/>
      <c r="C207" s="1155"/>
      <c r="D207" s="1155"/>
      <c r="E207" s="676">
        <v>15</v>
      </c>
      <c r="F207" s="779" t="str" cm="1">
        <f t="array" ref="F207">F206</f>
        <v>1</v>
      </c>
      <c r="G207" s="814"/>
      <c r="H207" s="814"/>
      <c r="I207" s="814"/>
      <c r="J207" s="814"/>
      <c r="K207" s="814"/>
      <c r="L207" s="814"/>
      <c r="M207" s="814"/>
      <c r="N207" s="814"/>
      <c r="O207" s="814"/>
      <c r="P207" s="814"/>
      <c r="Q207" s="784"/>
      <c r="R207" s="784"/>
      <c r="S207" s="814"/>
      <c r="T207" s="698" t="b" cm="1">
        <f t="array" ref="T207">T206</f>
        <v>1</v>
      </c>
      <c r="U207" s="1155"/>
      <c r="V207" s="1155"/>
      <c r="W207" s="1155"/>
      <c r="X207" s="1687"/>
      <c r="Y207" s="1155"/>
      <c r="Z207" s="1687"/>
      <c r="AA207" s="791"/>
      <c r="AB207" s="420" t="str">
        <f>AB197&amp;".5"</f>
        <v>6.5</v>
      </c>
      <c r="AC207" s="421" t="s">
        <v>1101</v>
      </c>
      <c r="AD207" s="420" t="s">
        <v>533</v>
      </c>
      <c r="AE207" s="1249">
        <f t="shared" ref="AE207:BB207" si="69">IF(AE193=0,0,AE221/AE193*100)</f>
        <v>0</v>
      </c>
      <c r="AF207" s="1249">
        <f t="shared" si="69"/>
        <v>0</v>
      </c>
      <c r="AG207" s="1249">
        <f t="shared" si="69"/>
        <v>0</v>
      </c>
      <c r="AH207" s="1249">
        <f t="shared" si="69"/>
        <v>0</v>
      </c>
      <c r="AI207" s="230">
        <f t="shared" si="69"/>
        <v>0</v>
      </c>
      <c r="AJ207" s="230">
        <f t="shared" si="69"/>
        <v>0</v>
      </c>
      <c r="AK207" s="230">
        <f t="shared" si="69"/>
        <v>0</v>
      </c>
      <c r="AL207" s="230">
        <f t="shared" si="69"/>
        <v>0</v>
      </c>
      <c r="AM207" s="230">
        <f t="shared" si="69"/>
        <v>0</v>
      </c>
      <c r="AN207" s="1249">
        <f t="shared" si="69"/>
        <v>0</v>
      </c>
      <c r="AO207" s="1249">
        <f t="shared" si="69"/>
        <v>0</v>
      </c>
      <c r="AP207" s="1249">
        <f t="shared" si="69"/>
        <v>0</v>
      </c>
      <c r="AQ207" s="1249">
        <f t="shared" si="69"/>
        <v>0</v>
      </c>
      <c r="AR207" s="1249">
        <f t="shared" si="69"/>
        <v>0</v>
      </c>
      <c r="AS207" s="230">
        <f t="shared" si="69"/>
        <v>0</v>
      </c>
      <c r="AT207" s="230">
        <f t="shared" si="69"/>
        <v>0</v>
      </c>
      <c r="AU207" s="230">
        <f t="shared" si="69"/>
        <v>0</v>
      </c>
      <c r="AV207" s="230">
        <f t="shared" si="69"/>
        <v>0</v>
      </c>
      <c r="AW207" s="230">
        <f t="shared" si="69"/>
        <v>0</v>
      </c>
      <c r="AX207" s="1249">
        <f t="shared" si="69"/>
        <v>0</v>
      </c>
      <c r="AY207" s="1249">
        <f t="shared" si="69"/>
        <v>0</v>
      </c>
      <c r="AZ207" s="1249">
        <f t="shared" si="69"/>
        <v>0</v>
      </c>
      <c r="BA207" s="1249">
        <f t="shared" si="69"/>
        <v>0</v>
      </c>
      <c r="BB207" s="1249">
        <f t="shared" si="69"/>
        <v>0</v>
      </c>
      <c r="BC207" s="1290"/>
      <c r="BD207" s="791"/>
      <c r="BE207" s="791"/>
      <c r="BF207" s="970" t="s">
        <v>1183</v>
      </c>
    </row>
    <row r="208" spans="1:58" s="1229" customFormat="1" ht="14.25" customHeight="1">
      <c r="A208" s="1155"/>
      <c r="B208" s="783"/>
      <c r="C208" s="1155"/>
      <c r="D208" s="1155"/>
      <c r="E208" s="676">
        <v>15</v>
      </c>
      <c r="F208" s="779" t="str" cm="1">
        <f t="array" ref="F208">F207</f>
        <v>1</v>
      </c>
      <c r="G208" s="814"/>
      <c r="H208" s="814"/>
      <c r="I208" s="814"/>
      <c r="J208" s="814"/>
      <c r="K208" s="814"/>
      <c r="L208" s="814"/>
      <c r="M208" s="814"/>
      <c r="N208" s="814"/>
      <c r="O208" s="814"/>
      <c r="P208" s="814"/>
      <c r="Q208" s="784"/>
      <c r="R208" s="784"/>
      <c r="S208" s="814"/>
      <c r="T208" s="698" t="b" cm="1">
        <f t="array" ref="T208">T207</f>
        <v>1</v>
      </c>
      <c r="U208" s="1155"/>
      <c r="V208" s="1155"/>
      <c r="W208" s="1155"/>
      <c r="X208" s="1687"/>
      <c r="Y208" s="1155"/>
      <c r="Z208" s="1687"/>
      <c r="AA208" s="791"/>
      <c r="AB208" s="420" t="str">
        <f>AB197&amp;".6"</f>
        <v>6.6</v>
      </c>
      <c r="AC208" s="421" t="s">
        <v>1104</v>
      </c>
      <c r="AD208" s="420" t="s">
        <v>533</v>
      </c>
      <c r="AE208" s="1249">
        <f t="shared" ref="AE208:BB208" si="70">IF(AE194=0,0,AE222/AE194*100)</f>
        <v>0</v>
      </c>
      <c r="AF208" s="1249">
        <f t="shared" si="70"/>
        <v>0</v>
      </c>
      <c r="AG208" s="1249">
        <f t="shared" si="70"/>
        <v>0</v>
      </c>
      <c r="AH208" s="1249">
        <f t="shared" si="70"/>
        <v>0</v>
      </c>
      <c r="AI208" s="230">
        <f t="shared" si="70"/>
        <v>0</v>
      </c>
      <c r="AJ208" s="230">
        <f t="shared" si="70"/>
        <v>0</v>
      </c>
      <c r="AK208" s="230">
        <f t="shared" si="70"/>
        <v>0</v>
      </c>
      <c r="AL208" s="230">
        <f t="shared" si="70"/>
        <v>0</v>
      </c>
      <c r="AM208" s="230">
        <f t="shared" si="70"/>
        <v>0</v>
      </c>
      <c r="AN208" s="1249">
        <f t="shared" si="70"/>
        <v>0</v>
      </c>
      <c r="AO208" s="1249">
        <f t="shared" si="70"/>
        <v>0</v>
      </c>
      <c r="AP208" s="1249">
        <f t="shared" si="70"/>
        <v>0</v>
      </c>
      <c r="AQ208" s="1249">
        <f t="shared" si="70"/>
        <v>0</v>
      </c>
      <c r="AR208" s="1249">
        <f t="shared" si="70"/>
        <v>0</v>
      </c>
      <c r="AS208" s="230">
        <f t="shared" si="70"/>
        <v>0</v>
      </c>
      <c r="AT208" s="230">
        <f t="shared" si="70"/>
        <v>0</v>
      </c>
      <c r="AU208" s="230">
        <f t="shared" si="70"/>
        <v>0</v>
      </c>
      <c r="AV208" s="230">
        <f t="shared" si="70"/>
        <v>0</v>
      </c>
      <c r="AW208" s="230">
        <f t="shared" si="70"/>
        <v>0</v>
      </c>
      <c r="AX208" s="1249">
        <f t="shared" si="70"/>
        <v>0</v>
      </c>
      <c r="AY208" s="1249">
        <f t="shared" si="70"/>
        <v>0</v>
      </c>
      <c r="AZ208" s="1249">
        <f t="shared" si="70"/>
        <v>0</v>
      </c>
      <c r="BA208" s="1249">
        <f t="shared" si="70"/>
        <v>0</v>
      </c>
      <c r="BB208" s="1249">
        <f t="shared" si="70"/>
        <v>0</v>
      </c>
      <c r="BC208" s="1290"/>
      <c r="BD208" s="791"/>
      <c r="BE208" s="791"/>
      <c r="BF208" s="970" t="s">
        <v>1184</v>
      </c>
    </row>
    <row r="209" spans="1:58" s="1229" customFormat="1" ht="14.25" customHeight="1">
      <c r="A209" s="1155"/>
      <c r="B209" s="783"/>
      <c r="C209" s="1155"/>
      <c r="D209" s="1155"/>
      <c r="E209" s="676">
        <v>15</v>
      </c>
      <c r="F209" s="779" t="str" cm="1">
        <f t="array" ref="F209">F208</f>
        <v>1</v>
      </c>
      <c r="G209" s="814"/>
      <c r="H209" s="814"/>
      <c r="I209" s="814"/>
      <c r="J209" s="814"/>
      <c r="K209" s="814"/>
      <c r="L209" s="814"/>
      <c r="M209" s="814"/>
      <c r="N209" s="814"/>
      <c r="O209" s="814"/>
      <c r="P209" s="814"/>
      <c r="Q209" s="784"/>
      <c r="R209" s="784"/>
      <c r="S209" s="814"/>
      <c r="T209" s="698" t="b" cm="1">
        <f t="array" ref="T209">T208</f>
        <v>1</v>
      </c>
      <c r="U209" s="1155"/>
      <c r="V209" s="1155"/>
      <c r="W209" s="1155"/>
      <c r="X209" s="1687"/>
      <c r="Y209" s="1155"/>
      <c r="Z209" s="1687"/>
      <c r="AA209" s="791"/>
      <c r="AB209" s="420" t="str">
        <f>AB197&amp;".7"</f>
        <v>6.7</v>
      </c>
      <c r="AC209" s="421" t="s">
        <v>1107</v>
      </c>
      <c r="AD209" s="420" t="s">
        <v>533</v>
      </c>
      <c r="AE209" s="1249">
        <f t="shared" ref="AE209:BB209" si="71">IF(AE195=0,0,AE223/AE195*100)</f>
        <v>0</v>
      </c>
      <c r="AF209" s="1249">
        <f t="shared" si="71"/>
        <v>0</v>
      </c>
      <c r="AG209" s="1249">
        <f t="shared" si="71"/>
        <v>0</v>
      </c>
      <c r="AH209" s="1249">
        <f t="shared" si="71"/>
        <v>0</v>
      </c>
      <c r="AI209" s="230">
        <f t="shared" si="71"/>
        <v>0</v>
      </c>
      <c r="AJ209" s="230">
        <f t="shared" si="71"/>
        <v>0</v>
      </c>
      <c r="AK209" s="230">
        <f t="shared" si="71"/>
        <v>0</v>
      </c>
      <c r="AL209" s="230">
        <f t="shared" si="71"/>
        <v>0</v>
      </c>
      <c r="AM209" s="230">
        <f t="shared" si="71"/>
        <v>0</v>
      </c>
      <c r="AN209" s="1249">
        <f t="shared" si="71"/>
        <v>0</v>
      </c>
      <c r="AO209" s="1249">
        <f t="shared" si="71"/>
        <v>0</v>
      </c>
      <c r="AP209" s="1249">
        <f t="shared" si="71"/>
        <v>0</v>
      </c>
      <c r="AQ209" s="1249">
        <f t="shared" si="71"/>
        <v>0</v>
      </c>
      <c r="AR209" s="1249">
        <f t="shared" si="71"/>
        <v>0</v>
      </c>
      <c r="AS209" s="230">
        <f t="shared" si="71"/>
        <v>0</v>
      </c>
      <c r="AT209" s="230">
        <f t="shared" si="71"/>
        <v>0</v>
      </c>
      <c r="AU209" s="230">
        <f t="shared" si="71"/>
        <v>0</v>
      </c>
      <c r="AV209" s="230">
        <f t="shared" si="71"/>
        <v>0</v>
      </c>
      <c r="AW209" s="230">
        <f t="shared" si="71"/>
        <v>0</v>
      </c>
      <c r="AX209" s="1249">
        <f t="shared" si="71"/>
        <v>0</v>
      </c>
      <c r="AY209" s="1249">
        <f t="shared" si="71"/>
        <v>0</v>
      </c>
      <c r="AZ209" s="1249">
        <f t="shared" si="71"/>
        <v>0</v>
      </c>
      <c r="BA209" s="1249">
        <f t="shared" si="71"/>
        <v>0</v>
      </c>
      <c r="BB209" s="1249">
        <f t="shared" si="71"/>
        <v>0</v>
      </c>
      <c r="BC209" s="1290"/>
      <c r="BD209" s="791"/>
      <c r="BE209" s="791"/>
      <c r="BF209" s="970" t="s">
        <v>1185</v>
      </c>
    </row>
    <row r="210" spans="1:58" s="1229" customFormat="1" ht="14.25" customHeight="1">
      <c r="A210" s="1155"/>
      <c r="B210" s="783"/>
      <c r="C210" s="1155"/>
      <c r="D210" s="1155"/>
      <c r="E210" s="676">
        <v>15</v>
      </c>
      <c r="F210" s="779" t="str" cm="1">
        <f t="array" ref="F210">F209</f>
        <v>1</v>
      </c>
      <c r="G210" s="814"/>
      <c r="H210" s="814"/>
      <c r="I210" s="814"/>
      <c r="J210" s="814"/>
      <c r="K210" s="814"/>
      <c r="L210" s="814"/>
      <c r="M210" s="814"/>
      <c r="N210" s="814"/>
      <c r="O210" s="814"/>
      <c r="P210" s="814"/>
      <c r="Q210" s="784"/>
      <c r="R210" s="784"/>
      <c r="S210" s="814"/>
      <c r="T210" s="698" t="b" cm="1">
        <f t="array" ref="T210">T209</f>
        <v>1</v>
      </c>
      <c r="U210" s="1155"/>
      <c r="V210" s="1155"/>
      <c r="W210" s="1155"/>
      <c r="X210" s="1687"/>
      <c r="Y210" s="1155"/>
      <c r="Z210" s="1687"/>
      <c r="AA210" s="791"/>
      <c r="AB210" s="420" t="str">
        <f>AB197&amp;".8"</f>
        <v>6.8</v>
      </c>
      <c r="AC210" s="421" t="s">
        <v>1110</v>
      </c>
      <c r="AD210" s="420" t="s">
        <v>533</v>
      </c>
      <c r="AE210" s="1249">
        <f t="shared" ref="AE210:BB210" si="72">IF(AE196=0,0,AE224/AE196*100)</f>
        <v>0</v>
      </c>
      <c r="AF210" s="1249">
        <f t="shared" si="72"/>
        <v>0</v>
      </c>
      <c r="AG210" s="1249">
        <f t="shared" si="72"/>
        <v>0</v>
      </c>
      <c r="AH210" s="1249">
        <f t="shared" si="72"/>
        <v>0</v>
      </c>
      <c r="AI210" s="230">
        <f t="shared" si="72"/>
        <v>0</v>
      </c>
      <c r="AJ210" s="230">
        <f t="shared" si="72"/>
        <v>0</v>
      </c>
      <c r="AK210" s="230">
        <f t="shared" si="72"/>
        <v>0</v>
      </c>
      <c r="AL210" s="230">
        <f t="shared" si="72"/>
        <v>0</v>
      </c>
      <c r="AM210" s="230">
        <f t="shared" si="72"/>
        <v>0</v>
      </c>
      <c r="AN210" s="1249">
        <f t="shared" si="72"/>
        <v>0</v>
      </c>
      <c r="AO210" s="1249">
        <f t="shared" si="72"/>
        <v>0</v>
      </c>
      <c r="AP210" s="1249">
        <f t="shared" si="72"/>
        <v>0</v>
      </c>
      <c r="AQ210" s="1249">
        <f t="shared" si="72"/>
        <v>0</v>
      </c>
      <c r="AR210" s="1249">
        <f t="shared" si="72"/>
        <v>0</v>
      </c>
      <c r="AS210" s="230">
        <f t="shared" si="72"/>
        <v>0</v>
      </c>
      <c r="AT210" s="230">
        <f t="shared" si="72"/>
        <v>0</v>
      </c>
      <c r="AU210" s="230">
        <f t="shared" si="72"/>
        <v>0</v>
      </c>
      <c r="AV210" s="230">
        <f t="shared" si="72"/>
        <v>0</v>
      </c>
      <c r="AW210" s="230">
        <f t="shared" si="72"/>
        <v>0</v>
      </c>
      <c r="AX210" s="1249">
        <f t="shared" si="72"/>
        <v>0</v>
      </c>
      <c r="AY210" s="1249">
        <f t="shared" si="72"/>
        <v>0</v>
      </c>
      <c r="AZ210" s="1249">
        <f t="shared" si="72"/>
        <v>0</v>
      </c>
      <c r="BA210" s="1249">
        <f t="shared" si="72"/>
        <v>0</v>
      </c>
      <c r="BB210" s="1249">
        <f t="shared" si="72"/>
        <v>0</v>
      </c>
      <c r="BC210" s="1290"/>
      <c r="BD210" s="791"/>
      <c r="BE210" s="791"/>
      <c r="BF210" s="970" t="s">
        <v>1186</v>
      </c>
    </row>
    <row r="211" spans="1:58" s="167" customFormat="1" ht="14.25" customHeight="1">
      <c r="E211" s="676">
        <v>15</v>
      </c>
      <c r="F211" s="779" t="str" cm="1">
        <f t="array" ref="F211">F210</f>
        <v>1</v>
      </c>
      <c r="G211" s="620" t="s">
        <v>1187</v>
      </c>
      <c r="T211" s="698" t="b" cm="1">
        <f t="array" ref="T211">T210</f>
        <v>1</v>
      </c>
      <c r="X211" s="1811"/>
      <c r="Z211" s="1811"/>
      <c r="AB211" s="227">
        <v>7</v>
      </c>
      <c r="AC211" s="228" t="s">
        <v>1188</v>
      </c>
      <c r="AD211" s="107" t="s">
        <v>839</v>
      </c>
      <c r="AE211" s="1320">
        <f>SUM(AE212:AE215)+SUM(AE221:AE224)</f>
        <v>0</v>
      </c>
      <c r="AF211" s="1320">
        <f>SUM(AF212:AF215)+SUM(AF221:AF224)</f>
        <v>0</v>
      </c>
      <c r="AG211" s="1320">
        <f>SUM(AG212:AG215)+SUM(AG221:AG224)</f>
        <v>0</v>
      </c>
      <c r="AH211" s="1320">
        <v>8685</v>
      </c>
      <c r="AI211" s="242">
        <f t="shared" ref="AI211:AR211" si="73">SUM(AI212:AI215)+SUM(AI221:AI224)</f>
        <v>0</v>
      </c>
      <c r="AJ211" s="242">
        <f t="shared" si="73"/>
        <v>0</v>
      </c>
      <c r="AK211" s="242">
        <f t="shared" si="73"/>
        <v>0</v>
      </c>
      <c r="AL211" s="242">
        <f t="shared" si="73"/>
        <v>0</v>
      </c>
      <c r="AM211" s="242">
        <f t="shared" si="73"/>
        <v>0</v>
      </c>
      <c r="AN211" s="1320">
        <f t="shared" si="73"/>
        <v>0</v>
      </c>
      <c r="AO211" s="1320">
        <f t="shared" si="73"/>
        <v>0</v>
      </c>
      <c r="AP211" s="1320">
        <f t="shared" si="73"/>
        <v>0</v>
      </c>
      <c r="AQ211" s="1320">
        <f t="shared" si="73"/>
        <v>0</v>
      </c>
      <c r="AR211" s="1320">
        <f t="shared" si="73"/>
        <v>0</v>
      </c>
      <c r="AS211" s="242">
        <v>18706.05</v>
      </c>
      <c r="AT211" s="242">
        <f t="shared" ref="AT211:BB211" si="74">SUM(AT212:AT215)+SUM(AT221:AT224)</f>
        <v>0</v>
      </c>
      <c r="AU211" s="242">
        <f t="shared" si="74"/>
        <v>0</v>
      </c>
      <c r="AV211" s="242">
        <f t="shared" si="74"/>
        <v>0</v>
      </c>
      <c r="AW211" s="242">
        <f t="shared" si="74"/>
        <v>0</v>
      </c>
      <c r="AX211" s="1320">
        <f t="shared" si="74"/>
        <v>0</v>
      </c>
      <c r="AY211" s="1320">
        <f t="shared" si="74"/>
        <v>0</v>
      </c>
      <c r="AZ211" s="1320">
        <f t="shared" si="74"/>
        <v>0</v>
      </c>
      <c r="BA211" s="1320">
        <f t="shared" si="74"/>
        <v>0</v>
      </c>
      <c r="BB211" s="1320">
        <f t="shared" si="74"/>
        <v>0</v>
      </c>
      <c r="BC211" s="1290"/>
      <c r="BF211" s="970" t="s">
        <v>1189</v>
      </c>
    </row>
    <row r="212" spans="1:58" s="1229" customFormat="1" ht="14.25" customHeight="1">
      <c r="A212" s="1155"/>
      <c r="B212" s="783"/>
      <c r="C212" s="1155"/>
      <c r="D212" s="1155"/>
      <c r="E212" s="676">
        <v>15</v>
      </c>
      <c r="F212" s="779" t="str" cm="1">
        <f t="array" ref="F212">F211</f>
        <v>1</v>
      </c>
      <c r="G212" s="814"/>
      <c r="H212" s="814"/>
      <c r="I212" s="814"/>
      <c r="J212" s="814"/>
      <c r="K212" s="814"/>
      <c r="L212" s="814"/>
      <c r="M212" s="814"/>
      <c r="N212" s="814"/>
      <c r="O212" s="814"/>
      <c r="P212" s="814"/>
      <c r="Q212" s="784"/>
      <c r="R212" s="784"/>
      <c r="S212" s="814"/>
      <c r="T212" s="698" t="b" cm="1">
        <f t="array" ref="T212">T211</f>
        <v>1</v>
      </c>
      <c r="U212" s="1155"/>
      <c r="V212" s="1155"/>
      <c r="W212" s="1155"/>
      <c r="X212" s="1687"/>
      <c r="Y212" s="1155"/>
      <c r="Z212" s="1687"/>
      <c r="AA212" s="791"/>
      <c r="AB212" s="420" t="str">
        <f>AB211&amp;".1"</f>
        <v>7.1</v>
      </c>
      <c r="AC212" s="421" t="s">
        <v>1076</v>
      </c>
      <c r="AD212" s="420" t="s">
        <v>1077</v>
      </c>
      <c r="AE212" s="1249"/>
      <c r="AF212" s="1249"/>
      <c r="AG212" s="1249"/>
      <c r="AH212" s="1249"/>
      <c r="AI212" s="230"/>
      <c r="AJ212" s="230"/>
      <c r="AK212" s="230"/>
      <c r="AL212" s="230"/>
      <c r="AM212" s="230"/>
      <c r="AN212" s="1249"/>
      <c r="AO212" s="1249"/>
      <c r="AP212" s="1249"/>
      <c r="AQ212" s="1249"/>
      <c r="AR212" s="1249"/>
      <c r="AS212" s="230"/>
      <c r="AT212" s="230"/>
      <c r="AU212" s="230"/>
      <c r="AV212" s="230"/>
      <c r="AW212" s="230"/>
      <c r="AX212" s="1249"/>
      <c r="AY212" s="1249"/>
      <c r="AZ212" s="1249"/>
      <c r="BA212" s="1249"/>
      <c r="BB212" s="1249"/>
      <c r="BC212" s="1290"/>
      <c r="BD212" s="791"/>
      <c r="BE212" s="791"/>
      <c r="BF212" s="970" t="s">
        <v>1190</v>
      </c>
    </row>
    <row r="213" spans="1:58" s="1229" customFormat="1" ht="14.25" customHeight="1">
      <c r="A213" s="1155"/>
      <c r="B213" s="783"/>
      <c r="C213" s="1155"/>
      <c r="D213" s="1155"/>
      <c r="E213" s="676">
        <v>15</v>
      </c>
      <c r="F213" s="779" t="str" cm="1">
        <f t="array" ref="F213">F212</f>
        <v>1</v>
      </c>
      <c r="G213" s="814"/>
      <c r="H213" s="814"/>
      <c r="I213" s="814"/>
      <c r="J213" s="814"/>
      <c r="K213" s="814"/>
      <c r="L213" s="814"/>
      <c r="M213" s="814"/>
      <c r="N213" s="814"/>
      <c r="O213" s="814"/>
      <c r="P213" s="814"/>
      <c r="Q213" s="784"/>
      <c r="R213" s="784"/>
      <c r="S213" s="814"/>
      <c r="T213" s="698" t="b" cm="1">
        <f t="array" ref="T213">T212</f>
        <v>1</v>
      </c>
      <c r="U213" s="1155"/>
      <c r="V213" s="1155"/>
      <c r="W213" s="1155"/>
      <c r="X213" s="1687"/>
      <c r="Y213" s="1155"/>
      <c r="Z213" s="1687"/>
      <c r="AA213" s="791"/>
      <c r="AB213" s="420" t="str">
        <f>AB211&amp;".2"</f>
        <v>7.2</v>
      </c>
      <c r="AC213" s="421" t="s">
        <v>1079</v>
      </c>
      <c r="AD213" s="420" t="s">
        <v>1077</v>
      </c>
      <c r="AE213" s="1249"/>
      <c r="AF213" s="1249"/>
      <c r="AG213" s="1249"/>
      <c r="AH213" s="1249"/>
      <c r="AI213" s="230"/>
      <c r="AJ213" s="230"/>
      <c r="AK213" s="230"/>
      <c r="AL213" s="230"/>
      <c r="AM213" s="230"/>
      <c r="AN213" s="1249"/>
      <c r="AO213" s="1249"/>
      <c r="AP213" s="1249"/>
      <c r="AQ213" s="1249"/>
      <c r="AR213" s="1249"/>
      <c r="AS213" s="230"/>
      <c r="AT213" s="230"/>
      <c r="AU213" s="230"/>
      <c r="AV213" s="230"/>
      <c r="AW213" s="230"/>
      <c r="AX213" s="1249"/>
      <c r="AY213" s="1249"/>
      <c r="AZ213" s="1249"/>
      <c r="BA213" s="1249"/>
      <c r="BB213" s="1249"/>
      <c r="BC213" s="1290"/>
      <c r="BD213" s="791"/>
      <c r="BE213" s="791"/>
      <c r="BF213" s="970" t="s">
        <v>1191</v>
      </c>
    </row>
    <row r="214" spans="1:58" s="1229" customFormat="1" ht="14.25" customHeight="1">
      <c r="A214" s="1155"/>
      <c r="B214" s="783"/>
      <c r="C214" s="1155"/>
      <c r="D214" s="1155"/>
      <c r="E214" s="676">
        <v>15</v>
      </c>
      <c r="F214" s="779" t="str" cm="1">
        <f t="array" ref="F214">F213</f>
        <v>1</v>
      </c>
      <c r="G214" s="814"/>
      <c r="H214" s="814"/>
      <c r="I214" s="814"/>
      <c r="J214" s="814"/>
      <c r="K214" s="814"/>
      <c r="L214" s="814"/>
      <c r="M214" s="814"/>
      <c r="N214" s="814"/>
      <c r="O214" s="814"/>
      <c r="P214" s="814"/>
      <c r="Q214" s="784"/>
      <c r="R214" s="784"/>
      <c r="S214" s="814"/>
      <c r="T214" s="698" t="b" cm="1">
        <f t="array" ref="T214">T213</f>
        <v>1</v>
      </c>
      <c r="U214" s="1155"/>
      <c r="V214" s="1155"/>
      <c r="W214" s="1155"/>
      <c r="X214" s="1687"/>
      <c r="Y214" s="1155"/>
      <c r="Z214" s="1687"/>
      <c r="AA214" s="791"/>
      <c r="AB214" s="420" t="str">
        <f>AB211&amp;".3"</f>
        <v>7.3</v>
      </c>
      <c r="AC214" s="421" t="s">
        <v>1081</v>
      </c>
      <c r="AD214" s="420" t="s">
        <v>1077</v>
      </c>
      <c r="AE214" s="1249"/>
      <c r="AF214" s="1249"/>
      <c r="AG214" s="1249"/>
      <c r="AH214" s="1249"/>
      <c r="AI214" s="230"/>
      <c r="AJ214" s="230"/>
      <c r="AK214" s="230"/>
      <c r="AL214" s="230"/>
      <c r="AM214" s="230"/>
      <c r="AN214" s="1249"/>
      <c r="AO214" s="1249"/>
      <c r="AP214" s="1249"/>
      <c r="AQ214" s="1249"/>
      <c r="AR214" s="1249"/>
      <c r="AS214" s="230"/>
      <c r="AT214" s="230"/>
      <c r="AU214" s="230"/>
      <c r="AV214" s="230"/>
      <c r="AW214" s="230"/>
      <c r="AX214" s="1249"/>
      <c r="AY214" s="1249"/>
      <c r="AZ214" s="1249"/>
      <c r="BA214" s="1249"/>
      <c r="BB214" s="1249"/>
      <c r="BC214" s="1290"/>
      <c r="BD214" s="791"/>
      <c r="BE214" s="791"/>
      <c r="BF214" s="970" t="s">
        <v>1192</v>
      </c>
    </row>
    <row r="215" spans="1:58" s="1229" customFormat="1" ht="14.25" customHeight="1">
      <c r="A215" s="1155"/>
      <c r="B215" s="783"/>
      <c r="C215" s="1155"/>
      <c r="D215" s="1155"/>
      <c r="E215" s="676">
        <v>15</v>
      </c>
      <c r="F215" s="779" t="str" cm="1">
        <f t="array" ref="F215">F214</f>
        <v>1</v>
      </c>
      <c r="G215" s="814"/>
      <c r="H215" s="814"/>
      <c r="I215" s="814"/>
      <c r="J215" s="814"/>
      <c r="K215" s="814"/>
      <c r="L215" s="814"/>
      <c r="M215" s="814"/>
      <c r="N215" s="814"/>
      <c r="O215" s="814"/>
      <c r="P215" s="814"/>
      <c r="Q215" s="784"/>
      <c r="R215" s="784"/>
      <c r="S215" s="814"/>
      <c r="T215" s="698" t="b" cm="1">
        <f t="array" ref="T215">T214</f>
        <v>1</v>
      </c>
      <c r="U215" s="1155"/>
      <c r="V215" s="1155"/>
      <c r="W215" s="1155"/>
      <c r="X215" s="1687"/>
      <c r="Y215" s="1155"/>
      <c r="Z215" s="1687"/>
      <c r="AA215" s="791"/>
      <c r="AB215" s="420" t="str">
        <f>AB211&amp;".4"</f>
        <v>7.4</v>
      </c>
      <c r="AC215" s="421" t="s">
        <v>1083</v>
      </c>
      <c r="AD215" s="420" t="s">
        <v>1077</v>
      </c>
      <c r="AE215" s="1324">
        <f t="shared" ref="AE215:BB215" si="75">SUM(AE216:AE220)</f>
        <v>0</v>
      </c>
      <c r="AF215" s="1324">
        <f t="shared" si="75"/>
        <v>0</v>
      </c>
      <c r="AG215" s="1324">
        <f t="shared" si="75"/>
        <v>0</v>
      </c>
      <c r="AH215" s="1324">
        <f t="shared" si="75"/>
        <v>0</v>
      </c>
      <c r="AI215" s="415">
        <f t="shared" si="75"/>
        <v>0</v>
      </c>
      <c r="AJ215" s="415">
        <f t="shared" si="75"/>
        <v>0</v>
      </c>
      <c r="AK215" s="415">
        <f t="shared" si="75"/>
        <v>0</v>
      </c>
      <c r="AL215" s="415">
        <f t="shared" si="75"/>
        <v>0</v>
      </c>
      <c r="AM215" s="415">
        <f t="shared" si="75"/>
        <v>0</v>
      </c>
      <c r="AN215" s="1324">
        <f t="shared" si="75"/>
        <v>0</v>
      </c>
      <c r="AO215" s="1324">
        <f t="shared" si="75"/>
        <v>0</v>
      </c>
      <c r="AP215" s="1324">
        <f t="shared" si="75"/>
        <v>0</v>
      </c>
      <c r="AQ215" s="1324">
        <f t="shared" si="75"/>
        <v>0</v>
      </c>
      <c r="AR215" s="1324">
        <f t="shared" si="75"/>
        <v>0</v>
      </c>
      <c r="AS215" s="415">
        <f t="shared" si="75"/>
        <v>0</v>
      </c>
      <c r="AT215" s="415">
        <f t="shared" si="75"/>
        <v>0</v>
      </c>
      <c r="AU215" s="415">
        <f t="shared" si="75"/>
        <v>0</v>
      </c>
      <c r="AV215" s="415">
        <f t="shared" si="75"/>
        <v>0</v>
      </c>
      <c r="AW215" s="415">
        <f t="shared" si="75"/>
        <v>0</v>
      </c>
      <c r="AX215" s="1324">
        <f t="shared" si="75"/>
        <v>0</v>
      </c>
      <c r="AY215" s="1324">
        <f t="shared" si="75"/>
        <v>0</v>
      </c>
      <c r="AZ215" s="1324">
        <f t="shared" si="75"/>
        <v>0</v>
      </c>
      <c r="BA215" s="1324">
        <f t="shared" si="75"/>
        <v>0</v>
      </c>
      <c r="BB215" s="1324">
        <f t="shared" si="75"/>
        <v>0</v>
      </c>
      <c r="BC215" s="1290"/>
      <c r="BD215" s="791"/>
      <c r="BE215" s="791"/>
      <c r="BF215" s="970" t="s">
        <v>1193</v>
      </c>
    </row>
    <row r="216" spans="1:58" s="1229" customFormat="1" ht="14.25" customHeight="1">
      <c r="A216" s="1155"/>
      <c r="B216" s="783"/>
      <c r="C216" s="1155"/>
      <c r="D216" s="1155"/>
      <c r="E216" s="676">
        <v>15</v>
      </c>
      <c r="F216" s="779" t="str" cm="1">
        <f t="array" ref="F216">F215</f>
        <v>1</v>
      </c>
      <c r="G216" s="814"/>
      <c r="H216" s="814"/>
      <c r="I216" s="814"/>
      <c r="J216" s="814"/>
      <c r="K216" s="814"/>
      <c r="L216" s="814"/>
      <c r="M216" s="814"/>
      <c r="N216" s="814"/>
      <c r="O216" s="814"/>
      <c r="P216" s="814"/>
      <c r="Q216" s="784"/>
      <c r="R216" s="784"/>
      <c r="S216" s="814"/>
      <c r="T216" s="698" t="b" cm="1">
        <f t="array" ref="T216">T215</f>
        <v>1</v>
      </c>
      <c r="U216" s="1155"/>
      <c r="V216" s="1155"/>
      <c r="W216" s="1155"/>
      <c r="X216" s="1687"/>
      <c r="Y216" s="1155"/>
      <c r="Z216" s="1687"/>
      <c r="AA216" s="791"/>
      <c r="AB216" s="420" t="str">
        <f>AB215&amp;".1"</f>
        <v>7.4.1</v>
      </c>
      <c r="AC216" s="422" t="s">
        <v>1086</v>
      </c>
      <c r="AD216" s="420" t="s">
        <v>1077</v>
      </c>
      <c r="AE216" s="1249"/>
      <c r="AF216" s="1249"/>
      <c r="AG216" s="1249"/>
      <c r="AH216" s="1249"/>
      <c r="AI216" s="230"/>
      <c r="AJ216" s="230"/>
      <c r="AK216" s="230"/>
      <c r="AL216" s="230"/>
      <c r="AM216" s="230"/>
      <c r="AN216" s="1249"/>
      <c r="AO216" s="1249"/>
      <c r="AP216" s="1249"/>
      <c r="AQ216" s="1249"/>
      <c r="AR216" s="1249"/>
      <c r="AS216" s="230"/>
      <c r="AT216" s="230"/>
      <c r="AU216" s="230"/>
      <c r="AV216" s="230"/>
      <c r="AW216" s="230"/>
      <c r="AX216" s="1249"/>
      <c r="AY216" s="1249"/>
      <c r="AZ216" s="1249"/>
      <c r="BA216" s="1249"/>
      <c r="BB216" s="1249"/>
      <c r="BC216" s="1290"/>
      <c r="BD216" s="791"/>
      <c r="BE216" s="791"/>
      <c r="BF216" s="970" t="s">
        <v>1194</v>
      </c>
    </row>
    <row r="217" spans="1:58" s="1229" customFormat="1" ht="14.25" customHeight="1">
      <c r="A217" s="1155"/>
      <c r="B217" s="783"/>
      <c r="C217" s="1155"/>
      <c r="D217" s="1155"/>
      <c r="E217" s="676">
        <v>15</v>
      </c>
      <c r="F217" s="779" t="str" cm="1">
        <f t="array" ref="F217">F216</f>
        <v>1</v>
      </c>
      <c r="G217" s="814"/>
      <c r="H217" s="814"/>
      <c r="I217" s="814"/>
      <c r="J217" s="814"/>
      <c r="K217" s="814"/>
      <c r="L217" s="814"/>
      <c r="M217" s="814"/>
      <c r="N217" s="814"/>
      <c r="O217" s="814"/>
      <c r="P217" s="814"/>
      <c r="Q217" s="784"/>
      <c r="R217" s="784"/>
      <c r="S217" s="814"/>
      <c r="T217" s="698" t="b" cm="1">
        <f t="array" ref="T217">T216</f>
        <v>1</v>
      </c>
      <c r="U217" s="1155"/>
      <c r="V217" s="1155"/>
      <c r="W217" s="1155"/>
      <c r="X217" s="1687"/>
      <c r="Y217" s="1155"/>
      <c r="Z217" s="1687"/>
      <c r="AA217" s="791"/>
      <c r="AB217" s="420" t="str">
        <f>AB215&amp;".2"</f>
        <v>7.4.2</v>
      </c>
      <c r="AC217" s="422" t="s">
        <v>1089</v>
      </c>
      <c r="AD217" s="420" t="s">
        <v>1077</v>
      </c>
      <c r="AE217" s="1249"/>
      <c r="AF217" s="1249"/>
      <c r="AG217" s="1249"/>
      <c r="AH217" s="1249"/>
      <c r="AI217" s="230"/>
      <c r="AJ217" s="230"/>
      <c r="AK217" s="230"/>
      <c r="AL217" s="230"/>
      <c r="AM217" s="230"/>
      <c r="AN217" s="1249"/>
      <c r="AO217" s="1249"/>
      <c r="AP217" s="1249"/>
      <c r="AQ217" s="1249"/>
      <c r="AR217" s="1249"/>
      <c r="AS217" s="230"/>
      <c r="AT217" s="230"/>
      <c r="AU217" s="230"/>
      <c r="AV217" s="230"/>
      <c r="AW217" s="230"/>
      <c r="AX217" s="1249"/>
      <c r="AY217" s="1249"/>
      <c r="AZ217" s="1249"/>
      <c r="BA217" s="1249"/>
      <c r="BB217" s="1249"/>
      <c r="BC217" s="1290"/>
      <c r="BD217" s="791"/>
      <c r="BE217" s="791"/>
      <c r="BF217" s="970" t="s">
        <v>1195</v>
      </c>
    </row>
    <row r="218" spans="1:58" s="1229" customFormat="1" ht="14.25" customHeight="1">
      <c r="A218" s="1155"/>
      <c r="B218" s="783"/>
      <c r="C218" s="1155"/>
      <c r="D218" s="1155"/>
      <c r="E218" s="676">
        <v>15</v>
      </c>
      <c r="F218" s="779" t="str" cm="1">
        <f t="array" ref="F218">F217</f>
        <v>1</v>
      </c>
      <c r="G218" s="814"/>
      <c r="H218" s="814"/>
      <c r="I218" s="814"/>
      <c r="J218" s="814"/>
      <c r="K218" s="814"/>
      <c r="L218" s="814"/>
      <c r="M218" s="814"/>
      <c r="N218" s="814"/>
      <c r="O218" s="814"/>
      <c r="P218" s="814"/>
      <c r="Q218" s="784"/>
      <c r="R218" s="784"/>
      <c r="S218" s="814"/>
      <c r="T218" s="698" t="b" cm="1">
        <f t="array" ref="T218">T217</f>
        <v>1</v>
      </c>
      <c r="U218" s="1155"/>
      <c r="V218" s="1155"/>
      <c r="W218" s="1155"/>
      <c r="X218" s="1687"/>
      <c r="Y218" s="1155"/>
      <c r="Z218" s="1687"/>
      <c r="AA218" s="791"/>
      <c r="AB218" s="420" t="str">
        <f>AB215&amp;".3"</f>
        <v>7.4.3</v>
      </c>
      <c r="AC218" s="422" t="s">
        <v>1092</v>
      </c>
      <c r="AD218" s="420" t="s">
        <v>1077</v>
      </c>
      <c r="AE218" s="1249"/>
      <c r="AF218" s="1249"/>
      <c r="AG218" s="1249"/>
      <c r="AH218" s="1249"/>
      <c r="AI218" s="230"/>
      <c r="AJ218" s="230"/>
      <c r="AK218" s="230"/>
      <c r="AL218" s="230"/>
      <c r="AM218" s="230"/>
      <c r="AN218" s="1249"/>
      <c r="AO218" s="1249"/>
      <c r="AP218" s="1249"/>
      <c r="AQ218" s="1249"/>
      <c r="AR218" s="1249"/>
      <c r="AS218" s="230"/>
      <c r="AT218" s="230"/>
      <c r="AU218" s="230"/>
      <c r="AV218" s="230"/>
      <c r="AW218" s="230"/>
      <c r="AX218" s="1249"/>
      <c r="AY218" s="1249"/>
      <c r="AZ218" s="1249"/>
      <c r="BA218" s="1249"/>
      <c r="BB218" s="1249"/>
      <c r="BC218" s="1290"/>
      <c r="BD218" s="791"/>
      <c r="BE218" s="791"/>
      <c r="BF218" s="970" t="s">
        <v>1196</v>
      </c>
    </row>
    <row r="219" spans="1:58" s="1229" customFormat="1" ht="14.25" customHeight="1">
      <c r="A219" s="1155"/>
      <c r="B219" s="783"/>
      <c r="C219" s="1155"/>
      <c r="D219" s="1155"/>
      <c r="E219" s="676">
        <v>15</v>
      </c>
      <c r="F219" s="779" t="str" cm="1">
        <f t="array" ref="F219">F218</f>
        <v>1</v>
      </c>
      <c r="G219" s="814"/>
      <c r="H219" s="814"/>
      <c r="I219" s="814"/>
      <c r="J219" s="814"/>
      <c r="K219" s="814"/>
      <c r="L219" s="814"/>
      <c r="M219" s="814"/>
      <c r="N219" s="814"/>
      <c r="O219" s="814"/>
      <c r="P219" s="814"/>
      <c r="Q219" s="784"/>
      <c r="R219" s="784"/>
      <c r="S219" s="814"/>
      <c r="T219" s="698" t="b" cm="1">
        <f t="array" ref="T219">T218</f>
        <v>1</v>
      </c>
      <c r="U219" s="1155"/>
      <c r="V219" s="1155"/>
      <c r="W219" s="1155"/>
      <c r="X219" s="1687"/>
      <c r="Y219" s="1155"/>
      <c r="Z219" s="1687"/>
      <c r="AA219" s="791"/>
      <c r="AB219" s="420" t="str">
        <f>AB215&amp;".4"</f>
        <v>7.4.4</v>
      </c>
      <c r="AC219" s="422" t="s">
        <v>1095</v>
      </c>
      <c r="AD219" s="420" t="s">
        <v>1077</v>
      </c>
      <c r="AE219" s="1249"/>
      <c r="AF219" s="1249"/>
      <c r="AG219" s="1249"/>
      <c r="AH219" s="1249"/>
      <c r="AI219" s="230"/>
      <c r="AJ219" s="230"/>
      <c r="AK219" s="230"/>
      <c r="AL219" s="230"/>
      <c r="AM219" s="230"/>
      <c r="AN219" s="1249"/>
      <c r="AO219" s="1249"/>
      <c r="AP219" s="1249"/>
      <c r="AQ219" s="1249"/>
      <c r="AR219" s="1249"/>
      <c r="AS219" s="230"/>
      <c r="AT219" s="230"/>
      <c r="AU219" s="230"/>
      <c r="AV219" s="230"/>
      <c r="AW219" s="230"/>
      <c r="AX219" s="1249"/>
      <c r="AY219" s="1249"/>
      <c r="AZ219" s="1249"/>
      <c r="BA219" s="1249"/>
      <c r="BB219" s="1249"/>
      <c r="BC219" s="1290"/>
      <c r="BD219" s="791"/>
      <c r="BE219" s="791"/>
      <c r="BF219" s="970" t="s">
        <v>1197</v>
      </c>
    </row>
    <row r="220" spans="1:58" s="1229" customFormat="1" ht="14.25" customHeight="1">
      <c r="A220" s="1155"/>
      <c r="B220" s="783"/>
      <c r="C220" s="1155"/>
      <c r="D220" s="1155"/>
      <c r="E220" s="676">
        <v>15</v>
      </c>
      <c r="F220" s="779" t="str" cm="1">
        <f t="array" ref="F220">F219</f>
        <v>1</v>
      </c>
      <c r="G220" s="814"/>
      <c r="H220" s="814"/>
      <c r="I220" s="814"/>
      <c r="J220" s="814"/>
      <c r="K220" s="814"/>
      <c r="L220" s="814"/>
      <c r="M220" s="814"/>
      <c r="N220" s="814"/>
      <c r="O220" s="814"/>
      <c r="P220" s="814"/>
      <c r="Q220" s="784"/>
      <c r="R220" s="784"/>
      <c r="S220" s="814"/>
      <c r="T220" s="698" t="b" cm="1">
        <f t="array" ref="T220">T219</f>
        <v>1</v>
      </c>
      <c r="U220" s="1155"/>
      <c r="V220" s="1155"/>
      <c r="W220" s="1155"/>
      <c r="X220" s="1687"/>
      <c r="Y220" s="1155"/>
      <c r="Z220" s="1687"/>
      <c r="AA220" s="791"/>
      <c r="AB220" s="420" t="str">
        <f>AB215&amp;".5"</f>
        <v>7.4.5</v>
      </c>
      <c r="AC220" s="422" t="s">
        <v>1098</v>
      </c>
      <c r="AD220" s="420" t="s">
        <v>1077</v>
      </c>
      <c r="AE220" s="1249"/>
      <c r="AF220" s="1249"/>
      <c r="AG220" s="1249"/>
      <c r="AH220" s="1249"/>
      <c r="AI220" s="230"/>
      <c r="AJ220" s="230"/>
      <c r="AK220" s="230"/>
      <c r="AL220" s="230"/>
      <c r="AM220" s="230"/>
      <c r="AN220" s="1249"/>
      <c r="AO220" s="1249"/>
      <c r="AP220" s="1249"/>
      <c r="AQ220" s="1249"/>
      <c r="AR220" s="1249"/>
      <c r="AS220" s="230"/>
      <c r="AT220" s="230"/>
      <c r="AU220" s="230"/>
      <c r="AV220" s="230"/>
      <c r="AW220" s="230"/>
      <c r="AX220" s="1249"/>
      <c r="AY220" s="1249"/>
      <c r="AZ220" s="1249"/>
      <c r="BA220" s="1249"/>
      <c r="BB220" s="1249"/>
      <c r="BC220" s="1290"/>
      <c r="BD220" s="791"/>
      <c r="BE220" s="791"/>
      <c r="BF220" s="970" t="s">
        <v>1198</v>
      </c>
    </row>
    <row r="221" spans="1:58" s="1229" customFormat="1" ht="14.25" customHeight="1">
      <c r="A221" s="1155"/>
      <c r="B221" s="783"/>
      <c r="C221" s="1155"/>
      <c r="D221" s="1155"/>
      <c r="E221" s="676">
        <v>15</v>
      </c>
      <c r="F221" s="779" t="str" cm="1">
        <f t="array" ref="F221">F220</f>
        <v>1</v>
      </c>
      <c r="G221" s="814"/>
      <c r="H221" s="814"/>
      <c r="I221" s="814"/>
      <c r="J221" s="814"/>
      <c r="K221" s="814"/>
      <c r="L221" s="814"/>
      <c r="M221" s="814"/>
      <c r="N221" s="814"/>
      <c r="O221" s="814"/>
      <c r="P221" s="814"/>
      <c r="Q221" s="784"/>
      <c r="R221" s="784"/>
      <c r="S221" s="814"/>
      <c r="T221" s="698" t="b" cm="1">
        <f t="array" ref="T221">T220</f>
        <v>1</v>
      </c>
      <c r="U221" s="1155"/>
      <c r="V221" s="1155"/>
      <c r="W221" s="1155"/>
      <c r="X221" s="1687"/>
      <c r="Y221" s="1155"/>
      <c r="Z221" s="1687"/>
      <c r="AA221" s="791"/>
      <c r="AB221" s="420" t="str">
        <f>AB211&amp;".5"</f>
        <v>7.5</v>
      </c>
      <c r="AC221" s="421" t="s">
        <v>1101</v>
      </c>
      <c r="AD221" s="420" t="s">
        <v>1077</v>
      </c>
      <c r="AE221" s="1249"/>
      <c r="AF221" s="1249"/>
      <c r="AG221" s="1249"/>
      <c r="AH221" s="1249"/>
      <c r="AI221" s="230"/>
      <c r="AJ221" s="230"/>
      <c r="AK221" s="230"/>
      <c r="AL221" s="230"/>
      <c r="AM221" s="230"/>
      <c r="AN221" s="1249"/>
      <c r="AO221" s="1249"/>
      <c r="AP221" s="1249"/>
      <c r="AQ221" s="1249"/>
      <c r="AR221" s="1249"/>
      <c r="AS221" s="230"/>
      <c r="AT221" s="230"/>
      <c r="AU221" s="230"/>
      <c r="AV221" s="230"/>
      <c r="AW221" s="230"/>
      <c r="AX221" s="1249"/>
      <c r="AY221" s="1249"/>
      <c r="AZ221" s="1249"/>
      <c r="BA221" s="1249"/>
      <c r="BB221" s="1249"/>
      <c r="BC221" s="1290"/>
      <c r="BD221" s="791"/>
      <c r="BE221" s="791"/>
      <c r="BF221" s="970" t="s">
        <v>1199</v>
      </c>
    </row>
    <row r="222" spans="1:58" s="1229" customFormat="1" ht="14.25" customHeight="1">
      <c r="A222" s="1155"/>
      <c r="B222" s="783"/>
      <c r="C222" s="1155"/>
      <c r="D222" s="1155"/>
      <c r="E222" s="676">
        <v>15</v>
      </c>
      <c r="F222" s="779" t="str" cm="1">
        <f t="array" ref="F222">F221</f>
        <v>1</v>
      </c>
      <c r="G222" s="814"/>
      <c r="H222" s="814"/>
      <c r="I222" s="814"/>
      <c r="J222" s="814"/>
      <c r="K222" s="814"/>
      <c r="L222" s="814"/>
      <c r="M222" s="814"/>
      <c r="N222" s="814"/>
      <c r="O222" s="814"/>
      <c r="P222" s="814"/>
      <c r="Q222" s="784"/>
      <c r="R222" s="784"/>
      <c r="S222" s="814"/>
      <c r="T222" s="698" t="b" cm="1">
        <f t="array" ref="T222">T221</f>
        <v>1</v>
      </c>
      <c r="U222" s="1155"/>
      <c r="V222" s="1155"/>
      <c r="W222" s="1155"/>
      <c r="X222" s="1687"/>
      <c r="Y222" s="1155"/>
      <c r="Z222" s="1687"/>
      <c r="AA222" s="791"/>
      <c r="AB222" s="420" t="str">
        <f>AB211&amp;".6"</f>
        <v>7.6</v>
      </c>
      <c r="AC222" s="421" t="s">
        <v>1104</v>
      </c>
      <c r="AD222" s="420" t="s">
        <v>1077</v>
      </c>
      <c r="AE222" s="1249"/>
      <c r="AF222" s="1249"/>
      <c r="AG222" s="1249"/>
      <c r="AH222" s="1249"/>
      <c r="AI222" s="230"/>
      <c r="AJ222" s="230"/>
      <c r="AK222" s="230"/>
      <c r="AL222" s="230"/>
      <c r="AM222" s="230"/>
      <c r="AN222" s="1249"/>
      <c r="AO222" s="1249"/>
      <c r="AP222" s="1249"/>
      <c r="AQ222" s="1249"/>
      <c r="AR222" s="1249"/>
      <c r="AS222" s="230"/>
      <c r="AT222" s="230"/>
      <c r="AU222" s="230"/>
      <c r="AV222" s="230"/>
      <c r="AW222" s="230"/>
      <c r="AX222" s="1249"/>
      <c r="AY222" s="1249"/>
      <c r="AZ222" s="1249"/>
      <c r="BA222" s="1249"/>
      <c r="BB222" s="1249"/>
      <c r="BC222" s="1290"/>
      <c r="BD222" s="791"/>
      <c r="BE222" s="791"/>
      <c r="BF222" s="970" t="s">
        <v>1200</v>
      </c>
    </row>
    <row r="223" spans="1:58" s="1229" customFormat="1" ht="14.25" customHeight="1">
      <c r="A223" s="1155"/>
      <c r="B223" s="783"/>
      <c r="C223" s="1155"/>
      <c r="D223" s="1155"/>
      <c r="E223" s="676">
        <v>15</v>
      </c>
      <c r="F223" s="779" t="str" cm="1">
        <f t="array" ref="F223">F222</f>
        <v>1</v>
      </c>
      <c r="G223" s="814"/>
      <c r="H223" s="814"/>
      <c r="I223" s="814"/>
      <c r="J223" s="814"/>
      <c r="K223" s="814"/>
      <c r="L223" s="814"/>
      <c r="M223" s="814"/>
      <c r="N223" s="814"/>
      <c r="O223" s="814"/>
      <c r="P223" s="814"/>
      <c r="Q223" s="784"/>
      <c r="R223" s="784"/>
      <c r="S223" s="814"/>
      <c r="T223" s="698" t="b" cm="1">
        <f t="array" ref="T223">T222</f>
        <v>1</v>
      </c>
      <c r="U223" s="1155"/>
      <c r="V223" s="1155"/>
      <c r="W223" s="1155"/>
      <c r="X223" s="1687"/>
      <c r="Y223" s="1155"/>
      <c r="Z223" s="1687"/>
      <c r="AA223" s="791"/>
      <c r="AB223" s="420" t="str">
        <f>AB211&amp;".7"</f>
        <v>7.7</v>
      </c>
      <c r="AC223" s="421" t="s">
        <v>1107</v>
      </c>
      <c r="AD223" s="420" t="s">
        <v>1077</v>
      </c>
      <c r="AE223" s="1249"/>
      <c r="AF223" s="1249"/>
      <c r="AG223" s="1249"/>
      <c r="AH223" s="1249"/>
      <c r="AI223" s="230"/>
      <c r="AJ223" s="230"/>
      <c r="AK223" s="230"/>
      <c r="AL223" s="230"/>
      <c r="AM223" s="230"/>
      <c r="AN223" s="1249"/>
      <c r="AO223" s="1249"/>
      <c r="AP223" s="1249"/>
      <c r="AQ223" s="1249"/>
      <c r="AR223" s="1249"/>
      <c r="AS223" s="230"/>
      <c r="AT223" s="230"/>
      <c r="AU223" s="230"/>
      <c r="AV223" s="230"/>
      <c r="AW223" s="230"/>
      <c r="AX223" s="1249"/>
      <c r="AY223" s="1249"/>
      <c r="AZ223" s="1249"/>
      <c r="BA223" s="1249"/>
      <c r="BB223" s="1249"/>
      <c r="BC223" s="1290"/>
      <c r="BD223" s="791"/>
      <c r="BE223" s="791"/>
      <c r="BF223" s="970" t="s">
        <v>1201</v>
      </c>
    </row>
    <row r="224" spans="1:58" s="1229" customFormat="1" ht="14.25" customHeight="1">
      <c r="A224" s="1155"/>
      <c r="B224" s="783"/>
      <c r="C224" s="1155"/>
      <c r="D224" s="1155"/>
      <c r="E224" s="676">
        <v>15</v>
      </c>
      <c r="F224" s="779" t="str" cm="1">
        <f t="array" ref="F224">F223</f>
        <v>1</v>
      </c>
      <c r="G224" s="814"/>
      <c r="H224" s="814"/>
      <c r="I224" s="814"/>
      <c r="J224" s="814"/>
      <c r="K224" s="814"/>
      <c r="L224" s="814"/>
      <c r="M224" s="814"/>
      <c r="N224" s="814"/>
      <c r="O224" s="814"/>
      <c r="P224" s="814"/>
      <c r="Q224" s="784"/>
      <c r="R224" s="784"/>
      <c r="S224" s="814"/>
      <c r="T224" s="698" t="b" cm="1">
        <f t="array" ref="T224">T223</f>
        <v>1</v>
      </c>
      <c r="U224" s="1155"/>
      <c r="V224" s="1155"/>
      <c r="W224" s="1155"/>
      <c r="X224" s="1687"/>
      <c r="Y224" s="1155"/>
      <c r="Z224" s="1687"/>
      <c r="AA224" s="791"/>
      <c r="AB224" s="420" t="str">
        <f>AB211&amp;".8"</f>
        <v>7.8</v>
      </c>
      <c r="AC224" s="421" t="s">
        <v>1110</v>
      </c>
      <c r="AD224" s="420" t="s">
        <v>1077</v>
      </c>
      <c r="AE224" s="1249"/>
      <c r="AF224" s="1249"/>
      <c r="AG224" s="1249"/>
      <c r="AH224" s="1249"/>
      <c r="AI224" s="230"/>
      <c r="AJ224" s="230"/>
      <c r="AK224" s="230"/>
      <c r="AL224" s="230"/>
      <c r="AM224" s="230"/>
      <c r="AN224" s="1249"/>
      <c r="AO224" s="1249"/>
      <c r="AP224" s="1249"/>
      <c r="AQ224" s="1249"/>
      <c r="AR224" s="1249"/>
      <c r="AS224" s="230"/>
      <c r="AT224" s="230"/>
      <c r="AU224" s="230"/>
      <c r="AV224" s="230"/>
      <c r="AW224" s="230"/>
      <c r="AX224" s="1249"/>
      <c r="AY224" s="1249"/>
      <c r="AZ224" s="1249"/>
      <c r="BA224" s="1249"/>
      <c r="BB224" s="1249"/>
      <c r="BC224" s="1290"/>
      <c r="BD224" s="791"/>
      <c r="BE224" s="791"/>
      <c r="BF224" s="970" t="s">
        <v>1202</v>
      </c>
    </row>
    <row r="225" spans="1:58" s="1229" customFormat="1" ht="10.5" customHeight="1">
      <c r="A225" s="1155"/>
      <c r="B225" s="783"/>
      <c r="C225" s="1155"/>
      <c r="D225" s="1155"/>
      <c r="E225" s="676">
        <v>11.4</v>
      </c>
      <c r="F225" s="779" t="str" cm="1">
        <f t="array" ref="F225">X225</f>
        <v>2</v>
      </c>
      <c r="G225" s="814"/>
      <c r="H225" s="814"/>
      <c r="I225" s="814"/>
      <c r="J225" s="814"/>
      <c r="K225" s="814"/>
      <c r="L225" s="814"/>
      <c r="M225" s="814"/>
      <c r="N225" s="814"/>
      <c r="O225" s="814"/>
      <c r="P225" s="814"/>
      <c r="Q225" s="784"/>
      <c r="R225" s="784"/>
      <c r="S225" s="814"/>
      <c r="T225" s="698" t="b">
        <f>X225&gt;0</f>
        <v>1</v>
      </c>
      <c r="U225" s="1155"/>
      <c r="V225" s="126" t="str" cm="1">
        <f t="array" ref="V225">'ХВС, ТН'!$AB$56</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225" s="1155"/>
      <c r="X225" s="1687" t="s">
        <v>348</v>
      </c>
      <c r="Y225" s="1155"/>
      <c r="Z225" s="1687"/>
      <c r="AA225" s="791"/>
      <c r="AB225" s="237" t="str" cm="1">
        <f t="array" ref="AB225">IF(ISBLANK('ХВС, ТН'!$AB$56),"",'ХВС, ТН'!$AB$56)</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225" s="210"/>
      <c r="AD225" s="204"/>
      <c r="AE225" s="204"/>
      <c r="AF225" s="204"/>
      <c r="AG225" s="204"/>
      <c r="AH225" s="204"/>
      <c r="AI225" s="204"/>
      <c r="AJ225" s="204"/>
      <c r="AK225" s="204"/>
      <c r="AL225" s="204"/>
      <c r="AM225" s="204"/>
      <c r="AN225" s="204"/>
      <c r="AO225" s="204"/>
      <c r="AP225" s="204"/>
      <c r="AQ225" s="204"/>
      <c r="AR225" s="204"/>
      <c r="AS225" s="204"/>
      <c r="AT225" s="204"/>
      <c r="AU225" s="204"/>
      <c r="AV225" s="204"/>
      <c r="AW225" s="204"/>
      <c r="AX225" s="204"/>
      <c r="AY225" s="204"/>
      <c r="AZ225" s="204"/>
      <c r="BA225" s="204"/>
      <c r="BB225" s="204"/>
      <c r="BC225" s="226"/>
      <c r="BD225" s="791"/>
      <c r="BE225" s="791"/>
      <c r="BF225" s="977"/>
    </row>
    <row r="226" spans="1:58" s="167" customFormat="1" ht="21.75" customHeight="1">
      <c r="E226" s="676">
        <v>22.8</v>
      </c>
      <c r="F226" s="779" t="str" cm="1">
        <f t="array" ref="F226">F225</f>
        <v>2</v>
      </c>
      <c r="T226" s="698" t="b" cm="1">
        <f t="array" ref="T226">T225</f>
        <v>1</v>
      </c>
      <c r="X226" s="1811"/>
      <c r="Z226" s="1811"/>
      <c r="AB226" s="227">
        <v>1</v>
      </c>
      <c r="AC226" s="228" t="s">
        <v>1074</v>
      </c>
      <c r="AD226" s="107" t="s">
        <v>839</v>
      </c>
      <c r="AE226" s="1320">
        <f t="shared" ref="AE226:BB226" si="76">SUM(AE227:AE230)+SUM(AE236:AE239)</f>
        <v>0</v>
      </c>
      <c r="AF226" s="1320">
        <f t="shared" si="76"/>
        <v>0</v>
      </c>
      <c r="AG226" s="1320">
        <f t="shared" si="76"/>
        <v>0</v>
      </c>
      <c r="AH226" s="1320">
        <f t="shared" si="76"/>
        <v>0</v>
      </c>
      <c r="AI226" s="242">
        <f t="shared" si="76"/>
        <v>0</v>
      </c>
      <c r="AJ226" s="242">
        <f t="shared" si="76"/>
        <v>0</v>
      </c>
      <c r="AK226" s="242">
        <f t="shared" si="76"/>
        <v>0</v>
      </c>
      <c r="AL226" s="242">
        <f t="shared" si="76"/>
        <v>0</v>
      </c>
      <c r="AM226" s="242">
        <f t="shared" si="76"/>
        <v>0</v>
      </c>
      <c r="AN226" s="1320">
        <f t="shared" si="76"/>
        <v>0</v>
      </c>
      <c r="AO226" s="1320">
        <f t="shared" si="76"/>
        <v>0</v>
      </c>
      <c r="AP226" s="1320">
        <f t="shared" si="76"/>
        <v>0</v>
      </c>
      <c r="AQ226" s="1320">
        <f t="shared" si="76"/>
        <v>0</v>
      </c>
      <c r="AR226" s="1320">
        <f t="shared" si="76"/>
        <v>0</v>
      </c>
      <c r="AS226" s="242">
        <f t="shared" si="76"/>
        <v>0</v>
      </c>
      <c r="AT226" s="242">
        <f t="shared" si="76"/>
        <v>0</v>
      </c>
      <c r="AU226" s="242">
        <f t="shared" si="76"/>
        <v>0</v>
      </c>
      <c r="AV226" s="242">
        <f t="shared" si="76"/>
        <v>0</v>
      </c>
      <c r="AW226" s="242">
        <f t="shared" si="76"/>
        <v>0</v>
      </c>
      <c r="AX226" s="1320">
        <f t="shared" si="76"/>
        <v>0</v>
      </c>
      <c r="AY226" s="1320">
        <f t="shared" si="76"/>
        <v>0</v>
      </c>
      <c r="AZ226" s="1320">
        <f t="shared" si="76"/>
        <v>0</v>
      </c>
      <c r="BA226" s="1320">
        <f t="shared" si="76"/>
        <v>0</v>
      </c>
      <c r="BB226" s="1320">
        <f t="shared" si="76"/>
        <v>0</v>
      </c>
      <c r="BC226" s="1290"/>
      <c r="BF226" s="970" t="s">
        <v>1075</v>
      </c>
    </row>
    <row r="227" spans="1:58" s="1229" customFormat="1" ht="14.25" customHeight="1">
      <c r="A227" s="1155"/>
      <c r="B227" s="783"/>
      <c r="C227" s="1155"/>
      <c r="D227" s="1155"/>
      <c r="E227" s="676">
        <v>15</v>
      </c>
      <c r="F227" s="779" t="str" cm="1">
        <f t="array" ref="F227">F226</f>
        <v>2</v>
      </c>
      <c r="G227" s="814"/>
      <c r="H227" s="814"/>
      <c r="I227" s="814"/>
      <c r="J227" s="814"/>
      <c r="K227" s="814"/>
      <c r="L227" s="814"/>
      <c r="M227" s="814"/>
      <c r="N227" s="814"/>
      <c r="O227" s="814"/>
      <c r="P227" s="814"/>
      <c r="Q227" s="784"/>
      <c r="R227" s="784"/>
      <c r="S227" s="814"/>
      <c r="T227" s="698" t="b" cm="1">
        <f t="array" ref="T227">T226</f>
        <v>1</v>
      </c>
      <c r="U227" s="1155"/>
      <c r="V227" s="1155"/>
      <c r="W227" s="1155"/>
      <c r="X227" s="1687"/>
      <c r="Y227" s="1155"/>
      <c r="Z227" s="1687"/>
      <c r="AA227" s="791"/>
      <c r="AB227" s="420" t="s">
        <v>484</v>
      </c>
      <c r="AC227" s="421" t="s">
        <v>1076</v>
      </c>
      <c r="AD227" s="420" t="s">
        <v>1077</v>
      </c>
      <c r="AE227" s="1249"/>
      <c r="AF227" s="1249"/>
      <c r="AG227" s="1249"/>
      <c r="AH227" s="1249"/>
      <c r="AI227" s="230"/>
      <c r="AJ227" s="230"/>
      <c r="AK227" s="230"/>
      <c r="AL227" s="230"/>
      <c r="AM227" s="230"/>
      <c r="AN227" s="1249"/>
      <c r="AO227" s="1249"/>
      <c r="AP227" s="1249"/>
      <c r="AQ227" s="1249"/>
      <c r="AR227" s="1249"/>
      <c r="AS227" s="230"/>
      <c r="AT227" s="230"/>
      <c r="AU227" s="230"/>
      <c r="AV227" s="230"/>
      <c r="AW227" s="230"/>
      <c r="AX227" s="1249"/>
      <c r="AY227" s="1249"/>
      <c r="AZ227" s="1249"/>
      <c r="BA227" s="1249"/>
      <c r="BB227" s="1249"/>
      <c r="BC227" s="1290"/>
      <c r="BD227" s="791"/>
      <c r="BE227" s="791"/>
      <c r="BF227" s="970" t="s">
        <v>1078</v>
      </c>
    </row>
    <row r="228" spans="1:58" s="1229" customFormat="1" ht="14.25" customHeight="1">
      <c r="A228" s="1155"/>
      <c r="B228" s="783"/>
      <c r="C228" s="1155"/>
      <c r="D228" s="1155"/>
      <c r="E228" s="676">
        <v>15</v>
      </c>
      <c r="F228" s="779" t="str" cm="1">
        <f t="array" ref="F228">F227</f>
        <v>2</v>
      </c>
      <c r="G228" s="814"/>
      <c r="H228" s="814"/>
      <c r="I228" s="814"/>
      <c r="J228" s="814"/>
      <c r="K228" s="814"/>
      <c r="L228" s="814"/>
      <c r="M228" s="814"/>
      <c r="N228" s="814"/>
      <c r="O228" s="814"/>
      <c r="P228" s="814"/>
      <c r="Q228" s="784"/>
      <c r="R228" s="784"/>
      <c r="S228" s="814"/>
      <c r="T228" s="698" t="b" cm="1">
        <f t="array" ref="T228">T227</f>
        <v>1</v>
      </c>
      <c r="U228" s="1155"/>
      <c r="V228" s="1155"/>
      <c r="W228" s="1155"/>
      <c r="X228" s="1687"/>
      <c r="Y228" s="1155"/>
      <c r="Z228" s="1687"/>
      <c r="AA228" s="791"/>
      <c r="AB228" s="420" t="s">
        <v>989</v>
      </c>
      <c r="AC228" s="421" t="s">
        <v>1079</v>
      </c>
      <c r="AD228" s="420" t="s">
        <v>1077</v>
      </c>
      <c r="AE228" s="1249"/>
      <c r="AF228" s="1249"/>
      <c r="AG228" s="1249"/>
      <c r="AH228" s="1249"/>
      <c r="AI228" s="230"/>
      <c r="AJ228" s="230"/>
      <c r="AK228" s="230"/>
      <c r="AL228" s="230"/>
      <c r="AM228" s="230"/>
      <c r="AN228" s="1249"/>
      <c r="AO228" s="1249"/>
      <c r="AP228" s="1249"/>
      <c r="AQ228" s="1249"/>
      <c r="AR228" s="1249"/>
      <c r="AS228" s="230"/>
      <c r="AT228" s="230"/>
      <c r="AU228" s="230"/>
      <c r="AV228" s="230"/>
      <c r="AW228" s="230"/>
      <c r="AX228" s="1249"/>
      <c r="AY228" s="1249"/>
      <c r="AZ228" s="1249"/>
      <c r="BA228" s="1249"/>
      <c r="BB228" s="1249"/>
      <c r="BC228" s="1290"/>
      <c r="BD228" s="791"/>
      <c r="BE228" s="791"/>
      <c r="BF228" s="970" t="s">
        <v>1080</v>
      </c>
    </row>
    <row r="229" spans="1:58" s="1229" customFormat="1" ht="14.25" customHeight="1">
      <c r="A229" s="1155"/>
      <c r="B229" s="783"/>
      <c r="C229" s="1155"/>
      <c r="D229" s="1155"/>
      <c r="E229" s="676">
        <v>15</v>
      </c>
      <c r="F229" s="779" t="str" cm="1">
        <f t="array" ref="F229">F228</f>
        <v>2</v>
      </c>
      <c r="G229" s="814"/>
      <c r="H229" s="814"/>
      <c r="I229" s="814"/>
      <c r="J229" s="814"/>
      <c r="K229" s="814"/>
      <c r="L229" s="814"/>
      <c r="M229" s="814"/>
      <c r="N229" s="814"/>
      <c r="O229" s="814"/>
      <c r="P229" s="814"/>
      <c r="Q229" s="784"/>
      <c r="R229" s="784"/>
      <c r="S229" s="814"/>
      <c r="T229" s="698" t="b" cm="1">
        <f t="array" ref="T229">T228</f>
        <v>1</v>
      </c>
      <c r="U229" s="1155"/>
      <c r="V229" s="1155"/>
      <c r="W229" s="1155"/>
      <c r="X229" s="1687"/>
      <c r="Y229" s="1155"/>
      <c r="Z229" s="1687"/>
      <c r="AA229" s="791"/>
      <c r="AB229" s="420" t="s">
        <v>991</v>
      </c>
      <c r="AC229" s="421" t="s">
        <v>1081</v>
      </c>
      <c r="AD229" s="420" t="s">
        <v>1077</v>
      </c>
      <c r="AE229" s="1249"/>
      <c r="AF229" s="1249"/>
      <c r="AG229" s="1249"/>
      <c r="AH229" s="1249"/>
      <c r="AI229" s="230"/>
      <c r="AJ229" s="230"/>
      <c r="AK229" s="230"/>
      <c r="AL229" s="230"/>
      <c r="AM229" s="230"/>
      <c r="AN229" s="1249"/>
      <c r="AO229" s="1249"/>
      <c r="AP229" s="1249"/>
      <c r="AQ229" s="1249"/>
      <c r="AR229" s="1249"/>
      <c r="AS229" s="230"/>
      <c r="AT229" s="230"/>
      <c r="AU229" s="230"/>
      <c r="AV229" s="230"/>
      <c r="AW229" s="230"/>
      <c r="AX229" s="1249"/>
      <c r="AY229" s="1249"/>
      <c r="AZ229" s="1249"/>
      <c r="BA229" s="1249"/>
      <c r="BB229" s="1249"/>
      <c r="BC229" s="1290"/>
      <c r="BD229" s="791"/>
      <c r="BE229" s="791"/>
      <c r="BF229" s="970" t="s">
        <v>1082</v>
      </c>
    </row>
    <row r="230" spans="1:58" s="1229" customFormat="1" ht="14.25" customHeight="1">
      <c r="A230" s="1155"/>
      <c r="B230" s="783"/>
      <c r="C230" s="1155"/>
      <c r="D230" s="1155"/>
      <c r="E230" s="676">
        <v>15</v>
      </c>
      <c r="F230" s="779" t="str" cm="1">
        <f t="array" ref="F230">F229</f>
        <v>2</v>
      </c>
      <c r="G230" s="814"/>
      <c r="H230" s="814"/>
      <c r="I230" s="814"/>
      <c r="J230" s="814"/>
      <c r="K230" s="814"/>
      <c r="L230" s="814"/>
      <c r="M230" s="814"/>
      <c r="N230" s="814"/>
      <c r="O230" s="814"/>
      <c r="P230" s="814"/>
      <c r="Q230" s="784"/>
      <c r="R230" s="784"/>
      <c r="S230" s="814"/>
      <c r="T230" s="698" t="b" cm="1">
        <f t="array" ref="T230">T229</f>
        <v>1</v>
      </c>
      <c r="U230" s="1155"/>
      <c r="V230" s="1155"/>
      <c r="W230" s="1155"/>
      <c r="X230" s="1687"/>
      <c r="Y230" s="1155"/>
      <c r="Z230" s="1687"/>
      <c r="AA230" s="791"/>
      <c r="AB230" s="420" t="s">
        <v>995</v>
      </c>
      <c r="AC230" s="421" t="s">
        <v>1083</v>
      </c>
      <c r="AD230" s="420" t="s">
        <v>1077</v>
      </c>
      <c r="AE230" s="1324">
        <f t="shared" ref="AE230:BB230" si="77">SUM(AE231:AE235)</f>
        <v>0</v>
      </c>
      <c r="AF230" s="1324">
        <f t="shared" si="77"/>
        <v>0</v>
      </c>
      <c r="AG230" s="1324">
        <f t="shared" si="77"/>
        <v>0</v>
      </c>
      <c r="AH230" s="1324">
        <f t="shared" si="77"/>
        <v>0</v>
      </c>
      <c r="AI230" s="415">
        <f t="shared" si="77"/>
        <v>0</v>
      </c>
      <c r="AJ230" s="415">
        <f t="shared" si="77"/>
        <v>0</v>
      </c>
      <c r="AK230" s="415">
        <f t="shared" si="77"/>
        <v>0</v>
      </c>
      <c r="AL230" s="415">
        <f t="shared" si="77"/>
        <v>0</v>
      </c>
      <c r="AM230" s="415">
        <f t="shared" si="77"/>
        <v>0</v>
      </c>
      <c r="AN230" s="1324">
        <f t="shared" si="77"/>
        <v>0</v>
      </c>
      <c r="AO230" s="1324">
        <f t="shared" si="77"/>
        <v>0</v>
      </c>
      <c r="AP230" s="1324">
        <f t="shared" si="77"/>
        <v>0</v>
      </c>
      <c r="AQ230" s="1324">
        <f t="shared" si="77"/>
        <v>0</v>
      </c>
      <c r="AR230" s="1324">
        <f t="shared" si="77"/>
        <v>0</v>
      </c>
      <c r="AS230" s="415">
        <f t="shared" si="77"/>
        <v>0</v>
      </c>
      <c r="AT230" s="415">
        <f t="shared" si="77"/>
        <v>0</v>
      </c>
      <c r="AU230" s="415">
        <f t="shared" si="77"/>
        <v>0</v>
      </c>
      <c r="AV230" s="415">
        <f t="shared" si="77"/>
        <v>0</v>
      </c>
      <c r="AW230" s="415">
        <f t="shared" si="77"/>
        <v>0</v>
      </c>
      <c r="AX230" s="1324">
        <f t="shared" si="77"/>
        <v>0</v>
      </c>
      <c r="AY230" s="1324">
        <f t="shared" si="77"/>
        <v>0</v>
      </c>
      <c r="AZ230" s="1324">
        <f t="shared" si="77"/>
        <v>0</v>
      </c>
      <c r="BA230" s="1324">
        <f t="shared" si="77"/>
        <v>0</v>
      </c>
      <c r="BB230" s="1324">
        <f t="shared" si="77"/>
        <v>0</v>
      </c>
      <c r="BC230" s="1290"/>
      <c r="BD230" s="791"/>
      <c r="BE230" s="791"/>
      <c r="BF230" s="970" t="s">
        <v>1084</v>
      </c>
    </row>
    <row r="231" spans="1:58" s="1229" customFormat="1" ht="14.25" customHeight="1">
      <c r="A231" s="1155"/>
      <c r="B231" s="783"/>
      <c r="C231" s="1155"/>
      <c r="D231" s="1155"/>
      <c r="E231" s="676">
        <v>15</v>
      </c>
      <c r="F231" s="779" t="str" cm="1">
        <f t="array" ref="F231">F230</f>
        <v>2</v>
      </c>
      <c r="G231" s="814"/>
      <c r="H231" s="814"/>
      <c r="I231" s="814"/>
      <c r="J231" s="814"/>
      <c r="K231" s="814"/>
      <c r="L231" s="814"/>
      <c r="M231" s="814"/>
      <c r="N231" s="814"/>
      <c r="O231" s="814"/>
      <c r="P231" s="814"/>
      <c r="Q231" s="784"/>
      <c r="R231" s="784"/>
      <c r="S231" s="814"/>
      <c r="T231" s="698" t="b" cm="1">
        <f t="array" ref="T231">T230</f>
        <v>1</v>
      </c>
      <c r="U231" s="1155"/>
      <c r="V231" s="1155"/>
      <c r="W231" s="1155"/>
      <c r="X231" s="1687"/>
      <c r="Y231" s="1155"/>
      <c r="Z231" s="1687"/>
      <c r="AA231" s="791"/>
      <c r="AB231" s="420" t="s">
        <v>1085</v>
      </c>
      <c r="AC231" s="422" t="s">
        <v>1086</v>
      </c>
      <c r="AD231" s="420" t="s">
        <v>1077</v>
      </c>
      <c r="AE231" s="1249"/>
      <c r="AF231" s="1249"/>
      <c r="AG231" s="1249"/>
      <c r="AH231" s="1249"/>
      <c r="AI231" s="230"/>
      <c r="AJ231" s="230"/>
      <c r="AK231" s="230"/>
      <c r="AL231" s="230"/>
      <c r="AM231" s="230"/>
      <c r="AN231" s="1249"/>
      <c r="AO231" s="1249"/>
      <c r="AP231" s="1249"/>
      <c r="AQ231" s="1249"/>
      <c r="AR231" s="1249"/>
      <c r="AS231" s="230"/>
      <c r="AT231" s="230"/>
      <c r="AU231" s="230"/>
      <c r="AV231" s="230"/>
      <c r="AW231" s="230"/>
      <c r="AX231" s="1249"/>
      <c r="AY231" s="1249"/>
      <c r="AZ231" s="1249"/>
      <c r="BA231" s="1249"/>
      <c r="BB231" s="1249"/>
      <c r="BC231" s="1290"/>
      <c r="BD231" s="791"/>
      <c r="BE231" s="791"/>
      <c r="BF231" s="970" t="s">
        <v>1087</v>
      </c>
    </row>
    <row r="232" spans="1:58" s="1229" customFormat="1" ht="14.25" customHeight="1">
      <c r="A232" s="1155"/>
      <c r="B232" s="783"/>
      <c r="C232" s="1155"/>
      <c r="D232" s="1155"/>
      <c r="E232" s="676">
        <v>15</v>
      </c>
      <c r="F232" s="779" t="str" cm="1">
        <f t="array" ref="F232">F231</f>
        <v>2</v>
      </c>
      <c r="G232" s="814"/>
      <c r="H232" s="814"/>
      <c r="I232" s="814"/>
      <c r="J232" s="814"/>
      <c r="K232" s="814"/>
      <c r="L232" s="814"/>
      <c r="M232" s="814"/>
      <c r="N232" s="814"/>
      <c r="O232" s="814"/>
      <c r="P232" s="814"/>
      <c r="Q232" s="784"/>
      <c r="R232" s="784"/>
      <c r="S232" s="814"/>
      <c r="T232" s="698" t="b" cm="1">
        <f t="array" ref="T232">T231</f>
        <v>1</v>
      </c>
      <c r="U232" s="1155"/>
      <c r="V232" s="1155"/>
      <c r="W232" s="1155"/>
      <c r="X232" s="1687"/>
      <c r="Y232" s="1155"/>
      <c r="Z232" s="1687"/>
      <c r="AA232" s="791"/>
      <c r="AB232" s="420" t="s">
        <v>1088</v>
      </c>
      <c r="AC232" s="422" t="s">
        <v>1089</v>
      </c>
      <c r="AD232" s="420" t="s">
        <v>1077</v>
      </c>
      <c r="AE232" s="1249"/>
      <c r="AF232" s="1249"/>
      <c r="AG232" s="1249"/>
      <c r="AH232" s="1249"/>
      <c r="AI232" s="230"/>
      <c r="AJ232" s="230"/>
      <c r="AK232" s="230"/>
      <c r="AL232" s="230"/>
      <c r="AM232" s="230"/>
      <c r="AN232" s="1249"/>
      <c r="AO232" s="1249"/>
      <c r="AP232" s="1249"/>
      <c r="AQ232" s="1249"/>
      <c r="AR232" s="1249"/>
      <c r="AS232" s="230"/>
      <c r="AT232" s="230"/>
      <c r="AU232" s="230"/>
      <c r="AV232" s="230"/>
      <c r="AW232" s="230"/>
      <c r="AX232" s="1249"/>
      <c r="AY232" s="1249"/>
      <c r="AZ232" s="1249"/>
      <c r="BA232" s="1249"/>
      <c r="BB232" s="1249"/>
      <c r="BC232" s="1290"/>
      <c r="BD232" s="791"/>
      <c r="BE232" s="791"/>
      <c r="BF232" s="970" t="s">
        <v>1090</v>
      </c>
    </row>
    <row r="233" spans="1:58" s="1229" customFormat="1" ht="14.25" customHeight="1">
      <c r="A233" s="1155"/>
      <c r="B233" s="783"/>
      <c r="C233" s="1155"/>
      <c r="D233" s="1155"/>
      <c r="E233" s="676">
        <v>15</v>
      </c>
      <c r="F233" s="779" t="str" cm="1">
        <f t="array" ref="F233">F232</f>
        <v>2</v>
      </c>
      <c r="G233" s="814"/>
      <c r="H233" s="814"/>
      <c r="I233" s="814"/>
      <c r="J233" s="814"/>
      <c r="K233" s="814"/>
      <c r="L233" s="814"/>
      <c r="M233" s="814"/>
      <c r="N233" s="814"/>
      <c r="O233" s="814"/>
      <c r="P233" s="814"/>
      <c r="Q233" s="784"/>
      <c r="R233" s="784"/>
      <c r="S233" s="814"/>
      <c r="T233" s="698" t="b" cm="1">
        <f t="array" ref="T233">T232</f>
        <v>1</v>
      </c>
      <c r="U233" s="1155"/>
      <c r="V233" s="1155"/>
      <c r="W233" s="1155"/>
      <c r="X233" s="1687"/>
      <c r="Y233" s="1155"/>
      <c r="Z233" s="1687"/>
      <c r="AA233" s="791"/>
      <c r="AB233" s="420" t="s">
        <v>1091</v>
      </c>
      <c r="AC233" s="422" t="s">
        <v>1092</v>
      </c>
      <c r="AD233" s="420" t="s">
        <v>1077</v>
      </c>
      <c r="AE233" s="1249"/>
      <c r="AF233" s="1249"/>
      <c r="AG233" s="1249"/>
      <c r="AH233" s="1249"/>
      <c r="AI233" s="230"/>
      <c r="AJ233" s="230"/>
      <c r="AK233" s="230"/>
      <c r="AL233" s="230"/>
      <c r="AM233" s="230"/>
      <c r="AN233" s="1249"/>
      <c r="AO233" s="1249"/>
      <c r="AP233" s="1249"/>
      <c r="AQ233" s="1249"/>
      <c r="AR233" s="1249"/>
      <c r="AS233" s="230"/>
      <c r="AT233" s="230"/>
      <c r="AU233" s="230"/>
      <c r="AV233" s="230"/>
      <c r="AW233" s="230"/>
      <c r="AX233" s="1249"/>
      <c r="AY233" s="1249"/>
      <c r="AZ233" s="1249"/>
      <c r="BA233" s="1249"/>
      <c r="BB233" s="1249"/>
      <c r="BC233" s="1290"/>
      <c r="BD233" s="791"/>
      <c r="BE233" s="791"/>
      <c r="BF233" s="970" t="s">
        <v>1093</v>
      </c>
    </row>
    <row r="234" spans="1:58" s="1229" customFormat="1" ht="14.25" customHeight="1">
      <c r="A234" s="1155"/>
      <c r="B234" s="783"/>
      <c r="C234" s="1155"/>
      <c r="D234" s="1155"/>
      <c r="E234" s="676">
        <v>15</v>
      </c>
      <c r="F234" s="779" t="str" cm="1">
        <f t="array" ref="F234">F233</f>
        <v>2</v>
      </c>
      <c r="G234" s="814"/>
      <c r="H234" s="814"/>
      <c r="I234" s="814"/>
      <c r="J234" s="814"/>
      <c r="K234" s="814"/>
      <c r="L234" s="814"/>
      <c r="M234" s="814"/>
      <c r="N234" s="814"/>
      <c r="O234" s="814"/>
      <c r="P234" s="814"/>
      <c r="Q234" s="784"/>
      <c r="R234" s="784"/>
      <c r="S234" s="814"/>
      <c r="T234" s="698" t="b" cm="1">
        <f t="array" ref="T234">T233</f>
        <v>1</v>
      </c>
      <c r="U234" s="1155"/>
      <c r="V234" s="1155"/>
      <c r="W234" s="1155"/>
      <c r="X234" s="1687"/>
      <c r="Y234" s="1155"/>
      <c r="Z234" s="1687"/>
      <c r="AA234" s="791"/>
      <c r="AB234" s="420" t="s">
        <v>1094</v>
      </c>
      <c r="AC234" s="422" t="s">
        <v>1095</v>
      </c>
      <c r="AD234" s="420" t="s">
        <v>1077</v>
      </c>
      <c r="AE234" s="1249"/>
      <c r="AF234" s="1249"/>
      <c r="AG234" s="1249"/>
      <c r="AH234" s="1249"/>
      <c r="AI234" s="230"/>
      <c r="AJ234" s="230"/>
      <c r="AK234" s="230"/>
      <c r="AL234" s="230"/>
      <c r="AM234" s="230"/>
      <c r="AN234" s="1249"/>
      <c r="AO234" s="1249"/>
      <c r="AP234" s="1249"/>
      <c r="AQ234" s="1249"/>
      <c r="AR234" s="1249"/>
      <c r="AS234" s="230"/>
      <c r="AT234" s="230"/>
      <c r="AU234" s="230"/>
      <c r="AV234" s="230"/>
      <c r="AW234" s="230"/>
      <c r="AX234" s="1249"/>
      <c r="AY234" s="1249"/>
      <c r="AZ234" s="1249"/>
      <c r="BA234" s="1249"/>
      <c r="BB234" s="1249"/>
      <c r="BC234" s="1290"/>
      <c r="BD234" s="791"/>
      <c r="BE234" s="791"/>
      <c r="BF234" s="970" t="s">
        <v>1096</v>
      </c>
    </row>
    <row r="235" spans="1:58" s="1229" customFormat="1" ht="14.25" customHeight="1">
      <c r="A235" s="1155"/>
      <c r="B235" s="783"/>
      <c r="C235" s="1155"/>
      <c r="D235" s="1155"/>
      <c r="E235" s="676">
        <v>15</v>
      </c>
      <c r="F235" s="779" t="str" cm="1">
        <f t="array" ref="F235">F234</f>
        <v>2</v>
      </c>
      <c r="G235" s="814"/>
      <c r="H235" s="814"/>
      <c r="I235" s="814"/>
      <c r="J235" s="814"/>
      <c r="K235" s="814"/>
      <c r="L235" s="814"/>
      <c r="M235" s="814"/>
      <c r="N235" s="814"/>
      <c r="O235" s="814"/>
      <c r="P235" s="814"/>
      <c r="Q235" s="784"/>
      <c r="R235" s="784"/>
      <c r="S235" s="814"/>
      <c r="T235" s="698" t="b" cm="1">
        <f t="array" ref="T235">T234</f>
        <v>1</v>
      </c>
      <c r="U235" s="1155"/>
      <c r="V235" s="1155"/>
      <c r="W235" s="1155"/>
      <c r="X235" s="1687"/>
      <c r="Y235" s="1155"/>
      <c r="Z235" s="1687"/>
      <c r="AA235" s="791"/>
      <c r="AB235" s="420" t="s">
        <v>1097</v>
      </c>
      <c r="AC235" s="422" t="s">
        <v>1098</v>
      </c>
      <c r="AD235" s="420" t="s">
        <v>1077</v>
      </c>
      <c r="AE235" s="1249"/>
      <c r="AF235" s="1249"/>
      <c r="AG235" s="1249"/>
      <c r="AH235" s="1249"/>
      <c r="AI235" s="230"/>
      <c r="AJ235" s="230"/>
      <c r="AK235" s="230"/>
      <c r="AL235" s="230"/>
      <c r="AM235" s="230"/>
      <c r="AN235" s="1249"/>
      <c r="AO235" s="1249"/>
      <c r="AP235" s="1249"/>
      <c r="AQ235" s="1249"/>
      <c r="AR235" s="1249"/>
      <c r="AS235" s="230"/>
      <c r="AT235" s="230"/>
      <c r="AU235" s="230"/>
      <c r="AV235" s="230"/>
      <c r="AW235" s="230"/>
      <c r="AX235" s="1249"/>
      <c r="AY235" s="1249"/>
      <c r="AZ235" s="1249"/>
      <c r="BA235" s="1249"/>
      <c r="BB235" s="1249"/>
      <c r="BC235" s="1290"/>
      <c r="BD235" s="791"/>
      <c r="BE235" s="791"/>
      <c r="BF235" s="970" t="s">
        <v>1099</v>
      </c>
    </row>
    <row r="236" spans="1:58" s="1229" customFormat="1" ht="14.25" customHeight="1">
      <c r="A236" s="1155"/>
      <c r="B236" s="783"/>
      <c r="C236" s="1155"/>
      <c r="D236" s="1155"/>
      <c r="E236" s="676">
        <v>15</v>
      </c>
      <c r="F236" s="779" t="str" cm="1">
        <f t="array" ref="F236">F235</f>
        <v>2</v>
      </c>
      <c r="G236" s="814"/>
      <c r="H236" s="814"/>
      <c r="I236" s="814"/>
      <c r="J236" s="814"/>
      <c r="K236" s="814"/>
      <c r="L236" s="814"/>
      <c r="M236" s="814"/>
      <c r="N236" s="814"/>
      <c r="O236" s="814"/>
      <c r="P236" s="814"/>
      <c r="Q236" s="784"/>
      <c r="R236" s="784"/>
      <c r="S236" s="814"/>
      <c r="T236" s="698" t="b" cm="1">
        <f t="array" ref="T236">T235</f>
        <v>1</v>
      </c>
      <c r="U236" s="1155"/>
      <c r="V236" s="1155"/>
      <c r="W236" s="1155"/>
      <c r="X236" s="1687"/>
      <c r="Y236" s="1155"/>
      <c r="Z236" s="1687"/>
      <c r="AA236" s="791"/>
      <c r="AB236" s="420" t="s">
        <v>1100</v>
      </c>
      <c r="AC236" s="421" t="s">
        <v>1101</v>
      </c>
      <c r="AD236" s="420" t="s">
        <v>1077</v>
      </c>
      <c r="AE236" s="1249"/>
      <c r="AF236" s="1249"/>
      <c r="AG236" s="1249"/>
      <c r="AH236" s="1249"/>
      <c r="AI236" s="230"/>
      <c r="AJ236" s="230"/>
      <c r="AK236" s="230"/>
      <c r="AL236" s="230"/>
      <c r="AM236" s="230"/>
      <c r="AN236" s="1249"/>
      <c r="AO236" s="1249"/>
      <c r="AP236" s="1249"/>
      <c r="AQ236" s="1249"/>
      <c r="AR236" s="1249"/>
      <c r="AS236" s="230"/>
      <c r="AT236" s="230"/>
      <c r="AU236" s="230"/>
      <c r="AV236" s="230"/>
      <c r="AW236" s="230"/>
      <c r="AX236" s="1249"/>
      <c r="AY236" s="1249"/>
      <c r="AZ236" s="1249"/>
      <c r="BA236" s="1249"/>
      <c r="BB236" s="1249"/>
      <c r="BC236" s="1290"/>
      <c r="BD236" s="791"/>
      <c r="BE236" s="791"/>
      <c r="BF236" s="970" t="s">
        <v>1102</v>
      </c>
    </row>
    <row r="237" spans="1:58" s="1229" customFormat="1" ht="14.25" customHeight="1">
      <c r="A237" s="1155"/>
      <c r="B237" s="783"/>
      <c r="C237" s="1155"/>
      <c r="D237" s="1155"/>
      <c r="E237" s="676">
        <v>15</v>
      </c>
      <c r="F237" s="779" t="str" cm="1">
        <f t="array" ref="F237">F236</f>
        <v>2</v>
      </c>
      <c r="G237" s="814"/>
      <c r="H237" s="814"/>
      <c r="I237" s="814"/>
      <c r="J237" s="814"/>
      <c r="K237" s="814"/>
      <c r="L237" s="814"/>
      <c r="M237" s="814"/>
      <c r="N237" s="814"/>
      <c r="O237" s="814"/>
      <c r="P237" s="814"/>
      <c r="Q237" s="784"/>
      <c r="R237" s="784"/>
      <c r="S237" s="814"/>
      <c r="T237" s="698" t="b" cm="1">
        <f t="array" ref="T237">T236</f>
        <v>1</v>
      </c>
      <c r="U237" s="1155"/>
      <c r="V237" s="1155"/>
      <c r="W237" s="1155"/>
      <c r="X237" s="1687"/>
      <c r="Y237" s="1155"/>
      <c r="Z237" s="1687"/>
      <c r="AA237" s="791"/>
      <c r="AB237" s="420" t="s">
        <v>1103</v>
      </c>
      <c r="AC237" s="421" t="s">
        <v>1104</v>
      </c>
      <c r="AD237" s="420" t="s">
        <v>1077</v>
      </c>
      <c r="AE237" s="1249"/>
      <c r="AF237" s="1249"/>
      <c r="AG237" s="1249"/>
      <c r="AH237" s="1249"/>
      <c r="AI237" s="230"/>
      <c r="AJ237" s="230"/>
      <c r="AK237" s="230"/>
      <c r="AL237" s="230"/>
      <c r="AM237" s="230"/>
      <c r="AN237" s="1249"/>
      <c r="AO237" s="1249"/>
      <c r="AP237" s="1249"/>
      <c r="AQ237" s="1249"/>
      <c r="AR237" s="1249"/>
      <c r="AS237" s="230"/>
      <c r="AT237" s="230"/>
      <c r="AU237" s="230"/>
      <c r="AV237" s="230"/>
      <c r="AW237" s="230"/>
      <c r="AX237" s="1249"/>
      <c r="AY237" s="1249"/>
      <c r="AZ237" s="1249"/>
      <c r="BA237" s="1249"/>
      <c r="BB237" s="1249"/>
      <c r="BC237" s="1290"/>
      <c r="BD237" s="791"/>
      <c r="BE237" s="791"/>
      <c r="BF237" s="970" t="s">
        <v>1105</v>
      </c>
    </row>
    <row r="238" spans="1:58" s="1229" customFormat="1" ht="14.25" customHeight="1">
      <c r="A238" s="1155"/>
      <c r="B238" s="783"/>
      <c r="C238" s="1155"/>
      <c r="D238" s="1155"/>
      <c r="E238" s="676">
        <v>15</v>
      </c>
      <c r="F238" s="779" t="str" cm="1">
        <f t="array" ref="F238">F237</f>
        <v>2</v>
      </c>
      <c r="G238" s="814"/>
      <c r="H238" s="814"/>
      <c r="I238" s="814"/>
      <c r="J238" s="814"/>
      <c r="K238" s="814"/>
      <c r="L238" s="814"/>
      <c r="M238" s="814"/>
      <c r="N238" s="814"/>
      <c r="O238" s="814"/>
      <c r="P238" s="814"/>
      <c r="Q238" s="784"/>
      <c r="R238" s="784"/>
      <c r="S238" s="814"/>
      <c r="T238" s="698" t="b" cm="1">
        <f t="array" ref="T238">T237</f>
        <v>1</v>
      </c>
      <c r="U238" s="1155"/>
      <c r="V238" s="1155"/>
      <c r="W238" s="1155"/>
      <c r="X238" s="1687"/>
      <c r="Y238" s="1155"/>
      <c r="Z238" s="1687"/>
      <c r="AA238" s="791"/>
      <c r="AB238" s="420" t="s">
        <v>1106</v>
      </c>
      <c r="AC238" s="421" t="s">
        <v>1107</v>
      </c>
      <c r="AD238" s="420" t="s">
        <v>1077</v>
      </c>
      <c r="AE238" s="1249"/>
      <c r="AF238" s="1249"/>
      <c r="AG238" s="1249"/>
      <c r="AH238" s="1249"/>
      <c r="AI238" s="230"/>
      <c r="AJ238" s="230"/>
      <c r="AK238" s="230"/>
      <c r="AL238" s="230"/>
      <c r="AM238" s="230"/>
      <c r="AN238" s="1249"/>
      <c r="AO238" s="1249"/>
      <c r="AP238" s="1249"/>
      <c r="AQ238" s="1249"/>
      <c r="AR238" s="1249"/>
      <c r="AS238" s="230"/>
      <c r="AT238" s="230"/>
      <c r="AU238" s="230"/>
      <c r="AV238" s="230"/>
      <c r="AW238" s="230"/>
      <c r="AX238" s="1249"/>
      <c r="AY238" s="1249"/>
      <c r="AZ238" s="1249"/>
      <c r="BA238" s="1249"/>
      <c r="BB238" s="1249"/>
      <c r="BC238" s="1290"/>
      <c r="BD238" s="791"/>
      <c r="BE238" s="791"/>
      <c r="BF238" s="970" t="s">
        <v>1108</v>
      </c>
    </row>
    <row r="239" spans="1:58" s="1229" customFormat="1" ht="14.25" customHeight="1">
      <c r="A239" s="1155"/>
      <c r="B239" s="783"/>
      <c r="C239" s="1155"/>
      <c r="D239" s="1155"/>
      <c r="E239" s="676">
        <v>15</v>
      </c>
      <c r="F239" s="779" t="str" cm="1">
        <f t="array" ref="F239">F238</f>
        <v>2</v>
      </c>
      <c r="G239" s="814"/>
      <c r="H239" s="814"/>
      <c r="I239" s="814"/>
      <c r="J239" s="814"/>
      <c r="K239" s="814"/>
      <c r="L239" s="814"/>
      <c r="M239" s="814"/>
      <c r="N239" s="814"/>
      <c r="O239" s="814"/>
      <c r="P239" s="814"/>
      <c r="Q239" s="784"/>
      <c r="R239" s="784"/>
      <c r="S239" s="814"/>
      <c r="T239" s="698" t="b" cm="1">
        <f t="array" ref="T239">T238</f>
        <v>1</v>
      </c>
      <c r="U239" s="1155"/>
      <c r="V239" s="1155"/>
      <c r="W239" s="1155"/>
      <c r="X239" s="1687"/>
      <c r="Y239" s="1155"/>
      <c r="Z239" s="1687"/>
      <c r="AA239" s="791"/>
      <c r="AB239" s="420" t="s">
        <v>1109</v>
      </c>
      <c r="AC239" s="421" t="s">
        <v>1110</v>
      </c>
      <c r="AD239" s="420" t="s">
        <v>1077</v>
      </c>
      <c r="AE239" s="1249"/>
      <c r="AF239" s="1249"/>
      <c r="AG239" s="1249"/>
      <c r="AH239" s="1249"/>
      <c r="AI239" s="230"/>
      <c r="AJ239" s="230"/>
      <c r="AK239" s="230"/>
      <c r="AL239" s="230"/>
      <c r="AM239" s="230"/>
      <c r="AN239" s="1249"/>
      <c r="AO239" s="1249"/>
      <c r="AP239" s="1249"/>
      <c r="AQ239" s="1249"/>
      <c r="AR239" s="1249"/>
      <c r="AS239" s="230"/>
      <c r="AT239" s="230"/>
      <c r="AU239" s="230"/>
      <c r="AV239" s="230"/>
      <c r="AW239" s="230"/>
      <c r="AX239" s="1249"/>
      <c r="AY239" s="1249"/>
      <c r="AZ239" s="1249"/>
      <c r="BA239" s="1249"/>
      <c r="BB239" s="1249"/>
      <c r="BC239" s="1290"/>
      <c r="BD239" s="791"/>
      <c r="BE239" s="791"/>
      <c r="BF239" s="970" t="s">
        <v>1111</v>
      </c>
    </row>
    <row r="240" spans="1:58" s="167" customFormat="1" ht="44.25" customHeight="1">
      <c r="E240" s="676">
        <v>45.6</v>
      </c>
      <c r="F240" s="779" t="str" cm="1">
        <f t="array" ref="F240">F239</f>
        <v>2</v>
      </c>
      <c r="T240" s="698" t="b" cm="1">
        <f t="array" ref="T240">T239</f>
        <v>1</v>
      </c>
      <c r="X240" s="1811"/>
      <c r="Z240" s="1811"/>
      <c r="AB240" s="227">
        <v>2</v>
      </c>
      <c r="AC240" s="228" t="s">
        <v>1112</v>
      </c>
      <c r="AD240" s="107" t="s">
        <v>839</v>
      </c>
      <c r="AE240" s="1320">
        <f t="shared" ref="AE240:BB240" si="78">SUM(AE241:AE244)+SUM(AE250:AE253)</f>
        <v>0</v>
      </c>
      <c r="AF240" s="1320">
        <f t="shared" si="78"/>
        <v>0</v>
      </c>
      <c r="AG240" s="1320">
        <f t="shared" si="78"/>
        <v>0</v>
      </c>
      <c r="AH240" s="1320">
        <f t="shared" si="78"/>
        <v>0</v>
      </c>
      <c r="AI240" s="242">
        <f t="shared" si="78"/>
        <v>0</v>
      </c>
      <c r="AJ240" s="242">
        <f t="shared" si="78"/>
        <v>0</v>
      </c>
      <c r="AK240" s="242">
        <f t="shared" si="78"/>
        <v>0</v>
      </c>
      <c r="AL240" s="242">
        <f t="shared" si="78"/>
        <v>0</v>
      </c>
      <c r="AM240" s="242">
        <f t="shared" si="78"/>
        <v>0</v>
      </c>
      <c r="AN240" s="1320">
        <f t="shared" si="78"/>
        <v>0</v>
      </c>
      <c r="AO240" s="1320">
        <f t="shared" si="78"/>
        <v>0</v>
      </c>
      <c r="AP240" s="1320">
        <f t="shared" si="78"/>
        <v>0</v>
      </c>
      <c r="AQ240" s="1320">
        <f t="shared" si="78"/>
        <v>0</v>
      </c>
      <c r="AR240" s="1320">
        <f t="shared" si="78"/>
        <v>0</v>
      </c>
      <c r="AS240" s="242">
        <f t="shared" si="78"/>
        <v>0</v>
      </c>
      <c r="AT240" s="242">
        <f t="shared" si="78"/>
        <v>0</v>
      </c>
      <c r="AU240" s="242">
        <f t="shared" si="78"/>
        <v>0</v>
      </c>
      <c r="AV240" s="242">
        <f t="shared" si="78"/>
        <v>0</v>
      </c>
      <c r="AW240" s="242">
        <f t="shared" si="78"/>
        <v>0</v>
      </c>
      <c r="AX240" s="1320">
        <f t="shared" si="78"/>
        <v>0</v>
      </c>
      <c r="AY240" s="1320">
        <f t="shared" si="78"/>
        <v>0</v>
      </c>
      <c r="AZ240" s="1320">
        <f t="shared" si="78"/>
        <v>0</v>
      </c>
      <c r="BA240" s="1320">
        <f t="shared" si="78"/>
        <v>0</v>
      </c>
      <c r="BB240" s="1320">
        <f t="shared" si="78"/>
        <v>0</v>
      </c>
      <c r="BC240" s="1290"/>
      <c r="BF240" s="970" t="s">
        <v>1113</v>
      </c>
    </row>
    <row r="241" spans="1:58" s="1229" customFormat="1" ht="14.25" customHeight="1">
      <c r="A241" s="1155"/>
      <c r="B241" s="783"/>
      <c r="C241" s="1155"/>
      <c r="D241" s="1155"/>
      <c r="E241" s="676">
        <v>15</v>
      </c>
      <c r="F241" s="779" t="str" cm="1">
        <f t="array" ref="F241">F240</f>
        <v>2</v>
      </c>
      <c r="G241" s="814"/>
      <c r="H241" s="814"/>
      <c r="I241" s="814"/>
      <c r="J241" s="814"/>
      <c r="K241" s="814"/>
      <c r="L241" s="814"/>
      <c r="M241" s="814"/>
      <c r="N241" s="814"/>
      <c r="O241" s="814"/>
      <c r="P241" s="814"/>
      <c r="Q241" s="784"/>
      <c r="R241" s="784"/>
      <c r="S241" s="814"/>
      <c r="T241" s="698" t="b" cm="1">
        <f t="array" ref="T241">T240</f>
        <v>1</v>
      </c>
      <c r="U241" s="1155"/>
      <c r="V241" s="1155"/>
      <c r="W241" s="1155"/>
      <c r="X241" s="1687"/>
      <c r="Y241" s="1155"/>
      <c r="Z241" s="1687"/>
      <c r="AA241" s="791"/>
      <c r="AB241" s="420" t="str">
        <f>AB240&amp;".1"</f>
        <v>2.1</v>
      </c>
      <c r="AC241" s="421" t="s">
        <v>1076</v>
      </c>
      <c r="AD241" s="420" t="s">
        <v>1077</v>
      </c>
      <c r="AE241" s="1249"/>
      <c r="AF241" s="1249"/>
      <c r="AG241" s="1249"/>
      <c r="AH241" s="1249"/>
      <c r="AI241" s="230"/>
      <c r="AJ241" s="230"/>
      <c r="AK241" s="230"/>
      <c r="AL241" s="230"/>
      <c r="AM241" s="230"/>
      <c r="AN241" s="1249"/>
      <c r="AO241" s="1249"/>
      <c r="AP241" s="1249"/>
      <c r="AQ241" s="1249"/>
      <c r="AR241" s="1249"/>
      <c r="AS241" s="230"/>
      <c r="AT241" s="230"/>
      <c r="AU241" s="230"/>
      <c r="AV241" s="230"/>
      <c r="AW241" s="230"/>
      <c r="AX241" s="1249"/>
      <c r="AY241" s="1249"/>
      <c r="AZ241" s="1249"/>
      <c r="BA241" s="1249"/>
      <c r="BB241" s="1249"/>
      <c r="BC241" s="1290"/>
      <c r="BD241" s="791"/>
      <c r="BE241" s="791"/>
      <c r="BF241" s="970" t="s">
        <v>1114</v>
      </c>
    </row>
    <row r="242" spans="1:58" s="1229" customFormat="1" ht="14.25" customHeight="1">
      <c r="A242" s="1155"/>
      <c r="B242" s="783"/>
      <c r="C242" s="1155"/>
      <c r="D242" s="1155"/>
      <c r="E242" s="676">
        <v>15</v>
      </c>
      <c r="F242" s="779" t="str" cm="1">
        <f t="array" ref="F242">F241</f>
        <v>2</v>
      </c>
      <c r="G242" s="814"/>
      <c r="H242" s="814"/>
      <c r="I242" s="814"/>
      <c r="J242" s="814"/>
      <c r="K242" s="814"/>
      <c r="L242" s="814"/>
      <c r="M242" s="814"/>
      <c r="N242" s="814"/>
      <c r="O242" s="814"/>
      <c r="P242" s="814"/>
      <c r="Q242" s="784"/>
      <c r="R242" s="784"/>
      <c r="S242" s="814"/>
      <c r="T242" s="698" t="b" cm="1">
        <f t="array" ref="T242">T241</f>
        <v>1</v>
      </c>
      <c r="U242" s="1155"/>
      <c r="V242" s="1155"/>
      <c r="W242" s="1155"/>
      <c r="X242" s="1687"/>
      <c r="Y242" s="1155"/>
      <c r="Z242" s="1687"/>
      <c r="AA242" s="791"/>
      <c r="AB242" s="420" t="str">
        <f>AB240&amp;".2"</f>
        <v>2.2</v>
      </c>
      <c r="AC242" s="421" t="s">
        <v>1079</v>
      </c>
      <c r="AD242" s="420" t="s">
        <v>1077</v>
      </c>
      <c r="AE242" s="1249"/>
      <c r="AF242" s="1249"/>
      <c r="AG242" s="1249"/>
      <c r="AH242" s="1249"/>
      <c r="AI242" s="230"/>
      <c r="AJ242" s="230"/>
      <c r="AK242" s="230"/>
      <c r="AL242" s="230"/>
      <c r="AM242" s="230"/>
      <c r="AN242" s="1249"/>
      <c r="AO242" s="1249"/>
      <c r="AP242" s="1249"/>
      <c r="AQ242" s="1249"/>
      <c r="AR242" s="1249"/>
      <c r="AS242" s="230"/>
      <c r="AT242" s="230"/>
      <c r="AU242" s="230"/>
      <c r="AV242" s="230"/>
      <c r="AW242" s="230"/>
      <c r="AX242" s="1249"/>
      <c r="AY242" s="1249"/>
      <c r="AZ242" s="1249"/>
      <c r="BA242" s="1249"/>
      <c r="BB242" s="1249"/>
      <c r="BC242" s="1290"/>
      <c r="BD242" s="791"/>
      <c r="BE242" s="791"/>
      <c r="BF242" s="970" t="s">
        <v>1115</v>
      </c>
    </row>
    <row r="243" spans="1:58" s="1229" customFormat="1" ht="14.25" customHeight="1">
      <c r="A243" s="1155"/>
      <c r="B243" s="783"/>
      <c r="C243" s="1155"/>
      <c r="D243" s="1155"/>
      <c r="E243" s="676">
        <v>15</v>
      </c>
      <c r="F243" s="779" t="str" cm="1">
        <f t="array" ref="F243">F242</f>
        <v>2</v>
      </c>
      <c r="G243" s="814"/>
      <c r="H243" s="814"/>
      <c r="I243" s="814"/>
      <c r="J243" s="814"/>
      <c r="K243" s="814"/>
      <c r="L243" s="814"/>
      <c r="M243" s="814"/>
      <c r="N243" s="814"/>
      <c r="O243" s="814"/>
      <c r="P243" s="814"/>
      <c r="Q243" s="784"/>
      <c r="R243" s="784"/>
      <c r="S243" s="814"/>
      <c r="T243" s="698" t="b" cm="1">
        <f t="array" ref="T243">T242</f>
        <v>1</v>
      </c>
      <c r="U243" s="1155"/>
      <c r="V243" s="1155"/>
      <c r="W243" s="1155"/>
      <c r="X243" s="1687"/>
      <c r="Y243" s="1155"/>
      <c r="Z243" s="1687"/>
      <c r="AA243" s="791"/>
      <c r="AB243" s="420" t="str">
        <f>AB240&amp;".3"</f>
        <v>2.3</v>
      </c>
      <c r="AC243" s="421" t="s">
        <v>1081</v>
      </c>
      <c r="AD243" s="420" t="s">
        <v>1077</v>
      </c>
      <c r="AE243" s="1249"/>
      <c r="AF243" s="1249"/>
      <c r="AG243" s="1249"/>
      <c r="AH243" s="1249"/>
      <c r="AI243" s="230"/>
      <c r="AJ243" s="230"/>
      <c r="AK243" s="230"/>
      <c r="AL243" s="230"/>
      <c r="AM243" s="230"/>
      <c r="AN243" s="1249"/>
      <c r="AO243" s="1249"/>
      <c r="AP243" s="1249"/>
      <c r="AQ243" s="1249"/>
      <c r="AR243" s="1249"/>
      <c r="AS243" s="230"/>
      <c r="AT243" s="230"/>
      <c r="AU243" s="230"/>
      <c r="AV243" s="230"/>
      <c r="AW243" s="230"/>
      <c r="AX243" s="1249"/>
      <c r="AY243" s="1249"/>
      <c r="AZ243" s="1249"/>
      <c r="BA243" s="1249"/>
      <c r="BB243" s="1249"/>
      <c r="BC243" s="1290"/>
      <c r="BD243" s="791"/>
      <c r="BE243" s="791"/>
      <c r="BF243" s="970" t="s">
        <v>1116</v>
      </c>
    </row>
    <row r="244" spans="1:58" s="1229" customFormat="1" ht="14.25" customHeight="1">
      <c r="A244" s="1155"/>
      <c r="B244" s="783"/>
      <c r="C244" s="1155"/>
      <c r="D244" s="1155"/>
      <c r="E244" s="676">
        <v>15</v>
      </c>
      <c r="F244" s="779" t="str" cm="1">
        <f t="array" ref="F244">F243</f>
        <v>2</v>
      </c>
      <c r="G244" s="814"/>
      <c r="H244" s="814"/>
      <c r="I244" s="814"/>
      <c r="J244" s="814"/>
      <c r="K244" s="814"/>
      <c r="L244" s="814"/>
      <c r="M244" s="814"/>
      <c r="N244" s="814"/>
      <c r="O244" s="814"/>
      <c r="P244" s="814"/>
      <c r="Q244" s="784"/>
      <c r="R244" s="784"/>
      <c r="S244" s="814"/>
      <c r="T244" s="698" t="b" cm="1">
        <f t="array" ref="T244">T243</f>
        <v>1</v>
      </c>
      <c r="U244" s="1155"/>
      <c r="V244" s="1155"/>
      <c r="W244" s="1155"/>
      <c r="X244" s="1687"/>
      <c r="Y244" s="1155"/>
      <c r="Z244" s="1687"/>
      <c r="AA244" s="791"/>
      <c r="AB244" s="420" t="str">
        <f>AB240&amp;".4"</f>
        <v>2.4</v>
      </c>
      <c r="AC244" s="421" t="s">
        <v>1083</v>
      </c>
      <c r="AD244" s="420" t="s">
        <v>1077</v>
      </c>
      <c r="AE244" s="1324">
        <f t="shared" ref="AE244:BB244" si="79">SUM(AE245:AE249)</f>
        <v>0</v>
      </c>
      <c r="AF244" s="1324">
        <f t="shared" si="79"/>
        <v>0</v>
      </c>
      <c r="AG244" s="1324">
        <f t="shared" si="79"/>
        <v>0</v>
      </c>
      <c r="AH244" s="1324">
        <f t="shared" si="79"/>
        <v>0</v>
      </c>
      <c r="AI244" s="415">
        <f t="shared" si="79"/>
        <v>0</v>
      </c>
      <c r="AJ244" s="415">
        <f t="shared" si="79"/>
        <v>0</v>
      </c>
      <c r="AK244" s="415">
        <f t="shared" si="79"/>
        <v>0</v>
      </c>
      <c r="AL244" s="415">
        <f t="shared" si="79"/>
        <v>0</v>
      </c>
      <c r="AM244" s="415">
        <f t="shared" si="79"/>
        <v>0</v>
      </c>
      <c r="AN244" s="1324">
        <f t="shared" si="79"/>
        <v>0</v>
      </c>
      <c r="AO244" s="1324">
        <f t="shared" si="79"/>
        <v>0</v>
      </c>
      <c r="AP244" s="1324">
        <f t="shared" si="79"/>
        <v>0</v>
      </c>
      <c r="AQ244" s="1324">
        <f t="shared" si="79"/>
        <v>0</v>
      </c>
      <c r="AR244" s="1324">
        <f t="shared" si="79"/>
        <v>0</v>
      </c>
      <c r="AS244" s="415">
        <f t="shared" si="79"/>
        <v>0</v>
      </c>
      <c r="AT244" s="415">
        <f t="shared" si="79"/>
        <v>0</v>
      </c>
      <c r="AU244" s="415">
        <f t="shared" si="79"/>
        <v>0</v>
      </c>
      <c r="AV244" s="415">
        <f t="shared" si="79"/>
        <v>0</v>
      </c>
      <c r="AW244" s="415">
        <f t="shared" si="79"/>
        <v>0</v>
      </c>
      <c r="AX244" s="1324">
        <f t="shared" si="79"/>
        <v>0</v>
      </c>
      <c r="AY244" s="1324">
        <f t="shared" si="79"/>
        <v>0</v>
      </c>
      <c r="AZ244" s="1324">
        <f t="shared" si="79"/>
        <v>0</v>
      </c>
      <c r="BA244" s="1324">
        <f t="shared" si="79"/>
        <v>0</v>
      </c>
      <c r="BB244" s="1324">
        <f t="shared" si="79"/>
        <v>0</v>
      </c>
      <c r="BC244" s="1290"/>
      <c r="BD244" s="791"/>
      <c r="BE244" s="791"/>
      <c r="BF244" s="970" t="s">
        <v>1117</v>
      </c>
    </row>
    <row r="245" spans="1:58" s="1229" customFormat="1" ht="14.25" customHeight="1">
      <c r="A245" s="1155"/>
      <c r="B245" s="783"/>
      <c r="C245" s="1155"/>
      <c r="D245" s="1155"/>
      <c r="E245" s="676">
        <v>15</v>
      </c>
      <c r="F245" s="779" t="str" cm="1">
        <f t="array" ref="F245">F244</f>
        <v>2</v>
      </c>
      <c r="G245" s="814"/>
      <c r="H245" s="814"/>
      <c r="I245" s="814"/>
      <c r="J245" s="814"/>
      <c r="K245" s="814"/>
      <c r="L245" s="814"/>
      <c r="M245" s="814"/>
      <c r="N245" s="814"/>
      <c r="O245" s="814"/>
      <c r="P245" s="814"/>
      <c r="Q245" s="784"/>
      <c r="R245" s="784"/>
      <c r="S245" s="814"/>
      <c r="T245" s="698" t="b" cm="1">
        <f t="array" ref="T245">T244</f>
        <v>1</v>
      </c>
      <c r="U245" s="1155"/>
      <c r="V245" s="1155"/>
      <c r="W245" s="1155"/>
      <c r="X245" s="1687"/>
      <c r="Y245" s="1155"/>
      <c r="Z245" s="1687"/>
      <c r="AA245" s="791"/>
      <c r="AB245" s="420" t="str">
        <f>AB244&amp;".1"</f>
        <v>2.4.1</v>
      </c>
      <c r="AC245" s="422" t="s">
        <v>1086</v>
      </c>
      <c r="AD245" s="420" t="s">
        <v>1077</v>
      </c>
      <c r="AE245" s="1249"/>
      <c r="AF245" s="1249"/>
      <c r="AG245" s="1249"/>
      <c r="AH245" s="1249"/>
      <c r="AI245" s="230"/>
      <c r="AJ245" s="230"/>
      <c r="AK245" s="230"/>
      <c r="AL245" s="230"/>
      <c r="AM245" s="230"/>
      <c r="AN245" s="1249"/>
      <c r="AO245" s="1249"/>
      <c r="AP245" s="1249"/>
      <c r="AQ245" s="1249"/>
      <c r="AR245" s="1249"/>
      <c r="AS245" s="230"/>
      <c r="AT245" s="230"/>
      <c r="AU245" s="230"/>
      <c r="AV245" s="230"/>
      <c r="AW245" s="230"/>
      <c r="AX245" s="1249"/>
      <c r="AY245" s="1249"/>
      <c r="AZ245" s="1249"/>
      <c r="BA245" s="1249"/>
      <c r="BB245" s="1249"/>
      <c r="BC245" s="1290"/>
      <c r="BD245" s="791"/>
      <c r="BE245" s="791"/>
      <c r="BF245" s="970" t="s">
        <v>1118</v>
      </c>
    </row>
    <row r="246" spans="1:58" s="1229" customFormat="1" ht="14.25" customHeight="1">
      <c r="A246" s="1155"/>
      <c r="B246" s="783"/>
      <c r="C246" s="1155"/>
      <c r="D246" s="1155"/>
      <c r="E246" s="676">
        <v>15</v>
      </c>
      <c r="F246" s="779" t="str" cm="1">
        <f t="array" ref="F246">F245</f>
        <v>2</v>
      </c>
      <c r="G246" s="814"/>
      <c r="H246" s="814"/>
      <c r="I246" s="814"/>
      <c r="J246" s="814"/>
      <c r="K246" s="814"/>
      <c r="L246" s="814"/>
      <c r="M246" s="814"/>
      <c r="N246" s="814"/>
      <c r="O246" s="814"/>
      <c r="P246" s="814"/>
      <c r="Q246" s="784"/>
      <c r="R246" s="784"/>
      <c r="S246" s="814"/>
      <c r="T246" s="698" t="b" cm="1">
        <f t="array" ref="T246">T245</f>
        <v>1</v>
      </c>
      <c r="U246" s="1155"/>
      <c r="V246" s="1155"/>
      <c r="W246" s="1155"/>
      <c r="X246" s="1687"/>
      <c r="Y246" s="1155"/>
      <c r="Z246" s="1687"/>
      <c r="AA246" s="791"/>
      <c r="AB246" s="420" t="str">
        <f>AB244&amp;".2"</f>
        <v>2.4.2</v>
      </c>
      <c r="AC246" s="422" t="s">
        <v>1089</v>
      </c>
      <c r="AD246" s="420" t="s">
        <v>1077</v>
      </c>
      <c r="AE246" s="1249"/>
      <c r="AF246" s="1249"/>
      <c r="AG246" s="1249"/>
      <c r="AH246" s="1249"/>
      <c r="AI246" s="230"/>
      <c r="AJ246" s="230"/>
      <c r="AK246" s="230"/>
      <c r="AL246" s="230"/>
      <c r="AM246" s="230"/>
      <c r="AN246" s="1249"/>
      <c r="AO246" s="1249"/>
      <c r="AP246" s="1249"/>
      <c r="AQ246" s="1249"/>
      <c r="AR246" s="1249"/>
      <c r="AS246" s="230"/>
      <c r="AT246" s="230"/>
      <c r="AU246" s="230"/>
      <c r="AV246" s="230"/>
      <c r="AW246" s="230"/>
      <c r="AX246" s="1249"/>
      <c r="AY246" s="1249"/>
      <c r="AZ246" s="1249"/>
      <c r="BA246" s="1249"/>
      <c r="BB246" s="1249"/>
      <c r="BC246" s="1290"/>
      <c r="BD246" s="791"/>
      <c r="BE246" s="791"/>
      <c r="BF246" s="970" t="s">
        <v>1119</v>
      </c>
    </row>
    <row r="247" spans="1:58" s="1229" customFormat="1" ht="14.25" customHeight="1">
      <c r="A247" s="1155"/>
      <c r="B247" s="783"/>
      <c r="C247" s="1155"/>
      <c r="D247" s="1155"/>
      <c r="E247" s="676">
        <v>15</v>
      </c>
      <c r="F247" s="779" t="str" cm="1">
        <f t="array" ref="F247">F246</f>
        <v>2</v>
      </c>
      <c r="G247" s="814"/>
      <c r="H247" s="814"/>
      <c r="I247" s="814"/>
      <c r="J247" s="814"/>
      <c r="K247" s="814"/>
      <c r="L247" s="814"/>
      <c r="M247" s="814"/>
      <c r="N247" s="814"/>
      <c r="O247" s="814"/>
      <c r="P247" s="814"/>
      <c r="Q247" s="784"/>
      <c r="R247" s="784"/>
      <c r="S247" s="814"/>
      <c r="T247" s="698" t="b" cm="1">
        <f t="array" ref="T247">T246</f>
        <v>1</v>
      </c>
      <c r="U247" s="1155"/>
      <c r="V247" s="1155"/>
      <c r="W247" s="1155"/>
      <c r="X247" s="1687"/>
      <c r="Y247" s="1155"/>
      <c r="Z247" s="1687"/>
      <c r="AA247" s="791"/>
      <c r="AB247" s="420" t="str">
        <f>AB244&amp;".3"</f>
        <v>2.4.3</v>
      </c>
      <c r="AC247" s="422" t="s">
        <v>1092</v>
      </c>
      <c r="AD247" s="420" t="s">
        <v>1077</v>
      </c>
      <c r="AE247" s="1249"/>
      <c r="AF247" s="1249"/>
      <c r="AG247" s="1249"/>
      <c r="AH247" s="1249"/>
      <c r="AI247" s="230"/>
      <c r="AJ247" s="230"/>
      <c r="AK247" s="230"/>
      <c r="AL247" s="230"/>
      <c r="AM247" s="230"/>
      <c r="AN247" s="1249"/>
      <c r="AO247" s="1249"/>
      <c r="AP247" s="1249"/>
      <c r="AQ247" s="1249"/>
      <c r="AR247" s="1249"/>
      <c r="AS247" s="230"/>
      <c r="AT247" s="230"/>
      <c r="AU247" s="230"/>
      <c r="AV247" s="230"/>
      <c r="AW247" s="230"/>
      <c r="AX247" s="1249"/>
      <c r="AY247" s="1249"/>
      <c r="AZ247" s="1249"/>
      <c r="BA247" s="1249"/>
      <c r="BB247" s="1249"/>
      <c r="BC247" s="1290"/>
      <c r="BD247" s="791"/>
      <c r="BE247" s="791"/>
      <c r="BF247" s="970" t="s">
        <v>1120</v>
      </c>
    </row>
    <row r="248" spans="1:58" s="1229" customFormat="1" ht="14.25" customHeight="1">
      <c r="A248" s="1155"/>
      <c r="B248" s="783"/>
      <c r="C248" s="1155"/>
      <c r="D248" s="1155"/>
      <c r="E248" s="676">
        <v>15</v>
      </c>
      <c r="F248" s="779" t="str" cm="1">
        <f t="array" ref="F248">F247</f>
        <v>2</v>
      </c>
      <c r="G248" s="814"/>
      <c r="H248" s="814"/>
      <c r="I248" s="814"/>
      <c r="J248" s="814"/>
      <c r="K248" s="814"/>
      <c r="L248" s="814"/>
      <c r="M248" s="814"/>
      <c r="N248" s="814"/>
      <c r="O248" s="814"/>
      <c r="P248" s="814"/>
      <c r="Q248" s="784"/>
      <c r="R248" s="784"/>
      <c r="S248" s="814"/>
      <c r="T248" s="698" t="b" cm="1">
        <f t="array" ref="T248">T247</f>
        <v>1</v>
      </c>
      <c r="U248" s="1155"/>
      <c r="V248" s="1155"/>
      <c r="W248" s="1155"/>
      <c r="X248" s="1687"/>
      <c r="Y248" s="1155"/>
      <c r="Z248" s="1687"/>
      <c r="AA248" s="791"/>
      <c r="AB248" s="420" t="str">
        <f>AB244&amp;".4"</f>
        <v>2.4.4</v>
      </c>
      <c r="AC248" s="422" t="s">
        <v>1095</v>
      </c>
      <c r="AD248" s="420" t="s">
        <v>1077</v>
      </c>
      <c r="AE248" s="1249"/>
      <c r="AF248" s="1249"/>
      <c r="AG248" s="1249"/>
      <c r="AH248" s="1249"/>
      <c r="AI248" s="230"/>
      <c r="AJ248" s="230"/>
      <c r="AK248" s="230"/>
      <c r="AL248" s="230"/>
      <c r="AM248" s="230"/>
      <c r="AN248" s="1249"/>
      <c r="AO248" s="1249"/>
      <c r="AP248" s="1249"/>
      <c r="AQ248" s="1249"/>
      <c r="AR248" s="1249"/>
      <c r="AS248" s="230"/>
      <c r="AT248" s="230"/>
      <c r="AU248" s="230"/>
      <c r="AV248" s="230"/>
      <c r="AW248" s="230"/>
      <c r="AX248" s="1249"/>
      <c r="AY248" s="1249"/>
      <c r="AZ248" s="1249"/>
      <c r="BA248" s="1249"/>
      <c r="BB248" s="1249"/>
      <c r="BC248" s="1290"/>
      <c r="BD248" s="791"/>
      <c r="BE248" s="791"/>
      <c r="BF248" s="970" t="s">
        <v>1121</v>
      </c>
    </row>
    <row r="249" spans="1:58" s="1229" customFormat="1" ht="14.25" customHeight="1">
      <c r="A249" s="1155"/>
      <c r="B249" s="783"/>
      <c r="C249" s="1155"/>
      <c r="D249" s="1155"/>
      <c r="E249" s="676">
        <v>15</v>
      </c>
      <c r="F249" s="779" t="str" cm="1">
        <f t="array" ref="F249">F248</f>
        <v>2</v>
      </c>
      <c r="G249" s="814"/>
      <c r="H249" s="814"/>
      <c r="I249" s="814"/>
      <c r="J249" s="814"/>
      <c r="K249" s="814"/>
      <c r="L249" s="814"/>
      <c r="M249" s="814"/>
      <c r="N249" s="814"/>
      <c r="O249" s="814"/>
      <c r="P249" s="814"/>
      <c r="Q249" s="784"/>
      <c r="R249" s="784"/>
      <c r="S249" s="814"/>
      <c r="T249" s="698" t="b" cm="1">
        <f t="array" ref="T249">T248</f>
        <v>1</v>
      </c>
      <c r="U249" s="1155"/>
      <c r="V249" s="1155"/>
      <c r="W249" s="1155"/>
      <c r="X249" s="1687"/>
      <c r="Y249" s="1155"/>
      <c r="Z249" s="1687"/>
      <c r="AA249" s="791"/>
      <c r="AB249" s="420" t="str">
        <f>AB244&amp;".5"</f>
        <v>2.4.5</v>
      </c>
      <c r="AC249" s="422" t="s">
        <v>1098</v>
      </c>
      <c r="AD249" s="420" t="s">
        <v>1077</v>
      </c>
      <c r="AE249" s="1249"/>
      <c r="AF249" s="1249"/>
      <c r="AG249" s="1249"/>
      <c r="AH249" s="1249"/>
      <c r="AI249" s="230"/>
      <c r="AJ249" s="230"/>
      <c r="AK249" s="230"/>
      <c r="AL249" s="230"/>
      <c r="AM249" s="230"/>
      <c r="AN249" s="1249"/>
      <c r="AO249" s="1249"/>
      <c r="AP249" s="1249"/>
      <c r="AQ249" s="1249"/>
      <c r="AR249" s="1249"/>
      <c r="AS249" s="230"/>
      <c r="AT249" s="230"/>
      <c r="AU249" s="230"/>
      <c r="AV249" s="230"/>
      <c r="AW249" s="230"/>
      <c r="AX249" s="1249"/>
      <c r="AY249" s="1249"/>
      <c r="AZ249" s="1249"/>
      <c r="BA249" s="1249"/>
      <c r="BB249" s="1249"/>
      <c r="BC249" s="1290"/>
      <c r="BD249" s="791"/>
      <c r="BE249" s="791"/>
      <c r="BF249" s="970" t="s">
        <v>1122</v>
      </c>
    </row>
    <row r="250" spans="1:58" s="1229" customFormat="1" ht="14.25" customHeight="1">
      <c r="A250" s="1155"/>
      <c r="B250" s="783"/>
      <c r="C250" s="1155"/>
      <c r="D250" s="1155"/>
      <c r="E250" s="676">
        <v>15</v>
      </c>
      <c r="F250" s="779" t="str" cm="1">
        <f t="array" ref="F250">F249</f>
        <v>2</v>
      </c>
      <c r="G250" s="814"/>
      <c r="H250" s="814"/>
      <c r="I250" s="814"/>
      <c r="J250" s="814"/>
      <c r="K250" s="814"/>
      <c r="L250" s="814"/>
      <c r="M250" s="814"/>
      <c r="N250" s="814"/>
      <c r="O250" s="814"/>
      <c r="P250" s="814"/>
      <c r="Q250" s="784"/>
      <c r="R250" s="784"/>
      <c r="S250" s="814"/>
      <c r="T250" s="698" t="b" cm="1">
        <f t="array" ref="T250">T249</f>
        <v>1</v>
      </c>
      <c r="U250" s="1155"/>
      <c r="V250" s="1155"/>
      <c r="W250" s="1155"/>
      <c r="X250" s="1687"/>
      <c r="Y250" s="1155"/>
      <c r="Z250" s="1687"/>
      <c r="AA250" s="791"/>
      <c r="AB250" s="420" t="str">
        <f>AB240&amp;".5"</f>
        <v>2.5</v>
      </c>
      <c r="AC250" s="421" t="s">
        <v>1101</v>
      </c>
      <c r="AD250" s="420" t="s">
        <v>1077</v>
      </c>
      <c r="AE250" s="1249"/>
      <c r="AF250" s="1249"/>
      <c r="AG250" s="1249"/>
      <c r="AH250" s="1249"/>
      <c r="AI250" s="230"/>
      <c r="AJ250" s="230"/>
      <c r="AK250" s="230"/>
      <c r="AL250" s="230"/>
      <c r="AM250" s="230"/>
      <c r="AN250" s="1249"/>
      <c r="AO250" s="1249"/>
      <c r="AP250" s="1249"/>
      <c r="AQ250" s="1249"/>
      <c r="AR250" s="1249"/>
      <c r="AS250" s="230"/>
      <c r="AT250" s="230"/>
      <c r="AU250" s="230"/>
      <c r="AV250" s="230"/>
      <c r="AW250" s="230"/>
      <c r="AX250" s="1249"/>
      <c r="AY250" s="1249"/>
      <c r="AZ250" s="1249"/>
      <c r="BA250" s="1249"/>
      <c r="BB250" s="1249"/>
      <c r="BC250" s="1290"/>
      <c r="BD250" s="791"/>
      <c r="BE250" s="791"/>
      <c r="BF250" s="970" t="s">
        <v>1123</v>
      </c>
    </row>
    <row r="251" spans="1:58" s="1229" customFormat="1" ht="14.25" customHeight="1">
      <c r="A251" s="1155"/>
      <c r="B251" s="783"/>
      <c r="C251" s="1155"/>
      <c r="D251" s="1155"/>
      <c r="E251" s="676">
        <v>15</v>
      </c>
      <c r="F251" s="779" t="str" cm="1">
        <f t="array" ref="F251">F250</f>
        <v>2</v>
      </c>
      <c r="G251" s="814"/>
      <c r="H251" s="814"/>
      <c r="I251" s="814"/>
      <c r="J251" s="814"/>
      <c r="K251" s="814"/>
      <c r="L251" s="814"/>
      <c r="M251" s="814"/>
      <c r="N251" s="814"/>
      <c r="O251" s="814"/>
      <c r="P251" s="814"/>
      <c r="Q251" s="784"/>
      <c r="R251" s="784"/>
      <c r="S251" s="814"/>
      <c r="T251" s="698" t="b" cm="1">
        <f t="array" ref="T251">T250</f>
        <v>1</v>
      </c>
      <c r="U251" s="1155"/>
      <c r="V251" s="1155"/>
      <c r="W251" s="1155"/>
      <c r="X251" s="1687"/>
      <c r="Y251" s="1155"/>
      <c r="Z251" s="1687"/>
      <c r="AA251" s="791"/>
      <c r="AB251" s="420" t="str">
        <f>AB240&amp;".6"</f>
        <v>2.6</v>
      </c>
      <c r="AC251" s="421" t="s">
        <v>1104</v>
      </c>
      <c r="AD251" s="420" t="s">
        <v>1077</v>
      </c>
      <c r="AE251" s="1249"/>
      <c r="AF251" s="1249"/>
      <c r="AG251" s="1249"/>
      <c r="AH251" s="1249"/>
      <c r="AI251" s="230"/>
      <c r="AJ251" s="230"/>
      <c r="AK251" s="230"/>
      <c r="AL251" s="230"/>
      <c r="AM251" s="230"/>
      <c r="AN251" s="1249"/>
      <c r="AO251" s="1249"/>
      <c r="AP251" s="1249"/>
      <c r="AQ251" s="1249"/>
      <c r="AR251" s="1249"/>
      <c r="AS251" s="230"/>
      <c r="AT251" s="230"/>
      <c r="AU251" s="230"/>
      <c r="AV251" s="230"/>
      <c r="AW251" s="230"/>
      <c r="AX251" s="1249"/>
      <c r="AY251" s="1249"/>
      <c r="AZ251" s="1249"/>
      <c r="BA251" s="1249"/>
      <c r="BB251" s="1249"/>
      <c r="BC251" s="1290"/>
      <c r="BD251" s="791"/>
      <c r="BE251" s="791"/>
      <c r="BF251" s="970" t="s">
        <v>1124</v>
      </c>
    </row>
    <row r="252" spans="1:58" s="1229" customFormat="1" ht="14.25" customHeight="1">
      <c r="A252" s="1155"/>
      <c r="B252" s="783"/>
      <c r="C252" s="1155"/>
      <c r="D252" s="1155"/>
      <c r="E252" s="676">
        <v>15</v>
      </c>
      <c r="F252" s="779" t="str" cm="1">
        <f t="array" ref="F252">F251</f>
        <v>2</v>
      </c>
      <c r="G252" s="814"/>
      <c r="H252" s="814"/>
      <c r="I252" s="814"/>
      <c r="J252" s="814"/>
      <c r="K252" s="814"/>
      <c r="L252" s="814"/>
      <c r="M252" s="814"/>
      <c r="N252" s="814"/>
      <c r="O252" s="814"/>
      <c r="P252" s="814"/>
      <c r="Q252" s="784"/>
      <c r="R252" s="784"/>
      <c r="S252" s="814"/>
      <c r="T252" s="698" t="b" cm="1">
        <f t="array" ref="T252">T251</f>
        <v>1</v>
      </c>
      <c r="U252" s="1155"/>
      <c r="V252" s="1155"/>
      <c r="W252" s="1155"/>
      <c r="X252" s="1687"/>
      <c r="Y252" s="1155"/>
      <c r="Z252" s="1687"/>
      <c r="AA252" s="791"/>
      <c r="AB252" s="420" t="str">
        <f>AB240&amp;".7"</f>
        <v>2.7</v>
      </c>
      <c r="AC252" s="421" t="s">
        <v>1107</v>
      </c>
      <c r="AD252" s="420" t="s">
        <v>1077</v>
      </c>
      <c r="AE252" s="1249"/>
      <c r="AF252" s="1249"/>
      <c r="AG252" s="1249"/>
      <c r="AH252" s="1249"/>
      <c r="AI252" s="230"/>
      <c r="AJ252" s="230"/>
      <c r="AK252" s="230"/>
      <c r="AL252" s="230"/>
      <c r="AM252" s="230"/>
      <c r="AN252" s="1249"/>
      <c r="AO252" s="1249"/>
      <c r="AP252" s="1249"/>
      <c r="AQ252" s="1249"/>
      <c r="AR252" s="1249"/>
      <c r="AS252" s="230"/>
      <c r="AT252" s="230"/>
      <c r="AU252" s="230"/>
      <c r="AV252" s="230"/>
      <c r="AW252" s="230"/>
      <c r="AX252" s="1249"/>
      <c r="AY252" s="1249"/>
      <c r="AZ252" s="1249"/>
      <c r="BA252" s="1249"/>
      <c r="BB252" s="1249"/>
      <c r="BC252" s="1290"/>
      <c r="BD252" s="791"/>
      <c r="BE252" s="791"/>
      <c r="BF252" s="970" t="s">
        <v>1125</v>
      </c>
    </row>
    <row r="253" spans="1:58" s="1229" customFormat="1" ht="14.25" customHeight="1">
      <c r="A253" s="1155"/>
      <c r="B253" s="783"/>
      <c r="C253" s="1155"/>
      <c r="D253" s="1155"/>
      <c r="E253" s="676">
        <v>15</v>
      </c>
      <c r="F253" s="779" t="str" cm="1">
        <f t="array" ref="F253">F252</f>
        <v>2</v>
      </c>
      <c r="G253" s="814"/>
      <c r="H253" s="814"/>
      <c r="I253" s="814"/>
      <c r="J253" s="814"/>
      <c r="K253" s="814"/>
      <c r="L253" s="814"/>
      <c r="M253" s="814"/>
      <c r="N253" s="814"/>
      <c r="O253" s="814"/>
      <c r="P253" s="814"/>
      <c r="Q253" s="784"/>
      <c r="R253" s="784"/>
      <c r="S253" s="814"/>
      <c r="T253" s="698" t="b" cm="1">
        <f t="array" ref="T253">T252</f>
        <v>1</v>
      </c>
      <c r="U253" s="1155"/>
      <c r="V253" s="1155"/>
      <c r="W253" s="1155"/>
      <c r="X253" s="1687"/>
      <c r="Y253" s="1155"/>
      <c r="Z253" s="1687"/>
      <c r="AA253" s="791"/>
      <c r="AB253" s="420" t="str">
        <f>AB240&amp;".8"</f>
        <v>2.8</v>
      </c>
      <c r="AC253" s="421" t="s">
        <v>1110</v>
      </c>
      <c r="AD253" s="420" t="s">
        <v>1077</v>
      </c>
      <c r="AE253" s="1249"/>
      <c r="AF253" s="1249"/>
      <c r="AG253" s="1249"/>
      <c r="AH253" s="1249"/>
      <c r="AI253" s="230"/>
      <c r="AJ253" s="230"/>
      <c r="AK253" s="230"/>
      <c r="AL253" s="230"/>
      <c r="AM253" s="230"/>
      <c r="AN253" s="1249"/>
      <c r="AO253" s="1249"/>
      <c r="AP253" s="1249"/>
      <c r="AQ253" s="1249"/>
      <c r="AR253" s="1249"/>
      <c r="AS253" s="230"/>
      <c r="AT253" s="230"/>
      <c r="AU253" s="230"/>
      <c r="AV253" s="230"/>
      <c r="AW253" s="230"/>
      <c r="AX253" s="1249"/>
      <c r="AY253" s="1249"/>
      <c r="AZ253" s="1249"/>
      <c r="BA253" s="1249"/>
      <c r="BB253" s="1249"/>
      <c r="BC253" s="1290"/>
      <c r="BD253" s="791"/>
      <c r="BE253" s="791"/>
      <c r="BF253" s="970" t="s">
        <v>1126</v>
      </c>
    </row>
    <row r="254" spans="1:58" s="167" customFormat="1" ht="14.25" customHeight="1">
      <c r="E254" s="676">
        <v>15</v>
      </c>
      <c r="F254" s="779" t="str" cm="1">
        <f t="array" ref="F254">F253</f>
        <v>2</v>
      </c>
      <c r="T254" s="698" t="b" cm="1">
        <f t="array" ref="T254">T253</f>
        <v>1</v>
      </c>
      <c r="X254" s="1811"/>
      <c r="Z254" s="1811"/>
      <c r="AB254" s="227">
        <v>3</v>
      </c>
      <c r="AC254" s="228" t="s">
        <v>1127</v>
      </c>
      <c r="AD254" s="107" t="s">
        <v>839</v>
      </c>
      <c r="AE254" s="1320">
        <f t="shared" ref="AE254:BB254" si="80">SUM(AE255:AE258)+SUM(AE264:AE267)</f>
        <v>0</v>
      </c>
      <c r="AF254" s="1320">
        <f t="shared" si="80"/>
        <v>0</v>
      </c>
      <c r="AG254" s="1320">
        <f t="shared" si="80"/>
        <v>0</v>
      </c>
      <c r="AH254" s="1320">
        <f t="shared" si="80"/>
        <v>0</v>
      </c>
      <c r="AI254" s="242">
        <f t="shared" si="80"/>
        <v>0</v>
      </c>
      <c r="AJ254" s="242">
        <f t="shared" si="80"/>
        <v>0</v>
      </c>
      <c r="AK254" s="242">
        <f t="shared" si="80"/>
        <v>0</v>
      </c>
      <c r="AL254" s="242">
        <f t="shared" si="80"/>
        <v>0</v>
      </c>
      <c r="AM254" s="242">
        <f t="shared" si="80"/>
        <v>0</v>
      </c>
      <c r="AN254" s="1320">
        <f t="shared" si="80"/>
        <v>0</v>
      </c>
      <c r="AO254" s="1320">
        <f t="shared" si="80"/>
        <v>0</v>
      </c>
      <c r="AP254" s="1320">
        <f t="shared" si="80"/>
        <v>0</v>
      </c>
      <c r="AQ254" s="1320">
        <f t="shared" si="80"/>
        <v>0</v>
      </c>
      <c r="AR254" s="1320">
        <f t="shared" si="80"/>
        <v>0</v>
      </c>
      <c r="AS254" s="242">
        <f t="shared" si="80"/>
        <v>0</v>
      </c>
      <c r="AT254" s="242">
        <f t="shared" si="80"/>
        <v>0</v>
      </c>
      <c r="AU254" s="242">
        <f t="shared" si="80"/>
        <v>0</v>
      </c>
      <c r="AV254" s="242">
        <f t="shared" si="80"/>
        <v>0</v>
      </c>
      <c r="AW254" s="242">
        <f t="shared" si="80"/>
        <v>0</v>
      </c>
      <c r="AX254" s="1320">
        <f t="shared" si="80"/>
        <v>0</v>
      </c>
      <c r="AY254" s="1320">
        <f t="shared" si="80"/>
        <v>0</v>
      </c>
      <c r="AZ254" s="1320">
        <f t="shared" si="80"/>
        <v>0</v>
      </c>
      <c r="BA254" s="1320">
        <f t="shared" si="80"/>
        <v>0</v>
      </c>
      <c r="BB254" s="1320">
        <f t="shared" si="80"/>
        <v>0</v>
      </c>
      <c r="BC254" s="1290"/>
      <c r="BF254" s="970" t="s">
        <v>1128</v>
      </c>
    </row>
    <row r="255" spans="1:58" s="1229" customFormat="1" ht="14.25" customHeight="1">
      <c r="A255" s="1155"/>
      <c r="B255" s="783"/>
      <c r="C255" s="1155"/>
      <c r="D255" s="1155"/>
      <c r="E255" s="676">
        <v>15</v>
      </c>
      <c r="F255" s="779" t="str" cm="1">
        <f t="array" ref="F255">F254</f>
        <v>2</v>
      </c>
      <c r="G255" s="814"/>
      <c r="H255" s="814"/>
      <c r="I255" s="814"/>
      <c r="J255" s="814"/>
      <c r="K255" s="814"/>
      <c r="L255" s="814"/>
      <c r="M255" s="814"/>
      <c r="N255" s="814"/>
      <c r="O255" s="814"/>
      <c r="P255" s="814"/>
      <c r="Q255" s="784"/>
      <c r="R255" s="784"/>
      <c r="S255" s="814"/>
      <c r="T255" s="698" t="b" cm="1">
        <f t="array" ref="T255">T254</f>
        <v>1</v>
      </c>
      <c r="U255" s="1155"/>
      <c r="V255" s="1155"/>
      <c r="W255" s="1155"/>
      <c r="X255" s="1687"/>
      <c r="Y255" s="1155"/>
      <c r="Z255" s="1687"/>
      <c r="AA255" s="791"/>
      <c r="AB255" s="420" t="str">
        <f>AB254&amp;".1"</f>
        <v>3.1</v>
      </c>
      <c r="AC255" s="421" t="s">
        <v>1076</v>
      </c>
      <c r="AD255" s="420" t="s">
        <v>1077</v>
      </c>
      <c r="AE255" s="1249"/>
      <c r="AF255" s="1249"/>
      <c r="AG255" s="1249"/>
      <c r="AH255" s="1249"/>
      <c r="AI255" s="230"/>
      <c r="AJ255" s="230"/>
      <c r="AK255" s="230"/>
      <c r="AL255" s="230"/>
      <c r="AM255" s="230"/>
      <c r="AN255" s="1249"/>
      <c r="AO255" s="1249"/>
      <c r="AP255" s="1249"/>
      <c r="AQ255" s="1249"/>
      <c r="AR255" s="1249"/>
      <c r="AS255" s="230"/>
      <c r="AT255" s="230"/>
      <c r="AU255" s="230"/>
      <c r="AV255" s="230"/>
      <c r="AW255" s="230"/>
      <c r="AX255" s="1249"/>
      <c r="AY255" s="1249"/>
      <c r="AZ255" s="1249"/>
      <c r="BA255" s="1249"/>
      <c r="BB255" s="1249"/>
      <c r="BC255" s="1290"/>
      <c r="BD255" s="791"/>
      <c r="BE255" s="791"/>
      <c r="BF255" s="970" t="s">
        <v>1129</v>
      </c>
    </row>
    <row r="256" spans="1:58" s="1229" customFormat="1" ht="14.25" customHeight="1">
      <c r="A256" s="1155"/>
      <c r="B256" s="783"/>
      <c r="C256" s="1155"/>
      <c r="D256" s="1155"/>
      <c r="E256" s="676">
        <v>15</v>
      </c>
      <c r="F256" s="779" t="str" cm="1">
        <f t="array" ref="F256">F255</f>
        <v>2</v>
      </c>
      <c r="G256" s="814"/>
      <c r="H256" s="814"/>
      <c r="I256" s="814"/>
      <c r="J256" s="814"/>
      <c r="K256" s="814"/>
      <c r="L256" s="814"/>
      <c r="M256" s="814"/>
      <c r="N256" s="814"/>
      <c r="O256" s="814"/>
      <c r="P256" s="814"/>
      <c r="Q256" s="784"/>
      <c r="R256" s="784"/>
      <c r="S256" s="814"/>
      <c r="T256" s="698" t="b" cm="1">
        <f t="array" ref="T256">T255</f>
        <v>1</v>
      </c>
      <c r="U256" s="1155"/>
      <c r="V256" s="1155"/>
      <c r="W256" s="1155"/>
      <c r="X256" s="1687"/>
      <c r="Y256" s="1155"/>
      <c r="Z256" s="1687"/>
      <c r="AA256" s="791"/>
      <c r="AB256" s="420" t="str">
        <f>AB254&amp;".2"</f>
        <v>3.2</v>
      </c>
      <c r="AC256" s="421" t="s">
        <v>1079</v>
      </c>
      <c r="AD256" s="420" t="s">
        <v>1077</v>
      </c>
      <c r="AE256" s="1249"/>
      <c r="AF256" s="1249"/>
      <c r="AG256" s="1249"/>
      <c r="AH256" s="1249"/>
      <c r="AI256" s="230"/>
      <c r="AJ256" s="230"/>
      <c r="AK256" s="230"/>
      <c r="AL256" s="230"/>
      <c r="AM256" s="230"/>
      <c r="AN256" s="1249"/>
      <c r="AO256" s="1249"/>
      <c r="AP256" s="1249"/>
      <c r="AQ256" s="1249"/>
      <c r="AR256" s="1249"/>
      <c r="AS256" s="230"/>
      <c r="AT256" s="230"/>
      <c r="AU256" s="230"/>
      <c r="AV256" s="230"/>
      <c r="AW256" s="230"/>
      <c r="AX256" s="1249"/>
      <c r="AY256" s="1249"/>
      <c r="AZ256" s="1249"/>
      <c r="BA256" s="1249"/>
      <c r="BB256" s="1249"/>
      <c r="BC256" s="1290"/>
      <c r="BD256" s="791"/>
      <c r="BE256" s="791"/>
      <c r="BF256" s="970" t="s">
        <v>1130</v>
      </c>
    </row>
    <row r="257" spans="1:58" s="1229" customFormat="1" ht="14.25" customHeight="1">
      <c r="A257" s="1155"/>
      <c r="B257" s="783"/>
      <c r="C257" s="1155"/>
      <c r="D257" s="1155"/>
      <c r="E257" s="676">
        <v>15</v>
      </c>
      <c r="F257" s="779" t="str" cm="1">
        <f t="array" ref="F257">F256</f>
        <v>2</v>
      </c>
      <c r="G257" s="814"/>
      <c r="H257" s="814"/>
      <c r="I257" s="814"/>
      <c r="J257" s="814"/>
      <c r="K257" s="814"/>
      <c r="L257" s="814"/>
      <c r="M257" s="814"/>
      <c r="N257" s="814"/>
      <c r="O257" s="814"/>
      <c r="P257" s="814"/>
      <c r="Q257" s="784"/>
      <c r="R257" s="784"/>
      <c r="S257" s="814"/>
      <c r="T257" s="698" t="b" cm="1">
        <f t="array" ref="T257">T256</f>
        <v>1</v>
      </c>
      <c r="U257" s="1155"/>
      <c r="V257" s="1155"/>
      <c r="W257" s="1155"/>
      <c r="X257" s="1687"/>
      <c r="Y257" s="1155"/>
      <c r="Z257" s="1687"/>
      <c r="AA257" s="791"/>
      <c r="AB257" s="420" t="str">
        <f>AB254&amp;".3"</f>
        <v>3.3</v>
      </c>
      <c r="AC257" s="421" t="s">
        <v>1081</v>
      </c>
      <c r="AD257" s="420" t="s">
        <v>1077</v>
      </c>
      <c r="AE257" s="1249"/>
      <c r="AF257" s="1249"/>
      <c r="AG257" s="1249"/>
      <c r="AH257" s="1249"/>
      <c r="AI257" s="230"/>
      <c r="AJ257" s="230"/>
      <c r="AK257" s="230"/>
      <c r="AL257" s="230"/>
      <c r="AM257" s="230"/>
      <c r="AN257" s="1249"/>
      <c r="AO257" s="1249"/>
      <c r="AP257" s="1249"/>
      <c r="AQ257" s="1249"/>
      <c r="AR257" s="1249"/>
      <c r="AS257" s="230"/>
      <c r="AT257" s="230"/>
      <c r="AU257" s="230"/>
      <c r="AV257" s="230"/>
      <c r="AW257" s="230"/>
      <c r="AX257" s="1249"/>
      <c r="AY257" s="1249"/>
      <c r="AZ257" s="1249"/>
      <c r="BA257" s="1249"/>
      <c r="BB257" s="1249"/>
      <c r="BC257" s="1290"/>
      <c r="BD257" s="791"/>
      <c r="BE257" s="791"/>
      <c r="BF257" s="970" t="s">
        <v>1131</v>
      </c>
    </row>
    <row r="258" spans="1:58" s="1229" customFormat="1" ht="14.25" customHeight="1">
      <c r="A258" s="1155"/>
      <c r="B258" s="783"/>
      <c r="C258" s="1155"/>
      <c r="D258" s="1155"/>
      <c r="E258" s="676">
        <v>15</v>
      </c>
      <c r="F258" s="779" t="str" cm="1">
        <f t="array" ref="F258">F257</f>
        <v>2</v>
      </c>
      <c r="G258" s="814"/>
      <c r="H258" s="814"/>
      <c r="I258" s="814"/>
      <c r="J258" s="814"/>
      <c r="K258" s="814"/>
      <c r="L258" s="814"/>
      <c r="M258" s="814"/>
      <c r="N258" s="814"/>
      <c r="O258" s="814"/>
      <c r="P258" s="814"/>
      <c r="Q258" s="784"/>
      <c r="R258" s="784"/>
      <c r="S258" s="814"/>
      <c r="T258" s="698" t="b" cm="1">
        <f t="array" ref="T258">T257</f>
        <v>1</v>
      </c>
      <c r="U258" s="1155"/>
      <c r="V258" s="1155"/>
      <c r="W258" s="1155"/>
      <c r="X258" s="1687"/>
      <c r="Y258" s="1155"/>
      <c r="Z258" s="1687"/>
      <c r="AA258" s="791"/>
      <c r="AB258" s="420" t="str">
        <f>AB254&amp;".4"</f>
        <v>3.4</v>
      </c>
      <c r="AC258" s="421" t="s">
        <v>1083</v>
      </c>
      <c r="AD258" s="420" t="s">
        <v>1077</v>
      </c>
      <c r="AE258" s="1324">
        <f t="shared" ref="AE258:BB258" si="81">SUM(AE259:AE263)</f>
        <v>0</v>
      </c>
      <c r="AF258" s="1324">
        <f t="shared" si="81"/>
        <v>0</v>
      </c>
      <c r="AG258" s="1324">
        <f t="shared" si="81"/>
        <v>0</v>
      </c>
      <c r="AH258" s="1324">
        <f t="shared" si="81"/>
        <v>0</v>
      </c>
      <c r="AI258" s="415">
        <f t="shared" si="81"/>
        <v>0</v>
      </c>
      <c r="AJ258" s="415">
        <f t="shared" si="81"/>
        <v>0</v>
      </c>
      <c r="AK258" s="415">
        <f t="shared" si="81"/>
        <v>0</v>
      </c>
      <c r="AL258" s="415">
        <f t="shared" si="81"/>
        <v>0</v>
      </c>
      <c r="AM258" s="415">
        <f t="shared" si="81"/>
        <v>0</v>
      </c>
      <c r="AN258" s="1324">
        <f t="shared" si="81"/>
        <v>0</v>
      </c>
      <c r="AO258" s="1324">
        <f t="shared" si="81"/>
        <v>0</v>
      </c>
      <c r="AP258" s="1324">
        <f t="shared" si="81"/>
        <v>0</v>
      </c>
      <c r="AQ258" s="1324">
        <f t="shared" si="81"/>
        <v>0</v>
      </c>
      <c r="AR258" s="1324">
        <f t="shared" si="81"/>
        <v>0</v>
      </c>
      <c r="AS258" s="415">
        <f t="shared" si="81"/>
        <v>0</v>
      </c>
      <c r="AT258" s="415">
        <f t="shared" si="81"/>
        <v>0</v>
      </c>
      <c r="AU258" s="415">
        <f t="shared" si="81"/>
        <v>0</v>
      </c>
      <c r="AV258" s="415">
        <f t="shared" si="81"/>
        <v>0</v>
      </c>
      <c r="AW258" s="415">
        <f t="shared" si="81"/>
        <v>0</v>
      </c>
      <c r="AX258" s="1324">
        <f t="shared" si="81"/>
        <v>0</v>
      </c>
      <c r="AY258" s="1324">
        <f t="shared" si="81"/>
        <v>0</v>
      </c>
      <c r="AZ258" s="1324">
        <f t="shared" si="81"/>
        <v>0</v>
      </c>
      <c r="BA258" s="1324">
        <f t="shared" si="81"/>
        <v>0</v>
      </c>
      <c r="BB258" s="1324">
        <f t="shared" si="81"/>
        <v>0</v>
      </c>
      <c r="BC258" s="1290"/>
      <c r="BD258" s="791"/>
      <c r="BE258" s="791"/>
      <c r="BF258" s="970" t="s">
        <v>1132</v>
      </c>
    </row>
    <row r="259" spans="1:58" s="1229" customFormat="1" ht="14.25" customHeight="1">
      <c r="A259" s="1155"/>
      <c r="B259" s="783"/>
      <c r="C259" s="1155"/>
      <c r="D259" s="1155"/>
      <c r="E259" s="676">
        <v>15</v>
      </c>
      <c r="F259" s="779" t="str" cm="1">
        <f t="array" ref="F259">F258</f>
        <v>2</v>
      </c>
      <c r="G259" s="814"/>
      <c r="H259" s="814"/>
      <c r="I259" s="814"/>
      <c r="J259" s="814"/>
      <c r="K259" s="814"/>
      <c r="L259" s="814"/>
      <c r="M259" s="814"/>
      <c r="N259" s="814"/>
      <c r="O259" s="814"/>
      <c r="P259" s="814"/>
      <c r="Q259" s="784"/>
      <c r="R259" s="784"/>
      <c r="S259" s="814"/>
      <c r="T259" s="698" t="b" cm="1">
        <f t="array" ref="T259">T258</f>
        <v>1</v>
      </c>
      <c r="U259" s="1155"/>
      <c r="V259" s="1155"/>
      <c r="W259" s="1155"/>
      <c r="X259" s="1687"/>
      <c r="Y259" s="1155"/>
      <c r="Z259" s="1687"/>
      <c r="AA259" s="791"/>
      <c r="AB259" s="420" t="str">
        <f>AB258&amp;".1"</f>
        <v>3.4.1</v>
      </c>
      <c r="AC259" s="422" t="s">
        <v>1086</v>
      </c>
      <c r="AD259" s="420" t="s">
        <v>1077</v>
      </c>
      <c r="AE259" s="1249"/>
      <c r="AF259" s="1249"/>
      <c r="AG259" s="1249"/>
      <c r="AH259" s="1249"/>
      <c r="AI259" s="230"/>
      <c r="AJ259" s="230"/>
      <c r="AK259" s="230"/>
      <c r="AL259" s="230"/>
      <c r="AM259" s="230"/>
      <c r="AN259" s="1249"/>
      <c r="AO259" s="1249"/>
      <c r="AP259" s="1249"/>
      <c r="AQ259" s="1249"/>
      <c r="AR259" s="1249"/>
      <c r="AS259" s="230"/>
      <c r="AT259" s="230"/>
      <c r="AU259" s="230"/>
      <c r="AV259" s="230"/>
      <c r="AW259" s="230"/>
      <c r="AX259" s="1249"/>
      <c r="AY259" s="1249"/>
      <c r="AZ259" s="1249"/>
      <c r="BA259" s="1249"/>
      <c r="BB259" s="1249"/>
      <c r="BC259" s="1290"/>
      <c r="BD259" s="791"/>
      <c r="BE259" s="791"/>
      <c r="BF259" s="970" t="s">
        <v>1133</v>
      </c>
    </row>
    <row r="260" spans="1:58" s="1229" customFormat="1" ht="14.25" customHeight="1">
      <c r="A260" s="1155"/>
      <c r="B260" s="783"/>
      <c r="C260" s="1155"/>
      <c r="D260" s="1155"/>
      <c r="E260" s="676">
        <v>15</v>
      </c>
      <c r="F260" s="779" t="str" cm="1">
        <f t="array" ref="F260">F259</f>
        <v>2</v>
      </c>
      <c r="G260" s="814"/>
      <c r="H260" s="814"/>
      <c r="I260" s="814"/>
      <c r="J260" s="814"/>
      <c r="K260" s="814"/>
      <c r="L260" s="814"/>
      <c r="M260" s="814"/>
      <c r="N260" s="814"/>
      <c r="O260" s="814"/>
      <c r="P260" s="814"/>
      <c r="Q260" s="784"/>
      <c r="R260" s="784"/>
      <c r="S260" s="814"/>
      <c r="T260" s="698" t="b" cm="1">
        <f t="array" ref="T260">T259</f>
        <v>1</v>
      </c>
      <c r="U260" s="1155"/>
      <c r="V260" s="1155"/>
      <c r="W260" s="1155"/>
      <c r="X260" s="1687"/>
      <c r="Y260" s="1155"/>
      <c r="Z260" s="1687"/>
      <c r="AA260" s="791"/>
      <c r="AB260" s="420" t="str">
        <f>AB258&amp;".2"</f>
        <v>3.4.2</v>
      </c>
      <c r="AC260" s="422" t="s">
        <v>1089</v>
      </c>
      <c r="AD260" s="420" t="s">
        <v>1077</v>
      </c>
      <c r="AE260" s="1249"/>
      <c r="AF260" s="1249"/>
      <c r="AG260" s="1249"/>
      <c r="AH260" s="1249"/>
      <c r="AI260" s="230"/>
      <c r="AJ260" s="230"/>
      <c r="AK260" s="230"/>
      <c r="AL260" s="230"/>
      <c r="AM260" s="230"/>
      <c r="AN260" s="1249"/>
      <c r="AO260" s="1249"/>
      <c r="AP260" s="1249"/>
      <c r="AQ260" s="1249"/>
      <c r="AR260" s="1249"/>
      <c r="AS260" s="230"/>
      <c r="AT260" s="230"/>
      <c r="AU260" s="230"/>
      <c r="AV260" s="230"/>
      <c r="AW260" s="230"/>
      <c r="AX260" s="1249"/>
      <c r="AY260" s="1249"/>
      <c r="AZ260" s="1249"/>
      <c r="BA260" s="1249"/>
      <c r="BB260" s="1249"/>
      <c r="BC260" s="1290"/>
      <c r="BD260" s="791"/>
      <c r="BE260" s="791"/>
      <c r="BF260" s="970" t="s">
        <v>1134</v>
      </c>
    </row>
    <row r="261" spans="1:58" s="1229" customFormat="1" ht="14.25" customHeight="1">
      <c r="A261" s="1155"/>
      <c r="B261" s="783"/>
      <c r="C261" s="1155"/>
      <c r="D261" s="1155"/>
      <c r="E261" s="676">
        <v>15</v>
      </c>
      <c r="F261" s="779" t="str" cm="1">
        <f t="array" ref="F261">F260</f>
        <v>2</v>
      </c>
      <c r="G261" s="814"/>
      <c r="H261" s="814"/>
      <c r="I261" s="814"/>
      <c r="J261" s="814"/>
      <c r="K261" s="814"/>
      <c r="L261" s="814"/>
      <c r="M261" s="814"/>
      <c r="N261" s="814"/>
      <c r="O261" s="814"/>
      <c r="P261" s="814"/>
      <c r="Q261" s="784"/>
      <c r="R261" s="784"/>
      <c r="S261" s="814"/>
      <c r="T261" s="698" t="b" cm="1">
        <f t="array" ref="T261">T260</f>
        <v>1</v>
      </c>
      <c r="U261" s="1155"/>
      <c r="V261" s="1155"/>
      <c r="W261" s="1155"/>
      <c r="X261" s="1687"/>
      <c r="Y261" s="1155"/>
      <c r="Z261" s="1687"/>
      <c r="AA261" s="791"/>
      <c r="AB261" s="420" t="str">
        <f>AB258&amp;".3"</f>
        <v>3.4.3</v>
      </c>
      <c r="AC261" s="422" t="s">
        <v>1092</v>
      </c>
      <c r="AD261" s="420" t="s">
        <v>1077</v>
      </c>
      <c r="AE261" s="1249"/>
      <c r="AF261" s="1249"/>
      <c r="AG261" s="1249"/>
      <c r="AH261" s="1249"/>
      <c r="AI261" s="230"/>
      <c r="AJ261" s="230"/>
      <c r="AK261" s="230"/>
      <c r="AL261" s="230"/>
      <c r="AM261" s="230"/>
      <c r="AN261" s="1249"/>
      <c r="AO261" s="1249"/>
      <c r="AP261" s="1249"/>
      <c r="AQ261" s="1249"/>
      <c r="AR261" s="1249"/>
      <c r="AS261" s="230"/>
      <c r="AT261" s="230"/>
      <c r="AU261" s="230"/>
      <c r="AV261" s="230"/>
      <c r="AW261" s="230"/>
      <c r="AX261" s="1249"/>
      <c r="AY261" s="1249"/>
      <c r="AZ261" s="1249"/>
      <c r="BA261" s="1249"/>
      <c r="BB261" s="1249"/>
      <c r="BC261" s="1290"/>
      <c r="BD261" s="791"/>
      <c r="BE261" s="791"/>
      <c r="BF261" s="970" t="s">
        <v>1135</v>
      </c>
    </row>
    <row r="262" spans="1:58" s="1229" customFormat="1" ht="14.25" customHeight="1">
      <c r="A262" s="1155"/>
      <c r="B262" s="783"/>
      <c r="C262" s="1155"/>
      <c r="D262" s="1155"/>
      <c r="E262" s="676">
        <v>15</v>
      </c>
      <c r="F262" s="779" t="str" cm="1">
        <f t="array" ref="F262">F261</f>
        <v>2</v>
      </c>
      <c r="G262" s="814"/>
      <c r="H262" s="814"/>
      <c r="I262" s="814"/>
      <c r="J262" s="814"/>
      <c r="K262" s="814"/>
      <c r="L262" s="814"/>
      <c r="M262" s="814"/>
      <c r="N262" s="814"/>
      <c r="O262" s="814"/>
      <c r="P262" s="814"/>
      <c r="Q262" s="784"/>
      <c r="R262" s="784"/>
      <c r="S262" s="814"/>
      <c r="T262" s="698" t="b" cm="1">
        <f t="array" ref="T262">T261</f>
        <v>1</v>
      </c>
      <c r="U262" s="1155"/>
      <c r="V262" s="1155"/>
      <c r="W262" s="1155"/>
      <c r="X262" s="1687"/>
      <c r="Y262" s="1155"/>
      <c r="Z262" s="1687"/>
      <c r="AA262" s="791"/>
      <c r="AB262" s="420" t="str">
        <f>AB258&amp;".4"</f>
        <v>3.4.4</v>
      </c>
      <c r="AC262" s="422" t="s">
        <v>1095</v>
      </c>
      <c r="AD262" s="420" t="s">
        <v>1077</v>
      </c>
      <c r="AE262" s="1249"/>
      <c r="AF262" s="1249"/>
      <c r="AG262" s="1249"/>
      <c r="AH262" s="1249"/>
      <c r="AI262" s="230"/>
      <c r="AJ262" s="230"/>
      <c r="AK262" s="230"/>
      <c r="AL262" s="230"/>
      <c r="AM262" s="230"/>
      <c r="AN262" s="1249"/>
      <c r="AO262" s="1249"/>
      <c r="AP262" s="1249"/>
      <c r="AQ262" s="1249"/>
      <c r="AR262" s="1249"/>
      <c r="AS262" s="230"/>
      <c r="AT262" s="230"/>
      <c r="AU262" s="230"/>
      <c r="AV262" s="230"/>
      <c r="AW262" s="230"/>
      <c r="AX262" s="1249"/>
      <c r="AY262" s="1249"/>
      <c r="AZ262" s="1249"/>
      <c r="BA262" s="1249"/>
      <c r="BB262" s="1249"/>
      <c r="BC262" s="1290"/>
      <c r="BD262" s="791"/>
      <c r="BE262" s="791"/>
      <c r="BF262" s="970" t="s">
        <v>1136</v>
      </c>
    </row>
    <row r="263" spans="1:58" s="1229" customFormat="1" ht="14.25" customHeight="1">
      <c r="A263" s="1155"/>
      <c r="B263" s="783"/>
      <c r="C263" s="1155"/>
      <c r="D263" s="1155"/>
      <c r="E263" s="676">
        <v>15</v>
      </c>
      <c r="F263" s="779" t="str" cm="1">
        <f t="array" ref="F263">F262</f>
        <v>2</v>
      </c>
      <c r="G263" s="814"/>
      <c r="H263" s="814"/>
      <c r="I263" s="814"/>
      <c r="J263" s="814"/>
      <c r="K263" s="814"/>
      <c r="L263" s="814"/>
      <c r="M263" s="814"/>
      <c r="N263" s="814"/>
      <c r="O263" s="814"/>
      <c r="P263" s="814"/>
      <c r="Q263" s="784"/>
      <c r="R263" s="784"/>
      <c r="S263" s="814"/>
      <c r="T263" s="698" t="b" cm="1">
        <f t="array" ref="T263">T262</f>
        <v>1</v>
      </c>
      <c r="U263" s="1155"/>
      <c r="V263" s="1155"/>
      <c r="W263" s="1155"/>
      <c r="X263" s="1687"/>
      <c r="Y263" s="1155"/>
      <c r="Z263" s="1687"/>
      <c r="AA263" s="791"/>
      <c r="AB263" s="420" t="str">
        <f>AB258&amp;".5"</f>
        <v>3.4.5</v>
      </c>
      <c r="AC263" s="422" t="s">
        <v>1098</v>
      </c>
      <c r="AD263" s="420" t="s">
        <v>1077</v>
      </c>
      <c r="AE263" s="1249"/>
      <c r="AF263" s="1249"/>
      <c r="AG263" s="1249"/>
      <c r="AH263" s="1249"/>
      <c r="AI263" s="230"/>
      <c r="AJ263" s="230"/>
      <c r="AK263" s="230"/>
      <c r="AL263" s="230"/>
      <c r="AM263" s="230"/>
      <c r="AN263" s="1249"/>
      <c r="AO263" s="1249"/>
      <c r="AP263" s="1249"/>
      <c r="AQ263" s="1249"/>
      <c r="AR263" s="1249"/>
      <c r="AS263" s="230"/>
      <c r="AT263" s="230"/>
      <c r="AU263" s="230"/>
      <c r="AV263" s="230"/>
      <c r="AW263" s="230"/>
      <c r="AX263" s="1249"/>
      <c r="AY263" s="1249"/>
      <c r="AZ263" s="1249"/>
      <c r="BA263" s="1249"/>
      <c r="BB263" s="1249"/>
      <c r="BC263" s="1290"/>
      <c r="BD263" s="791"/>
      <c r="BE263" s="791"/>
      <c r="BF263" s="970" t="s">
        <v>1137</v>
      </c>
    </row>
    <row r="264" spans="1:58" s="1229" customFormat="1" ht="14.25" customHeight="1">
      <c r="A264" s="1155"/>
      <c r="B264" s="783"/>
      <c r="C264" s="1155"/>
      <c r="D264" s="1155"/>
      <c r="E264" s="676">
        <v>15</v>
      </c>
      <c r="F264" s="779" t="str" cm="1">
        <f t="array" ref="F264">F263</f>
        <v>2</v>
      </c>
      <c r="G264" s="814"/>
      <c r="H264" s="814"/>
      <c r="I264" s="814"/>
      <c r="J264" s="814"/>
      <c r="K264" s="814"/>
      <c r="L264" s="814"/>
      <c r="M264" s="814"/>
      <c r="N264" s="814"/>
      <c r="O264" s="814"/>
      <c r="P264" s="814"/>
      <c r="Q264" s="784"/>
      <c r="R264" s="784"/>
      <c r="S264" s="814"/>
      <c r="T264" s="698" t="b" cm="1">
        <f t="array" ref="T264">T263</f>
        <v>1</v>
      </c>
      <c r="U264" s="1155"/>
      <c r="V264" s="1155"/>
      <c r="W264" s="1155"/>
      <c r="X264" s="1687"/>
      <c r="Y264" s="1155"/>
      <c r="Z264" s="1687"/>
      <c r="AA264" s="791"/>
      <c r="AB264" s="420" t="str">
        <f>AB254&amp;".5"</f>
        <v>3.5</v>
      </c>
      <c r="AC264" s="421" t="s">
        <v>1101</v>
      </c>
      <c r="AD264" s="420" t="s">
        <v>1077</v>
      </c>
      <c r="AE264" s="1249"/>
      <c r="AF264" s="1249"/>
      <c r="AG264" s="1249"/>
      <c r="AH264" s="1249"/>
      <c r="AI264" s="230"/>
      <c r="AJ264" s="230"/>
      <c r="AK264" s="230"/>
      <c r="AL264" s="230"/>
      <c r="AM264" s="230"/>
      <c r="AN264" s="1249"/>
      <c r="AO264" s="1249"/>
      <c r="AP264" s="1249"/>
      <c r="AQ264" s="1249"/>
      <c r="AR264" s="1249"/>
      <c r="AS264" s="230"/>
      <c r="AT264" s="230"/>
      <c r="AU264" s="230"/>
      <c r="AV264" s="230"/>
      <c r="AW264" s="230"/>
      <c r="AX264" s="1249"/>
      <c r="AY264" s="1249"/>
      <c r="AZ264" s="1249"/>
      <c r="BA264" s="1249"/>
      <c r="BB264" s="1249"/>
      <c r="BC264" s="1290"/>
      <c r="BD264" s="791"/>
      <c r="BE264" s="791"/>
      <c r="BF264" s="970" t="s">
        <v>1138</v>
      </c>
    </row>
    <row r="265" spans="1:58" s="1229" customFormat="1" ht="14.25" customHeight="1">
      <c r="A265" s="1155"/>
      <c r="B265" s="783"/>
      <c r="C265" s="1155"/>
      <c r="D265" s="1155"/>
      <c r="E265" s="676">
        <v>15</v>
      </c>
      <c r="F265" s="779" t="str" cm="1">
        <f t="array" ref="F265">F264</f>
        <v>2</v>
      </c>
      <c r="G265" s="814"/>
      <c r="H265" s="814"/>
      <c r="I265" s="814"/>
      <c r="J265" s="814"/>
      <c r="K265" s="814"/>
      <c r="L265" s="814"/>
      <c r="M265" s="814"/>
      <c r="N265" s="814"/>
      <c r="O265" s="814"/>
      <c r="P265" s="814"/>
      <c r="Q265" s="784"/>
      <c r="R265" s="784"/>
      <c r="S265" s="814"/>
      <c r="T265" s="698" t="b" cm="1">
        <f t="array" ref="T265">T264</f>
        <v>1</v>
      </c>
      <c r="U265" s="1155"/>
      <c r="V265" s="1155"/>
      <c r="W265" s="1155"/>
      <c r="X265" s="1687"/>
      <c r="Y265" s="1155"/>
      <c r="Z265" s="1687"/>
      <c r="AA265" s="791"/>
      <c r="AB265" s="420" t="str">
        <f>AB254&amp;".6"</f>
        <v>3.6</v>
      </c>
      <c r="AC265" s="421" t="s">
        <v>1104</v>
      </c>
      <c r="AD265" s="420" t="s">
        <v>1077</v>
      </c>
      <c r="AE265" s="1249"/>
      <c r="AF265" s="1249"/>
      <c r="AG265" s="1249"/>
      <c r="AH265" s="1249"/>
      <c r="AI265" s="230"/>
      <c r="AJ265" s="230"/>
      <c r="AK265" s="230"/>
      <c r="AL265" s="230"/>
      <c r="AM265" s="230"/>
      <c r="AN265" s="1249"/>
      <c r="AO265" s="1249"/>
      <c r="AP265" s="1249"/>
      <c r="AQ265" s="1249"/>
      <c r="AR265" s="1249"/>
      <c r="AS265" s="230"/>
      <c r="AT265" s="230"/>
      <c r="AU265" s="230"/>
      <c r="AV265" s="230"/>
      <c r="AW265" s="230"/>
      <c r="AX265" s="1249"/>
      <c r="AY265" s="1249"/>
      <c r="AZ265" s="1249"/>
      <c r="BA265" s="1249"/>
      <c r="BB265" s="1249"/>
      <c r="BC265" s="1290"/>
      <c r="BD265" s="791"/>
      <c r="BE265" s="791"/>
      <c r="BF265" s="970" t="s">
        <v>1139</v>
      </c>
    </row>
    <row r="266" spans="1:58" s="1229" customFormat="1" ht="14.25" customHeight="1">
      <c r="A266" s="1155"/>
      <c r="B266" s="783"/>
      <c r="C266" s="1155"/>
      <c r="D266" s="1155"/>
      <c r="E266" s="676">
        <v>15</v>
      </c>
      <c r="F266" s="779" t="str" cm="1">
        <f t="array" ref="F266">F265</f>
        <v>2</v>
      </c>
      <c r="G266" s="814"/>
      <c r="H266" s="814"/>
      <c r="I266" s="814"/>
      <c r="J266" s="814"/>
      <c r="K266" s="814"/>
      <c r="L266" s="814"/>
      <c r="M266" s="814"/>
      <c r="N266" s="814"/>
      <c r="O266" s="814"/>
      <c r="P266" s="814"/>
      <c r="Q266" s="784"/>
      <c r="R266" s="784"/>
      <c r="S266" s="814"/>
      <c r="T266" s="698" t="b" cm="1">
        <f t="array" ref="T266">T265</f>
        <v>1</v>
      </c>
      <c r="U266" s="1155"/>
      <c r="V266" s="1155"/>
      <c r="W266" s="1155"/>
      <c r="X266" s="1687"/>
      <c r="Y266" s="1155"/>
      <c r="Z266" s="1687"/>
      <c r="AA266" s="791"/>
      <c r="AB266" s="420" t="str">
        <f>AB254&amp;".7"</f>
        <v>3.7</v>
      </c>
      <c r="AC266" s="421" t="s">
        <v>1107</v>
      </c>
      <c r="AD266" s="420" t="s">
        <v>1077</v>
      </c>
      <c r="AE266" s="1249"/>
      <c r="AF266" s="1249"/>
      <c r="AG266" s="1249"/>
      <c r="AH266" s="1249"/>
      <c r="AI266" s="230"/>
      <c r="AJ266" s="230"/>
      <c r="AK266" s="230"/>
      <c r="AL266" s="230"/>
      <c r="AM266" s="230"/>
      <c r="AN266" s="1249"/>
      <c r="AO266" s="1249"/>
      <c r="AP266" s="1249"/>
      <c r="AQ266" s="1249"/>
      <c r="AR266" s="1249"/>
      <c r="AS266" s="230"/>
      <c r="AT266" s="230"/>
      <c r="AU266" s="230"/>
      <c r="AV266" s="230"/>
      <c r="AW266" s="230"/>
      <c r="AX266" s="1249"/>
      <c r="AY266" s="1249"/>
      <c r="AZ266" s="1249"/>
      <c r="BA266" s="1249"/>
      <c r="BB266" s="1249"/>
      <c r="BC266" s="1290"/>
      <c r="BD266" s="791"/>
      <c r="BE266" s="791"/>
      <c r="BF266" s="970" t="s">
        <v>1140</v>
      </c>
    </row>
    <row r="267" spans="1:58" s="1229" customFormat="1" ht="14.25" customHeight="1">
      <c r="A267" s="1155"/>
      <c r="B267" s="783"/>
      <c r="C267" s="1155"/>
      <c r="D267" s="1155"/>
      <c r="E267" s="676">
        <v>15</v>
      </c>
      <c r="F267" s="779" t="str" cm="1">
        <f t="array" ref="F267">F266</f>
        <v>2</v>
      </c>
      <c r="G267" s="814"/>
      <c r="H267" s="814"/>
      <c r="I267" s="814"/>
      <c r="J267" s="814"/>
      <c r="K267" s="814"/>
      <c r="L267" s="814"/>
      <c r="M267" s="814"/>
      <c r="N267" s="814"/>
      <c r="O267" s="814"/>
      <c r="P267" s="814"/>
      <c r="Q267" s="784"/>
      <c r="R267" s="784"/>
      <c r="S267" s="814"/>
      <c r="T267" s="698" t="b" cm="1">
        <f t="array" ref="T267">T266</f>
        <v>1</v>
      </c>
      <c r="U267" s="1155"/>
      <c r="V267" s="1155"/>
      <c r="W267" s="1155"/>
      <c r="X267" s="1687"/>
      <c r="Y267" s="1155"/>
      <c r="Z267" s="1687"/>
      <c r="AA267" s="791"/>
      <c r="AB267" s="420" t="str">
        <f>AB254&amp;".8"</f>
        <v>3.8</v>
      </c>
      <c r="AC267" s="421" t="s">
        <v>1110</v>
      </c>
      <c r="AD267" s="420" t="s">
        <v>1077</v>
      </c>
      <c r="AE267" s="1249"/>
      <c r="AF267" s="1249"/>
      <c r="AG267" s="1249"/>
      <c r="AH267" s="1249"/>
      <c r="AI267" s="230"/>
      <c r="AJ267" s="230"/>
      <c r="AK267" s="230"/>
      <c r="AL267" s="230"/>
      <c r="AM267" s="230"/>
      <c r="AN267" s="1249"/>
      <c r="AO267" s="1249"/>
      <c r="AP267" s="1249"/>
      <c r="AQ267" s="1249"/>
      <c r="AR267" s="1249"/>
      <c r="AS267" s="230"/>
      <c r="AT267" s="230"/>
      <c r="AU267" s="230"/>
      <c r="AV267" s="230"/>
      <c r="AW267" s="230"/>
      <c r="AX267" s="1249"/>
      <c r="AY267" s="1249"/>
      <c r="AZ267" s="1249"/>
      <c r="BA267" s="1249"/>
      <c r="BB267" s="1249"/>
      <c r="BC267" s="1290"/>
      <c r="BD267" s="791"/>
      <c r="BE267" s="791"/>
      <c r="BF267" s="970" t="s">
        <v>1141</v>
      </c>
    </row>
    <row r="268" spans="1:58" s="167" customFormat="1" ht="14.25" customHeight="1">
      <c r="E268" s="676">
        <v>15</v>
      </c>
      <c r="F268" s="779" t="str" cm="1">
        <f t="array" ref="F268">F267</f>
        <v>2</v>
      </c>
      <c r="T268" s="698" t="b" cm="1">
        <f t="array" ref="T268">T267</f>
        <v>1</v>
      </c>
      <c r="X268" s="1811"/>
      <c r="Z268" s="1811"/>
      <c r="AB268" s="227">
        <v>4</v>
      </c>
      <c r="AC268" s="228" t="s">
        <v>1142</v>
      </c>
      <c r="AD268" s="107" t="s">
        <v>839</v>
      </c>
      <c r="AE268" s="1320">
        <f t="shared" ref="AE268:BB268" si="82">SUM(AE269:AE272)+SUM(AE278:AE281)</f>
        <v>0</v>
      </c>
      <c r="AF268" s="1320">
        <f t="shared" si="82"/>
        <v>0</v>
      </c>
      <c r="AG268" s="1320">
        <f t="shared" si="82"/>
        <v>0</v>
      </c>
      <c r="AH268" s="1320">
        <f t="shared" si="82"/>
        <v>0</v>
      </c>
      <c r="AI268" s="242">
        <f t="shared" si="82"/>
        <v>0</v>
      </c>
      <c r="AJ268" s="242">
        <f t="shared" si="82"/>
        <v>0</v>
      </c>
      <c r="AK268" s="242">
        <f t="shared" si="82"/>
        <v>0</v>
      </c>
      <c r="AL268" s="242">
        <f t="shared" si="82"/>
        <v>0</v>
      </c>
      <c r="AM268" s="242">
        <f t="shared" si="82"/>
        <v>0</v>
      </c>
      <c r="AN268" s="1320">
        <f t="shared" si="82"/>
        <v>0</v>
      </c>
      <c r="AO268" s="1320">
        <f t="shared" si="82"/>
        <v>0</v>
      </c>
      <c r="AP268" s="1320">
        <f t="shared" si="82"/>
        <v>0</v>
      </c>
      <c r="AQ268" s="1320">
        <f t="shared" si="82"/>
        <v>0</v>
      </c>
      <c r="AR268" s="1320">
        <f t="shared" si="82"/>
        <v>0</v>
      </c>
      <c r="AS268" s="242">
        <f t="shared" si="82"/>
        <v>0</v>
      </c>
      <c r="AT268" s="242">
        <f t="shared" si="82"/>
        <v>0</v>
      </c>
      <c r="AU268" s="242">
        <f t="shared" si="82"/>
        <v>0</v>
      </c>
      <c r="AV268" s="242">
        <f t="shared" si="82"/>
        <v>0</v>
      </c>
      <c r="AW268" s="242">
        <f t="shared" si="82"/>
        <v>0</v>
      </c>
      <c r="AX268" s="1320">
        <f t="shared" si="82"/>
        <v>0</v>
      </c>
      <c r="AY268" s="1320">
        <f t="shared" si="82"/>
        <v>0</v>
      </c>
      <c r="AZ268" s="1320">
        <f t="shared" si="82"/>
        <v>0</v>
      </c>
      <c r="BA268" s="1320">
        <f t="shared" si="82"/>
        <v>0</v>
      </c>
      <c r="BB268" s="1320">
        <f t="shared" si="82"/>
        <v>0</v>
      </c>
      <c r="BC268" s="1290"/>
      <c r="BF268" s="970" t="s">
        <v>1143</v>
      </c>
    </row>
    <row r="269" spans="1:58" s="1229" customFormat="1" ht="14.25" customHeight="1">
      <c r="A269" s="1155"/>
      <c r="B269" s="783"/>
      <c r="C269" s="1155"/>
      <c r="D269" s="1155"/>
      <c r="E269" s="676">
        <v>15</v>
      </c>
      <c r="F269" s="779" t="str" cm="1">
        <f t="array" ref="F269">F268</f>
        <v>2</v>
      </c>
      <c r="G269" s="814"/>
      <c r="H269" s="814"/>
      <c r="I269" s="814"/>
      <c r="J269" s="814"/>
      <c r="K269" s="814"/>
      <c r="L269" s="814"/>
      <c r="M269" s="814"/>
      <c r="N269" s="814"/>
      <c r="O269" s="814"/>
      <c r="P269" s="814"/>
      <c r="Q269" s="784"/>
      <c r="R269" s="784"/>
      <c r="S269" s="814"/>
      <c r="T269" s="698" t="b" cm="1">
        <f t="array" ref="T269">T268</f>
        <v>1</v>
      </c>
      <c r="U269" s="1155"/>
      <c r="V269" s="1155"/>
      <c r="W269" s="1155"/>
      <c r="X269" s="1687"/>
      <c r="Y269" s="1155"/>
      <c r="Z269" s="1687"/>
      <c r="AA269" s="791"/>
      <c r="AB269" s="420" t="str">
        <f>AB268&amp;".1"</f>
        <v>4.1</v>
      </c>
      <c r="AC269" s="421" t="s">
        <v>1076</v>
      </c>
      <c r="AD269" s="420" t="s">
        <v>1077</v>
      </c>
      <c r="AE269" s="1249"/>
      <c r="AF269" s="1249"/>
      <c r="AG269" s="1249"/>
      <c r="AH269" s="1249"/>
      <c r="AI269" s="230"/>
      <c r="AJ269" s="230"/>
      <c r="AK269" s="230"/>
      <c r="AL269" s="230"/>
      <c r="AM269" s="230"/>
      <c r="AN269" s="1249"/>
      <c r="AO269" s="1249"/>
      <c r="AP269" s="1249"/>
      <c r="AQ269" s="1249"/>
      <c r="AR269" s="1249"/>
      <c r="AS269" s="230"/>
      <c r="AT269" s="230"/>
      <c r="AU269" s="230"/>
      <c r="AV269" s="230"/>
      <c r="AW269" s="230"/>
      <c r="AX269" s="1249"/>
      <c r="AY269" s="1249"/>
      <c r="AZ269" s="1249"/>
      <c r="BA269" s="1249"/>
      <c r="BB269" s="1249"/>
      <c r="BC269" s="1290"/>
      <c r="BD269" s="791"/>
      <c r="BE269" s="791"/>
      <c r="BF269" s="970" t="s">
        <v>1144</v>
      </c>
    </row>
    <row r="270" spans="1:58" s="1229" customFormat="1" ht="14.25" customHeight="1">
      <c r="A270" s="1155"/>
      <c r="B270" s="783"/>
      <c r="C270" s="1155"/>
      <c r="D270" s="1155"/>
      <c r="E270" s="676">
        <v>15</v>
      </c>
      <c r="F270" s="779" t="str" cm="1">
        <f t="array" ref="F270">F269</f>
        <v>2</v>
      </c>
      <c r="G270" s="814"/>
      <c r="H270" s="814"/>
      <c r="I270" s="814"/>
      <c r="J270" s="814"/>
      <c r="K270" s="814"/>
      <c r="L270" s="814"/>
      <c r="M270" s="814"/>
      <c r="N270" s="814"/>
      <c r="O270" s="814"/>
      <c r="P270" s="814"/>
      <c r="Q270" s="784"/>
      <c r="R270" s="784"/>
      <c r="S270" s="814"/>
      <c r="T270" s="698" t="b" cm="1">
        <f t="array" ref="T270">T269</f>
        <v>1</v>
      </c>
      <c r="U270" s="1155"/>
      <c r="V270" s="1155"/>
      <c r="W270" s="1155"/>
      <c r="X270" s="1687"/>
      <c r="Y270" s="1155"/>
      <c r="Z270" s="1687"/>
      <c r="AA270" s="791"/>
      <c r="AB270" s="420" t="str">
        <f>AB268&amp;".2"</f>
        <v>4.2</v>
      </c>
      <c r="AC270" s="421" t="s">
        <v>1079</v>
      </c>
      <c r="AD270" s="420" t="s">
        <v>1077</v>
      </c>
      <c r="AE270" s="1249"/>
      <c r="AF270" s="1249"/>
      <c r="AG270" s="1249"/>
      <c r="AH270" s="1249"/>
      <c r="AI270" s="230"/>
      <c r="AJ270" s="230"/>
      <c r="AK270" s="230"/>
      <c r="AL270" s="230"/>
      <c r="AM270" s="230"/>
      <c r="AN270" s="1249"/>
      <c r="AO270" s="1249"/>
      <c r="AP270" s="1249"/>
      <c r="AQ270" s="1249"/>
      <c r="AR270" s="1249"/>
      <c r="AS270" s="230"/>
      <c r="AT270" s="230"/>
      <c r="AU270" s="230"/>
      <c r="AV270" s="230"/>
      <c r="AW270" s="230"/>
      <c r="AX270" s="1249"/>
      <c r="AY270" s="1249"/>
      <c r="AZ270" s="1249"/>
      <c r="BA270" s="1249"/>
      <c r="BB270" s="1249"/>
      <c r="BC270" s="1290"/>
      <c r="BD270" s="791"/>
      <c r="BE270" s="791"/>
      <c r="BF270" s="970" t="s">
        <v>1145</v>
      </c>
    </row>
    <row r="271" spans="1:58" s="1229" customFormat="1" ht="14.25" customHeight="1">
      <c r="A271" s="1155"/>
      <c r="B271" s="783"/>
      <c r="C271" s="1155"/>
      <c r="D271" s="1155"/>
      <c r="E271" s="676">
        <v>15</v>
      </c>
      <c r="F271" s="779" t="str" cm="1">
        <f t="array" ref="F271">F270</f>
        <v>2</v>
      </c>
      <c r="G271" s="814"/>
      <c r="H271" s="814"/>
      <c r="I271" s="814"/>
      <c r="J271" s="814"/>
      <c r="K271" s="814"/>
      <c r="L271" s="814"/>
      <c r="M271" s="814"/>
      <c r="N271" s="814"/>
      <c r="O271" s="814"/>
      <c r="P271" s="814"/>
      <c r="Q271" s="784"/>
      <c r="R271" s="784"/>
      <c r="S271" s="814"/>
      <c r="T271" s="698" t="b" cm="1">
        <f t="array" ref="T271">T270</f>
        <v>1</v>
      </c>
      <c r="U271" s="1155"/>
      <c r="V271" s="1155"/>
      <c r="W271" s="1155"/>
      <c r="X271" s="1687"/>
      <c r="Y271" s="1155"/>
      <c r="Z271" s="1687"/>
      <c r="AA271" s="791"/>
      <c r="AB271" s="420" t="str">
        <f>AB268&amp;".3"</f>
        <v>4.3</v>
      </c>
      <c r="AC271" s="421" t="s">
        <v>1081</v>
      </c>
      <c r="AD271" s="420" t="s">
        <v>1077</v>
      </c>
      <c r="AE271" s="1249"/>
      <c r="AF271" s="1249"/>
      <c r="AG271" s="1249"/>
      <c r="AH271" s="1249"/>
      <c r="AI271" s="230"/>
      <c r="AJ271" s="230"/>
      <c r="AK271" s="230"/>
      <c r="AL271" s="230"/>
      <c r="AM271" s="230"/>
      <c r="AN271" s="1249"/>
      <c r="AO271" s="1249"/>
      <c r="AP271" s="1249"/>
      <c r="AQ271" s="1249"/>
      <c r="AR271" s="1249"/>
      <c r="AS271" s="230"/>
      <c r="AT271" s="230"/>
      <c r="AU271" s="230"/>
      <c r="AV271" s="230"/>
      <c r="AW271" s="230"/>
      <c r="AX271" s="1249"/>
      <c r="AY271" s="1249"/>
      <c r="AZ271" s="1249"/>
      <c r="BA271" s="1249"/>
      <c r="BB271" s="1249"/>
      <c r="BC271" s="1290"/>
      <c r="BD271" s="791"/>
      <c r="BE271" s="791"/>
      <c r="BF271" s="970" t="s">
        <v>1146</v>
      </c>
    </row>
    <row r="272" spans="1:58" s="1229" customFormat="1" ht="14.25" customHeight="1">
      <c r="A272" s="1155"/>
      <c r="B272" s="783"/>
      <c r="C272" s="1155"/>
      <c r="D272" s="1155"/>
      <c r="E272" s="676">
        <v>15</v>
      </c>
      <c r="F272" s="779" t="str" cm="1">
        <f t="array" ref="F272">F271</f>
        <v>2</v>
      </c>
      <c r="G272" s="814"/>
      <c r="H272" s="814"/>
      <c r="I272" s="814"/>
      <c r="J272" s="814"/>
      <c r="K272" s="814"/>
      <c r="L272" s="814"/>
      <c r="M272" s="814"/>
      <c r="N272" s="814"/>
      <c r="O272" s="814"/>
      <c r="P272" s="814"/>
      <c r="Q272" s="784"/>
      <c r="R272" s="784"/>
      <c r="S272" s="814"/>
      <c r="T272" s="698" t="b" cm="1">
        <f t="array" ref="T272">T271</f>
        <v>1</v>
      </c>
      <c r="U272" s="1155"/>
      <c r="V272" s="1155"/>
      <c r="W272" s="1155"/>
      <c r="X272" s="1687"/>
      <c r="Y272" s="1155"/>
      <c r="Z272" s="1687"/>
      <c r="AA272" s="791"/>
      <c r="AB272" s="420" t="str">
        <f>AB268&amp;".4"</f>
        <v>4.4</v>
      </c>
      <c r="AC272" s="421" t="s">
        <v>1083</v>
      </c>
      <c r="AD272" s="420" t="s">
        <v>1077</v>
      </c>
      <c r="AE272" s="1324">
        <f t="shared" ref="AE272:BB272" si="83">SUM(AE273:AE277)</f>
        <v>0</v>
      </c>
      <c r="AF272" s="1324">
        <f t="shared" si="83"/>
        <v>0</v>
      </c>
      <c r="AG272" s="1324">
        <f t="shared" si="83"/>
        <v>0</v>
      </c>
      <c r="AH272" s="1324">
        <f t="shared" si="83"/>
        <v>0</v>
      </c>
      <c r="AI272" s="415">
        <f t="shared" si="83"/>
        <v>0</v>
      </c>
      <c r="AJ272" s="415">
        <f t="shared" si="83"/>
        <v>0</v>
      </c>
      <c r="AK272" s="415">
        <f t="shared" si="83"/>
        <v>0</v>
      </c>
      <c r="AL272" s="415">
        <f t="shared" si="83"/>
        <v>0</v>
      </c>
      <c r="AM272" s="415">
        <f t="shared" si="83"/>
        <v>0</v>
      </c>
      <c r="AN272" s="1324">
        <f t="shared" si="83"/>
        <v>0</v>
      </c>
      <c r="AO272" s="1324">
        <f t="shared" si="83"/>
        <v>0</v>
      </c>
      <c r="AP272" s="1324">
        <f t="shared" si="83"/>
        <v>0</v>
      </c>
      <c r="AQ272" s="1324">
        <f t="shared" si="83"/>
        <v>0</v>
      </c>
      <c r="AR272" s="1324">
        <f t="shared" si="83"/>
        <v>0</v>
      </c>
      <c r="AS272" s="415">
        <f t="shared" si="83"/>
        <v>0</v>
      </c>
      <c r="AT272" s="415">
        <f t="shared" si="83"/>
        <v>0</v>
      </c>
      <c r="AU272" s="415">
        <f t="shared" si="83"/>
        <v>0</v>
      </c>
      <c r="AV272" s="415">
        <f t="shared" si="83"/>
        <v>0</v>
      </c>
      <c r="AW272" s="415">
        <f t="shared" si="83"/>
        <v>0</v>
      </c>
      <c r="AX272" s="1324">
        <f t="shared" si="83"/>
        <v>0</v>
      </c>
      <c r="AY272" s="1324">
        <f t="shared" si="83"/>
        <v>0</v>
      </c>
      <c r="AZ272" s="1324">
        <f t="shared" si="83"/>
        <v>0</v>
      </c>
      <c r="BA272" s="1324">
        <f t="shared" si="83"/>
        <v>0</v>
      </c>
      <c r="BB272" s="1324">
        <f t="shared" si="83"/>
        <v>0</v>
      </c>
      <c r="BC272" s="1290"/>
      <c r="BD272" s="791"/>
      <c r="BE272" s="791"/>
      <c r="BF272" s="970" t="s">
        <v>1147</v>
      </c>
    </row>
    <row r="273" spans="1:58" s="1229" customFormat="1" ht="14.25" customHeight="1">
      <c r="A273" s="1155"/>
      <c r="B273" s="783"/>
      <c r="C273" s="1155"/>
      <c r="D273" s="1155"/>
      <c r="E273" s="676">
        <v>15</v>
      </c>
      <c r="F273" s="779" t="str" cm="1">
        <f t="array" ref="F273">F272</f>
        <v>2</v>
      </c>
      <c r="G273" s="814"/>
      <c r="H273" s="814"/>
      <c r="I273" s="814"/>
      <c r="J273" s="814"/>
      <c r="K273" s="814"/>
      <c r="L273" s="814"/>
      <c r="M273" s="814"/>
      <c r="N273" s="814"/>
      <c r="O273" s="814"/>
      <c r="P273" s="814"/>
      <c r="Q273" s="784"/>
      <c r="R273" s="784"/>
      <c r="S273" s="814"/>
      <c r="T273" s="698" t="b" cm="1">
        <f t="array" ref="T273">T272</f>
        <v>1</v>
      </c>
      <c r="U273" s="1155"/>
      <c r="V273" s="1155"/>
      <c r="W273" s="1155"/>
      <c r="X273" s="1687"/>
      <c r="Y273" s="1155"/>
      <c r="Z273" s="1687"/>
      <c r="AA273" s="791"/>
      <c r="AB273" s="420" t="str">
        <f>AB272&amp;".1"</f>
        <v>4.4.1</v>
      </c>
      <c r="AC273" s="422" t="s">
        <v>1086</v>
      </c>
      <c r="AD273" s="420" t="s">
        <v>1077</v>
      </c>
      <c r="AE273" s="1249"/>
      <c r="AF273" s="1249"/>
      <c r="AG273" s="1249"/>
      <c r="AH273" s="1249"/>
      <c r="AI273" s="230"/>
      <c r="AJ273" s="230"/>
      <c r="AK273" s="230"/>
      <c r="AL273" s="230"/>
      <c r="AM273" s="230"/>
      <c r="AN273" s="1249"/>
      <c r="AO273" s="1249"/>
      <c r="AP273" s="1249"/>
      <c r="AQ273" s="1249"/>
      <c r="AR273" s="1249"/>
      <c r="AS273" s="230"/>
      <c r="AT273" s="230"/>
      <c r="AU273" s="230"/>
      <c r="AV273" s="230"/>
      <c r="AW273" s="230"/>
      <c r="AX273" s="1249"/>
      <c r="AY273" s="1249"/>
      <c r="AZ273" s="1249"/>
      <c r="BA273" s="1249"/>
      <c r="BB273" s="1249"/>
      <c r="BC273" s="1290"/>
      <c r="BD273" s="791"/>
      <c r="BE273" s="791"/>
      <c r="BF273" s="970" t="s">
        <v>1148</v>
      </c>
    </row>
    <row r="274" spans="1:58" s="1229" customFormat="1" ht="14.25" customHeight="1">
      <c r="A274" s="1155"/>
      <c r="B274" s="783"/>
      <c r="C274" s="1155"/>
      <c r="D274" s="1155"/>
      <c r="E274" s="676">
        <v>15</v>
      </c>
      <c r="F274" s="779" t="str" cm="1">
        <f t="array" ref="F274">F273</f>
        <v>2</v>
      </c>
      <c r="G274" s="814"/>
      <c r="H274" s="814"/>
      <c r="I274" s="814"/>
      <c r="J274" s="814"/>
      <c r="K274" s="814"/>
      <c r="L274" s="814"/>
      <c r="M274" s="814"/>
      <c r="N274" s="814"/>
      <c r="O274" s="814"/>
      <c r="P274" s="814"/>
      <c r="Q274" s="784"/>
      <c r="R274" s="784"/>
      <c r="S274" s="814"/>
      <c r="T274" s="698" t="b" cm="1">
        <f t="array" ref="T274">T273</f>
        <v>1</v>
      </c>
      <c r="U274" s="1155"/>
      <c r="V274" s="1155"/>
      <c r="W274" s="1155"/>
      <c r="X274" s="1687"/>
      <c r="Y274" s="1155"/>
      <c r="Z274" s="1687"/>
      <c r="AA274" s="791"/>
      <c r="AB274" s="420" t="str">
        <f>AB272&amp;".2"</f>
        <v>4.4.2</v>
      </c>
      <c r="AC274" s="422" t="s">
        <v>1089</v>
      </c>
      <c r="AD274" s="420" t="s">
        <v>1077</v>
      </c>
      <c r="AE274" s="1249"/>
      <c r="AF274" s="1249"/>
      <c r="AG274" s="1249"/>
      <c r="AH274" s="1249"/>
      <c r="AI274" s="230"/>
      <c r="AJ274" s="230"/>
      <c r="AK274" s="230"/>
      <c r="AL274" s="230"/>
      <c r="AM274" s="230"/>
      <c r="AN274" s="1249"/>
      <c r="AO274" s="1249"/>
      <c r="AP274" s="1249"/>
      <c r="AQ274" s="1249"/>
      <c r="AR274" s="1249"/>
      <c r="AS274" s="230"/>
      <c r="AT274" s="230"/>
      <c r="AU274" s="230"/>
      <c r="AV274" s="230"/>
      <c r="AW274" s="230"/>
      <c r="AX274" s="1249"/>
      <c r="AY274" s="1249"/>
      <c r="AZ274" s="1249"/>
      <c r="BA274" s="1249"/>
      <c r="BB274" s="1249"/>
      <c r="BC274" s="1290"/>
      <c r="BD274" s="791"/>
      <c r="BE274" s="791"/>
      <c r="BF274" s="970" t="s">
        <v>1149</v>
      </c>
    </row>
    <row r="275" spans="1:58" s="1229" customFormat="1" ht="14.25" customHeight="1">
      <c r="A275" s="1155"/>
      <c r="B275" s="783"/>
      <c r="C275" s="1155"/>
      <c r="D275" s="1155"/>
      <c r="E275" s="676">
        <v>15</v>
      </c>
      <c r="F275" s="779" t="str" cm="1">
        <f t="array" ref="F275">F274</f>
        <v>2</v>
      </c>
      <c r="G275" s="814"/>
      <c r="H275" s="814"/>
      <c r="I275" s="814"/>
      <c r="J275" s="814"/>
      <c r="K275" s="814"/>
      <c r="L275" s="814"/>
      <c r="M275" s="814"/>
      <c r="N275" s="814"/>
      <c r="O275" s="814"/>
      <c r="P275" s="814"/>
      <c r="Q275" s="784"/>
      <c r="R275" s="784"/>
      <c r="S275" s="814"/>
      <c r="T275" s="698" t="b" cm="1">
        <f t="array" ref="T275">T274</f>
        <v>1</v>
      </c>
      <c r="U275" s="1155"/>
      <c r="V275" s="1155"/>
      <c r="W275" s="1155"/>
      <c r="X275" s="1687"/>
      <c r="Y275" s="1155"/>
      <c r="Z275" s="1687"/>
      <c r="AA275" s="791"/>
      <c r="AB275" s="420" t="str">
        <f>AB272&amp;".3"</f>
        <v>4.4.3</v>
      </c>
      <c r="AC275" s="422" t="s">
        <v>1092</v>
      </c>
      <c r="AD275" s="420" t="s">
        <v>1077</v>
      </c>
      <c r="AE275" s="1249"/>
      <c r="AF275" s="1249"/>
      <c r="AG275" s="1249"/>
      <c r="AH275" s="1249"/>
      <c r="AI275" s="230"/>
      <c r="AJ275" s="230"/>
      <c r="AK275" s="230"/>
      <c r="AL275" s="230"/>
      <c r="AM275" s="230"/>
      <c r="AN275" s="1249"/>
      <c r="AO275" s="1249"/>
      <c r="AP275" s="1249"/>
      <c r="AQ275" s="1249"/>
      <c r="AR275" s="1249"/>
      <c r="AS275" s="230"/>
      <c r="AT275" s="230"/>
      <c r="AU275" s="230"/>
      <c r="AV275" s="230"/>
      <c r="AW275" s="230"/>
      <c r="AX275" s="1249"/>
      <c r="AY275" s="1249"/>
      <c r="AZ275" s="1249"/>
      <c r="BA275" s="1249"/>
      <c r="BB275" s="1249"/>
      <c r="BC275" s="1290"/>
      <c r="BD275" s="791"/>
      <c r="BE275" s="791"/>
      <c r="BF275" s="970" t="s">
        <v>1150</v>
      </c>
    </row>
    <row r="276" spans="1:58" s="1229" customFormat="1" ht="14.25" customHeight="1">
      <c r="A276" s="1155"/>
      <c r="B276" s="783"/>
      <c r="C276" s="1155"/>
      <c r="D276" s="1155"/>
      <c r="E276" s="676">
        <v>15</v>
      </c>
      <c r="F276" s="779" t="str" cm="1">
        <f t="array" ref="F276">F275</f>
        <v>2</v>
      </c>
      <c r="G276" s="814"/>
      <c r="H276" s="814"/>
      <c r="I276" s="814"/>
      <c r="J276" s="814"/>
      <c r="K276" s="814"/>
      <c r="L276" s="814"/>
      <c r="M276" s="814"/>
      <c r="N276" s="814"/>
      <c r="O276" s="814"/>
      <c r="P276" s="814"/>
      <c r="Q276" s="784"/>
      <c r="R276" s="784"/>
      <c r="S276" s="814"/>
      <c r="T276" s="698" t="b" cm="1">
        <f t="array" ref="T276">T275</f>
        <v>1</v>
      </c>
      <c r="U276" s="1155"/>
      <c r="V276" s="1155"/>
      <c r="W276" s="1155"/>
      <c r="X276" s="1687"/>
      <c r="Y276" s="1155"/>
      <c r="Z276" s="1687"/>
      <c r="AA276" s="791"/>
      <c r="AB276" s="420" t="str">
        <f>AB272&amp;".4"</f>
        <v>4.4.4</v>
      </c>
      <c r="AC276" s="422" t="s">
        <v>1095</v>
      </c>
      <c r="AD276" s="420" t="s">
        <v>1077</v>
      </c>
      <c r="AE276" s="1249"/>
      <c r="AF276" s="1249"/>
      <c r="AG276" s="1249"/>
      <c r="AH276" s="1249"/>
      <c r="AI276" s="230"/>
      <c r="AJ276" s="230"/>
      <c r="AK276" s="230"/>
      <c r="AL276" s="230"/>
      <c r="AM276" s="230"/>
      <c r="AN276" s="1249"/>
      <c r="AO276" s="1249"/>
      <c r="AP276" s="1249"/>
      <c r="AQ276" s="1249"/>
      <c r="AR276" s="1249"/>
      <c r="AS276" s="230"/>
      <c r="AT276" s="230"/>
      <c r="AU276" s="230"/>
      <c r="AV276" s="230"/>
      <c r="AW276" s="230"/>
      <c r="AX276" s="1249"/>
      <c r="AY276" s="1249"/>
      <c r="AZ276" s="1249"/>
      <c r="BA276" s="1249"/>
      <c r="BB276" s="1249"/>
      <c r="BC276" s="1290"/>
      <c r="BD276" s="791"/>
      <c r="BE276" s="791"/>
      <c r="BF276" s="970" t="s">
        <v>1151</v>
      </c>
    </row>
    <row r="277" spans="1:58" s="1229" customFormat="1" ht="14.25" customHeight="1">
      <c r="A277" s="1155"/>
      <c r="B277" s="783"/>
      <c r="C277" s="1155"/>
      <c r="D277" s="1155"/>
      <c r="E277" s="676">
        <v>15</v>
      </c>
      <c r="F277" s="779" t="str" cm="1">
        <f t="array" ref="F277">F276</f>
        <v>2</v>
      </c>
      <c r="G277" s="814"/>
      <c r="H277" s="814"/>
      <c r="I277" s="814"/>
      <c r="J277" s="814"/>
      <c r="K277" s="814"/>
      <c r="L277" s="814"/>
      <c r="M277" s="814"/>
      <c r="N277" s="814"/>
      <c r="O277" s="814"/>
      <c r="P277" s="814"/>
      <c r="Q277" s="784"/>
      <c r="R277" s="784"/>
      <c r="S277" s="814"/>
      <c r="T277" s="698" t="b" cm="1">
        <f t="array" ref="T277">T276</f>
        <v>1</v>
      </c>
      <c r="U277" s="1155"/>
      <c r="V277" s="1155"/>
      <c r="W277" s="1155"/>
      <c r="X277" s="1687"/>
      <c r="Y277" s="1155"/>
      <c r="Z277" s="1687"/>
      <c r="AA277" s="791"/>
      <c r="AB277" s="420" t="str">
        <f>AB272&amp;".5"</f>
        <v>4.4.5</v>
      </c>
      <c r="AC277" s="422" t="s">
        <v>1098</v>
      </c>
      <c r="AD277" s="420" t="s">
        <v>1077</v>
      </c>
      <c r="AE277" s="1249"/>
      <c r="AF277" s="1249"/>
      <c r="AG277" s="1249"/>
      <c r="AH277" s="1249"/>
      <c r="AI277" s="230"/>
      <c r="AJ277" s="230"/>
      <c r="AK277" s="230"/>
      <c r="AL277" s="230"/>
      <c r="AM277" s="230"/>
      <c r="AN277" s="1249"/>
      <c r="AO277" s="1249"/>
      <c r="AP277" s="1249"/>
      <c r="AQ277" s="1249"/>
      <c r="AR277" s="1249"/>
      <c r="AS277" s="230"/>
      <c r="AT277" s="230"/>
      <c r="AU277" s="230"/>
      <c r="AV277" s="230"/>
      <c r="AW277" s="230"/>
      <c r="AX277" s="1249"/>
      <c r="AY277" s="1249"/>
      <c r="AZ277" s="1249"/>
      <c r="BA277" s="1249"/>
      <c r="BB277" s="1249"/>
      <c r="BC277" s="1290"/>
      <c r="BD277" s="791"/>
      <c r="BE277" s="791"/>
      <c r="BF277" s="970" t="s">
        <v>1152</v>
      </c>
    </row>
    <row r="278" spans="1:58" s="1229" customFormat="1" ht="14.25" customHeight="1">
      <c r="A278" s="1155"/>
      <c r="B278" s="783"/>
      <c r="C278" s="1155"/>
      <c r="D278" s="1155"/>
      <c r="E278" s="676">
        <v>15</v>
      </c>
      <c r="F278" s="779" t="str" cm="1">
        <f t="array" ref="F278">F277</f>
        <v>2</v>
      </c>
      <c r="G278" s="814"/>
      <c r="H278" s="814"/>
      <c r="I278" s="814"/>
      <c r="J278" s="814"/>
      <c r="K278" s="814"/>
      <c r="L278" s="814"/>
      <c r="M278" s="814"/>
      <c r="N278" s="814"/>
      <c r="O278" s="814"/>
      <c r="P278" s="814"/>
      <c r="Q278" s="784"/>
      <c r="R278" s="784"/>
      <c r="S278" s="814"/>
      <c r="T278" s="698" t="b" cm="1">
        <f t="array" ref="T278">T277</f>
        <v>1</v>
      </c>
      <c r="U278" s="1155"/>
      <c r="V278" s="1155"/>
      <c r="W278" s="1155"/>
      <c r="X278" s="1687"/>
      <c r="Y278" s="1155"/>
      <c r="Z278" s="1687"/>
      <c r="AA278" s="791"/>
      <c r="AB278" s="420" t="str">
        <f>AB268&amp;".5"</f>
        <v>4.5</v>
      </c>
      <c r="AC278" s="421" t="s">
        <v>1101</v>
      </c>
      <c r="AD278" s="420" t="s">
        <v>1077</v>
      </c>
      <c r="AE278" s="1249"/>
      <c r="AF278" s="1249"/>
      <c r="AG278" s="1249"/>
      <c r="AH278" s="1249"/>
      <c r="AI278" s="230"/>
      <c r="AJ278" s="230"/>
      <c r="AK278" s="230"/>
      <c r="AL278" s="230"/>
      <c r="AM278" s="230"/>
      <c r="AN278" s="1249"/>
      <c r="AO278" s="1249"/>
      <c r="AP278" s="1249"/>
      <c r="AQ278" s="1249"/>
      <c r="AR278" s="1249"/>
      <c r="AS278" s="230"/>
      <c r="AT278" s="230"/>
      <c r="AU278" s="230"/>
      <c r="AV278" s="230"/>
      <c r="AW278" s="230"/>
      <c r="AX278" s="1249"/>
      <c r="AY278" s="1249"/>
      <c r="AZ278" s="1249"/>
      <c r="BA278" s="1249"/>
      <c r="BB278" s="1249"/>
      <c r="BC278" s="1290"/>
      <c r="BD278" s="791"/>
      <c r="BE278" s="791"/>
      <c r="BF278" s="970" t="s">
        <v>1153</v>
      </c>
    </row>
    <row r="279" spans="1:58" s="1229" customFormat="1" ht="14.25" customHeight="1">
      <c r="A279" s="1155"/>
      <c r="B279" s="783"/>
      <c r="C279" s="1155"/>
      <c r="D279" s="1155"/>
      <c r="E279" s="676">
        <v>15</v>
      </c>
      <c r="F279" s="779" t="str" cm="1">
        <f t="array" ref="F279">F278</f>
        <v>2</v>
      </c>
      <c r="G279" s="814"/>
      <c r="H279" s="814"/>
      <c r="I279" s="814"/>
      <c r="J279" s="814"/>
      <c r="K279" s="814"/>
      <c r="L279" s="814"/>
      <c r="M279" s="814"/>
      <c r="N279" s="814"/>
      <c r="O279" s="814"/>
      <c r="P279" s="814"/>
      <c r="Q279" s="784"/>
      <c r="R279" s="784"/>
      <c r="S279" s="814"/>
      <c r="T279" s="698" t="b" cm="1">
        <f t="array" ref="T279">T278</f>
        <v>1</v>
      </c>
      <c r="U279" s="1155"/>
      <c r="V279" s="1155"/>
      <c r="W279" s="1155"/>
      <c r="X279" s="1687"/>
      <c r="Y279" s="1155"/>
      <c r="Z279" s="1687"/>
      <c r="AA279" s="791"/>
      <c r="AB279" s="420" t="str">
        <f>AB268&amp;".6"</f>
        <v>4.6</v>
      </c>
      <c r="AC279" s="421" t="s">
        <v>1104</v>
      </c>
      <c r="AD279" s="420" t="s">
        <v>1077</v>
      </c>
      <c r="AE279" s="1249"/>
      <c r="AF279" s="1249"/>
      <c r="AG279" s="1249"/>
      <c r="AH279" s="1249"/>
      <c r="AI279" s="230"/>
      <c r="AJ279" s="230"/>
      <c r="AK279" s="230"/>
      <c r="AL279" s="230"/>
      <c r="AM279" s="230"/>
      <c r="AN279" s="1249"/>
      <c r="AO279" s="1249"/>
      <c r="AP279" s="1249"/>
      <c r="AQ279" s="1249"/>
      <c r="AR279" s="1249"/>
      <c r="AS279" s="230"/>
      <c r="AT279" s="230"/>
      <c r="AU279" s="230"/>
      <c r="AV279" s="230"/>
      <c r="AW279" s="230"/>
      <c r="AX279" s="1249"/>
      <c r="AY279" s="1249"/>
      <c r="AZ279" s="1249"/>
      <c r="BA279" s="1249"/>
      <c r="BB279" s="1249"/>
      <c r="BC279" s="1290"/>
      <c r="BD279" s="791"/>
      <c r="BE279" s="791"/>
      <c r="BF279" s="970" t="s">
        <v>1154</v>
      </c>
    </row>
    <row r="280" spans="1:58" s="1229" customFormat="1" ht="14.25" customHeight="1">
      <c r="A280" s="1155"/>
      <c r="B280" s="783"/>
      <c r="C280" s="1155"/>
      <c r="D280" s="1155"/>
      <c r="E280" s="676">
        <v>15</v>
      </c>
      <c r="F280" s="779" t="str" cm="1">
        <f t="array" ref="F280">F279</f>
        <v>2</v>
      </c>
      <c r="G280" s="814"/>
      <c r="H280" s="814"/>
      <c r="I280" s="814"/>
      <c r="J280" s="814"/>
      <c r="K280" s="814"/>
      <c r="L280" s="814"/>
      <c r="M280" s="814"/>
      <c r="N280" s="814"/>
      <c r="O280" s="814"/>
      <c r="P280" s="814"/>
      <c r="Q280" s="784"/>
      <c r="R280" s="784"/>
      <c r="S280" s="814"/>
      <c r="T280" s="698" t="b" cm="1">
        <f t="array" ref="T280">T279</f>
        <v>1</v>
      </c>
      <c r="U280" s="1155"/>
      <c r="V280" s="1155"/>
      <c r="W280" s="1155"/>
      <c r="X280" s="1687"/>
      <c r="Y280" s="1155"/>
      <c r="Z280" s="1687"/>
      <c r="AA280" s="791"/>
      <c r="AB280" s="420" t="str">
        <f>AB268&amp;".7"</f>
        <v>4.7</v>
      </c>
      <c r="AC280" s="421" t="s">
        <v>1107</v>
      </c>
      <c r="AD280" s="420" t="s">
        <v>1077</v>
      </c>
      <c r="AE280" s="1249"/>
      <c r="AF280" s="1249"/>
      <c r="AG280" s="1249"/>
      <c r="AH280" s="1249"/>
      <c r="AI280" s="230"/>
      <c r="AJ280" s="230"/>
      <c r="AK280" s="230"/>
      <c r="AL280" s="230"/>
      <c r="AM280" s="230"/>
      <c r="AN280" s="1249"/>
      <c r="AO280" s="1249"/>
      <c r="AP280" s="1249"/>
      <c r="AQ280" s="1249"/>
      <c r="AR280" s="1249"/>
      <c r="AS280" s="230"/>
      <c r="AT280" s="230"/>
      <c r="AU280" s="230"/>
      <c r="AV280" s="230"/>
      <c r="AW280" s="230"/>
      <c r="AX280" s="1249"/>
      <c r="AY280" s="1249"/>
      <c r="AZ280" s="1249"/>
      <c r="BA280" s="1249"/>
      <c r="BB280" s="1249"/>
      <c r="BC280" s="1290"/>
      <c r="BD280" s="791"/>
      <c r="BE280" s="791"/>
      <c r="BF280" s="970" t="s">
        <v>1155</v>
      </c>
    </row>
    <row r="281" spans="1:58" s="1229" customFormat="1" ht="14.25" customHeight="1">
      <c r="A281" s="1155"/>
      <c r="B281" s="783"/>
      <c r="C281" s="1155"/>
      <c r="D281" s="1155"/>
      <c r="E281" s="676">
        <v>15</v>
      </c>
      <c r="F281" s="779" t="str" cm="1">
        <f t="array" ref="F281">F280</f>
        <v>2</v>
      </c>
      <c r="G281" s="814"/>
      <c r="H281" s="814"/>
      <c r="I281" s="814"/>
      <c r="J281" s="814"/>
      <c r="K281" s="814"/>
      <c r="L281" s="814"/>
      <c r="M281" s="814"/>
      <c r="N281" s="814"/>
      <c r="O281" s="814"/>
      <c r="P281" s="814"/>
      <c r="Q281" s="784"/>
      <c r="R281" s="784"/>
      <c r="S281" s="814"/>
      <c r="T281" s="698" t="b" cm="1">
        <f t="array" ref="T281">T280</f>
        <v>1</v>
      </c>
      <c r="U281" s="1155"/>
      <c r="V281" s="1155"/>
      <c r="W281" s="1155"/>
      <c r="X281" s="1687"/>
      <c r="Y281" s="1155"/>
      <c r="Z281" s="1687"/>
      <c r="AA281" s="791"/>
      <c r="AB281" s="420" t="str">
        <f>AB268&amp;".8"</f>
        <v>4.8</v>
      </c>
      <c r="AC281" s="421" t="s">
        <v>1110</v>
      </c>
      <c r="AD281" s="420" t="s">
        <v>1077</v>
      </c>
      <c r="AE281" s="1249"/>
      <c r="AF281" s="1249"/>
      <c r="AG281" s="1249"/>
      <c r="AH281" s="1249"/>
      <c r="AI281" s="230"/>
      <c r="AJ281" s="230"/>
      <c r="AK281" s="230"/>
      <c r="AL281" s="230"/>
      <c r="AM281" s="230"/>
      <c r="AN281" s="1249"/>
      <c r="AO281" s="1249"/>
      <c r="AP281" s="1249"/>
      <c r="AQ281" s="1249"/>
      <c r="AR281" s="1249"/>
      <c r="AS281" s="230"/>
      <c r="AT281" s="230"/>
      <c r="AU281" s="230"/>
      <c r="AV281" s="230"/>
      <c r="AW281" s="230"/>
      <c r="AX281" s="1249"/>
      <c r="AY281" s="1249"/>
      <c r="AZ281" s="1249"/>
      <c r="BA281" s="1249"/>
      <c r="BB281" s="1249"/>
      <c r="BC281" s="1290"/>
      <c r="BD281" s="791"/>
      <c r="BE281" s="791"/>
      <c r="BF281" s="970" t="s">
        <v>1156</v>
      </c>
    </row>
    <row r="282" spans="1:58" s="167" customFormat="1" ht="21.75" customHeight="1">
      <c r="E282" s="676">
        <v>22.8</v>
      </c>
      <c r="F282" s="779" t="str" cm="1">
        <f t="array" ref="F282">F281</f>
        <v>2</v>
      </c>
      <c r="T282" s="698" t="b" cm="1">
        <f t="array" ref="T282">T281</f>
        <v>1</v>
      </c>
      <c r="X282" s="1811"/>
      <c r="Z282" s="1811"/>
      <c r="AB282" s="227">
        <v>5</v>
      </c>
      <c r="AC282" s="228" t="s">
        <v>1157</v>
      </c>
      <c r="AD282" s="107" t="s">
        <v>839</v>
      </c>
      <c r="AE282" s="1320">
        <f t="shared" ref="AE282:BB282" si="84">SUM(AE283:AE286)+SUM(AE292:AE295)</f>
        <v>0</v>
      </c>
      <c r="AF282" s="1320">
        <f t="shared" si="84"/>
        <v>0</v>
      </c>
      <c r="AG282" s="1320">
        <f t="shared" si="84"/>
        <v>0</v>
      </c>
      <c r="AH282" s="1320">
        <f t="shared" si="84"/>
        <v>0</v>
      </c>
      <c r="AI282" s="242">
        <f t="shared" si="84"/>
        <v>0</v>
      </c>
      <c r="AJ282" s="242">
        <f t="shared" si="84"/>
        <v>0</v>
      </c>
      <c r="AK282" s="242">
        <f t="shared" si="84"/>
        <v>0</v>
      </c>
      <c r="AL282" s="242">
        <f t="shared" si="84"/>
        <v>0</v>
      </c>
      <c r="AM282" s="242">
        <f t="shared" si="84"/>
        <v>0</v>
      </c>
      <c r="AN282" s="1320">
        <f t="shared" si="84"/>
        <v>0</v>
      </c>
      <c r="AO282" s="1320">
        <f t="shared" si="84"/>
        <v>0</v>
      </c>
      <c r="AP282" s="1320">
        <f t="shared" si="84"/>
        <v>0</v>
      </c>
      <c r="AQ282" s="1320">
        <f t="shared" si="84"/>
        <v>0</v>
      </c>
      <c r="AR282" s="1320">
        <f t="shared" si="84"/>
        <v>0</v>
      </c>
      <c r="AS282" s="242">
        <f t="shared" si="84"/>
        <v>0</v>
      </c>
      <c r="AT282" s="242">
        <f t="shared" si="84"/>
        <v>0</v>
      </c>
      <c r="AU282" s="242">
        <f t="shared" si="84"/>
        <v>0</v>
      </c>
      <c r="AV282" s="242">
        <f t="shared" si="84"/>
        <v>0</v>
      </c>
      <c r="AW282" s="242">
        <f t="shared" si="84"/>
        <v>0</v>
      </c>
      <c r="AX282" s="1320">
        <f t="shared" si="84"/>
        <v>0</v>
      </c>
      <c r="AY282" s="1320">
        <f t="shared" si="84"/>
        <v>0</v>
      </c>
      <c r="AZ282" s="1320">
        <f t="shared" si="84"/>
        <v>0</v>
      </c>
      <c r="BA282" s="1320">
        <f t="shared" si="84"/>
        <v>0</v>
      </c>
      <c r="BB282" s="1320">
        <f t="shared" si="84"/>
        <v>0</v>
      </c>
      <c r="BC282" s="1290"/>
      <c r="BF282" s="970" t="s">
        <v>1158</v>
      </c>
    </row>
    <row r="283" spans="1:58" s="1229" customFormat="1" ht="14.25" customHeight="1">
      <c r="A283" s="1155"/>
      <c r="B283" s="783"/>
      <c r="C283" s="1155"/>
      <c r="D283" s="1155"/>
      <c r="E283" s="676">
        <v>15</v>
      </c>
      <c r="F283" s="779" t="str" cm="1">
        <f t="array" ref="F283">F282</f>
        <v>2</v>
      </c>
      <c r="G283" s="814"/>
      <c r="H283" s="814"/>
      <c r="I283" s="814"/>
      <c r="J283" s="814"/>
      <c r="K283" s="814"/>
      <c r="L283" s="814"/>
      <c r="M283" s="814"/>
      <c r="N283" s="814"/>
      <c r="O283" s="814"/>
      <c r="P283" s="814"/>
      <c r="Q283" s="784"/>
      <c r="R283" s="784"/>
      <c r="S283" s="814"/>
      <c r="T283" s="698" t="b" cm="1">
        <f t="array" ref="T283">T282</f>
        <v>1</v>
      </c>
      <c r="U283" s="1155"/>
      <c r="V283" s="1155"/>
      <c r="W283" s="1155"/>
      <c r="X283" s="1687"/>
      <c r="Y283" s="1155"/>
      <c r="Z283" s="1687"/>
      <c r="AA283" s="791"/>
      <c r="AB283" s="412" t="str">
        <f>AB282&amp;".1"</f>
        <v>5.1</v>
      </c>
      <c r="AC283" s="404" t="s">
        <v>1076</v>
      </c>
      <c r="AD283" s="412" t="s">
        <v>1077</v>
      </c>
      <c r="AE283" s="1324">
        <f t="shared" ref="AE283:BB283" si="85">(AE227*2+AE241+AE255-AE269)/2</f>
        <v>0</v>
      </c>
      <c r="AF283" s="1324">
        <f t="shared" si="85"/>
        <v>0</v>
      </c>
      <c r="AG283" s="1324">
        <f t="shared" si="85"/>
        <v>0</v>
      </c>
      <c r="AH283" s="1324">
        <f t="shared" si="85"/>
        <v>0</v>
      </c>
      <c r="AI283" s="415">
        <f t="shared" si="85"/>
        <v>0</v>
      </c>
      <c r="AJ283" s="415">
        <f t="shared" si="85"/>
        <v>0</v>
      </c>
      <c r="AK283" s="415">
        <f t="shared" si="85"/>
        <v>0</v>
      </c>
      <c r="AL283" s="415">
        <f t="shared" si="85"/>
        <v>0</v>
      </c>
      <c r="AM283" s="415">
        <f t="shared" si="85"/>
        <v>0</v>
      </c>
      <c r="AN283" s="1324">
        <f t="shared" si="85"/>
        <v>0</v>
      </c>
      <c r="AO283" s="1324">
        <f t="shared" si="85"/>
        <v>0</v>
      </c>
      <c r="AP283" s="1324">
        <f t="shared" si="85"/>
        <v>0</v>
      </c>
      <c r="AQ283" s="1324">
        <f t="shared" si="85"/>
        <v>0</v>
      </c>
      <c r="AR283" s="1324">
        <f t="shared" si="85"/>
        <v>0</v>
      </c>
      <c r="AS283" s="415">
        <f t="shared" si="85"/>
        <v>0</v>
      </c>
      <c r="AT283" s="415">
        <f t="shared" si="85"/>
        <v>0</v>
      </c>
      <c r="AU283" s="415">
        <f t="shared" si="85"/>
        <v>0</v>
      </c>
      <c r="AV283" s="415">
        <f t="shared" si="85"/>
        <v>0</v>
      </c>
      <c r="AW283" s="415">
        <f t="shared" si="85"/>
        <v>0</v>
      </c>
      <c r="AX283" s="1324">
        <f t="shared" si="85"/>
        <v>0</v>
      </c>
      <c r="AY283" s="1324">
        <f t="shared" si="85"/>
        <v>0</v>
      </c>
      <c r="AZ283" s="1324">
        <f t="shared" si="85"/>
        <v>0</v>
      </c>
      <c r="BA283" s="1324">
        <f t="shared" si="85"/>
        <v>0</v>
      </c>
      <c r="BB283" s="1324">
        <f t="shared" si="85"/>
        <v>0</v>
      </c>
      <c r="BC283" s="1325"/>
      <c r="BD283" s="791"/>
      <c r="BE283" s="791"/>
      <c r="BF283" s="970" t="s">
        <v>1159</v>
      </c>
    </row>
    <row r="284" spans="1:58" s="1229" customFormat="1" ht="14.25" customHeight="1">
      <c r="A284" s="1155"/>
      <c r="B284" s="783"/>
      <c r="C284" s="1155"/>
      <c r="D284" s="1155"/>
      <c r="E284" s="676">
        <v>15</v>
      </c>
      <c r="F284" s="779" t="str" cm="1">
        <f t="array" ref="F284">F283</f>
        <v>2</v>
      </c>
      <c r="G284" s="814"/>
      <c r="H284" s="814"/>
      <c r="I284" s="814"/>
      <c r="J284" s="814"/>
      <c r="K284" s="814"/>
      <c r="L284" s="814"/>
      <c r="M284" s="814"/>
      <c r="N284" s="814"/>
      <c r="O284" s="814"/>
      <c r="P284" s="814"/>
      <c r="Q284" s="784"/>
      <c r="R284" s="784"/>
      <c r="S284" s="814"/>
      <c r="T284" s="698" t="b" cm="1">
        <f t="array" ref="T284">T283</f>
        <v>1</v>
      </c>
      <c r="U284" s="1155"/>
      <c r="V284" s="1155"/>
      <c r="W284" s="1155"/>
      <c r="X284" s="1687"/>
      <c r="Y284" s="1155"/>
      <c r="Z284" s="1687"/>
      <c r="AA284" s="791"/>
      <c r="AB284" s="412" t="str">
        <f>AB282&amp;".2"</f>
        <v>5.2</v>
      </c>
      <c r="AC284" s="404" t="s">
        <v>1079</v>
      </c>
      <c r="AD284" s="412" t="s">
        <v>1077</v>
      </c>
      <c r="AE284" s="1324">
        <f t="shared" ref="AE284:BB284" si="86">(AE228*2+AE242+AE256-AE270)/2</f>
        <v>0</v>
      </c>
      <c r="AF284" s="1324">
        <f t="shared" si="86"/>
        <v>0</v>
      </c>
      <c r="AG284" s="1324">
        <f t="shared" si="86"/>
        <v>0</v>
      </c>
      <c r="AH284" s="1324">
        <f t="shared" si="86"/>
        <v>0</v>
      </c>
      <c r="AI284" s="415">
        <f t="shared" si="86"/>
        <v>0</v>
      </c>
      <c r="AJ284" s="415">
        <f t="shared" si="86"/>
        <v>0</v>
      </c>
      <c r="AK284" s="415">
        <f t="shared" si="86"/>
        <v>0</v>
      </c>
      <c r="AL284" s="415">
        <f t="shared" si="86"/>
        <v>0</v>
      </c>
      <c r="AM284" s="415">
        <f t="shared" si="86"/>
        <v>0</v>
      </c>
      <c r="AN284" s="1324">
        <f t="shared" si="86"/>
        <v>0</v>
      </c>
      <c r="AO284" s="1324">
        <f t="shared" si="86"/>
        <v>0</v>
      </c>
      <c r="AP284" s="1324">
        <f t="shared" si="86"/>
        <v>0</v>
      </c>
      <c r="AQ284" s="1324">
        <f t="shared" si="86"/>
        <v>0</v>
      </c>
      <c r="AR284" s="1324">
        <f t="shared" si="86"/>
        <v>0</v>
      </c>
      <c r="AS284" s="415">
        <f t="shared" si="86"/>
        <v>0</v>
      </c>
      <c r="AT284" s="415">
        <f t="shared" si="86"/>
        <v>0</v>
      </c>
      <c r="AU284" s="415">
        <f t="shared" si="86"/>
        <v>0</v>
      </c>
      <c r="AV284" s="415">
        <f t="shared" si="86"/>
        <v>0</v>
      </c>
      <c r="AW284" s="415">
        <f t="shared" si="86"/>
        <v>0</v>
      </c>
      <c r="AX284" s="1324">
        <f t="shared" si="86"/>
        <v>0</v>
      </c>
      <c r="AY284" s="1324">
        <f t="shared" si="86"/>
        <v>0</v>
      </c>
      <c r="AZ284" s="1324">
        <f t="shared" si="86"/>
        <v>0</v>
      </c>
      <c r="BA284" s="1324">
        <f t="shared" si="86"/>
        <v>0</v>
      </c>
      <c r="BB284" s="1324">
        <f t="shared" si="86"/>
        <v>0</v>
      </c>
      <c r="BC284" s="1325"/>
      <c r="BD284" s="791"/>
      <c r="BE284" s="791"/>
      <c r="BF284" s="970" t="s">
        <v>1160</v>
      </c>
    </row>
    <row r="285" spans="1:58" s="1229" customFormat="1" ht="14.25" customHeight="1">
      <c r="A285" s="1155"/>
      <c r="B285" s="783"/>
      <c r="C285" s="1155"/>
      <c r="D285" s="1155"/>
      <c r="E285" s="676">
        <v>15</v>
      </c>
      <c r="F285" s="779" t="str" cm="1">
        <f t="array" ref="F285">F284</f>
        <v>2</v>
      </c>
      <c r="G285" s="814"/>
      <c r="H285" s="814"/>
      <c r="I285" s="814"/>
      <c r="J285" s="814"/>
      <c r="K285" s="814"/>
      <c r="L285" s="814"/>
      <c r="M285" s="814"/>
      <c r="N285" s="814"/>
      <c r="O285" s="814"/>
      <c r="P285" s="814"/>
      <c r="Q285" s="784"/>
      <c r="R285" s="784"/>
      <c r="S285" s="814"/>
      <c r="T285" s="698" t="b" cm="1">
        <f t="array" ref="T285">T284</f>
        <v>1</v>
      </c>
      <c r="U285" s="1155"/>
      <c r="V285" s="1155"/>
      <c r="W285" s="1155"/>
      <c r="X285" s="1687"/>
      <c r="Y285" s="1155"/>
      <c r="Z285" s="1687"/>
      <c r="AA285" s="791"/>
      <c r="AB285" s="412" t="str">
        <f>AB282&amp;".3"</f>
        <v>5.3</v>
      </c>
      <c r="AC285" s="404" t="s">
        <v>1081</v>
      </c>
      <c r="AD285" s="412" t="s">
        <v>1077</v>
      </c>
      <c r="AE285" s="1324">
        <f t="shared" ref="AE285:BB285" si="87">(AE229*2+AE243+AE257-AE271)/2</f>
        <v>0</v>
      </c>
      <c r="AF285" s="1324">
        <f t="shared" si="87"/>
        <v>0</v>
      </c>
      <c r="AG285" s="1324">
        <f t="shared" si="87"/>
        <v>0</v>
      </c>
      <c r="AH285" s="1324">
        <f t="shared" si="87"/>
        <v>0</v>
      </c>
      <c r="AI285" s="415">
        <f t="shared" si="87"/>
        <v>0</v>
      </c>
      <c r="AJ285" s="415">
        <f t="shared" si="87"/>
        <v>0</v>
      </c>
      <c r="AK285" s="415">
        <f t="shared" si="87"/>
        <v>0</v>
      </c>
      <c r="AL285" s="415">
        <f t="shared" si="87"/>
        <v>0</v>
      </c>
      <c r="AM285" s="415">
        <f t="shared" si="87"/>
        <v>0</v>
      </c>
      <c r="AN285" s="1324">
        <f t="shared" si="87"/>
        <v>0</v>
      </c>
      <c r="AO285" s="1324">
        <f t="shared" si="87"/>
        <v>0</v>
      </c>
      <c r="AP285" s="1324">
        <f t="shared" si="87"/>
        <v>0</v>
      </c>
      <c r="AQ285" s="1324">
        <f t="shared" si="87"/>
        <v>0</v>
      </c>
      <c r="AR285" s="1324">
        <f t="shared" si="87"/>
        <v>0</v>
      </c>
      <c r="AS285" s="415">
        <f t="shared" si="87"/>
        <v>0</v>
      </c>
      <c r="AT285" s="415">
        <f t="shared" si="87"/>
        <v>0</v>
      </c>
      <c r="AU285" s="415">
        <f t="shared" si="87"/>
        <v>0</v>
      </c>
      <c r="AV285" s="415">
        <f t="shared" si="87"/>
        <v>0</v>
      </c>
      <c r="AW285" s="415">
        <f t="shared" si="87"/>
        <v>0</v>
      </c>
      <c r="AX285" s="1324">
        <f t="shared" si="87"/>
        <v>0</v>
      </c>
      <c r="AY285" s="1324">
        <f t="shared" si="87"/>
        <v>0</v>
      </c>
      <c r="AZ285" s="1324">
        <f t="shared" si="87"/>
        <v>0</v>
      </c>
      <c r="BA285" s="1324">
        <f t="shared" si="87"/>
        <v>0</v>
      </c>
      <c r="BB285" s="1324">
        <f t="shared" si="87"/>
        <v>0</v>
      </c>
      <c r="BC285" s="1325"/>
      <c r="BD285" s="791"/>
      <c r="BE285" s="791"/>
      <c r="BF285" s="970" t="s">
        <v>1161</v>
      </c>
    </row>
    <row r="286" spans="1:58" s="1229" customFormat="1" ht="14.25" customHeight="1">
      <c r="A286" s="1155"/>
      <c r="B286" s="783"/>
      <c r="C286" s="1155"/>
      <c r="D286" s="1155"/>
      <c r="E286" s="676">
        <v>15</v>
      </c>
      <c r="F286" s="779" t="str" cm="1">
        <f t="array" ref="F286">F285</f>
        <v>2</v>
      </c>
      <c r="G286" s="814"/>
      <c r="H286" s="814"/>
      <c r="I286" s="814"/>
      <c r="J286" s="814"/>
      <c r="K286" s="814"/>
      <c r="L286" s="814"/>
      <c r="M286" s="814"/>
      <c r="N286" s="814"/>
      <c r="O286" s="814"/>
      <c r="P286" s="814"/>
      <c r="Q286" s="784"/>
      <c r="R286" s="784"/>
      <c r="S286" s="814"/>
      <c r="T286" s="698" t="b" cm="1">
        <f t="array" ref="T286">T285</f>
        <v>1</v>
      </c>
      <c r="U286" s="1155"/>
      <c r="V286" s="1155"/>
      <c r="W286" s="1155"/>
      <c r="X286" s="1687"/>
      <c r="Y286" s="1155"/>
      <c r="Z286" s="1687"/>
      <c r="AA286" s="791"/>
      <c r="AB286" s="412" t="str">
        <f>AB282&amp;".4"</f>
        <v>5.4</v>
      </c>
      <c r="AC286" s="404" t="s">
        <v>1083</v>
      </c>
      <c r="AD286" s="412" t="s">
        <v>1077</v>
      </c>
      <c r="AE286" s="1324">
        <f t="shared" ref="AE286:BB286" si="88">SUM(AE287:AE291)</f>
        <v>0</v>
      </c>
      <c r="AF286" s="1324">
        <f t="shared" si="88"/>
        <v>0</v>
      </c>
      <c r="AG286" s="1324">
        <f t="shared" si="88"/>
        <v>0</v>
      </c>
      <c r="AH286" s="1324">
        <f t="shared" si="88"/>
        <v>0</v>
      </c>
      <c r="AI286" s="415">
        <f t="shared" si="88"/>
        <v>0</v>
      </c>
      <c r="AJ286" s="415">
        <f t="shared" si="88"/>
        <v>0</v>
      </c>
      <c r="AK286" s="415">
        <f t="shared" si="88"/>
        <v>0</v>
      </c>
      <c r="AL286" s="415">
        <f t="shared" si="88"/>
        <v>0</v>
      </c>
      <c r="AM286" s="415">
        <f t="shared" si="88"/>
        <v>0</v>
      </c>
      <c r="AN286" s="1324">
        <f t="shared" si="88"/>
        <v>0</v>
      </c>
      <c r="AO286" s="1324">
        <f t="shared" si="88"/>
        <v>0</v>
      </c>
      <c r="AP286" s="1324">
        <f t="shared" si="88"/>
        <v>0</v>
      </c>
      <c r="AQ286" s="1324">
        <f t="shared" si="88"/>
        <v>0</v>
      </c>
      <c r="AR286" s="1324">
        <f t="shared" si="88"/>
        <v>0</v>
      </c>
      <c r="AS286" s="415">
        <f t="shared" si="88"/>
        <v>0</v>
      </c>
      <c r="AT286" s="415">
        <f t="shared" si="88"/>
        <v>0</v>
      </c>
      <c r="AU286" s="415">
        <f t="shared" si="88"/>
        <v>0</v>
      </c>
      <c r="AV286" s="415">
        <f t="shared" si="88"/>
        <v>0</v>
      </c>
      <c r="AW286" s="415">
        <f t="shared" si="88"/>
        <v>0</v>
      </c>
      <c r="AX286" s="1324">
        <f t="shared" si="88"/>
        <v>0</v>
      </c>
      <c r="AY286" s="1324">
        <f t="shared" si="88"/>
        <v>0</v>
      </c>
      <c r="AZ286" s="1324">
        <f t="shared" si="88"/>
        <v>0</v>
      </c>
      <c r="BA286" s="1324">
        <f t="shared" si="88"/>
        <v>0</v>
      </c>
      <c r="BB286" s="1324">
        <f t="shared" si="88"/>
        <v>0</v>
      </c>
      <c r="BC286" s="1325"/>
      <c r="BD286" s="791"/>
      <c r="BE286" s="791"/>
      <c r="BF286" s="970" t="s">
        <v>1162</v>
      </c>
    </row>
    <row r="287" spans="1:58" s="1229" customFormat="1" ht="14.25" customHeight="1">
      <c r="A287" s="1155"/>
      <c r="B287" s="783"/>
      <c r="C287" s="1155"/>
      <c r="D287" s="1155"/>
      <c r="E287" s="676">
        <v>15</v>
      </c>
      <c r="F287" s="779" t="str" cm="1">
        <f t="array" ref="F287">F286</f>
        <v>2</v>
      </c>
      <c r="G287" s="814"/>
      <c r="H287" s="814"/>
      <c r="I287" s="814"/>
      <c r="J287" s="814"/>
      <c r="K287" s="814"/>
      <c r="L287" s="814"/>
      <c r="M287" s="814"/>
      <c r="N287" s="814"/>
      <c r="O287" s="814"/>
      <c r="P287" s="814"/>
      <c r="Q287" s="784"/>
      <c r="R287" s="784"/>
      <c r="S287" s="814"/>
      <c r="T287" s="698" t="b" cm="1">
        <f t="array" ref="T287">T286</f>
        <v>1</v>
      </c>
      <c r="U287" s="1155"/>
      <c r="V287" s="1155"/>
      <c r="W287" s="1155"/>
      <c r="X287" s="1687"/>
      <c r="Y287" s="1155"/>
      <c r="Z287" s="1687"/>
      <c r="AA287" s="791"/>
      <c r="AB287" s="412" t="str">
        <f>AB286&amp;".1"</f>
        <v>5.4.1</v>
      </c>
      <c r="AC287" s="450" t="s">
        <v>1086</v>
      </c>
      <c r="AD287" s="412" t="s">
        <v>1077</v>
      </c>
      <c r="AE287" s="1324">
        <f t="shared" ref="AE287:BB287" si="89">(AE231*2+AE245+AE259-AE273)/2</f>
        <v>0</v>
      </c>
      <c r="AF287" s="1324">
        <f t="shared" si="89"/>
        <v>0</v>
      </c>
      <c r="AG287" s="1324">
        <f t="shared" si="89"/>
        <v>0</v>
      </c>
      <c r="AH287" s="1324">
        <f t="shared" si="89"/>
        <v>0</v>
      </c>
      <c r="AI287" s="415">
        <f t="shared" si="89"/>
        <v>0</v>
      </c>
      <c r="AJ287" s="415">
        <f t="shared" si="89"/>
        <v>0</v>
      </c>
      <c r="AK287" s="415">
        <f t="shared" si="89"/>
        <v>0</v>
      </c>
      <c r="AL287" s="415">
        <f t="shared" si="89"/>
        <v>0</v>
      </c>
      <c r="AM287" s="415">
        <f t="shared" si="89"/>
        <v>0</v>
      </c>
      <c r="AN287" s="1324">
        <f t="shared" si="89"/>
        <v>0</v>
      </c>
      <c r="AO287" s="1324">
        <f t="shared" si="89"/>
        <v>0</v>
      </c>
      <c r="AP287" s="1324">
        <f t="shared" si="89"/>
        <v>0</v>
      </c>
      <c r="AQ287" s="1324">
        <f t="shared" si="89"/>
        <v>0</v>
      </c>
      <c r="AR287" s="1324">
        <f t="shared" si="89"/>
        <v>0</v>
      </c>
      <c r="AS287" s="415">
        <f t="shared" si="89"/>
        <v>0</v>
      </c>
      <c r="AT287" s="415">
        <f t="shared" si="89"/>
        <v>0</v>
      </c>
      <c r="AU287" s="415">
        <f t="shared" si="89"/>
        <v>0</v>
      </c>
      <c r="AV287" s="415">
        <f t="shared" si="89"/>
        <v>0</v>
      </c>
      <c r="AW287" s="415">
        <f t="shared" si="89"/>
        <v>0</v>
      </c>
      <c r="AX287" s="1324">
        <f t="shared" si="89"/>
        <v>0</v>
      </c>
      <c r="AY287" s="1324">
        <f t="shared" si="89"/>
        <v>0</v>
      </c>
      <c r="AZ287" s="1324">
        <f t="shared" si="89"/>
        <v>0</v>
      </c>
      <c r="BA287" s="1324">
        <f t="shared" si="89"/>
        <v>0</v>
      </c>
      <c r="BB287" s="1324">
        <f t="shared" si="89"/>
        <v>0</v>
      </c>
      <c r="BC287" s="1325"/>
      <c r="BD287" s="791"/>
      <c r="BE287" s="791"/>
      <c r="BF287" s="970" t="s">
        <v>1163</v>
      </c>
    </row>
    <row r="288" spans="1:58" s="1229" customFormat="1" ht="14.25" customHeight="1">
      <c r="A288" s="1155"/>
      <c r="B288" s="783"/>
      <c r="C288" s="1155"/>
      <c r="D288" s="1155"/>
      <c r="E288" s="676">
        <v>15</v>
      </c>
      <c r="F288" s="779" t="str" cm="1">
        <f t="array" ref="F288">F287</f>
        <v>2</v>
      </c>
      <c r="G288" s="814"/>
      <c r="H288" s="814"/>
      <c r="I288" s="814"/>
      <c r="J288" s="814"/>
      <c r="K288" s="814"/>
      <c r="L288" s="814"/>
      <c r="M288" s="814"/>
      <c r="N288" s="814"/>
      <c r="O288" s="814"/>
      <c r="P288" s="814"/>
      <c r="Q288" s="784"/>
      <c r="R288" s="784"/>
      <c r="S288" s="814"/>
      <c r="T288" s="698" t="b" cm="1">
        <f t="array" ref="T288">T287</f>
        <v>1</v>
      </c>
      <c r="U288" s="1155"/>
      <c r="V288" s="1155"/>
      <c r="W288" s="1155"/>
      <c r="X288" s="1687"/>
      <c r="Y288" s="1155"/>
      <c r="Z288" s="1687"/>
      <c r="AA288" s="791"/>
      <c r="AB288" s="412" t="str">
        <f>AB286&amp;".2"</f>
        <v>5.4.2</v>
      </c>
      <c r="AC288" s="450" t="s">
        <v>1089</v>
      </c>
      <c r="AD288" s="412" t="s">
        <v>1077</v>
      </c>
      <c r="AE288" s="1324">
        <f t="shared" ref="AE288:BB288" si="90">(AE232*2+AE246+AE260-AE274)/2</f>
        <v>0</v>
      </c>
      <c r="AF288" s="1324">
        <f t="shared" si="90"/>
        <v>0</v>
      </c>
      <c r="AG288" s="1324">
        <f t="shared" si="90"/>
        <v>0</v>
      </c>
      <c r="AH288" s="1324">
        <f t="shared" si="90"/>
        <v>0</v>
      </c>
      <c r="AI288" s="415">
        <f t="shared" si="90"/>
        <v>0</v>
      </c>
      <c r="AJ288" s="415">
        <f t="shared" si="90"/>
        <v>0</v>
      </c>
      <c r="AK288" s="415">
        <f t="shared" si="90"/>
        <v>0</v>
      </c>
      <c r="AL288" s="415">
        <f t="shared" si="90"/>
        <v>0</v>
      </c>
      <c r="AM288" s="415">
        <f t="shared" si="90"/>
        <v>0</v>
      </c>
      <c r="AN288" s="1324">
        <f t="shared" si="90"/>
        <v>0</v>
      </c>
      <c r="AO288" s="1324">
        <f t="shared" si="90"/>
        <v>0</v>
      </c>
      <c r="AP288" s="1324">
        <f t="shared" si="90"/>
        <v>0</v>
      </c>
      <c r="AQ288" s="1324">
        <f t="shared" si="90"/>
        <v>0</v>
      </c>
      <c r="AR288" s="1324">
        <f t="shared" si="90"/>
        <v>0</v>
      </c>
      <c r="AS288" s="415">
        <f t="shared" si="90"/>
        <v>0</v>
      </c>
      <c r="AT288" s="415">
        <f t="shared" si="90"/>
        <v>0</v>
      </c>
      <c r="AU288" s="415">
        <f t="shared" si="90"/>
        <v>0</v>
      </c>
      <c r="AV288" s="415">
        <f t="shared" si="90"/>
        <v>0</v>
      </c>
      <c r="AW288" s="415">
        <f t="shared" si="90"/>
        <v>0</v>
      </c>
      <c r="AX288" s="1324">
        <f t="shared" si="90"/>
        <v>0</v>
      </c>
      <c r="AY288" s="1324">
        <f t="shared" si="90"/>
        <v>0</v>
      </c>
      <c r="AZ288" s="1324">
        <f t="shared" si="90"/>
        <v>0</v>
      </c>
      <c r="BA288" s="1324">
        <f t="shared" si="90"/>
        <v>0</v>
      </c>
      <c r="BB288" s="1324">
        <f t="shared" si="90"/>
        <v>0</v>
      </c>
      <c r="BC288" s="1325"/>
      <c r="BD288" s="791"/>
      <c r="BE288" s="791"/>
      <c r="BF288" s="970" t="s">
        <v>1164</v>
      </c>
    </row>
    <row r="289" spans="1:58" s="1229" customFormat="1" ht="14.25" customHeight="1">
      <c r="A289" s="1155"/>
      <c r="B289" s="783"/>
      <c r="C289" s="1155"/>
      <c r="D289" s="1155"/>
      <c r="E289" s="676">
        <v>15</v>
      </c>
      <c r="F289" s="779" t="str" cm="1">
        <f t="array" ref="F289">F288</f>
        <v>2</v>
      </c>
      <c r="G289" s="814"/>
      <c r="H289" s="814"/>
      <c r="I289" s="814"/>
      <c r="J289" s="814"/>
      <c r="K289" s="814"/>
      <c r="L289" s="814"/>
      <c r="M289" s="814"/>
      <c r="N289" s="814"/>
      <c r="O289" s="814"/>
      <c r="P289" s="814"/>
      <c r="Q289" s="784"/>
      <c r="R289" s="784"/>
      <c r="S289" s="814"/>
      <c r="T289" s="698" t="b" cm="1">
        <f t="array" ref="T289">T288</f>
        <v>1</v>
      </c>
      <c r="U289" s="1155"/>
      <c r="V289" s="1155"/>
      <c r="W289" s="1155"/>
      <c r="X289" s="1687"/>
      <c r="Y289" s="1155"/>
      <c r="Z289" s="1687"/>
      <c r="AA289" s="791"/>
      <c r="AB289" s="412" t="str">
        <f>AB286&amp;".3"</f>
        <v>5.4.3</v>
      </c>
      <c r="AC289" s="450" t="s">
        <v>1092</v>
      </c>
      <c r="AD289" s="412" t="s">
        <v>1077</v>
      </c>
      <c r="AE289" s="1324">
        <f t="shared" ref="AE289:BB289" si="91">(AE233*2+AE247+AE261-AE275)/2</f>
        <v>0</v>
      </c>
      <c r="AF289" s="1324">
        <f t="shared" si="91"/>
        <v>0</v>
      </c>
      <c r="AG289" s="1324">
        <f t="shared" si="91"/>
        <v>0</v>
      </c>
      <c r="AH289" s="1324">
        <f t="shared" si="91"/>
        <v>0</v>
      </c>
      <c r="AI289" s="415">
        <f t="shared" si="91"/>
        <v>0</v>
      </c>
      <c r="AJ289" s="415">
        <f t="shared" si="91"/>
        <v>0</v>
      </c>
      <c r="AK289" s="415">
        <f t="shared" si="91"/>
        <v>0</v>
      </c>
      <c r="AL289" s="415">
        <f t="shared" si="91"/>
        <v>0</v>
      </c>
      <c r="AM289" s="415">
        <f t="shared" si="91"/>
        <v>0</v>
      </c>
      <c r="AN289" s="1324">
        <f t="shared" si="91"/>
        <v>0</v>
      </c>
      <c r="AO289" s="1324">
        <f t="shared" si="91"/>
        <v>0</v>
      </c>
      <c r="AP289" s="1324">
        <f t="shared" si="91"/>
        <v>0</v>
      </c>
      <c r="AQ289" s="1324">
        <f t="shared" si="91"/>
        <v>0</v>
      </c>
      <c r="AR289" s="1324">
        <f t="shared" si="91"/>
        <v>0</v>
      </c>
      <c r="AS289" s="415">
        <f t="shared" si="91"/>
        <v>0</v>
      </c>
      <c r="AT289" s="415">
        <f t="shared" si="91"/>
        <v>0</v>
      </c>
      <c r="AU289" s="415">
        <f t="shared" si="91"/>
        <v>0</v>
      </c>
      <c r="AV289" s="415">
        <f t="shared" si="91"/>
        <v>0</v>
      </c>
      <c r="AW289" s="415">
        <f t="shared" si="91"/>
        <v>0</v>
      </c>
      <c r="AX289" s="1324">
        <f t="shared" si="91"/>
        <v>0</v>
      </c>
      <c r="AY289" s="1324">
        <f t="shared" si="91"/>
        <v>0</v>
      </c>
      <c r="AZ289" s="1324">
        <f t="shared" si="91"/>
        <v>0</v>
      </c>
      <c r="BA289" s="1324">
        <f t="shared" si="91"/>
        <v>0</v>
      </c>
      <c r="BB289" s="1324">
        <f t="shared" si="91"/>
        <v>0</v>
      </c>
      <c r="BC289" s="1325"/>
      <c r="BD289" s="791"/>
      <c r="BE289" s="791"/>
      <c r="BF289" s="970" t="s">
        <v>1165</v>
      </c>
    </row>
    <row r="290" spans="1:58" s="1229" customFormat="1" ht="14.25" customHeight="1">
      <c r="A290" s="1155"/>
      <c r="B290" s="783"/>
      <c r="C290" s="1155"/>
      <c r="D290" s="1155"/>
      <c r="E290" s="676">
        <v>15</v>
      </c>
      <c r="F290" s="779" t="str" cm="1">
        <f t="array" ref="F290">F289</f>
        <v>2</v>
      </c>
      <c r="G290" s="814"/>
      <c r="H290" s="814"/>
      <c r="I290" s="814"/>
      <c r="J290" s="814"/>
      <c r="K290" s="814"/>
      <c r="L290" s="814"/>
      <c r="M290" s="814"/>
      <c r="N290" s="814"/>
      <c r="O290" s="814"/>
      <c r="P290" s="814"/>
      <c r="Q290" s="784"/>
      <c r="R290" s="784"/>
      <c r="S290" s="814"/>
      <c r="T290" s="698" t="b" cm="1">
        <f t="array" ref="T290">T289</f>
        <v>1</v>
      </c>
      <c r="U290" s="1155"/>
      <c r="V290" s="1155"/>
      <c r="W290" s="1155"/>
      <c r="X290" s="1687"/>
      <c r="Y290" s="1155"/>
      <c r="Z290" s="1687"/>
      <c r="AA290" s="791"/>
      <c r="AB290" s="412" t="str">
        <f>AB286&amp;".4"</f>
        <v>5.4.4</v>
      </c>
      <c r="AC290" s="450" t="s">
        <v>1095</v>
      </c>
      <c r="AD290" s="412" t="s">
        <v>1077</v>
      </c>
      <c r="AE290" s="1324">
        <f t="shared" ref="AE290:BB290" si="92">(AE234*2+AE248+AE262-AE276)/2</f>
        <v>0</v>
      </c>
      <c r="AF290" s="1324">
        <f t="shared" si="92"/>
        <v>0</v>
      </c>
      <c r="AG290" s="1324">
        <f t="shared" si="92"/>
        <v>0</v>
      </c>
      <c r="AH290" s="1324">
        <f t="shared" si="92"/>
        <v>0</v>
      </c>
      <c r="AI290" s="415">
        <f t="shared" si="92"/>
        <v>0</v>
      </c>
      <c r="AJ290" s="415">
        <f t="shared" si="92"/>
        <v>0</v>
      </c>
      <c r="AK290" s="415">
        <f t="shared" si="92"/>
        <v>0</v>
      </c>
      <c r="AL290" s="415">
        <f t="shared" si="92"/>
        <v>0</v>
      </c>
      <c r="AM290" s="415">
        <f t="shared" si="92"/>
        <v>0</v>
      </c>
      <c r="AN290" s="1324">
        <f t="shared" si="92"/>
        <v>0</v>
      </c>
      <c r="AO290" s="1324">
        <f t="shared" si="92"/>
        <v>0</v>
      </c>
      <c r="AP290" s="1324">
        <f t="shared" si="92"/>
        <v>0</v>
      </c>
      <c r="AQ290" s="1324">
        <f t="shared" si="92"/>
        <v>0</v>
      </c>
      <c r="AR290" s="1324">
        <f t="shared" si="92"/>
        <v>0</v>
      </c>
      <c r="AS290" s="415">
        <f t="shared" si="92"/>
        <v>0</v>
      </c>
      <c r="AT290" s="415">
        <f t="shared" si="92"/>
        <v>0</v>
      </c>
      <c r="AU290" s="415">
        <f t="shared" si="92"/>
        <v>0</v>
      </c>
      <c r="AV290" s="415">
        <f t="shared" si="92"/>
        <v>0</v>
      </c>
      <c r="AW290" s="415">
        <f t="shared" si="92"/>
        <v>0</v>
      </c>
      <c r="AX290" s="1324">
        <f t="shared" si="92"/>
        <v>0</v>
      </c>
      <c r="AY290" s="1324">
        <f t="shared" si="92"/>
        <v>0</v>
      </c>
      <c r="AZ290" s="1324">
        <f t="shared" si="92"/>
        <v>0</v>
      </c>
      <c r="BA290" s="1324">
        <f t="shared" si="92"/>
        <v>0</v>
      </c>
      <c r="BB290" s="1324">
        <f t="shared" si="92"/>
        <v>0</v>
      </c>
      <c r="BC290" s="1325"/>
      <c r="BD290" s="791"/>
      <c r="BE290" s="791"/>
      <c r="BF290" s="970" t="s">
        <v>1166</v>
      </c>
    </row>
    <row r="291" spans="1:58" s="1229" customFormat="1" ht="14.25" customHeight="1">
      <c r="A291" s="1155"/>
      <c r="B291" s="783"/>
      <c r="C291" s="1155"/>
      <c r="D291" s="1155"/>
      <c r="E291" s="676">
        <v>15</v>
      </c>
      <c r="F291" s="779" t="str" cm="1">
        <f t="array" ref="F291">F290</f>
        <v>2</v>
      </c>
      <c r="G291" s="814"/>
      <c r="H291" s="814"/>
      <c r="I291" s="814"/>
      <c r="J291" s="814"/>
      <c r="K291" s="814"/>
      <c r="L291" s="814"/>
      <c r="M291" s="814"/>
      <c r="N291" s="814"/>
      <c r="O291" s="814"/>
      <c r="P291" s="814"/>
      <c r="Q291" s="784"/>
      <c r="R291" s="784"/>
      <c r="S291" s="814"/>
      <c r="T291" s="698" t="b" cm="1">
        <f t="array" ref="T291">T290</f>
        <v>1</v>
      </c>
      <c r="U291" s="1155"/>
      <c r="V291" s="1155"/>
      <c r="W291" s="1155"/>
      <c r="X291" s="1687"/>
      <c r="Y291" s="1155"/>
      <c r="Z291" s="1687"/>
      <c r="AA291" s="791"/>
      <c r="AB291" s="412" t="str">
        <f>AB286&amp;".5"</f>
        <v>5.4.5</v>
      </c>
      <c r="AC291" s="450" t="s">
        <v>1098</v>
      </c>
      <c r="AD291" s="412" t="s">
        <v>1077</v>
      </c>
      <c r="AE291" s="1324">
        <f t="shared" ref="AE291:BB291" si="93">(AE235*2+AE249+AE263-AE277)/2</f>
        <v>0</v>
      </c>
      <c r="AF291" s="1324">
        <f t="shared" si="93"/>
        <v>0</v>
      </c>
      <c r="AG291" s="1324">
        <f t="shared" si="93"/>
        <v>0</v>
      </c>
      <c r="AH291" s="1324">
        <f t="shared" si="93"/>
        <v>0</v>
      </c>
      <c r="AI291" s="415">
        <f t="shared" si="93"/>
        <v>0</v>
      </c>
      <c r="AJ291" s="415">
        <f t="shared" si="93"/>
        <v>0</v>
      </c>
      <c r="AK291" s="415">
        <f t="shared" si="93"/>
        <v>0</v>
      </c>
      <c r="AL291" s="415">
        <f t="shared" si="93"/>
        <v>0</v>
      </c>
      <c r="AM291" s="415">
        <f t="shared" si="93"/>
        <v>0</v>
      </c>
      <c r="AN291" s="1324">
        <f t="shared" si="93"/>
        <v>0</v>
      </c>
      <c r="AO291" s="1324">
        <f t="shared" si="93"/>
        <v>0</v>
      </c>
      <c r="AP291" s="1324">
        <f t="shared" si="93"/>
        <v>0</v>
      </c>
      <c r="AQ291" s="1324">
        <f t="shared" si="93"/>
        <v>0</v>
      </c>
      <c r="AR291" s="1324">
        <f t="shared" si="93"/>
        <v>0</v>
      </c>
      <c r="AS291" s="415">
        <f t="shared" si="93"/>
        <v>0</v>
      </c>
      <c r="AT291" s="415">
        <f t="shared" si="93"/>
        <v>0</v>
      </c>
      <c r="AU291" s="415">
        <f t="shared" si="93"/>
        <v>0</v>
      </c>
      <c r="AV291" s="415">
        <f t="shared" si="93"/>
        <v>0</v>
      </c>
      <c r="AW291" s="415">
        <f t="shared" si="93"/>
        <v>0</v>
      </c>
      <c r="AX291" s="1324">
        <f t="shared" si="93"/>
        <v>0</v>
      </c>
      <c r="AY291" s="1324">
        <f t="shared" si="93"/>
        <v>0</v>
      </c>
      <c r="AZ291" s="1324">
        <f t="shared" si="93"/>
        <v>0</v>
      </c>
      <c r="BA291" s="1324">
        <f t="shared" si="93"/>
        <v>0</v>
      </c>
      <c r="BB291" s="1324">
        <f t="shared" si="93"/>
        <v>0</v>
      </c>
      <c r="BC291" s="1325"/>
      <c r="BD291" s="791"/>
      <c r="BE291" s="791"/>
      <c r="BF291" s="970" t="s">
        <v>1167</v>
      </c>
    </row>
    <row r="292" spans="1:58" s="1229" customFormat="1" ht="14.25" customHeight="1">
      <c r="A292" s="1155"/>
      <c r="B292" s="783"/>
      <c r="C292" s="1155"/>
      <c r="D292" s="1155"/>
      <c r="E292" s="676">
        <v>15</v>
      </c>
      <c r="F292" s="779" t="str" cm="1">
        <f t="array" ref="F292">F291</f>
        <v>2</v>
      </c>
      <c r="G292" s="814"/>
      <c r="H292" s="814"/>
      <c r="I292" s="814"/>
      <c r="J292" s="814"/>
      <c r="K292" s="814"/>
      <c r="L292" s="814"/>
      <c r="M292" s="814"/>
      <c r="N292" s="814"/>
      <c r="O292" s="814"/>
      <c r="P292" s="814"/>
      <c r="Q292" s="784"/>
      <c r="R292" s="784"/>
      <c r="S292" s="814"/>
      <c r="T292" s="698" t="b" cm="1">
        <f t="array" ref="T292">T291</f>
        <v>1</v>
      </c>
      <c r="U292" s="1155"/>
      <c r="V292" s="1155"/>
      <c r="W292" s="1155"/>
      <c r="X292" s="1687"/>
      <c r="Y292" s="1155"/>
      <c r="Z292" s="1687"/>
      <c r="AA292" s="791"/>
      <c r="AB292" s="412" t="str">
        <f>AB282&amp;".5"</f>
        <v>5.5</v>
      </c>
      <c r="AC292" s="404" t="s">
        <v>1101</v>
      </c>
      <c r="AD292" s="412" t="s">
        <v>1077</v>
      </c>
      <c r="AE292" s="1324">
        <f t="shared" ref="AE292:BB292" si="94">(AE236*2+AE250+AE264-AE278)/2</f>
        <v>0</v>
      </c>
      <c r="AF292" s="1324">
        <f t="shared" si="94"/>
        <v>0</v>
      </c>
      <c r="AG292" s="1324">
        <f t="shared" si="94"/>
        <v>0</v>
      </c>
      <c r="AH292" s="1324">
        <f t="shared" si="94"/>
        <v>0</v>
      </c>
      <c r="AI292" s="415">
        <f t="shared" si="94"/>
        <v>0</v>
      </c>
      <c r="AJ292" s="415">
        <f t="shared" si="94"/>
        <v>0</v>
      </c>
      <c r="AK292" s="415">
        <f t="shared" si="94"/>
        <v>0</v>
      </c>
      <c r="AL292" s="415">
        <f t="shared" si="94"/>
        <v>0</v>
      </c>
      <c r="AM292" s="415">
        <f t="shared" si="94"/>
        <v>0</v>
      </c>
      <c r="AN292" s="1324">
        <f t="shared" si="94"/>
        <v>0</v>
      </c>
      <c r="AO292" s="1324">
        <f t="shared" si="94"/>
        <v>0</v>
      </c>
      <c r="AP292" s="1324">
        <f t="shared" si="94"/>
        <v>0</v>
      </c>
      <c r="AQ292" s="1324">
        <f t="shared" si="94"/>
        <v>0</v>
      </c>
      <c r="AR292" s="1324">
        <f t="shared" si="94"/>
        <v>0</v>
      </c>
      <c r="AS292" s="415">
        <f t="shared" si="94"/>
        <v>0</v>
      </c>
      <c r="AT292" s="415">
        <f t="shared" si="94"/>
        <v>0</v>
      </c>
      <c r="AU292" s="415">
        <f t="shared" si="94"/>
        <v>0</v>
      </c>
      <c r="AV292" s="415">
        <f t="shared" si="94"/>
        <v>0</v>
      </c>
      <c r="AW292" s="415">
        <f t="shared" si="94"/>
        <v>0</v>
      </c>
      <c r="AX292" s="1324">
        <f t="shared" si="94"/>
        <v>0</v>
      </c>
      <c r="AY292" s="1324">
        <f t="shared" si="94"/>
        <v>0</v>
      </c>
      <c r="AZ292" s="1324">
        <f t="shared" si="94"/>
        <v>0</v>
      </c>
      <c r="BA292" s="1324">
        <f t="shared" si="94"/>
        <v>0</v>
      </c>
      <c r="BB292" s="1324">
        <f t="shared" si="94"/>
        <v>0</v>
      </c>
      <c r="BC292" s="1325"/>
      <c r="BD292" s="791"/>
      <c r="BE292" s="791"/>
      <c r="BF292" s="970" t="s">
        <v>1168</v>
      </c>
    </row>
    <row r="293" spans="1:58" s="1229" customFormat="1" ht="14.25" customHeight="1">
      <c r="A293" s="1155"/>
      <c r="B293" s="783"/>
      <c r="C293" s="1155"/>
      <c r="D293" s="1155"/>
      <c r="E293" s="676">
        <v>15</v>
      </c>
      <c r="F293" s="779" t="str" cm="1">
        <f t="array" ref="F293">F292</f>
        <v>2</v>
      </c>
      <c r="G293" s="814"/>
      <c r="H293" s="814"/>
      <c r="I293" s="814"/>
      <c r="J293" s="814"/>
      <c r="K293" s="814"/>
      <c r="L293" s="814"/>
      <c r="M293" s="814"/>
      <c r="N293" s="814"/>
      <c r="O293" s="814"/>
      <c r="P293" s="814"/>
      <c r="Q293" s="784"/>
      <c r="R293" s="784"/>
      <c r="S293" s="814"/>
      <c r="T293" s="698" t="b" cm="1">
        <f t="array" ref="T293">T292</f>
        <v>1</v>
      </c>
      <c r="U293" s="1155"/>
      <c r="V293" s="1155"/>
      <c r="W293" s="1155"/>
      <c r="X293" s="1687"/>
      <c r="Y293" s="1155"/>
      <c r="Z293" s="1687"/>
      <c r="AA293" s="791"/>
      <c r="AB293" s="412" t="str">
        <f>AB282&amp;".6"</f>
        <v>5.6</v>
      </c>
      <c r="AC293" s="404" t="s">
        <v>1104</v>
      </c>
      <c r="AD293" s="412" t="s">
        <v>1077</v>
      </c>
      <c r="AE293" s="1324">
        <f t="shared" ref="AE293:BB293" si="95">(AE237*2+AE251+AE265-AE279)/2</f>
        <v>0</v>
      </c>
      <c r="AF293" s="1324">
        <f t="shared" si="95"/>
        <v>0</v>
      </c>
      <c r="AG293" s="1324">
        <f t="shared" si="95"/>
        <v>0</v>
      </c>
      <c r="AH293" s="1324">
        <f t="shared" si="95"/>
        <v>0</v>
      </c>
      <c r="AI293" s="415">
        <f t="shared" si="95"/>
        <v>0</v>
      </c>
      <c r="AJ293" s="415">
        <f t="shared" si="95"/>
        <v>0</v>
      </c>
      <c r="AK293" s="415">
        <f t="shared" si="95"/>
        <v>0</v>
      </c>
      <c r="AL293" s="415">
        <f t="shared" si="95"/>
        <v>0</v>
      </c>
      <c r="AM293" s="415">
        <f t="shared" si="95"/>
        <v>0</v>
      </c>
      <c r="AN293" s="1324">
        <f t="shared" si="95"/>
        <v>0</v>
      </c>
      <c r="AO293" s="1324">
        <f t="shared" si="95"/>
        <v>0</v>
      </c>
      <c r="AP293" s="1324">
        <f t="shared" si="95"/>
        <v>0</v>
      </c>
      <c r="AQ293" s="1324">
        <f t="shared" si="95"/>
        <v>0</v>
      </c>
      <c r="AR293" s="1324">
        <f t="shared" si="95"/>
        <v>0</v>
      </c>
      <c r="AS293" s="415">
        <f t="shared" si="95"/>
        <v>0</v>
      </c>
      <c r="AT293" s="415">
        <f t="shared" si="95"/>
        <v>0</v>
      </c>
      <c r="AU293" s="415">
        <f t="shared" si="95"/>
        <v>0</v>
      </c>
      <c r="AV293" s="415">
        <f t="shared" si="95"/>
        <v>0</v>
      </c>
      <c r="AW293" s="415">
        <f t="shared" si="95"/>
        <v>0</v>
      </c>
      <c r="AX293" s="1324">
        <f t="shared" si="95"/>
        <v>0</v>
      </c>
      <c r="AY293" s="1324">
        <f t="shared" si="95"/>
        <v>0</v>
      </c>
      <c r="AZ293" s="1324">
        <f t="shared" si="95"/>
        <v>0</v>
      </c>
      <c r="BA293" s="1324">
        <f t="shared" si="95"/>
        <v>0</v>
      </c>
      <c r="BB293" s="1324">
        <f t="shared" si="95"/>
        <v>0</v>
      </c>
      <c r="BC293" s="1325"/>
      <c r="BD293" s="791"/>
      <c r="BE293" s="791"/>
      <c r="BF293" s="970" t="s">
        <v>1169</v>
      </c>
    </row>
    <row r="294" spans="1:58" s="1229" customFormat="1" ht="14.25" customHeight="1">
      <c r="A294" s="1155"/>
      <c r="B294" s="783"/>
      <c r="C294" s="1155"/>
      <c r="D294" s="1155"/>
      <c r="E294" s="676">
        <v>15</v>
      </c>
      <c r="F294" s="779" t="str" cm="1">
        <f t="array" ref="F294">F293</f>
        <v>2</v>
      </c>
      <c r="G294" s="814"/>
      <c r="H294" s="814"/>
      <c r="I294" s="814"/>
      <c r="J294" s="814"/>
      <c r="K294" s="814"/>
      <c r="L294" s="814"/>
      <c r="M294" s="814"/>
      <c r="N294" s="814"/>
      <c r="O294" s="814"/>
      <c r="P294" s="814"/>
      <c r="Q294" s="784"/>
      <c r="R294" s="784"/>
      <c r="S294" s="814"/>
      <c r="T294" s="698" t="b" cm="1">
        <f t="array" ref="T294">T293</f>
        <v>1</v>
      </c>
      <c r="U294" s="1155"/>
      <c r="V294" s="1155"/>
      <c r="W294" s="1155"/>
      <c r="X294" s="1687"/>
      <c r="Y294" s="1155"/>
      <c r="Z294" s="1687"/>
      <c r="AA294" s="791"/>
      <c r="AB294" s="412" t="str">
        <f>AB282&amp;".7"</f>
        <v>5.7</v>
      </c>
      <c r="AC294" s="404" t="s">
        <v>1107</v>
      </c>
      <c r="AD294" s="412" t="s">
        <v>1077</v>
      </c>
      <c r="AE294" s="1324">
        <f t="shared" ref="AE294:BB294" si="96">(AE238*2+AE252+AE266-AE280)/2</f>
        <v>0</v>
      </c>
      <c r="AF294" s="1324">
        <f t="shared" si="96"/>
        <v>0</v>
      </c>
      <c r="AG294" s="1324">
        <f t="shared" si="96"/>
        <v>0</v>
      </c>
      <c r="AH294" s="1324">
        <f t="shared" si="96"/>
        <v>0</v>
      </c>
      <c r="AI294" s="415">
        <f t="shared" si="96"/>
        <v>0</v>
      </c>
      <c r="AJ294" s="415">
        <f t="shared" si="96"/>
        <v>0</v>
      </c>
      <c r="AK294" s="415">
        <f t="shared" si="96"/>
        <v>0</v>
      </c>
      <c r="AL294" s="415">
        <f t="shared" si="96"/>
        <v>0</v>
      </c>
      <c r="AM294" s="415">
        <f t="shared" si="96"/>
        <v>0</v>
      </c>
      <c r="AN294" s="1324">
        <f t="shared" si="96"/>
        <v>0</v>
      </c>
      <c r="AO294" s="1324">
        <f t="shared" si="96"/>
        <v>0</v>
      </c>
      <c r="AP294" s="1324">
        <f t="shared" si="96"/>
        <v>0</v>
      </c>
      <c r="AQ294" s="1324">
        <f t="shared" si="96"/>
        <v>0</v>
      </c>
      <c r="AR294" s="1324">
        <f t="shared" si="96"/>
        <v>0</v>
      </c>
      <c r="AS294" s="415">
        <f t="shared" si="96"/>
        <v>0</v>
      </c>
      <c r="AT294" s="415">
        <f t="shared" si="96"/>
        <v>0</v>
      </c>
      <c r="AU294" s="415">
        <f t="shared" si="96"/>
        <v>0</v>
      </c>
      <c r="AV294" s="415">
        <f t="shared" si="96"/>
        <v>0</v>
      </c>
      <c r="AW294" s="415">
        <f t="shared" si="96"/>
        <v>0</v>
      </c>
      <c r="AX294" s="1324">
        <f t="shared" si="96"/>
        <v>0</v>
      </c>
      <c r="AY294" s="1324">
        <f t="shared" si="96"/>
        <v>0</v>
      </c>
      <c r="AZ294" s="1324">
        <f t="shared" si="96"/>
        <v>0</v>
      </c>
      <c r="BA294" s="1324">
        <f t="shared" si="96"/>
        <v>0</v>
      </c>
      <c r="BB294" s="1324">
        <f t="shared" si="96"/>
        <v>0</v>
      </c>
      <c r="BC294" s="1325"/>
      <c r="BD294" s="791"/>
      <c r="BE294" s="791"/>
      <c r="BF294" s="970" t="s">
        <v>1170</v>
      </c>
    </row>
    <row r="295" spans="1:58" s="1229" customFormat="1" ht="14.25" customHeight="1">
      <c r="A295" s="1155"/>
      <c r="B295" s="783"/>
      <c r="C295" s="1155"/>
      <c r="D295" s="1155"/>
      <c r="E295" s="676">
        <v>15</v>
      </c>
      <c r="F295" s="779" t="str" cm="1">
        <f t="array" ref="F295">F294</f>
        <v>2</v>
      </c>
      <c r="G295" s="814"/>
      <c r="H295" s="814"/>
      <c r="I295" s="814"/>
      <c r="J295" s="814"/>
      <c r="K295" s="814"/>
      <c r="L295" s="814"/>
      <c r="M295" s="814"/>
      <c r="N295" s="814"/>
      <c r="O295" s="814"/>
      <c r="P295" s="814"/>
      <c r="Q295" s="784"/>
      <c r="R295" s="784"/>
      <c r="S295" s="814"/>
      <c r="T295" s="698" t="b" cm="1">
        <f t="array" ref="T295">T294</f>
        <v>1</v>
      </c>
      <c r="U295" s="1155"/>
      <c r="V295" s="1155"/>
      <c r="W295" s="1155"/>
      <c r="X295" s="1687"/>
      <c r="Y295" s="1155"/>
      <c r="Z295" s="1687"/>
      <c r="AA295" s="791"/>
      <c r="AB295" s="412" t="str">
        <f>AB282&amp;".8"</f>
        <v>5.8</v>
      </c>
      <c r="AC295" s="404" t="s">
        <v>1110</v>
      </c>
      <c r="AD295" s="412" t="s">
        <v>1077</v>
      </c>
      <c r="AE295" s="1324">
        <f t="shared" ref="AE295:BB295" si="97">(AE239*2+AE253+AE267-AE281)/2</f>
        <v>0</v>
      </c>
      <c r="AF295" s="1324">
        <f t="shared" si="97"/>
        <v>0</v>
      </c>
      <c r="AG295" s="1324">
        <f t="shared" si="97"/>
        <v>0</v>
      </c>
      <c r="AH295" s="1324">
        <f t="shared" si="97"/>
        <v>0</v>
      </c>
      <c r="AI295" s="415">
        <f t="shared" si="97"/>
        <v>0</v>
      </c>
      <c r="AJ295" s="415">
        <f t="shared" si="97"/>
        <v>0</v>
      </c>
      <c r="AK295" s="415">
        <f t="shared" si="97"/>
        <v>0</v>
      </c>
      <c r="AL295" s="415">
        <f t="shared" si="97"/>
        <v>0</v>
      </c>
      <c r="AM295" s="415">
        <f t="shared" si="97"/>
        <v>0</v>
      </c>
      <c r="AN295" s="1324">
        <f t="shared" si="97"/>
        <v>0</v>
      </c>
      <c r="AO295" s="1324">
        <f t="shared" si="97"/>
        <v>0</v>
      </c>
      <c r="AP295" s="1324">
        <f t="shared" si="97"/>
        <v>0</v>
      </c>
      <c r="AQ295" s="1324">
        <f t="shared" si="97"/>
        <v>0</v>
      </c>
      <c r="AR295" s="1324">
        <f t="shared" si="97"/>
        <v>0</v>
      </c>
      <c r="AS295" s="415">
        <f t="shared" si="97"/>
        <v>0</v>
      </c>
      <c r="AT295" s="415">
        <f t="shared" si="97"/>
        <v>0</v>
      </c>
      <c r="AU295" s="415">
        <f t="shared" si="97"/>
        <v>0</v>
      </c>
      <c r="AV295" s="415">
        <f t="shared" si="97"/>
        <v>0</v>
      </c>
      <c r="AW295" s="415">
        <f t="shared" si="97"/>
        <v>0</v>
      </c>
      <c r="AX295" s="1324">
        <f t="shared" si="97"/>
        <v>0</v>
      </c>
      <c r="AY295" s="1324">
        <f t="shared" si="97"/>
        <v>0</v>
      </c>
      <c r="AZ295" s="1324">
        <f t="shared" si="97"/>
        <v>0</v>
      </c>
      <c r="BA295" s="1324">
        <f t="shared" si="97"/>
        <v>0</v>
      </c>
      <c r="BB295" s="1324">
        <f t="shared" si="97"/>
        <v>0</v>
      </c>
      <c r="BC295" s="1325"/>
      <c r="BD295" s="791"/>
      <c r="BE295" s="791"/>
      <c r="BF295" s="970" t="s">
        <v>1171</v>
      </c>
    </row>
    <row r="296" spans="1:58" s="167" customFormat="1" ht="21.75" customHeight="1">
      <c r="E296" s="676">
        <v>22.8</v>
      </c>
      <c r="F296" s="779" t="str" cm="1">
        <f t="array" ref="F296">F295</f>
        <v>2</v>
      </c>
      <c r="T296" s="698" t="b" cm="1">
        <f t="array" ref="T296">T295</f>
        <v>1</v>
      </c>
      <c r="X296" s="1811"/>
      <c r="Z296" s="1811"/>
      <c r="AB296" s="227">
        <v>6</v>
      </c>
      <c r="AC296" s="228" t="s">
        <v>1172</v>
      </c>
      <c r="AD296" s="420" t="s">
        <v>533</v>
      </c>
      <c r="AE296" s="1320"/>
      <c r="AF296" s="1320"/>
      <c r="AG296" s="1320"/>
      <c r="AH296" s="1320"/>
      <c r="AI296" s="242"/>
      <c r="AJ296" s="242"/>
      <c r="AK296" s="242"/>
      <c r="AL296" s="242"/>
      <c r="AM296" s="242"/>
      <c r="AN296" s="1320"/>
      <c r="AO296" s="1320"/>
      <c r="AP296" s="1320"/>
      <c r="AQ296" s="1320"/>
      <c r="AR296" s="1320"/>
      <c r="AS296" s="242"/>
      <c r="AT296" s="242"/>
      <c r="AU296" s="242"/>
      <c r="AV296" s="242"/>
      <c r="AW296" s="242"/>
      <c r="AX296" s="1320"/>
      <c r="AY296" s="1320"/>
      <c r="AZ296" s="1320"/>
      <c r="BA296" s="1320"/>
      <c r="BB296" s="1320"/>
      <c r="BC296" s="1290"/>
      <c r="BF296" s="970" t="s">
        <v>1173</v>
      </c>
    </row>
    <row r="297" spans="1:58" s="1229" customFormat="1" ht="14.25" customHeight="1">
      <c r="A297" s="1155"/>
      <c r="B297" s="783"/>
      <c r="C297" s="1155"/>
      <c r="D297" s="1155"/>
      <c r="E297" s="676">
        <v>15</v>
      </c>
      <c r="F297" s="779" t="str" cm="1">
        <f t="array" ref="F297">F296</f>
        <v>2</v>
      </c>
      <c r="G297" s="814"/>
      <c r="H297" s="814"/>
      <c r="I297" s="814"/>
      <c r="J297" s="814"/>
      <c r="K297" s="814"/>
      <c r="L297" s="814"/>
      <c r="M297" s="814"/>
      <c r="N297" s="814"/>
      <c r="O297" s="814"/>
      <c r="P297" s="814"/>
      <c r="Q297" s="784"/>
      <c r="R297" s="784"/>
      <c r="S297" s="814"/>
      <c r="T297" s="698" t="b" cm="1">
        <f t="array" ref="T297">T296</f>
        <v>1</v>
      </c>
      <c r="U297" s="1155"/>
      <c r="V297" s="1155"/>
      <c r="W297" s="1155"/>
      <c r="X297" s="1687"/>
      <c r="Y297" s="1155"/>
      <c r="Z297" s="1687"/>
      <c r="AA297" s="791"/>
      <c r="AB297" s="420" t="str">
        <f>AB296&amp;".1"</f>
        <v>6.1</v>
      </c>
      <c r="AC297" s="421" t="s">
        <v>1076</v>
      </c>
      <c r="AD297" s="420" t="s">
        <v>533</v>
      </c>
      <c r="AE297" s="1249">
        <f t="shared" ref="AE297:BB297" si="98">IF(AE283=0,0,AE311/AE283*100)</f>
        <v>0</v>
      </c>
      <c r="AF297" s="1249">
        <f t="shared" si="98"/>
        <v>0</v>
      </c>
      <c r="AG297" s="1249">
        <f t="shared" si="98"/>
        <v>0</v>
      </c>
      <c r="AH297" s="1249">
        <f t="shared" si="98"/>
        <v>0</v>
      </c>
      <c r="AI297" s="230">
        <f t="shared" si="98"/>
        <v>0</v>
      </c>
      <c r="AJ297" s="230">
        <f t="shared" si="98"/>
        <v>0</v>
      </c>
      <c r="AK297" s="230">
        <f t="shared" si="98"/>
        <v>0</v>
      </c>
      <c r="AL297" s="230">
        <f t="shared" si="98"/>
        <v>0</v>
      </c>
      <c r="AM297" s="230">
        <f t="shared" si="98"/>
        <v>0</v>
      </c>
      <c r="AN297" s="1249">
        <f t="shared" si="98"/>
        <v>0</v>
      </c>
      <c r="AO297" s="1249">
        <f t="shared" si="98"/>
        <v>0</v>
      </c>
      <c r="AP297" s="1249">
        <f t="shared" si="98"/>
        <v>0</v>
      </c>
      <c r="AQ297" s="1249">
        <f t="shared" si="98"/>
        <v>0</v>
      </c>
      <c r="AR297" s="1249">
        <f t="shared" si="98"/>
        <v>0</v>
      </c>
      <c r="AS297" s="230">
        <f t="shared" si="98"/>
        <v>0</v>
      </c>
      <c r="AT297" s="230">
        <f t="shared" si="98"/>
        <v>0</v>
      </c>
      <c r="AU297" s="230">
        <f t="shared" si="98"/>
        <v>0</v>
      </c>
      <c r="AV297" s="230">
        <f t="shared" si="98"/>
        <v>0</v>
      </c>
      <c r="AW297" s="230">
        <f t="shared" si="98"/>
        <v>0</v>
      </c>
      <c r="AX297" s="1249">
        <f t="shared" si="98"/>
        <v>0</v>
      </c>
      <c r="AY297" s="1249">
        <f t="shared" si="98"/>
        <v>0</v>
      </c>
      <c r="AZ297" s="1249">
        <f t="shared" si="98"/>
        <v>0</v>
      </c>
      <c r="BA297" s="1249">
        <f t="shared" si="98"/>
        <v>0</v>
      </c>
      <c r="BB297" s="1249">
        <f t="shared" si="98"/>
        <v>0</v>
      </c>
      <c r="BC297" s="1290"/>
      <c r="BD297" s="791"/>
      <c r="BE297" s="791"/>
      <c r="BF297" s="970" t="s">
        <v>1174</v>
      </c>
    </row>
    <row r="298" spans="1:58" s="1229" customFormat="1" ht="14.25" customHeight="1">
      <c r="A298" s="1155"/>
      <c r="B298" s="783"/>
      <c r="C298" s="1155"/>
      <c r="D298" s="1155"/>
      <c r="E298" s="676">
        <v>15</v>
      </c>
      <c r="F298" s="779" t="str" cm="1">
        <f t="array" ref="F298">F297</f>
        <v>2</v>
      </c>
      <c r="G298" s="814"/>
      <c r="H298" s="814"/>
      <c r="I298" s="814"/>
      <c r="J298" s="814"/>
      <c r="K298" s="814"/>
      <c r="L298" s="814"/>
      <c r="M298" s="814"/>
      <c r="N298" s="814"/>
      <c r="O298" s="814"/>
      <c r="P298" s="814"/>
      <c r="Q298" s="784"/>
      <c r="R298" s="784"/>
      <c r="S298" s="814"/>
      <c r="T298" s="698" t="b" cm="1">
        <f t="array" ref="T298">T297</f>
        <v>1</v>
      </c>
      <c r="U298" s="1155"/>
      <c r="V298" s="1155"/>
      <c r="W298" s="1155"/>
      <c r="X298" s="1687"/>
      <c r="Y298" s="1155"/>
      <c r="Z298" s="1687"/>
      <c r="AA298" s="791"/>
      <c r="AB298" s="420" t="str">
        <f>AB296&amp;".2"</f>
        <v>6.2</v>
      </c>
      <c r="AC298" s="421" t="s">
        <v>1079</v>
      </c>
      <c r="AD298" s="420" t="s">
        <v>533</v>
      </c>
      <c r="AE298" s="1249">
        <f t="shared" ref="AE298:BB298" si="99">IF(AE284=0,0,AE312/AE284*100)</f>
        <v>0</v>
      </c>
      <c r="AF298" s="1249">
        <f t="shared" si="99"/>
        <v>0</v>
      </c>
      <c r="AG298" s="1249">
        <f t="shared" si="99"/>
        <v>0</v>
      </c>
      <c r="AH298" s="1249">
        <f t="shared" si="99"/>
        <v>0</v>
      </c>
      <c r="AI298" s="230">
        <f t="shared" si="99"/>
        <v>0</v>
      </c>
      <c r="AJ298" s="230">
        <f t="shared" si="99"/>
        <v>0</v>
      </c>
      <c r="AK298" s="230">
        <f t="shared" si="99"/>
        <v>0</v>
      </c>
      <c r="AL298" s="230">
        <f t="shared" si="99"/>
        <v>0</v>
      </c>
      <c r="AM298" s="230">
        <f t="shared" si="99"/>
        <v>0</v>
      </c>
      <c r="AN298" s="1249">
        <f t="shared" si="99"/>
        <v>0</v>
      </c>
      <c r="AO298" s="1249">
        <f t="shared" si="99"/>
        <v>0</v>
      </c>
      <c r="AP298" s="1249">
        <f t="shared" si="99"/>
        <v>0</v>
      </c>
      <c r="AQ298" s="1249">
        <f t="shared" si="99"/>
        <v>0</v>
      </c>
      <c r="AR298" s="1249">
        <f t="shared" si="99"/>
        <v>0</v>
      </c>
      <c r="AS298" s="230">
        <f t="shared" si="99"/>
        <v>0</v>
      </c>
      <c r="AT298" s="230">
        <f t="shared" si="99"/>
        <v>0</v>
      </c>
      <c r="AU298" s="230">
        <f t="shared" si="99"/>
        <v>0</v>
      </c>
      <c r="AV298" s="230">
        <f t="shared" si="99"/>
        <v>0</v>
      </c>
      <c r="AW298" s="230">
        <f t="shared" si="99"/>
        <v>0</v>
      </c>
      <c r="AX298" s="1249">
        <f t="shared" si="99"/>
        <v>0</v>
      </c>
      <c r="AY298" s="1249">
        <f t="shared" si="99"/>
        <v>0</v>
      </c>
      <c r="AZ298" s="1249">
        <f t="shared" si="99"/>
        <v>0</v>
      </c>
      <c r="BA298" s="1249">
        <f t="shared" si="99"/>
        <v>0</v>
      </c>
      <c r="BB298" s="1249">
        <f t="shared" si="99"/>
        <v>0</v>
      </c>
      <c r="BC298" s="1290"/>
      <c r="BD298" s="791"/>
      <c r="BE298" s="791"/>
      <c r="BF298" s="970" t="s">
        <v>1175</v>
      </c>
    </row>
    <row r="299" spans="1:58" s="1229" customFormat="1" ht="14.25" customHeight="1">
      <c r="A299" s="1155"/>
      <c r="B299" s="783"/>
      <c r="C299" s="1155"/>
      <c r="D299" s="1155"/>
      <c r="E299" s="676">
        <v>15</v>
      </c>
      <c r="F299" s="779" t="str" cm="1">
        <f t="array" ref="F299">F298</f>
        <v>2</v>
      </c>
      <c r="G299" s="814"/>
      <c r="H299" s="814"/>
      <c r="I299" s="814"/>
      <c r="J299" s="814"/>
      <c r="K299" s="814"/>
      <c r="L299" s="814"/>
      <c r="M299" s="814"/>
      <c r="N299" s="814"/>
      <c r="O299" s="814"/>
      <c r="P299" s="814"/>
      <c r="Q299" s="784"/>
      <c r="R299" s="784"/>
      <c r="S299" s="814"/>
      <c r="T299" s="698" t="b" cm="1">
        <f t="array" ref="T299">T298</f>
        <v>1</v>
      </c>
      <c r="U299" s="1155"/>
      <c r="V299" s="1155"/>
      <c r="W299" s="1155"/>
      <c r="X299" s="1687"/>
      <c r="Y299" s="1155"/>
      <c r="Z299" s="1687"/>
      <c r="AA299" s="791"/>
      <c r="AB299" s="420" t="str">
        <f>AB296&amp;".3"</f>
        <v>6.3</v>
      </c>
      <c r="AC299" s="421" t="s">
        <v>1081</v>
      </c>
      <c r="AD299" s="420" t="s">
        <v>533</v>
      </c>
      <c r="AE299" s="1249">
        <f t="shared" ref="AE299:BB299" si="100">IF(AE285=0,0,AE313/AE285*100)</f>
        <v>0</v>
      </c>
      <c r="AF299" s="1249">
        <f t="shared" si="100"/>
        <v>0</v>
      </c>
      <c r="AG299" s="1249">
        <f t="shared" si="100"/>
        <v>0</v>
      </c>
      <c r="AH299" s="1249">
        <f t="shared" si="100"/>
        <v>0</v>
      </c>
      <c r="AI299" s="230">
        <f t="shared" si="100"/>
        <v>0</v>
      </c>
      <c r="AJ299" s="230">
        <f t="shared" si="100"/>
        <v>0</v>
      </c>
      <c r="AK299" s="230">
        <f t="shared" si="100"/>
        <v>0</v>
      </c>
      <c r="AL299" s="230">
        <f t="shared" si="100"/>
        <v>0</v>
      </c>
      <c r="AM299" s="230">
        <f t="shared" si="100"/>
        <v>0</v>
      </c>
      <c r="AN299" s="1249">
        <f t="shared" si="100"/>
        <v>0</v>
      </c>
      <c r="AO299" s="1249">
        <f t="shared" si="100"/>
        <v>0</v>
      </c>
      <c r="AP299" s="1249">
        <f t="shared" si="100"/>
        <v>0</v>
      </c>
      <c r="AQ299" s="1249">
        <f t="shared" si="100"/>
        <v>0</v>
      </c>
      <c r="AR299" s="1249">
        <f t="shared" si="100"/>
        <v>0</v>
      </c>
      <c r="AS299" s="230">
        <f t="shared" si="100"/>
        <v>0</v>
      </c>
      <c r="AT299" s="230">
        <f t="shared" si="100"/>
        <v>0</v>
      </c>
      <c r="AU299" s="230">
        <f t="shared" si="100"/>
        <v>0</v>
      </c>
      <c r="AV299" s="230">
        <f t="shared" si="100"/>
        <v>0</v>
      </c>
      <c r="AW299" s="230">
        <f t="shared" si="100"/>
        <v>0</v>
      </c>
      <c r="AX299" s="1249">
        <f t="shared" si="100"/>
        <v>0</v>
      </c>
      <c r="AY299" s="1249">
        <f t="shared" si="100"/>
        <v>0</v>
      </c>
      <c r="AZ299" s="1249">
        <f t="shared" si="100"/>
        <v>0</v>
      </c>
      <c r="BA299" s="1249">
        <f t="shared" si="100"/>
        <v>0</v>
      </c>
      <c r="BB299" s="1249">
        <f t="shared" si="100"/>
        <v>0</v>
      </c>
      <c r="BC299" s="1290"/>
      <c r="BD299" s="791"/>
      <c r="BE299" s="791"/>
      <c r="BF299" s="970" t="s">
        <v>1176</v>
      </c>
    </row>
    <row r="300" spans="1:58" s="1229" customFormat="1" ht="14.25" customHeight="1">
      <c r="A300" s="1155"/>
      <c r="B300" s="783"/>
      <c r="C300" s="1155"/>
      <c r="D300" s="1155"/>
      <c r="E300" s="676">
        <v>15</v>
      </c>
      <c r="F300" s="779" t="str" cm="1">
        <f t="array" ref="F300">F299</f>
        <v>2</v>
      </c>
      <c r="G300" s="814"/>
      <c r="H300" s="814"/>
      <c r="I300" s="814"/>
      <c r="J300" s="814"/>
      <c r="K300" s="814"/>
      <c r="L300" s="814"/>
      <c r="M300" s="814"/>
      <c r="N300" s="814"/>
      <c r="O300" s="814"/>
      <c r="P300" s="814"/>
      <c r="Q300" s="784"/>
      <c r="R300" s="784"/>
      <c r="S300" s="814"/>
      <c r="T300" s="698" t="b" cm="1">
        <f t="array" ref="T300">T299</f>
        <v>1</v>
      </c>
      <c r="U300" s="1155"/>
      <c r="V300" s="1155"/>
      <c r="W300" s="1155"/>
      <c r="X300" s="1687"/>
      <c r="Y300" s="1155"/>
      <c r="Z300" s="1687"/>
      <c r="AA300" s="791"/>
      <c r="AB300" s="420" t="str">
        <f>AB296&amp;".4"</f>
        <v>6.4</v>
      </c>
      <c r="AC300" s="421" t="s">
        <v>1083</v>
      </c>
      <c r="AD300" s="420" t="s">
        <v>533</v>
      </c>
      <c r="AE300" s="1249">
        <f t="shared" ref="AE300:BB300" si="101">IF(AE286=0,0,AE314/AE286*100)</f>
        <v>0</v>
      </c>
      <c r="AF300" s="1249">
        <f t="shared" si="101"/>
        <v>0</v>
      </c>
      <c r="AG300" s="1249">
        <f t="shared" si="101"/>
        <v>0</v>
      </c>
      <c r="AH300" s="1249">
        <f t="shared" si="101"/>
        <v>0</v>
      </c>
      <c r="AI300" s="230">
        <f t="shared" si="101"/>
        <v>0</v>
      </c>
      <c r="AJ300" s="230">
        <f t="shared" si="101"/>
        <v>0</v>
      </c>
      <c r="AK300" s="230">
        <f t="shared" si="101"/>
        <v>0</v>
      </c>
      <c r="AL300" s="230">
        <f t="shared" si="101"/>
        <v>0</v>
      </c>
      <c r="AM300" s="230">
        <f t="shared" si="101"/>
        <v>0</v>
      </c>
      <c r="AN300" s="1249">
        <f t="shared" si="101"/>
        <v>0</v>
      </c>
      <c r="AO300" s="1249">
        <f t="shared" si="101"/>
        <v>0</v>
      </c>
      <c r="AP300" s="1249">
        <f t="shared" si="101"/>
        <v>0</v>
      </c>
      <c r="AQ300" s="1249">
        <f t="shared" si="101"/>
        <v>0</v>
      </c>
      <c r="AR300" s="1249">
        <f t="shared" si="101"/>
        <v>0</v>
      </c>
      <c r="AS300" s="230">
        <f t="shared" si="101"/>
        <v>0</v>
      </c>
      <c r="AT300" s="230">
        <f t="shared" si="101"/>
        <v>0</v>
      </c>
      <c r="AU300" s="230">
        <f t="shared" si="101"/>
        <v>0</v>
      </c>
      <c r="AV300" s="230">
        <f t="shared" si="101"/>
        <v>0</v>
      </c>
      <c r="AW300" s="230">
        <f t="shared" si="101"/>
        <v>0</v>
      </c>
      <c r="AX300" s="1249">
        <f t="shared" si="101"/>
        <v>0</v>
      </c>
      <c r="AY300" s="1249">
        <f t="shared" si="101"/>
        <v>0</v>
      </c>
      <c r="AZ300" s="1249">
        <f t="shared" si="101"/>
        <v>0</v>
      </c>
      <c r="BA300" s="1249">
        <f t="shared" si="101"/>
        <v>0</v>
      </c>
      <c r="BB300" s="1249">
        <f t="shared" si="101"/>
        <v>0</v>
      </c>
      <c r="BC300" s="1290"/>
      <c r="BD300" s="791"/>
      <c r="BE300" s="791"/>
      <c r="BF300" s="970" t="s">
        <v>1177</v>
      </c>
    </row>
    <row r="301" spans="1:58" s="1229" customFormat="1" ht="14.25" customHeight="1">
      <c r="A301" s="1155"/>
      <c r="B301" s="783"/>
      <c r="C301" s="1155"/>
      <c r="D301" s="1155"/>
      <c r="E301" s="676">
        <v>15</v>
      </c>
      <c r="F301" s="779" t="str" cm="1">
        <f t="array" ref="F301">F300</f>
        <v>2</v>
      </c>
      <c r="G301" s="814"/>
      <c r="H301" s="814"/>
      <c r="I301" s="814"/>
      <c r="J301" s="814"/>
      <c r="K301" s="814"/>
      <c r="L301" s="814"/>
      <c r="M301" s="814"/>
      <c r="N301" s="814"/>
      <c r="O301" s="814"/>
      <c r="P301" s="814"/>
      <c r="Q301" s="784"/>
      <c r="R301" s="784"/>
      <c r="S301" s="814"/>
      <c r="T301" s="698" t="b" cm="1">
        <f t="array" ref="T301">T300</f>
        <v>1</v>
      </c>
      <c r="U301" s="1155"/>
      <c r="V301" s="1155"/>
      <c r="W301" s="1155"/>
      <c r="X301" s="1687"/>
      <c r="Y301" s="1155"/>
      <c r="Z301" s="1687"/>
      <c r="AA301" s="791"/>
      <c r="AB301" s="420" t="str">
        <f>AB300&amp;".1"</f>
        <v>6.4.1</v>
      </c>
      <c r="AC301" s="422" t="s">
        <v>1086</v>
      </c>
      <c r="AD301" s="420" t="s">
        <v>533</v>
      </c>
      <c r="AE301" s="1249">
        <f t="shared" ref="AE301:BB301" si="102">IF(AE287=0,0,AE315/AE287*100)</f>
        <v>0</v>
      </c>
      <c r="AF301" s="1249">
        <f t="shared" si="102"/>
        <v>0</v>
      </c>
      <c r="AG301" s="1249">
        <f t="shared" si="102"/>
        <v>0</v>
      </c>
      <c r="AH301" s="1249">
        <f t="shared" si="102"/>
        <v>0</v>
      </c>
      <c r="AI301" s="230">
        <f t="shared" si="102"/>
        <v>0</v>
      </c>
      <c r="AJ301" s="230">
        <f t="shared" si="102"/>
        <v>0</v>
      </c>
      <c r="AK301" s="230">
        <f t="shared" si="102"/>
        <v>0</v>
      </c>
      <c r="AL301" s="230">
        <f t="shared" si="102"/>
        <v>0</v>
      </c>
      <c r="AM301" s="230">
        <f t="shared" si="102"/>
        <v>0</v>
      </c>
      <c r="AN301" s="1249">
        <f t="shared" si="102"/>
        <v>0</v>
      </c>
      <c r="AO301" s="1249">
        <f t="shared" si="102"/>
        <v>0</v>
      </c>
      <c r="AP301" s="1249">
        <f t="shared" si="102"/>
        <v>0</v>
      </c>
      <c r="AQ301" s="1249">
        <f t="shared" si="102"/>
        <v>0</v>
      </c>
      <c r="AR301" s="1249">
        <f t="shared" si="102"/>
        <v>0</v>
      </c>
      <c r="AS301" s="230">
        <f t="shared" si="102"/>
        <v>0</v>
      </c>
      <c r="AT301" s="230">
        <f t="shared" si="102"/>
        <v>0</v>
      </c>
      <c r="AU301" s="230">
        <f t="shared" si="102"/>
        <v>0</v>
      </c>
      <c r="AV301" s="230">
        <f t="shared" si="102"/>
        <v>0</v>
      </c>
      <c r="AW301" s="230">
        <f t="shared" si="102"/>
        <v>0</v>
      </c>
      <c r="AX301" s="1249">
        <f t="shared" si="102"/>
        <v>0</v>
      </c>
      <c r="AY301" s="1249">
        <f t="shared" si="102"/>
        <v>0</v>
      </c>
      <c r="AZ301" s="1249">
        <f t="shared" si="102"/>
        <v>0</v>
      </c>
      <c r="BA301" s="1249">
        <f t="shared" si="102"/>
        <v>0</v>
      </c>
      <c r="BB301" s="1249">
        <f t="shared" si="102"/>
        <v>0</v>
      </c>
      <c r="BC301" s="1290"/>
      <c r="BD301" s="791"/>
      <c r="BE301" s="791"/>
      <c r="BF301" s="970" t="s">
        <v>1178</v>
      </c>
    </row>
    <row r="302" spans="1:58" s="1229" customFormat="1" ht="14.25" customHeight="1">
      <c r="A302" s="1155"/>
      <c r="B302" s="783"/>
      <c r="C302" s="1155"/>
      <c r="D302" s="1155"/>
      <c r="E302" s="676">
        <v>15</v>
      </c>
      <c r="F302" s="779" t="str" cm="1">
        <f t="array" ref="F302">F301</f>
        <v>2</v>
      </c>
      <c r="G302" s="814"/>
      <c r="H302" s="814"/>
      <c r="I302" s="814"/>
      <c r="J302" s="814"/>
      <c r="K302" s="814"/>
      <c r="L302" s="814"/>
      <c r="M302" s="814"/>
      <c r="N302" s="814"/>
      <c r="O302" s="814"/>
      <c r="P302" s="814"/>
      <c r="Q302" s="784"/>
      <c r="R302" s="784"/>
      <c r="S302" s="814"/>
      <c r="T302" s="698" t="b" cm="1">
        <f t="array" ref="T302">T301</f>
        <v>1</v>
      </c>
      <c r="U302" s="1155"/>
      <c r="V302" s="1155"/>
      <c r="W302" s="1155"/>
      <c r="X302" s="1687"/>
      <c r="Y302" s="1155"/>
      <c r="Z302" s="1687"/>
      <c r="AA302" s="791"/>
      <c r="AB302" s="420" t="str">
        <f>AB300&amp;".2"</f>
        <v>6.4.2</v>
      </c>
      <c r="AC302" s="422" t="s">
        <v>1089</v>
      </c>
      <c r="AD302" s="420" t="s">
        <v>533</v>
      </c>
      <c r="AE302" s="1249">
        <f t="shared" ref="AE302:BB302" si="103">IF(AE288=0,0,AE316/AE288*100)</f>
        <v>0</v>
      </c>
      <c r="AF302" s="1249">
        <f t="shared" si="103"/>
        <v>0</v>
      </c>
      <c r="AG302" s="1249">
        <f t="shared" si="103"/>
        <v>0</v>
      </c>
      <c r="AH302" s="1249">
        <f t="shared" si="103"/>
        <v>0</v>
      </c>
      <c r="AI302" s="230">
        <f t="shared" si="103"/>
        <v>0</v>
      </c>
      <c r="AJ302" s="230">
        <f t="shared" si="103"/>
        <v>0</v>
      </c>
      <c r="AK302" s="230">
        <f t="shared" si="103"/>
        <v>0</v>
      </c>
      <c r="AL302" s="230">
        <f t="shared" si="103"/>
        <v>0</v>
      </c>
      <c r="AM302" s="230">
        <f t="shared" si="103"/>
        <v>0</v>
      </c>
      <c r="AN302" s="1249">
        <f t="shared" si="103"/>
        <v>0</v>
      </c>
      <c r="AO302" s="1249">
        <f t="shared" si="103"/>
        <v>0</v>
      </c>
      <c r="AP302" s="1249">
        <f t="shared" si="103"/>
        <v>0</v>
      </c>
      <c r="AQ302" s="1249">
        <f t="shared" si="103"/>
        <v>0</v>
      </c>
      <c r="AR302" s="1249">
        <f t="shared" si="103"/>
        <v>0</v>
      </c>
      <c r="AS302" s="230">
        <f t="shared" si="103"/>
        <v>0</v>
      </c>
      <c r="AT302" s="230">
        <f t="shared" si="103"/>
        <v>0</v>
      </c>
      <c r="AU302" s="230">
        <f t="shared" si="103"/>
        <v>0</v>
      </c>
      <c r="AV302" s="230">
        <f t="shared" si="103"/>
        <v>0</v>
      </c>
      <c r="AW302" s="230">
        <f t="shared" si="103"/>
        <v>0</v>
      </c>
      <c r="AX302" s="1249">
        <f t="shared" si="103"/>
        <v>0</v>
      </c>
      <c r="AY302" s="1249">
        <f t="shared" si="103"/>
        <v>0</v>
      </c>
      <c r="AZ302" s="1249">
        <f t="shared" si="103"/>
        <v>0</v>
      </c>
      <c r="BA302" s="1249">
        <f t="shared" si="103"/>
        <v>0</v>
      </c>
      <c r="BB302" s="1249">
        <f t="shared" si="103"/>
        <v>0</v>
      </c>
      <c r="BC302" s="1290"/>
      <c r="BD302" s="791"/>
      <c r="BE302" s="791"/>
      <c r="BF302" s="970" t="s">
        <v>1179</v>
      </c>
    </row>
    <row r="303" spans="1:58" s="1229" customFormat="1" ht="14.25" customHeight="1">
      <c r="A303" s="1155"/>
      <c r="B303" s="783"/>
      <c r="C303" s="1155"/>
      <c r="D303" s="1155"/>
      <c r="E303" s="676">
        <v>15</v>
      </c>
      <c r="F303" s="779" t="str" cm="1">
        <f t="array" ref="F303">F302</f>
        <v>2</v>
      </c>
      <c r="G303" s="814"/>
      <c r="H303" s="814"/>
      <c r="I303" s="814"/>
      <c r="J303" s="814"/>
      <c r="K303" s="814"/>
      <c r="L303" s="814"/>
      <c r="M303" s="814"/>
      <c r="N303" s="814"/>
      <c r="O303" s="814"/>
      <c r="P303" s="814"/>
      <c r="Q303" s="784"/>
      <c r="R303" s="784"/>
      <c r="S303" s="814"/>
      <c r="T303" s="698" t="b" cm="1">
        <f t="array" ref="T303">T302</f>
        <v>1</v>
      </c>
      <c r="U303" s="1155"/>
      <c r="V303" s="1155"/>
      <c r="W303" s="1155"/>
      <c r="X303" s="1687"/>
      <c r="Y303" s="1155"/>
      <c r="Z303" s="1687"/>
      <c r="AA303" s="791"/>
      <c r="AB303" s="420" t="str">
        <f>AB300&amp;".3"</f>
        <v>6.4.3</v>
      </c>
      <c r="AC303" s="422" t="s">
        <v>1092</v>
      </c>
      <c r="AD303" s="420" t="s">
        <v>533</v>
      </c>
      <c r="AE303" s="1249">
        <f t="shared" ref="AE303:BB303" si="104">IF(AE289=0,0,AE317/AE289*100)</f>
        <v>0</v>
      </c>
      <c r="AF303" s="1249">
        <f t="shared" si="104"/>
        <v>0</v>
      </c>
      <c r="AG303" s="1249">
        <f t="shared" si="104"/>
        <v>0</v>
      </c>
      <c r="AH303" s="1249">
        <f t="shared" si="104"/>
        <v>0</v>
      </c>
      <c r="AI303" s="230">
        <f t="shared" si="104"/>
        <v>0</v>
      </c>
      <c r="AJ303" s="230">
        <f t="shared" si="104"/>
        <v>0</v>
      </c>
      <c r="AK303" s="230">
        <f t="shared" si="104"/>
        <v>0</v>
      </c>
      <c r="AL303" s="230">
        <f t="shared" si="104"/>
        <v>0</v>
      </c>
      <c r="AM303" s="230">
        <f t="shared" si="104"/>
        <v>0</v>
      </c>
      <c r="AN303" s="1249">
        <f t="shared" si="104"/>
        <v>0</v>
      </c>
      <c r="AO303" s="1249">
        <f t="shared" si="104"/>
        <v>0</v>
      </c>
      <c r="AP303" s="1249">
        <f t="shared" si="104"/>
        <v>0</v>
      </c>
      <c r="AQ303" s="1249">
        <f t="shared" si="104"/>
        <v>0</v>
      </c>
      <c r="AR303" s="1249">
        <f t="shared" si="104"/>
        <v>0</v>
      </c>
      <c r="AS303" s="230">
        <f t="shared" si="104"/>
        <v>0</v>
      </c>
      <c r="AT303" s="230">
        <f t="shared" si="104"/>
        <v>0</v>
      </c>
      <c r="AU303" s="230">
        <f t="shared" si="104"/>
        <v>0</v>
      </c>
      <c r="AV303" s="230">
        <f t="shared" si="104"/>
        <v>0</v>
      </c>
      <c r="AW303" s="230">
        <f t="shared" si="104"/>
        <v>0</v>
      </c>
      <c r="AX303" s="1249">
        <f t="shared" si="104"/>
        <v>0</v>
      </c>
      <c r="AY303" s="1249">
        <f t="shared" si="104"/>
        <v>0</v>
      </c>
      <c r="AZ303" s="1249">
        <f t="shared" si="104"/>
        <v>0</v>
      </c>
      <c r="BA303" s="1249">
        <f t="shared" si="104"/>
        <v>0</v>
      </c>
      <c r="BB303" s="1249">
        <f t="shared" si="104"/>
        <v>0</v>
      </c>
      <c r="BC303" s="1290"/>
      <c r="BD303" s="791"/>
      <c r="BE303" s="791"/>
      <c r="BF303" s="970" t="s">
        <v>1180</v>
      </c>
    </row>
    <row r="304" spans="1:58" s="1229" customFormat="1" ht="14.25" customHeight="1">
      <c r="A304" s="1155"/>
      <c r="B304" s="783"/>
      <c r="C304" s="1155"/>
      <c r="D304" s="1155"/>
      <c r="E304" s="676">
        <v>15</v>
      </c>
      <c r="F304" s="779" t="str" cm="1">
        <f t="array" ref="F304">F303</f>
        <v>2</v>
      </c>
      <c r="G304" s="814"/>
      <c r="H304" s="814"/>
      <c r="I304" s="814"/>
      <c r="J304" s="814"/>
      <c r="K304" s="814"/>
      <c r="L304" s="814"/>
      <c r="M304" s="814"/>
      <c r="N304" s="814"/>
      <c r="O304" s="814"/>
      <c r="P304" s="814"/>
      <c r="Q304" s="784"/>
      <c r="R304" s="784"/>
      <c r="S304" s="814"/>
      <c r="T304" s="698" t="b" cm="1">
        <f t="array" ref="T304">T303</f>
        <v>1</v>
      </c>
      <c r="U304" s="1155"/>
      <c r="V304" s="1155"/>
      <c r="W304" s="1155"/>
      <c r="X304" s="1687"/>
      <c r="Y304" s="1155"/>
      <c r="Z304" s="1687"/>
      <c r="AA304" s="791"/>
      <c r="AB304" s="420" t="str">
        <f>AB300&amp;".4"</f>
        <v>6.4.4</v>
      </c>
      <c r="AC304" s="422" t="s">
        <v>1095</v>
      </c>
      <c r="AD304" s="420" t="s">
        <v>533</v>
      </c>
      <c r="AE304" s="1249">
        <f t="shared" ref="AE304:BB304" si="105">IF(AE290=0,0,AE318/AE290*100)</f>
        <v>0</v>
      </c>
      <c r="AF304" s="1249">
        <f t="shared" si="105"/>
        <v>0</v>
      </c>
      <c r="AG304" s="1249">
        <f t="shared" si="105"/>
        <v>0</v>
      </c>
      <c r="AH304" s="1249">
        <f t="shared" si="105"/>
        <v>0</v>
      </c>
      <c r="AI304" s="230">
        <f t="shared" si="105"/>
        <v>0</v>
      </c>
      <c r="AJ304" s="230">
        <f t="shared" si="105"/>
        <v>0</v>
      </c>
      <c r="AK304" s="230">
        <f t="shared" si="105"/>
        <v>0</v>
      </c>
      <c r="AL304" s="230">
        <f t="shared" si="105"/>
        <v>0</v>
      </c>
      <c r="AM304" s="230">
        <f t="shared" si="105"/>
        <v>0</v>
      </c>
      <c r="AN304" s="1249">
        <f t="shared" si="105"/>
        <v>0</v>
      </c>
      <c r="AO304" s="1249">
        <f t="shared" si="105"/>
        <v>0</v>
      </c>
      <c r="AP304" s="1249">
        <f t="shared" si="105"/>
        <v>0</v>
      </c>
      <c r="AQ304" s="1249">
        <f t="shared" si="105"/>
        <v>0</v>
      </c>
      <c r="AR304" s="1249">
        <f t="shared" si="105"/>
        <v>0</v>
      </c>
      <c r="AS304" s="230">
        <f t="shared" si="105"/>
        <v>0</v>
      </c>
      <c r="AT304" s="230">
        <f t="shared" si="105"/>
        <v>0</v>
      </c>
      <c r="AU304" s="230">
        <f t="shared" si="105"/>
        <v>0</v>
      </c>
      <c r="AV304" s="230">
        <f t="shared" si="105"/>
        <v>0</v>
      </c>
      <c r="AW304" s="230">
        <f t="shared" si="105"/>
        <v>0</v>
      </c>
      <c r="AX304" s="1249">
        <f t="shared" si="105"/>
        <v>0</v>
      </c>
      <c r="AY304" s="1249">
        <f t="shared" si="105"/>
        <v>0</v>
      </c>
      <c r="AZ304" s="1249">
        <f t="shared" si="105"/>
        <v>0</v>
      </c>
      <c r="BA304" s="1249">
        <f t="shared" si="105"/>
        <v>0</v>
      </c>
      <c r="BB304" s="1249">
        <f t="shared" si="105"/>
        <v>0</v>
      </c>
      <c r="BC304" s="1290"/>
      <c r="BD304" s="791"/>
      <c r="BE304" s="791"/>
      <c r="BF304" s="970" t="s">
        <v>1181</v>
      </c>
    </row>
    <row r="305" spans="1:58" s="1229" customFormat="1" ht="14.25" customHeight="1">
      <c r="A305" s="1155"/>
      <c r="B305" s="783"/>
      <c r="C305" s="1155"/>
      <c r="D305" s="1155"/>
      <c r="E305" s="676">
        <v>15</v>
      </c>
      <c r="F305" s="779" t="str" cm="1">
        <f t="array" ref="F305">F304</f>
        <v>2</v>
      </c>
      <c r="G305" s="814"/>
      <c r="H305" s="814"/>
      <c r="I305" s="814"/>
      <c r="J305" s="814"/>
      <c r="K305" s="814"/>
      <c r="L305" s="814"/>
      <c r="M305" s="814"/>
      <c r="N305" s="814"/>
      <c r="O305" s="814"/>
      <c r="P305" s="814"/>
      <c r="Q305" s="784"/>
      <c r="R305" s="784"/>
      <c r="S305" s="814"/>
      <c r="T305" s="698" t="b" cm="1">
        <f t="array" ref="T305">T304</f>
        <v>1</v>
      </c>
      <c r="U305" s="1155"/>
      <c r="V305" s="1155"/>
      <c r="W305" s="1155"/>
      <c r="X305" s="1687"/>
      <c r="Y305" s="1155"/>
      <c r="Z305" s="1687"/>
      <c r="AA305" s="791"/>
      <c r="AB305" s="420" t="str">
        <f>AB300&amp;".5"</f>
        <v>6.4.5</v>
      </c>
      <c r="AC305" s="422" t="s">
        <v>1098</v>
      </c>
      <c r="AD305" s="420" t="s">
        <v>533</v>
      </c>
      <c r="AE305" s="1249">
        <f t="shared" ref="AE305:BB305" si="106">IF(AE291=0,0,AE319/AE291*100)</f>
        <v>0</v>
      </c>
      <c r="AF305" s="1249">
        <f t="shared" si="106"/>
        <v>0</v>
      </c>
      <c r="AG305" s="1249">
        <f t="shared" si="106"/>
        <v>0</v>
      </c>
      <c r="AH305" s="1249">
        <f t="shared" si="106"/>
        <v>0</v>
      </c>
      <c r="AI305" s="230">
        <f t="shared" si="106"/>
        <v>0</v>
      </c>
      <c r="AJ305" s="230">
        <f t="shared" si="106"/>
        <v>0</v>
      </c>
      <c r="AK305" s="230">
        <f t="shared" si="106"/>
        <v>0</v>
      </c>
      <c r="AL305" s="230">
        <f t="shared" si="106"/>
        <v>0</v>
      </c>
      <c r="AM305" s="230">
        <f t="shared" si="106"/>
        <v>0</v>
      </c>
      <c r="AN305" s="1249">
        <f t="shared" si="106"/>
        <v>0</v>
      </c>
      <c r="AO305" s="1249">
        <f t="shared" si="106"/>
        <v>0</v>
      </c>
      <c r="AP305" s="1249">
        <f t="shared" si="106"/>
        <v>0</v>
      </c>
      <c r="AQ305" s="1249">
        <f t="shared" si="106"/>
        <v>0</v>
      </c>
      <c r="AR305" s="1249">
        <f t="shared" si="106"/>
        <v>0</v>
      </c>
      <c r="AS305" s="230">
        <f t="shared" si="106"/>
        <v>0</v>
      </c>
      <c r="AT305" s="230">
        <f t="shared" si="106"/>
        <v>0</v>
      </c>
      <c r="AU305" s="230">
        <f t="shared" si="106"/>
        <v>0</v>
      </c>
      <c r="AV305" s="230">
        <f t="shared" si="106"/>
        <v>0</v>
      </c>
      <c r="AW305" s="230">
        <f t="shared" si="106"/>
        <v>0</v>
      </c>
      <c r="AX305" s="1249">
        <f t="shared" si="106"/>
        <v>0</v>
      </c>
      <c r="AY305" s="1249">
        <f t="shared" si="106"/>
        <v>0</v>
      </c>
      <c r="AZ305" s="1249">
        <f t="shared" si="106"/>
        <v>0</v>
      </c>
      <c r="BA305" s="1249">
        <f t="shared" si="106"/>
        <v>0</v>
      </c>
      <c r="BB305" s="1249">
        <f t="shared" si="106"/>
        <v>0</v>
      </c>
      <c r="BC305" s="1290"/>
      <c r="BD305" s="791"/>
      <c r="BE305" s="791"/>
      <c r="BF305" s="970" t="s">
        <v>1182</v>
      </c>
    </row>
    <row r="306" spans="1:58" s="1229" customFormat="1" ht="14.25" customHeight="1">
      <c r="A306" s="1155"/>
      <c r="B306" s="783"/>
      <c r="C306" s="1155"/>
      <c r="D306" s="1155"/>
      <c r="E306" s="676">
        <v>15</v>
      </c>
      <c r="F306" s="779" t="str" cm="1">
        <f t="array" ref="F306">F305</f>
        <v>2</v>
      </c>
      <c r="G306" s="814"/>
      <c r="H306" s="814"/>
      <c r="I306" s="814"/>
      <c r="J306" s="814"/>
      <c r="K306" s="814"/>
      <c r="L306" s="814"/>
      <c r="M306" s="814"/>
      <c r="N306" s="814"/>
      <c r="O306" s="814"/>
      <c r="P306" s="814"/>
      <c r="Q306" s="784"/>
      <c r="R306" s="784"/>
      <c r="S306" s="814"/>
      <c r="T306" s="698" t="b" cm="1">
        <f t="array" ref="T306">T305</f>
        <v>1</v>
      </c>
      <c r="U306" s="1155"/>
      <c r="V306" s="1155"/>
      <c r="W306" s="1155"/>
      <c r="X306" s="1687"/>
      <c r="Y306" s="1155"/>
      <c r="Z306" s="1687"/>
      <c r="AA306" s="791"/>
      <c r="AB306" s="420" t="str">
        <f>AB296&amp;".5"</f>
        <v>6.5</v>
      </c>
      <c r="AC306" s="421" t="s">
        <v>1101</v>
      </c>
      <c r="AD306" s="420" t="s">
        <v>533</v>
      </c>
      <c r="AE306" s="1249">
        <f t="shared" ref="AE306:BB306" si="107">IF(AE292=0,0,AE320/AE292*100)</f>
        <v>0</v>
      </c>
      <c r="AF306" s="1249">
        <f t="shared" si="107"/>
        <v>0</v>
      </c>
      <c r="AG306" s="1249">
        <f t="shared" si="107"/>
        <v>0</v>
      </c>
      <c r="AH306" s="1249">
        <f t="shared" si="107"/>
        <v>0</v>
      </c>
      <c r="AI306" s="230">
        <f t="shared" si="107"/>
        <v>0</v>
      </c>
      <c r="AJ306" s="230">
        <f t="shared" si="107"/>
        <v>0</v>
      </c>
      <c r="AK306" s="230">
        <f t="shared" si="107"/>
        <v>0</v>
      </c>
      <c r="AL306" s="230">
        <f t="shared" si="107"/>
        <v>0</v>
      </c>
      <c r="AM306" s="230">
        <f t="shared" si="107"/>
        <v>0</v>
      </c>
      <c r="AN306" s="1249">
        <f t="shared" si="107"/>
        <v>0</v>
      </c>
      <c r="AO306" s="1249">
        <f t="shared" si="107"/>
        <v>0</v>
      </c>
      <c r="AP306" s="1249">
        <f t="shared" si="107"/>
        <v>0</v>
      </c>
      <c r="AQ306" s="1249">
        <f t="shared" si="107"/>
        <v>0</v>
      </c>
      <c r="AR306" s="1249">
        <f t="shared" si="107"/>
        <v>0</v>
      </c>
      <c r="AS306" s="230">
        <f t="shared" si="107"/>
        <v>0</v>
      </c>
      <c r="AT306" s="230">
        <f t="shared" si="107"/>
        <v>0</v>
      </c>
      <c r="AU306" s="230">
        <f t="shared" si="107"/>
        <v>0</v>
      </c>
      <c r="AV306" s="230">
        <f t="shared" si="107"/>
        <v>0</v>
      </c>
      <c r="AW306" s="230">
        <f t="shared" si="107"/>
        <v>0</v>
      </c>
      <c r="AX306" s="1249">
        <f t="shared" si="107"/>
        <v>0</v>
      </c>
      <c r="AY306" s="1249">
        <f t="shared" si="107"/>
        <v>0</v>
      </c>
      <c r="AZ306" s="1249">
        <f t="shared" si="107"/>
        <v>0</v>
      </c>
      <c r="BA306" s="1249">
        <f t="shared" si="107"/>
        <v>0</v>
      </c>
      <c r="BB306" s="1249">
        <f t="shared" si="107"/>
        <v>0</v>
      </c>
      <c r="BC306" s="1290"/>
      <c r="BD306" s="791"/>
      <c r="BE306" s="791"/>
      <c r="BF306" s="970" t="s">
        <v>1183</v>
      </c>
    </row>
    <row r="307" spans="1:58" s="1229" customFormat="1" ht="14.25" customHeight="1">
      <c r="A307" s="1155"/>
      <c r="B307" s="783"/>
      <c r="C307" s="1155"/>
      <c r="D307" s="1155"/>
      <c r="E307" s="676">
        <v>15</v>
      </c>
      <c r="F307" s="779" t="str" cm="1">
        <f t="array" ref="F307">F306</f>
        <v>2</v>
      </c>
      <c r="G307" s="814"/>
      <c r="H307" s="814"/>
      <c r="I307" s="814"/>
      <c r="J307" s="814"/>
      <c r="K307" s="814"/>
      <c r="L307" s="814"/>
      <c r="M307" s="814"/>
      <c r="N307" s="814"/>
      <c r="O307" s="814"/>
      <c r="P307" s="814"/>
      <c r="Q307" s="784"/>
      <c r="R307" s="784"/>
      <c r="S307" s="814"/>
      <c r="T307" s="698" t="b" cm="1">
        <f t="array" ref="T307">T306</f>
        <v>1</v>
      </c>
      <c r="U307" s="1155"/>
      <c r="V307" s="1155"/>
      <c r="W307" s="1155"/>
      <c r="X307" s="1687"/>
      <c r="Y307" s="1155"/>
      <c r="Z307" s="1687"/>
      <c r="AA307" s="791"/>
      <c r="AB307" s="420" t="str">
        <f>AB296&amp;".6"</f>
        <v>6.6</v>
      </c>
      <c r="AC307" s="421" t="s">
        <v>1104</v>
      </c>
      <c r="AD307" s="420" t="s">
        <v>533</v>
      </c>
      <c r="AE307" s="1249">
        <f t="shared" ref="AE307:BB307" si="108">IF(AE293=0,0,AE321/AE293*100)</f>
        <v>0</v>
      </c>
      <c r="AF307" s="1249">
        <f t="shared" si="108"/>
        <v>0</v>
      </c>
      <c r="AG307" s="1249">
        <f t="shared" si="108"/>
        <v>0</v>
      </c>
      <c r="AH307" s="1249">
        <f t="shared" si="108"/>
        <v>0</v>
      </c>
      <c r="AI307" s="230">
        <f t="shared" si="108"/>
        <v>0</v>
      </c>
      <c r="AJ307" s="230">
        <f t="shared" si="108"/>
        <v>0</v>
      </c>
      <c r="AK307" s="230">
        <f t="shared" si="108"/>
        <v>0</v>
      </c>
      <c r="AL307" s="230">
        <f t="shared" si="108"/>
        <v>0</v>
      </c>
      <c r="AM307" s="230">
        <f t="shared" si="108"/>
        <v>0</v>
      </c>
      <c r="AN307" s="1249">
        <f t="shared" si="108"/>
        <v>0</v>
      </c>
      <c r="AO307" s="1249">
        <f t="shared" si="108"/>
        <v>0</v>
      </c>
      <c r="AP307" s="1249">
        <f t="shared" si="108"/>
        <v>0</v>
      </c>
      <c r="AQ307" s="1249">
        <f t="shared" si="108"/>
        <v>0</v>
      </c>
      <c r="AR307" s="1249">
        <f t="shared" si="108"/>
        <v>0</v>
      </c>
      <c r="AS307" s="230">
        <f t="shared" si="108"/>
        <v>0</v>
      </c>
      <c r="AT307" s="230">
        <f t="shared" si="108"/>
        <v>0</v>
      </c>
      <c r="AU307" s="230">
        <f t="shared" si="108"/>
        <v>0</v>
      </c>
      <c r="AV307" s="230">
        <f t="shared" si="108"/>
        <v>0</v>
      </c>
      <c r="AW307" s="230">
        <f t="shared" si="108"/>
        <v>0</v>
      </c>
      <c r="AX307" s="1249">
        <f t="shared" si="108"/>
        <v>0</v>
      </c>
      <c r="AY307" s="1249">
        <f t="shared" si="108"/>
        <v>0</v>
      </c>
      <c r="AZ307" s="1249">
        <f t="shared" si="108"/>
        <v>0</v>
      </c>
      <c r="BA307" s="1249">
        <f t="shared" si="108"/>
        <v>0</v>
      </c>
      <c r="BB307" s="1249">
        <f t="shared" si="108"/>
        <v>0</v>
      </c>
      <c r="BC307" s="1290"/>
      <c r="BD307" s="791"/>
      <c r="BE307" s="791"/>
      <c r="BF307" s="970" t="s">
        <v>1184</v>
      </c>
    </row>
    <row r="308" spans="1:58" s="1229" customFormat="1" ht="14.25" customHeight="1">
      <c r="A308" s="1155"/>
      <c r="B308" s="783"/>
      <c r="C308" s="1155"/>
      <c r="D308" s="1155"/>
      <c r="E308" s="676">
        <v>15</v>
      </c>
      <c r="F308" s="779" t="str" cm="1">
        <f t="array" ref="F308">F307</f>
        <v>2</v>
      </c>
      <c r="G308" s="814"/>
      <c r="H308" s="814"/>
      <c r="I308" s="814"/>
      <c r="J308" s="814"/>
      <c r="K308" s="814"/>
      <c r="L308" s="814"/>
      <c r="M308" s="814"/>
      <c r="N308" s="814"/>
      <c r="O308" s="814"/>
      <c r="P308" s="814"/>
      <c r="Q308" s="784"/>
      <c r="R308" s="784"/>
      <c r="S308" s="814"/>
      <c r="T308" s="698" t="b" cm="1">
        <f t="array" ref="T308">T307</f>
        <v>1</v>
      </c>
      <c r="U308" s="1155"/>
      <c r="V308" s="1155"/>
      <c r="W308" s="1155"/>
      <c r="X308" s="1687"/>
      <c r="Y308" s="1155"/>
      <c r="Z308" s="1687"/>
      <c r="AA308" s="791"/>
      <c r="AB308" s="420" t="str">
        <f>AB296&amp;".7"</f>
        <v>6.7</v>
      </c>
      <c r="AC308" s="421" t="s">
        <v>1107</v>
      </c>
      <c r="AD308" s="420" t="s">
        <v>533</v>
      </c>
      <c r="AE308" s="1249">
        <f t="shared" ref="AE308:BB308" si="109">IF(AE294=0,0,AE322/AE294*100)</f>
        <v>0</v>
      </c>
      <c r="AF308" s="1249">
        <f t="shared" si="109"/>
        <v>0</v>
      </c>
      <c r="AG308" s="1249">
        <f t="shared" si="109"/>
        <v>0</v>
      </c>
      <c r="AH308" s="1249">
        <f t="shared" si="109"/>
        <v>0</v>
      </c>
      <c r="AI308" s="230">
        <f t="shared" si="109"/>
        <v>0</v>
      </c>
      <c r="AJ308" s="230">
        <f t="shared" si="109"/>
        <v>0</v>
      </c>
      <c r="AK308" s="230">
        <f t="shared" si="109"/>
        <v>0</v>
      </c>
      <c r="AL308" s="230">
        <f t="shared" si="109"/>
        <v>0</v>
      </c>
      <c r="AM308" s="230">
        <f t="shared" si="109"/>
        <v>0</v>
      </c>
      <c r="AN308" s="1249">
        <f t="shared" si="109"/>
        <v>0</v>
      </c>
      <c r="AO308" s="1249">
        <f t="shared" si="109"/>
        <v>0</v>
      </c>
      <c r="AP308" s="1249">
        <f t="shared" si="109"/>
        <v>0</v>
      </c>
      <c r="AQ308" s="1249">
        <f t="shared" si="109"/>
        <v>0</v>
      </c>
      <c r="AR308" s="1249">
        <f t="shared" si="109"/>
        <v>0</v>
      </c>
      <c r="AS308" s="230">
        <f t="shared" si="109"/>
        <v>0</v>
      </c>
      <c r="AT308" s="230">
        <f t="shared" si="109"/>
        <v>0</v>
      </c>
      <c r="AU308" s="230">
        <f t="shared" si="109"/>
        <v>0</v>
      </c>
      <c r="AV308" s="230">
        <f t="shared" si="109"/>
        <v>0</v>
      </c>
      <c r="AW308" s="230">
        <f t="shared" si="109"/>
        <v>0</v>
      </c>
      <c r="AX308" s="1249">
        <f t="shared" si="109"/>
        <v>0</v>
      </c>
      <c r="AY308" s="1249">
        <f t="shared" si="109"/>
        <v>0</v>
      </c>
      <c r="AZ308" s="1249">
        <f t="shared" si="109"/>
        <v>0</v>
      </c>
      <c r="BA308" s="1249">
        <f t="shared" si="109"/>
        <v>0</v>
      </c>
      <c r="BB308" s="1249">
        <f t="shared" si="109"/>
        <v>0</v>
      </c>
      <c r="BC308" s="1290"/>
      <c r="BD308" s="791"/>
      <c r="BE308" s="791"/>
      <c r="BF308" s="970" t="s">
        <v>1185</v>
      </c>
    </row>
    <row r="309" spans="1:58" s="1229" customFormat="1" ht="14.25" customHeight="1">
      <c r="A309" s="1155"/>
      <c r="B309" s="783"/>
      <c r="C309" s="1155"/>
      <c r="D309" s="1155"/>
      <c r="E309" s="676">
        <v>15</v>
      </c>
      <c r="F309" s="779" t="str" cm="1">
        <f t="array" ref="F309">F308</f>
        <v>2</v>
      </c>
      <c r="G309" s="814"/>
      <c r="H309" s="814"/>
      <c r="I309" s="814"/>
      <c r="J309" s="814"/>
      <c r="K309" s="814"/>
      <c r="L309" s="814"/>
      <c r="M309" s="814"/>
      <c r="N309" s="814"/>
      <c r="O309" s="814"/>
      <c r="P309" s="814"/>
      <c r="Q309" s="784"/>
      <c r="R309" s="784"/>
      <c r="S309" s="814"/>
      <c r="T309" s="698" t="b" cm="1">
        <f t="array" ref="T309">T308</f>
        <v>1</v>
      </c>
      <c r="U309" s="1155"/>
      <c r="V309" s="1155"/>
      <c r="W309" s="1155"/>
      <c r="X309" s="1687"/>
      <c r="Y309" s="1155"/>
      <c r="Z309" s="1687"/>
      <c r="AA309" s="791"/>
      <c r="AB309" s="420" t="str">
        <f>AB296&amp;".8"</f>
        <v>6.8</v>
      </c>
      <c r="AC309" s="421" t="s">
        <v>1110</v>
      </c>
      <c r="AD309" s="420" t="s">
        <v>533</v>
      </c>
      <c r="AE309" s="1249">
        <f t="shared" ref="AE309:BB309" si="110">IF(AE295=0,0,AE323/AE295*100)</f>
        <v>0</v>
      </c>
      <c r="AF309" s="1249">
        <f t="shared" si="110"/>
        <v>0</v>
      </c>
      <c r="AG309" s="1249">
        <f t="shared" si="110"/>
        <v>0</v>
      </c>
      <c r="AH309" s="1249">
        <f t="shared" si="110"/>
        <v>0</v>
      </c>
      <c r="AI309" s="230">
        <f t="shared" si="110"/>
        <v>0</v>
      </c>
      <c r="AJ309" s="230">
        <f t="shared" si="110"/>
        <v>0</v>
      </c>
      <c r="AK309" s="230">
        <f t="shared" si="110"/>
        <v>0</v>
      </c>
      <c r="AL309" s="230">
        <f t="shared" si="110"/>
        <v>0</v>
      </c>
      <c r="AM309" s="230">
        <f t="shared" si="110"/>
        <v>0</v>
      </c>
      <c r="AN309" s="1249">
        <f t="shared" si="110"/>
        <v>0</v>
      </c>
      <c r="AO309" s="1249">
        <f t="shared" si="110"/>
        <v>0</v>
      </c>
      <c r="AP309" s="1249">
        <f t="shared" si="110"/>
        <v>0</v>
      </c>
      <c r="AQ309" s="1249">
        <f t="shared" si="110"/>
        <v>0</v>
      </c>
      <c r="AR309" s="1249">
        <f t="shared" si="110"/>
        <v>0</v>
      </c>
      <c r="AS309" s="230">
        <f t="shared" si="110"/>
        <v>0</v>
      </c>
      <c r="AT309" s="230">
        <f t="shared" si="110"/>
        <v>0</v>
      </c>
      <c r="AU309" s="230">
        <f t="shared" si="110"/>
        <v>0</v>
      </c>
      <c r="AV309" s="230">
        <f t="shared" si="110"/>
        <v>0</v>
      </c>
      <c r="AW309" s="230">
        <f t="shared" si="110"/>
        <v>0</v>
      </c>
      <c r="AX309" s="1249">
        <f t="shared" si="110"/>
        <v>0</v>
      </c>
      <c r="AY309" s="1249">
        <f t="shared" si="110"/>
        <v>0</v>
      </c>
      <c r="AZ309" s="1249">
        <f t="shared" si="110"/>
        <v>0</v>
      </c>
      <c r="BA309" s="1249">
        <f t="shared" si="110"/>
        <v>0</v>
      </c>
      <c r="BB309" s="1249">
        <f t="shared" si="110"/>
        <v>0</v>
      </c>
      <c r="BC309" s="1290"/>
      <c r="BD309" s="791"/>
      <c r="BE309" s="791"/>
      <c r="BF309" s="970" t="s">
        <v>1186</v>
      </c>
    </row>
    <row r="310" spans="1:58" s="167" customFormat="1" ht="14.25" customHeight="1">
      <c r="E310" s="676">
        <v>15</v>
      </c>
      <c r="F310" s="779" t="str" cm="1">
        <f t="array" ref="F310">F309</f>
        <v>2</v>
      </c>
      <c r="G310" s="620" t="s">
        <v>1187</v>
      </c>
      <c r="T310" s="698" t="b" cm="1">
        <f t="array" ref="T310">T309</f>
        <v>1</v>
      </c>
      <c r="X310" s="1811"/>
      <c r="Z310" s="1811"/>
      <c r="AB310" s="227">
        <v>7</v>
      </c>
      <c r="AC310" s="228" t="s">
        <v>1188</v>
      </c>
      <c r="AD310" s="107" t="s">
        <v>839</v>
      </c>
      <c r="AE310" s="1320">
        <f>SUM(AE311:AE314)+SUM(AE320:AE323)</f>
        <v>0</v>
      </c>
      <c r="AF310" s="1320">
        <f>SUM(AF311:AF314)+SUM(AF320:AF323)</f>
        <v>0</v>
      </c>
      <c r="AG310" s="1320">
        <f>SUM(AG311:AG314)+SUM(AG320:AG323)</f>
        <v>0</v>
      </c>
      <c r="AH310" s="1320">
        <v>7522.2</v>
      </c>
      <c r="AI310" s="242">
        <f t="shared" ref="AI310:AR310" si="111">SUM(AI311:AI314)+SUM(AI320:AI323)</f>
        <v>0</v>
      </c>
      <c r="AJ310" s="242">
        <f t="shared" si="111"/>
        <v>0</v>
      </c>
      <c r="AK310" s="242">
        <f t="shared" si="111"/>
        <v>0</v>
      </c>
      <c r="AL310" s="242">
        <f t="shared" si="111"/>
        <v>0</v>
      </c>
      <c r="AM310" s="242">
        <f t="shared" si="111"/>
        <v>0</v>
      </c>
      <c r="AN310" s="1320">
        <f t="shared" si="111"/>
        <v>0</v>
      </c>
      <c r="AO310" s="1320">
        <f t="shared" si="111"/>
        <v>0</v>
      </c>
      <c r="AP310" s="1320">
        <f t="shared" si="111"/>
        <v>0</v>
      </c>
      <c r="AQ310" s="1320">
        <f t="shared" si="111"/>
        <v>0</v>
      </c>
      <c r="AR310" s="1320">
        <f t="shared" si="111"/>
        <v>0</v>
      </c>
      <c r="AS310" s="242">
        <v>15930.82</v>
      </c>
      <c r="AT310" s="242">
        <f t="shared" ref="AT310:BB310" si="112">SUM(AT311:AT314)+SUM(AT320:AT323)</f>
        <v>0</v>
      </c>
      <c r="AU310" s="242">
        <f t="shared" si="112"/>
        <v>0</v>
      </c>
      <c r="AV310" s="242">
        <f t="shared" si="112"/>
        <v>0</v>
      </c>
      <c r="AW310" s="242">
        <f t="shared" si="112"/>
        <v>0</v>
      </c>
      <c r="AX310" s="1320">
        <f t="shared" si="112"/>
        <v>0</v>
      </c>
      <c r="AY310" s="1320">
        <f t="shared" si="112"/>
        <v>0</v>
      </c>
      <c r="AZ310" s="1320">
        <f t="shared" si="112"/>
        <v>0</v>
      </c>
      <c r="BA310" s="1320">
        <f t="shared" si="112"/>
        <v>0</v>
      </c>
      <c r="BB310" s="1320">
        <f t="shared" si="112"/>
        <v>0</v>
      </c>
      <c r="BC310" s="1290"/>
      <c r="BF310" s="970" t="s">
        <v>1189</v>
      </c>
    </row>
    <row r="311" spans="1:58" s="1229" customFormat="1" ht="14.25" customHeight="1">
      <c r="A311" s="1155"/>
      <c r="B311" s="783"/>
      <c r="C311" s="1155"/>
      <c r="D311" s="1155"/>
      <c r="E311" s="676">
        <v>15</v>
      </c>
      <c r="F311" s="779" t="str" cm="1">
        <f t="array" ref="F311">F310</f>
        <v>2</v>
      </c>
      <c r="G311" s="814"/>
      <c r="H311" s="814"/>
      <c r="I311" s="814"/>
      <c r="J311" s="814"/>
      <c r="K311" s="814"/>
      <c r="L311" s="814"/>
      <c r="M311" s="814"/>
      <c r="N311" s="814"/>
      <c r="O311" s="814"/>
      <c r="P311" s="814"/>
      <c r="Q311" s="784"/>
      <c r="R311" s="784"/>
      <c r="S311" s="814"/>
      <c r="T311" s="698" t="b" cm="1">
        <f t="array" ref="T311">T310</f>
        <v>1</v>
      </c>
      <c r="U311" s="1155"/>
      <c r="V311" s="1155"/>
      <c r="W311" s="1155"/>
      <c r="X311" s="1687"/>
      <c r="Y311" s="1155"/>
      <c r="Z311" s="1687"/>
      <c r="AA311" s="791"/>
      <c r="AB311" s="420" t="str">
        <f>AB310&amp;".1"</f>
        <v>7.1</v>
      </c>
      <c r="AC311" s="421" t="s">
        <v>1076</v>
      </c>
      <c r="AD311" s="420" t="s">
        <v>1077</v>
      </c>
      <c r="AE311" s="1249"/>
      <c r="AF311" s="1249"/>
      <c r="AG311" s="1249"/>
      <c r="AH311" s="1249"/>
      <c r="AI311" s="230"/>
      <c r="AJ311" s="230"/>
      <c r="AK311" s="230"/>
      <c r="AL311" s="230"/>
      <c r="AM311" s="230"/>
      <c r="AN311" s="1249"/>
      <c r="AO311" s="1249"/>
      <c r="AP311" s="1249"/>
      <c r="AQ311" s="1249"/>
      <c r="AR311" s="1249"/>
      <c r="AS311" s="230"/>
      <c r="AT311" s="230"/>
      <c r="AU311" s="230"/>
      <c r="AV311" s="230"/>
      <c r="AW311" s="230"/>
      <c r="AX311" s="1249"/>
      <c r="AY311" s="1249"/>
      <c r="AZ311" s="1249"/>
      <c r="BA311" s="1249"/>
      <c r="BB311" s="1249"/>
      <c r="BC311" s="1290"/>
      <c r="BD311" s="791"/>
      <c r="BE311" s="791"/>
      <c r="BF311" s="970" t="s">
        <v>1190</v>
      </c>
    </row>
    <row r="312" spans="1:58" s="1229" customFormat="1" ht="14.25" customHeight="1">
      <c r="A312" s="1155"/>
      <c r="B312" s="783"/>
      <c r="C312" s="1155"/>
      <c r="D312" s="1155"/>
      <c r="E312" s="676">
        <v>15</v>
      </c>
      <c r="F312" s="779" t="str" cm="1">
        <f t="array" ref="F312">F311</f>
        <v>2</v>
      </c>
      <c r="G312" s="814"/>
      <c r="H312" s="814"/>
      <c r="I312" s="814"/>
      <c r="J312" s="814"/>
      <c r="K312" s="814"/>
      <c r="L312" s="814"/>
      <c r="M312" s="814"/>
      <c r="N312" s="814"/>
      <c r="O312" s="814"/>
      <c r="P312" s="814"/>
      <c r="Q312" s="784"/>
      <c r="R312" s="784"/>
      <c r="S312" s="814"/>
      <c r="T312" s="698" t="b" cm="1">
        <f t="array" ref="T312">T311</f>
        <v>1</v>
      </c>
      <c r="U312" s="1155"/>
      <c r="V312" s="1155"/>
      <c r="W312" s="1155"/>
      <c r="X312" s="1687"/>
      <c r="Y312" s="1155"/>
      <c r="Z312" s="1687"/>
      <c r="AA312" s="791"/>
      <c r="AB312" s="420" t="str">
        <f>AB310&amp;".2"</f>
        <v>7.2</v>
      </c>
      <c r="AC312" s="421" t="s">
        <v>1079</v>
      </c>
      <c r="AD312" s="420" t="s">
        <v>1077</v>
      </c>
      <c r="AE312" s="1249"/>
      <c r="AF312" s="1249"/>
      <c r="AG312" s="1249"/>
      <c r="AH312" s="1249"/>
      <c r="AI312" s="230"/>
      <c r="AJ312" s="230"/>
      <c r="AK312" s="230"/>
      <c r="AL312" s="230"/>
      <c r="AM312" s="230"/>
      <c r="AN312" s="1249"/>
      <c r="AO312" s="1249"/>
      <c r="AP312" s="1249"/>
      <c r="AQ312" s="1249"/>
      <c r="AR312" s="1249"/>
      <c r="AS312" s="230"/>
      <c r="AT312" s="230"/>
      <c r="AU312" s="230"/>
      <c r="AV312" s="230"/>
      <c r="AW312" s="230"/>
      <c r="AX312" s="1249"/>
      <c r="AY312" s="1249"/>
      <c r="AZ312" s="1249"/>
      <c r="BA312" s="1249"/>
      <c r="BB312" s="1249"/>
      <c r="BC312" s="1290"/>
      <c r="BD312" s="791"/>
      <c r="BE312" s="791"/>
      <c r="BF312" s="970" t="s">
        <v>1191</v>
      </c>
    </row>
    <row r="313" spans="1:58" s="1229" customFormat="1" ht="14.25" customHeight="1">
      <c r="A313" s="1155"/>
      <c r="B313" s="783"/>
      <c r="C313" s="1155"/>
      <c r="D313" s="1155"/>
      <c r="E313" s="676">
        <v>15</v>
      </c>
      <c r="F313" s="779" t="str" cm="1">
        <f t="array" ref="F313">F312</f>
        <v>2</v>
      </c>
      <c r="G313" s="814"/>
      <c r="H313" s="814"/>
      <c r="I313" s="814"/>
      <c r="J313" s="814"/>
      <c r="K313" s="814"/>
      <c r="L313" s="814"/>
      <c r="M313" s="814"/>
      <c r="N313" s="814"/>
      <c r="O313" s="814"/>
      <c r="P313" s="814"/>
      <c r="Q313" s="784"/>
      <c r="R313" s="784"/>
      <c r="S313" s="814"/>
      <c r="T313" s="698" t="b" cm="1">
        <f t="array" ref="T313">T312</f>
        <v>1</v>
      </c>
      <c r="U313" s="1155"/>
      <c r="V313" s="1155"/>
      <c r="W313" s="1155"/>
      <c r="X313" s="1687"/>
      <c r="Y313" s="1155"/>
      <c r="Z313" s="1687"/>
      <c r="AA313" s="791"/>
      <c r="AB313" s="420" t="str">
        <f>AB310&amp;".3"</f>
        <v>7.3</v>
      </c>
      <c r="AC313" s="421" t="s">
        <v>1081</v>
      </c>
      <c r="AD313" s="420" t="s">
        <v>1077</v>
      </c>
      <c r="AE313" s="1249"/>
      <c r="AF313" s="1249"/>
      <c r="AG313" s="1249"/>
      <c r="AH313" s="1249"/>
      <c r="AI313" s="230"/>
      <c r="AJ313" s="230"/>
      <c r="AK313" s="230"/>
      <c r="AL313" s="230"/>
      <c r="AM313" s="230"/>
      <c r="AN313" s="1249"/>
      <c r="AO313" s="1249"/>
      <c r="AP313" s="1249"/>
      <c r="AQ313" s="1249"/>
      <c r="AR313" s="1249"/>
      <c r="AS313" s="230"/>
      <c r="AT313" s="230"/>
      <c r="AU313" s="230"/>
      <c r="AV313" s="230"/>
      <c r="AW313" s="230"/>
      <c r="AX313" s="1249"/>
      <c r="AY313" s="1249"/>
      <c r="AZ313" s="1249"/>
      <c r="BA313" s="1249"/>
      <c r="BB313" s="1249"/>
      <c r="BC313" s="1290"/>
      <c r="BD313" s="791"/>
      <c r="BE313" s="791"/>
      <c r="BF313" s="970" t="s">
        <v>1192</v>
      </c>
    </row>
    <row r="314" spans="1:58" s="1229" customFormat="1" ht="14.25" customHeight="1">
      <c r="A314" s="1155"/>
      <c r="B314" s="783"/>
      <c r="C314" s="1155"/>
      <c r="D314" s="1155"/>
      <c r="E314" s="676">
        <v>15</v>
      </c>
      <c r="F314" s="779" t="str" cm="1">
        <f t="array" ref="F314">F313</f>
        <v>2</v>
      </c>
      <c r="G314" s="814"/>
      <c r="H314" s="814"/>
      <c r="I314" s="814"/>
      <c r="J314" s="814"/>
      <c r="K314" s="814"/>
      <c r="L314" s="814"/>
      <c r="M314" s="814"/>
      <c r="N314" s="814"/>
      <c r="O314" s="814"/>
      <c r="P314" s="814"/>
      <c r="Q314" s="784"/>
      <c r="R314" s="784"/>
      <c r="S314" s="814"/>
      <c r="T314" s="698" t="b" cm="1">
        <f t="array" ref="T314">T313</f>
        <v>1</v>
      </c>
      <c r="U314" s="1155"/>
      <c r="V314" s="1155"/>
      <c r="W314" s="1155"/>
      <c r="X314" s="1687"/>
      <c r="Y314" s="1155"/>
      <c r="Z314" s="1687"/>
      <c r="AA314" s="791"/>
      <c r="AB314" s="420" t="str">
        <f>AB310&amp;".4"</f>
        <v>7.4</v>
      </c>
      <c r="AC314" s="421" t="s">
        <v>1083</v>
      </c>
      <c r="AD314" s="420" t="s">
        <v>1077</v>
      </c>
      <c r="AE314" s="1324">
        <f t="shared" ref="AE314:BB314" si="113">SUM(AE315:AE319)</f>
        <v>0</v>
      </c>
      <c r="AF314" s="1324">
        <f t="shared" si="113"/>
        <v>0</v>
      </c>
      <c r="AG314" s="1324">
        <f t="shared" si="113"/>
        <v>0</v>
      </c>
      <c r="AH314" s="1324">
        <f t="shared" si="113"/>
        <v>0</v>
      </c>
      <c r="AI314" s="415">
        <f t="shared" si="113"/>
        <v>0</v>
      </c>
      <c r="AJ314" s="415">
        <f t="shared" si="113"/>
        <v>0</v>
      </c>
      <c r="AK314" s="415">
        <f t="shared" si="113"/>
        <v>0</v>
      </c>
      <c r="AL314" s="415">
        <f t="shared" si="113"/>
        <v>0</v>
      </c>
      <c r="AM314" s="415">
        <f t="shared" si="113"/>
        <v>0</v>
      </c>
      <c r="AN314" s="1324">
        <f t="shared" si="113"/>
        <v>0</v>
      </c>
      <c r="AO314" s="1324">
        <f t="shared" si="113"/>
        <v>0</v>
      </c>
      <c r="AP314" s="1324">
        <f t="shared" si="113"/>
        <v>0</v>
      </c>
      <c r="AQ314" s="1324">
        <f t="shared" si="113"/>
        <v>0</v>
      </c>
      <c r="AR314" s="1324">
        <f t="shared" si="113"/>
        <v>0</v>
      </c>
      <c r="AS314" s="415">
        <f t="shared" si="113"/>
        <v>0</v>
      </c>
      <c r="AT314" s="415">
        <f t="shared" si="113"/>
        <v>0</v>
      </c>
      <c r="AU314" s="415">
        <f t="shared" si="113"/>
        <v>0</v>
      </c>
      <c r="AV314" s="415">
        <f t="shared" si="113"/>
        <v>0</v>
      </c>
      <c r="AW314" s="415">
        <f t="shared" si="113"/>
        <v>0</v>
      </c>
      <c r="AX314" s="1324">
        <f t="shared" si="113"/>
        <v>0</v>
      </c>
      <c r="AY314" s="1324">
        <f t="shared" si="113"/>
        <v>0</v>
      </c>
      <c r="AZ314" s="1324">
        <f t="shared" si="113"/>
        <v>0</v>
      </c>
      <c r="BA314" s="1324">
        <f t="shared" si="113"/>
        <v>0</v>
      </c>
      <c r="BB314" s="1324">
        <f t="shared" si="113"/>
        <v>0</v>
      </c>
      <c r="BC314" s="1290"/>
      <c r="BD314" s="791"/>
      <c r="BE314" s="791"/>
      <c r="BF314" s="970" t="s">
        <v>1193</v>
      </c>
    </row>
    <row r="315" spans="1:58" s="1229" customFormat="1" ht="14.25" customHeight="1">
      <c r="A315" s="1155"/>
      <c r="B315" s="783"/>
      <c r="C315" s="1155"/>
      <c r="D315" s="1155"/>
      <c r="E315" s="676">
        <v>15</v>
      </c>
      <c r="F315" s="779" t="str" cm="1">
        <f t="array" ref="F315">F314</f>
        <v>2</v>
      </c>
      <c r="G315" s="814"/>
      <c r="H315" s="814"/>
      <c r="I315" s="814"/>
      <c r="J315" s="814"/>
      <c r="K315" s="814"/>
      <c r="L315" s="814"/>
      <c r="M315" s="814"/>
      <c r="N315" s="814"/>
      <c r="O315" s="814"/>
      <c r="P315" s="814"/>
      <c r="Q315" s="784"/>
      <c r="R315" s="784"/>
      <c r="S315" s="814"/>
      <c r="T315" s="698" t="b" cm="1">
        <f t="array" ref="T315">T314</f>
        <v>1</v>
      </c>
      <c r="U315" s="1155"/>
      <c r="V315" s="1155"/>
      <c r="W315" s="1155"/>
      <c r="X315" s="1687"/>
      <c r="Y315" s="1155"/>
      <c r="Z315" s="1687"/>
      <c r="AA315" s="791"/>
      <c r="AB315" s="420" t="str">
        <f>AB314&amp;".1"</f>
        <v>7.4.1</v>
      </c>
      <c r="AC315" s="422" t="s">
        <v>1086</v>
      </c>
      <c r="AD315" s="420" t="s">
        <v>1077</v>
      </c>
      <c r="AE315" s="1249"/>
      <c r="AF315" s="1249"/>
      <c r="AG315" s="1249"/>
      <c r="AH315" s="1249"/>
      <c r="AI315" s="230"/>
      <c r="AJ315" s="230"/>
      <c r="AK315" s="230"/>
      <c r="AL315" s="230"/>
      <c r="AM315" s="230"/>
      <c r="AN315" s="1249"/>
      <c r="AO315" s="1249"/>
      <c r="AP315" s="1249"/>
      <c r="AQ315" s="1249"/>
      <c r="AR315" s="1249"/>
      <c r="AS315" s="230"/>
      <c r="AT315" s="230"/>
      <c r="AU315" s="230"/>
      <c r="AV315" s="230"/>
      <c r="AW315" s="230"/>
      <c r="AX315" s="1249"/>
      <c r="AY315" s="1249"/>
      <c r="AZ315" s="1249"/>
      <c r="BA315" s="1249"/>
      <c r="BB315" s="1249"/>
      <c r="BC315" s="1290"/>
      <c r="BD315" s="791"/>
      <c r="BE315" s="791"/>
      <c r="BF315" s="970" t="s">
        <v>1194</v>
      </c>
    </row>
    <row r="316" spans="1:58" s="1229" customFormat="1" ht="14.25" customHeight="1">
      <c r="A316" s="1155"/>
      <c r="B316" s="783"/>
      <c r="C316" s="1155"/>
      <c r="D316" s="1155"/>
      <c r="E316" s="676">
        <v>15</v>
      </c>
      <c r="F316" s="779" t="str" cm="1">
        <f t="array" ref="F316">F315</f>
        <v>2</v>
      </c>
      <c r="G316" s="814"/>
      <c r="H316" s="814"/>
      <c r="I316" s="814"/>
      <c r="J316" s="814"/>
      <c r="K316" s="814"/>
      <c r="L316" s="814"/>
      <c r="M316" s="814"/>
      <c r="N316" s="814"/>
      <c r="O316" s="814"/>
      <c r="P316" s="814"/>
      <c r="Q316" s="784"/>
      <c r="R316" s="784"/>
      <c r="S316" s="814"/>
      <c r="T316" s="698" t="b" cm="1">
        <f t="array" ref="T316">T315</f>
        <v>1</v>
      </c>
      <c r="U316" s="1155"/>
      <c r="V316" s="1155"/>
      <c r="W316" s="1155"/>
      <c r="X316" s="1687"/>
      <c r="Y316" s="1155"/>
      <c r="Z316" s="1687"/>
      <c r="AA316" s="791"/>
      <c r="AB316" s="420" t="str">
        <f>AB314&amp;".2"</f>
        <v>7.4.2</v>
      </c>
      <c r="AC316" s="422" t="s">
        <v>1089</v>
      </c>
      <c r="AD316" s="420" t="s">
        <v>1077</v>
      </c>
      <c r="AE316" s="1249"/>
      <c r="AF316" s="1249"/>
      <c r="AG316" s="1249"/>
      <c r="AH316" s="1249"/>
      <c r="AI316" s="230"/>
      <c r="AJ316" s="230"/>
      <c r="AK316" s="230"/>
      <c r="AL316" s="230"/>
      <c r="AM316" s="230"/>
      <c r="AN316" s="1249"/>
      <c r="AO316" s="1249"/>
      <c r="AP316" s="1249"/>
      <c r="AQ316" s="1249"/>
      <c r="AR316" s="1249"/>
      <c r="AS316" s="230"/>
      <c r="AT316" s="230"/>
      <c r="AU316" s="230"/>
      <c r="AV316" s="230"/>
      <c r="AW316" s="230"/>
      <c r="AX316" s="1249"/>
      <c r="AY316" s="1249"/>
      <c r="AZ316" s="1249"/>
      <c r="BA316" s="1249"/>
      <c r="BB316" s="1249"/>
      <c r="BC316" s="1290"/>
      <c r="BD316" s="791"/>
      <c r="BE316" s="791"/>
      <c r="BF316" s="970" t="s">
        <v>1195</v>
      </c>
    </row>
    <row r="317" spans="1:58" s="1229" customFormat="1" ht="14.25" customHeight="1">
      <c r="A317" s="1155"/>
      <c r="B317" s="783"/>
      <c r="C317" s="1155"/>
      <c r="D317" s="1155"/>
      <c r="E317" s="676">
        <v>15</v>
      </c>
      <c r="F317" s="779" t="str" cm="1">
        <f t="array" ref="F317">F316</f>
        <v>2</v>
      </c>
      <c r="G317" s="814"/>
      <c r="H317" s="814"/>
      <c r="I317" s="814"/>
      <c r="J317" s="814"/>
      <c r="K317" s="814"/>
      <c r="L317" s="814"/>
      <c r="M317" s="814"/>
      <c r="N317" s="814"/>
      <c r="O317" s="814"/>
      <c r="P317" s="814"/>
      <c r="Q317" s="784"/>
      <c r="R317" s="784"/>
      <c r="S317" s="814"/>
      <c r="T317" s="698" t="b" cm="1">
        <f t="array" ref="T317">T316</f>
        <v>1</v>
      </c>
      <c r="U317" s="1155"/>
      <c r="V317" s="1155"/>
      <c r="W317" s="1155"/>
      <c r="X317" s="1687"/>
      <c r="Y317" s="1155"/>
      <c r="Z317" s="1687"/>
      <c r="AA317" s="791"/>
      <c r="AB317" s="420" t="str">
        <f>AB314&amp;".3"</f>
        <v>7.4.3</v>
      </c>
      <c r="AC317" s="422" t="s">
        <v>1092</v>
      </c>
      <c r="AD317" s="420" t="s">
        <v>1077</v>
      </c>
      <c r="AE317" s="1249"/>
      <c r="AF317" s="1249"/>
      <c r="AG317" s="1249"/>
      <c r="AH317" s="1249"/>
      <c r="AI317" s="230"/>
      <c r="AJ317" s="230"/>
      <c r="AK317" s="230"/>
      <c r="AL317" s="230"/>
      <c r="AM317" s="230"/>
      <c r="AN317" s="1249"/>
      <c r="AO317" s="1249"/>
      <c r="AP317" s="1249"/>
      <c r="AQ317" s="1249"/>
      <c r="AR317" s="1249"/>
      <c r="AS317" s="230"/>
      <c r="AT317" s="230"/>
      <c r="AU317" s="230"/>
      <c r="AV317" s="230"/>
      <c r="AW317" s="230"/>
      <c r="AX317" s="1249"/>
      <c r="AY317" s="1249"/>
      <c r="AZ317" s="1249"/>
      <c r="BA317" s="1249"/>
      <c r="BB317" s="1249"/>
      <c r="BC317" s="1290"/>
      <c r="BD317" s="791"/>
      <c r="BE317" s="791"/>
      <c r="BF317" s="970" t="s">
        <v>1196</v>
      </c>
    </row>
    <row r="318" spans="1:58" s="1229" customFormat="1" ht="14.25" customHeight="1">
      <c r="A318" s="1155"/>
      <c r="B318" s="783"/>
      <c r="C318" s="1155"/>
      <c r="D318" s="1155"/>
      <c r="E318" s="676">
        <v>15</v>
      </c>
      <c r="F318" s="779" t="str" cm="1">
        <f t="array" ref="F318">F317</f>
        <v>2</v>
      </c>
      <c r="G318" s="814"/>
      <c r="H318" s="814"/>
      <c r="I318" s="814"/>
      <c r="J318" s="814"/>
      <c r="K318" s="814"/>
      <c r="L318" s="814"/>
      <c r="M318" s="814"/>
      <c r="N318" s="814"/>
      <c r="O318" s="814"/>
      <c r="P318" s="814"/>
      <c r="Q318" s="784"/>
      <c r="R318" s="784"/>
      <c r="S318" s="814"/>
      <c r="T318" s="698" t="b" cm="1">
        <f t="array" ref="T318">T317</f>
        <v>1</v>
      </c>
      <c r="U318" s="1155"/>
      <c r="V318" s="1155"/>
      <c r="W318" s="1155"/>
      <c r="X318" s="1687"/>
      <c r="Y318" s="1155"/>
      <c r="Z318" s="1687"/>
      <c r="AA318" s="791"/>
      <c r="AB318" s="420" t="str">
        <f>AB314&amp;".4"</f>
        <v>7.4.4</v>
      </c>
      <c r="AC318" s="422" t="s">
        <v>1095</v>
      </c>
      <c r="AD318" s="420" t="s">
        <v>1077</v>
      </c>
      <c r="AE318" s="1249"/>
      <c r="AF318" s="1249"/>
      <c r="AG318" s="1249"/>
      <c r="AH318" s="1249"/>
      <c r="AI318" s="230"/>
      <c r="AJ318" s="230"/>
      <c r="AK318" s="230"/>
      <c r="AL318" s="230"/>
      <c r="AM318" s="230"/>
      <c r="AN318" s="1249"/>
      <c r="AO318" s="1249"/>
      <c r="AP318" s="1249"/>
      <c r="AQ318" s="1249"/>
      <c r="AR318" s="1249"/>
      <c r="AS318" s="230"/>
      <c r="AT318" s="230"/>
      <c r="AU318" s="230"/>
      <c r="AV318" s="230"/>
      <c r="AW318" s="230"/>
      <c r="AX318" s="1249"/>
      <c r="AY318" s="1249"/>
      <c r="AZ318" s="1249"/>
      <c r="BA318" s="1249"/>
      <c r="BB318" s="1249"/>
      <c r="BC318" s="1290"/>
      <c r="BD318" s="791"/>
      <c r="BE318" s="791"/>
      <c r="BF318" s="970" t="s">
        <v>1197</v>
      </c>
    </row>
    <row r="319" spans="1:58" s="1229" customFormat="1" ht="14.25" customHeight="1">
      <c r="A319" s="1155"/>
      <c r="B319" s="783"/>
      <c r="C319" s="1155"/>
      <c r="D319" s="1155"/>
      <c r="E319" s="676">
        <v>15</v>
      </c>
      <c r="F319" s="779" t="str" cm="1">
        <f t="array" ref="F319">F318</f>
        <v>2</v>
      </c>
      <c r="G319" s="814"/>
      <c r="H319" s="814"/>
      <c r="I319" s="814"/>
      <c r="J319" s="814"/>
      <c r="K319" s="814"/>
      <c r="L319" s="814"/>
      <c r="M319" s="814"/>
      <c r="N319" s="814"/>
      <c r="O319" s="814"/>
      <c r="P319" s="814"/>
      <c r="Q319" s="784"/>
      <c r="R319" s="784"/>
      <c r="S319" s="814"/>
      <c r="T319" s="698" t="b" cm="1">
        <f t="array" ref="T319">T318</f>
        <v>1</v>
      </c>
      <c r="U319" s="1155"/>
      <c r="V319" s="1155"/>
      <c r="W319" s="1155"/>
      <c r="X319" s="1687"/>
      <c r="Y319" s="1155"/>
      <c r="Z319" s="1687"/>
      <c r="AA319" s="791"/>
      <c r="AB319" s="420" t="str">
        <f>AB314&amp;".5"</f>
        <v>7.4.5</v>
      </c>
      <c r="AC319" s="422" t="s">
        <v>1098</v>
      </c>
      <c r="AD319" s="420" t="s">
        <v>1077</v>
      </c>
      <c r="AE319" s="1249"/>
      <c r="AF319" s="1249"/>
      <c r="AG319" s="1249"/>
      <c r="AH319" s="1249"/>
      <c r="AI319" s="230"/>
      <c r="AJ319" s="230"/>
      <c r="AK319" s="230"/>
      <c r="AL319" s="230"/>
      <c r="AM319" s="230"/>
      <c r="AN319" s="1249"/>
      <c r="AO319" s="1249"/>
      <c r="AP319" s="1249"/>
      <c r="AQ319" s="1249"/>
      <c r="AR319" s="1249"/>
      <c r="AS319" s="230"/>
      <c r="AT319" s="230"/>
      <c r="AU319" s="230"/>
      <c r="AV319" s="230"/>
      <c r="AW319" s="230"/>
      <c r="AX319" s="1249"/>
      <c r="AY319" s="1249"/>
      <c r="AZ319" s="1249"/>
      <c r="BA319" s="1249"/>
      <c r="BB319" s="1249"/>
      <c r="BC319" s="1290"/>
      <c r="BD319" s="791"/>
      <c r="BE319" s="791"/>
      <c r="BF319" s="970" t="s">
        <v>1198</v>
      </c>
    </row>
    <row r="320" spans="1:58" s="1229" customFormat="1" ht="14.25" customHeight="1">
      <c r="A320" s="1155"/>
      <c r="B320" s="783"/>
      <c r="C320" s="1155"/>
      <c r="D320" s="1155"/>
      <c r="E320" s="676">
        <v>15</v>
      </c>
      <c r="F320" s="779" t="str" cm="1">
        <f t="array" ref="F320">F319</f>
        <v>2</v>
      </c>
      <c r="G320" s="814"/>
      <c r="H320" s="814"/>
      <c r="I320" s="814"/>
      <c r="J320" s="814"/>
      <c r="K320" s="814"/>
      <c r="L320" s="814"/>
      <c r="M320" s="814"/>
      <c r="N320" s="814"/>
      <c r="O320" s="814"/>
      <c r="P320" s="814"/>
      <c r="Q320" s="784"/>
      <c r="R320" s="784"/>
      <c r="S320" s="814"/>
      <c r="T320" s="698" t="b" cm="1">
        <f t="array" ref="T320">T319</f>
        <v>1</v>
      </c>
      <c r="U320" s="1155"/>
      <c r="V320" s="1155"/>
      <c r="W320" s="1155"/>
      <c r="X320" s="1687"/>
      <c r="Y320" s="1155"/>
      <c r="Z320" s="1687"/>
      <c r="AA320" s="791"/>
      <c r="AB320" s="420" t="str">
        <f>AB310&amp;".5"</f>
        <v>7.5</v>
      </c>
      <c r="AC320" s="421" t="s">
        <v>1101</v>
      </c>
      <c r="AD320" s="420" t="s">
        <v>1077</v>
      </c>
      <c r="AE320" s="1249"/>
      <c r="AF320" s="1249"/>
      <c r="AG320" s="1249"/>
      <c r="AH320" s="1249"/>
      <c r="AI320" s="230"/>
      <c r="AJ320" s="230"/>
      <c r="AK320" s="230"/>
      <c r="AL320" s="230"/>
      <c r="AM320" s="230"/>
      <c r="AN320" s="1249"/>
      <c r="AO320" s="1249"/>
      <c r="AP320" s="1249"/>
      <c r="AQ320" s="1249"/>
      <c r="AR320" s="1249"/>
      <c r="AS320" s="230"/>
      <c r="AT320" s="230"/>
      <c r="AU320" s="230"/>
      <c r="AV320" s="230"/>
      <c r="AW320" s="230"/>
      <c r="AX320" s="1249"/>
      <c r="AY320" s="1249"/>
      <c r="AZ320" s="1249"/>
      <c r="BA320" s="1249"/>
      <c r="BB320" s="1249"/>
      <c r="BC320" s="1290"/>
      <c r="BD320" s="791"/>
      <c r="BE320" s="791"/>
      <c r="BF320" s="970" t="s">
        <v>1199</v>
      </c>
    </row>
    <row r="321" spans="1:58" s="1229" customFormat="1" ht="14.25" customHeight="1">
      <c r="A321" s="1155"/>
      <c r="B321" s="783"/>
      <c r="C321" s="1155"/>
      <c r="D321" s="1155"/>
      <c r="E321" s="676">
        <v>15</v>
      </c>
      <c r="F321" s="779" t="str" cm="1">
        <f t="array" ref="F321">F320</f>
        <v>2</v>
      </c>
      <c r="G321" s="814"/>
      <c r="H321" s="814"/>
      <c r="I321" s="814"/>
      <c r="J321" s="814"/>
      <c r="K321" s="814"/>
      <c r="L321" s="814"/>
      <c r="M321" s="814"/>
      <c r="N321" s="814"/>
      <c r="O321" s="814"/>
      <c r="P321" s="814"/>
      <c r="Q321" s="784"/>
      <c r="R321" s="784"/>
      <c r="S321" s="814"/>
      <c r="T321" s="698" t="b" cm="1">
        <f t="array" ref="T321">T320</f>
        <v>1</v>
      </c>
      <c r="U321" s="1155"/>
      <c r="V321" s="1155"/>
      <c r="W321" s="1155"/>
      <c r="X321" s="1687"/>
      <c r="Y321" s="1155"/>
      <c r="Z321" s="1687"/>
      <c r="AA321" s="791"/>
      <c r="AB321" s="420" t="str">
        <f>AB310&amp;".6"</f>
        <v>7.6</v>
      </c>
      <c r="AC321" s="421" t="s">
        <v>1104</v>
      </c>
      <c r="AD321" s="420" t="s">
        <v>1077</v>
      </c>
      <c r="AE321" s="1249"/>
      <c r="AF321" s="1249"/>
      <c r="AG321" s="1249"/>
      <c r="AH321" s="1249"/>
      <c r="AI321" s="230"/>
      <c r="AJ321" s="230"/>
      <c r="AK321" s="230"/>
      <c r="AL321" s="230"/>
      <c r="AM321" s="230"/>
      <c r="AN321" s="1249"/>
      <c r="AO321" s="1249"/>
      <c r="AP321" s="1249"/>
      <c r="AQ321" s="1249"/>
      <c r="AR321" s="1249"/>
      <c r="AS321" s="230"/>
      <c r="AT321" s="230"/>
      <c r="AU321" s="230"/>
      <c r="AV321" s="230"/>
      <c r="AW321" s="230"/>
      <c r="AX321" s="1249"/>
      <c r="AY321" s="1249"/>
      <c r="AZ321" s="1249"/>
      <c r="BA321" s="1249"/>
      <c r="BB321" s="1249"/>
      <c r="BC321" s="1290"/>
      <c r="BD321" s="791"/>
      <c r="BE321" s="791"/>
      <c r="BF321" s="970" t="s">
        <v>1200</v>
      </c>
    </row>
    <row r="322" spans="1:58" s="1229" customFormat="1" ht="14.25" customHeight="1">
      <c r="A322" s="1155"/>
      <c r="B322" s="783"/>
      <c r="C322" s="1155"/>
      <c r="D322" s="1155"/>
      <c r="E322" s="676">
        <v>15</v>
      </c>
      <c r="F322" s="779" t="str" cm="1">
        <f t="array" ref="F322">F321</f>
        <v>2</v>
      </c>
      <c r="G322" s="814"/>
      <c r="H322" s="814"/>
      <c r="I322" s="814"/>
      <c r="J322" s="814"/>
      <c r="K322" s="814"/>
      <c r="L322" s="814"/>
      <c r="M322" s="814"/>
      <c r="N322" s="814"/>
      <c r="O322" s="814"/>
      <c r="P322" s="814"/>
      <c r="Q322" s="784"/>
      <c r="R322" s="784"/>
      <c r="S322" s="814"/>
      <c r="T322" s="698" t="b" cm="1">
        <f t="array" ref="T322">T321</f>
        <v>1</v>
      </c>
      <c r="U322" s="1155"/>
      <c r="V322" s="1155"/>
      <c r="W322" s="1155"/>
      <c r="X322" s="1687"/>
      <c r="Y322" s="1155"/>
      <c r="Z322" s="1687"/>
      <c r="AA322" s="791"/>
      <c r="AB322" s="420" t="str">
        <f>AB310&amp;".7"</f>
        <v>7.7</v>
      </c>
      <c r="AC322" s="421" t="s">
        <v>1107</v>
      </c>
      <c r="AD322" s="420" t="s">
        <v>1077</v>
      </c>
      <c r="AE322" s="1249"/>
      <c r="AF322" s="1249"/>
      <c r="AG322" s="1249"/>
      <c r="AH322" s="1249"/>
      <c r="AI322" s="230"/>
      <c r="AJ322" s="230"/>
      <c r="AK322" s="230"/>
      <c r="AL322" s="230"/>
      <c r="AM322" s="230"/>
      <c r="AN322" s="1249"/>
      <c r="AO322" s="1249"/>
      <c r="AP322" s="1249"/>
      <c r="AQ322" s="1249"/>
      <c r="AR322" s="1249"/>
      <c r="AS322" s="230"/>
      <c r="AT322" s="230"/>
      <c r="AU322" s="230"/>
      <c r="AV322" s="230"/>
      <c r="AW322" s="230"/>
      <c r="AX322" s="1249"/>
      <c r="AY322" s="1249"/>
      <c r="AZ322" s="1249"/>
      <c r="BA322" s="1249"/>
      <c r="BB322" s="1249"/>
      <c r="BC322" s="1290"/>
      <c r="BD322" s="791"/>
      <c r="BE322" s="791"/>
      <c r="BF322" s="970" t="s">
        <v>1201</v>
      </c>
    </row>
    <row r="323" spans="1:58" s="1229" customFormat="1" ht="14.25" customHeight="1">
      <c r="A323" s="1155"/>
      <c r="B323" s="783"/>
      <c r="C323" s="1155"/>
      <c r="D323" s="1155"/>
      <c r="E323" s="676">
        <v>15</v>
      </c>
      <c r="F323" s="779" t="str" cm="1">
        <f t="array" ref="F323">F322</f>
        <v>2</v>
      </c>
      <c r="G323" s="814"/>
      <c r="H323" s="814"/>
      <c r="I323" s="814"/>
      <c r="J323" s="814"/>
      <c r="K323" s="814"/>
      <c r="L323" s="814"/>
      <c r="M323" s="814"/>
      <c r="N323" s="814"/>
      <c r="O323" s="814"/>
      <c r="P323" s="814"/>
      <c r="Q323" s="784"/>
      <c r="R323" s="784"/>
      <c r="S323" s="814"/>
      <c r="T323" s="698" t="b" cm="1">
        <f t="array" ref="T323">T322</f>
        <v>1</v>
      </c>
      <c r="U323" s="1155"/>
      <c r="V323" s="1155"/>
      <c r="W323" s="1155"/>
      <c r="X323" s="1687"/>
      <c r="Y323" s="1155"/>
      <c r="Z323" s="1687"/>
      <c r="AA323" s="791"/>
      <c r="AB323" s="420" t="str">
        <f>AB310&amp;".8"</f>
        <v>7.8</v>
      </c>
      <c r="AC323" s="421" t="s">
        <v>1110</v>
      </c>
      <c r="AD323" s="420" t="s">
        <v>1077</v>
      </c>
      <c r="AE323" s="1249"/>
      <c r="AF323" s="1249"/>
      <c r="AG323" s="1249"/>
      <c r="AH323" s="1249"/>
      <c r="AI323" s="230"/>
      <c r="AJ323" s="230"/>
      <c r="AK323" s="230"/>
      <c r="AL323" s="230"/>
      <c r="AM323" s="230"/>
      <c r="AN323" s="1249"/>
      <c r="AO323" s="1249"/>
      <c r="AP323" s="1249"/>
      <c r="AQ323" s="1249"/>
      <c r="AR323" s="1249"/>
      <c r="AS323" s="230"/>
      <c r="AT323" s="230"/>
      <c r="AU323" s="230"/>
      <c r="AV323" s="230"/>
      <c r="AW323" s="230"/>
      <c r="AX323" s="1249"/>
      <c r="AY323" s="1249"/>
      <c r="AZ323" s="1249"/>
      <c r="BA323" s="1249"/>
      <c r="BB323" s="1249"/>
      <c r="BC323" s="1290"/>
      <c r="BD323" s="791"/>
      <c r="BE323" s="791"/>
      <c r="BF323" s="970" t="s">
        <v>1202</v>
      </c>
    </row>
    <row r="324" spans="1:58" ht="11.1" customHeight="1">
      <c r="E324" s="676">
        <v>11.4</v>
      </c>
      <c r="U324" s="129" t="s">
        <v>238</v>
      </c>
      <c r="V324" s="122" t="s">
        <v>1203</v>
      </c>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row>
    <row r="325" spans="1:58" ht="11.25" hidden="1" customHeight="1">
      <c r="E325" s="676">
        <v>0</v>
      </c>
      <c r="AB325" s="129"/>
      <c r="AC325" s="168"/>
      <c r="AD325" s="129"/>
      <c r="AE325" s="169"/>
      <c r="AF325" s="169"/>
      <c r="AG325" s="169"/>
      <c r="AH325" s="169"/>
      <c r="AI325" s="169"/>
      <c r="AJ325" s="169"/>
      <c r="AK325" s="169"/>
      <c r="AL325" s="169"/>
      <c r="AM325" s="169"/>
      <c r="AN325" s="169"/>
      <c r="AO325" s="169"/>
      <c r="AP325" s="169"/>
      <c r="AQ325" s="169"/>
      <c r="AR325" s="169"/>
    </row>
    <row r="326" spans="1:58" s="425" customFormat="1" ht="14.65" customHeight="1">
      <c r="A326" s="126"/>
      <c r="B326" s="667"/>
      <c r="C326" s="126"/>
      <c r="D326" s="126"/>
      <c r="E326" s="676">
        <v>15</v>
      </c>
      <c r="F326" s="126"/>
      <c r="Q326" s="620"/>
      <c r="R326" s="620"/>
      <c r="T326" s="126"/>
      <c r="U326" s="126"/>
      <c r="V326" s="126"/>
      <c r="W326" s="126"/>
      <c r="X326" s="126"/>
      <c r="Y326" s="126"/>
      <c r="Z326" s="126"/>
      <c r="AB326" s="1802" t="s">
        <v>734</v>
      </c>
      <c r="AC326" s="1802"/>
      <c r="AD326" s="1802"/>
      <c r="AE326" s="1802"/>
      <c r="AF326" s="1802"/>
      <c r="AG326" s="1802"/>
      <c r="AH326" s="1802"/>
      <c r="AI326" s="1803"/>
      <c r="AJ326" s="1803"/>
      <c r="AK326" s="1803"/>
      <c r="AL326" s="1803"/>
      <c r="AM326" s="1803"/>
      <c r="AN326" s="1803"/>
      <c r="AO326" s="1803"/>
      <c r="AP326" s="1803"/>
      <c r="AQ326" s="1803"/>
      <c r="AR326" s="1803"/>
      <c r="AS326" s="1803"/>
      <c r="AT326" s="1803"/>
      <c r="AU326" s="1803"/>
      <c r="AV326" s="1803"/>
      <c r="AW326" s="1803"/>
      <c r="AX326" s="1803"/>
      <c r="AY326" s="1803"/>
      <c r="AZ326" s="1803"/>
      <c r="BA326" s="1803"/>
      <c r="BB326" s="1803"/>
      <c r="BC326" s="1803"/>
      <c r="BF326" s="981"/>
    </row>
    <row r="327" spans="1:58" s="425" customFormat="1" ht="14.65" customHeight="1">
      <c r="A327" s="126"/>
      <c r="B327" s="667"/>
      <c r="C327" s="126"/>
      <c r="D327" s="126"/>
      <c r="E327" s="676">
        <v>15</v>
      </c>
      <c r="F327" s="126"/>
      <c r="Q327" s="620"/>
      <c r="R327" s="620"/>
      <c r="T327" s="126"/>
      <c r="U327" s="126"/>
      <c r="V327" s="126"/>
      <c r="W327" s="126"/>
      <c r="X327" s="126"/>
      <c r="Y327" s="126"/>
      <c r="Z327" s="126"/>
      <c r="AA327" s="778"/>
      <c r="AB327" s="1804"/>
      <c r="AC327" s="1804"/>
      <c r="AD327" s="1804"/>
      <c r="AE327" s="1804"/>
      <c r="AF327" s="1804"/>
      <c r="AG327" s="1804"/>
      <c r="AH327" s="1804"/>
      <c r="AI327" s="1796"/>
      <c r="AJ327" s="1796"/>
      <c r="AK327" s="1796"/>
      <c r="AL327" s="1796"/>
      <c r="AM327" s="1796"/>
      <c r="AN327" s="1797"/>
      <c r="AO327" s="1797"/>
      <c r="AP327" s="1797"/>
      <c r="AQ327" s="1797"/>
      <c r="AR327" s="1797"/>
      <c r="AS327" s="1796"/>
      <c r="AT327" s="1796"/>
      <c r="AU327" s="1796"/>
      <c r="AV327" s="1796"/>
      <c r="AW327" s="1796"/>
      <c r="AX327" s="1797"/>
      <c r="AY327" s="1797"/>
      <c r="AZ327" s="1797"/>
      <c r="BA327" s="1797"/>
      <c r="BB327" s="1797"/>
      <c r="BC327" s="1796"/>
      <c r="BF327" s="981"/>
    </row>
    <row r="328" spans="1:58" s="425" customFormat="1" ht="14.65" hidden="1" customHeight="1">
      <c r="A328" s="126"/>
      <c r="B328" s="667"/>
      <c r="C328" s="126"/>
      <c r="D328" s="126"/>
      <c r="E328" s="676">
        <v>15</v>
      </c>
      <c r="F328" s="126"/>
      <c r="Q328" s="620"/>
      <c r="R328" s="620"/>
      <c r="T328" s="687" t="b">
        <f>ROW(W328)&gt;ROW(W$328)</f>
        <v>0</v>
      </c>
      <c r="U328" s="126"/>
      <c r="V328" s="129"/>
      <c r="W328" s="126" t="s">
        <v>236</v>
      </c>
      <c r="X328" s="126"/>
      <c r="Y328" s="126"/>
      <c r="Z328" s="126"/>
      <c r="AA328" s="774" t="s">
        <v>218</v>
      </c>
      <c r="AB328" s="1795"/>
      <c r="AC328" s="1795"/>
      <c r="AD328" s="1795"/>
      <c r="AE328" s="1795"/>
      <c r="AF328" s="1795"/>
      <c r="AG328" s="1795"/>
      <c r="AH328" s="1795"/>
      <c r="AI328" s="1796"/>
      <c r="AJ328" s="1796"/>
      <c r="AK328" s="1796"/>
      <c r="AL328" s="1796"/>
      <c r="AM328" s="1796"/>
      <c r="AN328" s="1797"/>
      <c r="AO328" s="1797"/>
      <c r="AP328" s="1797"/>
      <c r="AQ328" s="1797"/>
      <c r="AR328" s="1797"/>
      <c r="AS328" s="1796"/>
      <c r="AT328" s="1796"/>
      <c r="AU328" s="1796"/>
      <c r="AV328" s="1796"/>
      <c r="AW328" s="1796"/>
      <c r="AX328" s="1797"/>
      <c r="AY328" s="1797"/>
      <c r="AZ328" s="1797"/>
      <c r="BA328" s="1797"/>
      <c r="BB328" s="1797"/>
      <c r="BC328" s="1797"/>
      <c r="BF328" s="981"/>
    </row>
    <row r="329" spans="1:58" s="425" customFormat="1" ht="14.65" customHeight="1">
      <c r="A329" s="126"/>
      <c r="B329" s="667"/>
      <c r="C329" s="126"/>
      <c r="D329" s="126"/>
      <c r="E329" s="676">
        <v>15</v>
      </c>
      <c r="F329" s="126"/>
      <c r="Q329" s="620"/>
      <c r="R329" s="620"/>
      <c r="T329" s="126"/>
      <c r="U329" s="126"/>
      <c r="V329" s="126"/>
      <c r="W329" s="122" t="s">
        <v>237</v>
      </c>
      <c r="X329" s="126"/>
      <c r="Y329" s="126"/>
      <c r="Z329" s="126"/>
      <c r="AB329" s="1736" t="s">
        <v>735</v>
      </c>
      <c r="AC329" s="1737"/>
      <c r="AD329" s="324"/>
      <c r="AE329" s="324"/>
      <c r="AF329" s="325"/>
      <c r="AG329" s="325"/>
      <c r="AH329" s="325"/>
      <c r="AI329" s="325"/>
      <c r="AJ329" s="325"/>
      <c r="AK329" s="325"/>
      <c r="AL329" s="325"/>
      <c r="AM329" s="325"/>
      <c r="AN329" s="325"/>
      <c r="AO329" s="325"/>
      <c r="AP329" s="325"/>
      <c r="AQ329" s="325"/>
      <c r="AR329" s="325"/>
      <c r="AS329" s="325"/>
      <c r="AT329" s="325"/>
      <c r="AU329" s="325"/>
      <c r="AV329" s="325"/>
      <c r="AW329" s="325"/>
      <c r="AX329" s="325"/>
      <c r="AY329" s="325"/>
      <c r="AZ329" s="325"/>
      <c r="BA329" s="325"/>
      <c r="BB329" s="325"/>
      <c r="BC329" s="326"/>
      <c r="BF329" s="981"/>
    </row>
    <row r="330" spans="1:58" ht="11.25" customHeight="1">
      <c r="BD330" s="137"/>
    </row>
  </sheetData>
  <sheetProtection formatColumns="0" formatRows="0" insertRows="0" deleteColumns="0" deleteRows="0" sort="0" autoFilter="0"/>
  <mergeCells count="15">
    <mergeCell ref="AB23:BB23"/>
    <mergeCell ref="AB24:AB25"/>
    <mergeCell ref="AC24:AC25"/>
    <mergeCell ref="AD24:AD25"/>
    <mergeCell ref="BC24:BC25"/>
    <mergeCell ref="Z27:Z125"/>
    <mergeCell ref="X27:X125"/>
    <mergeCell ref="AB328:BC328"/>
    <mergeCell ref="AB329:AC329"/>
    <mergeCell ref="AB327:BC327"/>
    <mergeCell ref="AB326:BC326"/>
    <mergeCell ref="Z126:Z224"/>
    <mergeCell ref="X126:X224"/>
    <mergeCell ref="Z225:Z323"/>
    <mergeCell ref="X225:X323"/>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19278-4628-16A6-9568-CD98D9D748D1}">
  <sheetPr>
    <tabColor rgb="FF002060"/>
    <outlinePr summaryBelow="0" summaryRight="0"/>
    <pageSetUpPr fitToPage="1"/>
  </sheetPr>
  <dimension ref="A1:BF68"/>
  <sheetViews>
    <sheetView showGridLines="0" workbookViewId="0">
      <pane xSplit="30" ySplit="26" topLeftCell="AH57" activePane="bottomRight" state="frozen"/>
      <selection pane="topRight" activeCell="AE1" sqref="AE1"/>
      <selection pane="bottomLeft" activeCell="A27" sqref="A27"/>
      <selection pane="bottomRight" activeCell="AH62" sqref="AH62"/>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425" hidden="1" customWidth="1"/>
    <col min="17" max="18" width="3.5703125" style="784" hidden="1" customWidth="1"/>
    <col min="19" max="19" width="3.5703125" style="425" hidden="1" customWidth="1"/>
    <col min="20" max="20" width="9.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0" customWidth="1"/>
    <col min="28" max="28" width="5.28515625" style="170" customWidth="1"/>
    <col min="29" max="29" width="58" style="170" customWidth="1"/>
    <col min="30" max="30" width="12.140625" style="170" customWidth="1"/>
    <col min="31" max="31" width="13.140625" style="171" customWidth="1"/>
    <col min="32" max="39" width="13.140625" style="170" customWidth="1"/>
    <col min="40" max="44" width="13.140625" style="170" hidden="1" customWidth="1"/>
    <col min="45" max="49" width="13.140625" style="170" customWidth="1"/>
    <col min="50" max="54" width="13.140625" style="170" hidden="1" customWidth="1"/>
    <col min="55" max="55" width="20.140625" style="170" customWidth="1"/>
    <col min="56" max="56" width="3" style="170" customWidth="1"/>
    <col min="57" max="57" width="9.140625" style="170" hidden="1"/>
    <col min="58" max="58" width="9.140625" style="1015" hidden="1"/>
  </cols>
  <sheetData>
    <row r="1" spans="1:58" s="1153" customFormat="1" ht="12" hidden="1" customHeight="1">
      <c r="B1" s="783"/>
      <c r="E1" s="783"/>
      <c r="F1" s="698" t="s">
        <v>83</v>
      </c>
      <c r="G1" s="425"/>
      <c r="H1" s="425"/>
      <c r="I1" s="425"/>
      <c r="J1" s="425"/>
      <c r="K1" s="425"/>
      <c r="L1" s="425"/>
      <c r="M1" s="425"/>
      <c r="N1" s="425"/>
      <c r="O1" s="425"/>
      <c r="P1" s="425"/>
      <c r="Q1" s="784"/>
      <c r="R1" s="784"/>
      <c r="S1" s="425"/>
      <c r="T1" s="687" t="s">
        <v>86</v>
      </c>
      <c r="U1" s="687" t="s">
        <v>91</v>
      </c>
      <c r="V1" s="687" t="s">
        <v>87</v>
      </c>
      <c r="W1" s="687" t="s">
        <v>88</v>
      </c>
      <c r="X1" s="687" t="s">
        <v>89</v>
      </c>
      <c r="Y1" s="698" t="s">
        <v>382</v>
      </c>
      <c r="Z1" s="687" t="s">
        <v>93</v>
      </c>
      <c r="AA1" s="698" t="s">
        <v>90</v>
      </c>
      <c r="AB1" s="698" t="s">
        <v>92</v>
      </c>
      <c r="BF1" s="1015" t="s">
        <v>383</v>
      </c>
    </row>
    <row r="2" spans="1:58" s="783" customFormat="1" ht="12" hidden="1" customHeight="1">
      <c r="B2" s="785" t="s">
        <v>15</v>
      </c>
      <c r="G2" s="817"/>
      <c r="H2" s="817"/>
      <c r="I2" s="817"/>
      <c r="J2" s="817"/>
      <c r="K2" s="817"/>
      <c r="L2" s="817"/>
      <c r="M2" s="817"/>
      <c r="N2" s="817"/>
      <c r="O2" s="817"/>
      <c r="P2" s="817"/>
      <c r="Q2" s="817"/>
      <c r="R2" s="817"/>
      <c r="S2" s="817"/>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1018"/>
    </row>
    <row r="3" spans="1:58" s="1153" customFormat="1" ht="12" hidden="1" customHeight="1">
      <c r="B3" s="783"/>
      <c r="E3" s="783"/>
      <c r="G3" s="425"/>
      <c r="H3" s="425"/>
      <c r="I3" s="425"/>
      <c r="J3" s="425"/>
      <c r="K3" s="425"/>
      <c r="L3" s="425"/>
      <c r="M3" s="425"/>
      <c r="N3" s="425"/>
      <c r="O3" s="425"/>
      <c r="P3" s="425"/>
      <c r="Q3" s="784"/>
      <c r="R3" s="784"/>
      <c r="S3" s="425"/>
      <c r="BF3" s="1015"/>
    </row>
    <row r="4" spans="1:58" s="1153" customFormat="1" ht="12" hidden="1" customHeight="1">
      <c r="B4" s="783"/>
      <c r="E4" s="783"/>
      <c r="G4" s="425"/>
      <c r="H4" s="425"/>
      <c r="I4" s="425"/>
      <c r="J4" s="425"/>
      <c r="K4" s="425"/>
      <c r="L4" s="425"/>
      <c r="M4" s="425"/>
      <c r="N4" s="425"/>
      <c r="O4" s="425"/>
      <c r="P4" s="425"/>
      <c r="Q4" s="784"/>
      <c r="R4" s="784"/>
      <c r="S4" s="425"/>
      <c r="BF4" s="1015"/>
    </row>
    <row r="5" spans="1:58" s="782" customFormat="1" ht="12" hidden="1" customHeight="1">
      <c r="A5" s="783"/>
      <c r="B5" s="783"/>
      <c r="C5" s="783"/>
      <c r="D5" s="783"/>
      <c r="E5" s="782" t="s">
        <v>16</v>
      </c>
      <c r="G5" s="818"/>
      <c r="H5" s="818"/>
      <c r="I5" s="818"/>
      <c r="J5" s="818"/>
      <c r="K5" s="818"/>
      <c r="L5" s="818"/>
      <c r="M5" s="818"/>
      <c r="N5" s="818"/>
      <c r="O5" s="818"/>
      <c r="P5" s="818"/>
      <c r="Q5" s="818"/>
      <c r="R5" s="818"/>
      <c r="S5" s="818"/>
      <c r="AA5" s="782">
        <v>3</v>
      </c>
      <c r="AB5" s="782">
        <v>5.25</v>
      </c>
      <c r="AC5" s="782">
        <v>58</v>
      </c>
      <c r="AD5" s="782">
        <v>12.13</v>
      </c>
      <c r="AE5" s="782">
        <v>13.13</v>
      </c>
      <c r="AF5" s="782">
        <v>13.13</v>
      </c>
      <c r="AG5" s="782">
        <v>13.13</v>
      </c>
      <c r="AH5" s="782">
        <v>13.13</v>
      </c>
      <c r="AI5" s="782">
        <v>13.13</v>
      </c>
      <c r="AJ5" s="782">
        <v>13.13</v>
      </c>
      <c r="AK5" s="782">
        <v>13.13</v>
      </c>
      <c r="AL5" s="782">
        <v>13.13</v>
      </c>
      <c r="AM5" s="782">
        <v>13.13</v>
      </c>
      <c r="AN5" s="782">
        <v>13.13</v>
      </c>
      <c r="AO5" s="782">
        <v>13.13</v>
      </c>
      <c r="AP5" s="782">
        <v>13.13</v>
      </c>
      <c r="AQ5" s="782">
        <v>13.13</v>
      </c>
      <c r="AR5" s="782">
        <v>13.13</v>
      </c>
      <c r="AS5" s="782">
        <v>13.13</v>
      </c>
      <c r="AT5" s="782">
        <v>13.13</v>
      </c>
      <c r="AU5" s="782">
        <v>13.13</v>
      </c>
      <c r="AV5" s="782">
        <v>13.13</v>
      </c>
      <c r="AW5" s="782">
        <v>13.13</v>
      </c>
      <c r="AX5" s="782">
        <v>13.13</v>
      </c>
      <c r="AY5" s="782">
        <v>13.13</v>
      </c>
      <c r="AZ5" s="782">
        <v>13.13</v>
      </c>
      <c r="BA5" s="782">
        <v>13.13</v>
      </c>
      <c r="BB5" s="782">
        <v>13.13</v>
      </c>
      <c r="BC5" s="782">
        <v>20.13</v>
      </c>
      <c r="BD5" s="782">
        <v>3</v>
      </c>
      <c r="BF5" s="1018"/>
    </row>
    <row r="6" spans="1:58" s="1153" customFormat="1" ht="12" hidden="1" customHeight="1">
      <c r="B6" s="783"/>
      <c r="E6" s="782"/>
      <c r="G6" s="425"/>
      <c r="H6" s="425"/>
      <c r="I6" s="425"/>
      <c r="J6" s="425"/>
      <c r="K6" s="425"/>
      <c r="L6" s="425"/>
      <c r="M6" s="425"/>
      <c r="N6" s="425"/>
      <c r="O6" s="425"/>
      <c r="P6" s="425"/>
      <c r="Q6" s="784"/>
      <c r="R6" s="784"/>
      <c r="S6" s="425"/>
      <c r="AE6" s="812">
        <f>god-2</f>
        <v>2024</v>
      </c>
      <c r="AF6" s="812">
        <f>god-2</f>
        <v>2024</v>
      </c>
      <c r="AG6" s="812">
        <f>god-2</f>
        <v>2024</v>
      </c>
      <c r="AH6" s="812">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15"/>
    </row>
    <row r="7" spans="1:58" s="425" customFormat="1" ht="12" hidden="1" customHeight="1">
      <c r="A7" s="812"/>
      <c r="B7" s="783"/>
      <c r="C7" s="812"/>
      <c r="D7" s="812"/>
      <c r="E7" s="782"/>
      <c r="Q7" s="784"/>
      <c r="R7" s="784"/>
      <c r="AE7" s="425" t="str" cm="1">
        <f t="array" ref="AE7">AE25</f>
        <v>Принято органом регулирования</v>
      </c>
      <c r="AF7" s="425" t="str" cm="1">
        <f t="array" ref="AF7">AF25</f>
        <v>Факт по данным организации</v>
      </c>
      <c r="AG7" s="425" t="str" cm="1">
        <f t="array" ref="AG7">AG25</f>
        <v>Факт, принятый органом регулирования</v>
      </c>
      <c r="AH7" s="425" t="str" cm="1">
        <f t="array" ref="AH7">AH25</f>
        <v>Принято органом регулирования</v>
      </c>
      <c r="AI7" s="425" t="str" cm="1">
        <f t="array" ref="AI7">AI25</f>
        <v>Предложение организации</v>
      </c>
      <c r="AJ7" s="425" t="str" cm="1">
        <f t="array" ref="AJ7">AJ25</f>
        <v>Предложение организации</v>
      </c>
      <c r="AK7" s="425" t="str" cm="1">
        <f t="array" ref="AK7">AK25</f>
        <v>Предложение организации</v>
      </c>
      <c r="AL7" s="425" t="str" cm="1">
        <f t="array" ref="AL7">AL25</f>
        <v>Предложение организации</v>
      </c>
      <c r="AM7" s="425" t="str" cm="1">
        <f t="array" ref="AM7">AM25</f>
        <v>Предложение организации</v>
      </c>
      <c r="AN7" s="425" t="str" cm="1">
        <f t="array" ref="AN7">AN25</f>
        <v>Предложение организации</v>
      </c>
      <c r="AO7" s="425" t="str" cm="1">
        <f t="array" ref="AO7">AO25</f>
        <v>Предложение организации</v>
      </c>
      <c r="AP7" s="425" t="str" cm="1">
        <f t="array" ref="AP7">AP25</f>
        <v>Предложение организации</v>
      </c>
      <c r="AQ7" s="425" t="str" cm="1">
        <f t="array" ref="AQ7">AQ25</f>
        <v>Предложение организации</v>
      </c>
      <c r="AR7" s="425" t="str" cm="1">
        <f t="array" ref="AR7">AR25</f>
        <v>Предложение организации</v>
      </c>
      <c r="AS7" s="425" t="str" cm="1">
        <f t="array" ref="AS7">AS25</f>
        <v>Принято органом регулирования</v>
      </c>
      <c r="AT7" s="425" t="str" cm="1">
        <f t="array" ref="AT7">AT25</f>
        <v>Принято органом регулирования</v>
      </c>
      <c r="AU7" s="425" t="str" cm="1">
        <f t="array" ref="AU7">AU25</f>
        <v>Принято органом регулирования</v>
      </c>
      <c r="AV7" s="425" t="str" cm="1">
        <f t="array" ref="AV7">AV25</f>
        <v>Принято органом регулирования</v>
      </c>
      <c r="AW7" s="425" t="str" cm="1">
        <f t="array" ref="AW7">AW25</f>
        <v>Принято органом регулирования</v>
      </c>
      <c r="AX7" s="425" t="str" cm="1">
        <f t="array" ref="AX7">AX25</f>
        <v>Принято органом регулирования</v>
      </c>
      <c r="AY7" s="425" t="str" cm="1">
        <f t="array" ref="AY7">AY25</f>
        <v>Принято органом регулирования</v>
      </c>
      <c r="AZ7" s="425" t="str" cm="1">
        <f t="array" ref="AZ7">AZ25</f>
        <v>Принято органом регулирования</v>
      </c>
      <c r="BA7" s="425" t="str" cm="1">
        <f t="array" ref="BA7">BA25</f>
        <v>Принято органом регулирования</v>
      </c>
      <c r="BB7" s="425" t="str" cm="1">
        <f t="array" ref="BB7">BB25</f>
        <v>Принято органом регулирования</v>
      </c>
      <c r="BF7" s="1015"/>
    </row>
    <row r="8" spans="1:58" s="425" customFormat="1" ht="12" hidden="1" customHeight="1">
      <c r="A8" s="812"/>
      <c r="B8" s="783"/>
      <c r="C8" s="812"/>
      <c r="D8" s="812"/>
      <c r="E8" s="782"/>
      <c r="Q8" s="784"/>
      <c r="R8" s="784"/>
      <c r="BF8" s="1015"/>
    </row>
    <row r="9" spans="1:58" s="1013" customFormat="1" ht="12" hidden="1" customHeight="1">
      <c r="A9" s="1011" t="s">
        <v>472</v>
      </c>
      <c r="B9" s="1012"/>
      <c r="E9" s="1012"/>
      <c r="Q9" s="1014"/>
      <c r="R9" s="1014"/>
      <c r="AE9" s="1013">
        <f>god-2</f>
        <v>2024</v>
      </c>
      <c r="AF9" s="1013">
        <f>god-2</f>
        <v>2024</v>
      </c>
      <c r="AG9" s="1013">
        <f>god-2</f>
        <v>2024</v>
      </c>
      <c r="AH9" s="1013">
        <f>god-1</f>
        <v>2025</v>
      </c>
      <c r="AI9" s="1013" cm="1">
        <f t="array" ref="AI9">god</f>
        <v>2026</v>
      </c>
      <c r="AJ9" s="1013">
        <f>god+1</f>
        <v>2027</v>
      </c>
      <c r="AK9" s="1013">
        <f>god+2</f>
        <v>2028</v>
      </c>
      <c r="AL9" s="1013">
        <f>god+3</f>
        <v>2029</v>
      </c>
      <c r="AM9" s="1013">
        <f>god+4</f>
        <v>2030</v>
      </c>
      <c r="AN9" s="1013">
        <f>god+5</f>
        <v>2031</v>
      </c>
      <c r="AO9" s="1013">
        <f>god+6</f>
        <v>2032</v>
      </c>
      <c r="AP9" s="1013">
        <f>god+7</f>
        <v>2033</v>
      </c>
      <c r="AQ9" s="1013">
        <f>god+8</f>
        <v>2034</v>
      </c>
      <c r="AR9" s="1013">
        <f>god+9</f>
        <v>2035</v>
      </c>
      <c r="AS9" s="1013" cm="1">
        <f t="array" ref="AS9">god</f>
        <v>2026</v>
      </c>
      <c r="AT9" s="1013">
        <f>god+1</f>
        <v>2027</v>
      </c>
      <c r="AU9" s="1013">
        <f>god+2</f>
        <v>2028</v>
      </c>
      <c r="AV9" s="1013">
        <f>god+3</f>
        <v>2029</v>
      </c>
      <c r="AW9" s="1013">
        <f>god+4</f>
        <v>2030</v>
      </c>
      <c r="AX9" s="1013">
        <f>god+5</f>
        <v>2031</v>
      </c>
      <c r="AY9" s="1013">
        <f>god+6</f>
        <v>2032</v>
      </c>
      <c r="AZ9" s="1013">
        <f>god+7</f>
        <v>2033</v>
      </c>
      <c r="BA9" s="1013">
        <f>god+8</f>
        <v>2034</v>
      </c>
      <c r="BB9" s="1013">
        <f>god+9</f>
        <v>2035</v>
      </c>
      <c r="BF9" s="1015"/>
    </row>
    <row r="10" spans="1:58" s="1013" customFormat="1" ht="12" hidden="1" customHeight="1">
      <c r="A10" s="1011" t="s">
        <v>473</v>
      </c>
      <c r="B10" s="1012"/>
      <c r="E10" s="1012"/>
      <c r="Q10" s="1014"/>
      <c r="R10" s="1014"/>
      <c r="AE10" s="1013" t="str" cm="1">
        <f t="array" ref="AE10">AE25</f>
        <v>Принято органом регулирования</v>
      </c>
      <c r="AF10" s="1013" t="str" cm="1">
        <f t="array" ref="AF10">AF25</f>
        <v>Факт по данным организации</v>
      </c>
      <c r="AG10" s="1013" t="str" cm="1">
        <f t="array" ref="AG10">AG25</f>
        <v>Факт, принятый органом регулирования</v>
      </c>
      <c r="AH10" s="1013" t="str" cm="1">
        <f t="array" ref="AH10">AH25</f>
        <v>Принято органом регулирования</v>
      </c>
      <c r="AI10" s="1013" t="str" cm="1">
        <f t="array" ref="AI10">AI25</f>
        <v>Предложение организации</v>
      </c>
      <c r="AJ10" s="1013" t="str" cm="1">
        <f t="array" ref="AJ10">AJ25</f>
        <v>Предложение организации</v>
      </c>
      <c r="AK10" s="1013" t="str" cm="1">
        <f t="array" ref="AK10">AK25</f>
        <v>Предложение организации</v>
      </c>
      <c r="AL10" s="1013" t="str" cm="1">
        <f t="array" ref="AL10">AL25</f>
        <v>Предложение организации</v>
      </c>
      <c r="AM10" s="1013" t="str" cm="1">
        <f t="array" ref="AM10">AM25</f>
        <v>Предложение организации</v>
      </c>
      <c r="AN10" s="1013" t="str" cm="1">
        <f t="array" ref="AN10">AN25</f>
        <v>Предложение организации</v>
      </c>
      <c r="AO10" s="1013" t="str" cm="1">
        <f t="array" ref="AO10">AO25</f>
        <v>Предложение организации</v>
      </c>
      <c r="AP10" s="1013" t="str" cm="1">
        <f t="array" ref="AP10">AP25</f>
        <v>Предложение организации</v>
      </c>
      <c r="AQ10" s="1013" t="str" cm="1">
        <f t="array" ref="AQ10">AQ25</f>
        <v>Предложение организации</v>
      </c>
      <c r="AR10" s="1013" t="str" cm="1">
        <f t="array" ref="AR10">AR25</f>
        <v>Предложение организации</v>
      </c>
      <c r="AS10" s="1013" t="str" cm="1">
        <f t="array" ref="AS10">AS25</f>
        <v>Принято органом регулирования</v>
      </c>
      <c r="AT10" s="1013" t="str" cm="1">
        <f t="array" ref="AT10">AT25</f>
        <v>Принято органом регулирования</v>
      </c>
      <c r="AU10" s="1013" t="str" cm="1">
        <f t="array" ref="AU10">AU25</f>
        <v>Принято органом регулирования</v>
      </c>
      <c r="AV10" s="1013" t="str" cm="1">
        <f t="array" ref="AV10">AV25</f>
        <v>Принято органом регулирования</v>
      </c>
      <c r="AW10" s="1013" t="str" cm="1">
        <f t="array" ref="AW10">AW25</f>
        <v>Принято органом регулирования</v>
      </c>
      <c r="AX10" s="1013" t="str" cm="1">
        <f t="array" ref="AX10">AX25</f>
        <v>Принято органом регулирования</v>
      </c>
      <c r="AY10" s="1013" t="str" cm="1">
        <f t="array" ref="AY10">AY25</f>
        <v>Принято органом регулирования</v>
      </c>
      <c r="AZ10" s="1013" t="str" cm="1">
        <f t="array" ref="AZ10">AZ25</f>
        <v>Принято органом регулирования</v>
      </c>
      <c r="BA10" s="1013" t="str" cm="1">
        <f t="array" ref="BA10">BA25</f>
        <v>Принято органом регулирования</v>
      </c>
      <c r="BB10" s="1013" t="str" cm="1">
        <f t="array" ref="BB10">BB25</f>
        <v>Принято органом регулирования</v>
      </c>
      <c r="BF10" s="1015"/>
    </row>
    <row r="11" spans="1:58" s="1013" customFormat="1" ht="12" hidden="1" customHeight="1">
      <c r="A11" s="1011" t="s">
        <v>474</v>
      </c>
      <c r="B11" s="1012"/>
      <c r="E11" s="1012"/>
      <c r="G11" s="1016"/>
      <c r="H11" s="1016"/>
      <c r="I11" s="1016"/>
      <c r="J11" s="1016"/>
      <c r="K11" s="1016"/>
      <c r="L11" s="1016"/>
      <c r="M11" s="1016"/>
      <c r="N11" s="1016"/>
      <c r="O11" s="1016"/>
      <c r="P11" s="1016"/>
      <c r="Q11" s="1017"/>
      <c r="R11" s="1017"/>
      <c r="S11" s="1016"/>
      <c r="BC11" s="1013" t="str" cm="1">
        <f t="array" ref="BC11">BC24</f>
        <v>Ссылка на правовую норму (основание для принятия показателя в расчет тарифа)</v>
      </c>
      <c r="BF11" s="1015"/>
    </row>
    <row r="12" spans="1:58" s="1153" customFormat="1" ht="12" hidden="1" customHeight="1">
      <c r="B12" s="783"/>
      <c r="E12" s="782"/>
      <c r="G12" s="425"/>
      <c r="H12" s="425"/>
      <c r="I12" s="425"/>
      <c r="J12" s="425"/>
      <c r="K12" s="425"/>
      <c r="L12" s="425"/>
      <c r="M12" s="425"/>
      <c r="N12" s="425"/>
      <c r="O12" s="425"/>
      <c r="P12" s="425"/>
      <c r="Q12" s="784"/>
      <c r="R12" s="784"/>
      <c r="S12" s="425"/>
      <c r="BF12" s="1015"/>
    </row>
    <row r="13" spans="1:58" s="1153" customFormat="1" ht="12" hidden="1" customHeight="1">
      <c r="B13" s="783"/>
      <c r="E13" s="782"/>
      <c r="G13" s="425"/>
      <c r="H13" s="425"/>
      <c r="I13" s="425"/>
      <c r="J13" s="425"/>
      <c r="K13" s="425"/>
      <c r="L13" s="425"/>
      <c r="M13" s="425"/>
      <c r="N13" s="425"/>
      <c r="O13" s="425"/>
      <c r="P13" s="425"/>
      <c r="Q13" s="784"/>
      <c r="R13" s="784"/>
      <c r="S13" s="425"/>
      <c r="AI13" s="126"/>
      <c r="AJ13" s="126"/>
      <c r="AK13" s="126"/>
      <c r="AL13" s="126"/>
      <c r="AM13" s="126"/>
      <c r="AN13" s="126"/>
      <c r="AO13" s="126"/>
      <c r="AP13" s="126"/>
      <c r="AQ13" s="126"/>
      <c r="AR13" s="126"/>
      <c r="AS13" s="126"/>
      <c r="AT13" s="126"/>
      <c r="AU13" s="126"/>
      <c r="AV13" s="126"/>
      <c r="AW13" s="126"/>
      <c r="AX13" s="126"/>
      <c r="AY13" s="126"/>
      <c r="AZ13" s="126"/>
      <c r="BA13" s="126"/>
      <c r="BB13" s="126"/>
      <c r="BF13" s="1015"/>
    </row>
    <row r="14" spans="1:58" s="1153" customFormat="1" ht="12" hidden="1" customHeight="1">
      <c r="B14" s="783"/>
      <c r="E14" s="782"/>
      <c r="G14" s="425"/>
      <c r="H14" s="425"/>
      <c r="I14" s="425"/>
      <c r="J14" s="425"/>
      <c r="K14" s="425"/>
      <c r="L14" s="425"/>
      <c r="M14" s="425"/>
      <c r="N14" s="425"/>
      <c r="O14" s="425"/>
      <c r="P14" s="425"/>
      <c r="Q14" s="784"/>
      <c r="R14" s="784"/>
      <c r="S14" s="425"/>
      <c r="AI14" s="126"/>
      <c r="AJ14" s="126"/>
      <c r="AK14" s="126"/>
      <c r="AL14" s="126"/>
      <c r="AM14" s="126"/>
      <c r="AN14" s="126"/>
      <c r="AO14" s="126"/>
      <c r="AP14" s="126"/>
      <c r="AQ14" s="126"/>
      <c r="AR14" s="126"/>
      <c r="AS14" s="126"/>
      <c r="AT14" s="126"/>
      <c r="AU14" s="126"/>
      <c r="AV14" s="126"/>
      <c r="AW14" s="126"/>
      <c r="AX14" s="126"/>
      <c r="AY14" s="126"/>
      <c r="AZ14" s="126"/>
      <c r="BA14" s="126"/>
      <c r="BB14" s="126"/>
      <c r="BF14" s="1015"/>
    </row>
    <row r="15" spans="1:58" s="1153" customFormat="1" ht="12" hidden="1" customHeight="1">
      <c r="B15" s="783"/>
      <c r="E15" s="782"/>
      <c r="G15" s="425"/>
      <c r="H15" s="425"/>
      <c r="I15" s="425"/>
      <c r="J15" s="425"/>
      <c r="K15" s="425"/>
      <c r="L15" s="425"/>
      <c r="M15" s="425"/>
      <c r="N15" s="425"/>
      <c r="O15" s="425"/>
      <c r="P15" s="425"/>
      <c r="Q15" s="784"/>
      <c r="R15" s="784"/>
      <c r="S15" s="425"/>
      <c r="AI15" s="126"/>
      <c r="AJ15" s="126"/>
      <c r="AK15" s="126"/>
      <c r="AL15" s="126"/>
      <c r="AM15" s="126"/>
      <c r="AN15" s="126"/>
      <c r="AO15" s="126"/>
      <c r="AP15" s="126"/>
      <c r="AQ15" s="126"/>
      <c r="AR15" s="126"/>
      <c r="AS15" s="126"/>
      <c r="AT15" s="126"/>
      <c r="AU15" s="126"/>
      <c r="AV15" s="126"/>
      <c r="AW15" s="126"/>
      <c r="AX15" s="126"/>
      <c r="AY15" s="126"/>
      <c r="AZ15" s="126"/>
      <c r="BA15" s="126"/>
      <c r="BB15" s="126"/>
      <c r="BF15" s="1015"/>
    </row>
    <row r="16" spans="1:58" s="1153" customFormat="1" ht="12" hidden="1" customHeight="1">
      <c r="B16" s="783"/>
      <c r="E16" s="782"/>
      <c r="G16" s="425"/>
      <c r="H16" s="425"/>
      <c r="I16" s="425"/>
      <c r="J16" s="425"/>
      <c r="K16" s="425"/>
      <c r="L16" s="425"/>
      <c r="M16" s="425"/>
      <c r="N16" s="425"/>
      <c r="O16" s="425"/>
      <c r="P16" s="425"/>
      <c r="Q16" s="784"/>
      <c r="R16" s="784"/>
      <c r="S16" s="425"/>
      <c r="AI16" s="126"/>
      <c r="AJ16" s="126"/>
      <c r="AK16" s="126"/>
      <c r="AL16" s="126"/>
      <c r="AM16" s="126"/>
      <c r="AN16" s="126"/>
      <c r="AO16" s="126"/>
      <c r="AP16" s="126"/>
      <c r="AQ16" s="126"/>
      <c r="AR16" s="126"/>
      <c r="AS16" s="126"/>
      <c r="AT16" s="126"/>
      <c r="AU16" s="126"/>
      <c r="AV16" s="126"/>
      <c r="AW16" s="126"/>
      <c r="AX16" s="126"/>
      <c r="AY16" s="126"/>
      <c r="AZ16" s="126"/>
      <c r="BA16" s="126"/>
      <c r="BB16" s="126"/>
      <c r="BF16" s="1015"/>
    </row>
    <row r="17" spans="1:58" s="1153" customFormat="1" ht="12" hidden="1" customHeight="1">
      <c r="B17" s="783"/>
      <c r="E17" s="782"/>
      <c r="G17" s="425"/>
      <c r="H17" s="425"/>
      <c r="I17" s="425"/>
      <c r="J17" s="425"/>
      <c r="K17" s="425"/>
      <c r="L17" s="425"/>
      <c r="M17" s="425"/>
      <c r="N17" s="425"/>
      <c r="O17" s="425"/>
      <c r="P17" s="425"/>
      <c r="Q17" s="784"/>
      <c r="R17" s="784"/>
      <c r="S17" s="425"/>
      <c r="AX17" s="126"/>
      <c r="AY17" s="126"/>
      <c r="AZ17" s="126"/>
      <c r="BA17" s="126"/>
      <c r="BB17" s="126"/>
      <c r="BF17" s="1015"/>
    </row>
    <row r="18" spans="1:58" s="1153" customFormat="1" ht="12" hidden="1" customHeight="1">
      <c r="B18" s="783"/>
      <c r="E18" s="782"/>
      <c r="G18" s="425"/>
      <c r="H18" s="425"/>
      <c r="I18" s="425"/>
      <c r="J18" s="425"/>
      <c r="K18" s="425"/>
      <c r="L18" s="425"/>
      <c r="M18" s="425"/>
      <c r="N18" s="425"/>
      <c r="O18" s="425"/>
      <c r="P18" s="425"/>
      <c r="Q18" s="784"/>
      <c r="R18" s="784"/>
      <c r="S18" s="425"/>
      <c r="BF18" s="1015"/>
    </row>
    <row r="19" spans="1:58" s="1153" customFormat="1" ht="12" hidden="1" customHeight="1">
      <c r="B19" s="783"/>
      <c r="E19" s="782"/>
      <c r="G19" s="425"/>
      <c r="H19" s="425"/>
      <c r="I19" s="425"/>
      <c r="J19" s="425"/>
      <c r="K19" s="425"/>
      <c r="L19" s="425"/>
      <c r="M19" s="425"/>
      <c r="N19" s="425"/>
      <c r="O19" s="425"/>
      <c r="P19" s="425"/>
      <c r="Q19" s="784"/>
      <c r="R19" s="784"/>
      <c r="S19" s="425"/>
      <c r="BF19" s="1015"/>
    </row>
    <row r="20" spans="1:58" s="1153" customFormat="1" ht="12" hidden="1" customHeight="1">
      <c r="B20" s="783"/>
      <c r="E20" s="782"/>
      <c r="G20" s="425"/>
      <c r="H20" s="425"/>
      <c r="I20" s="425"/>
      <c r="J20" s="425"/>
      <c r="K20" s="425"/>
      <c r="L20" s="425"/>
      <c r="M20" s="425"/>
      <c r="N20" s="425"/>
      <c r="O20" s="425"/>
      <c r="P20" s="425"/>
      <c r="Q20" s="784"/>
      <c r="R20" s="784"/>
      <c r="S20" s="425"/>
      <c r="BF20" s="1015"/>
    </row>
    <row r="21" spans="1:58" ht="14.65" customHeight="1">
      <c r="E21" s="782">
        <v>15</v>
      </c>
      <c r="AA21" s="699"/>
      <c r="AC21" s="795" t="str" cm="1">
        <f t="array" ref="AC21">tpl_title</f>
        <v>Кемеровская область / 2026 / ОАО «СКЭК» (ИНН:4205153492, КПП:420501001) / ДПР: 2021-2030</v>
      </c>
    </row>
    <row r="22" spans="1:58" s="170" customFormat="1" ht="19.5" customHeight="1">
      <c r="A22" s="126"/>
      <c r="B22" s="667"/>
      <c r="C22" s="126"/>
      <c r="D22" s="126"/>
      <c r="E22" s="676">
        <v>20.100000000000001</v>
      </c>
      <c r="F22" s="126"/>
      <c r="G22" s="163"/>
      <c r="H22" s="163"/>
      <c r="I22" s="163"/>
      <c r="J22" s="163"/>
      <c r="K22" s="163"/>
      <c r="L22" s="163"/>
      <c r="M22" s="163"/>
      <c r="N22" s="163"/>
      <c r="O22" s="163"/>
      <c r="P22" s="163"/>
      <c r="Q22" s="620"/>
      <c r="R22" s="620"/>
      <c r="S22" s="163"/>
      <c r="T22" s="126"/>
      <c r="U22" s="126"/>
      <c r="V22" s="126"/>
      <c r="W22" s="126"/>
      <c r="X22" s="126"/>
      <c r="Y22" s="126"/>
      <c r="Z22" s="126"/>
      <c r="AB22" s="333" t="s">
        <v>45</v>
      </c>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F22" s="981"/>
    </row>
    <row r="23" spans="1:58" s="170" customFormat="1" ht="11.1" customHeight="1">
      <c r="A23" s="126"/>
      <c r="B23" s="667"/>
      <c r="C23" s="126"/>
      <c r="D23" s="126"/>
      <c r="E23" s="676">
        <v>11.3</v>
      </c>
      <c r="F23" s="126"/>
      <c r="G23" s="163"/>
      <c r="H23" s="163"/>
      <c r="I23" s="163"/>
      <c r="J23" s="163"/>
      <c r="K23" s="163"/>
      <c r="L23" s="163"/>
      <c r="M23" s="163"/>
      <c r="N23" s="163"/>
      <c r="O23" s="163"/>
      <c r="P23" s="163"/>
      <c r="Q23" s="620"/>
      <c r="R23" s="620"/>
      <c r="S23" s="163"/>
      <c r="T23" s="126"/>
      <c r="U23" s="126"/>
      <c r="V23" s="126"/>
      <c r="W23" s="126"/>
      <c r="X23" s="126"/>
      <c r="Y23" s="126"/>
      <c r="Z23" s="126"/>
      <c r="AB23" s="172"/>
      <c r="AE23" s="155"/>
      <c r="BF23" s="981"/>
    </row>
    <row r="24" spans="1:58" s="170" customFormat="1" ht="14.65" customHeight="1">
      <c r="A24" s="126"/>
      <c r="B24" s="667"/>
      <c r="C24" s="126"/>
      <c r="D24" s="126"/>
      <c r="E24" s="676">
        <v>15</v>
      </c>
      <c r="F24" s="126"/>
      <c r="G24" s="163"/>
      <c r="H24" s="163"/>
      <c r="I24" s="163"/>
      <c r="J24" s="163"/>
      <c r="K24" s="163"/>
      <c r="L24" s="163"/>
      <c r="M24" s="163"/>
      <c r="N24" s="163"/>
      <c r="O24" s="163"/>
      <c r="P24" s="163"/>
      <c r="Q24" s="620"/>
      <c r="R24" s="620"/>
      <c r="S24" s="163"/>
      <c r="T24" s="126"/>
      <c r="U24" s="126"/>
      <c r="V24" s="126"/>
      <c r="W24" s="126"/>
      <c r="X24" s="126"/>
      <c r="Y24" s="126"/>
      <c r="Z24" s="126"/>
      <c r="AB24" s="1802" t="s">
        <v>396</v>
      </c>
      <c r="AC24" s="1802" t="s">
        <v>475</v>
      </c>
      <c r="AD24" s="1802" t="s">
        <v>1204</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748" t="s">
        <v>630</v>
      </c>
      <c r="BF24" s="981"/>
    </row>
    <row r="25" spans="1:58" s="170" customFormat="1" ht="48.75" customHeight="1">
      <c r="A25" s="126"/>
      <c r="B25" s="667"/>
      <c r="C25" s="126"/>
      <c r="D25" s="126"/>
      <c r="E25" s="676">
        <v>50.1</v>
      </c>
      <c r="F25" s="126"/>
      <c r="G25" s="163"/>
      <c r="H25" s="163"/>
      <c r="I25" s="163"/>
      <c r="J25" s="163"/>
      <c r="K25" s="163"/>
      <c r="L25" s="163"/>
      <c r="M25" s="163"/>
      <c r="N25" s="163"/>
      <c r="O25" s="163"/>
      <c r="P25" s="163"/>
      <c r="Q25" s="620"/>
      <c r="R25" s="620"/>
      <c r="S25" s="163"/>
      <c r="T25" s="126"/>
      <c r="U25" s="126"/>
      <c r="V25" s="126"/>
      <c r="W25" s="126"/>
      <c r="X25" s="126"/>
      <c r="Y25" s="126"/>
      <c r="Z25" s="126"/>
      <c r="AB25" s="1802"/>
      <c r="AC25" s="1802"/>
      <c r="AD25" s="1802"/>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748"/>
      <c r="BF25" s="981"/>
    </row>
    <row r="26" spans="1:58" s="170" customFormat="1" ht="50.25" hidden="1" customHeight="1">
      <c r="A26" s="126"/>
      <c r="B26" s="667"/>
      <c r="C26" s="126"/>
      <c r="D26" s="126"/>
      <c r="E26" s="676">
        <v>0</v>
      </c>
      <c r="F26" s="126"/>
      <c r="G26" s="163"/>
      <c r="H26" s="163"/>
      <c r="I26" s="163"/>
      <c r="J26" s="163"/>
      <c r="K26" s="163"/>
      <c r="L26" s="163"/>
      <c r="M26" s="163"/>
      <c r="N26" s="163"/>
      <c r="O26" s="163"/>
      <c r="P26" s="163"/>
      <c r="Q26" s="620"/>
      <c r="R26" s="620"/>
      <c r="S26" s="163"/>
      <c r="T26" s="126"/>
      <c r="U26" s="126"/>
      <c r="V26" s="126"/>
      <c r="W26" s="126"/>
      <c r="X26" s="126"/>
      <c r="Y26" s="126"/>
      <c r="Z26" s="126"/>
      <c r="AB26" s="435"/>
      <c r="AC26" s="436"/>
      <c r="AD26" s="436"/>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9"/>
      <c r="BF26" s="981"/>
    </row>
    <row r="27" spans="1:58" s="170" customFormat="1" ht="11.1" hidden="1" customHeight="1">
      <c r="E27" s="676">
        <v>11.4</v>
      </c>
      <c r="F27" s="779" cm="1">
        <f t="array" ref="F27">X27</f>
        <v>0</v>
      </c>
      <c r="T27" s="698" t="b">
        <f>X27&gt;0</f>
        <v>0</v>
      </c>
      <c r="V27" s="126" t="s">
        <v>315</v>
      </c>
      <c r="X27" s="1726">
        <v>0</v>
      </c>
      <c r="Z27" s="1724"/>
      <c r="AB27" s="237" t="str" cm="1">
        <f t="array" ref="AB27">INDEX('Общие сведения'!$AG$187:$AG$236,MATCH($F27,'Общие сведения'!$Z$187:$Z$236,0))</f>
        <v xml:space="preserve">Тариф 0 (Теплоснабжение) - </v>
      </c>
      <c r="AC27" s="210"/>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26"/>
      <c r="BF27" s="981"/>
    </row>
    <row r="28" spans="1:58" s="791" customFormat="1" ht="27.75" hidden="1" customHeight="1">
      <c r="E28" s="676">
        <v>28.5</v>
      </c>
      <c r="F28" s="779" cm="1">
        <f t="array" ref="F28">F27</f>
        <v>0</v>
      </c>
      <c r="G28" s="620" t="s">
        <v>1205</v>
      </c>
      <c r="T28" s="698" t="b" cm="1">
        <f t="array" ref="T28">T27</f>
        <v>0</v>
      </c>
      <c r="X28" s="1725"/>
      <c r="Z28" s="1725"/>
      <c r="AB28" s="552" t="s">
        <v>341</v>
      </c>
      <c r="AC28" s="881" t="s">
        <v>45</v>
      </c>
      <c r="AD28" s="882" t="s">
        <v>839</v>
      </c>
      <c r="AE28" s="279">
        <f t="shared" ref="AE28:BB28" si="1">AE29+AE32+AE33+AE36</f>
        <v>0</v>
      </c>
      <c r="AF28" s="279">
        <f t="shared" si="1"/>
        <v>0</v>
      </c>
      <c r="AG28" s="279">
        <f t="shared" si="1"/>
        <v>0</v>
      </c>
      <c r="AH28" s="279">
        <f t="shared" si="1"/>
        <v>0</v>
      </c>
      <c r="AI28" s="279">
        <f t="shared" si="1"/>
        <v>0</v>
      </c>
      <c r="AJ28" s="279">
        <f t="shared" si="1"/>
        <v>0</v>
      </c>
      <c r="AK28" s="279">
        <f t="shared" si="1"/>
        <v>0</v>
      </c>
      <c r="AL28" s="279">
        <f t="shared" si="1"/>
        <v>0</v>
      </c>
      <c r="AM28" s="279">
        <f t="shared" si="1"/>
        <v>0</v>
      </c>
      <c r="AN28" s="279">
        <f t="shared" si="1"/>
        <v>0</v>
      </c>
      <c r="AO28" s="279">
        <f t="shared" si="1"/>
        <v>0</v>
      </c>
      <c r="AP28" s="279">
        <f t="shared" si="1"/>
        <v>0</v>
      </c>
      <c r="AQ28" s="279">
        <f t="shared" si="1"/>
        <v>0</v>
      </c>
      <c r="AR28" s="279">
        <f t="shared" si="1"/>
        <v>0</v>
      </c>
      <c r="AS28" s="279">
        <f t="shared" si="1"/>
        <v>0</v>
      </c>
      <c r="AT28" s="279">
        <f t="shared" si="1"/>
        <v>0</v>
      </c>
      <c r="AU28" s="279">
        <f t="shared" si="1"/>
        <v>0</v>
      </c>
      <c r="AV28" s="279">
        <f t="shared" si="1"/>
        <v>0</v>
      </c>
      <c r="AW28" s="279">
        <f t="shared" si="1"/>
        <v>0</v>
      </c>
      <c r="AX28" s="279">
        <f t="shared" si="1"/>
        <v>0</v>
      </c>
      <c r="AY28" s="279">
        <f t="shared" si="1"/>
        <v>0</v>
      </c>
      <c r="AZ28" s="279">
        <f t="shared" si="1"/>
        <v>0</v>
      </c>
      <c r="BA28" s="279">
        <f t="shared" si="1"/>
        <v>0</v>
      </c>
      <c r="BB28" s="279">
        <f t="shared" si="1"/>
        <v>0</v>
      </c>
      <c r="BC28" s="60"/>
      <c r="BF28" s="970" t="s">
        <v>1206</v>
      </c>
    </row>
    <row r="29" spans="1:58" s="791" customFormat="1" ht="22.7" hidden="1" customHeight="1">
      <c r="E29" s="676">
        <v>23.3</v>
      </c>
      <c r="F29" s="779" cm="1">
        <f t="array" ref="F29">F28</f>
        <v>0</v>
      </c>
      <c r="T29" s="698" t="b" cm="1">
        <f t="array" ref="T29">T28</f>
        <v>0</v>
      </c>
      <c r="X29" s="1725"/>
      <c r="Z29" s="1725"/>
      <c r="AB29" s="233" t="s">
        <v>484</v>
      </c>
      <c r="AC29" s="234" t="s">
        <v>1207</v>
      </c>
      <c r="AD29" s="883" t="s">
        <v>839</v>
      </c>
      <c r="AE29" s="497">
        <f t="shared" ref="AE29:BB29" si="2">AE30+AE31</f>
        <v>0</v>
      </c>
      <c r="AF29" s="279">
        <f t="shared" si="2"/>
        <v>0</v>
      </c>
      <c r="AG29" s="279">
        <f t="shared" si="2"/>
        <v>0</v>
      </c>
      <c r="AH29" s="279">
        <f t="shared" si="2"/>
        <v>0</v>
      </c>
      <c r="AI29" s="279">
        <f t="shared" si="2"/>
        <v>0</v>
      </c>
      <c r="AJ29" s="279">
        <f t="shared" si="2"/>
        <v>0</v>
      </c>
      <c r="AK29" s="279">
        <f t="shared" si="2"/>
        <v>0</v>
      </c>
      <c r="AL29" s="279">
        <f t="shared" si="2"/>
        <v>0</v>
      </c>
      <c r="AM29" s="279">
        <f t="shared" si="2"/>
        <v>0</v>
      </c>
      <c r="AN29" s="279">
        <f t="shared" si="2"/>
        <v>0</v>
      </c>
      <c r="AO29" s="279">
        <f t="shared" si="2"/>
        <v>0</v>
      </c>
      <c r="AP29" s="279">
        <f t="shared" si="2"/>
        <v>0</v>
      </c>
      <c r="AQ29" s="279">
        <f t="shared" si="2"/>
        <v>0</v>
      </c>
      <c r="AR29" s="279">
        <f t="shared" si="2"/>
        <v>0</v>
      </c>
      <c r="AS29" s="279">
        <f t="shared" si="2"/>
        <v>0</v>
      </c>
      <c r="AT29" s="279">
        <f t="shared" si="2"/>
        <v>0</v>
      </c>
      <c r="AU29" s="279">
        <f t="shared" si="2"/>
        <v>0</v>
      </c>
      <c r="AV29" s="279">
        <f t="shared" si="2"/>
        <v>0</v>
      </c>
      <c r="AW29" s="279">
        <f t="shared" si="2"/>
        <v>0</v>
      </c>
      <c r="AX29" s="279">
        <f t="shared" si="2"/>
        <v>0</v>
      </c>
      <c r="AY29" s="279">
        <f t="shared" si="2"/>
        <v>0</v>
      </c>
      <c r="AZ29" s="279">
        <f t="shared" si="2"/>
        <v>0</v>
      </c>
      <c r="BA29" s="279">
        <f t="shared" si="2"/>
        <v>0</v>
      </c>
      <c r="BB29" s="279">
        <f t="shared" si="2"/>
        <v>0</v>
      </c>
      <c r="BC29" s="60"/>
      <c r="BF29" s="970" t="s">
        <v>1208</v>
      </c>
    </row>
    <row r="30" spans="1:58" s="791" customFormat="1" ht="22.7" hidden="1" customHeight="1">
      <c r="E30" s="676">
        <v>23.3</v>
      </c>
      <c r="F30" s="779" cm="1">
        <f t="array" ref="F30">F29</f>
        <v>0</v>
      </c>
      <c r="G30" s="620" t="s">
        <v>1209</v>
      </c>
      <c r="T30" s="698" t="b" cm="1">
        <f t="array" ref="T30">T29</f>
        <v>0</v>
      </c>
      <c r="X30" s="1725"/>
      <c r="Z30" s="1725"/>
      <c r="AB30" s="235" t="s">
        <v>1210</v>
      </c>
      <c r="AC30" s="236" t="s">
        <v>1211</v>
      </c>
      <c r="AD30" s="877" t="s">
        <v>839</v>
      </c>
      <c r="AE30" s="20"/>
      <c r="AF30" s="17"/>
      <c r="AG30" s="17"/>
      <c r="AH30" s="17"/>
      <c r="AI30" s="230"/>
      <c r="AJ30" s="230"/>
      <c r="AK30" s="230"/>
      <c r="AL30" s="230"/>
      <c r="AM30" s="230"/>
      <c r="AN30" s="17"/>
      <c r="AO30" s="17"/>
      <c r="AP30" s="17"/>
      <c r="AQ30" s="17"/>
      <c r="AR30" s="17"/>
      <c r="AS30" s="230"/>
      <c r="AT30" s="230"/>
      <c r="AU30" s="230"/>
      <c r="AV30" s="230"/>
      <c r="AW30" s="230"/>
      <c r="AX30" s="17"/>
      <c r="AY30" s="17"/>
      <c r="AZ30" s="17"/>
      <c r="BA30" s="17"/>
      <c r="BB30" s="17"/>
      <c r="BC30" s="60"/>
      <c r="BF30" s="970" t="s">
        <v>1212</v>
      </c>
    </row>
    <row r="31" spans="1:58" s="791" customFormat="1" ht="22.7" hidden="1" customHeight="1">
      <c r="E31" s="676">
        <v>23.3</v>
      </c>
      <c r="F31" s="779" cm="1">
        <f t="array" ref="F31">F30</f>
        <v>0</v>
      </c>
      <c r="G31" s="620" t="s">
        <v>1213</v>
      </c>
      <c r="T31" s="698" t="b" cm="1">
        <f t="array" ref="T31">T30</f>
        <v>0</v>
      </c>
      <c r="X31" s="1725"/>
      <c r="Z31" s="1725"/>
      <c r="AB31" s="235" t="s">
        <v>1214</v>
      </c>
      <c r="AC31" s="236" t="s">
        <v>1215</v>
      </c>
      <c r="AD31" s="877" t="s">
        <v>839</v>
      </c>
      <c r="AE31" s="20"/>
      <c r="AF31" s="17"/>
      <c r="AG31" s="17"/>
      <c r="AH31" s="17"/>
      <c r="AI31" s="230"/>
      <c r="AJ31" s="230"/>
      <c r="AK31" s="230"/>
      <c r="AL31" s="230"/>
      <c r="AM31" s="230"/>
      <c r="AN31" s="17"/>
      <c r="AO31" s="17"/>
      <c r="AP31" s="17"/>
      <c r="AQ31" s="17"/>
      <c r="AR31" s="17"/>
      <c r="AS31" s="230"/>
      <c r="AT31" s="230"/>
      <c r="AU31" s="230"/>
      <c r="AV31" s="230"/>
      <c r="AW31" s="230"/>
      <c r="AX31" s="17"/>
      <c r="AY31" s="17"/>
      <c r="AZ31" s="17"/>
      <c r="BA31" s="17"/>
      <c r="BB31" s="17"/>
      <c r="BC31" s="60"/>
      <c r="BF31" s="970" t="s">
        <v>1216</v>
      </c>
    </row>
    <row r="32" spans="1:58" s="791" customFormat="1" ht="22.7" hidden="1" customHeight="1">
      <c r="E32" s="676">
        <v>23.3</v>
      </c>
      <c r="F32" s="779" cm="1">
        <f t="array" ref="F32">F31</f>
        <v>0</v>
      </c>
      <c r="G32" s="620" t="s">
        <v>1217</v>
      </c>
      <c r="T32" s="698" t="b" cm="1">
        <f t="array" ref="T32">T31</f>
        <v>0</v>
      </c>
      <c r="X32" s="1725"/>
      <c r="Z32" s="1725"/>
      <c r="AB32" s="233" t="s">
        <v>989</v>
      </c>
      <c r="AC32" s="234" t="s">
        <v>1218</v>
      </c>
      <c r="AD32" s="883" t="s">
        <v>839</v>
      </c>
      <c r="AE32" s="20"/>
      <c r="AF32" s="17"/>
      <c r="AG32" s="17"/>
      <c r="AH32" s="17"/>
      <c r="AI32" s="230"/>
      <c r="AJ32" s="230"/>
      <c r="AK32" s="230"/>
      <c r="AL32" s="230"/>
      <c r="AM32" s="230"/>
      <c r="AN32" s="17"/>
      <c r="AO32" s="17"/>
      <c r="AP32" s="17"/>
      <c r="AQ32" s="17"/>
      <c r="AR32" s="17"/>
      <c r="AS32" s="230"/>
      <c r="AT32" s="230"/>
      <c r="AU32" s="230"/>
      <c r="AV32" s="230"/>
      <c r="AW32" s="230"/>
      <c r="AX32" s="17"/>
      <c r="AY32" s="17"/>
      <c r="AZ32" s="17"/>
      <c r="BA32" s="17"/>
      <c r="BB32" s="17"/>
      <c r="BC32" s="60"/>
      <c r="BF32" s="970" t="s">
        <v>1219</v>
      </c>
    </row>
    <row r="33" spans="1:58" s="791" customFormat="1" ht="22.7" hidden="1" customHeight="1">
      <c r="E33" s="676">
        <v>23.3</v>
      </c>
      <c r="F33" s="779" cm="1">
        <f t="array" ref="F33">F32</f>
        <v>0</v>
      </c>
      <c r="T33" s="698" t="b" cm="1">
        <f t="array" ref="T33">T32</f>
        <v>0</v>
      </c>
      <c r="X33" s="1725"/>
      <c r="Z33" s="1725"/>
      <c r="AB33" s="233" t="s">
        <v>991</v>
      </c>
      <c r="AC33" s="234" t="s">
        <v>1220</v>
      </c>
      <c r="AD33" s="883" t="s">
        <v>839</v>
      </c>
      <c r="AE33" s="497">
        <f t="shared" ref="AE33:BB33" si="3">AE34+AE35</f>
        <v>0</v>
      </c>
      <c r="AF33" s="279">
        <f t="shared" si="3"/>
        <v>0</v>
      </c>
      <c r="AG33" s="279">
        <f t="shared" si="3"/>
        <v>0</v>
      </c>
      <c r="AH33" s="279">
        <f t="shared" si="3"/>
        <v>0</v>
      </c>
      <c r="AI33" s="279">
        <f t="shared" si="3"/>
        <v>0</v>
      </c>
      <c r="AJ33" s="279">
        <f t="shared" si="3"/>
        <v>0</v>
      </c>
      <c r="AK33" s="279">
        <f t="shared" si="3"/>
        <v>0</v>
      </c>
      <c r="AL33" s="279">
        <f t="shared" si="3"/>
        <v>0</v>
      </c>
      <c r="AM33" s="279">
        <f t="shared" si="3"/>
        <v>0</v>
      </c>
      <c r="AN33" s="279">
        <f t="shared" si="3"/>
        <v>0</v>
      </c>
      <c r="AO33" s="279">
        <f t="shared" si="3"/>
        <v>0</v>
      </c>
      <c r="AP33" s="279">
        <f t="shared" si="3"/>
        <v>0</v>
      </c>
      <c r="AQ33" s="279">
        <f t="shared" si="3"/>
        <v>0</v>
      </c>
      <c r="AR33" s="279">
        <f t="shared" si="3"/>
        <v>0</v>
      </c>
      <c r="AS33" s="279">
        <f t="shared" si="3"/>
        <v>0</v>
      </c>
      <c r="AT33" s="279">
        <f t="shared" si="3"/>
        <v>0</v>
      </c>
      <c r="AU33" s="279">
        <f t="shared" si="3"/>
        <v>0</v>
      </c>
      <c r="AV33" s="279">
        <f t="shared" si="3"/>
        <v>0</v>
      </c>
      <c r="AW33" s="279">
        <f t="shared" si="3"/>
        <v>0</v>
      </c>
      <c r="AX33" s="279">
        <f t="shared" si="3"/>
        <v>0</v>
      </c>
      <c r="AY33" s="279">
        <f t="shared" si="3"/>
        <v>0</v>
      </c>
      <c r="AZ33" s="279">
        <f t="shared" si="3"/>
        <v>0</v>
      </c>
      <c r="BA33" s="279">
        <f t="shared" si="3"/>
        <v>0</v>
      </c>
      <c r="BB33" s="279">
        <f t="shared" si="3"/>
        <v>0</v>
      </c>
      <c r="BC33" s="60"/>
      <c r="BF33" s="970" t="s">
        <v>1221</v>
      </c>
    </row>
    <row r="34" spans="1:58" s="791" customFormat="1" ht="68.099999999999994" hidden="1" customHeight="1">
      <c r="E34" s="676">
        <v>69.8</v>
      </c>
      <c r="F34" s="779" cm="1">
        <f t="array" ref="F34">F33</f>
        <v>0</v>
      </c>
      <c r="G34" s="620" t="s">
        <v>1222</v>
      </c>
      <c r="T34" s="698" t="b" cm="1">
        <f t="array" ref="T34">T33</f>
        <v>0</v>
      </c>
      <c r="X34" s="1725"/>
      <c r="Z34" s="1725"/>
      <c r="AB34" s="235" t="s">
        <v>1223</v>
      </c>
      <c r="AC34" s="236" t="s">
        <v>1224</v>
      </c>
      <c r="AD34" s="877" t="s">
        <v>839</v>
      </c>
      <c r="AE34" s="20"/>
      <c r="AF34" s="17"/>
      <c r="AG34" s="17"/>
      <c r="AH34" s="17"/>
      <c r="AI34" s="230"/>
      <c r="AJ34" s="230"/>
      <c r="AK34" s="230"/>
      <c r="AL34" s="230"/>
      <c r="AM34" s="230"/>
      <c r="AN34" s="17"/>
      <c r="AO34" s="17"/>
      <c r="AP34" s="17"/>
      <c r="AQ34" s="17"/>
      <c r="AR34" s="17"/>
      <c r="AS34" s="230"/>
      <c r="AT34" s="230"/>
      <c r="AU34" s="230"/>
      <c r="AV34" s="230"/>
      <c r="AW34" s="230"/>
      <c r="AX34" s="17"/>
      <c r="AY34" s="17"/>
      <c r="AZ34" s="17"/>
      <c r="BA34" s="17"/>
      <c r="BB34" s="17"/>
      <c r="BC34" s="60"/>
      <c r="BF34" s="970" t="s">
        <v>1225</v>
      </c>
    </row>
    <row r="35" spans="1:58" s="791" customFormat="1" ht="28.5" hidden="1" customHeight="1">
      <c r="E35" s="676">
        <v>29.3</v>
      </c>
      <c r="F35" s="779" cm="1">
        <f t="array" ref="F35">F34</f>
        <v>0</v>
      </c>
      <c r="G35" s="620" t="s">
        <v>1226</v>
      </c>
      <c r="T35" s="698" t="b" cm="1">
        <f t="array" ref="T35">T34</f>
        <v>0</v>
      </c>
      <c r="X35" s="1725"/>
      <c r="Z35" s="1725"/>
      <c r="AB35" s="235" t="s">
        <v>1227</v>
      </c>
      <c r="AC35" s="236" t="s">
        <v>1228</v>
      </c>
      <c r="AD35" s="877" t="s">
        <v>839</v>
      </c>
      <c r="AE35" s="20"/>
      <c r="AF35" s="17"/>
      <c r="AG35" s="17"/>
      <c r="AH35" s="17"/>
      <c r="AI35" s="230"/>
      <c r="AJ35" s="230"/>
      <c r="AK35" s="230"/>
      <c r="AL35" s="230"/>
      <c r="AM35" s="230"/>
      <c r="AN35" s="17"/>
      <c r="AO35" s="17"/>
      <c r="AP35" s="17"/>
      <c r="AQ35" s="17"/>
      <c r="AR35" s="17"/>
      <c r="AS35" s="230"/>
      <c r="AT35" s="230"/>
      <c r="AU35" s="230"/>
      <c r="AV35" s="230"/>
      <c r="AW35" s="230"/>
      <c r="AX35" s="17"/>
      <c r="AY35" s="17"/>
      <c r="AZ35" s="17"/>
      <c r="BA35" s="17"/>
      <c r="BB35" s="17"/>
      <c r="BC35" s="60"/>
      <c r="BF35" s="970" t="s">
        <v>1229</v>
      </c>
    </row>
    <row r="36" spans="1:58" s="791" customFormat="1" ht="21.2" hidden="1" customHeight="1">
      <c r="E36" s="676">
        <v>21.8</v>
      </c>
      <c r="F36" s="779" cm="1">
        <f t="array" ref="F36">F35</f>
        <v>0</v>
      </c>
      <c r="T36" s="698" t="b" cm="1">
        <f t="array" ref="T36">T35</f>
        <v>0</v>
      </c>
      <c r="X36" s="1725"/>
      <c r="Z36" s="1725"/>
      <c r="AB36" s="233" t="s">
        <v>995</v>
      </c>
      <c r="AC36" s="234" t="s">
        <v>1230</v>
      </c>
      <c r="AD36" s="883" t="s">
        <v>839</v>
      </c>
      <c r="AE36" s="497">
        <f t="shared" ref="AE36:BB36" si="4">AE37+AE38</f>
        <v>0</v>
      </c>
      <c r="AF36" s="279">
        <f t="shared" si="4"/>
        <v>0</v>
      </c>
      <c r="AG36" s="279">
        <f t="shared" si="4"/>
        <v>0</v>
      </c>
      <c r="AH36" s="279">
        <f t="shared" si="4"/>
        <v>0</v>
      </c>
      <c r="AI36" s="279">
        <f t="shared" si="4"/>
        <v>0</v>
      </c>
      <c r="AJ36" s="279">
        <f t="shared" si="4"/>
        <v>0</v>
      </c>
      <c r="AK36" s="279">
        <f t="shared" si="4"/>
        <v>0</v>
      </c>
      <c r="AL36" s="279">
        <f t="shared" si="4"/>
        <v>0</v>
      </c>
      <c r="AM36" s="279">
        <f t="shared" si="4"/>
        <v>0</v>
      </c>
      <c r="AN36" s="279">
        <f t="shared" si="4"/>
        <v>0</v>
      </c>
      <c r="AO36" s="279">
        <f t="shared" si="4"/>
        <v>0</v>
      </c>
      <c r="AP36" s="279">
        <f t="shared" si="4"/>
        <v>0</v>
      </c>
      <c r="AQ36" s="279">
        <f t="shared" si="4"/>
        <v>0</v>
      </c>
      <c r="AR36" s="279">
        <f t="shared" si="4"/>
        <v>0</v>
      </c>
      <c r="AS36" s="279">
        <f t="shared" si="4"/>
        <v>0</v>
      </c>
      <c r="AT36" s="279">
        <f t="shared" si="4"/>
        <v>0</v>
      </c>
      <c r="AU36" s="279">
        <f t="shared" si="4"/>
        <v>0</v>
      </c>
      <c r="AV36" s="279">
        <f t="shared" si="4"/>
        <v>0</v>
      </c>
      <c r="AW36" s="279">
        <f t="shared" si="4"/>
        <v>0</v>
      </c>
      <c r="AX36" s="279">
        <f t="shared" si="4"/>
        <v>0</v>
      </c>
      <c r="AY36" s="279">
        <f t="shared" si="4"/>
        <v>0</v>
      </c>
      <c r="AZ36" s="279">
        <f t="shared" si="4"/>
        <v>0</v>
      </c>
      <c r="BA36" s="279">
        <f t="shared" si="4"/>
        <v>0</v>
      </c>
      <c r="BB36" s="279">
        <f t="shared" si="4"/>
        <v>0</v>
      </c>
      <c r="BC36" s="60"/>
      <c r="BF36" s="970" t="s">
        <v>1231</v>
      </c>
    </row>
    <row r="37" spans="1:58" s="791" customFormat="1" ht="22.7" hidden="1" customHeight="1">
      <c r="E37" s="676">
        <v>23.3</v>
      </c>
      <c r="F37" s="779" cm="1">
        <f t="array" ref="F37">F36</f>
        <v>0</v>
      </c>
      <c r="G37" s="620" t="s">
        <v>1209</v>
      </c>
      <c r="T37" s="698" t="b" cm="1">
        <f t="array" ref="T37">T36</f>
        <v>0</v>
      </c>
      <c r="X37" s="1725"/>
      <c r="Z37" s="1725"/>
      <c r="AB37" s="235" t="s">
        <v>1085</v>
      </c>
      <c r="AC37" s="236" t="s">
        <v>1211</v>
      </c>
      <c r="AD37" s="877" t="s">
        <v>839</v>
      </c>
      <c r="AE37" s="20"/>
      <c r="AF37" s="17"/>
      <c r="AG37" s="17"/>
      <c r="AH37" s="17"/>
      <c r="AI37" s="230"/>
      <c r="AJ37" s="230"/>
      <c r="AK37" s="230"/>
      <c r="AL37" s="230"/>
      <c r="AM37" s="230"/>
      <c r="AN37" s="17"/>
      <c r="AO37" s="17"/>
      <c r="AP37" s="17"/>
      <c r="AQ37" s="17"/>
      <c r="AR37" s="17"/>
      <c r="AS37" s="230"/>
      <c r="AT37" s="230"/>
      <c r="AU37" s="230"/>
      <c r="AV37" s="230"/>
      <c r="AW37" s="230"/>
      <c r="AX37" s="17"/>
      <c r="AY37" s="17"/>
      <c r="AZ37" s="17"/>
      <c r="BA37" s="17"/>
      <c r="BB37" s="17"/>
      <c r="BC37" s="60"/>
      <c r="BF37" s="970" t="s">
        <v>1232</v>
      </c>
    </row>
    <row r="38" spans="1:58" s="791" customFormat="1" ht="22.7" hidden="1" customHeight="1">
      <c r="E38" s="676">
        <v>23.3</v>
      </c>
      <c r="F38" s="779" cm="1">
        <f t="array" ref="F38">F37</f>
        <v>0</v>
      </c>
      <c r="G38" s="620" t="s">
        <v>1213</v>
      </c>
      <c r="T38" s="698" t="b" cm="1">
        <f t="array" ref="T38">T37</f>
        <v>0</v>
      </c>
      <c r="X38" s="1725"/>
      <c r="Z38" s="1725"/>
      <c r="AB38" s="235" t="s">
        <v>1088</v>
      </c>
      <c r="AC38" s="236" t="s">
        <v>1215</v>
      </c>
      <c r="AD38" s="877" t="s">
        <v>839</v>
      </c>
      <c r="AE38" s="20"/>
      <c r="AF38" s="17"/>
      <c r="AG38" s="17"/>
      <c r="AH38" s="17"/>
      <c r="AI38" s="230"/>
      <c r="AJ38" s="230"/>
      <c r="AK38" s="230"/>
      <c r="AL38" s="230"/>
      <c r="AM38" s="230"/>
      <c r="AN38" s="17"/>
      <c r="AO38" s="17"/>
      <c r="AP38" s="17"/>
      <c r="AQ38" s="17"/>
      <c r="AR38" s="17"/>
      <c r="AS38" s="230"/>
      <c r="AT38" s="230"/>
      <c r="AU38" s="230"/>
      <c r="AV38" s="230"/>
      <c r="AW38" s="230"/>
      <c r="AX38" s="17"/>
      <c r="AY38" s="17"/>
      <c r="AZ38" s="17"/>
      <c r="BA38" s="17"/>
      <c r="BB38" s="17"/>
      <c r="BC38" s="60"/>
      <c r="BF38" s="970" t="s">
        <v>1233</v>
      </c>
    </row>
    <row r="39" spans="1:58" s="1326" customFormat="1" ht="10.5" customHeight="1">
      <c r="A39" s="170"/>
      <c r="B39" s="170"/>
      <c r="C39" s="170"/>
      <c r="D39" s="170"/>
      <c r="E39" s="676">
        <v>11.4</v>
      </c>
      <c r="F39" s="779" t="str" cm="1">
        <f t="array" ref="F39">X39</f>
        <v>1</v>
      </c>
      <c r="G39" s="170"/>
      <c r="H39" s="170"/>
      <c r="I39" s="170"/>
      <c r="J39" s="170"/>
      <c r="K39" s="170"/>
      <c r="L39" s="170"/>
      <c r="M39" s="170"/>
      <c r="N39" s="170"/>
      <c r="O39" s="170"/>
      <c r="P39" s="170"/>
      <c r="Q39" s="170"/>
      <c r="R39" s="170"/>
      <c r="S39" s="170"/>
      <c r="T39" s="698" t="b">
        <f>X39&gt;0</f>
        <v>1</v>
      </c>
      <c r="U39" s="170"/>
      <c r="V39" s="126" t="str" cm="1">
        <f t="array" ref="V39">Амортизация!$AB$126</f>
        <v>Тариф 1 (Теплоснабжение) - Тариф на тепловую энергию (мощность), поставляемую потребителям (Не определено)</v>
      </c>
      <c r="W39" s="170"/>
      <c r="X39" s="1726" t="s">
        <v>341</v>
      </c>
      <c r="Y39" s="170"/>
      <c r="Z39" s="1724"/>
      <c r="AA39" s="170"/>
      <c r="AB39" s="237"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10"/>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26"/>
      <c r="BD39" s="170"/>
      <c r="BE39" s="170"/>
      <c r="BF39" s="981"/>
    </row>
    <row r="40" spans="1:58" s="791" customFormat="1" ht="27.75" customHeight="1">
      <c r="E40" s="676">
        <v>28.5</v>
      </c>
      <c r="F40" s="779" t="str" cm="1">
        <f t="array" ref="F40">F39</f>
        <v>1</v>
      </c>
      <c r="G40" s="620" t="s">
        <v>1205</v>
      </c>
      <c r="T40" s="698" t="b" cm="1">
        <f t="array" ref="T40">T39</f>
        <v>1</v>
      </c>
      <c r="X40" s="1725"/>
      <c r="Z40" s="1725"/>
      <c r="AB40" s="552" t="s">
        <v>341</v>
      </c>
      <c r="AC40" s="881" t="s">
        <v>45</v>
      </c>
      <c r="AD40" s="882" t="s">
        <v>839</v>
      </c>
      <c r="AE40" s="279">
        <f t="shared" ref="AE40:BB40" si="5">AE41+AE44+AE45+AE48</f>
        <v>0</v>
      </c>
      <c r="AF40" s="279">
        <f t="shared" si="5"/>
        <v>0</v>
      </c>
      <c r="AG40" s="279">
        <f t="shared" si="5"/>
        <v>0</v>
      </c>
      <c r="AH40" s="279">
        <f t="shared" si="5"/>
        <v>377.26</v>
      </c>
      <c r="AI40" s="279">
        <f t="shared" si="5"/>
        <v>0</v>
      </c>
      <c r="AJ40" s="279">
        <f t="shared" si="5"/>
        <v>0</v>
      </c>
      <c r="AK40" s="279">
        <f t="shared" si="5"/>
        <v>0</v>
      </c>
      <c r="AL40" s="279">
        <f t="shared" si="5"/>
        <v>0</v>
      </c>
      <c r="AM40" s="279">
        <f t="shared" si="5"/>
        <v>0</v>
      </c>
      <c r="AN40" s="279">
        <f t="shared" si="5"/>
        <v>0</v>
      </c>
      <c r="AO40" s="279">
        <f t="shared" si="5"/>
        <v>0</v>
      </c>
      <c r="AP40" s="279">
        <f t="shared" si="5"/>
        <v>0</v>
      </c>
      <c r="AQ40" s="279">
        <f t="shared" si="5"/>
        <v>0</v>
      </c>
      <c r="AR40" s="279">
        <f t="shared" si="5"/>
        <v>0</v>
      </c>
      <c r="AS40" s="279">
        <f t="shared" si="5"/>
        <v>398.71000000000004</v>
      </c>
      <c r="AT40" s="279">
        <f t="shared" si="5"/>
        <v>0</v>
      </c>
      <c r="AU40" s="279">
        <f t="shared" si="5"/>
        <v>0</v>
      </c>
      <c r="AV40" s="279">
        <f t="shared" si="5"/>
        <v>0</v>
      </c>
      <c r="AW40" s="279">
        <f t="shared" si="5"/>
        <v>0</v>
      </c>
      <c r="AX40" s="279">
        <f t="shared" si="5"/>
        <v>0</v>
      </c>
      <c r="AY40" s="279">
        <f t="shared" si="5"/>
        <v>0</v>
      </c>
      <c r="AZ40" s="279">
        <f t="shared" si="5"/>
        <v>0</v>
      </c>
      <c r="BA40" s="279">
        <f t="shared" si="5"/>
        <v>0</v>
      </c>
      <c r="BB40" s="279">
        <f t="shared" si="5"/>
        <v>0</v>
      </c>
      <c r="BC40" s="1325"/>
      <c r="BF40" s="970" t="s">
        <v>1206</v>
      </c>
    </row>
    <row r="41" spans="1:58" s="791" customFormat="1" ht="22.5" customHeight="1">
      <c r="E41" s="676">
        <v>23.3</v>
      </c>
      <c r="F41" s="779" t="str" cm="1">
        <f t="array" ref="F41">F40</f>
        <v>1</v>
      </c>
      <c r="T41" s="698" t="b" cm="1">
        <f t="array" ref="T41">T40</f>
        <v>1</v>
      </c>
      <c r="X41" s="1725"/>
      <c r="Z41" s="1725"/>
      <c r="AB41" s="233" t="s">
        <v>484</v>
      </c>
      <c r="AC41" s="234" t="s">
        <v>1207</v>
      </c>
      <c r="AD41" s="883" t="s">
        <v>839</v>
      </c>
      <c r="AE41" s="497">
        <f t="shared" ref="AE41:BB41" si="6">AE42+AE43</f>
        <v>0</v>
      </c>
      <c r="AF41" s="279">
        <f t="shared" si="6"/>
        <v>0</v>
      </c>
      <c r="AG41" s="279">
        <f t="shared" si="6"/>
        <v>0</v>
      </c>
      <c r="AH41" s="279">
        <f t="shared" si="6"/>
        <v>175.26</v>
      </c>
      <c r="AI41" s="279">
        <f t="shared" si="6"/>
        <v>0</v>
      </c>
      <c r="AJ41" s="279">
        <f t="shared" si="6"/>
        <v>0</v>
      </c>
      <c r="AK41" s="279">
        <f t="shared" si="6"/>
        <v>0</v>
      </c>
      <c r="AL41" s="279">
        <f t="shared" si="6"/>
        <v>0</v>
      </c>
      <c r="AM41" s="279">
        <f t="shared" si="6"/>
        <v>0</v>
      </c>
      <c r="AN41" s="279">
        <f t="shared" si="6"/>
        <v>0</v>
      </c>
      <c r="AO41" s="279">
        <f t="shared" si="6"/>
        <v>0</v>
      </c>
      <c r="AP41" s="279">
        <f t="shared" si="6"/>
        <v>0</v>
      </c>
      <c r="AQ41" s="279">
        <f t="shared" si="6"/>
        <v>0</v>
      </c>
      <c r="AR41" s="279">
        <f t="shared" si="6"/>
        <v>0</v>
      </c>
      <c r="AS41" s="279">
        <f t="shared" si="6"/>
        <v>182.19</v>
      </c>
      <c r="AT41" s="279">
        <f t="shared" si="6"/>
        <v>0</v>
      </c>
      <c r="AU41" s="279">
        <f t="shared" si="6"/>
        <v>0</v>
      </c>
      <c r="AV41" s="279">
        <f t="shared" si="6"/>
        <v>0</v>
      </c>
      <c r="AW41" s="279">
        <f t="shared" si="6"/>
        <v>0</v>
      </c>
      <c r="AX41" s="279">
        <f t="shared" si="6"/>
        <v>0</v>
      </c>
      <c r="AY41" s="279">
        <f t="shared" si="6"/>
        <v>0</v>
      </c>
      <c r="AZ41" s="279">
        <f t="shared" si="6"/>
        <v>0</v>
      </c>
      <c r="BA41" s="279">
        <f t="shared" si="6"/>
        <v>0</v>
      </c>
      <c r="BB41" s="279">
        <f t="shared" si="6"/>
        <v>0</v>
      </c>
      <c r="BC41" s="1325"/>
      <c r="BF41" s="970" t="s">
        <v>1208</v>
      </c>
    </row>
    <row r="42" spans="1:58" s="791" customFormat="1" ht="22.5" customHeight="1">
      <c r="E42" s="676">
        <v>23.3</v>
      </c>
      <c r="F42" s="779" t="str" cm="1">
        <f t="array" ref="F42">F41</f>
        <v>1</v>
      </c>
      <c r="G42" s="620" t="s">
        <v>1209</v>
      </c>
      <c r="T42" s="698" t="b" cm="1">
        <f t="array" ref="T42">T41</f>
        <v>1</v>
      </c>
      <c r="X42" s="1725"/>
      <c r="Z42" s="1725"/>
      <c r="AB42" s="235" t="s">
        <v>1210</v>
      </c>
      <c r="AC42" s="236" t="s">
        <v>1211</v>
      </c>
      <c r="AD42" s="877" t="s">
        <v>839</v>
      </c>
      <c r="AE42" s="1258"/>
      <c r="AF42" s="1249"/>
      <c r="AG42" s="1249"/>
      <c r="AH42" s="1249">
        <v>175.26</v>
      </c>
      <c r="AI42" s="230"/>
      <c r="AJ42" s="230"/>
      <c r="AK42" s="230"/>
      <c r="AL42" s="230"/>
      <c r="AM42" s="230"/>
      <c r="AN42" s="1249"/>
      <c r="AO42" s="1249"/>
      <c r="AP42" s="1249"/>
      <c r="AQ42" s="1249"/>
      <c r="AR42" s="1249"/>
      <c r="AS42" s="230">
        <v>182.19</v>
      </c>
      <c r="AT42" s="230"/>
      <c r="AU42" s="230"/>
      <c r="AV42" s="230"/>
      <c r="AW42" s="230"/>
      <c r="AX42" s="1249"/>
      <c r="AY42" s="1249"/>
      <c r="AZ42" s="1249"/>
      <c r="BA42" s="1249"/>
      <c r="BB42" s="1249"/>
      <c r="BC42" s="1325"/>
      <c r="BF42" s="970" t="s">
        <v>1212</v>
      </c>
    </row>
    <row r="43" spans="1:58" s="791" customFormat="1" ht="22.5" customHeight="1">
      <c r="E43" s="676">
        <v>23.3</v>
      </c>
      <c r="F43" s="779" t="str" cm="1">
        <f t="array" ref="F43">F42</f>
        <v>1</v>
      </c>
      <c r="G43" s="620" t="s">
        <v>1213</v>
      </c>
      <c r="T43" s="698" t="b" cm="1">
        <f t="array" ref="T43">T42</f>
        <v>1</v>
      </c>
      <c r="X43" s="1725"/>
      <c r="Z43" s="1725"/>
      <c r="AB43" s="235" t="s">
        <v>1214</v>
      </c>
      <c r="AC43" s="236" t="s">
        <v>1215</v>
      </c>
      <c r="AD43" s="877" t="s">
        <v>839</v>
      </c>
      <c r="AE43" s="1258"/>
      <c r="AF43" s="1249"/>
      <c r="AG43" s="1249"/>
      <c r="AH43" s="1249"/>
      <c r="AI43" s="230"/>
      <c r="AJ43" s="230"/>
      <c r="AK43" s="230"/>
      <c r="AL43" s="230"/>
      <c r="AM43" s="230"/>
      <c r="AN43" s="1249"/>
      <c r="AO43" s="1249"/>
      <c r="AP43" s="1249"/>
      <c r="AQ43" s="1249"/>
      <c r="AR43" s="1249"/>
      <c r="AS43" s="230"/>
      <c r="AT43" s="230"/>
      <c r="AU43" s="230"/>
      <c r="AV43" s="230"/>
      <c r="AW43" s="230"/>
      <c r="AX43" s="1249"/>
      <c r="AY43" s="1249"/>
      <c r="AZ43" s="1249"/>
      <c r="BA43" s="1249"/>
      <c r="BB43" s="1249"/>
      <c r="BC43" s="1325"/>
      <c r="BF43" s="970" t="s">
        <v>1216</v>
      </c>
    </row>
    <row r="44" spans="1:58" s="791" customFormat="1" ht="22.5" customHeight="1">
      <c r="E44" s="676">
        <v>23.3</v>
      </c>
      <c r="F44" s="779" t="str" cm="1">
        <f t="array" ref="F44">F43</f>
        <v>1</v>
      </c>
      <c r="G44" s="620" t="s">
        <v>1217</v>
      </c>
      <c r="T44" s="698" t="b" cm="1">
        <f t="array" ref="T44">T43</f>
        <v>1</v>
      </c>
      <c r="X44" s="1725"/>
      <c r="Z44" s="1725"/>
      <c r="AB44" s="233" t="s">
        <v>989</v>
      </c>
      <c r="AC44" s="234" t="s">
        <v>1218</v>
      </c>
      <c r="AD44" s="883" t="s">
        <v>839</v>
      </c>
      <c r="AE44" s="1258"/>
      <c r="AF44" s="1249"/>
      <c r="AG44" s="1249"/>
      <c r="AH44" s="1249"/>
      <c r="AI44" s="230"/>
      <c r="AJ44" s="230"/>
      <c r="AK44" s="230"/>
      <c r="AL44" s="230"/>
      <c r="AM44" s="230"/>
      <c r="AN44" s="1249"/>
      <c r="AO44" s="1249"/>
      <c r="AP44" s="1249"/>
      <c r="AQ44" s="1249"/>
      <c r="AR44" s="1249"/>
      <c r="AS44" s="230"/>
      <c r="AT44" s="230"/>
      <c r="AU44" s="230"/>
      <c r="AV44" s="230"/>
      <c r="AW44" s="230"/>
      <c r="AX44" s="1249"/>
      <c r="AY44" s="1249"/>
      <c r="AZ44" s="1249"/>
      <c r="BA44" s="1249"/>
      <c r="BB44" s="1249"/>
      <c r="BC44" s="1325"/>
      <c r="BF44" s="970" t="s">
        <v>1219</v>
      </c>
    </row>
    <row r="45" spans="1:58" s="791" customFormat="1" ht="22.5" customHeight="1">
      <c r="E45" s="676">
        <v>23.3</v>
      </c>
      <c r="F45" s="779" t="str" cm="1">
        <f t="array" ref="F45">F44</f>
        <v>1</v>
      </c>
      <c r="T45" s="698" t="b" cm="1">
        <f t="array" ref="T45">T44</f>
        <v>1</v>
      </c>
      <c r="X45" s="1725"/>
      <c r="Z45" s="1725"/>
      <c r="AB45" s="233" t="s">
        <v>991</v>
      </c>
      <c r="AC45" s="234" t="s">
        <v>1220</v>
      </c>
      <c r="AD45" s="883" t="s">
        <v>839</v>
      </c>
      <c r="AE45" s="497">
        <f t="shared" ref="AE45:BB45" si="7">AE46+AE47</f>
        <v>0</v>
      </c>
      <c r="AF45" s="279">
        <f t="shared" si="7"/>
        <v>0</v>
      </c>
      <c r="AG45" s="279">
        <f t="shared" si="7"/>
        <v>0</v>
      </c>
      <c r="AH45" s="279">
        <f t="shared" si="7"/>
        <v>0</v>
      </c>
      <c r="AI45" s="279">
        <f t="shared" si="7"/>
        <v>0</v>
      </c>
      <c r="AJ45" s="279">
        <f t="shared" si="7"/>
        <v>0</v>
      </c>
      <c r="AK45" s="279">
        <f t="shared" si="7"/>
        <v>0</v>
      </c>
      <c r="AL45" s="279">
        <f t="shared" si="7"/>
        <v>0</v>
      </c>
      <c r="AM45" s="279">
        <f t="shared" si="7"/>
        <v>0</v>
      </c>
      <c r="AN45" s="279">
        <f t="shared" si="7"/>
        <v>0</v>
      </c>
      <c r="AO45" s="279">
        <f t="shared" si="7"/>
        <v>0</v>
      </c>
      <c r="AP45" s="279">
        <f t="shared" si="7"/>
        <v>0</v>
      </c>
      <c r="AQ45" s="279">
        <f t="shared" si="7"/>
        <v>0</v>
      </c>
      <c r="AR45" s="279">
        <f t="shared" si="7"/>
        <v>0</v>
      </c>
      <c r="AS45" s="279">
        <f t="shared" si="7"/>
        <v>0</v>
      </c>
      <c r="AT45" s="279">
        <f t="shared" si="7"/>
        <v>0</v>
      </c>
      <c r="AU45" s="279">
        <f t="shared" si="7"/>
        <v>0</v>
      </c>
      <c r="AV45" s="279">
        <f t="shared" si="7"/>
        <v>0</v>
      </c>
      <c r="AW45" s="279">
        <f t="shared" si="7"/>
        <v>0</v>
      </c>
      <c r="AX45" s="279">
        <f t="shared" si="7"/>
        <v>0</v>
      </c>
      <c r="AY45" s="279">
        <f t="shared" si="7"/>
        <v>0</v>
      </c>
      <c r="AZ45" s="279">
        <f t="shared" si="7"/>
        <v>0</v>
      </c>
      <c r="BA45" s="279">
        <f t="shared" si="7"/>
        <v>0</v>
      </c>
      <c r="BB45" s="279">
        <f t="shared" si="7"/>
        <v>0</v>
      </c>
      <c r="BC45" s="1325"/>
      <c r="BF45" s="970" t="s">
        <v>1221</v>
      </c>
    </row>
    <row r="46" spans="1:58" s="791" customFormat="1" ht="67.5" customHeight="1">
      <c r="E46" s="676">
        <v>69.8</v>
      </c>
      <c r="F46" s="779" t="str" cm="1">
        <f t="array" ref="F46">F45</f>
        <v>1</v>
      </c>
      <c r="G46" s="620" t="s">
        <v>1222</v>
      </c>
      <c r="T46" s="698" t="b" cm="1">
        <f t="array" ref="T46">T45</f>
        <v>1</v>
      </c>
      <c r="X46" s="1725"/>
      <c r="Z46" s="1725"/>
      <c r="AB46" s="235" t="s">
        <v>1223</v>
      </c>
      <c r="AC46" s="236" t="s">
        <v>1224</v>
      </c>
      <c r="AD46" s="877" t="s">
        <v>839</v>
      </c>
      <c r="AE46" s="1258"/>
      <c r="AF46" s="1249"/>
      <c r="AG46" s="1249"/>
      <c r="AH46" s="1249"/>
      <c r="AI46" s="230"/>
      <c r="AJ46" s="230"/>
      <c r="AK46" s="230"/>
      <c r="AL46" s="230"/>
      <c r="AM46" s="230"/>
      <c r="AN46" s="1249"/>
      <c r="AO46" s="1249"/>
      <c r="AP46" s="1249"/>
      <c r="AQ46" s="1249"/>
      <c r="AR46" s="1249"/>
      <c r="AS46" s="230"/>
      <c r="AT46" s="230"/>
      <c r="AU46" s="230"/>
      <c r="AV46" s="230"/>
      <c r="AW46" s="230"/>
      <c r="AX46" s="1249"/>
      <c r="AY46" s="1249"/>
      <c r="AZ46" s="1249"/>
      <c r="BA46" s="1249"/>
      <c r="BB46" s="1249"/>
      <c r="BC46" s="1325"/>
      <c r="BF46" s="970" t="s">
        <v>1225</v>
      </c>
    </row>
    <row r="47" spans="1:58" s="791" customFormat="1" ht="28.5" customHeight="1">
      <c r="E47" s="676">
        <v>29.3</v>
      </c>
      <c r="F47" s="779" t="str" cm="1">
        <f t="array" ref="F47">F46</f>
        <v>1</v>
      </c>
      <c r="G47" s="620" t="s">
        <v>1226</v>
      </c>
      <c r="T47" s="698" t="b" cm="1">
        <f t="array" ref="T47">T46</f>
        <v>1</v>
      </c>
      <c r="X47" s="1725"/>
      <c r="Z47" s="1725"/>
      <c r="AB47" s="235" t="s">
        <v>1227</v>
      </c>
      <c r="AC47" s="236" t="s">
        <v>1228</v>
      </c>
      <c r="AD47" s="877" t="s">
        <v>839</v>
      </c>
      <c r="AE47" s="1258"/>
      <c r="AF47" s="1249"/>
      <c r="AG47" s="1249"/>
      <c r="AH47" s="1249"/>
      <c r="AI47" s="230"/>
      <c r="AJ47" s="230"/>
      <c r="AK47" s="230"/>
      <c r="AL47" s="230"/>
      <c r="AM47" s="230"/>
      <c r="AN47" s="1249"/>
      <c r="AO47" s="1249"/>
      <c r="AP47" s="1249"/>
      <c r="AQ47" s="1249"/>
      <c r="AR47" s="1249"/>
      <c r="AS47" s="230"/>
      <c r="AT47" s="230"/>
      <c r="AU47" s="230"/>
      <c r="AV47" s="230"/>
      <c r="AW47" s="230"/>
      <c r="AX47" s="1249"/>
      <c r="AY47" s="1249"/>
      <c r="AZ47" s="1249"/>
      <c r="BA47" s="1249"/>
      <c r="BB47" s="1249"/>
      <c r="BC47" s="1325"/>
      <c r="BF47" s="970" t="s">
        <v>1229</v>
      </c>
    </row>
    <row r="48" spans="1:58" s="791" customFormat="1" ht="21" customHeight="1">
      <c r="E48" s="676">
        <v>21.8</v>
      </c>
      <c r="F48" s="779" t="str" cm="1">
        <f t="array" ref="F48">F47</f>
        <v>1</v>
      </c>
      <c r="T48" s="698" t="b" cm="1">
        <f t="array" ref="T48">T47</f>
        <v>1</v>
      </c>
      <c r="X48" s="1725"/>
      <c r="Z48" s="1725"/>
      <c r="AB48" s="233" t="s">
        <v>995</v>
      </c>
      <c r="AC48" s="234" t="s">
        <v>1230</v>
      </c>
      <c r="AD48" s="883" t="s">
        <v>839</v>
      </c>
      <c r="AE48" s="497">
        <f t="shared" ref="AE48:BB48" si="8">AE49+AE50</f>
        <v>0</v>
      </c>
      <c r="AF48" s="279">
        <f t="shared" si="8"/>
        <v>0</v>
      </c>
      <c r="AG48" s="279">
        <f t="shared" si="8"/>
        <v>0</v>
      </c>
      <c r="AH48" s="279">
        <f t="shared" si="8"/>
        <v>202</v>
      </c>
      <c r="AI48" s="279">
        <f t="shared" si="8"/>
        <v>0</v>
      </c>
      <c r="AJ48" s="279">
        <f t="shared" si="8"/>
        <v>0</v>
      </c>
      <c r="AK48" s="279">
        <f t="shared" si="8"/>
        <v>0</v>
      </c>
      <c r="AL48" s="279">
        <f t="shared" si="8"/>
        <v>0</v>
      </c>
      <c r="AM48" s="279">
        <f t="shared" si="8"/>
        <v>0</v>
      </c>
      <c r="AN48" s="279">
        <f t="shared" si="8"/>
        <v>0</v>
      </c>
      <c r="AO48" s="279">
        <f t="shared" si="8"/>
        <v>0</v>
      </c>
      <c r="AP48" s="279">
        <f t="shared" si="8"/>
        <v>0</v>
      </c>
      <c r="AQ48" s="279">
        <f t="shared" si="8"/>
        <v>0</v>
      </c>
      <c r="AR48" s="279">
        <f t="shared" si="8"/>
        <v>0</v>
      </c>
      <c r="AS48" s="279">
        <f t="shared" si="8"/>
        <v>216.52</v>
      </c>
      <c r="AT48" s="279">
        <f t="shared" si="8"/>
        <v>0</v>
      </c>
      <c r="AU48" s="279">
        <f t="shared" si="8"/>
        <v>0</v>
      </c>
      <c r="AV48" s="279">
        <f t="shared" si="8"/>
        <v>0</v>
      </c>
      <c r="AW48" s="279">
        <f t="shared" si="8"/>
        <v>0</v>
      </c>
      <c r="AX48" s="279">
        <f t="shared" si="8"/>
        <v>0</v>
      </c>
      <c r="AY48" s="279">
        <f t="shared" si="8"/>
        <v>0</v>
      </c>
      <c r="AZ48" s="279">
        <f t="shared" si="8"/>
        <v>0</v>
      </c>
      <c r="BA48" s="279">
        <f t="shared" si="8"/>
        <v>0</v>
      </c>
      <c r="BB48" s="279">
        <f t="shared" si="8"/>
        <v>0</v>
      </c>
      <c r="BC48" s="1325"/>
      <c r="BF48" s="970" t="s">
        <v>1231</v>
      </c>
    </row>
    <row r="49" spans="1:58" s="791" customFormat="1" ht="22.5" customHeight="1">
      <c r="E49" s="676">
        <v>23.3</v>
      </c>
      <c r="F49" s="779" t="str" cm="1">
        <f t="array" ref="F49">F48</f>
        <v>1</v>
      </c>
      <c r="G49" s="620" t="s">
        <v>1209</v>
      </c>
      <c r="T49" s="698" t="b" cm="1">
        <f t="array" ref="T49">T48</f>
        <v>1</v>
      </c>
      <c r="X49" s="1725"/>
      <c r="Z49" s="1725"/>
      <c r="AB49" s="235" t="s">
        <v>1085</v>
      </c>
      <c r="AC49" s="236" t="s">
        <v>1211</v>
      </c>
      <c r="AD49" s="877" t="s">
        <v>839</v>
      </c>
      <c r="AE49" s="1258"/>
      <c r="AF49" s="1249"/>
      <c r="AG49" s="1249"/>
      <c r="AH49" s="1249"/>
      <c r="AI49" s="230"/>
      <c r="AJ49" s="230"/>
      <c r="AK49" s="230"/>
      <c r="AL49" s="230"/>
      <c r="AM49" s="230"/>
      <c r="AN49" s="1249"/>
      <c r="AO49" s="1249"/>
      <c r="AP49" s="1249"/>
      <c r="AQ49" s="1249"/>
      <c r="AR49" s="1249"/>
      <c r="AS49" s="230"/>
      <c r="AT49" s="230"/>
      <c r="AU49" s="230"/>
      <c r="AV49" s="230"/>
      <c r="AW49" s="230"/>
      <c r="AX49" s="1249"/>
      <c r="AY49" s="1249"/>
      <c r="AZ49" s="1249"/>
      <c r="BA49" s="1249"/>
      <c r="BB49" s="1249"/>
      <c r="BC49" s="1325"/>
      <c r="BF49" s="970" t="s">
        <v>1232</v>
      </c>
    </row>
    <row r="50" spans="1:58" s="791" customFormat="1" ht="22.5" customHeight="1">
      <c r="E50" s="676">
        <v>23.3</v>
      </c>
      <c r="F50" s="779" t="str" cm="1">
        <f t="array" ref="F50">F49</f>
        <v>1</v>
      </c>
      <c r="G50" s="620" t="s">
        <v>1213</v>
      </c>
      <c r="T50" s="698" t="b" cm="1">
        <f t="array" ref="T50">T49</f>
        <v>1</v>
      </c>
      <c r="X50" s="1725"/>
      <c r="Z50" s="1725"/>
      <c r="AB50" s="235" t="s">
        <v>1088</v>
      </c>
      <c r="AC50" s="236" t="s">
        <v>1215</v>
      </c>
      <c r="AD50" s="877" t="s">
        <v>839</v>
      </c>
      <c r="AE50" s="1258"/>
      <c r="AF50" s="1249"/>
      <c r="AG50" s="1249"/>
      <c r="AH50" s="1249">
        <v>202</v>
      </c>
      <c r="AI50" s="230"/>
      <c r="AJ50" s="230"/>
      <c r="AK50" s="230"/>
      <c r="AL50" s="230"/>
      <c r="AM50" s="230"/>
      <c r="AN50" s="1249"/>
      <c r="AO50" s="1249"/>
      <c r="AP50" s="1249"/>
      <c r="AQ50" s="1249"/>
      <c r="AR50" s="1249"/>
      <c r="AS50" s="230">
        <v>216.52</v>
      </c>
      <c r="AT50" s="230"/>
      <c r="AU50" s="230"/>
      <c r="AV50" s="230"/>
      <c r="AW50" s="230"/>
      <c r="AX50" s="1249"/>
      <c r="AY50" s="1249"/>
      <c r="AZ50" s="1249"/>
      <c r="BA50" s="1249"/>
      <c r="BB50" s="1249"/>
      <c r="BC50" s="1325"/>
      <c r="BF50" s="970" t="s">
        <v>1233</v>
      </c>
    </row>
    <row r="51" spans="1:58" s="1327" customFormat="1" ht="10.5" customHeight="1">
      <c r="A51" s="170"/>
      <c r="B51" s="170"/>
      <c r="C51" s="170"/>
      <c r="D51" s="170"/>
      <c r="E51" s="676">
        <v>11.4</v>
      </c>
      <c r="F51" s="779" t="str" cm="1">
        <f t="array" ref="F51">X51</f>
        <v>2</v>
      </c>
      <c r="G51" s="170"/>
      <c r="H51" s="170"/>
      <c r="I51" s="170"/>
      <c r="J51" s="170"/>
      <c r="K51" s="170"/>
      <c r="L51" s="170"/>
      <c r="M51" s="170"/>
      <c r="N51" s="170"/>
      <c r="O51" s="170"/>
      <c r="P51" s="170"/>
      <c r="Q51" s="170"/>
      <c r="R51" s="170"/>
      <c r="S51" s="170"/>
      <c r="T51" s="698" t="b">
        <f>X51&gt;0</f>
        <v>1</v>
      </c>
      <c r="U51" s="170"/>
      <c r="V51" s="126" t="str" cm="1">
        <f t="array" ref="V51">Амортизация!$AB$225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170"/>
      <c r="X51" s="1726" t="s">
        <v>348</v>
      </c>
      <c r="Y51" s="170"/>
      <c r="Z51" s="1724"/>
      <c r="AA51" s="170"/>
      <c r="AB51" s="237" t="str" cm="1">
        <f t="array" ref="AB51">IF(ISBLANK(Амортизация!$AB$225),"",Амортизация!$AB$225)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210"/>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26"/>
      <c r="BD51" s="170"/>
      <c r="BE51" s="170"/>
      <c r="BF51" s="981"/>
    </row>
    <row r="52" spans="1:58" s="791" customFormat="1" ht="27.75" customHeight="1">
      <c r="E52" s="676">
        <v>28.5</v>
      </c>
      <c r="F52" s="779" t="str" cm="1">
        <f t="array" ref="F52">F51</f>
        <v>2</v>
      </c>
      <c r="G52" s="620" t="s">
        <v>1205</v>
      </c>
      <c r="T52" s="698" t="b" cm="1">
        <f t="array" ref="T52">T51</f>
        <v>1</v>
      </c>
      <c r="X52" s="1725"/>
      <c r="Z52" s="1725"/>
      <c r="AB52" s="552" t="s">
        <v>341</v>
      </c>
      <c r="AC52" s="881" t="s">
        <v>45</v>
      </c>
      <c r="AD52" s="882" t="s">
        <v>839</v>
      </c>
      <c r="AE52" s="279">
        <f t="shared" ref="AE52:BB52" si="9">AE53+AE56+AE57+AE60</f>
        <v>0</v>
      </c>
      <c r="AF52" s="279">
        <f t="shared" si="9"/>
        <v>0</v>
      </c>
      <c r="AG52" s="279">
        <f t="shared" si="9"/>
        <v>0</v>
      </c>
      <c r="AH52" s="279">
        <f t="shared" si="9"/>
        <v>293.55</v>
      </c>
      <c r="AI52" s="279">
        <f t="shared" si="9"/>
        <v>0</v>
      </c>
      <c r="AJ52" s="279">
        <f t="shared" si="9"/>
        <v>0</v>
      </c>
      <c r="AK52" s="279">
        <f t="shared" si="9"/>
        <v>0</v>
      </c>
      <c r="AL52" s="279">
        <f t="shared" si="9"/>
        <v>0</v>
      </c>
      <c r="AM52" s="279">
        <f t="shared" si="9"/>
        <v>0</v>
      </c>
      <c r="AN52" s="279">
        <f t="shared" si="9"/>
        <v>0</v>
      </c>
      <c r="AO52" s="279">
        <f t="shared" si="9"/>
        <v>0</v>
      </c>
      <c r="AP52" s="279">
        <f t="shared" si="9"/>
        <v>0</v>
      </c>
      <c r="AQ52" s="279">
        <f t="shared" si="9"/>
        <v>0</v>
      </c>
      <c r="AR52" s="279">
        <f t="shared" si="9"/>
        <v>0</v>
      </c>
      <c r="AS52" s="279">
        <f t="shared" si="9"/>
        <v>164.27</v>
      </c>
      <c r="AT52" s="279">
        <f t="shared" si="9"/>
        <v>0</v>
      </c>
      <c r="AU52" s="279">
        <f t="shared" si="9"/>
        <v>0</v>
      </c>
      <c r="AV52" s="279">
        <f t="shared" si="9"/>
        <v>0</v>
      </c>
      <c r="AW52" s="279">
        <f t="shared" si="9"/>
        <v>0</v>
      </c>
      <c r="AX52" s="279">
        <f t="shared" si="9"/>
        <v>0</v>
      </c>
      <c r="AY52" s="279">
        <f t="shared" si="9"/>
        <v>0</v>
      </c>
      <c r="AZ52" s="279">
        <f t="shared" si="9"/>
        <v>0</v>
      </c>
      <c r="BA52" s="279">
        <f t="shared" si="9"/>
        <v>0</v>
      </c>
      <c r="BB52" s="279">
        <f t="shared" si="9"/>
        <v>0</v>
      </c>
      <c r="BC52" s="1325"/>
      <c r="BF52" s="970" t="s">
        <v>1206</v>
      </c>
    </row>
    <row r="53" spans="1:58" s="791" customFormat="1" ht="22.5" customHeight="1">
      <c r="E53" s="676">
        <v>23.3</v>
      </c>
      <c r="F53" s="779" t="str" cm="1">
        <f t="array" ref="F53">F52</f>
        <v>2</v>
      </c>
      <c r="T53" s="698" t="b" cm="1">
        <f t="array" ref="T53">T52</f>
        <v>1</v>
      </c>
      <c r="X53" s="1725"/>
      <c r="Z53" s="1725"/>
      <c r="AB53" s="233" t="s">
        <v>484</v>
      </c>
      <c r="AC53" s="234" t="s">
        <v>1207</v>
      </c>
      <c r="AD53" s="883" t="s">
        <v>839</v>
      </c>
      <c r="AE53" s="497">
        <f t="shared" ref="AE53:BB53" si="10">AE54+AE55</f>
        <v>0</v>
      </c>
      <c r="AF53" s="279">
        <f t="shared" si="10"/>
        <v>0</v>
      </c>
      <c r="AG53" s="279">
        <f t="shared" si="10"/>
        <v>0</v>
      </c>
      <c r="AH53" s="279">
        <f t="shared" si="10"/>
        <v>150.55000000000001</v>
      </c>
      <c r="AI53" s="279">
        <f t="shared" si="10"/>
        <v>0</v>
      </c>
      <c r="AJ53" s="279">
        <f t="shared" si="10"/>
        <v>0</v>
      </c>
      <c r="AK53" s="279">
        <f t="shared" si="10"/>
        <v>0</v>
      </c>
      <c r="AL53" s="279">
        <f t="shared" si="10"/>
        <v>0</v>
      </c>
      <c r="AM53" s="279">
        <f t="shared" si="10"/>
        <v>0</v>
      </c>
      <c r="AN53" s="279">
        <f t="shared" si="10"/>
        <v>0</v>
      </c>
      <c r="AO53" s="279">
        <f t="shared" si="10"/>
        <v>0</v>
      </c>
      <c r="AP53" s="279">
        <f t="shared" si="10"/>
        <v>0</v>
      </c>
      <c r="AQ53" s="279">
        <f t="shared" si="10"/>
        <v>0</v>
      </c>
      <c r="AR53" s="279">
        <f t="shared" si="10"/>
        <v>0</v>
      </c>
      <c r="AS53" s="279">
        <f t="shared" si="10"/>
        <v>164.27</v>
      </c>
      <c r="AT53" s="279">
        <f t="shared" si="10"/>
        <v>0</v>
      </c>
      <c r="AU53" s="279">
        <f t="shared" si="10"/>
        <v>0</v>
      </c>
      <c r="AV53" s="279">
        <f t="shared" si="10"/>
        <v>0</v>
      </c>
      <c r="AW53" s="279">
        <f t="shared" si="10"/>
        <v>0</v>
      </c>
      <c r="AX53" s="279">
        <f t="shared" si="10"/>
        <v>0</v>
      </c>
      <c r="AY53" s="279">
        <f t="shared" si="10"/>
        <v>0</v>
      </c>
      <c r="AZ53" s="279">
        <f t="shared" si="10"/>
        <v>0</v>
      </c>
      <c r="BA53" s="279">
        <f t="shared" si="10"/>
        <v>0</v>
      </c>
      <c r="BB53" s="279">
        <f t="shared" si="10"/>
        <v>0</v>
      </c>
      <c r="BC53" s="1325"/>
      <c r="BF53" s="970" t="s">
        <v>1208</v>
      </c>
    </row>
    <row r="54" spans="1:58" s="791" customFormat="1" ht="22.5" customHeight="1">
      <c r="E54" s="676">
        <v>23.3</v>
      </c>
      <c r="F54" s="779" t="str" cm="1">
        <f t="array" ref="F54">F53</f>
        <v>2</v>
      </c>
      <c r="G54" s="620" t="s">
        <v>1209</v>
      </c>
      <c r="T54" s="698" t="b" cm="1">
        <f t="array" ref="T54">T53</f>
        <v>1</v>
      </c>
      <c r="X54" s="1725"/>
      <c r="Z54" s="1725"/>
      <c r="AB54" s="235" t="s">
        <v>1210</v>
      </c>
      <c r="AC54" s="236" t="s">
        <v>1211</v>
      </c>
      <c r="AD54" s="877" t="s">
        <v>839</v>
      </c>
      <c r="AE54" s="1258"/>
      <c r="AF54" s="1249"/>
      <c r="AG54" s="1249"/>
      <c r="AH54" s="1249">
        <v>150.55000000000001</v>
      </c>
      <c r="AI54" s="230"/>
      <c r="AJ54" s="230"/>
      <c r="AK54" s="230"/>
      <c r="AL54" s="230"/>
      <c r="AM54" s="230"/>
      <c r="AN54" s="1249"/>
      <c r="AO54" s="1249"/>
      <c r="AP54" s="1249"/>
      <c r="AQ54" s="1249"/>
      <c r="AR54" s="1249"/>
      <c r="AS54" s="230">
        <v>164.27</v>
      </c>
      <c r="AT54" s="230"/>
      <c r="AU54" s="230"/>
      <c r="AV54" s="230"/>
      <c r="AW54" s="230"/>
      <c r="AX54" s="1249"/>
      <c r="AY54" s="1249"/>
      <c r="AZ54" s="1249"/>
      <c r="BA54" s="1249"/>
      <c r="BB54" s="1249"/>
      <c r="BC54" s="1325"/>
      <c r="BF54" s="970" t="s">
        <v>1212</v>
      </c>
    </row>
    <row r="55" spans="1:58" s="791" customFormat="1" ht="22.5" customHeight="1">
      <c r="E55" s="676">
        <v>23.3</v>
      </c>
      <c r="F55" s="779" t="str" cm="1">
        <f t="array" ref="F55">F54</f>
        <v>2</v>
      </c>
      <c r="G55" s="620" t="s">
        <v>1213</v>
      </c>
      <c r="T55" s="698" t="b" cm="1">
        <f t="array" ref="T55">T54</f>
        <v>1</v>
      </c>
      <c r="X55" s="1725"/>
      <c r="Z55" s="1725"/>
      <c r="AB55" s="235" t="s">
        <v>1214</v>
      </c>
      <c r="AC55" s="236" t="s">
        <v>1215</v>
      </c>
      <c r="AD55" s="877" t="s">
        <v>839</v>
      </c>
      <c r="AE55" s="1258"/>
      <c r="AF55" s="1249"/>
      <c r="AG55" s="1249"/>
      <c r="AH55" s="1249"/>
      <c r="AI55" s="230"/>
      <c r="AJ55" s="230"/>
      <c r="AK55" s="230"/>
      <c r="AL55" s="230"/>
      <c r="AM55" s="230"/>
      <c r="AN55" s="1249"/>
      <c r="AO55" s="1249"/>
      <c r="AP55" s="1249"/>
      <c r="AQ55" s="1249"/>
      <c r="AR55" s="1249"/>
      <c r="AS55" s="230"/>
      <c r="AT55" s="230"/>
      <c r="AU55" s="230"/>
      <c r="AV55" s="230"/>
      <c r="AW55" s="230"/>
      <c r="AX55" s="1249"/>
      <c r="AY55" s="1249"/>
      <c r="AZ55" s="1249"/>
      <c r="BA55" s="1249"/>
      <c r="BB55" s="1249"/>
      <c r="BC55" s="1325"/>
      <c r="BF55" s="970" t="s">
        <v>1216</v>
      </c>
    </row>
    <row r="56" spans="1:58" s="791" customFormat="1" ht="22.5" customHeight="1">
      <c r="E56" s="676">
        <v>23.3</v>
      </c>
      <c r="F56" s="779" t="str" cm="1">
        <f t="array" ref="F56">F55</f>
        <v>2</v>
      </c>
      <c r="G56" s="620" t="s">
        <v>1217</v>
      </c>
      <c r="T56" s="698" t="b" cm="1">
        <f t="array" ref="T56">T55</f>
        <v>1</v>
      </c>
      <c r="X56" s="1725"/>
      <c r="Z56" s="1725"/>
      <c r="AB56" s="233" t="s">
        <v>989</v>
      </c>
      <c r="AC56" s="234" t="s">
        <v>1218</v>
      </c>
      <c r="AD56" s="883" t="s">
        <v>839</v>
      </c>
      <c r="AE56" s="1258"/>
      <c r="AF56" s="1249"/>
      <c r="AG56" s="1249"/>
      <c r="AH56" s="1249"/>
      <c r="AI56" s="230"/>
      <c r="AJ56" s="230"/>
      <c r="AK56" s="230"/>
      <c r="AL56" s="230"/>
      <c r="AM56" s="230"/>
      <c r="AN56" s="1249"/>
      <c r="AO56" s="1249"/>
      <c r="AP56" s="1249"/>
      <c r="AQ56" s="1249"/>
      <c r="AR56" s="1249"/>
      <c r="AS56" s="230"/>
      <c r="AT56" s="230"/>
      <c r="AU56" s="230"/>
      <c r="AV56" s="230"/>
      <c r="AW56" s="230"/>
      <c r="AX56" s="1249"/>
      <c r="AY56" s="1249"/>
      <c r="AZ56" s="1249"/>
      <c r="BA56" s="1249"/>
      <c r="BB56" s="1249"/>
      <c r="BC56" s="1325"/>
      <c r="BF56" s="970" t="s">
        <v>1219</v>
      </c>
    </row>
    <row r="57" spans="1:58" s="791" customFormat="1" ht="22.5" customHeight="1">
      <c r="E57" s="676">
        <v>23.3</v>
      </c>
      <c r="F57" s="779" t="str" cm="1">
        <f t="array" ref="F57">F56</f>
        <v>2</v>
      </c>
      <c r="T57" s="698" t="b" cm="1">
        <f t="array" ref="T57">T56</f>
        <v>1</v>
      </c>
      <c r="X57" s="1725"/>
      <c r="Z57" s="1725"/>
      <c r="AB57" s="233" t="s">
        <v>991</v>
      </c>
      <c r="AC57" s="234" t="s">
        <v>1220</v>
      </c>
      <c r="AD57" s="883" t="s">
        <v>839</v>
      </c>
      <c r="AE57" s="497">
        <f t="shared" ref="AE57:BB57" si="11">AE58+AE59</f>
        <v>0</v>
      </c>
      <c r="AF57" s="279">
        <f t="shared" si="11"/>
        <v>0</v>
      </c>
      <c r="AG57" s="279">
        <f t="shared" si="11"/>
        <v>0</v>
      </c>
      <c r="AH57" s="279">
        <f t="shared" si="11"/>
        <v>0</v>
      </c>
      <c r="AI57" s="279">
        <f t="shared" si="11"/>
        <v>0</v>
      </c>
      <c r="AJ57" s="279">
        <f t="shared" si="11"/>
        <v>0</v>
      </c>
      <c r="AK57" s="279">
        <f t="shared" si="11"/>
        <v>0</v>
      </c>
      <c r="AL57" s="279">
        <f t="shared" si="11"/>
        <v>0</v>
      </c>
      <c r="AM57" s="279">
        <f t="shared" si="11"/>
        <v>0</v>
      </c>
      <c r="AN57" s="279">
        <f t="shared" si="11"/>
        <v>0</v>
      </c>
      <c r="AO57" s="279">
        <f t="shared" si="11"/>
        <v>0</v>
      </c>
      <c r="AP57" s="279">
        <f t="shared" si="11"/>
        <v>0</v>
      </c>
      <c r="AQ57" s="279">
        <f t="shared" si="11"/>
        <v>0</v>
      </c>
      <c r="AR57" s="279">
        <f t="shared" si="11"/>
        <v>0</v>
      </c>
      <c r="AS57" s="279">
        <f t="shared" si="11"/>
        <v>0</v>
      </c>
      <c r="AT57" s="279">
        <f t="shared" si="11"/>
        <v>0</v>
      </c>
      <c r="AU57" s="279">
        <f t="shared" si="11"/>
        <v>0</v>
      </c>
      <c r="AV57" s="279">
        <f t="shared" si="11"/>
        <v>0</v>
      </c>
      <c r="AW57" s="279">
        <f t="shared" si="11"/>
        <v>0</v>
      </c>
      <c r="AX57" s="279">
        <f t="shared" si="11"/>
        <v>0</v>
      </c>
      <c r="AY57" s="279">
        <f t="shared" si="11"/>
        <v>0</v>
      </c>
      <c r="AZ57" s="279">
        <f t="shared" si="11"/>
        <v>0</v>
      </c>
      <c r="BA57" s="279">
        <f t="shared" si="11"/>
        <v>0</v>
      </c>
      <c r="BB57" s="279">
        <f t="shared" si="11"/>
        <v>0</v>
      </c>
      <c r="BC57" s="1325"/>
      <c r="BF57" s="970" t="s">
        <v>1221</v>
      </c>
    </row>
    <row r="58" spans="1:58" s="791" customFormat="1" ht="67.5" customHeight="1">
      <c r="E58" s="676">
        <v>69.8</v>
      </c>
      <c r="F58" s="779" t="str" cm="1">
        <f t="array" ref="F58">F57</f>
        <v>2</v>
      </c>
      <c r="G58" s="620" t="s">
        <v>1222</v>
      </c>
      <c r="T58" s="698" t="b" cm="1">
        <f t="array" ref="T58">T57</f>
        <v>1</v>
      </c>
      <c r="X58" s="1725"/>
      <c r="Z58" s="1725"/>
      <c r="AB58" s="235" t="s">
        <v>1223</v>
      </c>
      <c r="AC58" s="236" t="s">
        <v>1224</v>
      </c>
      <c r="AD58" s="877" t="s">
        <v>839</v>
      </c>
      <c r="AE58" s="1258"/>
      <c r="AF58" s="1249"/>
      <c r="AG58" s="1249"/>
      <c r="AH58" s="1249"/>
      <c r="AI58" s="230"/>
      <c r="AJ58" s="230"/>
      <c r="AK58" s="230"/>
      <c r="AL58" s="230"/>
      <c r="AM58" s="230"/>
      <c r="AN58" s="1249"/>
      <c r="AO58" s="1249"/>
      <c r="AP58" s="1249"/>
      <c r="AQ58" s="1249"/>
      <c r="AR58" s="1249"/>
      <c r="AS58" s="230"/>
      <c r="AT58" s="230"/>
      <c r="AU58" s="230"/>
      <c r="AV58" s="230"/>
      <c r="AW58" s="230"/>
      <c r="AX58" s="1249"/>
      <c r="AY58" s="1249"/>
      <c r="AZ58" s="1249"/>
      <c r="BA58" s="1249"/>
      <c r="BB58" s="1249"/>
      <c r="BC58" s="1325"/>
      <c r="BF58" s="970" t="s">
        <v>1225</v>
      </c>
    </row>
    <row r="59" spans="1:58" s="791" customFormat="1" ht="28.5" customHeight="1">
      <c r="E59" s="676">
        <v>29.3</v>
      </c>
      <c r="F59" s="779" t="str" cm="1">
        <f t="array" ref="F59">F58</f>
        <v>2</v>
      </c>
      <c r="G59" s="620" t="s">
        <v>1226</v>
      </c>
      <c r="T59" s="698" t="b" cm="1">
        <f t="array" ref="T59">T58</f>
        <v>1</v>
      </c>
      <c r="X59" s="1725"/>
      <c r="Z59" s="1725"/>
      <c r="AB59" s="235" t="s">
        <v>1227</v>
      </c>
      <c r="AC59" s="236" t="s">
        <v>1228</v>
      </c>
      <c r="AD59" s="877" t="s">
        <v>839</v>
      </c>
      <c r="AE59" s="1258"/>
      <c r="AF59" s="1249"/>
      <c r="AG59" s="1249"/>
      <c r="AH59" s="1249"/>
      <c r="AI59" s="230"/>
      <c r="AJ59" s="230"/>
      <c r="AK59" s="230"/>
      <c r="AL59" s="230"/>
      <c r="AM59" s="230"/>
      <c r="AN59" s="1249"/>
      <c r="AO59" s="1249"/>
      <c r="AP59" s="1249"/>
      <c r="AQ59" s="1249"/>
      <c r="AR59" s="1249"/>
      <c r="AS59" s="230"/>
      <c r="AT59" s="230"/>
      <c r="AU59" s="230"/>
      <c r="AV59" s="230"/>
      <c r="AW59" s="230"/>
      <c r="AX59" s="1249"/>
      <c r="AY59" s="1249"/>
      <c r="AZ59" s="1249"/>
      <c r="BA59" s="1249"/>
      <c r="BB59" s="1249"/>
      <c r="BC59" s="1325"/>
      <c r="BF59" s="970" t="s">
        <v>1229</v>
      </c>
    </row>
    <row r="60" spans="1:58" s="791" customFormat="1" ht="21" customHeight="1">
      <c r="E60" s="676">
        <v>21.8</v>
      </c>
      <c r="F60" s="779" t="str" cm="1">
        <f t="array" ref="F60">F59</f>
        <v>2</v>
      </c>
      <c r="T60" s="698" t="b" cm="1">
        <f t="array" ref="T60">T59</f>
        <v>1</v>
      </c>
      <c r="X60" s="1725"/>
      <c r="Z60" s="1725"/>
      <c r="AB60" s="233" t="s">
        <v>995</v>
      </c>
      <c r="AC60" s="234" t="s">
        <v>1230</v>
      </c>
      <c r="AD60" s="883" t="s">
        <v>839</v>
      </c>
      <c r="AE60" s="497">
        <f t="shared" ref="AE60:BB60" si="12">AE61+AE62</f>
        <v>0</v>
      </c>
      <c r="AF60" s="279">
        <f t="shared" si="12"/>
        <v>0</v>
      </c>
      <c r="AG60" s="279">
        <f t="shared" si="12"/>
        <v>0</v>
      </c>
      <c r="AH60" s="279">
        <f t="shared" si="12"/>
        <v>143</v>
      </c>
      <c r="AI60" s="279">
        <f t="shared" si="12"/>
        <v>0</v>
      </c>
      <c r="AJ60" s="279">
        <f t="shared" si="12"/>
        <v>0</v>
      </c>
      <c r="AK60" s="279">
        <f t="shared" si="12"/>
        <v>0</v>
      </c>
      <c r="AL60" s="279">
        <f t="shared" si="12"/>
        <v>0</v>
      </c>
      <c r="AM60" s="279">
        <f t="shared" si="12"/>
        <v>0</v>
      </c>
      <c r="AN60" s="279">
        <f t="shared" si="12"/>
        <v>0</v>
      </c>
      <c r="AO60" s="279">
        <f t="shared" si="12"/>
        <v>0</v>
      </c>
      <c r="AP60" s="279">
        <f t="shared" si="12"/>
        <v>0</v>
      </c>
      <c r="AQ60" s="279">
        <f t="shared" si="12"/>
        <v>0</v>
      </c>
      <c r="AR60" s="279">
        <f t="shared" si="12"/>
        <v>0</v>
      </c>
      <c r="AS60" s="279">
        <f t="shared" si="12"/>
        <v>0</v>
      </c>
      <c r="AT60" s="279">
        <f t="shared" si="12"/>
        <v>0</v>
      </c>
      <c r="AU60" s="279">
        <f t="shared" si="12"/>
        <v>0</v>
      </c>
      <c r="AV60" s="279">
        <f t="shared" si="12"/>
        <v>0</v>
      </c>
      <c r="AW60" s="279">
        <f t="shared" si="12"/>
        <v>0</v>
      </c>
      <c r="AX60" s="279">
        <f t="shared" si="12"/>
        <v>0</v>
      </c>
      <c r="AY60" s="279">
        <f t="shared" si="12"/>
        <v>0</v>
      </c>
      <c r="AZ60" s="279">
        <f t="shared" si="12"/>
        <v>0</v>
      </c>
      <c r="BA60" s="279">
        <f t="shared" si="12"/>
        <v>0</v>
      </c>
      <c r="BB60" s="279">
        <f t="shared" si="12"/>
        <v>0</v>
      </c>
      <c r="BC60" s="1325"/>
      <c r="BF60" s="970" t="s">
        <v>1231</v>
      </c>
    </row>
    <row r="61" spans="1:58" s="791" customFormat="1" ht="22.5" customHeight="1">
      <c r="E61" s="676">
        <v>23.3</v>
      </c>
      <c r="F61" s="779" t="str" cm="1">
        <f t="array" ref="F61">F60</f>
        <v>2</v>
      </c>
      <c r="G61" s="620" t="s">
        <v>1209</v>
      </c>
      <c r="T61" s="698" t="b" cm="1">
        <f t="array" ref="T61">T60</f>
        <v>1</v>
      </c>
      <c r="X61" s="1725"/>
      <c r="Z61" s="1725"/>
      <c r="AB61" s="235" t="s">
        <v>1085</v>
      </c>
      <c r="AC61" s="236" t="s">
        <v>1211</v>
      </c>
      <c r="AD61" s="877" t="s">
        <v>839</v>
      </c>
      <c r="AE61" s="1258"/>
      <c r="AF61" s="1249"/>
      <c r="AG61" s="1249"/>
      <c r="AH61" s="1249"/>
      <c r="AI61" s="230"/>
      <c r="AJ61" s="230"/>
      <c r="AK61" s="230"/>
      <c r="AL61" s="230"/>
      <c r="AM61" s="230"/>
      <c r="AN61" s="1249"/>
      <c r="AO61" s="1249"/>
      <c r="AP61" s="1249"/>
      <c r="AQ61" s="1249"/>
      <c r="AR61" s="1249"/>
      <c r="AS61" s="230"/>
      <c r="AT61" s="230"/>
      <c r="AU61" s="230"/>
      <c r="AV61" s="230"/>
      <c r="AW61" s="230"/>
      <c r="AX61" s="1249"/>
      <c r="AY61" s="1249"/>
      <c r="AZ61" s="1249"/>
      <c r="BA61" s="1249"/>
      <c r="BB61" s="1249"/>
      <c r="BC61" s="1325"/>
      <c r="BF61" s="970" t="s">
        <v>1232</v>
      </c>
    </row>
    <row r="62" spans="1:58" s="791" customFormat="1" ht="22.5" customHeight="1">
      <c r="E62" s="676">
        <v>23.3</v>
      </c>
      <c r="F62" s="779" t="str" cm="1">
        <f t="array" ref="F62">F61</f>
        <v>2</v>
      </c>
      <c r="G62" s="620" t="s">
        <v>1213</v>
      </c>
      <c r="T62" s="698" t="b" cm="1">
        <f t="array" ref="T62">T61</f>
        <v>1</v>
      </c>
      <c r="X62" s="1725"/>
      <c r="Z62" s="1725"/>
      <c r="AB62" s="235" t="s">
        <v>1088</v>
      </c>
      <c r="AC62" s="236" t="s">
        <v>1215</v>
      </c>
      <c r="AD62" s="877" t="s">
        <v>839</v>
      </c>
      <c r="AE62" s="1258"/>
      <c r="AF62" s="1249"/>
      <c r="AG62" s="1249"/>
      <c r="AH62" s="1249">
        <v>143</v>
      </c>
      <c r="AI62" s="230"/>
      <c r="AJ62" s="230"/>
      <c r="AK62" s="230"/>
      <c r="AL62" s="230"/>
      <c r="AM62" s="230"/>
      <c r="AN62" s="1249"/>
      <c r="AO62" s="1249"/>
      <c r="AP62" s="1249"/>
      <c r="AQ62" s="1249"/>
      <c r="AR62" s="1249"/>
      <c r="AS62" s="230"/>
      <c r="AT62" s="230"/>
      <c r="AU62" s="230"/>
      <c r="AV62" s="230"/>
      <c r="AW62" s="230"/>
      <c r="AX62" s="1249"/>
      <c r="AY62" s="1249"/>
      <c r="AZ62" s="1249"/>
      <c r="BA62" s="1249"/>
      <c r="BB62" s="1249"/>
      <c r="BC62" s="1325"/>
      <c r="BF62" s="970" t="s">
        <v>1233</v>
      </c>
    </row>
    <row r="63" spans="1:58" ht="11.1" customHeight="1">
      <c r="E63" s="782">
        <v>11.4</v>
      </c>
      <c r="U63" s="129" t="s">
        <v>238</v>
      </c>
      <c r="V63" s="122" t="s">
        <v>1234</v>
      </c>
      <c r="W63" s="129"/>
      <c r="AE63" s="170"/>
    </row>
    <row r="64" spans="1:58" ht="11.25" hidden="1" customHeight="1">
      <c r="E64" s="782">
        <v>0</v>
      </c>
    </row>
    <row r="65" spans="1:58" s="425" customFormat="1" ht="14.65" customHeight="1">
      <c r="A65" s="126"/>
      <c r="B65" s="667"/>
      <c r="C65" s="126"/>
      <c r="D65" s="126"/>
      <c r="E65" s="676">
        <v>15</v>
      </c>
      <c r="F65" s="126"/>
      <c r="Q65" s="620"/>
      <c r="R65" s="620"/>
      <c r="T65" s="126"/>
      <c r="U65" s="126"/>
      <c r="V65" s="126"/>
      <c r="W65" s="126"/>
      <c r="X65" s="126"/>
      <c r="Y65" s="126"/>
      <c r="Z65" s="126"/>
      <c r="AB65" s="1802" t="s">
        <v>734</v>
      </c>
      <c r="AC65" s="1802"/>
      <c r="AD65" s="1802"/>
      <c r="AE65" s="1802"/>
      <c r="AF65" s="1802"/>
      <c r="AG65" s="1802"/>
      <c r="AH65" s="1802"/>
      <c r="AI65" s="1803"/>
      <c r="AJ65" s="1803"/>
      <c r="AK65" s="1803"/>
      <c r="AL65" s="1803"/>
      <c r="AM65" s="1803"/>
      <c r="AN65" s="1803"/>
      <c r="AO65" s="1803"/>
      <c r="AP65" s="1803"/>
      <c r="AQ65" s="1803"/>
      <c r="AR65" s="1803"/>
      <c r="AS65" s="1803"/>
      <c r="AT65" s="1803"/>
      <c r="AU65" s="1803"/>
      <c r="AV65" s="1803"/>
      <c r="AW65" s="1803"/>
      <c r="AX65" s="1803"/>
      <c r="AY65" s="1803"/>
      <c r="AZ65" s="1803"/>
      <c r="BA65" s="1803"/>
      <c r="BB65" s="1803"/>
      <c r="BC65" s="1803"/>
      <c r="BF65" s="981"/>
    </row>
    <row r="66" spans="1:58" s="425" customFormat="1" ht="14.65" customHeight="1">
      <c r="A66" s="126"/>
      <c r="B66" s="667"/>
      <c r="C66" s="126"/>
      <c r="D66" s="126"/>
      <c r="E66" s="676">
        <v>15</v>
      </c>
      <c r="F66" s="126"/>
      <c r="Q66" s="620"/>
      <c r="R66" s="620"/>
      <c r="T66" s="126"/>
      <c r="U66" s="126"/>
      <c r="V66" s="126"/>
      <c r="W66" s="126"/>
      <c r="X66" s="126"/>
      <c r="Y66" s="126"/>
      <c r="Z66" s="126"/>
      <c r="AA66" s="778"/>
      <c r="AB66" s="1804"/>
      <c r="AC66" s="1804"/>
      <c r="AD66" s="1804"/>
      <c r="AE66" s="1804"/>
      <c r="AF66" s="1804"/>
      <c r="AG66" s="1804"/>
      <c r="AH66" s="1804"/>
      <c r="AI66" s="1796"/>
      <c r="AJ66" s="1796"/>
      <c r="AK66" s="1796"/>
      <c r="AL66" s="1796"/>
      <c r="AM66" s="1796"/>
      <c r="AN66" s="1797"/>
      <c r="AO66" s="1797"/>
      <c r="AP66" s="1797"/>
      <c r="AQ66" s="1797"/>
      <c r="AR66" s="1797"/>
      <c r="AS66" s="1796"/>
      <c r="AT66" s="1796"/>
      <c r="AU66" s="1796"/>
      <c r="AV66" s="1796"/>
      <c r="AW66" s="1796"/>
      <c r="AX66" s="1797"/>
      <c r="AY66" s="1797"/>
      <c r="AZ66" s="1797"/>
      <c r="BA66" s="1797"/>
      <c r="BB66" s="1797"/>
      <c r="BC66" s="1796"/>
      <c r="BF66" s="981"/>
    </row>
    <row r="67" spans="1:58" s="425" customFormat="1" ht="14.65" hidden="1" customHeight="1">
      <c r="A67" s="126"/>
      <c r="B67" s="667"/>
      <c r="C67" s="126"/>
      <c r="D67" s="126"/>
      <c r="E67" s="676">
        <v>15</v>
      </c>
      <c r="F67" s="126"/>
      <c r="Q67" s="620"/>
      <c r="R67" s="620"/>
      <c r="T67" s="687" t="b">
        <f>ROW(W67)&gt;ROW(W$67)</f>
        <v>0</v>
      </c>
      <c r="U67" s="126"/>
      <c r="V67" s="129"/>
      <c r="W67" s="126" t="s">
        <v>236</v>
      </c>
      <c r="X67" s="126"/>
      <c r="Y67" s="126"/>
      <c r="Z67" s="126"/>
      <c r="AA67" s="774" t="s">
        <v>218</v>
      </c>
      <c r="AB67" s="1795"/>
      <c r="AC67" s="1795"/>
      <c r="AD67" s="1795"/>
      <c r="AE67" s="1795"/>
      <c r="AF67" s="1795"/>
      <c r="AG67" s="1795"/>
      <c r="AH67" s="1795"/>
      <c r="AI67" s="1796"/>
      <c r="AJ67" s="1796"/>
      <c r="AK67" s="1796"/>
      <c r="AL67" s="1796"/>
      <c r="AM67" s="1796"/>
      <c r="AN67" s="1797"/>
      <c r="AO67" s="1797"/>
      <c r="AP67" s="1797"/>
      <c r="AQ67" s="1797"/>
      <c r="AR67" s="1797"/>
      <c r="AS67" s="1796"/>
      <c r="AT67" s="1796"/>
      <c r="AU67" s="1796"/>
      <c r="AV67" s="1796"/>
      <c r="AW67" s="1796"/>
      <c r="AX67" s="1797"/>
      <c r="AY67" s="1797"/>
      <c r="AZ67" s="1797"/>
      <c r="BA67" s="1797"/>
      <c r="BB67" s="1797"/>
      <c r="BC67" s="1797"/>
      <c r="BF67" s="981"/>
    </row>
    <row r="68" spans="1:58" s="425" customFormat="1" ht="14.65" customHeight="1">
      <c r="A68" s="126"/>
      <c r="B68" s="667"/>
      <c r="C68" s="126"/>
      <c r="D68" s="126"/>
      <c r="E68" s="676">
        <v>15</v>
      </c>
      <c r="F68" s="126"/>
      <c r="Q68" s="620"/>
      <c r="R68" s="620"/>
      <c r="T68" s="126"/>
      <c r="U68" s="126"/>
      <c r="V68" s="126"/>
      <c r="W68" s="122" t="s">
        <v>237</v>
      </c>
      <c r="X68" s="126"/>
      <c r="Y68" s="126"/>
      <c r="Z68" s="126"/>
      <c r="AB68" s="1736" t="s">
        <v>735</v>
      </c>
      <c r="AC68" s="1737"/>
      <c r="AD68" s="324"/>
      <c r="AE68" s="324"/>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6"/>
      <c r="BF68" s="981"/>
    </row>
  </sheetData>
  <sheetProtection formatColumns="0" formatRows="0" insertRows="0" deleteColumns="0" deleteRows="0" sort="0" autoFilter="0"/>
  <mergeCells count="14">
    <mergeCell ref="BC24:BC25"/>
    <mergeCell ref="AB24:AB25"/>
    <mergeCell ref="AC24:AC25"/>
    <mergeCell ref="AD24:AD25"/>
    <mergeCell ref="Z27:Z38"/>
    <mergeCell ref="X27:X38"/>
    <mergeCell ref="AB67:BC67"/>
    <mergeCell ref="AB68:AC68"/>
    <mergeCell ref="AB65:BC65"/>
    <mergeCell ref="AB66:BC66"/>
    <mergeCell ref="X39:X50"/>
    <mergeCell ref="Z39:Z50"/>
    <mergeCell ref="X51:X62"/>
    <mergeCell ref="Z51:Z62"/>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96C6-41BA-0EB8-7BEE-EC5F426EF8F6}">
  <sheetPr>
    <tabColor rgb="FF002060"/>
    <outlinePr summaryBelow="0" summaryRight="0"/>
    <pageSetUpPr fitToPage="1"/>
  </sheetPr>
  <dimension ref="A1:BK101"/>
  <sheetViews>
    <sheetView showGridLines="0" workbookViewId="0">
      <pane xSplit="30" ySplit="26" topLeftCell="AG53" activePane="bottomRight" state="frozen"/>
      <selection pane="topRight" activeCell="AE1" sqref="AE1"/>
      <selection pane="bottomLeft" activeCell="A27" sqref="A27"/>
      <selection pane="bottomRight" activeCell="AH81" sqref="AH81"/>
    </sheetView>
  </sheetViews>
  <sheetFormatPr defaultColWidth="8.7109375" defaultRowHeight="11.25" customHeight="1"/>
  <cols>
    <col min="1" max="1" width="3.5703125" style="1152" hidden="1" customWidth="1"/>
    <col min="2" max="2" width="8.5703125" style="783" hidden="1" customWidth="1"/>
    <col min="3" max="4" width="3.5703125" style="1152" hidden="1" customWidth="1"/>
    <col min="5" max="5" width="8.42578125" style="782" hidden="1" customWidth="1"/>
    <col min="6" max="6" width="6.42578125" style="1152" hidden="1" customWidth="1"/>
    <col min="7" max="16" width="3.5703125" style="1156" hidden="1" customWidth="1"/>
    <col min="17" max="18" width="3.5703125" style="143" hidden="1" customWidth="1"/>
    <col min="19" max="19" width="3.5703125" style="1156" hidden="1" customWidth="1"/>
    <col min="20" max="20" width="9" style="1155" hidden="1" customWidth="1"/>
    <col min="21" max="21" width="6" style="1155" hidden="1" customWidth="1"/>
    <col min="22" max="23" width="6.28515625" style="1155" hidden="1" customWidth="1"/>
    <col min="24" max="25" width="5.7109375" style="1155" hidden="1" customWidth="1"/>
    <col min="26" max="26" width="5.42578125" style="1155" hidden="1" customWidth="1"/>
    <col min="27" max="27" width="3" style="173" customWidth="1"/>
    <col min="28" max="28" width="6.5703125" style="173" customWidth="1"/>
    <col min="29" max="29" width="47.140625" style="173" customWidth="1"/>
    <col min="30" max="30" width="12.140625" style="173" customWidth="1"/>
    <col min="31" max="39" width="12.5703125" style="173" customWidth="1"/>
    <col min="40" max="44" width="12.5703125" style="173" hidden="1" customWidth="1"/>
    <col min="45" max="49" width="12.5703125" style="173" customWidth="1"/>
    <col min="50" max="54" width="12.5703125" style="173" hidden="1" customWidth="1"/>
    <col min="55" max="55" width="20.140625" style="173" customWidth="1"/>
    <col min="56" max="56" width="3" style="173" customWidth="1"/>
    <col min="57" max="57" width="8.7109375" style="173" hidden="1"/>
    <col min="58" max="61" width="8.7109375" style="1020" hidden="1"/>
    <col min="62" max="63" width="8.7109375" style="1021" hidden="1"/>
  </cols>
  <sheetData>
    <row r="1" spans="1:63" s="1152" customFormat="1" ht="12" hidden="1" customHeight="1">
      <c r="B1" s="667"/>
      <c r="E1" s="667"/>
      <c r="F1" s="698" t="s">
        <v>83</v>
      </c>
      <c r="G1" s="106"/>
      <c r="H1" s="106"/>
      <c r="I1" s="106"/>
      <c r="J1" s="106"/>
      <c r="K1" s="106"/>
      <c r="L1" s="106"/>
      <c r="M1" s="106"/>
      <c r="N1" s="106"/>
      <c r="O1" s="106"/>
      <c r="P1" s="106"/>
      <c r="Q1" s="143"/>
      <c r="R1" s="143"/>
      <c r="S1" s="106"/>
      <c r="T1" s="687" t="s">
        <v>86</v>
      </c>
      <c r="U1" s="687" t="s">
        <v>91</v>
      </c>
      <c r="V1" s="687" t="s">
        <v>87</v>
      </c>
      <c r="W1" s="687" t="s">
        <v>88</v>
      </c>
      <c r="X1" s="687" t="s">
        <v>89</v>
      </c>
      <c r="Y1" s="698" t="s">
        <v>382</v>
      </c>
      <c r="Z1" s="687" t="s">
        <v>93</v>
      </c>
      <c r="AA1" s="698" t="s">
        <v>90</v>
      </c>
      <c r="AB1" s="698" t="s">
        <v>92</v>
      </c>
      <c r="AC1" s="698" t="s">
        <v>92</v>
      </c>
      <c r="BF1" s="1020" t="s">
        <v>383</v>
      </c>
      <c r="BG1" s="1020" t="s">
        <v>384</v>
      </c>
      <c r="BH1" s="1020" t="s">
        <v>385</v>
      </c>
      <c r="BI1" s="1020" t="s">
        <v>1235</v>
      </c>
      <c r="BJ1" s="1021" t="s">
        <v>388</v>
      </c>
      <c r="BK1" s="1021" t="s">
        <v>389</v>
      </c>
    </row>
    <row r="2" spans="1:63" s="783" customFormat="1" ht="12" hidden="1" customHeight="1">
      <c r="B2" s="768" t="s">
        <v>15</v>
      </c>
      <c r="G2" s="786"/>
      <c r="H2" s="786"/>
      <c r="I2" s="786"/>
      <c r="J2" s="786"/>
      <c r="K2" s="786"/>
      <c r="L2" s="786"/>
      <c r="M2" s="786"/>
      <c r="N2" s="786"/>
      <c r="O2" s="786"/>
      <c r="P2" s="786"/>
      <c r="Q2" s="786"/>
      <c r="R2" s="786"/>
      <c r="S2" s="786"/>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1022"/>
      <c r="BG2" s="1022"/>
      <c r="BH2" s="1022"/>
      <c r="BI2" s="1022"/>
      <c r="BJ2" s="1023"/>
      <c r="BK2" s="1023"/>
    </row>
    <row r="3" spans="1:63" s="1152" customFormat="1" ht="12" hidden="1" customHeight="1">
      <c r="B3" s="667"/>
      <c r="E3" s="667"/>
      <c r="G3" s="106"/>
      <c r="H3" s="106"/>
      <c r="I3" s="106"/>
      <c r="J3" s="106"/>
      <c r="K3" s="106"/>
      <c r="L3" s="106"/>
      <c r="M3" s="106"/>
      <c r="N3" s="106"/>
      <c r="O3" s="106"/>
      <c r="P3" s="106"/>
      <c r="Q3" s="143"/>
      <c r="R3" s="143"/>
      <c r="S3" s="106"/>
      <c r="T3" s="129"/>
      <c r="U3" s="129"/>
      <c r="V3" s="129"/>
      <c r="W3" s="129"/>
      <c r="X3" s="129"/>
      <c r="Y3" s="129"/>
      <c r="Z3" s="129"/>
      <c r="BF3" s="1020"/>
      <c r="BG3" s="1020"/>
      <c r="BH3" s="1020"/>
      <c r="BI3" s="1020"/>
      <c r="BJ3" s="1021"/>
      <c r="BK3" s="1021"/>
    </row>
    <row r="4" spans="1:63" s="1152" customFormat="1" ht="12" hidden="1" customHeight="1">
      <c r="B4" s="667"/>
      <c r="E4" s="667"/>
      <c r="G4" s="106"/>
      <c r="H4" s="106"/>
      <c r="I4" s="106"/>
      <c r="J4" s="106"/>
      <c r="K4" s="106"/>
      <c r="L4" s="106"/>
      <c r="M4" s="106"/>
      <c r="N4" s="106"/>
      <c r="O4" s="106"/>
      <c r="P4" s="106"/>
      <c r="Q4" s="143"/>
      <c r="R4" s="143"/>
      <c r="S4" s="106"/>
      <c r="T4" s="129"/>
      <c r="U4" s="129"/>
      <c r="V4" s="129"/>
      <c r="W4" s="129"/>
      <c r="X4" s="129"/>
      <c r="Y4" s="129"/>
      <c r="Z4" s="129"/>
      <c r="BF4" s="1020"/>
      <c r="BG4" s="1020"/>
      <c r="BH4" s="1020"/>
      <c r="BI4" s="1020"/>
      <c r="BJ4" s="1021"/>
      <c r="BK4" s="1021"/>
    </row>
    <row r="5" spans="1:63"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6.5</v>
      </c>
      <c r="AC5" s="676">
        <v>47.13</v>
      </c>
      <c r="AD5" s="676">
        <v>12.13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1022"/>
      <c r="BG5" s="1022"/>
      <c r="BH5" s="1022"/>
      <c r="BI5" s="1022"/>
      <c r="BJ5" s="1023"/>
      <c r="BK5" s="1023"/>
    </row>
    <row r="6" spans="1:63" s="1152" customFormat="1" ht="12" hidden="1" customHeight="1">
      <c r="B6" s="667"/>
      <c r="E6" s="676"/>
      <c r="G6" s="106"/>
      <c r="H6" s="106"/>
      <c r="I6" s="106"/>
      <c r="J6" s="106"/>
      <c r="K6" s="106"/>
      <c r="L6" s="106"/>
      <c r="M6" s="106"/>
      <c r="N6" s="106"/>
      <c r="O6" s="106"/>
      <c r="P6" s="106"/>
      <c r="Q6" s="143"/>
      <c r="R6" s="143"/>
      <c r="S6" s="106"/>
      <c r="T6" s="129"/>
      <c r="U6" s="129"/>
      <c r="V6" s="129"/>
      <c r="W6" s="129"/>
      <c r="X6" s="129"/>
      <c r="Y6" s="129"/>
      <c r="Z6" s="129"/>
      <c r="AE6" s="133">
        <f>god-2</f>
        <v>2024</v>
      </c>
      <c r="AF6" s="133">
        <f>god-2</f>
        <v>2024</v>
      </c>
      <c r="AG6" s="133">
        <f>god-2</f>
        <v>2024</v>
      </c>
      <c r="AH6" s="133">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20"/>
      <c r="BG6" s="1020"/>
      <c r="BH6" s="1020"/>
      <c r="BI6" s="1020"/>
      <c r="BJ6" s="1021"/>
      <c r="BK6" s="1021"/>
    </row>
    <row r="7" spans="1:63" s="1156" customFormat="1" ht="12" hidden="1" customHeight="1">
      <c r="A7" s="133"/>
      <c r="B7" s="667"/>
      <c r="C7" s="133"/>
      <c r="D7" s="133"/>
      <c r="E7" s="676"/>
      <c r="Q7" s="143"/>
      <c r="R7" s="143"/>
      <c r="T7" s="164"/>
      <c r="U7" s="164"/>
      <c r="V7" s="164"/>
      <c r="W7" s="164"/>
      <c r="X7" s="164"/>
      <c r="Y7" s="164"/>
      <c r="Z7" s="164"/>
      <c r="AE7" s="106" t="str" cm="1">
        <f t="array" ref="AE7">AE25</f>
        <v>Принято органом регулирования</v>
      </c>
      <c r="AF7" s="106" t="str" cm="1">
        <f t="array" ref="AF7">AF25</f>
        <v>Факт по данным организации</v>
      </c>
      <c r="AG7" s="106" t="str" cm="1">
        <f t="array" ref="AG7">AG25</f>
        <v>Факт, принятый органом регулирования</v>
      </c>
      <c r="AH7" s="106" t="str" cm="1">
        <f t="array" ref="AH7">AH25</f>
        <v>Принято органом регулирования</v>
      </c>
      <c r="AI7" s="106" t="str" cm="1">
        <f t="array" ref="AI7">AI25</f>
        <v>Предложение организации</v>
      </c>
      <c r="AJ7" s="106" t="str" cm="1">
        <f t="array" ref="AJ7">AJ25</f>
        <v>Предложение организации</v>
      </c>
      <c r="AK7" s="106" t="str" cm="1">
        <f t="array" ref="AK7">AK25</f>
        <v>Предложение организации</v>
      </c>
      <c r="AL7" s="106" t="str" cm="1">
        <f t="array" ref="AL7">AL25</f>
        <v>Предложение организации</v>
      </c>
      <c r="AM7" s="106" t="str" cm="1">
        <f t="array" ref="AM7">AM25</f>
        <v>Предложение организации</v>
      </c>
      <c r="AN7" s="106" t="str" cm="1">
        <f t="array" ref="AN7">AN25</f>
        <v>Предложение организации</v>
      </c>
      <c r="AO7" s="106" t="str" cm="1">
        <f t="array" ref="AO7">AO25</f>
        <v>Предложение организации</v>
      </c>
      <c r="AP7" s="106" t="str" cm="1">
        <f t="array" ref="AP7">AP25</f>
        <v>Предложение организации</v>
      </c>
      <c r="AQ7" s="106" t="str" cm="1">
        <f t="array" ref="AQ7">AQ25</f>
        <v>Предложение организации</v>
      </c>
      <c r="AR7" s="106" t="str" cm="1">
        <f t="array" ref="AR7">AR25</f>
        <v>Предложение организации</v>
      </c>
      <c r="AS7" s="106" t="str" cm="1">
        <f t="array" ref="AS7">AS25</f>
        <v>Принято органом регулирования</v>
      </c>
      <c r="AT7" s="106" t="str" cm="1">
        <f t="array" ref="AT7">AT25</f>
        <v>Принято органом регулирования</v>
      </c>
      <c r="AU7" s="106" t="str" cm="1">
        <f t="array" ref="AU7">AU25</f>
        <v>Принято органом регулирования</v>
      </c>
      <c r="AV7" s="106" t="str" cm="1">
        <f t="array" ref="AV7">AV25</f>
        <v>Принято органом регулирования</v>
      </c>
      <c r="AW7" s="106" t="str" cm="1">
        <f t="array" ref="AW7">AW25</f>
        <v>Принято органом регулирования</v>
      </c>
      <c r="AX7" s="106" t="str" cm="1">
        <f t="array" ref="AX7">AX25</f>
        <v>Принято органом регулирования</v>
      </c>
      <c r="AY7" s="106" t="str" cm="1">
        <f t="array" ref="AY7">AY25</f>
        <v>Принято органом регулирования</v>
      </c>
      <c r="AZ7" s="106" t="str" cm="1">
        <f t="array" ref="AZ7">AZ25</f>
        <v>Принято органом регулирования</v>
      </c>
      <c r="BA7" s="106" t="str" cm="1">
        <f t="array" ref="BA7">BA25</f>
        <v>Принято органом регулирования</v>
      </c>
      <c r="BB7" s="106" t="str" cm="1">
        <f t="array" ref="BB7">BB25</f>
        <v>Принято органом регулирования</v>
      </c>
      <c r="BF7" s="1020"/>
      <c r="BG7" s="1020"/>
      <c r="BH7" s="1020"/>
      <c r="BI7" s="1020"/>
      <c r="BJ7" s="1021"/>
      <c r="BK7" s="1021"/>
    </row>
    <row r="8" spans="1:63" s="1156" customFormat="1" ht="12" hidden="1" customHeight="1">
      <c r="A8" s="133"/>
      <c r="B8" s="667"/>
      <c r="C8" s="133"/>
      <c r="D8" s="133"/>
      <c r="E8" s="676"/>
      <c r="Q8" s="143"/>
      <c r="R8" s="143"/>
      <c r="T8" s="164"/>
      <c r="U8" s="164"/>
      <c r="V8" s="164"/>
      <c r="W8" s="164"/>
      <c r="X8" s="164"/>
      <c r="Y8" s="164"/>
      <c r="Z8" s="164"/>
      <c r="BF8" s="1020"/>
      <c r="BG8" s="1020"/>
      <c r="BH8" s="1020"/>
      <c r="BI8" s="1020"/>
      <c r="BJ8" s="1021"/>
      <c r="BK8" s="1021"/>
    </row>
    <row r="9" spans="1:63" s="1007" customFormat="1" ht="12" hidden="1" customHeight="1">
      <c r="A9" s="968" t="s">
        <v>472</v>
      </c>
      <c r="B9" s="951"/>
      <c r="E9" s="951"/>
      <c r="Q9" s="1008"/>
      <c r="R9" s="1008"/>
      <c r="T9" s="949"/>
      <c r="U9" s="949"/>
      <c r="V9" s="949"/>
      <c r="W9" s="949"/>
      <c r="X9" s="949"/>
      <c r="Y9" s="949"/>
      <c r="Z9" s="949"/>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1020"/>
      <c r="BG9" s="1020"/>
      <c r="BH9" s="1020"/>
      <c r="BI9" s="1020"/>
      <c r="BJ9" s="1021"/>
      <c r="BK9" s="1021"/>
    </row>
    <row r="10" spans="1:63" s="1007" customFormat="1" ht="12" hidden="1" customHeight="1">
      <c r="A10" s="968" t="s">
        <v>473</v>
      </c>
      <c r="B10" s="951"/>
      <c r="E10" s="951"/>
      <c r="Q10" s="1008"/>
      <c r="R10" s="1008"/>
      <c r="T10" s="949"/>
      <c r="U10" s="949"/>
      <c r="V10" s="949"/>
      <c r="W10" s="949"/>
      <c r="X10" s="949"/>
      <c r="Y10" s="949"/>
      <c r="Z10" s="949"/>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1020"/>
      <c r="BG10" s="1020"/>
      <c r="BH10" s="1020"/>
      <c r="BI10" s="1020"/>
      <c r="BJ10" s="1021"/>
      <c r="BK10" s="1021"/>
    </row>
    <row r="11" spans="1:63" s="1007" customFormat="1" ht="12" hidden="1" customHeight="1">
      <c r="A11" s="968" t="s">
        <v>474</v>
      </c>
      <c r="B11" s="951"/>
      <c r="E11" s="951"/>
      <c r="G11" s="1009"/>
      <c r="H11" s="1009"/>
      <c r="I11" s="1009"/>
      <c r="J11" s="1009"/>
      <c r="K11" s="1009"/>
      <c r="L11" s="1009"/>
      <c r="M11" s="1009"/>
      <c r="N11" s="1009"/>
      <c r="O11" s="1009"/>
      <c r="P11" s="1009"/>
      <c r="Q11" s="1010"/>
      <c r="R11" s="1010"/>
      <c r="S11" s="1009"/>
      <c r="T11" s="949"/>
      <c r="U11" s="949"/>
      <c r="V11" s="949"/>
      <c r="W11" s="949"/>
      <c r="X11" s="949"/>
      <c r="Y11" s="949"/>
      <c r="Z11" s="949"/>
      <c r="BC11" s="1007" t="str" cm="1">
        <f t="array" ref="BC11">BC24</f>
        <v>Ссылка на правовую норму (основание для принятия показателя в расчет тарифа)</v>
      </c>
      <c r="BF11" s="1020"/>
      <c r="BG11" s="1020"/>
      <c r="BH11" s="1020"/>
      <c r="BI11" s="1020"/>
      <c r="BJ11" s="1021"/>
      <c r="BK11" s="1021"/>
    </row>
    <row r="12" spans="1:63" s="1007" customFormat="1" ht="12" hidden="1" customHeight="1">
      <c r="A12" s="968" t="s">
        <v>394</v>
      </c>
      <c r="B12" s="951"/>
      <c r="E12" s="951"/>
      <c r="G12" s="1009"/>
      <c r="H12" s="1009"/>
      <c r="I12" s="1009"/>
      <c r="J12" s="1009"/>
      <c r="K12" s="1009"/>
      <c r="L12" s="1009"/>
      <c r="M12" s="1009"/>
      <c r="N12" s="1009"/>
      <c r="O12" s="1009"/>
      <c r="P12" s="1009"/>
      <c r="Q12" s="1010"/>
      <c r="R12" s="1010"/>
      <c r="S12" s="1009"/>
      <c r="T12" s="949"/>
      <c r="U12" s="949"/>
      <c r="V12" s="949"/>
      <c r="W12" s="949"/>
      <c r="X12" s="949"/>
      <c r="Y12" s="949"/>
      <c r="Z12" s="949"/>
      <c r="AC12" s="1007" t="s">
        <v>385</v>
      </c>
      <c r="AD12" s="1007" t="s">
        <v>1235</v>
      </c>
      <c r="BF12" s="1020"/>
      <c r="BG12" s="1020"/>
      <c r="BH12" s="1020"/>
      <c r="BI12" s="1020"/>
      <c r="BJ12" s="1021"/>
      <c r="BK12" s="1021"/>
    </row>
    <row r="13" spans="1:63" s="1152" customFormat="1" ht="12" hidden="1" customHeight="1">
      <c r="B13" s="667"/>
      <c r="E13" s="676"/>
      <c r="G13" s="106"/>
      <c r="H13" s="106"/>
      <c r="I13" s="106"/>
      <c r="J13" s="106"/>
      <c r="K13" s="106"/>
      <c r="L13" s="106"/>
      <c r="M13" s="106"/>
      <c r="N13" s="106"/>
      <c r="O13" s="106"/>
      <c r="P13" s="106"/>
      <c r="Q13" s="143"/>
      <c r="R13" s="143"/>
      <c r="S13" s="106"/>
      <c r="T13" s="129"/>
      <c r="U13" s="129"/>
      <c r="V13" s="129"/>
      <c r="W13" s="129"/>
      <c r="X13" s="129"/>
      <c r="Y13" s="129"/>
      <c r="Z13" s="129"/>
      <c r="AI13" s="126"/>
      <c r="AJ13" s="126"/>
      <c r="AK13" s="126"/>
      <c r="AL13" s="126"/>
      <c r="AM13" s="126"/>
      <c r="AN13" s="126"/>
      <c r="AO13" s="126"/>
      <c r="AP13" s="126"/>
      <c r="AQ13" s="126"/>
      <c r="AR13" s="126"/>
      <c r="AS13" s="126"/>
      <c r="AT13" s="126"/>
      <c r="AU13" s="126"/>
      <c r="AV13" s="126"/>
      <c r="AW13" s="126"/>
      <c r="AX13" s="126"/>
      <c r="AY13" s="126"/>
      <c r="AZ13" s="126"/>
      <c r="BA13" s="126"/>
      <c r="BB13" s="126"/>
      <c r="BF13" s="1020"/>
      <c r="BG13" s="1020"/>
      <c r="BH13" s="1020"/>
      <c r="BI13" s="1020"/>
      <c r="BJ13" s="1021"/>
      <c r="BK13" s="1021"/>
    </row>
    <row r="14" spans="1:63" s="1152" customFormat="1" ht="12" hidden="1" customHeight="1">
      <c r="B14" s="667"/>
      <c r="E14" s="676"/>
      <c r="G14" s="106"/>
      <c r="H14" s="106"/>
      <c r="I14" s="106"/>
      <c r="J14" s="106"/>
      <c r="K14" s="106"/>
      <c r="L14" s="106"/>
      <c r="M14" s="106"/>
      <c r="N14" s="106"/>
      <c r="O14" s="106"/>
      <c r="P14" s="106"/>
      <c r="Q14" s="143"/>
      <c r="R14" s="143"/>
      <c r="S14" s="106"/>
      <c r="T14" s="129"/>
      <c r="U14" s="129"/>
      <c r="V14" s="129"/>
      <c r="W14" s="129"/>
      <c r="X14" s="129"/>
      <c r="Y14" s="129"/>
      <c r="Z14" s="129"/>
      <c r="AI14" s="126"/>
      <c r="AJ14" s="126"/>
      <c r="AK14" s="126"/>
      <c r="AL14" s="126"/>
      <c r="AM14" s="126"/>
      <c r="AN14" s="126"/>
      <c r="AO14" s="126"/>
      <c r="AP14" s="126"/>
      <c r="AQ14" s="126"/>
      <c r="AR14" s="126"/>
      <c r="AS14" s="126"/>
      <c r="AT14" s="126"/>
      <c r="AU14" s="126"/>
      <c r="AV14" s="126"/>
      <c r="AW14" s="126"/>
      <c r="AX14" s="126"/>
      <c r="AY14" s="126"/>
      <c r="AZ14" s="126"/>
      <c r="BA14" s="126"/>
      <c r="BB14" s="126"/>
      <c r="BF14" s="1020"/>
      <c r="BG14" s="1020"/>
      <c r="BH14" s="1020"/>
      <c r="BI14" s="1020"/>
      <c r="BJ14" s="1021"/>
      <c r="BK14" s="1021"/>
    </row>
    <row r="15" spans="1:63" s="1152" customFormat="1" ht="12" hidden="1" customHeight="1">
      <c r="B15" s="667"/>
      <c r="E15" s="676"/>
      <c r="G15" s="106"/>
      <c r="H15" s="106"/>
      <c r="I15" s="106"/>
      <c r="J15" s="106"/>
      <c r="K15" s="106"/>
      <c r="L15" s="106"/>
      <c r="M15" s="106"/>
      <c r="N15" s="106"/>
      <c r="O15" s="106"/>
      <c r="P15" s="106"/>
      <c r="Q15" s="143"/>
      <c r="R15" s="143"/>
      <c r="S15" s="106"/>
      <c r="T15" s="129"/>
      <c r="U15" s="129"/>
      <c r="V15" s="129"/>
      <c r="W15" s="129"/>
      <c r="X15" s="129"/>
      <c r="Y15" s="129"/>
      <c r="Z15" s="129"/>
      <c r="AI15" s="126"/>
      <c r="AJ15" s="126"/>
      <c r="AK15" s="126"/>
      <c r="AL15" s="126"/>
      <c r="AM15" s="126"/>
      <c r="AN15" s="126"/>
      <c r="AO15" s="126"/>
      <c r="AP15" s="126"/>
      <c r="AQ15" s="126"/>
      <c r="AR15" s="126"/>
      <c r="AS15" s="126"/>
      <c r="AT15" s="126"/>
      <c r="AU15" s="126"/>
      <c r="AV15" s="126"/>
      <c r="AW15" s="126"/>
      <c r="AX15" s="126"/>
      <c r="AY15" s="126"/>
      <c r="AZ15" s="126"/>
      <c r="BA15" s="126"/>
      <c r="BB15" s="126"/>
      <c r="BF15" s="1020"/>
      <c r="BG15" s="1020"/>
      <c r="BH15" s="1020"/>
      <c r="BI15" s="1020"/>
      <c r="BJ15" s="1021"/>
      <c r="BK15" s="1021"/>
    </row>
    <row r="16" spans="1:63" s="1152" customFormat="1" ht="12" hidden="1" customHeight="1">
      <c r="B16" s="667"/>
      <c r="E16" s="676"/>
      <c r="G16" s="106"/>
      <c r="H16" s="106"/>
      <c r="I16" s="106"/>
      <c r="J16" s="106"/>
      <c r="K16" s="106"/>
      <c r="L16" s="106"/>
      <c r="M16" s="106"/>
      <c r="N16" s="106"/>
      <c r="O16" s="106"/>
      <c r="P16" s="106"/>
      <c r="Q16" s="143"/>
      <c r="R16" s="143"/>
      <c r="S16" s="106"/>
      <c r="T16" s="129"/>
      <c r="U16" s="129"/>
      <c r="V16" s="129"/>
      <c r="W16" s="129"/>
      <c r="X16" s="129"/>
      <c r="Y16" s="129"/>
      <c r="Z16" s="129"/>
      <c r="AI16" s="126"/>
      <c r="AJ16" s="126"/>
      <c r="AK16" s="126"/>
      <c r="AL16" s="126"/>
      <c r="AM16" s="126"/>
      <c r="AN16" s="126"/>
      <c r="AO16" s="126"/>
      <c r="AP16" s="126"/>
      <c r="AQ16" s="126"/>
      <c r="AR16" s="126"/>
      <c r="AS16" s="126"/>
      <c r="AT16" s="126"/>
      <c r="AU16" s="126"/>
      <c r="AV16" s="126"/>
      <c r="AW16" s="126"/>
      <c r="AX16" s="126"/>
      <c r="AY16" s="126"/>
      <c r="AZ16" s="126"/>
      <c r="BA16" s="126"/>
      <c r="BB16" s="126"/>
      <c r="BF16" s="1020"/>
      <c r="BG16" s="1020"/>
      <c r="BH16" s="1020"/>
      <c r="BI16" s="1020"/>
      <c r="BJ16" s="1021"/>
      <c r="BK16" s="1021"/>
    </row>
    <row r="17" spans="1:63" s="1152" customFormat="1" ht="12" hidden="1" customHeight="1">
      <c r="B17" s="667"/>
      <c r="E17" s="676"/>
      <c r="G17" s="106"/>
      <c r="H17" s="106"/>
      <c r="I17" s="106"/>
      <c r="J17" s="106"/>
      <c r="K17" s="106"/>
      <c r="L17" s="106"/>
      <c r="M17" s="106"/>
      <c r="N17" s="106"/>
      <c r="O17" s="106"/>
      <c r="P17" s="106"/>
      <c r="Q17" s="143"/>
      <c r="R17" s="143"/>
      <c r="S17" s="106"/>
      <c r="T17" s="129"/>
      <c r="U17" s="129"/>
      <c r="V17" s="129"/>
      <c r="W17" s="129"/>
      <c r="X17" s="129"/>
      <c r="Y17" s="129"/>
      <c r="Z17" s="129"/>
      <c r="AX17" s="126"/>
      <c r="AY17" s="126"/>
      <c r="AZ17" s="126"/>
      <c r="BA17" s="126"/>
      <c r="BB17" s="126"/>
      <c r="BF17" s="1020"/>
      <c r="BG17" s="1020"/>
      <c r="BH17" s="1020"/>
      <c r="BI17" s="1020"/>
      <c r="BJ17" s="1021"/>
      <c r="BK17" s="1021"/>
    </row>
    <row r="18" spans="1:63" s="1152" customFormat="1" ht="12" hidden="1" customHeight="1">
      <c r="A18" s="859" t="s">
        <v>530</v>
      </c>
      <c r="B18" s="667"/>
      <c r="E18" s="676"/>
      <c r="G18" s="106"/>
      <c r="H18" s="106"/>
      <c r="I18" s="106"/>
      <c r="J18" s="106"/>
      <c r="K18" s="106"/>
      <c r="L18" s="106"/>
      <c r="M18" s="106"/>
      <c r="N18" s="106"/>
      <c r="O18" s="106"/>
      <c r="P18" s="106"/>
      <c r="Q18" s="143"/>
      <c r="R18" s="143"/>
      <c r="S18" s="106"/>
      <c r="T18" s="129"/>
      <c r="U18" s="129"/>
      <c r="V18" s="129"/>
      <c r="W18" s="129"/>
      <c r="X18" s="129"/>
      <c r="Y18" s="129"/>
      <c r="Z18" s="129"/>
      <c r="AC18" s="133" t="s">
        <v>225</v>
      </c>
      <c r="BF18" s="1020"/>
      <c r="BG18" s="1020"/>
      <c r="BH18" s="1020"/>
      <c r="BI18" s="1020"/>
      <c r="BJ18" s="1021"/>
      <c r="BK18" s="1021"/>
    </row>
    <row r="19" spans="1:63" s="1152" customFormat="1" ht="12" hidden="1" customHeight="1">
      <c r="B19" s="667"/>
      <c r="E19" s="676"/>
      <c r="G19" s="106"/>
      <c r="H19" s="106"/>
      <c r="I19" s="106"/>
      <c r="J19" s="106"/>
      <c r="K19" s="106"/>
      <c r="L19" s="106"/>
      <c r="M19" s="106"/>
      <c r="N19" s="106"/>
      <c r="O19" s="106"/>
      <c r="P19" s="106"/>
      <c r="Q19" s="143"/>
      <c r="R19" s="143"/>
      <c r="S19" s="106"/>
      <c r="T19" s="129"/>
      <c r="U19" s="129"/>
      <c r="V19" s="129"/>
      <c r="W19" s="129"/>
      <c r="X19" s="129"/>
      <c r="Y19" s="129"/>
      <c r="Z19" s="129"/>
      <c r="BF19" s="1020"/>
      <c r="BG19" s="1020"/>
      <c r="BH19" s="1020"/>
      <c r="BI19" s="1020"/>
      <c r="BJ19" s="1021"/>
      <c r="BK19" s="1021"/>
    </row>
    <row r="20" spans="1:63" s="1152" customFormat="1" ht="12" hidden="1" customHeight="1">
      <c r="B20" s="667"/>
      <c r="E20" s="676"/>
      <c r="G20" s="106"/>
      <c r="H20" s="106"/>
      <c r="I20" s="106"/>
      <c r="J20" s="106"/>
      <c r="K20" s="106"/>
      <c r="L20" s="106"/>
      <c r="M20" s="106"/>
      <c r="N20" s="106"/>
      <c r="O20" s="106"/>
      <c r="P20" s="106"/>
      <c r="Q20" s="143"/>
      <c r="R20" s="143"/>
      <c r="S20" s="106"/>
      <c r="T20" s="129"/>
      <c r="U20" s="129"/>
      <c r="V20" s="129"/>
      <c r="W20" s="129"/>
      <c r="X20" s="129"/>
      <c r="Y20" s="129"/>
      <c r="Z20" s="129"/>
      <c r="BF20" s="1020"/>
      <c r="BG20" s="1020"/>
      <c r="BH20" s="1020"/>
      <c r="BI20" s="1020"/>
      <c r="BJ20" s="1021"/>
      <c r="BK20" s="1021"/>
    </row>
    <row r="21" spans="1:63" ht="14.65" customHeight="1">
      <c r="E21" s="676">
        <v>15</v>
      </c>
      <c r="AA21" s="699"/>
      <c r="AC21" s="343" t="str" cm="1">
        <f t="array" ref="AC21">tpl_title</f>
        <v>Кемеровская область / 2026 / ОАО «СКЭК» (ИНН:4205153492, КПП:420501001) / ДПР: 2021-2030</v>
      </c>
    </row>
    <row r="22" spans="1:63" ht="19.5" customHeight="1">
      <c r="E22" s="676">
        <v>20.100000000000001</v>
      </c>
      <c r="AB22" s="333" t="s">
        <v>47</v>
      </c>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24"/>
    </row>
    <row r="23" spans="1:63" ht="11.1" customHeight="1">
      <c r="E23" s="676">
        <v>11.3</v>
      </c>
      <c r="AB23" s="884" t="s">
        <v>1236</v>
      </c>
      <c r="AC23" s="175"/>
      <c r="AD23" s="175"/>
      <c r="AE23" s="175"/>
      <c r="AF23" s="175"/>
      <c r="AG23" s="175"/>
      <c r="AH23" s="175"/>
      <c r="AI23" s="175"/>
      <c r="AJ23" s="175"/>
      <c r="AK23" s="175"/>
      <c r="AL23" s="175"/>
      <c r="AM23" s="175"/>
      <c r="AN23" s="175"/>
      <c r="AO23" s="175"/>
      <c r="AP23" s="175"/>
      <c r="AQ23" s="175"/>
      <c r="AR23" s="175"/>
      <c r="AS23" s="175"/>
      <c r="AT23" s="176"/>
      <c r="AU23" s="176"/>
      <c r="AV23" s="176"/>
      <c r="AW23" s="176"/>
      <c r="AX23" s="176"/>
      <c r="AY23" s="176"/>
      <c r="AZ23" s="176"/>
      <c r="BA23" s="176"/>
      <c r="BB23" s="176"/>
    </row>
    <row r="24" spans="1:63" ht="14.65" customHeight="1">
      <c r="E24" s="676">
        <v>15</v>
      </c>
      <c r="AB24" s="1802" t="s">
        <v>1049</v>
      </c>
      <c r="AC24" s="1810" t="s">
        <v>225</v>
      </c>
      <c r="AD24" s="1802" t="s">
        <v>476</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748" t="s">
        <v>630</v>
      </c>
    </row>
    <row r="25" spans="1:63" ht="48.75" customHeight="1">
      <c r="E25" s="676">
        <v>50.1</v>
      </c>
      <c r="AB25" s="1809"/>
      <c r="AC25" s="1809"/>
      <c r="AD25" s="1809"/>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809"/>
    </row>
    <row r="26" spans="1:63" ht="50.25" hidden="1" customHeight="1">
      <c r="E26" s="676">
        <v>0</v>
      </c>
      <c r="AB26" s="430"/>
      <c r="AC26" s="431"/>
      <c r="AD26" s="431"/>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2"/>
    </row>
    <row r="27" spans="1:63" ht="11.1" hidden="1" customHeight="1">
      <c r="E27" s="676">
        <v>11.4</v>
      </c>
      <c r="F27" s="779" cm="1">
        <f t="array" ref="F27">X27</f>
        <v>0</v>
      </c>
      <c r="G27" s="143" t="s">
        <v>1237</v>
      </c>
      <c r="T27" s="698" t="b">
        <f>X27&gt;0</f>
        <v>0</v>
      </c>
      <c r="V27" s="126" t="s">
        <v>315</v>
      </c>
      <c r="X27" s="1687">
        <v>0</v>
      </c>
      <c r="Z27" s="1687"/>
      <c r="AB27" s="237" t="str" cm="1">
        <f t="array" ref="AB27">INDEX('Общие сведения'!$AG$187:$AG$236,MATCH($F27,'Общие сведения'!$Z$187:$Z$236,0))</f>
        <v xml:space="preserve">Тариф 0 (Теплоснабжение) - </v>
      </c>
      <c r="AC27" s="210"/>
      <c r="AD27" s="210"/>
      <c r="AE27" s="321">
        <f t="shared" ref="AE27:BB27" si="1">AE28+AE34+AE40</f>
        <v>0</v>
      </c>
      <c r="AF27" s="321">
        <f t="shared" si="1"/>
        <v>0</v>
      </c>
      <c r="AG27" s="321">
        <f t="shared" si="1"/>
        <v>0</v>
      </c>
      <c r="AH27" s="321">
        <f t="shared" si="1"/>
        <v>0</v>
      </c>
      <c r="AI27" s="321">
        <f t="shared" si="1"/>
        <v>0</v>
      </c>
      <c r="AJ27" s="321">
        <f t="shared" si="1"/>
        <v>0</v>
      </c>
      <c r="AK27" s="321">
        <f t="shared" si="1"/>
        <v>0</v>
      </c>
      <c r="AL27" s="321">
        <f t="shared" si="1"/>
        <v>0</v>
      </c>
      <c r="AM27" s="321">
        <f t="shared" si="1"/>
        <v>0</v>
      </c>
      <c r="AN27" s="321">
        <f t="shared" si="1"/>
        <v>0</v>
      </c>
      <c r="AO27" s="321">
        <f t="shared" si="1"/>
        <v>0</v>
      </c>
      <c r="AP27" s="321">
        <f t="shared" si="1"/>
        <v>0</v>
      </c>
      <c r="AQ27" s="321">
        <f t="shared" si="1"/>
        <v>0</v>
      </c>
      <c r="AR27" s="321">
        <f t="shared" si="1"/>
        <v>0</v>
      </c>
      <c r="AS27" s="321">
        <f t="shared" si="1"/>
        <v>0</v>
      </c>
      <c r="AT27" s="321">
        <f t="shared" si="1"/>
        <v>0</v>
      </c>
      <c r="AU27" s="321">
        <f t="shared" si="1"/>
        <v>0</v>
      </c>
      <c r="AV27" s="321">
        <f t="shared" si="1"/>
        <v>0</v>
      </c>
      <c r="AW27" s="321">
        <f t="shared" si="1"/>
        <v>0</v>
      </c>
      <c r="AX27" s="321">
        <f t="shared" si="1"/>
        <v>0</v>
      </c>
      <c r="AY27" s="321">
        <f t="shared" si="1"/>
        <v>0</v>
      </c>
      <c r="AZ27" s="321">
        <f t="shared" si="1"/>
        <v>0</v>
      </c>
      <c r="BA27" s="321">
        <f t="shared" si="1"/>
        <v>0</v>
      </c>
      <c r="BB27" s="321">
        <f t="shared" si="1"/>
        <v>0</v>
      </c>
      <c r="BC27" s="239"/>
    </row>
    <row r="28" spans="1:63" ht="11.1" hidden="1" customHeight="1">
      <c r="E28" s="676">
        <v>11.4</v>
      </c>
      <c r="F28" s="779" cm="1">
        <f t="array" ref="F28">F27</f>
        <v>0</v>
      </c>
      <c r="G28" s="143" t="s">
        <v>479</v>
      </c>
      <c r="T28" s="698" t="b" cm="1">
        <f t="array" ref="T28">T27</f>
        <v>0</v>
      </c>
      <c r="X28" s="1687"/>
      <c r="Z28" s="1687"/>
      <c r="AB28" s="233">
        <v>1</v>
      </c>
      <c r="AC28" s="228" t="s">
        <v>1238</v>
      </c>
      <c r="AD28" s="227" t="s">
        <v>839</v>
      </c>
      <c r="AE28" s="229">
        <f t="shared" ref="AE28:BB28" si="2">SUMIF($AD29:$AD33,$AD28,AE29:AE33)</f>
        <v>0</v>
      </c>
      <c r="AF28" s="229">
        <f t="shared" si="2"/>
        <v>0</v>
      </c>
      <c r="AG28" s="229">
        <f t="shared" si="2"/>
        <v>0</v>
      </c>
      <c r="AH28" s="229">
        <f t="shared" si="2"/>
        <v>0</v>
      </c>
      <c r="AI28" s="229">
        <f t="shared" si="2"/>
        <v>0</v>
      </c>
      <c r="AJ28" s="242">
        <f t="shared" si="2"/>
        <v>0</v>
      </c>
      <c r="AK28" s="242">
        <f t="shared" si="2"/>
        <v>0</v>
      </c>
      <c r="AL28" s="242">
        <f t="shared" si="2"/>
        <v>0</v>
      </c>
      <c r="AM28" s="242">
        <f t="shared" si="2"/>
        <v>0</v>
      </c>
      <c r="AN28" s="57">
        <f t="shared" si="2"/>
        <v>0</v>
      </c>
      <c r="AO28" s="57">
        <f t="shared" si="2"/>
        <v>0</v>
      </c>
      <c r="AP28" s="57">
        <f t="shared" si="2"/>
        <v>0</v>
      </c>
      <c r="AQ28" s="57">
        <f t="shared" si="2"/>
        <v>0</v>
      </c>
      <c r="AR28" s="57">
        <f t="shared" si="2"/>
        <v>0</v>
      </c>
      <c r="AS28" s="229">
        <f t="shared" si="2"/>
        <v>0</v>
      </c>
      <c r="AT28" s="242">
        <f t="shared" si="2"/>
        <v>0</v>
      </c>
      <c r="AU28" s="242">
        <f t="shared" si="2"/>
        <v>0</v>
      </c>
      <c r="AV28" s="242">
        <f t="shared" si="2"/>
        <v>0</v>
      </c>
      <c r="AW28" s="242">
        <f t="shared" si="2"/>
        <v>0</v>
      </c>
      <c r="AX28" s="57">
        <f t="shared" si="2"/>
        <v>0</v>
      </c>
      <c r="AY28" s="57">
        <f t="shared" si="2"/>
        <v>0</v>
      </c>
      <c r="AZ28" s="57">
        <f t="shared" si="2"/>
        <v>0</v>
      </c>
      <c r="BA28" s="57">
        <f t="shared" si="2"/>
        <v>0</v>
      </c>
      <c r="BB28" s="57">
        <f t="shared" si="2"/>
        <v>0</v>
      </c>
      <c r="BC28" s="28"/>
      <c r="BF28" s="1020" t="s">
        <v>1063</v>
      </c>
    </row>
    <row r="29" spans="1:63" ht="0.2" hidden="1" customHeight="1">
      <c r="E29" s="676">
        <v>0.2</v>
      </c>
      <c r="F29" s="779" cm="1">
        <f t="array" ref="F29">F28</f>
        <v>0</v>
      </c>
      <c r="T29" s="698" t="b">
        <v>0</v>
      </c>
      <c r="X29" s="1687"/>
      <c r="Z29" s="1687"/>
      <c r="AB29" s="233"/>
      <c r="AC29" s="228"/>
      <c r="AD29" s="227"/>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40"/>
      <c r="BF29" s="1020" t="str">
        <f>IF(AND(ISNUMBER(VALUE(TRIM(SUBSTITUTE(AB29,".","")))),TRIM(SUBSTITUTE(AB29,".",""))&lt;&gt;""),"P"&amp;SUBSTITUTE(AB29,".",""),"")</f>
        <v/>
      </c>
    </row>
    <row r="30" spans="1:63" ht="17.649999999999999" hidden="1" customHeight="1">
      <c r="A30" s="927" t="str">
        <f ca="1">"checkCosts_1."&amp;F30&amp;"."&amp;Y30</f>
        <v>checkCosts_1.0.0</v>
      </c>
      <c r="E30" s="676">
        <v>18</v>
      </c>
      <c r="F30" s="779" cm="1">
        <f t="array" aca="1" ref="F30" ca="1">OFFSET(G30,-1,-1)</f>
        <v>0</v>
      </c>
      <c r="G30" s="143" t="s">
        <v>479</v>
      </c>
      <c r="H30" s="106" cm="1">
        <f t="array" ref="H30">AC30</f>
        <v>0</v>
      </c>
      <c r="T30" s="698" t="b">
        <f ca="1">AND(F30&gt;0,Y30&gt;0)</f>
        <v>0</v>
      </c>
      <c r="W30" s="110" t="s">
        <v>236</v>
      </c>
      <c r="X30" s="1687"/>
      <c r="Y30" s="1687">
        <v>0</v>
      </c>
      <c r="Z30" s="1687"/>
      <c r="AA30" s="1806" t="s">
        <v>218</v>
      </c>
      <c r="AB30" s="235" t="str">
        <f>"1."&amp;Y30</f>
        <v>1.0</v>
      </c>
      <c r="AC30" s="396"/>
      <c r="AD30" s="227" t="s">
        <v>839</v>
      </c>
      <c r="AE30" s="279">
        <f>AE31*AE32/1000</f>
        <v>0</v>
      </c>
      <c r="AF30" s="17"/>
      <c r="AG30" s="17"/>
      <c r="AH30" s="279">
        <f>AH31*AH32/1000</f>
        <v>0</v>
      </c>
      <c r="AI30" s="230"/>
      <c r="AJ30" s="230"/>
      <c r="AK30" s="230"/>
      <c r="AL30" s="230"/>
      <c r="AM30" s="230"/>
      <c r="AN30" s="17"/>
      <c r="AO30" s="17"/>
      <c r="AP30" s="17"/>
      <c r="AQ30" s="17"/>
      <c r="AR30" s="17"/>
      <c r="AS30" s="279">
        <f t="shared" ref="AS30:BB30" si="3">AS31*AS32/1000</f>
        <v>0</v>
      </c>
      <c r="AT30" s="279">
        <f t="shared" si="3"/>
        <v>0</v>
      </c>
      <c r="AU30" s="279">
        <f t="shared" si="3"/>
        <v>0</v>
      </c>
      <c r="AV30" s="279">
        <f t="shared" si="3"/>
        <v>0</v>
      </c>
      <c r="AW30" s="279">
        <f t="shared" si="3"/>
        <v>0</v>
      </c>
      <c r="AX30" s="279">
        <f t="shared" si="3"/>
        <v>0</v>
      </c>
      <c r="AY30" s="279">
        <f t="shared" si="3"/>
        <v>0</v>
      </c>
      <c r="AZ30" s="279">
        <f t="shared" si="3"/>
        <v>0</v>
      </c>
      <c r="BA30" s="279">
        <f t="shared" si="3"/>
        <v>0</v>
      </c>
      <c r="BB30" s="279">
        <f t="shared" si="3"/>
        <v>0</v>
      </c>
      <c r="BC30" s="28"/>
      <c r="BF30" s="1020" t="s">
        <v>1064</v>
      </c>
      <c r="BG30" s="1020" t="s">
        <v>1239</v>
      </c>
      <c r="BH30" s="1020" cm="1">
        <f t="array" ref="BH30">AC30</f>
        <v>0</v>
      </c>
      <c r="BI30" s="1328" t="str" cm="1">
        <f t="array" ref="BI30">AD32</f>
        <v>Гкал</v>
      </c>
      <c r="BK30" s="1021" t="b">
        <v>1</v>
      </c>
    </row>
    <row r="31" spans="1:63" s="1229" customFormat="1" ht="16.5" hidden="1" customHeight="1">
      <c r="E31" s="676">
        <v>17</v>
      </c>
      <c r="F31" s="779" cm="1">
        <f t="array" ref="F31">F29</f>
        <v>0</v>
      </c>
      <c r="G31" s="143" t="s">
        <v>191</v>
      </c>
      <c r="H31" s="106" cm="1">
        <f t="array" ref="H31">H30</f>
        <v>0</v>
      </c>
      <c r="T31" s="698" t="b" cm="1">
        <f t="array" aca="1" ref="T31" ca="1">T30</f>
        <v>0</v>
      </c>
      <c r="X31" s="1722"/>
      <c r="Y31" s="1722"/>
      <c r="Z31" s="1722"/>
      <c r="AA31" s="1807"/>
      <c r="AB31" s="235" t="str">
        <f>AB30&amp;".1"</f>
        <v>1.0.1</v>
      </c>
      <c r="AC31" s="241" t="s">
        <v>1000</v>
      </c>
      <c r="AD31" s="1329" t="s">
        <v>243</v>
      </c>
      <c r="AE31" s="17"/>
      <c r="AF31" s="279">
        <f>IF(AF32=0,0,AF30/AF32)*1000</f>
        <v>0</v>
      </c>
      <c r="AG31" s="279">
        <f>IF(AG32=0,0,AG30/AG32)*1000</f>
        <v>0</v>
      </c>
      <c r="AH31" s="17"/>
      <c r="AI31" s="279">
        <f t="shared" ref="AI31:AR31" si="4">IF(AI32=0,0,AI30/AI32)*1000</f>
        <v>0</v>
      </c>
      <c r="AJ31" s="279">
        <f t="shared" si="4"/>
        <v>0</v>
      </c>
      <c r="AK31" s="279">
        <f t="shared" si="4"/>
        <v>0</v>
      </c>
      <c r="AL31" s="279">
        <f t="shared" si="4"/>
        <v>0</v>
      </c>
      <c r="AM31" s="279">
        <f t="shared" si="4"/>
        <v>0</v>
      </c>
      <c r="AN31" s="279">
        <f t="shared" si="4"/>
        <v>0</v>
      </c>
      <c r="AO31" s="279">
        <f t="shared" si="4"/>
        <v>0</v>
      </c>
      <c r="AP31" s="279">
        <f t="shared" si="4"/>
        <v>0</v>
      </c>
      <c r="AQ31" s="279">
        <f t="shared" si="4"/>
        <v>0</v>
      </c>
      <c r="AR31" s="279">
        <f t="shared" si="4"/>
        <v>0</v>
      </c>
      <c r="AS31" s="230"/>
      <c r="AT31" s="230"/>
      <c r="AU31" s="230"/>
      <c r="AV31" s="230"/>
      <c r="AW31" s="230"/>
      <c r="AX31" s="17"/>
      <c r="AY31" s="17"/>
      <c r="AZ31" s="17"/>
      <c r="BA31" s="17"/>
      <c r="BB31" s="17"/>
      <c r="BC31" s="28"/>
      <c r="BF31" s="1020" t="s">
        <v>1066</v>
      </c>
      <c r="BG31" s="1020" t="s">
        <v>1239</v>
      </c>
      <c r="BH31" s="1020" cm="1">
        <f t="array" ref="BH31">BH30</f>
        <v>0</v>
      </c>
      <c r="BI31" s="1020" t="str" cm="1">
        <f t="array" ref="BI31">BI30</f>
        <v>Гкал</v>
      </c>
      <c r="BJ31" s="1021"/>
      <c r="BK31" s="1021"/>
    </row>
    <row r="32" spans="1:63" ht="16.5" hidden="1" customHeight="1">
      <c r="A32" s="927" t="str">
        <f ca="1">"checkVolume_1."&amp;F32&amp;"."&amp;Y30</f>
        <v>checkVolume_1.0.0</v>
      </c>
      <c r="E32" s="676">
        <v>17</v>
      </c>
      <c r="F32" s="779" cm="1">
        <f t="array" aca="1" ref="F32" ca="1">F30</f>
        <v>0</v>
      </c>
      <c r="G32" s="143" t="s">
        <v>191</v>
      </c>
      <c r="H32" s="106" cm="1">
        <f t="array" ref="H32">H30</f>
        <v>0</v>
      </c>
      <c r="T32" s="698" t="b" cm="1">
        <f t="array" aca="1" ref="T32" ca="1">T30</f>
        <v>0</v>
      </c>
      <c r="X32" s="1687"/>
      <c r="Y32" s="1687"/>
      <c r="Z32" s="1687"/>
      <c r="AA32" s="1806"/>
      <c r="AB32" s="235" t="str">
        <f>AB30&amp;".2"</f>
        <v>1.0.2</v>
      </c>
      <c r="AC32" s="241" t="s">
        <v>1240</v>
      </c>
      <c r="AD32" s="1329" t="s">
        <v>634</v>
      </c>
      <c r="AE32" s="17"/>
      <c r="AF32" s="17"/>
      <c r="AG32" s="17"/>
      <c r="AH32" s="17"/>
      <c r="AI32" s="230"/>
      <c r="AJ32" s="230"/>
      <c r="AK32" s="230"/>
      <c r="AL32" s="230"/>
      <c r="AM32" s="230"/>
      <c r="AN32" s="17"/>
      <c r="AO32" s="17"/>
      <c r="AP32" s="17"/>
      <c r="AQ32" s="17"/>
      <c r="AR32" s="17"/>
      <c r="AS32" s="230"/>
      <c r="AT32" s="230"/>
      <c r="AU32" s="230"/>
      <c r="AV32" s="230"/>
      <c r="AW32" s="230"/>
      <c r="AX32" s="17"/>
      <c r="AY32" s="17"/>
      <c r="AZ32" s="17"/>
      <c r="BA32" s="17"/>
      <c r="BB32" s="17"/>
      <c r="BC32" s="28"/>
      <c r="BF32" s="1020" t="s">
        <v>1068</v>
      </c>
      <c r="BG32" s="1020" t="s">
        <v>1239</v>
      </c>
      <c r="BH32" s="1020" cm="1">
        <f t="array" ref="BH32">BH30</f>
        <v>0</v>
      </c>
      <c r="BI32" s="1328" t="str" cm="1">
        <f t="array" ref="BI32">BI30</f>
        <v>Гкал</v>
      </c>
    </row>
    <row r="33" spans="1:63" ht="16.5" hidden="1" customHeight="1">
      <c r="E33" s="676">
        <v>17</v>
      </c>
      <c r="F33" s="779" cm="1">
        <f t="array" ref="F33">F29</f>
        <v>0</v>
      </c>
      <c r="G33" s="143" t="str">
        <f>F33&amp;"pIns3"</f>
        <v>0pIns3</v>
      </c>
      <c r="T33" s="698" t="b">
        <f>F33&gt;0</f>
        <v>0</v>
      </c>
      <c r="W33" s="318" t="s">
        <v>1241</v>
      </c>
      <c r="X33" s="1687"/>
      <c r="Z33" s="1687"/>
      <c r="AB33" s="249"/>
      <c r="AC33" s="250" t="s">
        <v>1036</v>
      </c>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909"/>
      <c r="BF33" s="1020" t="str">
        <f>IF(AND(ISNUMBER(VALUE(TRIM(SUBSTITUTE(AB33,".","")))),TRIM(SUBSTITUTE(AB33,".",""))&lt;&gt;""),"P"&amp;SUBSTITUTE(AB33,".",""),"")</f>
        <v/>
      </c>
      <c r="BJ33" s="1021" t="s">
        <v>1239</v>
      </c>
    </row>
    <row r="34" spans="1:63" ht="16.5" hidden="1" customHeight="1">
      <c r="E34" s="676">
        <v>17</v>
      </c>
      <c r="F34" s="779" cm="1">
        <f t="array" ref="F34">F33</f>
        <v>0</v>
      </c>
      <c r="G34" s="143" t="s">
        <v>1242</v>
      </c>
      <c r="T34" s="698" t="b">
        <f>F34&gt;0</f>
        <v>0</v>
      </c>
      <c r="X34" s="1687"/>
      <c r="Z34" s="1687"/>
      <c r="AB34" s="233">
        <v>2</v>
      </c>
      <c r="AC34" s="228" t="s">
        <v>1243</v>
      </c>
      <c r="AD34" s="227" t="s">
        <v>839</v>
      </c>
      <c r="AE34" s="229">
        <f t="shared" ref="AE34:BB34" si="5">SUMIF($AD35:$AD39,$AD34,AE35:AE39)</f>
        <v>0</v>
      </c>
      <c r="AF34" s="229">
        <f t="shared" si="5"/>
        <v>0</v>
      </c>
      <c r="AG34" s="229">
        <f t="shared" si="5"/>
        <v>0</v>
      </c>
      <c r="AH34" s="229">
        <f t="shared" si="5"/>
        <v>0</v>
      </c>
      <c r="AI34" s="229">
        <f t="shared" si="5"/>
        <v>0</v>
      </c>
      <c r="AJ34" s="242">
        <f t="shared" si="5"/>
        <v>0</v>
      </c>
      <c r="AK34" s="242">
        <f t="shared" si="5"/>
        <v>0</v>
      </c>
      <c r="AL34" s="242">
        <f t="shared" si="5"/>
        <v>0</v>
      </c>
      <c r="AM34" s="242">
        <f t="shared" si="5"/>
        <v>0</v>
      </c>
      <c r="AN34" s="57">
        <f t="shared" si="5"/>
        <v>0</v>
      </c>
      <c r="AO34" s="57">
        <f t="shared" si="5"/>
        <v>0</v>
      </c>
      <c r="AP34" s="57">
        <f t="shared" si="5"/>
        <v>0</v>
      </c>
      <c r="AQ34" s="57">
        <f t="shared" si="5"/>
        <v>0</v>
      </c>
      <c r="AR34" s="57">
        <f t="shared" si="5"/>
        <v>0</v>
      </c>
      <c r="AS34" s="229">
        <f t="shared" si="5"/>
        <v>0</v>
      </c>
      <c r="AT34" s="242">
        <f t="shared" si="5"/>
        <v>0</v>
      </c>
      <c r="AU34" s="242">
        <f t="shared" si="5"/>
        <v>0</v>
      </c>
      <c r="AV34" s="242">
        <f t="shared" si="5"/>
        <v>0</v>
      </c>
      <c r="AW34" s="242">
        <f t="shared" si="5"/>
        <v>0</v>
      </c>
      <c r="AX34" s="57">
        <f t="shared" si="5"/>
        <v>0</v>
      </c>
      <c r="AY34" s="57">
        <f t="shared" si="5"/>
        <v>0</v>
      </c>
      <c r="AZ34" s="57">
        <f t="shared" si="5"/>
        <v>0</v>
      </c>
      <c r="BA34" s="57">
        <f t="shared" si="5"/>
        <v>0</v>
      </c>
      <c r="BB34" s="57">
        <f t="shared" si="5"/>
        <v>0</v>
      </c>
      <c r="BC34" s="28"/>
      <c r="BF34" s="1020" t="s">
        <v>1244</v>
      </c>
    </row>
    <row r="35" spans="1:63" ht="0.2" hidden="1" customHeight="1">
      <c r="E35" s="676">
        <v>0.2</v>
      </c>
      <c r="F35" s="779" cm="1">
        <f t="array" ref="F35">F34</f>
        <v>0</v>
      </c>
      <c r="T35" s="698" t="b">
        <v>0</v>
      </c>
      <c r="X35" s="1687"/>
      <c r="Z35" s="1687"/>
      <c r="AB35" s="233"/>
      <c r="AC35" s="228"/>
      <c r="AD35" s="227"/>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40"/>
      <c r="BF35" s="1020" t="str">
        <f>IF(AND(ISNUMBER(VALUE(TRIM(SUBSTITUTE(AB35,".","")))),TRIM(SUBSTITUTE(AB35,".",""))&lt;&gt;""),"P"&amp;SUBSTITUTE(AB35,".",""),"")</f>
        <v/>
      </c>
    </row>
    <row r="36" spans="1:63" ht="17.649999999999999" hidden="1" customHeight="1">
      <c r="A36" s="927" t="str">
        <f ca="1">"checkCosts_2."&amp;F36&amp;"."&amp;Y36</f>
        <v>checkCosts_2.0.0</v>
      </c>
      <c r="E36" s="676">
        <v>18</v>
      </c>
      <c r="F36" s="779" cm="1">
        <f t="array" aca="1" ref="F36" ca="1">OFFSET(G36,-1,-1)</f>
        <v>0</v>
      </c>
      <c r="G36" s="143" t="s">
        <v>1242</v>
      </c>
      <c r="H36" s="106" cm="1">
        <f t="array" ref="H36">AC36</f>
        <v>0</v>
      </c>
      <c r="T36" s="698" t="b">
        <f ca="1">AND(F36&gt;0,Y36&gt;0)</f>
        <v>0</v>
      </c>
      <c r="W36" s="110" t="s">
        <v>236</v>
      </c>
      <c r="X36" s="1687"/>
      <c r="Y36" s="1687">
        <v>0</v>
      </c>
      <c r="Z36" s="1687"/>
      <c r="AA36" s="1806" t="s">
        <v>218</v>
      </c>
      <c r="AB36" s="235" t="str">
        <f>"2."&amp;Y36</f>
        <v>2.0</v>
      </c>
      <c r="AC36" s="396"/>
      <c r="AD36" s="227" t="s">
        <v>839</v>
      </c>
      <c r="AE36" s="279">
        <f>AE37*AE38</f>
        <v>0</v>
      </c>
      <c r="AF36" s="17"/>
      <c r="AG36" s="17"/>
      <c r="AH36" s="279">
        <f>AH37*AH38</f>
        <v>0</v>
      </c>
      <c r="AI36" s="230"/>
      <c r="AJ36" s="230"/>
      <c r="AK36" s="230"/>
      <c r="AL36" s="230"/>
      <c r="AM36" s="230"/>
      <c r="AN36" s="17"/>
      <c r="AO36" s="17"/>
      <c r="AP36" s="17"/>
      <c r="AQ36" s="17"/>
      <c r="AR36" s="17"/>
      <c r="AS36" s="279">
        <f t="shared" ref="AS36:BB36" si="6">AS37*AS38</f>
        <v>0</v>
      </c>
      <c r="AT36" s="279">
        <f t="shared" si="6"/>
        <v>0</v>
      </c>
      <c r="AU36" s="279">
        <f t="shared" si="6"/>
        <v>0</v>
      </c>
      <c r="AV36" s="279">
        <f t="shared" si="6"/>
        <v>0</v>
      </c>
      <c r="AW36" s="279">
        <f t="shared" si="6"/>
        <v>0</v>
      </c>
      <c r="AX36" s="279">
        <f t="shared" si="6"/>
        <v>0</v>
      </c>
      <c r="AY36" s="279">
        <f t="shared" si="6"/>
        <v>0</v>
      </c>
      <c r="AZ36" s="279">
        <f t="shared" si="6"/>
        <v>0</v>
      </c>
      <c r="BA36" s="279">
        <f t="shared" si="6"/>
        <v>0</v>
      </c>
      <c r="BB36" s="279">
        <f t="shared" si="6"/>
        <v>0</v>
      </c>
      <c r="BC36" s="28"/>
      <c r="BF36" s="1020" t="s">
        <v>1245</v>
      </c>
      <c r="BG36" s="1020" t="s">
        <v>1246</v>
      </c>
      <c r="BH36" s="1020" cm="1">
        <f t="array" ref="BH36">AC36</f>
        <v>0</v>
      </c>
      <c r="BI36" s="1328" t="str" cm="1">
        <f t="array" ref="BI36">AD38</f>
        <v>тыс.куб.м</v>
      </c>
      <c r="BK36" s="1021" t="b">
        <v>1</v>
      </c>
    </row>
    <row r="37" spans="1:63" s="1229" customFormat="1" ht="16.5" hidden="1" customHeight="1">
      <c r="E37" s="676">
        <v>17</v>
      </c>
      <c r="F37" s="779" cm="1">
        <f t="array" ref="F37">F35</f>
        <v>0</v>
      </c>
      <c r="G37" s="143" t="s">
        <v>201</v>
      </c>
      <c r="H37" s="106" cm="1">
        <f t="array" ref="H37">H36</f>
        <v>0</v>
      </c>
      <c r="T37" s="698" t="b" cm="1">
        <f t="array" aca="1" ref="T37" ca="1">T36</f>
        <v>0</v>
      </c>
      <c r="X37" s="1722"/>
      <c r="Y37" s="1722"/>
      <c r="Z37" s="1722"/>
      <c r="AA37" s="1807"/>
      <c r="AB37" s="235" t="str">
        <f>AB36&amp;".1"</f>
        <v>2.0.1</v>
      </c>
      <c r="AC37" s="241" t="s">
        <v>1000</v>
      </c>
      <c r="AD37" s="1329" t="s">
        <v>243</v>
      </c>
      <c r="AE37" s="17"/>
      <c r="AF37" s="279">
        <f>IF(AF38=0,0,AF36/AF38)</f>
        <v>0</v>
      </c>
      <c r="AG37" s="279">
        <f>IF(AG38=0,0,AG36/AG38)</f>
        <v>0</v>
      </c>
      <c r="AH37" s="17"/>
      <c r="AI37" s="279">
        <f t="shared" ref="AI37:AR37" si="7">IF(AI38=0,0,AI36/AI38)</f>
        <v>0</v>
      </c>
      <c r="AJ37" s="279">
        <f t="shared" si="7"/>
        <v>0</v>
      </c>
      <c r="AK37" s="279">
        <f t="shared" si="7"/>
        <v>0</v>
      </c>
      <c r="AL37" s="279">
        <f t="shared" si="7"/>
        <v>0</v>
      </c>
      <c r="AM37" s="279">
        <f t="shared" si="7"/>
        <v>0</v>
      </c>
      <c r="AN37" s="279">
        <f t="shared" si="7"/>
        <v>0</v>
      </c>
      <c r="AO37" s="279">
        <f t="shared" si="7"/>
        <v>0</v>
      </c>
      <c r="AP37" s="279">
        <f t="shared" si="7"/>
        <v>0</v>
      </c>
      <c r="AQ37" s="279">
        <f t="shared" si="7"/>
        <v>0</v>
      </c>
      <c r="AR37" s="279">
        <f t="shared" si="7"/>
        <v>0</v>
      </c>
      <c r="AS37" s="230"/>
      <c r="AT37" s="230"/>
      <c r="AU37" s="230"/>
      <c r="AV37" s="230"/>
      <c r="AW37" s="230"/>
      <c r="AX37" s="17"/>
      <c r="AY37" s="17"/>
      <c r="AZ37" s="17"/>
      <c r="BA37" s="17"/>
      <c r="BB37" s="17"/>
      <c r="BC37" s="28"/>
      <c r="BF37" s="1020" t="s">
        <v>1247</v>
      </c>
      <c r="BG37" s="1020" t="s">
        <v>1246</v>
      </c>
      <c r="BH37" s="1020" cm="1">
        <f t="array" ref="BH37">BH36</f>
        <v>0</v>
      </c>
      <c r="BI37" s="1020" t="str" cm="1">
        <f t="array" ref="BI37">BI36</f>
        <v>тыс.куб.м</v>
      </c>
      <c r="BJ37" s="1021"/>
      <c r="BK37" s="1021"/>
    </row>
    <row r="38" spans="1:63" ht="16.5" hidden="1" customHeight="1">
      <c r="A38" s="927" t="str">
        <f ca="1">"checkVolume_2."&amp;F38&amp;"."&amp;Y36</f>
        <v>checkVolume_2.0.0</v>
      </c>
      <c r="E38" s="676">
        <v>17</v>
      </c>
      <c r="F38" s="779" cm="1">
        <f t="array" aca="1" ref="F38" ca="1">F36</f>
        <v>0</v>
      </c>
      <c r="G38" s="143" t="s">
        <v>201</v>
      </c>
      <c r="H38" s="106" cm="1">
        <f t="array" ref="H38">H36</f>
        <v>0</v>
      </c>
      <c r="T38" s="698" t="b" cm="1">
        <f t="array" aca="1" ref="T38" ca="1">T36</f>
        <v>0</v>
      </c>
      <c r="X38" s="1687"/>
      <c r="Y38" s="1687"/>
      <c r="Z38" s="1687"/>
      <c r="AA38" s="1806"/>
      <c r="AB38" s="235" t="str">
        <f>AB36&amp;".2"</f>
        <v>2.0.2</v>
      </c>
      <c r="AC38" s="241" t="s">
        <v>1240</v>
      </c>
      <c r="AD38" s="1329" t="s">
        <v>1058</v>
      </c>
      <c r="AE38" s="17"/>
      <c r="AF38" s="17"/>
      <c r="AG38" s="17"/>
      <c r="AH38" s="17"/>
      <c r="AI38" s="230"/>
      <c r="AJ38" s="230"/>
      <c r="AK38" s="230"/>
      <c r="AL38" s="230"/>
      <c r="AM38" s="230"/>
      <c r="AN38" s="17"/>
      <c r="AO38" s="17"/>
      <c r="AP38" s="17"/>
      <c r="AQ38" s="17"/>
      <c r="AR38" s="17"/>
      <c r="AS38" s="230"/>
      <c r="AT38" s="230"/>
      <c r="AU38" s="230"/>
      <c r="AV38" s="230"/>
      <c r="AW38" s="230"/>
      <c r="AX38" s="17"/>
      <c r="AY38" s="17"/>
      <c r="AZ38" s="17"/>
      <c r="BA38" s="17"/>
      <c r="BB38" s="17"/>
      <c r="BC38" s="28"/>
      <c r="BF38" s="1020" t="s">
        <v>1248</v>
      </c>
      <c r="BG38" s="1020" t="s">
        <v>1246</v>
      </c>
      <c r="BH38" s="1020" cm="1">
        <f t="array" ref="BH38">BH36</f>
        <v>0</v>
      </c>
      <c r="BI38" s="1328" t="str" cm="1">
        <f t="array" ref="BI38">BI36</f>
        <v>тыс.куб.м</v>
      </c>
    </row>
    <row r="39" spans="1:63" ht="16.5" hidden="1" customHeight="1">
      <c r="E39" s="676">
        <v>17</v>
      </c>
      <c r="F39" s="779" cm="1">
        <f t="array" ref="F39">F35</f>
        <v>0</v>
      </c>
      <c r="G39" s="143" t="str">
        <f>F39&amp;"pIns5"</f>
        <v>0pIns5</v>
      </c>
      <c r="T39" s="698" t="b">
        <f>F39&gt;0</f>
        <v>0</v>
      </c>
      <c r="W39" s="318" t="s">
        <v>1249</v>
      </c>
      <c r="X39" s="1687"/>
      <c r="Z39" s="1687"/>
      <c r="AB39" s="249"/>
      <c r="AC39" s="250" t="s">
        <v>1036</v>
      </c>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909"/>
      <c r="BF39" s="1020" t="str">
        <f>IF(AND(ISNUMBER(VALUE(TRIM(SUBSTITUTE(AB39,".","")))),TRIM(SUBSTITUTE(AB39,".",""))&lt;&gt;""),"P"&amp;SUBSTITUTE(AB39,".",""),"")</f>
        <v/>
      </c>
      <c r="BJ39" s="1021" t="s">
        <v>1246</v>
      </c>
    </row>
    <row r="40" spans="1:63" ht="16.5" hidden="1" customHeight="1">
      <c r="E40" s="676">
        <v>17</v>
      </c>
      <c r="F40" s="779" cm="1">
        <f t="array" ref="F40">F39</f>
        <v>0</v>
      </c>
      <c r="G40" s="143" t="s">
        <v>1250</v>
      </c>
      <c r="T40" s="698" t="b">
        <f>F40&gt;0</f>
        <v>0</v>
      </c>
      <c r="X40" s="1687"/>
      <c r="Z40" s="1687"/>
      <c r="AB40" s="233">
        <v>3</v>
      </c>
      <c r="AC40" s="228" t="s">
        <v>1251</v>
      </c>
      <c r="AD40" s="227" t="s">
        <v>839</v>
      </c>
      <c r="AE40" s="229">
        <f t="shared" ref="AE40:BB40" si="8">SUMIF($AD41:$AD45,$AD40,AE41:AE45)</f>
        <v>0</v>
      </c>
      <c r="AF40" s="229">
        <f t="shared" si="8"/>
        <v>0</v>
      </c>
      <c r="AG40" s="229">
        <f t="shared" si="8"/>
        <v>0</v>
      </c>
      <c r="AH40" s="229">
        <f t="shared" si="8"/>
        <v>0</v>
      </c>
      <c r="AI40" s="229">
        <f t="shared" si="8"/>
        <v>0</v>
      </c>
      <c r="AJ40" s="242">
        <f t="shared" si="8"/>
        <v>0</v>
      </c>
      <c r="AK40" s="242">
        <f t="shared" si="8"/>
        <v>0</v>
      </c>
      <c r="AL40" s="242">
        <f t="shared" si="8"/>
        <v>0</v>
      </c>
      <c r="AM40" s="242">
        <f t="shared" si="8"/>
        <v>0</v>
      </c>
      <c r="AN40" s="57">
        <f t="shared" si="8"/>
        <v>0</v>
      </c>
      <c r="AO40" s="57">
        <f t="shared" si="8"/>
        <v>0</v>
      </c>
      <c r="AP40" s="57">
        <f t="shared" si="8"/>
        <v>0</v>
      </c>
      <c r="AQ40" s="57">
        <f t="shared" si="8"/>
        <v>0</v>
      </c>
      <c r="AR40" s="57">
        <f t="shared" si="8"/>
        <v>0</v>
      </c>
      <c r="AS40" s="229">
        <f t="shared" si="8"/>
        <v>0</v>
      </c>
      <c r="AT40" s="242">
        <f t="shared" si="8"/>
        <v>0</v>
      </c>
      <c r="AU40" s="242">
        <f t="shared" si="8"/>
        <v>0</v>
      </c>
      <c r="AV40" s="242">
        <f t="shared" si="8"/>
        <v>0</v>
      </c>
      <c r="AW40" s="242">
        <f t="shared" si="8"/>
        <v>0</v>
      </c>
      <c r="AX40" s="57">
        <f t="shared" si="8"/>
        <v>0</v>
      </c>
      <c r="AY40" s="57">
        <f t="shared" si="8"/>
        <v>0</v>
      </c>
      <c r="AZ40" s="57">
        <f t="shared" si="8"/>
        <v>0</v>
      </c>
      <c r="BA40" s="57">
        <f t="shared" si="8"/>
        <v>0</v>
      </c>
      <c r="BB40" s="57">
        <f t="shared" si="8"/>
        <v>0</v>
      </c>
      <c r="BC40" s="28"/>
      <c r="BF40" s="1020" t="s">
        <v>1252</v>
      </c>
    </row>
    <row r="41" spans="1:63" ht="0.2" hidden="1" customHeight="1">
      <c r="E41" s="676">
        <v>0.2</v>
      </c>
      <c r="F41" s="779" cm="1">
        <f t="array" ref="F41">F40</f>
        <v>0</v>
      </c>
      <c r="T41" s="698" t="b">
        <v>0</v>
      </c>
      <c r="X41" s="1687"/>
      <c r="Z41" s="1687"/>
      <c r="AB41" s="233"/>
      <c r="AC41" s="228"/>
      <c r="AD41" s="227"/>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40"/>
      <c r="BF41" s="1020" t="str">
        <f>IF(AND(ISNUMBER(VALUE(TRIM(SUBSTITUTE(AB41,".","")))),TRIM(SUBSTITUTE(AB41,".",""))&lt;&gt;""),"P"&amp;SUBSTITUTE(AB41,".",""),"")</f>
        <v/>
      </c>
    </row>
    <row r="42" spans="1:63" ht="22.15" hidden="1" customHeight="1">
      <c r="A42" s="927" t="str">
        <f ca="1">"checkCosts_3."&amp;F42&amp;"."&amp;Y42</f>
        <v>checkCosts_3.0.0</v>
      </c>
      <c r="E42" s="676">
        <v>22.8</v>
      </c>
      <c r="F42" s="779" cm="1">
        <f t="array" aca="1" ref="F42" ca="1">OFFSET(G42,-1,-1)</f>
        <v>0</v>
      </c>
      <c r="G42" s="143" t="s">
        <v>1250</v>
      </c>
      <c r="H42" s="106" cm="1">
        <f t="array" ref="H42">AC42</f>
        <v>0</v>
      </c>
      <c r="T42" s="698" t="b">
        <f ca="1">AND(F42&gt;0,Y42&gt;0)</f>
        <v>0</v>
      </c>
      <c r="W42" s="110" t="s">
        <v>236</v>
      </c>
      <c r="X42" s="1687"/>
      <c r="Y42" s="1687">
        <v>0</v>
      </c>
      <c r="Z42" s="1687"/>
      <c r="AA42" s="1806" t="s">
        <v>218</v>
      </c>
      <c r="AB42" s="235" t="str">
        <f>"3."&amp;Y42</f>
        <v>3.0</v>
      </c>
      <c r="AC42" s="9"/>
      <c r="AD42" s="227" t="s">
        <v>839</v>
      </c>
      <c r="AE42" s="279">
        <f>AE43*AE44</f>
        <v>0</v>
      </c>
      <c r="AF42" s="17"/>
      <c r="AG42" s="17"/>
      <c r="AH42" s="279">
        <f>AH43*AH44</f>
        <v>0</v>
      </c>
      <c r="AI42" s="230"/>
      <c r="AJ42" s="230"/>
      <c r="AK42" s="230"/>
      <c r="AL42" s="230"/>
      <c r="AM42" s="230"/>
      <c r="AN42" s="17"/>
      <c r="AO42" s="17"/>
      <c r="AP42" s="17"/>
      <c r="AQ42" s="17"/>
      <c r="AR42" s="17"/>
      <c r="AS42" s="279">
        <f t="shared" ref="AS42:BB42" si="9">AS43*AS44</f>
        <v>0</v>
      </c>
      <c r="AT42" s="279">
        <f t="shared" si="9"/>
        <v>0</v>
      </c>
      <c r="AU42" s="279">
        <f t="shared" si="9"/>
        <v>0</v>
      </c>
      <c r="AV42" s="279">
        <f t="shared" si="9"/>
        <v>0</v>
      </c>
      <c r="AW42" s="279">
        <f t="shared" si="9"/>
        <v>0</v>
      </c>
      <c r="AX42" s="279">
        <f t="shared" si="9"/>
        <v>0</v>
      </c>
      <c r="AY42" s="279">
        <f t="shared" si="9"/>
        <v>0</v>
      </c>
      <c r="AZ42" s="279">
        <f t="shared" si="9"/>
        <v>0</v>
      </c>
      <c r="BA42" s="279">
        <f t="shared" si="9"/>
        <v>0</v>
      </c>
      <c r="BB42" s="279">
        <f t="shared" si="9"/>
        <v>0</v>
      </c>
      <c r="BC42" s="28"/>
      <c r="BF42" s="1020" t="s">
        <v>1253</v>
      </c>
      <c r="BG42" s="1020" t="s">
        <v>1254</v>
      </c>
      <c r="BH42" s="1020" cm="1">
        <f t="array" ref="BH42">AC42</f>
        <v>0</v>
      </c>
      <c r="BI42" s="1020" cm="1">
        <f t="array" ref="BI42">AD44</f>
        <v>0</v>
      </c>
      <c r="BK42" s="1021" t="b">
        <v>1</v>
      </c>
    </row>
    <row r="43" spans="1:63" s="1229" customFormat="1" ht="16.5" hidden="1" customHeight="1">
      <c r="E43" s="676">
        <v>17</v>
      </c>
      <c r="F43" s="779" cm="1">
        <f t="array" ref="F43">F41</f>
        <v>0</v>
      </c>
      <c r="G43" s="143" t="s">
        <v>277</v>
      </c>
      <c r="H43" s="106" cm="1">
        <f t="array" ref="H43">H42</f>
        <v>0</v>
      </c>
      <c r="T43" s="698" t="b" cm="1">
        <f t="array" aca="1" ref="T43" ca="1">T42</f>
        <v>0</v>
      </c>
      <c r="X43" s="1722"/>
      <c r="Y43" s="1722"/>
      <c r="Z43" s="1722"/>
      <c r="AA43" s="1807"/>
      <c r="AB43" s="235" t="str">
        <f>AB42&amp;".1"</f>
        <v>3.0.1</v>
      </c>
      <c r="AC43" s="241" t="s">
        <v>1000</v>
      </c>
      <c r="AD43" s="1329" t="s">
        <v>243</v>
      </c>
      <c r="AE43" s="17"/>
      <c r="AF43" s="279">
        <f>IF(AF44=0,0,AF42/AF44)</f>
        <v>0</v>
      </c>
      <c r="AG43" s="279">
        <f>IF(AG44=0,0,AG42/AG44)</f>
        <v>0</v>
      </c>
      <c r="AH43" s="17"/>
      <c r="AI43" s="279">
        <f t="shared" ref="AI43:AR43" si="10">IF(AI44=0,0,AI42/AI44)</f>
        <v>0</v>
      </c>
      <c r="AJ43" s="279">
        <f t="shared" si="10"/>
        <v>0</v>
      </c>
      <c r="AK43" s="279">
        <f t="shared" si="10"/>
        <v>0</v>
      </c>
      <c r="AL43" s="279">
        <f t="shared" si="10"/>
        <v>0</v>
      </c>
      <c r="AM43" s="279">
        <f t="shared" si="10"/>
        <v>0</v>
      </c>
      <c r="AN43" s="279">
        <f t="shared" si="10"/>
        <v>0</v>
      </c>
      <c r="AO43" s="279">
        <f t="shared" si="10"/>
        <v>0</v>
      </c>
      <c r="AP43" s="279">
        <f t="shared" si="10"/>
        <v>0</v>
      </c>
      <c r="AQ43" s="279">
        <f t="shared" si="10"/>
        <v>0</v>
      </c>
      <c r="AR43" s="279">
        <f t="shared" si="10"/>
        <v>0</v>
      </c>
      <c r="AS43" s="230"/>
      <c r="AT43" s="230"/>
      <c r="AU43" s="230"/>
      <c r="AV43" s="230"/>
      <c r="AW43" s="230"/>
      <c r="AX43" s="17"/>
      <c r="AY43" s="17"/>
      <c r="AZ43" s="17"/>
      <c r="BA43" s="17"/>
      <c r="BB43" s="17"/>
      <c r="BC43" s="28"/>
      <c r="BF43" s="1020" t="s">
        <v>1255</v>
      </c>
      <c r="BG43" s="1020" t="s">
        <v>1254</v>
      </c>
      <c r="BH43" s="1020" cm="1">
        <f t="array" ref="BH43">BH42</f>
        <v>0</v>
      </c>
      <c r="BI43" s="1020" cm="1">
        <f t="array" ref="BI43">BI42</f>
        <v>0</v>
      </c>
      <c r="BJ43" s="1021"/>
      <c r="BK43" s="1021"/>
    </row>
    <row r="44" spans="1:63" ht="16.5" hidden="1" customHeight="1">
      <c r="A44" s="927" t="str">
        <f ca="1">"checkVolume_3."&amp;F44&amp;"."&amp;Y42</f>
        <v>checkVolume_3.0.0</v>
      </c>
      <c r="E44" s="676">
        <v>17</v>
      </c>
      <c r="F44" s="779" cm="1">
        <f t="array" aca="1" ref="F44" ca="1">F42</f>
        <v>0</v>
      </c>
      <c r="G44" s="143" t="s">
        <v>277</v>
      </c>
      <c r="H44" s="106" cm="1">
        <f t="array" ref="H44">H42</f>
        <v>0</v>
      </c>
      <c r="T44" s="698" t="b" cm="1">
        <f t="array" aca="1" ref="T44" ca="1">T42</f>
        <v>0</v>
      </c>
      <c r="X44" s="1687"/>
      <c r="Y44" s="1687"/>
      <c r="Z44" s="1687"/>
      <c r="AA44" s="1806"/>
      <c r="AB44" s="235" t="str">
        <f>AB42&amp;".2"</f>
        <v>3.0.2</v>
      </c>
      <c r="AC44" s="241" t="s">
        <v>1240</v>
      </c>
      <c r="AD44" s="1329"/>
      <c r="AE44" s="17"/>
      <c r="AF44" s="17"/>
      <c r="AG44" s="17"/>
      <c r="AH44" s="17"/>
      <c r="AI44" s="230"/>
      <c r="AJ44" s="230"/>
      <c r="AK44" s="230"/>
      <c r="AL44" s="230"/>
      <c r="AM44" s="230"/>
      <c r="AN44" s="17"/>
      <c r="AO44" s="17"/>
      <c r="AP44" s="17"/>
      <c r="AQ44" s="17"/>
      <c r="AR44" s="17"/>
      <c r="AS44" s="230"/>
      <c r="AT44" s="230"/>
      <c r="AU44" s="230"/>
      <c r="AV44" s="230"/>
      <c r="AW44" s="230"/>
      <c r="AX44" s="17"/>
      <c r="AY44" s="17"/>
      <c r="AZ44" s="17"/>
      <c r="BA44" s="17"/>
      <c r="BB44" s="17"/>
      <c r="BC44" s="28"/>
      <c r="BF44" s="1020" t="s">
        <v>1256</v>
      </c>
      <c r="BG44" s="1020" t="s">
        <v>1254</v>
      </c>
      <c r="BH44" s="1020" cm="1">
        <f t="array" ref="BH44">BH42</f>
        <v>0</v>
      </c>
      <c r="BI44" s="1020" cm="1">
        <f t="array" ref="BI44">BI42</f>
        <v>0</v>
      </c>
    </row>
    <row r="45" spans="1:63" ht="16.5" hidden="1" customHeight="1">
      <c r="E45" s="676">
        <v>17</v>
      </c>
      <c r="F45" s="779" cm="1">
        <f t="array" ref="F45">F41</f>
        <v>0</v>
      </c>
      <c r="G45" s="143" t="str">
        <f>F45&amp;"pIns5"</f>
        <v>0pIns5</v>
      </c>
      <c r="T45" s="698" t="b">
        <f>F45&gt;0</f>
        <v>0</v>
      </c>
      <c r="W45" s="318" t="s">
        <v>1257</v>
      </c>
      <c r="X45" s="1687"/>
      <c r="Z45" s="1687"/>
      <c r="AB45" s="249"/>
      <c r="AC45" s="250" t="s">
        <v>1036</v>
      </c>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909"/>
      <c r="BJ45" s="1021" t="s">
        <v>1254</v>
      </c>
    </row>
    <row r="46" spans="1:63" s="1229" customFormat="1" ht="10.5" customHeight="1">
      <c r="A46" s="1152"/>
      <c r="B46" s="783"/>
      <c r="C46" s="1152"/>
      <c r="D46" s="1152"/>
      <c r="E46" s="676">
        <v>11.4</v>
      </c>
      <c r="F46" s="779" t="str" cm="1">
        <f t="array" ref="F46">X46</f>
        <v>1</v>
      </c>
      <c r="G46" s="143" t="s">
        <v>1237</v>
      </c>
      <c r="H46" s="1156"/>
      <c r="I46" s="1156"/>
      <c r="J46" s="1156"/>
      <c r="K46" s="1156"/>
      <c r="L46" s="1156"/>
      <c r="M46" s="1156"/>
      <c r="N46" s="1156"/>
      <c r="O46" s="1156"/>
      <c r="P46" s="1156"/>
      <c r="Q46" s="143"/>
      <c r="R46" s="143"/>
      <c r="S46" s="1156"/>
      <c r="T46" s="698" t="b">
        <f>X46&gt;0</f>
        <v>1</v>
      </c>
      <c r="U46" s="1155"/>
      <c r="V46" s="126" t="str" cm="1">
        <f t="array" ref="V46">Аренда!$AB$39</f>
        <v>Тариф 1 (Теплоснабжение) - Тариф на тепловую энергию (мощность), поставляемую потребителям (Не определено)</v>
      </c>
      <c r="W46" s="1155"/>
      <c r="X46" s="1687" t="s">
        <v>341</v>
      </c>
      <c r="Y46" s="1155"/>
      <c r="Z46" s="1687"/>
      <c r="AA46" s="173"/>
      <c r="AB46" s="237" t="str" cm="1">
        <f t="array" ref="AB46">IF(ISBLANK(Аренда!$AB$39),"",Аренда!$AB$39)</f>
        <v>Тариф 1 (Теплоснабжение) - Тариф на тепловую энергию (мощность), поставляемую потребителям (Не определено)</v>
      </c>
      <c r="AC46" s="210"/>
      <c r="AD46" s="210"/>
      <c r="AE46" s="321">
        <f t="shared" ref="AE46:BB46" si="11">AE47+AE56+AE65</f>
        <v>0</v>
      </c>
      <c r="AF46" s="321">
        <f t="shared" si="11"/>
        <v>0</v>
      </c>
      <c r="AG46" s="321">
        <f t="shared" si="11"/>
        <v>0</v>
      </c>
      <c r="AH46" s="321">
        <f t="shared" si="11"/>
        <v>6776.9999970799954</v>
      </c>
      <c r="AI46" s="321">
        <f t="shared" si="11"/>
        <v>0</v>
      </c>
      <c r="AJ46" s="321">
        <f t="shared" si="11"/>
        <v>0</v>
      </c>
      <c r="AK46" s="321">
        <f t="shared" si="11"/>
        <v>0</v>
      </c>
      <c r="AL46" s="321">
        <f t="shared" si="11"/>
        <v>0</v>
      </c>
      <c r="AM46" s="321">
        <f t="shared" si="11"/>
        <v>0</v>
      </c>
      <c r="AN46" s="321">
        <f t="shared" si="11"/>
        <v>0</v>
      </c>
      <c r="AO46" s="321">
        <f t="shared" si="11"/>
        <v>0</v>
      </c>
      <c r="AP46" s="321">
        <f t="shared" si="11"/>
        <v>0</v>
      </c>
      <c r="AQ46" s="321">
        <f t="shared" si="11"/>
        <v>0</v>
      </c>
      <c r="AR46" s="321">
        <f t="shared" si="11"/>
        <v>0</v>
      </c>
      <c r="AS46" s="321">
        <f t="shared" si="11"/>
        <v>9469.6144035199995</v>
      </c>
      <c r="AT46" s="321">
        <f t="shared" si="11"/>
        <v>0</v>
      </c>
      <c r="AU46" s="321">
        <f t="shared" si="11"/>
        <v>0</v>
      </c>
      <c r="AV46" s="321">
        <f t="shared" si="11"/>
        <v>0</v>
      </c>
      <c r="AW46" s="321">
        <f t="shared" si="11"/>
        <v>0</v>
      </c>
      <c r="AX46" s="321">
        <f t="shared" si="11"/>
        <v>0</v>
      </c>
      <c r="AY46" s="321">
        <f t="shared" si="11"/>
        <v>0</v>
      </c>
      <c r="AZ46" s="321">
        <f t="shared" si="11"/>
        <v>0</v>
      </c>
      <c r="BA46" s="321">
        <f t="shared" si="11"/>
        <v>0</v>
      </c>
      <c r="BB46" s="321">
        <f t="shared" si="11"/>
        <v>0</v>
      </c>
      <c r="BC46" s="239"/>
      <c r="BD46" s="173"/>
      <c r="BE46" s="173"/>
      <c r="BF46" s="1020"/>
      <c r="BG46" s="1020"/>
      <c r="BH46" s="1020"/>
      <c r="BI46" s="1020"/>
      <c r="BJ46" s="1021"/>
      <c r="BK46" s="1021"/>
    </row>
    <row r="47" spans="1:63" s="1229" customFormat="1" ht="10.5" customHeight="1">
      <c r="A47" s="1152"/>
      <c r="B47" s="783"/>
      <c r="C47" s="1152"/>
      <c r="D47" s="1152"/>
      <c r="E47" s="676">
        <v>11.4</v>
      </c>
      <c r="F47" s="779" t="str" cm="1">
        <f t="array" ref="F47">F46</f>
        <v>1</v>
      </c>
      <c r="G47" s="143" t="s">
        <v>479</v>
      </c>
      <c r="H47" s="1156"/>
      <c r="I47" s="1156"/>
      <c r="J47" s="1156"/>
      <c r="K47" s="1156"/>
      <c r="L47" s="1156"/>
      <c r="M47" s="1156"/>
      <c r="N47" s="1156"/>
      <c r="O47" s="1156"/>
      <c r="P47" s="1156"/>
      <c r="Q47" s="143"/>
      <c r="R47" s="143"/>
      <c r="S47" s="1156"/>
      <c r="T47" s="698" t="b" cm="1">
        <f t="array" ref="T47">T46</f>
        <v>1</v>
      </c>
      <c r="U47" s="1155"/>
      <c r="V47" s="1155"/>
      <c r="W47" s="1155"/>
      <c r="X47" s="1687"/>
      <c r="Y47" s="1155"/>
      <c r="Z47" s="1687"/>
      <c r="AA47" s="173"/>
      <c r="AB47" s="233">
        <v>1</v>
      </c>
      <c r="AC47" s="228" t="s">
        <v>1238</v>
      </c>
      <c r="AD47" s="227" t="s">
        <v>839</v>
      </c>
      <c r="AE47" s="229">
        <f t="shared" ref="AE47:BB47" si="12">SUMIF($AD48:$AD55,$AD47,AE48:AE55)</f>
        <v>0</v>
      </c>
      <c r="AF47" s="229">
        <f t="shared" si="12"/>
        <v>0</v>
      </c>
      <c r="AG47" s="229">
        <f t="shared" si="12"/>
        <v>0</v>
      </c>
      <c r="AH47" s="229">
        <f t="shared" si="12"/>
        <v>1471.9999970800002</v>
      </c>
      <c r="AI47" s="229">
        <f t="shared" si="12"/>
        <v>0</v>
      </c>
      <c r="AJ47" s="242">
        <f t="shared" si="12"/>
        <v>0</v>
      </c>
      <c r="AK47" s="242">
        <f t="shared" si="12"/>
        <v>0</v>
      </c>
      <c r="AL47" s="242">
        <f t="shared" si="12"/>
        <v>0</v>
      </c>
      <c r="AM47" s="242">
        <f t="shared" si="12"/>
        <v>0</v>
      </c>
      <c r="AN47" s="1320">
        <f t="shared" si="12"/>
        <v>0</v>
      </c>
      <c r="AO47" s="1320">
        <f t="shared" si="12"/>
        <v>0</v>
      </c>
      <c r="AP47" s="1320">
        <f t="shared" si="12"/>
        <v>0</v>
      </c>
      <c r="AQ47" s="1320">
        <f t="shared" si="12"/>
        <v>0</v>
      </c>
      <c r="AR47" s="1320">
        <f t="shared" si="12"/>
        <v>0</v>
      </c>
      <c r="AS47" s="229">
        <f t="shared" si="12"/>
        <v>1508.80000352</v>
      </c>
      <c r="AT47" s="242">
        <f t="shared" si="12"/>
        <v>0</v>
      </c>
      <c r="AU47" s="242">
        <f t="shared" si="12"/>
        <v>0</v>
      </c>
      <c r="AV47" s="242">
        <f t="shared" si="12"/>
        <v>0</v>
      </c>
      <c r="AW47" s="242">
        <f t="shared" si="12"/>
        <v>0</v>
      </c>
      <c r="AX47" s="1320">
        <f t="shared" si="12"/>
        <v>0</v>
      </c>
      <c r="AY47" s="1320">
        <f t="shared" si="12"/>
        <v>0</v>
      </c>
      <c r="AZ47" s="1320">
        <f t="shared" si="12"/>
        <v>0</v>
      </c>
      <c r="BA47" s="1320">
        <f t="shared" si="12"/>
        <v>0</v>
      </c>
      <c r="BB47" s="1320">
        <f t="shared" si="12"/>
        <v>0</v>
      </c>
      <c r="BC47" s="1290"/>
      <c r="BD47" s="173"/>
      <c r="BE47" s="173"/>
      <c r="BF47" s="1020" t="s">
        <v>1063</v>
      </c>
      <c r="BG47" s="1020"/>
      <c r="BH47" s="1020"/>
      <c r="BI47" s="1020"/>
      <c r="BJ47" s="1021"/>
      <c r="BK47" s="1021"/>
    </row>
    <row r="48" spans="1:63" s="1229" customFormat="1" ht="0" hidden="1" customHeight="1">
      <c r="A48" s="1152"/>
      <c r="B48" s="783"/>
      <c r="C48" s="1152"/>
      <c r="D48" s="1152"/>
      <c r="E48" s="676">
        <v>0.2</v>
      </c>
      <c r="F48" s="779" t="str" cm="1">
        <f t="array" ref="F48">F47</f>
        <v>1</v>
      </c>
      <c r="G48" s="1156"/>
      <c r="H48" s="1156"/>
      <c r="I48" s="1156"/>
      <c r="J48" s="1156"/>
      <c r="K48" s="1156"/>
      <c r="L48" s="1156"/>
      <c r="M48" s="1156"/>
      <c r="N48" s="1156"/>
      <c r="O48" s="1156"/>
      <c r="P48" s="1156"/>
      <c r="Q48" s="143"/>
      <c r="R48" s="143"/>
      <c r="S48" s="1156"/>
      <c r="T48" s="698" t="b">
        <v>0</v>
      </c>
      <c r="U48" s="1155"/>
      <c r="V48" s="1155"/>
      <c r="W48" s="1155"/>
      <c r="X48" s="1687"/>
      <c r="Y48" s="1155"/>
      <c r="Z48" s="1687"/>
      <c r="AA48" s="173"/>
      <c r="AB48" s="233"/>
      <c r="AC48" s="228"/>
      <c r="AD48" s="227"/>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40"/>
      <c r="BD48" s="173"/>
      <c r="BE48" s="173"/>
      <c r="BF48" s="1020" t="str">
        <f>IF(AND(ISNUMBER(VALUE(TRIM(SUBSTITUTE(AB48,".","")))),TRIM(SUBSTITUTE(AB48,".",""))&lt;&gt;""),"P"&amp;SUBSTITUTE(AB48,".",""),"")</f>
        <v/>
      </c>
      <c r="BG48" s="1020"/>
      <c r="BH48" s="1020"/>
      <c r="BI48" s="1020"/>
      <c r="BJ48" s="1021"/>
      <c r="BK48" s="1021"/>
    </row>
    <row r="49" spans="1:63" s="1229" customFormat="1" ht="17.25" hidden="1" customHeight="1">
      <c r="A49" s="927" t="str">
        <f ca="1">"checkCosts_1."&amp;F49&amp;"."&amp;Y49</f>
        <v>checkCosts_1.1.0</v>
      </c>
      <c r="E49" s="676">
        <v>18</v>
      </c>
      <c r="F49" s="779" t="str" cm="1">
        <f t="array" aca="1" ref="F49" ca="1">OFFSET(G49,-1,-1)</f>
        <v>1</v>
      </c>
      <c r="G49" s="143" t="s">
        <v>479</v>
      </c>
      <c r="H49" s="106" cm="1">
        <f t="array" ref="H49">AC49</f>
        <v>0</v>
      </c>
      <c r="T49" s="698" t="b">
        <f ca="1">AND(F49&gt;0,Y49&gt;0)</f>
        <v>0</v>
      </c>
      <c r="W49" s="110" t="s">
        <v>236</v>
      </c>
      <c r="X49" s="1722"/>
      <c r="Y49" s="1687">
        <v>0</v>
      </c>
      <c r="Z49" s="1722"/>
      <c r="AA49" s="1806" t="s">
        <v>218</v>
      </c>
      <c r="AB49" s="235" t="str">
        <f>"1."&amp;Y49</f>
        <v>1.0</v>
      </c>
      <c r="AC49" s="396"/>
      <c r="AD49" s="227" t="s">
        <v>839</v>
      </c>
      <c r="AE49" s="279">
        <f>AE50*AE51/1000</f>
        <v>0</v>
      </c>
      <c r="AF49" s="17"/>
      <c r="AG49" s="17"/>
      <c r="AH49" s="279">
        <f>AH50*AH51/1000</f>
        <v>0</v>
      </c>
      <c r="AI49" s="230"/>
      <c r="AJ49" s="230"/>
      <c r="AK49" s="230"/>
      <c r="AL49" s="230"/>
      <c r="AM49" s="230"/>
      <c r="AN49" s="17"/>
      <c r="AO49" s="17"/>
      <c r="AP49" s="17"/>
      <c r="AQ49" s="17"/>
      <c r="AR49" s="17"/>
      <c r="AS49" s="279">
        <f t="shared" ref="AS49:BB49" si="13">AS50*AS51/1000</f>
        <v>0</v>
      </c>
      <c r="AT49" s="279">
        <f t="shared" si="13"/>
        <v>0</v>
      </c>
      <c r="AU49" s="279">
        <f t="shared" si="13"/>
        <v>0</v>
      </c>
      <c r="AV49" s="279">
        <f t="shared" si="13"/>
        <v>0</v>
      </c>
      <c r="AW49" s="279">
        <f t="shared" si="13"/>
        <v>0</v>
      </c>
      <c r="AX49" s="279">
        <f t="shared" si="13"/>
        <v>0</v>
      </c>
      <c r="AY49" s="279">
        <f t="shared" si="13"/>
        <v>0</v>
      </c>
      <c r="AZ49" s="279">
        <f t="shared" si="13"/>
        <v>0</v>
      </c>
      <c r="BA49" s="279">
        <f t="shared" si="13"/>
        <v>0</v>
      </c>
      <c r="BB49" s="279">
        <f t="shared" si="13"/>
        <v>0</v>
      </c>
      <c r="BC49" s="28"/>
      <c r="BF49" s="1020" t="s">
        <v>1064</v>
      </c>
      <c r="BG49" s="1020" t="s">
        <v>1239</v>
      </c>
      <c r="BH49" s="1020" cm="1">
        <f t="array" ref="BH49">AC49</f>
        <v>0</v>
      </c>
      <c r="BI49" s="1330" t="str" cm="1">
        <f t="array" ref="BI49">AD51</f>
        <v>Гкал</v>
      </c>
      <c r="BJ49" s="1021"/>
      <c r="BK49" s="1021" t="b">
        <v>1</v>
      </c>
    </row>
    <row r="50" spans="1:63" s="1229" customFormat="1" ht="16.5" hidden="1" customHeight="1">
      <c r="E50" s="676">
        <v>17</v>
      </c>
      <c r="F50" s="779" t="str" cm="1">
        <f t="array" ref="F50">F48</f>
        <v>1</v>
      </c>
      <c r="G50" s="143" t="s">
        <v>191</v>
      </c>
      <c r="H50" s="106" cm="1">
        <f t="array" ref="H50">H49</f>
        <v>0</v>
      </c>
      <c r="T50" s="698" t="b" cm="1">
        <f t="array" aca="1" ref="T50" ca="1">T49</f>
        <v>0</v>
      </c>
      <c r="X50" s="1722"/>
      <c r="Y50" s="1722"/>
      <c r="Z50" s="1722"/>
      <c r="AA50" s="1807"/>
      <c r="AB50" s="235" t="str">
        <f>AB49&amp;".1"</f>
        <v>1.0.1</v>
      </c>
      <c r="AC50" s="241" t="s">
        <v>1000</v>
      </c>
      <c r="AD50" s="1331" t="s">
        <v>243</v>
      </c>
      <c r="AE50" s="17"/>
      <c r="AF50" s="279">
        <f>IF(AF51=0,0,AF49/AF51)*1000</f>
        <v>0</v>
      </c>
      <c r="AG50" s="279">
        <f>IF(AG51=0,0,AG49/AG51)*1000</f>
        <v>0</v>
      </c>
      <c r="AH50" s="17"/>
      <c r="AI50" s="279">
        <f t="shared" ref="AI50:AR50" si="14">IF(AI51=0,0,AI49/AI51)*1000</f>
        <v>0</v>
      </c>
      <c r="AJ50" s="279">
        <f t="shared" si="14"/>
        <v>0</v>
      </c>
      <c r="AK50" s="279">
        <f t="shared" si="14"/>
        <v>0</v>
      </c>
      <c r="AL50" s="279">
        <f t="shared" si="14"/>
        <v>0</v>
      </c>
      <c r="AM50" s="279">
        <f t="shared" si="14"/>
        <v>0</v>
      </c>
      <c r="AN50" s="279">
        <f t="shared" si="14"/>
        <v>0</v>
      </c>
      <c r="AO50" s="279">
        <f t="shared" si="14"/>
        <v>0</v>
      </c>
      <c r="AP50" s="279">
        <f t="shared" si="14"/>
        <v>0</v>
      </c>
      <c r="AQ50" s="279">
        <f t="shared" si="14"/>
        <v>0</v>
      </c>
      <c r="AR50" s="279">
        <f t="shared" si="14"/>
        <v>0</v>
      </c>
      <c r="AS50" s="230"/>
      <c r="AT50" s="230"/>
      <c r="AU50" s="230"/>
      <c r="AV50" s="230"/>
      <c r="AW50" s="230"/>
      <c r="AX50" s="17"/>
      <c r="AY50" s="17"/>
      <c r="AZ50" s="17"/>
      <c r="BA50" s="17"/>
      <c r="BB50" s="17"/>
      <c r="BC50" s="28"/>
      <c r="BF50" s="1020" t="s">
        <v>1066</v>
      </c>
      <c r="BG50" s="1020" t="s">
        <v>1239</v>
      </c>
      <c r="BH50" s="1020" cm="1">
        <f t="array" ref="BH50">BH49</f>
        <v>0</v>
      </c>
      <c r="BI50" s="1020" t="str" cm="1">
        <f t="array" ref="BI50">BI49</f>
        <v>Гкал</v>
      </c>
      <c r="BJ50" s="1021"/>
      <c r="BK50" s="1021"/>
    </row>
    <row r="51" spans="1:63" s="1229" customFormat="1" ht="16.5" hidden="1" customHeight="1">
      <c r="A51" s="927" t="str">
        <f ca="1">"checkVolume_1."&amp;F51&amp;"."&amp;Y49</f>
        <v>checkVolume_1.1.0</v>
      </c>
      <c r="E51" s="676">
        <v>17</v>
      </c>
      <c r="F51" s="779" t="str" cm="1">
        <f t="array" aca="1" ref="F51" ca="1">F49</f>
        <v>1</v>
      </c>
      <c r="G51" s="143" t="s">
        <v>191</v>
      </c>
      <c r="H51" s="106" cm="1">
        <f t="array" ref="H51">H49</f>
        <v>0</v>
      </c>
      <c r="T51" s="698" t="b" cm="1">
        <f t="array" aca="1" ref="T51" ca="1">T49</f>
        <v>0</v>
      </c>
      <c r="X51" s="1722"/>
      <c r="Y51" s="1722"/>
      <c r="Z51" s="1722"/>
      <c r="AA51" s="1806"/>
      <c r="AB51" s="235" t="str">
        <f>AB49&amp;".2"</f>
        <v>1.0.2</v>
      </c>
      <c r="AC51" s="241" t="s">
        <v>1240</v>
      </c>
      <c r="AD51" s="1331" t="s">
        <v>634</v>
      </c>
      <c r="AE51" s="17"/>
      <c r="AF51" s="17"/>
      <c r="AG51" s="17"/>
      <c r="AH51" s="17"/>
      <c r="AI51" s="230"/>
      <c r="AJ51" s="230"/>
      <c r="AK51" s="230"/>
      <c r="AL51" s="230"/>
      <c r="AM51" s="230"/>
      <c r="AN51" s="17"/>
      <c r="AO51" s="17"/>
      <c r="AP51" s="17"/>
      <c r="AQ51" s="17"/>
      <c r="AR51" s="17"/>
      <c r="AS51" s="230"/>
      <c r="AT51" s="230"/>
      <c r="AU51" s="230"/>
      <c r="AV51" s="230"/>
      <c r="AW51" s="230"/>
      <c r="AX51" s="17"/>
      <c r="AY51" s="17"/>
      <c r="AZ51" s="17"/>
      <c r="BA51" s="17"/>
      <c r="BB51" s="17"/>
      <c r="BC51" s="28"/>
      <c r="BF51" s="1020" t="s">
        <v>1068</v>
      </c>
      <c r="BG51" s="1020" t="s">
        <v>1239</v>
      </c>
      <c r="BH51" s="1020" cm="1">
        <f t="array" ref="BH51">BH49</f>
        <v>0</v>
      </c>
      <c r="BI51" s="1330" t="str" cm="1">
        <f t="array" ref="BI51">BI49</f>
        <v>Гкал</v>
      </c>
      <c r="BJ51" s="1021"/>
      <c r="BK51" s="1021"/>
    </row>
    <row r="52" spans="1:63" s="1229" customFormat="1" ht="17.25" customHeight="1">
      <c r="A52" s="927" t="str">
        <f ca="1">"checkCosts_1."&amp;F52&amp;"."&amp;Y52</f>
        <v>checkCosts_1.1.1</v>
      </c>
      <c r="E52" s="676">
        <v>18</v>
      </c>
      <c r="F52" s="779" t="str" cm="1">
        <f t="array" aca="1" ref="F52" ca="1">OFFSET(G52,-1,-1)</f>
        <v>1</v>
      </c>
      <c r="G52" s="143" t="s">
        <v>479</v>
      </c>
      <c r="H52" s="106" t="str" cm="1">
        <f t="array" ref="H52">AC52</f>
        <v>ООО "СЭР"::4213011759::421301001</v>
      </c>
      <c r="T52" s="698" t="b">
        <f ca="1">AND(F52&gt;0,Y52&gt;0)</f>
        <v>1</v>
      </c>
      <c r="W52" s="110"/>
      <c r="X52" s="1722"/>
      <c r="Y52" s="1687" t="s">
        <v>341</v>
      </c>
      <c r="Z52" s="1722"/>
      <c r="AA52" s="1806" t="s">
        <v>218</v>
      </c>
      <c r="AB52" s="235" t="str">
        <f>"1."&amp;Y52</f>
        <v>1.1</v>
      </c>
      <c r="AC52" s="396" t="s">
        <v>1258</v>
      </c>
      <c r="AD52" s="227" t="s">
        <v>839</v>
      </c>
      <c r="AE52" s="279">
        <f>AE53*AE54/1000</f>
        <v>0</v>
      </c>
      <c r="AF52" s="1249"/>
      <c r="AG52" s="1249"/>
      <c r="AH52" s="279">
        <f>AH53*AH54/1000</f>
        <v>1471.9999970800002</v>
      </c>
      <c r="AI52" s="230"/>
      <c r="AJ52" s="230"/>
      <c r="AK52" s="230"/>
      <c r="AL52" s="230"/>
      <c r="AM52" s="230"/>
      <c r="AN52" s="1249"/>
      <c r="AO52" s="1249"/>
      <c r="AP52" s="1249"/>
      <c r="AQ52" s="1249"/>
      <c r="AR52" s="1249"/>
      <c r="AS52" s="279">
        <f t="shared" ref="AS52:BB52" si="15">AS53*AS54/1000</f>
        <v>1508.80000352</v>
      </c>
      <c r="AT52" s="279">
        <f t="shared" si="15"/>
        <v>0</v>
      </c>
      <c r="AU52" s="279">
        <f t="shared" si="15"/>
        <v>0</v>
      </c>
      <c r="AV52" s="279">
        <f t="shared" si="15"/>
        <v>0</v>
      </c>
      <c r="AW52" s="279">
        <f t="shared" si="15"/>
        <v>0</v>
      </c>
      <c r="AX52" s="279">
        <f t="shared" si="15"/>
        <v>0</v>
      </c>
      <c r="AY52" s="279">
        <f t="shared" si="15"/>
        <v>0</v>
      </c>
      <c r="AZ52" s="279">
        <f t="shared" si="15"/>
        <v>0</v>
      </c>
      <c r="BA52" s="279">
        <f t="shared" si="15"/>
        <v>0</v>
      </c>
      <c r="BB52" s="279">
        <f t="shared" si="15"/>
        <v>0</v>
      </c>
      <c r="BC52" s="1290"/>
      <c r="BF52" s="1020" t="s">
        <v>1064</v>
      </c>
      <c r="BG52" s="1020" t="s">
        <v>1239</v>
      </c>
      <c r="BH52" s="1020" t="str" cm="1">
        <f t="array" ref="BH52">AC52</f>
        <v>ООО "СЭР"::4213011759::421301001</v>
      </c>
      <c r="BI52" s="1330" t="str" cm="1">
        <f t="array" ref="BI52">AD54</f>
        <v>Гкал</v>
      </c>
      <c r="BJ52" s="1021"/>
      <c r="BK52" s="1021" t="b">
        <v>1</v>
      </c>
    </row>
    <row r="53" spans="1:63" s="1229" customFormat="1" ht="16.5" customHeight="1">
      <c r="E53" s="676">
        <v>17</v>
      </c>
      <c r="F53" s="779" t="str" cm="1">
        <f t="array" aca="1" ref="F53" ca="1">F51</f>
        <v>1</v>
      </c>
      <c r="G53" s="143" t="s">
        <v>191</v>
      </c>
      <c r="H53" s="106" t="str" cm="1">
        <f t="array" ref="H53">H52</f>
        <v>ООО "СЭР"::4213011759::421301001</v>
      </c>
      <c r="T53" s="698" t="b" cm="1">
        <f t="array" aca="1" ref="T53" ca="1">T52</f>
        <v>1</v>
      </c>
      <c r="X53" s="1722"/>
      <c r="Y53" s="1722"/>
      <c r="Z53" s="1722"/>
      <c r="AA53" s="1807"/>
      <c r="AB53" s="235" t="str">
        <f>AB52&amp;".1"</f>
        <v>1.1.1</v>
      </c>
      <c r="AC53" s="241" t="s">
        <v>1000</v>
      </c>
      <c r="AD53" s="1332" t="s">
        <v>929</v>
      </c>
      <c r="AE53" s="1249"/>
      <c r="AF53" s="279">
        <f>IF(AF54=0,0,AF52/AF54)*1000</f>
        <v>0</v>
      </c>
      <c r="AG53" s="279">
        <f>IF(AG54=0,0,AG52/AG54)*1000</f>
        <v>0</v>
      </c>
      <c r="AH53" s="1249">
        <v>2203.5928100000001</v>
      </c>
      <c r="AI53" s="279">
        <f t="shared" ref="AI53:AR53" si="16">IF(AI54=0,0,AI52/AI54)*1000</f>
        <v>0</v>
      </c>
      <c r="AJ53" s="279">
        <f t="shared" si="16"/>
        <v>0</v>
      </c>
      <c r="AK53" s="279">
        <f t="shared" si="16"/>
        <v>0</v>
      </c>
      <c r="AL53" s="279">
        <f t="shared" si="16"/>
        <v>0</v>
      </c>
      <c r="AM53" s="279">
        <f t="shared" si="16"/>
        <v>0</v>
      </c>
      <c r="AN53" s="279">
        <f t="shared" si="16"/>
        <v>0</v>
      </c>
      <c r="AO53" s="279">
        <f t="shared" si="16"/>
        <v>0</v>
      </c>
      <c r="AP53" s="279">
        <f t="shared" si="16"/>
        <v>0</v>
      </c>
      <c r="AQ53" s="279">
        <f t="shared" si="16"/>
        <v>0</v>
      </c>
      <c r="AR53" s="279">
        <f t="shared" si="16"/>
        <v>0</v>
      </c>
      <c r="AS53" s="230">
        <v>2258.68264</v>
      </c>
      <c r="AT53" s="230"/>
      <c r="AU53" s="230"/>
      <c r="AV53" s="230"/>
      <c r="AW53" s="230"/>
      <c r="AX53" s="1249"/>
      <c r="AY53" s="1249"/>
      <c r="AZ53" s="1249"/>
      <c r="BA53" s="1249"/>
      <c r="BB53" s="1249"/>
      <c r="BC53" s="1290"/>
      <c r="BF53" s="1020" t="s">
        <v>1066</v>
      </c>
      <c r="BG53" s="1020" t="s">
        <v>1239</v>
      </c>
      <c r="BH53" s="1020" t="str" cm="1">
        <f t="array" ref="BH53">BH52</f>
        <v>ООО "СЭР"::4213011759::421301001</v>
      </c>
      <c r="BI53" s="1020" t="str" cm="1">
        <f t="array" ref="BI53">BI52</f>
        <v>Гкал</v>
      </c>
      <c r="BJ53" s="1021"/>
      <c r="BK53" s="1021"/>
    </row>
    <row r="54" spans="1:63" s="1229" customFormat="1" ht="16.5" customHeight="1">
      <c r="A54" s="927" t="str">
        <f ca="1">"checkVolume_1."&amp;F54&amp;"."&amp;Y52</f>
        <v>checkVolume_1.1.1</v>
      </c>
      <c r="E54" s="676">
        <v>17</v>
      </c>
      <c r="F54" s="779" t="str" cm="1">
        <f t="array" aca="1" ref="F54" ca="1">F52</f>
        <v>1</v>
      </c>
      <c r="G54" s="143" t="s">
        <v>191</v>
      </c>
      <c r="H54" s="106" t="str" cm="1">
        <f t="array" ref="H54">H52</f>
        <v>ООО "СЭР"::4213011759::421301001</v>
      </c>
      <c r="T54" s="698" t="b" cm="1">
        <f t="array" aca="1" ref="T54" ca="1">T52</f>
        <v>1</v>
      </c>
      <c r="X54" s="1722"/>
      <c r="Y54" s="1722"/>
      <c r="Z54" s="1722"/>
      <c r="AA54" s="1806"/>
      <c r="AB54" s="235" t="str">
        <f>AB52&amp;".2"</f>
        <v>1.1.2</v>
      </c>
      <c r="AC54" s="241" t="s">
        <v>1240</v>
      </c>
      <c r="AD54" s="1332" t="s">
        <v>634</v>
      </c>
      <c r="AE54" s="1249"/>
      <c r="AF54" s="1249"/>
      <c r="AG54" s="1249"/>
      <c r="AH54" s="1249">
        <v>668</v>
      </c>
      <c r="AI54" s="230"/>
      <c r="AJ54" s="230"/>
      <c r="AK54" s="230"/>
      <c r="AL54" s="230"/>
      <c r="AM54" s="230"/>
      <c r="AN54" s="1249"/>
      <c r="AO54" s="1249"/>
      <c r="AP54" s="1249"/>
      <c r="AQ54" s="1249"/>
      <c r="AR54" s="1249"/>
      <c r="AS54" s="230">
        <v>668</v>
      </c>
      <c r="AT54" s="230"/>
      <c r="AU54" s="230"/>
      <c r="AV54" s="230"/>
      <c r="AW54" s="230"/>
      <c r="AX54" s="1249"/>
      <c r="AY54" s="1249"/>
      <c r="AZ54" s="1249"/>
      <c r="BA54" s="1249"/>
      <c r="BB54" s="1249"/>
      <c r="BC54" s="1290"/>
      <c r="BF54" s="1020" t="s">
        <v>1068</v>
      </c>
      <c r="BG54" s="1020" t="s">
        <v>1239</v>
      </c>
      <c r="BH54" s="1020" t="str" cm="1">
        <f t="array" ref="BH54">BH52</f>
        <v>ООО "СЭР"::4213011759::421301001</v>
      </c>
      <c r="BI54" s="1330" t="str" cm="1">
        <f t="array" ref="BI54">BI52</f>
        <v>Гкал</v>
      </c>
      <c r="BJ54" s="1021"/>
      <c r="BK54" s="1021"/>
    </row>
    <row r="55" spans="1:63" s="1229" customFormat="1" ht="16.5" customHeight="1">
      <c r="A55" s="1152"/>
      <c r="B55" s="783"/>
      <c r="C55" s="1152"/>
      <c r="D55" s="1152"/>
      <c r="E55" s="676">
        <v>17</v>
      </c>
      <c r="F55" s="779" t="str" cm="1">
        <f t="array" ref="F55">F48</f>
        <v>1</v>
      </c>
      <c r="G55" s="143" t="str">
        <f>F55&amp;"pIns3"</f>
        <v>1pIns3</v>
      </c>
      <c r="H55" s="1156"/>
      <c r="I55" s="1156"/>
      <c r="J55" s="1156"/>
      <c r="K55" s="1156"/>
      <c r="L55" s="1156"/>
      <c r="M55" s="1156"/>
      <c r="N55" s="1156"/>
      <c r="O55" s="1156"/>
      <c r="P55" s="1156"/>
      <c r="Q55" s="143"/>
      <c r="R55" s="143"/>
      <c r="S55" s="1156"/>
      <c r="T55" s="698" t="b">
        <f>F55&gt;0</f>
        <v>1</v>
      </c>
      <c r="U55" s="1155"/>
      <c r="V55" s="1155"/>
      <c r="W55" s="318" t="s">
        <v>1241</v>
      </c>
      <c r="X55" s="1687"/>
      <c r="Y55" s="1155"/>
      <c r="Z55" s="1687"/>
      <c r="AA55" s="173"/>
      <c r="AB55" s="249"/>
      <c r="AC55" s="250" t="s">
        <v>1036</v>
      </c>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909"/>
      <c r="BD55" s="173"/>
      <c r="BE55" s="173"/>
      <c r="BF55" s="1020" t="str">
        <f>IF(AND(ISNUMBER(VALUE(TRIM(SUBSTITUTE(AB55,".","")))),TRIM(SUBSTITUTE(AB55,".",""))&lt;&gt;""),"P"&amp;SUBSTITUTE(AB55,".",""),"")</f>
        <v/>
      </c>
      <c r="BG55" s="1020"/>
      <c r="BH55" s="1020"/>
      <c r="BI55" s="1020"/>
      <c r="BJ55" s="1021" t="s">
        <v>1239</v>
      </c>
      <c r="BK55" s="1021"/>
    </row>
    <row r="56" spans="1:63" s="1229" customFormat="1" ht="16.5" customHeight="1">
      <c r="A56" s="1152"/>
      <c r="B56" s="783"/>
      <c r="C56" s="1152"/>
      <c r="D56" s="1152"/>
      <c r="E56" s="676">
        <v>17</v>
      </c>
      <c r="F56" s="779" t="str" cm="1">
        <f t="array" ref="F56">F55</f>
        <v>1</v>
      </c>
      <c r="G56" s="143" t="s">
        <v>1242</v>
      </c>
      <c r="H56" s="1156"/>
      <c r="I56" s="1156"/>
      <c r="J56" s="1156"/>
      <c r="K56" s="1156"/>
      <c r="L56" s="1156"/>
      <c r="M56" s="1156"/>
      <c r="N56" s="1156"/>
      <c r="O56" s="1156"/>
      <c r="P56" s="1156"/>
      <c r="Q56" s="143"/>
      <c r="R56" s="143"/>
      <c r="S56" s="1156"/>
      <c r="T56" s="698" t="b">
        <f>F56&gt;0</f>
        <v>1</v>
      </c>
      <c r="U56" s="1155"/>
      <c r="V56" s="1155"/>
      <c r="W56" s="1155"/>
      <c r="X56" s="1687"/>
      <c r="Y56" s="1155"/>
      <c r="Z56" s="1687"/>
      <c r="AA56" s="173"/>
      <c r="AB56" s="233">
        <v>2</v>
      </c>
      <c r="AC56" s="228" t="s">
        <v>1243</v>
      </c>
      <c r="AD56" s="227" t="s">
        <v>839</v>
      </c>
      <c r="AE56" s="229">
        <f t="shared" ref="AE56:BB56" si="17">SUMIF($AD57:$AD64,$AD56,AE57:AE64)</f>
        <v>0</v>
      </c>
      <c r="AF56" s="229">
        <f t="shared" si="17"/>
        <v>0</v>
      </c>
      <c r="AG56" s="229">
        <f t="shared" si="17"/>
        <v>0</v>
      </c>
      <c r="AH56" s="229">
        <f t="shared" si="17"/>
        <v>5304.9999999999955</v>
      </c>
      <c r="AI56" s="229">
        <f t="shared" si="17"/>
        <v>0</v>
      </c>
      <c r="AJ56" s="242">
        <f t="shared" si="17"/>
        <v>0</v>
      </c>
      <c r="AK56" s="242">
        <f t="shared" si="17"/>
        <v>0</v>
      </c>
      <c r="AL56" s="242">
        <f t="shared" si="17"/>
        <v>0</v>
      </c>
      <c r="AM56" s="242">
        <f t="shared" si="17"/>
        <v>0</v>
      </c>
      <c r="AN56" s="1320">
        <f t="shared" si="17"/>
        <v>0</v>
      </c>
      <c r="AO56" s="1320">
        <f t="shared" si="17"/>
        <v>0</v>
      </c>
      <c r="AP56" s="1320">
        <f t="shared" si="17"/>
        <v>0</v>
      </c>
      <c r="AQ56" s="1320">
        <f t="shared" si="17"/>
        <v>0</v>
      </c>
      <c r="AR56" s="1320">
        <f t="shared" si="17"/>
        <v>0</v>
      </c>
      <c r="AS56" s="229">
        <f t="shared" si="17"/>
        <v>7960.8144000000002</v>
      </c>
      <c r="AT56" s="242">
        <f t="shared" si="17"/>
        <v>0</v>
      </c>
      <c r="AU56" s="242">
        <f t="shared" si="17"/>
        <v>0</v>
      </c>
      <c r="AV56" s="242">
        <f t="shared" si="17"/>
        <v>0</v>
      </c>
      <c r="AW56" s="242">
        <f t="shared" si="17"/>
        <v>0</v>
      </c>
      <c r="AX56" s="1320">
        <f t="shared" si="17"/>
        <v>0</v>
      </c>
      <c r="AY56" s="1320">
        <f t="shared" si="17"/>
        <v>0</v>
      </c>
      <c r="AZ56" s="1320">
        <f t="shared" si="17"/>
        <v>0</v>
      </c>
      <c r="BA56" s="1320">
        <f t="shared" si="17"/>
        <v>0</v>
      </c>
      <c r="BB56" s="1320">
        <f t="shared" si="17"/>
        <v>0</v>
      </c>
      <c r="BC56" s="1290"/>
      <c r="BD56" s="173"/>
      <c r="BE56" s="173"/>
      <c r="BF56" s="1020" t="s">
        <v>1244</v>
      </c>
      <c r="BG56" s="1020"/>
      <c r="BH56" s="1020"/>
      <c r="BI56" s="1020"/>
      <c r="BJ56" s="1021"/>
      <c r="BK56" s="1021"/>
    </row>
    <row r="57" spans="1:63" s="1229" customFormat="1" ht="0" hidden="1" customHeight="1">
      <c r="A57" s="1152"/>
      <c r="B57" s="783"/>
      <c r="C57" s="1152"/>
      <c r="D57" s="1152"/>
      <c r="E57" s="676">
        <v>0.2</v>
      </c>
      <c r="F57" s="779" t="str" cm="1">
        <f t="array" ref="F57">F56</f>
        <v>1</v>
      </c>
      <c r="G57" s="1156"/>
      <c r="H57" s="1156"/>
      <c r="I57" s="1156"/>
      <c r="J57" s="1156"/>
      <c r="K57" s="1156"/>
      <c r="L57" s="1156"/>
      <c r="M57" s="1156"/>
      <c r="N57" s="1156"/>
      <c r="O57" s="1156"/>
      <c r="P57" s="1156"/>
      <c r="Q57" s="143"/>
      <c r="R57" s="143"/>
      <c r="S57" s="1156"/>
      <c r="T57" s="698" t="b">
        <v>0</v>
      </c>
      <c r="U57" s="1155"/>
      <c r="V57" s="1155"/>
      <c r="W57" s="1155"/>
      <c r="X57" s="1687"/>
      <c r="Y57" s="1155"/>
      <c r="Z57" s="1687"/>
      <c r="AA57" s="173"/>
      <c r="AB57" s="233"/>
      <c r="AC57" s="228"/>
      <c r="AD57" s="227"/>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40"/>
      <c r="BD57" s="173"/>
      <c r="BE57" s="173"/>
      <c r="BF57" s="1020" t="str">
        <f>IF(AND(ISNUMBER(VALUE(TRIM(SUBSTITUTE(AB57,".","")))),TRIM(SUBSTITUTE(AB57,".",""))&lt;&gt;""),"P"&amp;SUBSTITUTE(AB57,".",""),"")</f>
        <v/>
      </c>
      <c r="BG57" s="1020"/>
      <c r="BH57" s="1020"/>
      <c r="BI57" s="1020"/>
      <c r="BJ57" s="1021"/>
      <c r="BK57" s="1021"/>
    </row>
    <row r="58" spans="1:63" s="1229" customFormat="1" ht="17.25" hidden="1" customHeight="1">
      <c r="A58" s="927" t="str">
        <f ca="1">"checkCosts_2."&amp;F58&amp;"."&amp;Y58</f>
        <v>checkCosts_2.1.0</v>
      </c>
      <c r="E58" s="676">
        <v>18</v>
      </c>
      <c r="F58" s="779" t="str" cm="1">
        <f t="array" aca="1" ref="F58" ca="1">OFFSET(G58,-1,-1)</f>
        <v>1</v>
      </c>
      <c r="G58" s="143" t="s">
        <v>1242</v>
      </c>
      <c r="H58" s="106" cm="1">
        <f t="array" ref="H58">AC58</f>
        <v>0</v>
      </c>
      <c r="T58" s="698" t="b">
        <f ca="1">AND(F58&gt;0,Y58&gt;0)</f>
        <v>0</v>
      </c>
      <c r="W58" s="110" t="s">
        <v>236</v>
      </c>
      <c r="X58" s="1722"/>
      <c r="Y58" s="1687">
        <v>0</v>
      </c>
      <c r="Z58" s="1722"/>
      <c r="AA58" s="1806" t="s">
        <v>218</v>
      </c>
      <c r="AB58" s="235" t="str">
        <f>"2."&amp;Y58</f>
        <v>2.0</v>
      </c>
      <c r="AC58" s="396"/>
      <c r="AD58" s="227" t="s">
        <v>839</v>
      </c>
      <c r="AE58" s="279">
        <f>AE59*AE60</f>
        <v>0</v>
      </c>
      <c r="AF58" s="17"/>
      <c r="AG58" s="17"/>
      <c r="AH58" s="279">
        <f>AH59*AH60</f>
        <v>0</v>
      </c>
      <c r="AI58" s="230"/>
      <c r="AJ58" s="230"/>
      <c r="AK58" s="230"/>
      <c r="AL58" s="230"/>
      <c r="AM58" s="230"/>
      <c r="AN58" s="17"/>
      <c r="AO58" s="17"/>
      <c r="AP58" s="17"/>
      <c r="AQ58" s="17"/>
      <c r="AR58" s="17"/>
      <c r="AS58" s="279">
        <f t="shared" ref="AS58:BB58" si="18">AS59*AS60</f>
        <v>0</v>
      </c>
      <c r="AT58" s="279">
        <f t="shared" si="18"/>
        <v>0</v>
      </c>
      <c r="AU58" s="279">
        <f t="shared" si="18"/>
        <v>0</v>
      </c>
      <c r="AV58" s="279">
        <f t="shared" si="18"/>
        <v>0</v>
      </c>
      <c r="AW58" s="279">
        <f t="shared" si="18"/>
        <v>0</v>
      </c>
      <c r="AX58" s="279">
        <f t="shared" si="18"/>
        <v>0</v>
      </c>
      <c r="AY58" s="279">
        <f t="shared" si="18"/>
        <v>0</v>
      </c>
      <c r="AZ58" s="279">
        <f t="shared" si="18"/>
        <v>0</v>
      </c>
      <c r="BA58" s="279">
        <f t="shared" si="18"/>
        <v>0</v>
      </c>
      <c r="BB58" s="279">
        <f t="shared" si="18"/>
        <v>0</v>
      </c>
      <c r="BC58" s="28"/>
      <c r="BF58" s="1020" t="s">
        <v>1245</v>
      </c>
      <c r="BG58" s="1020" t="s">
        <v>1246</v>
      </c>
      <c r="BH58" s="1020" cm="1">
        <f t="array" ref="BH58">AC58</f>
        <v>0</v>
      </c>
      <c r="BI58" s="1330" t="str" cm="1">
        <f t="array" ref="BI58">AD60</f>
        <v>тыс.куб.м</v>
      </c>
      <c r="BJ58" s="1021"/>
      <c r="BK58" s="1021" t="b">
        <v>1</v>
      </c>
    </row>
    <row r="59" spans="1:63" s="1229" customFormat="1" ht="16.5" hidden="1" customHeight="1">
      <c r="E59" s="676">
        <v>17</v>
      </c>
      <c r="F59" s="779" t="str" cm="1">
        <f t="array" ref="F59">F57</f>
        <v>1</v>
      </c>
      <c r="G59" s="143" t="s">
        <v>201</v>
      </c>
      <c r="H59" s="106" cm="1">
        <f t="array" ref="H59">H58</f>
        <v>0</v>
      </c>
      <c r="T59" s="698" t="b" cm="1">
        <f t="array" aca="1" ref="T59" ca="1">T58</f>
        <v>0</v>
      </c>
      <c r="X59" s="1722"/>
      <c r="Y59" s="1722"/>
      <c r="Z59" s="1722"/>
      <c r="AA59" s="1807"/>
      <c r="AB59" s="235" t="str">
        <f>AB58&amp;".1"</f>
        <v>2.0.1</v>
      </c>
      <c r="AC59" s="241" t="s">
        <v>1000</v>
      </c>
      <c r="AD59" s="1333" t="s">
        <v>243</v>
      </c>
      <c r="AE59" s="17"/>
      <c r="AF59" s="279">
        <f>IF(AF60=0,0,AF58/AF60)</f>
        <v>0</v>
      </c>
      <c r="AG59" s="279">
        <f>IF(AG60=0,0,AG58/AG60)</f>
        <v>0</v>
      </c>
      <c r="AH59" s="17"/>
      <c r="AI59" s="279">
        <f t="shared" ref="AI59:AR59" si="19">IF(AI60=0,0,AI58/AI60)</f>
        <v>0</v>
      </c>
      <c r="AJ59" s="279">
        <f t="shared" si="19"/>
        <v>0</v>
      </c>
      <c r="AK59" s="279">
        <f t="shared" si="19"/>
        <v>0</v>
      </c>
      <c r="AL59" s="279">
        <f t="shared" si="19"/>
        <v>0</v>
      </c>
      <c r="AM59" s="279">
        <f t="shared" si="19"/>
        <v>0</v>
      </c>
      <c r="AN59" s="279">
        <f t="shared" si="19"/>
        <v>0</v>
      </c>
      <c r="AO59" s="279">
        <f t="shared" si="19"/>
        <v>0</v>
      </c>
      <c r="AP59" s="279">
        <f t="shared" si="19"/>
        <v>0</v>
      </c>
      <c r="AQ59" s="279">
        <f t="shared" si="19"/>
        <v>0</v>
      </c>
      <c r="AR59" s="279">
        <f t="shared" si="19"/>
        <v>0</v>
      </c>
      <c r="AS59" s="230"/>
      <c r="AT59" s="230"/>
      <c r="AU59" s="230"/>
      <c r="AV59" s="230"/>
      <c r="AW59" s="230"/>
      <c r="AX59" s="17"/>
      <c r="AY59" s="17"/>
      <c r="AZ59" s="17"/>
      <c r="BA59" s="17"/>
      <c r="BB59" s="17"/>
      <c r="BC59" s="28"/>
      <c r="BF59" s="1020" t="s">
        <v>1247</v>
      </c>
      <c r="BG59" s="1020" t="s">
        <v>1246</v>
      </c>
      <c r="BH59" s="1020" cm="1">
        <f t="array" ref="BH59">BH58</f>
        <v>0</v>
      </c>
      <c r="BI59" s="1020" t="str" cm="1">
        <f t="array" ref="BI59">BI58</f>
        <v>тыс.куб.м</v>
      </c>
      <c r="BJ59" s="1021"/>
      <c r="BK59" s="1021"/>
    </row>
    <row r="60" spans="1:63" s="1229" customFormat="1" ht="16.5" hidden="1" customHeight="1">
      <c r="A60" s="927" t="str">
        <f ca="1">"checkVolume_2."&amp;F60&amp;"."&amp;Y58</f>
        <v>checkVolume_2.1.0</v>
      </c>
      <c r="E60" s="676">
        <v>17</v>
      </c>
      <c r="F60" s="779" t="str" cm="1">
        <f t="array" aca="1" ref="F60" ca="1">F58</f>
        <v>1</v>
      </c>
      <c r="G60" s="143" t="s">
        <v>201</v>
      </c>
      <c r="H60" s="106" cm="1">
        <f t="array" ref="H60">H58</f>
        <v>0</v>
      </c>
      <c r="T60" s="698" t="b" cm="1">
        <f t="array" aca="1" ref="T60" ca="1">T58</f>
        <v>0</v>
      </c>
      <c r="X60" s="1722"/>
      <c r="Y60" s="1722"/>
      <c r="Z60" s="1722"/>
      <c r="AA60" s="1806"/>
      <c r="AB60" s="235" t="str">
        <f>AB58&amp;".2"</f>
        <v>2.0.2</v>
      </c>
      <c r="AC60" s="241" t="s">
        <v>1240</v>
      </c>
      <c r="AD60" s="1333" t="s">
        <v>1058</v>
      </c>
      <c r="AE60" s="17"/>
      <c r="AF60" s="17"/>
      <c r="AG60" s="17"/>
      <c r="AH60" s="17"/>
      <c r="AI60" s="230"/>
      <c r="AJ60" s="230"/>
      <c r="AK60" s="230"/>
      <c r="AL60" s="230"/>
      <c r="AM60" s="230"/>
      <c r="AN60" s="17"/>
      <c r="AO60" s="17"/>
      <c r="AP60" s="17"/>
      <c r="AQ60" s="17"/>
      <c r="AR60" s="17"/>
      <c r="AS60" s="230"/>
      <c r="AT60" s="230"/>
      <c r="AU60" s="230"/>
      <c r="AV60" s="230"/>
      <c r="AW60" s="230"/>
      <c r="AX60" s="17"/>
      <c r="AY60" s="17"/>
      <c r="AZ60" s="17"/>
      <c r="BA60" s="17"/>
      <c r="BB60" s="17"/>
      <c r="BC60" s="28"/>
      <c r="BF60" s="1020" t="s">
        <v>1248</v>
      </c>
      <c r="BG60" s="1020" t="s">
        <v>1246</v>
      </c>
      <c r="BH60" s="1020" cm="1">
        <f t="array" ref="BH60">BH58</f>
        <v>0</v>
      </c>
      <c r="BI60" s="1330" t="str" cm="1">
        <f t="array" ref="BI60">BI58</f>
        <v>тыс.куб.м</v>
      </c>
      <c r="BJ60" s="1021"/>
      <c r="BK60" s="1021"/>
    </row>
    <row r="61" spans="1:63" s="1229" customFormat="1" ht="17.25" customHeight="1">
      <c r="A61" s="927" t="str">
        <f ca="1">"checkCosts_2."&amp;F61&amp;"."&amp;Y61</f>
        <v>checkCosts_2.1.1</v>
      </c>
      <c r="E61" s="676">
        <v>18</v>
      </c>
      <c r="F61" s="779" t="str" cm="1">
        <f t="array" aca="1" ref="F61" ca="1">OFFSET(G61,-1,-1)</f>
        <v>1</v>
      </c>
      <c r="G61" s="143" t="s">
        <v>1242</v>
      </c>
      <c r="H61" s="106" t="str" cm="1">
        <f t="array" ref="H61">AC61</f>
        <v>ООО "ТВКХ"::4205375960::424601001</v>
      </c>
      <c r="T61" s="698" t="b">
        <f ca="1">AND(F61&gt;0,Y61&gt;0)</f>
        <v>1</v>
      </c>
      <c r="W61" s="110"/>
      <c r="X61" s="1722"/>
      <c r="Y61" s="1687" t="s">
        <v>341</v>
      </c>
      <c r="Z61" s="1722"/>
      <c r="AA61" s="1806" t="s">
        <v>218</v>
      </c>
      <c r="AB61" s="235" t="str">
        <f>"2."&amp;Y61</f>
        <v>2.1</v>
      </c>
      <c r="AC61" s="396" t="s">
        <v>1070</v>
      </c>
      <c r="AD61" s="227" t="s">
        <v>839</v>
      </c>
      <c r="AE61" s="279">
        <f>AE62*AE63</f>
        <v>0</v>
      </c>
      <c r="AF61" s="1249"/>
      <c r="AG61" s="1249"/>
      <c r="AH61" s="279">
        <f>AH62*AH63</f>
        <v>5304.9999999999955</v>
      </c>
      <c r="AI61" s="230"/>
      <c r="AJ61" s="230"/>
      <c r="AK61" s="230"/>
      <c r="AL61" s="230"/>
      <c r="AM61" s="230"/>
      <c r="AN61" s="1249"/>
      <c r="AO61" s="1249"/>
      <c r="AP61" s="1249"/>
      <c r="AQ61" s="1249"/>
      <c r="AR61" s="1249"/>
      <c r="AS61" s="279">
        <f t="shared" ref="AS61:BB61" si="20">AS62*AS63</f>
        <v>7960.8144000000002</v>
      </c>
      <c r="AT61" s="279">
        <f t="shared" si="20"/>
        <v>0</v>
      </c>
      <c r="AU61" s="279">
        <f t="shared" si="20"/>
        <v>0</v>
      </c>
      <c r="AV61" s="279">
        <f t="shared" si="20"/>
        <v>0</v>
      </c>
      <c r="AW61" s="279">
        <f t="shared" si="20"/>
        <v>0</v>
      </c>
      <c r="AX61" s="279">
        <f t="shared" si="20"/>
        <v>0</v>
      </c>
      <c r="AY61" s="279">
        <f t="shared" si="20"/>
        <v>0</v>
      </c>
      <c r="AZ61" s="279">
        <f t="shared" si="20"/>
        <v>0</v>
      </c>
      <c r="BA61" s="279">
        <f t="shared" si="20"/>
        <v>0</v>
      </c>
      <c r="BB61" s="279">
        <f t="shared" si="20"/>
        <v>0</v>
      </c>
      <c r="BC61" s="1290"/>
      <c r="BF61" s="1020" t="s">
        <v>1245</v>
      </c>
      <c r="BG61" s="1020" t="s">
        <v>1246</v>
      </c>
      <c r="BH61" s="1020" t="str" cm="1">
        <f t="array" ref="BH61">AC61</f>
        <v>ООО "ТВКХ"::4205375960::424601001</v>
      </c>
      <c r="BI61" s="1330" t="str" cm="1">
        <f t="array" ref="BI61">AD63</f>
        <v>тыс.куб.м</v>
      </c>
      <c r="BJ61" s="1021"/>
      <c r="BK61" s="1021" t="b">
        <v>1</v>
      </c>
    </row>
    <row r="62" spans="1:63" s="1229" customFormat="1" ht="16.5" customHeight="1">
      <c r="E62" s="676">
        <v>17</v>
      </c>
      <c r="F62" s="779" t="str" cm="1">
        <f t="array" aca="1" ref="F62" ca="1">F60</f>
        <v>1</v>
      </c>
      <c r="G62" s="143" t="s">
        <v>201</v>
      </c>
      <c r="H62" s="106" t="str" cm="1">
        <f t="array" ref="H62">H61</f>
        <v>ООО "ТВКХ"::4205375960::424601001</v>
      </c>
      <c r="T62" s="698" t="b" cm="1">
        <f t="array" aca="1" ref="T62" ca="1">T61</f>
        <v>1</v>
      </c>
      <c r="X62" s="1722"/>
      <c r="Y62" s="1722"/>
      <c r="Z62" s="1722"/>
      <c r="AA62" s="1807"/>
      <c r="AB62" s="235" t="str">
        <f>AB61&amp;".1"</f>
        <v>2.1.1</v>
      </c>
      <c r="AC62" s="241" t="s">
        <v>1000</v>
      </c>
      <c r="AD62" s="1334" t="s">
        <v>1259</v>
      </c>
      <c r="AE62" s="1249"/>
      <c r="AF62" s="279">
        <f>IF(AF63=0,0,AF61/AF63)</f>
        <v>0</v>
      </c>
      <c r="AG62" s="279">
        <f>IF(AG63=0,0,AG61/AG63)</f>
        <v>0</v>
      </c>
      <c r="AH62" s="1249">
        <v>109.25979321992</v>
      </c>
      <c r="AI62" s="279">
        <f t="shared" ref="AI62:AR62" si="21">IF(AI63=0,0,AI61/AI63)</f>
        <v>0</v>
      </c>
      <c r="AJ62" s="279">
        <f t="shared" si="21"/>
        <v>0</v>
      </c>
      <c r="AK62" s="279">
        <f t="shared" si="21"/>
        <v>0</v>
      </c>
      <c r="AL62" s="279">
        <f t="shared" si="21"/>
        <v>0</v>
      </c>
      <c r="AM62" s="279">
        <f t="shared" si="21"/>
        <v>0</v>
      </c>
      <c r="AN62" s="279">
        <f t="shared" si="21"/>
        <v>0</v>
      </c>
      <c r="AO62" s="279">
        <f t="shared" si="21"/>
        <v>0</v>
      </c>
      <c r="AP62" s="279">
        <f t="shared" si="21"/>
        <v>0</v>
      </c>
      <c r="AQ62" s="279">
        <f t="shared" si="21"/>
        <v>0</v>
      </c>
      <c r="AR62" s="279">
        <f t="shared" si="21"/>
        <v>0</v>
      </c>
      <c r="AS62" s="230">
        <v>157.08000000000001</v>
      </c>
      <c r="AT62" s="230"/>
      <c r="AU62" s="230"/>
      <c r="AV62" s="230"/>
      <c r="AW62" s="230"/>
      <c r="AX62" s="1249"/>
      <c r="AY62" s="1249"/>
      <c r="AZ62" s="1249"/>
      <c r="BA62" s="1249"/>
      <c r="BB62" s="1249"/>
      <c r="BC62" s="1290"/>
      <c r="BF62" s="1020" t="s">
        <v>1247</v>
      </c>
      <c r="BG62" s="1020" t="s">
        <v>1246</v>
      </c>
      <c r="BH62" s="1020" t="str" cm="1">
        <f t="array" ref="BH62">BH61</f>
        <v>ООО "ТВКХ"::4205375960::424601001</v>
      </c>
      <c r="BI62" s="1020" t="str" cm="1">
        <f t="array" ref="BI62">BI61</f>
        <v>тыс.куб.м</v>
      </c>
      <c r="BJ62" s="1021"/>
      <c r="BK62" s="1021"/>
    </row>
    <row r="63" spans="1:63" s="1229" customFormat="1" ht="16.5" customHeight="1">
      <c r="A63" s="927" t="str">
        <f ca="1">"checkVolume_2."&amp;F63&amp;"."&amp;Y61</f>
        <v>checkVolume_2.1.1</v>
      </c>
      <c r="E63" s="676">
        <v>17</v>
      </c>
      <c r="F63" s="779" t="str" cm="1">
        <f t="array" aca="1" ref="F63" ca="1">F61</f>
        <v>1</v>
      </c>
      <c r="G63" s="143" t="s">
        <v>201</v>
      </c>
      <c r="H63" s="106" t="str" cm="1">
        <f t="array" ref="H63">H61</f>
        <v>ООО "ТВКХ"::4205375960::424601001</v>
      </c>
      <c r="T63" s="698" t="b" cm="1">
        <f t="array" aca="1" ref="T63" ca="1">T61</f>
        <v>1</v>
      </c>
      <c r="X63" s="1722"/>
      <c r="Y63" s="1722"/>
      <c r="Z63" s="1722"/>
      <c r="AA63" s="1806"/>
      <c r="AB63" s="235" t="str">
        <f>AB61&amp;".2"</f>
        <v>2.1.2</v>
      </c>
      <c r="AC63" s="241" t="s">
        <v>1240</v>
      </c>
      <c r="AD63" s="1334" t="s">
        <v>1058</v>
      </c>
      <c r="AE63" s="1249"/>
      <c r="AF63" s="1249"/>
      <c r="AG63" s="1249"/>
      <c r="AH63" s="1249">
        <v>48.554000000000002</v>
      </c>
      <c r="AI63" s="230"/>
      <c r="AJ63" s="230"/>
      <c r="AK63" s="230"/>
      <c r="AL63" s="230"/>
      <c r="AM63" s="230"/>
      <c r="AN63" s="1249"/>
      <c r="AO63" s="1249"/>
      <c r="AP63" s="1249"/>
      <c r="AQ63" s="1249"/>
      <c r="AR63" s="1249"/>
      <c r="AS63" s="230">
        <v>50.68</v>
      </c>
      <c r="AT63" s="230"/>
      <c r="AU63" s="230"/>
      <c r="AV63" s="230"/>
      <c r="AW63" s="230"/>
      <c r="AX63" s="1249"/>
      <c r="AY63" s="1249"/>
      <c r="AZ63" s="1249"/>
      <c r="BA63" s="1249"/>
      <c r="BB63" s="1249"/>
      <c r="BC63" s="1290"/>
      <c r="BF63" s="1020" t="s">
        <v>1248</v>
      </c>
      <c r="BG63" s="1020" t="s">
        <v>1246</v>
      </c>
      <c r="BH63" s="1020" t="str" cm="1">
        <f t="array" ref="BH63">BH61</f>
        <v>ООО "ТВКХ"::4205375960::424601001</v>
      </c>
      <c r="BI63" s="1330" t="str" cm="1">
        <f t="array" ref="BI63">BI61</f>
        <v>тыс.куб.м</v>
      </c>
      <c r="BJ63" s="1021"/>
      <c r="BK63" s="1021"/>
    </row>
    <row r="64" spans="1:63" s="1229" customFormat="1" ht="16.5" customHeight="1">
      <c r="A64" s="1152"/>
      <c r="B64" s="783"/>
      <c r="C64" s="1152"/>
      <c r="D64" s="1152"/>
      <c r="E64" s="676">
        <v>17</v>
      </c>
      <c r="F64" s="779" t="str" cm="1">
        <f t="array" ref="F64">F57</f>
        <v>1</v>
      </c>
      <c r="G64" s="143" t="str">
        <f>F64&amp;"pIns5"</f>
        <v>1pIns5</v>
      </c>
      <c r="H64" s="1156"/>
      <c r="I64" s="1156"/>
      <c r="J64" s="1156"/>
      <c r="K64" s="1156"/>
      <c r="L64" s="1156"/>
      <c r="M64" s="1156"/>
      <c r="N64" s="1156"/>
      <c r="O64" s="1156"/>
      <c r="P64" s="1156"/>
      <c r="Q64" s="143"/>
      <c r="R64" s="143"/>
      <c r="S64" s="1156"/>
      <c r="T64" s="698" t="b">
        <f>F64&gt;0</f>
        <v>1</v>
      </c>
      <c r="U64" s="1155"/>
      <c r="V64" s="1155"/>
      <c r="W64" s="318" t="s">
        <v>1249</v>
      </c>
      <c r="X64" s="1687"/>
      <c r="Y64" s="1155"/>
      <c r="Z64" s="1687"/>
      <c r="AA64" s="173"/>
      <c r="AB64" s="249"/>
      <c r="AC64" s="250" t="s">
        <v>1036</v>
      </c>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909"/>
      <c r="BD64" s="173"/>
      <c r="BE64" s="173"/>
      <c r="BF64" s="1020" t="str">
        <f>IF(AND(ISNUMBER(VALUE(TRIM(SUBSTITUTE(AB64,".","")))),TRIM(SUBSTITUTE(AB64,".",""))&lt;&gt;""),"P"&amp;SUBSTITUTE(AB64,".",""),"")</f>
        <v/>
      </c>
      <c r="BG64" s="1020"/>
      <c r="BH64" s="1020"/>
      <c r="BI64" s="1020"/>
      <c r="BJ64" s="1021" t="s">
        <v>1246</v>
      </c>
      <c r="BK64" s="1021"/>
    </row>
    <row r="65" spans="1:63" s="1229" customFormat="1" ht="16.5" customHeight="1">
      <c r="A65" s="1152"/>
      <c r="B65" s="783"/>
      <c r="C65" s="1152"/>
      <c r="D65" s="1152"/>
      <c r="E65" s="676">
        <v>17</v>
      </c>
      <c r="F65" s="779" t="str" cm="1">
        <f t="array" ref="F65">F64</f>
        <v>1</v>
      </c>
      <c r="G65" s="143" t="s">
        <v>1250</v>
      </c>
      <c r="H65" s="1156"/>
      <c r="I65" s="1156"/>
      <c r="J65" s="1156"/>
      <c r="K65" s="1156"/>
      <c r="L65" s="1156"/>
      <c r="M65" s="1156"/>
      <c r="N65" s="1156"/>
      <c r="O65" s="1156"/>
      <c r="P65" s="1156"/>
      <c r="Q65" s="143"/>
      <c r="R65" s="143"/>
      <c r="S65" s="1156"/>
      <c r="T65" s="698" t="b">
        <f>F65&gt;0</f>
        <v>1</v>
      </c>
      <c r="U65" s="1155"/>
      <c r="V65" s="1155"/>
      <c r="W65" s="1155"/>
      <c r="X65" s="1687"/>
      <c r="Y65" s="1155"/>
      <c r="Z65" s="1687"/>
      <c r="AA65" s="173"/>
      <c r="AB65" s="233">
        <v>3</v>
      </c>
      <c r="AC65" s="228" t="s">
        <v>1251</v>
      </c>
      <c r="AD65" s="227" t="s">
        <v>839</v>
      </c>
      <c r="AE65" s="229">
        <f t="shared" ref="AE65:BB65" si="22">SUMIF($AD66:$AD70,$AD65,AE66:AE70)</f>
        <v>0</v>
      </c>
      <c r="AF65" s="229">
        <f t="shared" si="22"/>
        <v>0</v>
      </c>
      <c r="AG65" s="229">
        <f t="shared" si="22"/>
        <v>0</v>
      </c>
      <c r="AH65" s="229">
        <f t="shared" si="22"/>
        <v>0</v>
      </c>
      <c r="AI65" s="229">
        <f t="shared" si="22"/>
        <v>0</v>
      </c>
      <c r="AJ65" s="242">
        <f t="shared" si="22"/>
        <v>0</v>
      </c>
      <c r="AK65" s="242">
        <f t="shared" si="22"/>
        <v>0</v>
      </c>
      <c r="AL65" s="242">
        <f t="shared" si="22"/>
        <v>0</v>
      </c>
      <c r="AM65" s="242">
        <f t="shared" si="22"/>
        <v>0</v>
      </c>
      <c r="AN65" s="1320">
        <f t="shared" si="22"/>
        <v>0</v>
      </c>
      <c r="AO65" s="1320">
        <f t="shared" si="22"/>
        <v>0</v>
      </c>
      <c r="AP65" s="1320">
        <f t="shared" si="22"/>
        <v>0</v>
      </c>
      <c r="AQ65" s="1320">
        <f t="shared" si="22"/>
        <v>0</v>
      </c>
      <c r="AR65" s="1320">
        <f t="shared" si="22"/>
        <v>0</v>
      </c>
      <c r="AS65" s="229">
        <f t="shared" si="22"/>
        <v>0</v>
      </c>
      <c r="AT65" s="242">
        <f t="shared" si="22"/>
        <v>0</v>
      </c>
      <c r="AU65" s="242">
        <f t="shared" si="22"/>
        <v>0</v>
      </c>
      <c r="AV65" s="242">
        <f t="shared" si="22"/>
        <v>0</v>
      </c>
      <c r="AW65" s="242">
        <f t="shared" si="22"/>
        <v>0</v>
      </c>
      <c r="AX65" s="1320">
        <f t="shared" si="22"/>
        <v>0</v>
      </c>
      <c r="AY65" s="1320">
        <f t="shared" si="22"/>
        <v>0</v>
      </c>
      <c r="AZ65" s="1320">
        <f t="shared" si="22"/>
        <v>0</v>
      </c>
      <c r="BA65" s="1320">
        <f t="shared" si="22"/>
        <v>0</v>
      </c>
      <c r="BB65" s="1320">
        <f t="shared" si="22"/>
        <v>0</v>
      </c>
      <c r="BC65" s="1290"/>
      <c r="BD65" s="173"/>
      <c r="BE65" s="173"/>
      <c r="BF65" s="1020" t="s">
        <v>1252</v>
      </c>
      <c r="BG65" s="1020"/>
      <c r="BH65" s="1020"/>
      <c r="BI65" s="1020"/>
      <c r="BJ65" s="1021"/>
      <c r="BK65" s="1021"/>
    </row>
    <row r="66" spans="1:63" s="1229" customFormat="1" ht="0" hidden="1" customHeight="1">
      <c r="A66" s="1152"/>
      <c r="B66" s="783"/>
      <c r="C66" s="1152"/>
      <c r="D66" s="1152"/>
      <c r="E66" s="676">
        <v>0.2</v>
      </c>
      <c r="F66" s="779" t="str" cm="1">
        <f t="array" ref="F66">F65</f>
        <v>1</v>
      </c>
      <c r="G66" s="1156"/>
      <c r="H66" s="1156"/>
      <c r="I66" s="1156"/>
      <c r="J66" s="1156"/>
      <c r="K66" s="1156"/>
      <c r="L66" s="1156"/>
      <c r="M66" s="1156"/>
      <c r="N66" s="1156"/>
      <c r="O66" s="1156"/>
      <c r="P66" s="1156"/>
      <c r="Q66" s="143"/>
      <c r="R66" s="143"/>
      <c r="S66" s="1156"/>
      <c r="T66" s="698" t="b">
        <v>0</v>
      </c>
      <c r="U66" s="1155"/>
      <c r="V66" s="1155"/>
      <c r="W66" s="1155"/>
      <c r="X66" s="1687"/>
      <c r="Y66" s="1155"/>
      <c r="Z66" s="1687"/>
      <c r="AA66" s="173"/>
      <c r="AB66" s="233"/>
      <c r="AC66" s="228"/>
      <c r="AD66" s="227"/>
      <c r="AE66" s="231"/>
      <c r="AF66" s="231"/>
      <c r="AG66" s="231"/>
      <c r="AH66" s="231"/>
      <c r="AI66" s="231"/>
      <c r="AJ66" s="231"/>
      <c r="AK66" s="231"/>
      <c r="AL66" s="231"/>
      <c r="AM66" s="231"/>
      <c r="AN66" s="231"/>
      <c r="AO66" s="231"/>
      <c r="AP66" s="231"/>
      <c r="AQ66" s="231"/>
      <c r="AR66" s="231"/>
      <c r="AS66" s="231"/>
      <c r="AT66" s="231"/>
      <c r="AU66" s="231"/>
      <c r="AV66" s="231"/>
      <c r="AW66" s="231"/>
      <c r="AX66" s="231"/>
      <c r="AY66" s="231"/>
      <c r="AZ66" s="231"/>
      <c r="BA66" s="231"/>
      <c r="BB66" s="231"/>
      <c r="BC66" s="240"/>
      <c r="BD66" s="173"/>
      <c r="BE66" s="173"/>
      <c r="BF66" s="1020" t="str">
        <f>IF(AND(ISNUMBER(VALUE(TRIM(SUBSTITUTE(AB66,".","")))),TRIM(SUBSTITUTE(AB66,".",""))&lt;&gt;""),"P"&amp;SUBSTITUTE(AB66,".",""),"")</f>
        <v/>
      </c>
      <c r="BG66" s="1020"/>
      <c r="BH66" s="1020"/>
      <c r="BI66" s="1020"/>
      <c r="BJ66" s="1021"/>
      <c r="BK66" s="1021"/>
    </row>
    <row r="67" spans="1:63" s="1229" customFormat="1" ht="21.75" hidden="1" customHeight="1">
      <c r="A67" s="927" t="str">
        <f ca="1">"checkCosts_3."&amp;F67&amp;"."&amp;Y67</f>
        <v>checkCosts_3.1.0</v>
      </c>
      <c r="B67" s="783"/>
      <c r="C67" s="1152"/>
      <c r="D67" s="1152"/>
      <c r="E67" s="676">
        <v>22.8</v>
      </c>
      <c r="F67" s="779" t="str" cm="1">
        <f t="array" aca="1" ref="F67" ca="1">OFFSET(G67,-1,-1)</f>
        <v>1</v>
      </c>
      <c r="G67" s="143" t="s">
        <v>1250</v>
      </c>
      <c r="H67" s="106" cm="1">
        <f t="array" ref="H67">AC67</f>
        <v>0</v>
      </c>
      <c r="I67" s="1156"/>
      <c r="J67" s="1156"/>
      <c r="K67" s="1156"/>
      <c r="L67" s="1156"/>
      <c r="M67" s="1156"/>
      <c r="N67" s="1156"/>
      <c r="O67" s="1156"/>
      <c r="P67" s="1156"/>
      <c r="Q67" s="143"/>
      <c r="R67" s="143"/>
      <c r="S67" s="1156"/>
      <c r="T67" s="698" t="b">
        <f ca="1">AND(F67&gt;0,Y67&gt;0)</f>
        <v>0</v>
      </c>
      <c r="U67" s="1155"/>
      <c r="V67" s="1155"/>
      <c r="W67" s="110" t="s">
        <v>236</v>
      </c>
      <c r="X67" s="1687"/>
      <c r="Y67" s="1687">
        <v>0</v>
      </c>
      <c r="Z67" s="1687"/>
      <c r="AA67" s="1806" t="s">
        <v>218</v>
      </c>
      <c r="AB67" s="235" t="str">
        <f>"3."&amp;Y67</f>
        <v>3.0</v>
      </c>
      <c r="AC67" s="9"/>
      <c r="AD67" s="227" t="s">
        <v>839</v>
      </c>
      <c r="AE67" s="279">
        <f>AE68*AE69</f>
        <v>0</v>
      </c>
      <c r="AF67" s="17"/>
      <c r="AG67" s="17"/>
      <c r="AH67" s="279">
        <f>AH68*AH69</f>
        <v>0</v>
      </c>
      <c r="AI67" s="230"/>
      <c r="AJ67" s="230"/>
      <c r="AK67" s="230"/>
      <c r="AL67" s="230"/>
      <c r="AM67" s="230"/>
      <c r="AN67" s="17"/>
      <c r="AO67" s="17"/>
      <c r="AP67" s="17"/>
      <c r="AQ67" s="17"/>
      <c r="AR67" s="17"/>
      <c r="AS67" s="279">
        <f t="shared" ref="AS67:BB67" si="23">AS68*AS69</f>
        <v>0</v>
      </c>
      <c r="AT67" s="279">
        <f t="shared" si="23"/>
        <v>0</v>
      </c>
      <c r="AU67" s="279">
        <f t="shared" si="23"/>
        <v>0</v>
      </c>
      <c r="AV67" s="279">
        <f t="shared" si="23"/>
        <v>0</v>
      </c>
      <c r="AW67" s="279">
        <f t="shared" si="23"/>
        <v>0</v>
      </c>
      <c r="AX67" s="279">
        <f t="shared" si="23"/>
        <v>0</v>
      </c>
      <c r="AY67" s="279">
        <f t="shared" si="23"/>
        <v>0</v>
      </c>
      <c r="AZ67" s="279">
        <f t="shared" si="23"/>
        <v>0</v>
      </c>
      <c r="BA67" s="279">
        <f t="shared" si="23"/>
        <v>0</v>
      </c>
      <c r="BB67" s="279">
        <f t="shared" si="23"/>
        <v>0</v>
      </c>
      <c r="BC67" s="28"/>
      <c r="BD67" s="173"/>
      <c r="BE67" s="173"/>
      <c r="BF67" s="1020" t="s">
        <v>1253</v>
      </c>
      <c r="BG67" s="1020" t="s">
        <v>1254</v>
      </c>
      <c r="BH67" s="1020" cm="1">
        <f t="array" ref="BH67">AC67</f>
        <v>0</v>
      </c>
      <c r="BI67" s="1020" cm="1">
        <f t="array" ref="BI67">AD69</f>
        <v>0</v>
      </c>
      <c r="BJ67" s="1021"/>
      <c r="BK67" s="1021" t="b">
        <v>1</v>
      </c>
    </row>
    <row r="68" spans="1:63" s="1229" customFormat="1" ht="16.5" hidden="1" customHeight="1">
      <c r="E68" s="676">
        <v>17</v>
      </c>
      <c r="F68" s="779" t="str" cm="1">
        <f t="array" ref="F68">F66</f>
        <v>1</v>
      </c>
      <c r="G68" s="143" t="s">
        <v>277</v>
      </c>
      <c r="H68" s="106" cm="1">
        <f t="array" ref="H68">H67</f>
        <v>0</v>
      </c>
      <c r="T68" s="698" t="b" cm="1">
        <f t="array" aca="1" ref="T68" ca="1">T67</f>
        <v>0</v>
      </c>
      <c r="X68" s="1722"/>
      <c r="Y68" s="1722"/>
      <c r="Z68" s="1722"/>
      <c r="AA68" s="1807"/>
      <c r="AB68" s="235" t="str">
        <f>AB67&amp;".1"</f>
        <v>3.0.1</v>
      </c>
      <c r="AC68" s="241" t="s">
        <v>1000</v>
      </c>
      <c r="AD68" s="61" t="s">
        <v>243</v>
      </c>
      <c r="AE68" s="17"/>
      <c r="AF68" s="279">
        <f>IF(AF69=0,0,AF67/AF69)</f>
        <v>0</v>
      </c>
      <c r="AG68" s="279">
        <f>IF(AG69=0,0,AG67/AG69)</f>
        <v>0</v>
      </c>
      <c r="AH68" s="17"/>
      <c r="AI68" s="279">
        <f t="shared" ref="AI68:AR68" si="24">IF(AI69=0,0,AI67/AI69)</f>
        <v>0</v>
      </c>
      <c r="AJ68" s="279">
        <f t="shared" si="24"/>
        <v>0</v>
      </c>
      <c r="AK68" s="279">
        <f t="shared" si="24"/>
        <v>0</v>
      </c>
      <c r="AL68" s="279">
        <f t="shared" si="24"/>
        <v>0</v>
      </c>
      <c r="AM68" s="279">
        <f t="shared" si="24"/>
        <v>0</v>
      </c>
      <c r="AN68" s="279">
        <f t="shared" si="24"/>
        <v>0</v>
      </c>
      <c r="AO68" s="279">
        <f t="shared" si="24"/>
        <v>0</v>
      </c>
      <c r="AP68" s="279">
        <f t="shared" si="24"/>
        <v>0</v>
      </c>
      <c r="AQ68" s="279">
        <f t="shared" si="24"/>
        <v>0</v>
      </c>
      <c r="AR68" s="279">
        <f t="shared" si="24"/>
        <v>0</v>
      </c>
      <c r="AS68" s="230"/>
      <c r="AT68" s="230"/>
      <c r="AU68" s="230"/>
      <c r="AV68" s="230"/>
      <c r="AW68" s="230"/>
      <c r="AX68" s="17"/>
      <c r="AY68" s="17"/>
      <c r="AZ68" s="17"/>
      <c r="BA68" s="17"/>
      <c r="BB68" s="17"/>
      <c r="BC68" s="28"/>
      <c r="BF68" s="1020" t="s">
        <v>1255</v>
      </c>
      <c r="BG68" s="1020" t="s">
        <v>1254</v>
      </c>
      <c r="BH68" s="1020" cm="1">
        <f t="array" ref="BH68">BH67</f>
        <v>0</v>
      </c>
      <c r="BI68" s="1020" cm="1">
        <f t="array" ref="BI68">BI67</f>
        <v>0</v>
      </c>
      <c r="BJ68" s="1021"/>
      <c r="BK68" s="1021"/>
    </row>
    <row r="69" spans="1:63" s="1229" customFormat="1" ht="16.5" hidden="1" customHeight="1">
      <c r="A69" s="927" t="str">
        <f ca="1">"checkVolume_3."&amp;F69&amp;"."&amp;Y67</f>
        <v>checkVolume_3.1.0</v>
      </c>
      <c r="B69" s="783"/>
      <c r="C69" s="1152"/>
      <c r="D69" s="1152"/>
      <c r="E69" s="676">
        <v>17</v>
      </c>
      <c r="F69" s="779" t="str" cm="1">
        <f t="array" aca="1" ref="F69" ca="1">F67</f>
        <v>1</v>
      </c>
      <c r="G69" s="143" t="s">
        <v>277</v>
      </c>
      <c r="H69" s="106" cm="1">
        <f t="array" ref="H69">H67</f>
        <v>0</v>
      </c>
      <c r="I69" s="1156"/>
      <c r="J69" s="1156"/>
      <c r="K69" s="1156"/>
      <c r="L69" s="1156"/>
      <c r="M69" s="1156"/>
      <c r="N69" s="1156"/>
      <c r="O69" s="1156"/>
      <c r="P69" s="1156"/>
      <c r="Q69" s="143"/>
      <c r="R69" s="143"/>
      <c r="S69" s="1156"/>
      <c r="T69" s="698" t="b" cm="1">
        <f t="array" aca="1" ref="T69" ca="1">T67</f>
        <v>0</v>
      </c>
      <c r="U69" s="1155"/>
      <c r="V69" s="1155"/>
      <c r="W69" s="1155"/>
      <c r="X69" s="1687"/>
      <c r="Y69" s="1687"/>
      <c r="Z69" s="1687"/>
      <c r="AA69" s="1806"/>
      <c r="AB69" s="235" t="str">
        <f>AB67&amp;".2"</f>
        <v>3.0.2</v>
      </c>
      <c r="AC69" s="241" t="s">
        <v>1240</v>
      </c>
      <c r="AD69" s="61"/>
      <c r="AE69" s="17"/>
      <c r="AF69" s="17"/>
      <c r="AG69" s="17"/>
      <c r="AH69" s="17"/>
      <c r="AI69" s="230"/>
      <c r="AJ69" s="230"/>
      <c r="AK69" s="230"/>
      <c r="AL69" s="230"/>
      <c r="AM69" s="230"/>
      <c r="AN69" s="17"/>
      <c r="AO69" s="17"/>
      <c r="AP69" s="17"/>
      <c r="AQ69" s="17"/>
      <c r="AR69" s="17"/>
      <c r="AS69" s="230"/>
      <c r="AT69" s="230"/>
      <c r="AU69" s="230"/>
      <c r="AV69" s="230"/>
      <c r="AW69" s="230"/>
      <c r="AX69" s="17"/>
      <c r="AY69" s="17"/>
      <c r="AZ69" s="17"/>
      <c r="BA69" s="17"/>
      <c r="BB69" s="17"/>
      <c r="BC69" s="28"/>
      <c r="BD69" s="173"/>
      <c r="BE69" s="173"/>
      <c r="BF69" s="1020" t="s">
        <v>1256</v>
      </c>
      <c r="BG69" s="1020" t="s">
        <v>1254</v>
      </c>
      <c r="BH69" s="1020" cm="1">
        <f t="array" ref="BH69">BH67</f>
        <v>0</v>
      </c>
      <c r="BI69" s="1020" cm="1">
        <f t="array" ref="BI69">BI67</f>
        <v>0</v>
      </c>
      <c r="BJ69" s="1021"/>
      <c r="BK69" s="1021"/>
    </row>
    <row r="70" spans="1:63" s="1229" customFormat="1" ht="16.5" customHeight="1">
      <c r="A70" s="1152"/>
      <c r="B70" s="783"/>
      <c r="C70" s="1152"/>
      <c r="D70" s="1152"/>
      <c r="E70" s="676">
        <v>17</v>
      </c>
      <c r="F70" s="779" t="str" cm="1">
        <f t="array" ref="F70">F66</f>
        <v>1</v>
      </c>
      <c r="G70" s="143" t="str">
        <f>F70&amp;"pIns5"</f>
        <v>1pIns5</v>
      </c>
      <c r="H70" s="1156"/>
      <c r="I70" s="1156"/>
      <c r="J70" s="1156"/>
      <c r="K70" s="1156"/>
      <c r="L70" s="1156"/>
      <c r="M70" s="1156"/>
      <c r="N70" s="1156"/>
      <c r="O70" s="1156"/>
      <c r="P70" s="1156"/>
      <c r="Q70" s="143"/>
      <c r="R70" s="143"/>
      <c r="S70" s="1156"/>
      <c r="T70" s="698" t="b">
        <f>F70&gt;0</f>
        <v>1</v>
      </c>
      <c r="U70" s="1155"/>
      <c r="V70" s="1155"/>
      <c r="W70" s="318" t="s">
        <v>1257</v>
      </c>
      <c r="X70" s="1687"/>
      <c r="Y70" s="1155"/>
      <c r="Z70" s="1687"/>
      <c r="AA70" s="173"/>
      <c r="AB70" s="249"/>
      <c r="AC70" s="250" t="s">
        <v>1036</v>
      </c>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909"/>
      <c r="BD70" s="173"/>
      <c r="BE70" s="173"/>
      <c r="BF70" s="1020"/>
      <c r="BG70" s="1020"/>
      <c r="BH70" s="1020"/>
      <c r="BI70" s="1020"/>
      <c r="BJ70" s="1021" t="s">
        <v>1254</v>
      </c>
      <c r="BK70" s="1021"/>
    </row>
    <row r="71" spans="1:63" s="1229" customFormat="1" ht="10.5" customHeight="1">
      <c r="A71" s="1152"/>
      <c r="B71" s="783"/>
      <c r="C71" s="1152"/>
      <c r="D71" s="1152"/>
      <c r="E71" s="676">
        <v>11.4</v>
      </c>
      <c r="F71" s="779" t="str" cm="1">
        <f t="array" ref="F71">X71</f>
        <v>2</v>
      </c>
      <c r="G71" s="143" t="s">
        <v>1237</v>
      </c>
      <c r="H71" s="1156"/>
      <c r="I71" s="1156"/>
      <c r="J71" s="1156"/>
      <c r="K71" s="1156"/>
      <c r="L71" s="1156"/>
      <c r="M71" s="1156"/>
      <c r="N71" s="1156"/>
      <c r="O71" s="1156"/>
      <c r="P71" s="1156"/>
      <c r="Q71" s="143"/>
      <c r="R71" s="143"/>
      <c r="S71" s="1156"/>
      <c r="T71" s="698" t="b">
        <f>X71&gt;0</f>
        <v>1</v>
      </c>
      <c r="U71" s="1155"/>
      <c r="V71" s="126" t="str" cm="1">
        <f t="array" ref="V71">Аренда!$AB$51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1" s="1155"/>
      <c r="X71" s="1687" t="s">
        <v>348</v>
      </c>
      <c r="Y71" s="1155"/>
      <c r="Z71" s="1687"/>
      <c r="AA71" s="173"/>
      <c r="AB71" s="237" t="str" cm="1">
        <f t="array" ref="AB71">IF(ISBLANK(Аренда!$AB$51),"",Аренда!$AB$51)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1" s="210"/>
      <c r="AD71" s="210"/>
      <c r="AE71" s="321">
        <f t="shared" ref="AE71:BB71" si="25">AE72+AE81+AE90</f>
        <v>0</v>
      </c>
      <c r="AF71" s="321">
        <f t="shared" si="25"/>
        <v>0</v>
      </c>
      <c r="AG71" s="321">
        <f t="shared" si="25"/>
        <v>0</v>
      </c>
      <c r="AH71" s="321">
        <f t="shared" si="25"/>
        <v>5301.9999999999009</v>
      </c>
      <c r="AI71" s="321">
        <f t="shared" si="25"/>
        <v>0</v>
      </c>
      <c r="AJ71" s="321">
        <f t="shared" si="25"/>
        <v>0</v>
      </c>
      <c r="AK71" s="321">
        <f t="shared" si="25"/>
        <v>0</v>
      </c>
      <c r="AL71" s="321">
        <f t="shared" si="25"/>
        <v>0</v>
      </c>
      <c r="AM71" s="321">
        <f t="shared" si="25"/>
        <v>0</v>
      </c>
      <c r="AN71" s="321">
        <f t="shared" si="25"/>
        <v>0</v>
      </c>
      <c r="AO71" s="321">
        <f t="shared" si="25"/>
        <v>0</v>
      </c>
      <c r="AP71" s="321">
        <f t="shared" si="25"/>
        <v>0</v>
      </c>
      <c r="AQ71" s="321">
        <f t="shared" si="25"/>
        <v>0</v>
      </c>
      <c r="AR71" s="321">
        <f t="shared" si="25"/>
        <v>0</v>
      </c>
      <c r="AS71" s="321">
        <f t="shared" si="25"/>
        <v>9235.5652035200001</v>
      </c>
      <c r="AT71" s="321">
        <f t="shared" si="25"/>
        <v>0</v>
      </c>
      <c r="AU71" s="321">
        <f t="shared" si="25"/>
        <v>0</v>
      </c>
      <c r="AV71" s="321">
        <f t="shared" si="25"/>
        <v>0</v>
      </c>
      <c r="AW71" s="321">
        <f t="shared" si="25"/>
        <v>0</v>
      </c>
      <c r="AX71" s="321">
        <f t="shared" si="25"/>
        <v>0</v>
      </c>
      <c r="AY71" s="321">
        <f t="shared" si="25"/>
        <v>0</v>
      </c>
      <c r="AZ71" s="321">
        <f t="shared" si="25"/>
        <v>0</v>
      </c>
      <c r="BA71" s="321">
        <f t="shared" si="25"/>
        <v>0</v>
      </c>
      <c r="BB71" s="321">
        <f t="shared" si="25"/>
        <v>0</v>
      </c>
      <c r="BC71" s="239"/>
      <c r="BD71" s="173"/>
      <c r="BE71" s="173"/>
      <c r="BF71" s="1020"/>
      <c r="BG71" s="1020"/>
      <c r="BH71" s="1020"/>
      <c r="BI71" s="1020"/>
      <c r="BJ71" s="1021"/>
      <c r="BK71" s="1021"/>
    </row>
    <row r="72" spans="1:63" s="1229" customFormat="1" ht="10.5" customHeight="1">
      <c r="A72" s="1152"/>
      <c r="B72" s="783"/>
      <c r="C72" s="1152"/>
      <c r="D72" s="1152"/>
      <c r="E72" s="676">
        <v>11.4</v>
      </c>
      <c r="F72" s="779" t="str" cm="1">
        <f t="array" ref="F72">F71</f>
        <v>2</v>
      </c>
      <c r="G72" s="143" t="s">
        <v>479</v>
      </c>
      <c r="H72" s="1156"/>
      <c r="I72" s="1156"/>
      <c r="J72" s="1156"/>
      <c r="K72" s="1156"/>
      <c r="L72" s="1156"/>
      <c r="M72" s="1156"/>
      <c r="N72" s="1156"/>
      <c r="O72" s="1156"/>
      <c r="P72" s="1156"/>
      <c r="Q72" s="143"/>
      <c r="R72" s="143"/>
      <c r="S72" s="1156"/>
      <c r="T72" s="698" t="b" cm="1">
        <f t="array" ref="T72">T71</f>
        <v>1</v>
      </c>
      <c r="U72" s="1155"/>
      <c r="V72" s="1155"/>
      <c r="W72" s="1155"/>
      <c r="X72" s="1687"/>
      <c r="Y72" s="1155"/>
      <c r="Z72" s="1687"/>
      <c r="AA72" s="173"/>
      <c r="AB72" s="233">
        <v>1</v>
      </c>
      <c r="AC72" s="228" t="s">
        <v>1238</v>
      </c>
      <c r="AD72" s="227" t="s">
        <v>839</v>
      </c>
      <c r="AE72" s="229">
        <f t="shared" ref="AE72:BB72" si="26">SUMIF($AD73:$AD80,$AD72,AE73:AE80)</f>
        <v>0</v>
      </c>
      <c r="AF72" s="229">
        <f t="shared" si="26"/>
        <v>0</v>
      </c>
      <c r="AG72" s="229">
        <f t="shared" si="26"/>
        <v>0</v>
      </c>
      <c r="AH72" s="229">
        <f t="shared" si="26"/>
        <v>0</v>
      </c>
      <c r="AI72" s="229">
        <f t="shared" si="26"/>
        <v>0</v>
      </c>
      <c r="AJ72" s="242">
        <f t="shared" si="26"/>
        <v>0</v>
      </c>
      <c r="AK72" s="242">
        <f t="shared" si="26"/>
        <v>0</v>
      </c>
      <c r="AL72" s="242">
        <f t="shared" si="26"/>
        <v>0</v>
      </c>
      <c r="AM72" s="242">
        <f t="shared" si="26"/>
        <v>0</v>
      </c>
      <c r="AN72" s="1320">
        <f t="shared" si="26"/>
        <v>0</v>
      </c>
      <c r="AO72" s="1320">
        <f t="shared" si="26"/>
        <v>0</v>
      </c>
      <c r="AP72" s="1320">
        <f t="shared" si="26"/>
        <v>0</v>
      </c>
      <c r="AQ72" s="1320">
        <f t="shared" si="26"/>
        <v>0</v>
      </c>
      <c r="AR72" s="1320">
        <f t="shared" si="26"/>
        <v>0</v>
      </c>
      <c r="AS72" s="229">
        <f t="shared" si="26"/>
        <v>1508.80000352</v>
      </c>
      <c r="AT72" s="242">
        <f t="shared" si="26"/>
        <v>0</v>
      </c>
      <c r="AU72" s="242">
        <f t="shared" si="26"/>
        <v>0</v>
      </c>
      <c r="AV72" s="242">
        <f t="shared" si="26"/>
        <v>0</v>
      </c>
      <c r="AW72" s="242">
        <f t="shared" si="26"/>
        <v>0</v>
      </c>
      <c r="AX72" s="1320">
        <f t="shared" si="26"/>
        <v>0</v>
      </c>
      <c r="AY72" s="1320">
        <f t="shared" si="26"/>
        <v>0</v>
      </c>
      <c r="AZ72" s="1320">
        <f t="shared" si="26"/>
        <v>0</v>
      </c>
      <c r="BA72" s="1320">
        <f t="shared" si="26"/>
        <v>0</v>
      </c>
      <c r="BB72" s="1320">
        <f t="shared" si="26"/>
        <v>0</v>
      </c>
      <c r="BC72" s="1290"/>
      <c r="BD72" s="173"/>
      <c r="BE72" s="173"/>
      <c r="BF72" s="1020" t="s">
        <v>1063</v>
      </c>
      <c r="BG72" s="1020"/>
      <c r="BH72" s="1020"/>
      <c r="BI72" s="1020"/>
      <c r="BJ72" s="1021"/>
      <c r="BK72" s="1021"/>
    </row>
    <row r="73" spans="1:63" s="1229" customFormat="1" ht="0" hidden="1" customHeight="1">
      <c r="A73" s="1152"/>
      <c r="B73" s="783"/>
      <c r="C73" s="1152"/>
      <c r="D73" s="1152"/>
      <c r="E73" s="676">
        <v>0.2</v>
      </c>
      <c r="F73" s="779" t="str" cm="1">
        <f t="array" ref="F73">F72</f>
        <v>2</v>
      </c>
      <c r="G73" s="1156"/>
      <c r="H73" s="1156"/>
      <c r="I73" s="1156"/>
      <c r="J73" s="1156"/>
      <c r="K73" s="1156"/>
      <c r="L73" s="1156"/>
      <c r="M73" s="1156"/>
      <c r="N73" s="1156"/>
      <c r="O73" s="1156"/>
      <c r="P73" s="1156"/>
      <c r="Q73" s="143"/>
      <c r="R73" s="143"/>
      <c r="S73" s="1156"/>
      <c r="T73" s="698" t="b">
        <v>0</v>
      </c>
      <c r="U73" s="1155"/>
      <c r="V73" s="1155"/>
      <c r="W73" s="1155"/>
      <c r="X73" s="1687"/>
      <c r="Y73" s="1155"/>
      <c r="Z73" s="1687"/>
      <c r="AA73" s="173"/>
      <c r="AB73" s="233"/>
      <c r="AC73" s="228"/>
      <c r="AD73" s="227"/>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40"/>
      <c r="BD73" s="173"/>
      <c r="BE73" s="173"/>
      <c r="BF73" s="1020" t="str">
        <f>IF(AND(ISNUMBER(VALUE(TRIM(SUBSTITUTE(AB73,".","")))),TRIM(SUBSTITUTE(AB73,".",""))&lt;&gt;""),"P"&amp;SUBSTITUTE(AB73,".",""),"")</f>
        <v/>
      </c>
      <c r="BG73" s="1020"/>
      <c r="BH73" s="1020"/>
      <c r="BI73" s="1020"/>
      <c r="BJ73" s="1021"/>
      <c r="BK73" s="1021"/>
    </row>
    <row r="74" spans="1:63" s="1229" customFormat="1" ht="17.25" hidden="1" customHeight="1">
      <c r="A74" s="927" t="str">
        <f ca="1">"checkCosts_1."&amp;F74&amp;"."&amp;Y74</f>
        <v>checkCosts_1.2.0</v>
      </c>
      <c r="E74" s="676">
        <v>18</v>
      </c>
      <c r="F74" s="779" t="str" cm="1">
        <f t="array" aca="1" ref="F74" ca="1">OFFSET(G74,-1,-1)</f>
        <v>2</v>
      </c>
      <c r="G74" s="143" t="s">
        <v>479</v>
      </c>
      <c r="H74" s="106" cm="1">
        <f t="array" ref="H74">AC74</f>
        <v>0</v>
      </c>
      <c r="T74" s="698" t="b">
        <f ca="1">AND(F74&gt;0,Y74&gt;0)</f>
        <v>0</v>
      </c>
      <c r="W74" s="110" t="s">
        <v>236</v>
      </c>
      <c r="X74" s="1722"/>
      <c r="Y74" s="1687">
        <v>0</v>
      </c>
      <c r="Z74" s="1722"/>
      <c r="AA74" s="1806" t="s">
        <v>218</v>
      </c>
      <c r="AB74" s="235" t="str">
        <f>"1."&amp;Y74</f>
        <v>1.0</v>
      </c>
      <c r="AC74" s="396"/>
      <c r="AD74" s="227" t="s">
        <v>839</v>
      </c>
      <c r="AE74" s="279">
        <f>AE75*AE76/1000</f>
        <v>0</v>
      </c>
      <c r="AF74" s="17"/>
      <c r="AG74" s="17"/>
      <c r="AH74" s="279">
        <f>AH75*AH76/1000</f>
        <v>0</v>
      </c>
      <c r="AI74" s="230"/>
      <c r="AJ74" s="230"/>
      <c r="AK74" s="230"/>
      <c r="AL74" s="230"/>
      <c r="AM74" s="230"/>
      <c r="AN74" s="17"/>
      <c r="AO74" s="17"/>
      <c r="AP74" s="17"/>
      <c r="AQ74" s="17"/>
      <c r="AR74" s="17"/>
      <c r="AS74" s="279">
        <f t="shared" ref="AS74:BB74" si="27">AS75*AS76/1000</f>
        <v>0</v>
      </c>
      <c r="AT74" s="279">
        <f t="shared" si="27"/>
        <v>0</v>
      </c>
      <c r="AU74" s="279">
        <f t="shared" si="27"/>
        <v>0</v>
      </c>
      <c r="AV74" s="279">
        <f t="shared" si="27"/>
        <v>0</v>
      </c>
      <c r="AW74" s="279">
        <f t="shared" si="27"/>
        <v>0</v>
      </c>
      <c r="AX74" s="279">
        <f t="shared" si="27"/>
        <v>0</v>
      </c>
      <c r="AY74" s="279">
        <f t="shared" si="27"/>
        <v>0</v>
      </c>
      <c r="AZ74" s="279">
        <f t="shared" si="27"/>
        <v>0</v>
      </c>
      <c r="BA74" s="279">
        <f t="shared" si="27"/>
        <v>0</v>
      </c>
      <c r="BB74" s="279">
        <f t="shared" si="27"/>
        <v>0</v>
      </c>
      <c r="BC74" s="28"/>
      <c r="BF74" s="1020" t="s">
        <v>1064</v>
      </c>
      <c r="BG74" s="1020" t="s">
        <v>1239</v>
      </c>
      <c r="BH74" s="1020" cm="1">
        <f t="array" ref="BH74">AC74</f>
        <v>0</v>
      </c>
      <c r="BI74" s="1330" t="str" cm="1">
        <f t="array" ref="BI74">AD76</f>
        <v>Гкал</v>
      </c>
      <c r="BJ74" s="1021"/>
      <c r="BK74" s="1021" t="b">
        <v>1</v>
      </c>
    </row>
    <row r="75" spans="1:63" s="1229" customFormat="1" ht="16.5" hidden="1" customHeight="1">
      <c r="E75" s="676">
        <v>17</v>
      </c>
      <c r="F75" s="779" t="str" cm="1">
        <f t="array" ref="F75">F73</f>
        <v>2</v>
      </c>
      <c r="G75" s="143" t="s">
        <v>191</v>
      </c>
      <c r="H75" s="106" cm="1">
        <f t="array" ref="H75">H74</f>
        <v>0</v>
      </c>
      <c r="T75" s="698" t="b" cm="1">
        <f t="array" aca="1" ref="T75" ca="1">T74</f>
        <v>0</v>
      </c>
      <c r="X75" s="1722"/>
      <c r="Y75" s="1722"/>
      <c r="Z75" s="1722"/>
      <c r="AA75" s="1807"/>
      <c r="AB75" s="235" t="str">
        <f>AB74&amp;".1"</f>
        <v>1.0.1</v>
      </c>
      <c r="AC75" s="241" t="s">
        <v>1000</v>
      </c>
      <c r="AD75" s="1335" t="s">
        <v>243</v>
      </c>
      <c r="AE75" s="17"/>
      <c r="AF75" s="279">
        <f>IF(AF76=0,0,AF74/AF76)*1000</f>
        <v>0</v>
      </c>
      <c r="AG75" s="279">
        <f>IF(AG76=0,0,AG74/AG76)*1000</f>
        <v>0</v>
      </c>
      <c r="AH75" s="17"/>
      <c r="AI75" s="279">
        <f t="shared" ref="AI75:AR75" si="28">IF(AI76=0,0,AI74/AI76)*1000</f>
        <v>0</v>
      </c>
      <c r="AJ75" s="279">
        <f t="shared" si="28"/>
        <v>0</v>
      </c>
      <c r="AK75" s="279">
        <f t="shared" si="28"/>
        <v>0</v>
      </c>
      <c r="AL75" s="279">
        <f t="shared" si="28"/>
        <v>0</v>
      </c>
      <c r="AM75" s="279">
        <f t="shared" si="28"/>
        <v>0</v>
      </c>
      <c r="AN75" s="279">
        <f t="shared" si="28"/>
        <v>0</v>
      </c>
      <c r="AO75" s="279">
        <f t="shared" si="28"/>
        <v>0</v>
      </c>
      <c r="AP75" s="279">
        <f t="shared" si="28"/>
        <v>0</v>
      </c>
      <c r="AQ75" s="279">
        <f t="shared" si="28"/>
        <v>0</v>
      </c>
      <c r="AR75" s="279">
        <f t="shared" si="28"/>
        <v>0</v>
      </c>
      <c r="AS75" s="230"/>
      <c r="AT75" s="230"/>
      <c r="AU75" s="230"/>
      <c r="AV75" s="230"/>
      <c r="AW75" s="230"/>
      <c r="AX75" s="17"/>
      <c r="AY75" s="17"/>
      <c r="AZ75" s="17"/>
      <c r="BA75" s="17"/>
      <c r="BB75" s="17"/>
      <c r="BC75" s="28"/>
      <c r="BF75" s="1020" t="s">
        <v>1066</v>
      </c>
      <c r="BG75" s="1020" t="s">
        <v>1239</v>
      </c>
      <c r="BH75" s="1020" cm="1">
        <f t="array" ref="BH75">BH74</f>
        <v>0</v>
      </c>
      <c r="BI75" s="1020" t="str" cm="1">
        <f t="array" ref="BI75">BI74</f>
        <v>Гкал</v>
      </c>
      <c r="BJ75" s="1021"/>
      <c r="BK75" s="1021"/>
    </row>
    <row r="76" spans="1:63" s="1229" customFormat="1" ht="16.5" hidden="1" customHeight="1">
      <c r="A76" s="927" t="str">
        <f ca="1">"checkVolume_1."&amp;F76&amp;"."&amp;Y74</f>
        <v>checkVolume_1.2.0</v>
      </c>
      <c r="E76" s="676">
        <v>17</v>
      </c>
      <c r="F76" s="779" t="str" cm="1">
        <f t="array" aca="1" ref="F76" ca="1">F74</f>
        <v>2</v>
      </c>
      <c r="G76" s="143" t="s">
        <v>191</v>
      </c>
      <c r="H76" s="106" cm="1">
        <f t="array" ref="H76">H74</f>
        <v>0</v>
      </c>
      <c r="T76" s="698" t="b" cm="1">
        <f t="array" aca="1" ref="T76" ca="1">T74</f>
        <v>0</v>
      </c>
      <c r="X76" s="1722"/>
      <c r="Y76" s="1722"/>
      <c r="Z76" s="1722"/>
      <c r="AA76" s="1806"/>
      <c r="AB76" s="235" t="str">
        <f>AB74&amp;".2"</f>
        <v>1.0.2</v>
      </c>
      <c r="AC76" s="241" t="s">
        <v>1240</v>
      </c>
      <c r="AD76" s="1335" t="s">
        <v>634</v>
      </c>
      <c r="AE76" s="17"/>
      <c r="AF76" s="17"/>
      <c r="AG76" s="17"/>
      <c r="AH76" s="17"/>
      <c r="AI76" s="230"/>
      <c r="AJ76" s="230"/>
      <c r="AK76" s="230"/>
      <c r="AL76" s="230"/>
      <c r="AM76" s="230"/>
      <c r="AN76" s="17"/>
      <c r="AO76" s="17"/>
      <c r="AP76" s="17"/>
      <c r="AQ76" s="17"/>
      <c r="AR76" s="17"/>
      <c r="AS76" s="230"/>
      <c r="AT76" s="230"/>
      <c r="AU76" s="230"/>
      <c r="AV76" s="230"/>
      <c r="AW76" s="230"/>
      <c r="AX76" s="17"/>
      <c r="AY76" s="17"/>
      <c r="AZ76" s="17"/>
      <c r="BA76" s="17"/>
      <c r="BB76" s="17"/>
      <c r="BC76" s="28"/>
      <c r="BF76" s="1020" t="s">
        <v>1068</v>
      </c>
      <c r="BG76" s="1020" t="s">
        <v>1239</v>
      </c>
      <c r="BH76" s="1020" cm="1">
        <f t="array" ref="BH76">BH74</f>
        <v>0</v>
      </c>
      <c r="BI76" s="1330" t="str" cm="1">
        <f t="array" ref="BI76">BI74</f>
        <v>Гкал</v>
      </c>
      <c r="BJ76" s="1021"/>
      <c r="BK76" s="1021"/>
    </row>
    <row r="77" spans="1:63" s="1229" customFormat="1" ht="17.25" customHeight="1">
      <c r="A77" s="927" t="str">
        <f ca="1">"checkCosts_1."&amp;F77&amp;"."&amp;Y77</f>
        <v>checkCosts_1.2.1</v>
      </c>
      <c r="E77" s="676">
        <v>18</v>
      </c>
      <c r="F77" s="779" t="str" cm="1">
        <f t="array" aca="1" ref="F77" ca="1">OFFSET(G77,-1,-1)</f>
        <v>2</v>
      </c>
      <c r="G77" s="143" t="s">
        <v>479</v>
      </c>
      <c r="H77" s="106" t="str" cm="1">
        <f t="array" ref="H77">AC77</f>
        <v>ООО "СЭР"::4213011759::421301001</v>
      </c>
      <c r="T77" s="698" t="b">
        <f ca="1">AND(F77&gt;0,Y77&gt;0)</f>
        <v>1</v>
      </c>
      <c r="W77" s="110"/>
      <c r="X77" s="1722"/>
      <c r="Y77" s="1687" t="s">
        <v>341</v>
      </c>
      <c r="Z77" s="1722"/>
      <c r="AA77" s="1806" t="s">
        <v>218</v>
      </c>
      <c r="AB77" s="235" t="str">
        <f>"1."&amp;Y77</f>
        <v>1.1</v>
      </c>
      <c r="AC77" s="396" t="s">
        <v>1258</v>
      </c>
      <c r="AD77" s="227" t="s">
        <v>839</v>
      </c>
      <c r="AE77" s="279">
        <f>AE78*AE79/1000</f>
        <v>0</v>
      </c>
      <c r="AF77" s="1249"/>
      <c r="AG77" s="1249"/>
      <c r="AH77" s="279">
        <f>AH78*AH79/1000</f>
        <v>0</v>
      </c>
      <c r="AI77" s="230"/>
      <c r="AJ77" s="230"/>
      <c r="AK77" s="230"/>
      <c r="AL77" s="230"/>
      <c r="AM77" s="230"/>
      <c r="AN77" s="1249"/>
      <c r="AO77" s="1249"/>
      <c r="AP77" s="1249"/>
      <c r="AQ77" s="1249"/>
      <c r="AR77" s="1249"/>
      <c r="AS77" s="279">
        <f t="shared" ref="AS77:BB77" si="29">AS78*AS79/1000</f>
        <v>1508.80000352</v>
      </c>
      <c r="AT77" s="279">
        <f t="shared" si="29"/>
        <v>0</v>
      </c>
      <c r="AU77" s="279">
        <f t="shared" si="29"/>
        <v>0</v>
      </c>
      <c r="AV77" s="279">
        <f t="shared" si="29"/>
        <v>0</v>
      </c>
      <c r="AW77" s="279">
        <f t="shared" si="29"/>
        <v>0</v>
      </c>
      <c r="AX77" s="279">
        <f t="shared" si="29"/>
        <v>0</v>
      </c>
      <c r="AY77" s="279">
        <f t="shared" si="29"/>
        <v>0</v>
      </c>
      <c r="AZ77" s="279">
        <f t="shared" si="29"/>
        <v>0</v>
      </c>
      <c r="BA77" s="279">
        <f t="shared" si="29"/>
        <v>0</v>
      </c>
      <c r="BB77" s="279">
        <f t="shared" si="29"/>
        <v>0</v>
      </c>
      <c r="BC77" s="1290"/>
      <c r="BF77" s="1020" t="s">
        <v>1064</v>
      </c>
      <c r="BG77" s="1020" t="s">
        <v>1239</v>
      </c>
      <c r="BH77" s="1020" t="str" cm="1">
        <f t="array" ref="BH77">AC77</f>
        <v>ООО "СЭР"::4213011759::421301001</v>
      </c>
      <c r="BI77" s="1330" t="str" cm="1">
        <f t="array" ref="BI77">AD79</f>
        <v>Гкал</v>
      </c>
      <c r="BJ77" s="1021"/>
      <c r="BK77" s="1021" t="b">
        <v>1</v>
      </c>
    </row>
    <row r="78" spans="1:63" s="1229" customFormat="1" ht="16.5" customHeight="1">
      <c r="E78" s="676">
        <v>17</v>
      </c>
      <c r="F78" s="779" t="str" cm="1">
        <f t="array" aca="1" ref="F78" ca="1">F76</f>
        <v>2</v>
      </c>
      <c r="G78" s="143" t="s">
        <v>191</v>
      </c>
      <c r="H78" s="106" t="str" cm="1">
        <f t="array" ref="H78">H77</f>
        <v>ООО "СЭР"::4213011759::421301001</v>
      </c>
      <c r="T78" s="698" t="b" cm="1">
        <f t="array" aca="1" ref="T78" ca="1">T77</f>
        <v>1</v>
      </c>
      <c r="X78" s="1722"/>
      <c r="Y78" s="1722"/>
      <c r="Z78" s="1722"/>
      <c r="AA78" s="1807"/>
      <c r="AB78" s="235" t="str">
        <f>AB77&amp;".1"</f>
        <v>1.1.1</v>
      </c>
      <c r="AC78" s="241" t="s">
        <v>1000</v>
      </c>
      <c r="AD78" s="1336" t="s">
        <v>1027</v>
      </c>
      <c r="AE78" s="1249"/>
      <c r="AF78" s="279">
        <f>IF(AF79=0,0,AF77/AF79)*1000</f>
        <v>0</v>
      </c>
      <c r="AG78" s="279">
        <f>IF(AG79=0,0,AG77/AG79)*1000</f>
        <v>0</v>
      </c>
      <c r="AH78" s="1249"/>
      <c r="AI78" s="279">
        <f t="shared" ref="AI78:AR78" si="30">IF(AI79=0,0,AI77/AI79)*1000</f>
        <v>0</v>
      </c>
      <c r="AJ78" s="279">
        <f t="shared" si="30"/>
        <v>0</v>
      </c>
      <c r="AK78" s="279">
        <f t="shared" si="30"/>
        <v>0</v>
      </c>
      <c r="AL78" s="279">
        <f t="shared" si="30"/>
        <v>0</v>
      </c>
      <c r="AM78" s="279">
        <f t="shared" si="30"/>
        <v>0</v>
      </c>
      <c r="AN78" s="279">
        <f t="shared" si="30"/>
        <v>0</v>
      </c>
      <c r="AO78" s="279">
        <f t="shared" si="30"/>
        <v>0</v>
      </c>
      <c r="AP78" s="279">
        <f t="shared" si="30"/>
        <v>0</v>
      </c>
      <c r="AQ78" s="279">
        <f t="shared" si="30"/>
        <v>0</v>
      </c>
      <c r="AR78" s="279">
        <f t="shared" si="30"/>
        <v>0</v>
      </c>
      <c r="AS78" s="230">
        <v>2258.68264</v>
      </c>
      <c r="AT78" s="230"/>
      <c r="AU78" s="230"/>
      <c r="AV78" s="230"/>
      <c r="AW78" s="230"/>
      <c r="AX78" s="1249"/>
      <c r="AY78" s="1249"/>
      <c r="AZ78" s="1249"/>
      <c r="BA78" s="1249"/>
      <c r="BB78" s="1249"/>
      <c r="BC78" s="1290"/>
      <c r="BF78" s="1020" t="s">
        <v>1066</v>
      </c>
      <c r="BG78" s="1020" t="s">
        <v>1239</v>
      </c>
      <c r="BH78" s="1020" t="str" cm="1">
        <f t="array" ref="BH78">BH77</f>
        <v>ООО "СЭР"::4213011759::421301001</v>
      </c>
      <c r="BI78" s="1020" t="str" cm="1">
        <f t="array" ref="BI78">BI77</f>
        <v>Гкал</v>
      </c>
      <c r="BJ78" s="1021"/>
      <c r="BK78" s="1021"/>
    </row>
    <row r="79" spans="1:63" s="1229" customFormat="1" ht="16.5" customHeight="1">
      <c r="A79" s="927" t="str">
        <f ca="1">"checkVolume_1."&amp;F79&amp;"."&amp;Y77</f>
        <v>checkVolume_1.2.1</v>
      </c>
      <c r="E79" s="676">
        <v>17</v>
      </c>
      <c r="F79" s="779" t="str" cm="1">
        <f t="array" aca="1" ref="F79" ca="1">F77</f>
        <v>2</v>
      </c>
      <c r="G79" s="143" t="s">
        <v>191</v>
      </c>
      <c r="H79" s="106" t="str" cm="1">
        <f t="array" ref="H79">H77</f>
        <v>ООО "СЭР"::4213011759::421301001</v>
      </c>
      <c r="T79" s="698" t="b" cm="1">
        <f t="array" aca="1" ref="T79" ca="1">T77</f>
        <v>1</v>
      </c>
      <c r="X79" s="1722"/>
      <c r="Y79" s="1722"/>
      <c r="Z79" s="1722"/>
      <c r="AA79" s="1806"/>
      <c r="AB79" s="235" t="str">
        <f>AB77&amp;".2"</f>
        <v>1.1.2</v>
      </c>
      <c r="AC79" s="241" t="s">
        <v>1240</v>
      </c>
      <c r="AD79" s="1336" t="s">
        <v>634</v>
      </c>
      <c r="AE79" s="1249"/>
      <c r="AF79" s="1249"/>
      <c r="AG79" s="1249"/>
      <c r="AH79" s="1249"/>
      <c r="AI79" s="230"/>
      <c r="AJ79" s="230"/>
      <c r="AK79" s="230"/>
      <c r="AL79" s="230"/>
      <c r="AM79" s="230"/>
      <c r="AN79" s="1249"/>
      <c r="AO79" s="1249"/>
      <c r="AP79" s="1249"/>
      <c r="AQ79" s="1249"/>
      <c r="AR79" s="1249"/>
      <c r="AS79" s="230">
        <v>668</v>
      </c>
      <c r="AT79" s="230"/>
      <c r="AU79" s="230"/>
      <c r="AV79" s="230"/>
      <c r="AW79" s="230"/>
      <c r="AX79" s="1249"/>
      <c r="AY79" s="1249"/>
      <c r="AZ79" s="1249"/>
      <c r="BA79" s="1249"/>
      <c r="BB79" s="1249"/>
      <c r="BC79" s="1290"/>
      <c r="BF79" s="1020" t="s">
        <v>1068</v>
      </c>
      <c r="BG79" s="1020" t="s">
        <v>1239</v>
      </c>
      <c r="BH79" s="1020" t="str" cm="1">
        <f t="array" ref="BH79">BH77</f>
        <v>ООО "СЭР"::4213011759::421301001</v>
      </c>
      <c r="BI79" s="1330" t="str" cm="1">
        <f t="array" ref="BI79">BI77</f>
        <v>Гкал</v>
      </c>
      <c r="BJ79" s="1021"/>
      <c r="BK79" s="1021"/>
    </row>
    <row r="80" spans="1:63" s="1229" customFormat="1" ht="16.5" customHeight="1">
      <c r="A80" s="1152"/>
      <c r="B80" s="783"/>
      <c r="C80" s="1152"/>
      <c r="D80" s="1152"/>
      <c r="E80" s="676">
        <v>17</v>
      </c>
      <c r="F80" s="779" t="str" cm="1">
        <f t="array" ref="F80">F73</f>
        <v>2</v>
      </c>
      <c r="G80" s="143" t="str">
        <f>F80&amp;"pIns3"</f>
        <v>2pIns3</v>
      </c>
      <c r="H80" s="1156"/>
      <c r="I80" s="1156"/>
      <c r="J80" s="1156"/>
      <c r="K80" s="1156"/>
      <c r="L80" s="1156"/>
      <c r="M80" s="1156"/>
      <c r="N80" s="1156"/>
      <c r="O80" s="1156"/>
      <c r="P80" s="1156"/>
      <c r="Q80" s="143"/>
      <c r="R80" s="143"/>
      <c r="S80" s="1156"/>
      <c r="T80" s="698" t="b">
        <f>F80&gt;0</f>
        <v>1</v>
      </c>
      <c r="U80" s="1155"/>
      <c r="V80" s="1155"/>
      <c r="W80" s="318" t="s">
        <v>1241</v>
      </c>
      <c r="X80" s="1687"/>
      <c r="Y80" s="1155"/>
      <c r="Z80" s="1687"/>
      <c r="AA80" s="173"/>
      <c r="AB80" s="249"/>
      <c r="AC80" s="250" t="s">
        <v>1036</v>
      </c>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909"/>
      <c r="BD80" s="173"/>
      <c r="BE80" s="173"/>
      <c r="BF80" s="1020" t="str">
        <f>IF(AND(ISNUMBER(VALUE(TRIM(SUBSTITUTE(AB80,".","")))),TRIM(SUBSTITUTE(AB80,".",""))&lt;&gt;""),"P"&amp;SUBSTITUTE(AB80,".",""),"")</f>
        <v/>
      </c>
      <c r="BG80" s="1020"/>
      <c r="BH80" s="1020"/>
      <c r="BI80" s="1020"/>
      <c r="BJ80" s="1021" t="s">
        <v>1239</v>
      </c>
      <c r="BK80" s="1021"/>
    </row>
    <row r="81" spans="1:63" s="1229" customFormat="1" ht="16.5" customHeight="1">
      <c r="A81" s="1152"/>
      <c r="B81" s="783"/>
      <c r="C81" s="1152"/>
      <c r="D81" s="1152"/>
      <c r="E81" s="676">
        <v>17</v>
      </c>
      <c r="F81" s="779" t="str" cm="1">
        <f t="array" ref="F81">F80</f>
        <v>2</v>
      </c>
      <c r="G81" s="143" t="s">
        <v>1242</v>
      </c>
      <c r="H81" s="1156"/>
      <c r="I81" s="1156"/>
      <c r="J81" s="1156"/>
      <c r="K81" s="1156"/>
      <c r="L81" s="1156"/>
      <c r="M81" s="1156"/>
      <c r="N81" s="1156"/>
      <c r="O81" s="1156"/>
      <c r="P81" s="1156"/>
      <c r="Q81" s="143"/>
      <c r="R81" s="143"/>
      <c r="S81" s="1156"/>
      <c r="T81" s="698" t="b">
        <f>F81&gt;0</f>
        <v>1</v>
      </c>
      <c r="U81" s="1155"/>
      <c r="V81" s="1155"/>
      <c r="W81" s="1155"/>
      <c r="X81" s="1687"/>
      <c r="Y81" s="1155"/>
      <c r="Z81" s="1687"/>
      <c r="AA81" s="173"/>
      <c r="AB81" s="233">
        <v>2</v>
      </c>
      <c r="AC81" s="228" t="s">
        <v>1243</v>
      </c>
      <c r="AD81" s="227" t="s">
        <v>839</v>
      </c>
      <c r="AE81" s="229">
        <f t="shared" ref="AE81:BB81" si="31">SUMIF($AD82:$AD89,$AD81,AE82:AE89)</f>
        <v>0</v>
      </c>
      <c r="AF81" s="229">
        <f t="shared" si="31"/>
        <v>0</v>
      </c>
      <c r="AG81" s="229">
        <f t="shared" si="31"/>
        <v>0</v>
      </c>
      <c r="AH81" s="229">
        <f t="shared" si="31"/>
        <v>5301.9999999999009</v>
      </c>
      <c r="AI81" s="229">
        <f t="shared" si="31"/>
        <v>0</v>
      </c>
      <c r="AJ81" s="242">
        <f t="shared" si="31"/>
        <v>0</v>
      </c>
      <c r="AK81" s="242">
        <f t="shared" si="31"/>
        <v>0</v>
      </c>
      <c r="AL81" s="242">
        <f t="shared" si="31"/>
        <v>0</v>
      </c>
      <c r="AM81" s="242">
        <f t="shared" si="31"/>
        <v>0</v>
      </c>
      <c r="AN81" s="1320">
        <f t="shared" si="31"/>
        <v>0</v>
      </c>
      <c r="AO81" s="1320">
        <f t="shared" si="31"/>
        <v>0</v>
      </c>
      <c r="AP81" s="1320">
        <f t="shared" si="31"/>
        <v>0</v>
      </c>
      <c r="AQ81" s="1320">
        <f t="shared" si="31"/>
        <v>0</v>
      </c>
      <c r="AR81" s="1320">
        <f t="shared" si="31"/>
        <v>0</v>
      </c>
      <c r="AS81" s="229">
        <f t="shared" si="31"/>
        <v>7726.7651999999998</v>
      </c>
      <c r="AT81" s="242">
        <f t="shared" si="31"/>
        <v>0</v>
      </c>
      <c r="AU81" s="242">
        <f t="shared" si="31"/>
        <v>0</v>
      </c>
      <c r="AV81" s="242">
        <f t="shared" si="31"/>
        <v>0</v>
      </c>
      <c r="AW81" s="242">
        <f t="shared" si="31"/>
        <v>0</v>
      </c>
      <c r="AX81" s="1320">
        <f t="shared" si="31"/>
        <v>0</v>
      </c>
      <c r="AY81" s="1320">
        <f t="shared" si="31"/>
        <v>0</v>
      </c>
      <c r="AZ81" s="1320">
        <f t="shared" si="31"/>
        <v>0</v>
      </c>
      <c r="BA81" s="1320">
        <f t="shared" si="31"/>
        <v>0</v>
      </c>
      <c r="BB81" s="1320">
        <f t="shared" si="31"/>
        <v>0</v>
      </c>
      <c r="BC81" s="1290"/>
      <c r="BD81" s="173"/>
      <c r="BE81" s="173"/>
      <c r="BF81" s="1020" t="s">
        <v>1244</v>
      </c>
      <c r="BG81" s="1020"/>
      <c r="BH81" s="1020"/>
      <c r="BI81" s="1020"/>
      <c r="BJ81" s="1021"/>
      <c r="BK81" s="1021"/>
    </row>
    <row r="82" spans="1:63" s="1229" customFormat="1" ht="0" hidden="1" customHeight="1">
      <c r="A82" s="1152"/>
      <c r="B82" s="783"/>
      <c r="C82" s="1152"/>
      <c r="D82" s="1152"/>
      <c r="E82" s="676">
        <v>0.2</v>
      </c>
      <c r="F82" s="779" t="str" cm="1">
        <f t="array" ref="F82">F81</f>
        <v>2</v>
      </c>
      <c r="G82" s="1156"/>
      <c r="H82" s="1156"/>
      <c r="I82" s="1156"/>
      <c r="J82" s="1156"/>
      <c r="K82" s="1156"/>
      <c r="L82" s="1156"/>
      <c r="M82" s="1156"/>
      <c r="N82" s="1156"/>
      <c r="O82" s="1156"/>
      <c r="P82" s="1156"/>
      <c r="Q82" s="143"/>
      <c r="R82" s="143"/>
      <c r="S82" s="1156"/>
      <c r="T82" s="698" t="b">
        <v>0</v>
      </c>
      <c r="U82" s="1155"/>
      <c r="V82" s="1155"/>
      <c r="W82" s="1155"/>
      <c r="X82" s="1687"/>
      <c r="Y82" s="1155"/>
      <c r="Z82" s="1687"/>
      <c r="AA82" s="173"/>
      <c r="AB82" s="233"/>
      <c r="AC82" s="228"/>
      <c r="AD82" s="227"/>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40"/>
      <c r="BD82" s="173"/>
      <c r="BE82" s="173"/>
      <c r="BF82" s="1020" t="str">
        <f>IF(AND(ISNUMBER(VALUE(TRIM(SUBSTITUTE(AB82,".","")))),TRIM(SUBSTITUTE(AB82,".",""))&lt;&gt;""),"P"&amp;SUBSTITUTE(AB82,".",""),"")</f>
        <v/>
      </c>
      <c r="BG82" s="1020"/>
      <c r="BH82" s="1020"/>
      <c r="BI82" s="1020"/>
      <c r="BJ82" s="1021"/>
      <c r="BK82" s="1021"/>
    </row>
    <row r="83" spans="1:63" s="1229" customFormat="1" ht="17.25" hidden="1" customHeight="1">
      <c r="A83" s="927" t="str">
        <f ca="1">"checkCosts_2."&amp;F83&amp;"."&amp;Y83</f>
        <v>checkCosts_2.2.0</v>
      </c>
      <c r="E83" s="676">
        <v>18</v>
      </c>
      <c r="F83" s="779" t="str" cm="1">
        <f t="array" aca="1" ref="F83" ca="1">OFFSET(G83,-1,-1)</f>
        <v>2</v>
      </c>
      <c r="G83" s="143" t="s">
        <v>1242</v>
      </c>
      <c r="H83" s="106" cm="1">
        <f t="array" ref="H83">AC83</f>
        <v>0</v>
      </c>
      <c r="T83" s="698" t="b">
        <f ca="1">AND(F83&gt;0,Y83&gt;0)</f>
        <v>0</v>
      </c>
      <c r="W83" s="110" t="s">
        <v>236</v>
      </c>
      <c r="X83" s="1722"/>
      <c r="Y83" s="1687">
        <v>0</v>
      </c>
      <c r="Z83" s="1722"/>
      <c r="AA83" s="1806" t="s">
        <v>218</v>
      </c>
      <c r="AB83" s="235" t="str">
        <f>"2."&amp;Y83</f>
        <v>2.0</v>
      </c>
      <c r="AC83" s="396"/>
      <c r="AD83" s="227" t="s">
        <v>839</v>
      </c>
      <c r="AE83" s="279">
        <f>AE84*AE85</f>
        <v>0</v>
      </c>
      <c r="AF83" s="17"/>
      <c r="AG83" s="17"/>
      <c r="AH83" s="279">
        <f>AH84*AH85</f>
        <v>0</v>
      </c>
      <c r="AI83" s="230"/>
      <c r="AJ83" s="230"/>
      <c r="AK83" s="230"/>
      <c r="AL83" s="230"/>
      <c r="AM83" s="230"/>
      <c r="AN83" s="17"/>
      <c r="AO83" s="17"/>
      <c r="AP83" s="17"/>
      <c r="AQ83" s="17"/>
      <c r="AR83" s="17"/>
      <c r="AS83" s="279">
        <f t="shared" ref="AS83:BB83" si="32">AS84*AS85</f>
        <v>0</v>
      </c>
      <c r="AT83" s="279">
        <f t="shared" si="32"/>
        <v>0</v>
      </c>
      <c r="AU83" s="279">
        <f t="shared" si="32"/>
        <v>0</v>
      </c>
      <c r="AV83" s="279">
        <f t="shared" si="32"/>
        <v>0</v>
      </c>
      <c r="AW83" s="279">
        <f t="shared" si="32"/>
        <v>0</v>
      </c>
      <c r="AX83" s="279">
        <f t="shared" si="32"/>
        <v>0</v>
      </c>
      <c r="AY83" s="279">
        <f t="shared" si="32"/>
        <v>0</v>
      </c>
      <c r="AZ83" s="279">
        <f t="shared" si="32"/>
        <v>0</v>
      </c>
      <c r="BA83" s="279">
        <f t="shared" si="32"/>
        <v>0</v>
      </c>
      <c r="BB83" s="279">
        <f t="shared" si="32"/>
        <v>0</v>
      </c>
      <c r="BC83" s="28"/>
      <c r="BF83" s="1020" t="s">
        <v>1245</v>
      </c>
      <c r="BG83" s="1020" t="s">
        <v>1246</v>
      </c>
      <c r="BH83" s="1020" cm="1">
        <f t="array" ref="BH83">AC83</f>
        <v>0</v>
      </c>
      <c r="BI83" s="1330" t="str" cm="1">
        <f t="array" ref="BI83">AD85</f>
        <v>тыс.куб.м</v>
      </c>
      <c r="BJ83" s="1021"/>
      <c r="BK83" s="1021" t="b">
        <v>1</v>
      </c>
    </row>
    <row r="84" spans="1:63" s="1229" customFormat="1" ht="16.5" hidden="1" customHeight="1">
      <c r="E84" s="676">
        <v>17</v>
      </c>
      <c r="F84" s="779" t="str" cm="1">
        <f t="array" ref="F84">F82</f>
        <v>2</v>
      </c>
      <c r="G84" s="143" t="s">
        <v>201</v>
      </c>
      <c r="H84" s="106" cm="1">
        <f t="array" ref="H84">H83</f>
        <v>0</v>
      </c>
      <c r="T84" s="698" t="b" cm="1">
        <f t="array" aca="1" ref="T84" ca="1">T83</f>
        <v>0</v>
      </c>
      <c r="X84" s="1722"/>
      <c r="Y84" s="1722"/>
      <c r="Z84" s="1722"/>
      <c r="AA84" s="1807"/>
      <c r="AB84" s="235" t="str">
        <f>AB83&amp;".1"</f>
        <v>2.0.1</v>
      </c>
      <c r="AC84" s="241" t="s">
        <v>1000</v>
      </c>
      <c r="AD84" s="1337" t="s">
        <v>243</v>
      </c>
      <c r="AE84" s="17"/>
      <c r="AF84" s="279">
        <f>IF(AF85=0,0,AF83/AF85)</f>
        <v>0</v>
      </c>
      <c r="AG84" s="279">
        <f>IF(AG85=0,0,AG83/AG85)</f>
        <v>0</v>
      </c>
      <c r="AH84" s="17"/>
      <c r="AI84" s="279">
        <f t="shared" ref="AI84:AR84" si="33">IF(AI85=0,0,AI83/AI85)</f>
        <v>0</v>
      </c>
      <c r="AJ84" s="279">
        <f t="shared" si="33"/>
        <v>0</v>
      </c>
      <c r="AK84" s="279">
        <f t="shared" si="33"/>
        <v>0</v>
      </c>
      <c r="AL84" s="279">
        <f t="shared" si="33"/>
        <v>0</v>
      </c>
      <c r="AM84" s="279">
        <f t="shared" si="33"/>
        <v>0</v>
      </c>
      <c r="AN84" s="279">
        <f t="shared" si="33"/>
        <v>0</v>
      </c>
      <c r="AO84" s="279">
        <f t="shared" si="33"/>
        <v>0</v>
      </c>
      <c r="AP84" s="279">
        <f t="shared" si="33"/>
        <v>0</v>
      </c>
      <c r="AQ84" s="279">
        <f t="shared" si="33"/>
        <v>0</v>
      </c>
      <c r="AR84" s="279">
        <f t="shared" si="33"/>
        <v>0</v>
      </c>
      <c r="AS84" s="230"/>
      <c r="AT84" s="230"/>
      <c r="AU84" s="230"/>
      <c r="AV84" s="230"/>
      <c r="AW84" s="230"/>
      <c r="AX84" s="17"/>
      <c r="AY84" s="17"/>
      <c r="AZ84" s="17"/>
      <c r="BA84" s="17"/>
      <c r="BB84" s="17"/>
      <c r="BC84" s="28"/>
      <c r="BF84" s="1020" t="s">
        <v>1247</v>
      </c>
      <c r="BG84" s="1020" t="s">
        <v>1246</v>
      </c>
      <c r="BH84" s="1020" cm="1">
        <f t="array" ref="BH84">BH83</f>
        <v>0</v>
      </c>
      <c r="BI84" s="1020" t="str" cm="1">
        <f t="array" ref="BI84">BI83</f>
        <v>тыс.куб.м</v>
      </c>
      <c r="BJ84" s="1021"/>
      <c r="BK84" s="1021"/>
    </row>
    <row r="85" spans="1:63" s="1229" customFormat="1" ht="16.5" hidden="1" customHeight="1">
      <c r="A85" s="927" t="str">
        <f ca="1">"checkVolume_2."&amp;F85&amp;"."&amp;Y83</f>
        <v>checkVolume_2.2.0</v>
      </c>
      <c r="E85" s="676">
        <v>17</v>
      </c>
      <c r="F85" s="779" t="str" cm="1">
        <f t="array" aca="1" ref="F85" ca="1">F83</f>
        <v>2</v>
      </c>
      <c r="G85" s="143" t="s">
        <v>201</v>
      </c>
      <c r="H85" s="106" cm="1">
        <f t="array" ref="H85">H83</f>
        <v>0</v>
      </c>
      <c r="T85" s="698" t="b" cm="1">
        <f t="array" aca="1" ref="T85" ca="1">T83</f>
        <v>0</v>
      </c>
      <c r="X85" s="1722"/>
      <c r="Y85" s="1722"/>
      <c r="Z85" s="1722"/>
      <c r="AA85" s="1806"/>
      <c r="AB85" s="235" t="str">
        <f>AB83&amp;".2"</f>
        <v>2.0.2</v>
      </c>
      <c r="AC85" s="241" t="s">
        <v>1240</v>
      </c>
      <c r="AD85" s="1337" t="s">
        <v>1058</v>
      </c>
      <c r="AE85" s="17"/>
      <c r="AF85" s="17"/>
      <c r="AG85" s="17"/>
      <c r="AH85" s="17"/>
      <c r="AI85" s="230"/>
      <c r="AJ85" s="230"/>
      <c r="AK85" s="230"/>
      <c r="AL85" s="230"/>
      <c r="AM85" s="230"/>
      <c r="AN85" s="17"/>
      <c r="AO85" s="17"/>
      <c r="AP85" s="17"/>
      <c r="AQ85" s="17"/>
      <c r="AR85" s="17"/>
      <c r="AS85" s="230"/>
      <c r="AT85" s="230"/>
      <c r="AU85" s="230"/>
      <c r="AV85" s="230"/>
      <c r="AW85" s="230"/>
      <c r="AX85" s="17"/>
      <c r="AY85" s="17"/>
      <c r="AZ85" s="17"/>
      <c r="BA85" s="17"/>
      <c r="BB85" s="17"/>
      <c r="BC85" s="28"/>
      <c r="BF85" s="1020" t="s">
        <v>1248</v>
      </c>
      <c r="BG85" s="1020" t="s">
        <v>1246</v>
      </c>
      <c r="BH85" s="1020" cm="1">
        <f t="array" ref="BH85">BH83</f>
        <v>0</v>
      </c>
      <c r="BI85" s="1330" t="str" cm="1">
        <f t="array" ref="BI85">BI83</f>
        <v>тыс.куб.м</v>
      </c>
      <c r="BJ85" s="1021"/>
      <c r="BK85" s="1021"/>
    </row>
    <row r="86" spans="1:63" s="1229" customFormat="1" ht="17.25" customHeight="1">
      <c r="A86" s="927" t="str">
        <f ca="1">"checkCosts_2."&amp;F86&amp;"."&amp;Y86</f>
        <v>checkCosts_2.2.1</v>
      </c>
      <c r="E86" s="676">
        <v>18</v>
      </c>
      <c r="F86" s="779" t="str" cm="1">
        <f t="array" aca="1" ref="F86" ca="1">OFFSET(G86,-1,-1)</f>
        <v>2</v>
      </c>
      <c r="G86" s="143" t="s">
        <v>1242</v>
      </c>
      <c r="H86" s="106" t="str" cm="1">
        <f t="array" ref="H86">AC86</f>
        <v>ООО "ТВКХ"::4205375960::424601001</v>
      </c>
      <c r="T86" s="698" t="b">
        <f ca="1">AND(F86&gt;0,Y86&gt;0)</f>
        <v>1</v>
      </c>
      <c r="W86" s="110"/>
      <c r="X86" s="1722"/>
      <c r="Y86" s="1687" t="s">
        <v>341</v>
      </c>
      <c r="Z86" s="1722"/>
      <c r="AA86" s="1806" t="s">
        <v>218</v>
      </c>
      <c r="AB86" s="235" t="str">
        <f>"2."&amp;Y86</f>
        <v>2.1</v>
      </c>
      <c r="AC86" s="396" t="s">
        <v>1070</v>
      </c>
      <c r="AD86" s="227" t="s">
        <v>839</v>
      </c>
      <c r="AE86" s="279">
        <f>AE87*AE88</f>
        <v>0</v>
      </c>
      <c r="AF86" s="1249"/>
      <c r="AG86" s="1249"/>
      <c r="AH86" s="279">
        <f>AH87*AH88</f>
        <v>5301.9999999999009</v>
      </c>
      <c r="AI86" s="230"/>
      <c r="AJ86" s="230"/>
      <c r="AK86" s="230"/>
      <c r="AL86" s="230"/>
      <c r="AM86" s="230"/>
      <c r="AN86" s="1249"/>
      <c r="AO86" s="1249"/>
      <c r="AP86" s="1249"/>
      <c r="AQ86" s="1249"/>
      <c r="AR86" s="1249"/>
      <c r="AS86" s="279">
        <f t="shared" ref="AS86:BB86" si="34">AS87*AS88</f>
        <v>7726.7651999999998</v>
      </c>
      <c r="AT86" s="279">
        <f t="shared" si="34"/>
        <v>0</v>
      </c>
      <c r="AU86" s="279">
        <f t="shared" si="34"/>
        <v>0</v>
      </c>
      <c r="AV86" s="279">
        <f t="shared" si="34"/>
        <v>0</v>
      </c>
      <c r="AW86" s="279">
        <f t="shared" si="34"/>
        <v>0</v>
      </c>
      <c r="AX86" s="279">
        <f t="shared" si="34"/>
        <v>0</v>
      </c>
      <c r="AY86" s="279">
        <f t="shared" si="34"/>
        <v>0</v>
      </c>
      <c r="AZ86" s="279">
        <f t="shared" si="34"/>
        <v>0</v>
      </c>
      <c r="BA86" s="279">
        <f t="shared" si="34"/>
        <v>0</v>
      </c>
      <c r="BB86" s="279">
        <f t="shared" si="34"/>
        <v>0</v>
      </c>
      <c r="BC86" s="1290"/>
      <c r="BF86" s="1020" t="s">
        <v>1245</v>
      </c>
      <c r="BG86" s="1020" t="s">
        <v>1246</v>
      </c>
      <c r="BH86" s="1020" t="str" cm="1">
        <f t="array" ref="BH86">AC86</f>
        <v>ООО "ТВКХ"::4205375960::424601001</v>
      </c>
      <c r="BI86" s="1330" t="str" cm="1">
        <f t="array" ref="BI86">AD88</f>
        <v>тыс.куб.м</v>
      </c>
      <c r="BJ86" s="1021"/>
      <c r="BK86" s="1021" t="b">
        <v>1</v>
      </c>
    </row>
    <row r="87" spans="1:63" s="1229" customFormat="1" ht="16.5" customHeight="1">
      <c r="E87" s="676">
        <v>17</v>
      </c>
      <c r="F87" s="779" t="str" cm="1">
        <f t="array" aca="1" ref="F87" ca="1">F85</f>
        <v>2</v>
      </c>
      <c r="G87" s="143" t="s">
        <v>201</v>
      </c>
      <c r="H87" s="106" t="str" cm="1">
        <f t="array" ref="H87">H86</f>
        <v>ООО "ТВКХ"::4205375960::424601001</v>
      </c>
      <c r="T87" s="698" t="b" cm="1">
        <f t="array" aca="1" ref="T87" ca="1">T86</f>
        <v>1</v>
      </c>
      <c r="X87" s="1722"/>
      <c r="Y87" s="1722"/>
      <c r="Z87" s="1722"/>
      <c r="AA87" s="1807"/>
      <c r="AB87" s="235" t="str">
        <f>AB86&amp;".1"</f>
        <v>2.1.1</v>
      </c>
      <c r="AC87" s="241" t="s">
        <v>1000</v>
      </c>
      <c r="AD87" s="1338" t="s">
        <v>1259</v>
      </c>
      <c r="AE87" s="1249"/>
      <c r="AF87" s="279">
        <f>IF(AF88=0,0,AF86/AF88)</f>
        <v>0</v>
      </c>
      <c r="AG87" s="279">
        <f>IF(AG88=0,0,AG86/AG88)</f>
        <v>0</v>
      </c>
      <c r="AH87" s="1249">
        <v>109.255</v>
      </c>
      <c r="AI87" s="279">
        <f t="shared" ref="AI87:AR87" si="35">IF(AI88=0,0,AI86/AI88)</f>
        <v>0</v>
      </c>
      <c r="AJ87" s="279">
        <f t="shared" si="35"/>
        <v>0</v>
      </c>
      <c r="AK87" s="279">
        <f t="shared" si="35"/>
        <v>0</v>
      </c>
      <c r="AL87" s="279">
        <f t="shared" si="35"/>
        <v>0</v>
      </c>
      <c r="AM87" s="279">
        <f t="shared" si="35"/>
        <v>0</v>
      </c>
      <c r="AN87" s="279">
        <f t="shared" si="35"/>
        <v>0</v>
      </c>
      <c r="AO87" s="279">
        <f t="shared" si="35"/>
        <v>0</v>
      </c>
      <c r="AP87" s="279">
        <f t="shared" si="35"/>
        <v>0</v>
      </c>
      <c r="AQ87" s="279">
        <f t="shared" si="35"/>
        <v>0</v>
      </c>
      <c r="AR87" s="279">
        <f t="shared" si="35"/>
        <v>0</v>
      </c>
      <c r="AS87" s="230">
        <v>157.08000000000001</v>
      </c>
      <c r="AT87" s="230"/>
      <c r="AU87" s="230"/>
      <c r="AV87" s="230"/>
      <c r="AW87" s="230"/>
      <c r="AX87" s="1249"/>
      <c r="AY87" s="1249"/>
      <c r="AZ87" s="1249"/>
      <c r="BA87" s="1249"/>
      <c r="BB87" s="1249"/>
      <c r="BC87" s="1290"/>
      <c r="BF87" s="1020" t="s">
        <v>1247</v>
      </c>
      <c r="BG87" s="1020" t="s">
        <v>1246</v>
      </c>
      <c r="BH87" s="1020" t="str" cm="1">
        <f t="array" ref="BH87">BH86</f>
        <v>ООО "ТВКХ"::4205375960::424601001</v>
      </c>
      <c r="BI87" s="1020" t="str" cm="1">
        <f t="array" ref="BI87">BI86</f>
        <v>тыс.куб.м</v>
      </c>
      <c r="BJ87" s="1021"/>
      <c r="BK87" s="1021"/>
    </row>
    <row r="88" spans="1:63" s="1229" customFormat="1" ht="16.5" customHeight="1">
      <c r="A88" s="927" t="str">
        <f ca="1">"checkVolume_2."&amp;F88&amp;"."&amp;Y86</f>
        <v>checkVolume_2.2.1</v>
      </c>
      <c r="E88" s="676">
        <v>17</v>
      </c>
      <c r="F88" s="779" t="str" cm="1">
        <f t="array" aca="1" ref="F88" ca="1">F86</f>
        <v>2</v>
      </c>
      <c r="G88" s="143" t="s">
        <v>201</v>
      </c>
      <c r="H88" s="106" t="str" cm="1">
        <f t="array" ref="H88">H86</f>
        <v>ООО "ТВКХ"::4205375960::424601001</v>
      </c>
      <c r="T88" s="698" t="b" cm="1">
        <f t="array" aca="1" ref="T88" ca="1">T86</f>
        <v>1</v>
      </c>
      <c r="X88" s="1722"/>
      <c r="Y88" s="1722"/>
      <c r="Z88" s="1722"/>
      <c r="AA88" s="1806"/>
      <c r="AB88" s="235" t="str">
        <f>AB86&amp;".2"</f>
        <v>2.1.2</v>
      </c>
      <c r="AC88" s="241" t="s">
        <v>1240</v>
      </c>
      <c r="AD88" s="1338" t="s">
        <v>1058</v>
      </c>
      <c r="AE88" s="1249"/>
      <c r="AF88" s="1249"/>
      <c r="AG88" s="1249"/>
      <c r="AH88" s="1249">
        <v>48.528671456683</v>
      </c>
      <c r="AI88" s="230"/>
      <c r="AJ88" s="230"/>
      <c r="AK88" s="230"/>
      <c r="AL88" s="230"/>
      <c r="AM88" s="230"/>
      <c r="AN88" s="1249"/>
      <c r="AO88" s="1249"/>
      <c r="AP88" s="1249"/>
      <c r="AQ88" s="1249"/>
      <c r="AR88" s="1249"/>
      <c r="AS88" s="230">
        <v>49.19</v>
      </c>
      <c r="AT88" s="230"/>
      <c r="AU88" s="230"/>
      <c r="AV88" s="230"/>
      <c r="AW88" s="230"/>
      <c r="AX88" s="1249"/>
      <c r="AY88" s="1249"/>
      <c r="AZ88" s="1249"/>
      <c r="BA88" s="1249"/>
      <c r="BB88" s="1249"/>
      <c r="BC88" s="1290"/>
      <c r="BF88" s="1020" t="s">
        <v>1248</v>
      </c>
      <c r="BG88" s="1020" t="s">
        <v>1246</v>
      </c>
      <c r="BH88" s="1020" t="str" cm="1">
        <f t="array" ref="BH88">BH86</f>
        <v>ООО "ТВКХ"::4205375960::424601001</v>
      </c>
      <c r="BI88" s="1330" t="str" cm="1">
        <f t="array" ref="BI88">BI86</f>
        <v>тыс.куб.м</v>
      </c>
      <c r="BJ88" s="1021"/>
      <c r="BK88" s="1021"/>
    </row>
    <row r="89" spans="1:63" s="1229" customFormat="1" ht="16.5" customHeight="1">
      <c r="A89" s="1152"/>
      <c r="B89" s="783"/>
      <c r="C89" s="1152"/>
      <c r="D89" s="1152"/>
      <c r="E89" s="676">
        <v>17</v>
      </c>
      <c r="F89" s="779" t="str" cm="1">
        <f t="array" ref="F89">F82</f>
        <v>2</v>
      </c>
      <c r="G89" s="143" t="str">
        <f>F89&amp;"pIns5"</f>
        <v>2pIns5</v>
      </c>
      <c r="H89" s="1156"/>
      <c r="I89" s="1156"/>
      <c r="J89" s="1156"/>
      <c r="K89" s="1156"/>
      <c r="L89" s="1156"/>
      <c r="M89" s="1156"/>
      <c r="N89" s="1156"/>
      <c r="O89" s="1156"/>
      <c r="P89" s="1156"/>
      <c r="Q89" s="143"/>
      <c r="R89" s="143"/>
      <c r="S89" s="1156"/>
      <c r="T89" s="698" t="b">
        <f>F89&gt;0</f>
        <v>1</v>
      </c>
      <c r="U89" s="1155"/>
      <c r="V89" s="1155"/>
      <c r="W89" s="318" t="s">
        <v>1249</v>
      </c>
      <c r="X89" s="1687"/>
      <c r="Y89" s="1155"/>
      <c r="Z89" s="1687"/>
      <c r="AA89" s="173"/>
      <c r="AB89" s="249"/>
      <c r="AC89" s="250" t="s">
        <v>1036</v>
      </c>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909"/>
      <c r="BD89" s="173"/>
      <c r="BE89" s="173"/>
      <c r="BF89" s="1020" t="str">
        <f>IF(AND(ISNUMBER(VALUE(TRIM(SUBSTITUTE(AB89,".","")))),TRIM(SUBSTITUTE(AB89,".",""))&lt;&gt;""),"P"&amp;SUBSTITUTE(AB89,".",""),"")</f>
        <v/>
      </c>
      <c r="BG89" s="1020"/>
      <c r="BH89" s="1020"/>
      <c r="BI89" s="1020"/>
      <c r="BJ89" s="1021" t="s">
        <v>1246</v>
      </c>
      <c r="BK89" s="1021"/>
    </row>
    <row r="90" spans="1:63" s="1229" customFormat="1" ht="16.5" customHeight="1">
      <c r="A90" s="1152"/>
      <c r="B90" s="783"/>
      <c r="C90" s="1152"/>
      <c r="D90" s="1152"/>
      <c r="E90" s="676">
        <v>17</v>
      </c>
      <c r="F90" s="779" t="str" cm="1">
        <f t="array" ref="F90">F89</f>
        <v>2</v>
      </c>
      <c r="G90" s="143" t="s">
        <v>1250</v>
      </c>
      <c r="H90" s="1156"/>
      <c r="I90" s="1156"/>
      <c r="J90" s="1156"/>
      <c r="K90" s="1156"/>
      <c r="L90" s="1156"/>
      <c r="M90" s="1156"/>
      <c r="N90" s="1156"/>
      <c r="O90" s="1156"/>
      <c r="P90" s="1156"/>
      <c r="Q90" s="143"/>
      <c r="R90" s="143"/>
      <c r="S90" s="1156"/>
      <c r="T90" s="698" t="b">
        <f>F90&gt;0</f>
        <v>1</v>
      </c>
      <c r="U90" s="1155"/>
      <c r="V90" s="1155"/>
      <c r="W90" s="1155"/>
      <c r="X90" s="1687"/>
      <c r="Y90" s="1155"/>
      <c r="Z90" s="1687"/>
      <c r="AA90" s="173"/>
      <c r="AB90" s="233">
        <v>3</v>
      </c>
      <c r="AC90" s="228" t="s">
        <v>1251</v>
      </c>
      <c r="AD90" s="227" t="s">
        <v>839</v>
      </c>
      <c r="AE90" s="229">
        <f t="shared" ref="AE90:BB90" si="36">SUMIF($AD91:$AD95,$AD90,AE91:AE95)</f>
        <v>0</v>
      </c>
      <c r="AF90" s="229">
        <f t="shared" si="36"/>
        <v>0</v>
      </c>
      <c r="AG90" s="229">
        <f t="shared" si="36"/>
        <v>0</v>
      </c>
      <c r="AH90" s="229">
        <f t="shared" si="36"/>
        <v>0</v>
      </c>
      <c r="AI90" s="229">
        <f t="shared" si="36"/>
        <v>0</v>
      </c>
      <c r="AJ90" s="242">
        <f t="shared" si="36"/>
        <v>0</v>
      </c>
      <c r="AK90" s="242">
        <f t="shared" si="36"/>
        <v>0</v>
      </c>
      <c r="AL90" s="242">
        <f t="shared" si="36"/>
        <v>0</v>
      </c>
      <c r="AM90" s="242">
        <f t="shared" si="36"/>
        <v>0</v>
      </c>
      <c r="AN90" s="1320">
        <f t="shared" si="36"/>
        <v>0</v>
      </c>
      <c r="AO90" s="1320">
        <f t="shared" si="36"/>
        <v>0</v>
      </c>
      <c r="AP90" s="1320">
        <f t="shared" si="36"/>
        <v>0</v>
      </c>
      <c r="AQ90" s="1320">
        <f t="shared" si="36"/>
        <v>0</v>
      </c>
      <c r="AR90" s="1320">
        <f t="shared" si="36"/>
        <v>0</v>
      </c>
      <c r="AS90" s="229">
        <f t="shared" si="36"/>
        <v>0</v>
      </c>
      <c r="AT90" s="242">
        <f t="shared" si="36"/>
        <v>0</v>
      </c>
      <c r="AU90" s="242">
        <f t="shared" si="36"/>
        <v>0</v>
      </c>
      <c r="AV90" s="242">
        <f t="shared" si="36"/>
        <v>0</v>
      </c>
      <c r="AW90" s="242">
        <f t="shared" si="36"/>
        <v>0</v>
      </c>
      <c r="AX90" s="1320">
        <f t="shared" si="36"/>
        <v>0</v>
      </c>
      <c r="AY90" s="1320">
        <f t="shared" si="36"/>
        <v>0</v>
      </c>
      <c r="AZ90" s="1320">
        <f t="shared" si="36"/>
        <v>0</v>
      </c>
      <c r="BA90" s="1320">
        <f t="shared" si="36"/>
        <v>0</v>
      </c>
      <c r="BB90" s="1320">
        <f t="shared" si="36"/>
        <v>0</v>
      </c>
      <c r="BC90" s="1290"/>
      <c r="BD90" s="173"/>
      <c r="BE90" s="173"/>
      <c r="BF90" s="1020" t="s">
        <v>1252</v>
      </c>
      <c r="BG90" s="1020"/>
      <c r="BH90" s="1020"/>
      <c r="BI90" s="1020"/>
      <c r="BJ90" s="1021"/>
      <c r="BK90" s="1021"/>
    </row>
    <row r="91" spans="1:63" s="1229" customFormat="1" ht="0" hidden="1" customHeight="1">
      <c r="A91" s="1152"/>
      <c r="B91" s="783"/>
      <c r="C91" s="1152"/>
      <c r="D91" s="1152"/>
      <c r="E91" s="676">
        <v>0.2</v>
      </c>
      <c r="F91" s="779" t="str" cm="1">
        <f t="array" ref="F91">F90</f>
        <v>2</v>
      </c>
      <c r="G91" s="1156"/>
      <c r="H91" s="1156"/>
      <c r="I91" s="1156"/>
      <c r="J91" s="1156"/>
      <c r="K91" s="1156"/>
      <c r="L91" s="1156"/>
      <c r="M91" s="1156"/>
      <c r="N91" s="1156"/>
      <c r="O91" s="1156"/>
      <c r="P91" s="1156"/>
      <c r="Q91" s="143"/>
      <c r="R91" s="143"/>
      <c r="S91" s="1156"/>
      <c r="T91" s="698" t="b">
        <v>0</v>
      </c>
      <c r="U91" s="1155"/>
      <c r="V91" s="1155"/>
      <c r="W91" s="1155"/>
      <c r="X91" s="1687"/>
      <c r="Y91" s="1155"/>
      <c r="Z91" s="1687"/>
      <c r="AA91" s="173"/>
      <c r="AB91" s="233"/>
      <c r="AC91" s="228"/>
      <c r="AD91" s="227"/>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c r="BA91" s="231"/>
      <c r="BB91" s="231"/>
      <c r="BC91" s="240"/>
      <c r="BD91" s="173"/>
      <c r="BE91" s="173"/>
      <c r="BF91" s="1020" t="str">
        <f>IF(AND(ISNUMBER(VALUE(TRIM(SUBSTITUTE(AB91,".","")))),TRIM(SUBSTITUTE(AB91,".",""))&lt;&gt;""),"P"&amp;SUBSTITUTE(AB91,".",""),"")</f>
        <v/>
      </c>
      <c r="BG91" s="1020"/>
      <c r="BH91" s="1020"/>
      <c r="BI91" s="1020"/>
      <c r="BJ91" s="1021"/>
      <c r="BK91" s="1021"/>
    </row>
    <row r="92" spans="1:63" s="1229" customFormat="1" ht="21.75" hidden="1" customHeight="1">
      <c r="A92" s="927" t="str">
        <f ca="1">"checkCosts_3."&amp;F92&amp;"."&amp;Y92</f>
        <v>checkCosts_3.2.0</v>
      </c>
      <c r="B92" s="783"/>
      <c r="C92" s="1152"/>
      <c r="D92" s="1152"/>
      <c r="E92" s="676">
        <v>22.8</v>
      </c>
      <c r="F92" s="779" t="str" cm="1">
        <f t="array" aca="1" ref="F92" ca="1">OFFSET(G92,-1,-1)</f>
        <v>2</v>
      </c>
      <c r="G92" s="143" t="s">
        <v>1250</v>
      </c>
      <c r="H92" s="106" cm="1">
        <f t="array" ref="H92">AC92</f>
        <v>0</v>
      </c>
      <c r="I92" s="1156"/>
      <c r="J92" s="1156"/>
      <c r="K92" s="1156"/>
      <c r="L92" s="1156"/>
      <c r="M92" s="1156"/>
      <c r="N92" s="1156"/>
      <c r="O92" s="1156"/>
      <c r="P92" s="1156"/>
      <c r="Q92" s="143"/>
      <c r="R92" s="143"/>
      <c r="S92" s="1156"/>
      <c r="T92" s="698" t="b">
        <f ca="1">AND(F92&gt;0,Y92&gt;0)</f>
        <v>0</v>
      </c>
      <c r="U92" s="1155"/>
      <c r="V92" s="1155"/>
      <c r="W92" s="110" t="s">
        <v>236</v>
      </c>
      <c r="X92" s="1687"/>
      <c r="Y92" s="1687">
        <v>0</v>
      </c>
      <c r="Z92" s="1687"/>
      <c r="AA92" s="1806" t="s">
        <v>218</v>
      </c>
      <c r="AB92" s="235" t="str">
        <f>"3."&amp;Y92</f>
        <v>3.0</v>
      </c>
      <c r="AC92" s="9"/>
      <c r="AD92" s="227" t="s">
        <v>839</v>
      </c>
      <c r="AE92" s="279">
        <f>AE93*AE94</f>
        <v>0</v>
      </c>
      <c r="AF92" s="17"/>
      <c r="AG92" s="17"/>
      <c r="AH92" s="279">
        <f>AH93*AH94</f>
        <v>0</v>
      </c>
      <c r="AI92" s="230"/>
      <c r="AJ92" s="230"/>
      <c r="AK92" s="230"/>
      <c r="AL92" s="230"/>
      <c r="AM92" s="230"/>
      <c r="AN92" s="17"/>
      <c r="AO92" s="17"/>
      <c r="AP92" s="17"/>
      <c r="AQ92" s="17"/>
      <c r="AR92" s="17"/>
      <c r="AS92" s="279">
        <f t="shared" ref="AS92:BB92" si="37">AS93*AS94</f>
        <v>0</v>
      </c>
      <c r="AT92" s="279">
        <f t="shared" si="37"/>
        <v>0</v>
      </c>
      <c r="AU92" s="279">
        <f t="shared" si="37"/>
        <v>0</v>
      </c>
      <c r="AV92" s="279">
        <f t="shared" si="37"/>
        <v>0</v>
      </c>
      <c r="AW92" s="279">
        <f t="shared" si="37"/>
        <v>0</v>
      </c>
      <c r="AX92" s="279">
        <f t="shared" si="37"/>
        <v>0</v>
      </c>
      <c r="AY92" s="279">
        <f t="shared" si="37"/>
        <v>0</v>
      </c>
      <c r="AZ92" s="279">
        <f t="shared" si="37"/>
        <v>0</v>
      </c>
      <c r="BA92" s="279">
        <f t="shared" si="37"/>
        <v>0</v>
      </c>
      <c r="BB92" s="279">
        <f t="shared" si="37"/>
        <v>0</v>
      </c>
      <c r="BC92" s="28"/>
      <c r="BD92" s="173"/>
      <c r="BE92" s="173"/>
      <c r="BF92" s="1020" t="s">
        <v>1253</v>
      </c>
      <c r="BG92" s="1020" t="s">
        <v>1254</v>
      </c>
      <c r="BH92" s="1020" cm="1">
        <f t="array" ref="BH92">AC92</f>
        <v>0</v>
      </c>
      <c r="BI92" s="1020" cm="1">
        <f t="array" ref="BI92">AD94</f>
        <v>0</v>
      </c>
      <c r="BJ92" s="1021"/>
      <c r="BK92" s="1021" t="b">
        <v>1</v>
      </c>
    </row>
    <row r="93" spans="1:63" s="1229" customFormat="1" ht="16.5" hidden="1" customHeight="1">
      <c r="E93" s="676">
        <v>17</v>
      </c>
      <c r="F93" s="779" t="str" cm="1">
        <f t="array" ref="F93">F91</f>
        <v>2</v>
      </c>
      <c r="G93" s="143" t="s">
        <v>277</v>
      </c>
      <c r="H93" s="106" cm="1">
        <f t="array" ref="H93">H92</f>
        <v>0</v>
      </c>
      <c r="T93" s="698" t="b" cm="1">
        <f t="array" aca="1" ref="T93" ca="1">T92</f>
        <v>0</v>
      </c>
      <c r="X93" s="1722"/>
      <c r="Y93" s="1722"/>
      <c r="Z93" s="1722"/>
      <c r="AA93" s="1807"/>
      <c r="AB93" s="235" t="str">
        <f>AB92&amp;".1"</f>
        <v>3.0.1</v>
      </c>
      <c r="AC93" s="241" t="s">
        <v>1000</v>
      </c>
      <c r="AD93" s="1329" t="s">
        <v>243</v>
      </c>
      <c r="AE93" s="17"/>
      <c r="AF93" s="279">
        <f>IF(AF94=0,0,AF92/AF94)</f>
        <v>0</v>
      </c>
      <c r="AG93" s="279">
        <f>IF(AG94=0,0,AG92/AG94)</f>
        <v>0</v>
      </c>
      <c r="AH93" s="17"/>
      <c r="AI93" s="279">
        <f t="shared" ref="AI93:AR93" si="38">IF(AI94=0,0,AI92/AI94)</f>
        <v>0</v>
      </c>
      <c r="AJ93" s="279">
        <f t="shared" si="38"/>
        <v>0</v>
      </c>
      <c r="AK93" s="279">
        <f t="shared" si="38"/>
        <v>0</v>
      </c>
      <c r="AL93" s="279">
        <f t="shared" si="38"/>
        <v>0</v>
      </c>
      <c r="AM93" s="279">
        <f t="shared" si="38"/>
        <v>0</v>
      </c>
      <c r="AN93" s="279">
        <f t="shared" si="38"/>
        <v>0</v>
      </c>
      <c r="AO93" s="279">
        <f t="shared" si="38"/>
        <v>0</v>
      </c>
      <c r="AP93" s="279">
        <f t="shared" si="38"/>
        <v>0</v>
      </c>
      <c r="AQ93" s="279">
        <f t="shared" si="38"/>
        <v>0</v>
      </c>
      <c r="AR93" s="279">
        <f t="shared" si="38"/>
        <v>0</v>
      </c>
      <c r="AS93" s="230"/>
      <c r="AT93" s="230"/>
      <c r="AU93" s="230"/>
      <c r="AV93" s="230"/>
      <c r="AW93" s="230"/>
      <c r="AX93" s="17"/>
      <c r="AY93" s="17"/>
      <c r="AZ93" s="17"/>
      <c r="BA93" s="17"/>
      <c r="BB93" s="17"/>
      <c r="BC93" s="28"/>
      <c r="BF93" s="1020" t="s">
        <v>1255</v>
      </c>
      <c r="BG93" s="1020" t="s">
        <v>1254</v>
      </c>
      <c r="BH93" s="1020" cm="1">
        <f t="array" ref="BH93">BH92</f>
        <v>0</v>
      </c>
      <c r="BI93" s="1020" cm="1">
        <f t="array" ref="BI93">BI92</f>
        <v>0</v>
      </c>
      <c r="BJ93" s="1021"/>
      <c r="BK93" s="1021"/>
    </row>
    <row r="94" spans="1:63" s="1229" customFormat="1" ht="16.5" hidden="1" customHeight="1">
      <c r="A94" s="927" t="str">
        <f ca="1">"checkVolume_3."&amp;F94&amp;"."&amp;Y92</f>
        <v>checkVolume_3.2.0</v>
      </c>
      <c r="B94" s="783"/>
      <c r="C94" s="1152"/>
      <c r="D94" s="1152"/>
      <c r="E94" s="676">
        <v>17</v>
      </c>
      <c r="F94" s="779" t="str" cm="1">
        <f t="array" aca="1" ref="F94" ca="1">F92</f>
        <v>2</v>
      </c>
      <c r="G94" s="143" t="s">
        <v>277</v>
      </c>
      <c r="H94" s="106" cm="1">
        <f t="array" ref="H94">H92</f>
        <v>0</v>
      </c>
      <c r="I94" s="1156"/>
      <c r="J94" s="1156"/>
      <c r="K94" s="1156"/>
      <c r="L94" s="1156"/>
      <c r="M94" s="1156"/>
      <c r="N94" s="1156"/>
      <c r="O94" s="1156"/>
      <c r="P94" s="1156"/>
      <c r="Q94" s="143"/>
      <c r="R94" s="143"/>
      <c r="S94" s="1156"/>
      <c r="T94" s="698" t="b" cm="1">
        <f t="array" aca="1" ref="T94" ca="1">T92</f>
        <v>0</v>
      </c>
      <c r="U94" s="1155"/>
      <c r="V94" s="1155"/>
      <c r="W94" s="1155"/>
      <c r="X94" s="1687"/>
      <c r="Y94" s="1687"/>
      <c r="Z94" s="1687"/>
      <c r="AA94" s="1806"/>
      <c r="AB94" s="235" t="str">
        <f>AB92&amp;".2"</f>
        <v>3.0.2</v>
      </c>
      <c r="AC94" s="241" t="s">
        <v>1240</v>
      </c>
      <c r="AD94" s="1329"/>
      <c r="AE94" s="17"/>
      <c r="AF94" s="17"/>
      <c r="AG94" s="17"/>
      <c r="AH94" s="17"/>
      <c r="AI94" s="230"/>
      <c r="AJ94" s="230"/>
      <c r="AK94" s="230"/>
      <c r="AL94" s="230"/>
      <c r="AM94" s="230"/>
      <c r="AN94" s="17"/>
      <c r="AO94" s="17"/>
      <c r="AP94" s="17"/>
      <c r="AQ94" s="17"/>
      <c r="AR94" s="17"/>
      <c r="AS94" s="230"/>
      <c r="AT94" s="230"/>
      <c r="AU94" s="230"/>
      <c r="AV94" s="230"/>
      <c r="AW94" s="230"/>
      <c r="AX94" s="17"/>
      <c r="AY94" s="17"/>
      <c r="AZ94" s="17"/>
      <c r="BA94" s="17"/>
      <c r="BB94" s="17"/>
      <c r="BC94" s="28"/>
      <c r="BD94" s="173"/>
      <c r="BE94" s="173"/>
      <c r="BF94" s="1020" t="s">
        <v>1256</v>
      </c>
      <c r="BG94" s="1020" t="s">
        <v>1254</v>
      </c>
      <c r="BH94" s="1020" cm="1">
        <f t="array" ref="BH94">BH92</f>
        <v>0</v>
      </c>
      <c r="BI94" s="1020" cm="1">
        <f t="array" ref="BI94">BI92</f>
        <v>0</v>
      </c>
      <c r="BJ94" s="1021"/>
      <c r="BK94" s="1021"/>
    </row>
    <row r="95" spans="1:63" s="1229" customFormat="1" ht="16.5" customHeight="1">
      <c r="A95" s="1152"/>
      <c r="B95" s="783"/>
      <c r="C95" s="1152"/>
      <c r="D95" s="1152"/>
      <c r="E95" s="676">
        <v>17</v>
      </c>
      <c r="F95" s="779" t="str" cm="1">
        <f t="array" ref="F95">F91</f>
        <v>2</v>
      </c>
      <c r="G95" s="143" t="str">
        <f>F95&amp;"pIns5"</f>
        <v>2pIns5</v>
      </c>
      <c r="H95" s="1156"/>
      <c r="I95" s="1156"/>
      <c r="J95" s="1156"/>
      <c r="K95" s="1156"/>
      <c r="L95" s="1156"/>
      <c r="M95" s="1156"/>
      <c r="N95" s="1156"/>
      <c r="O95" s="1156"/>
      <c r="P95" s="1156"/>
      <c r="Q95" s="143"/>
      <c r="R95" s="143"/>
      <c r="S95" s="1156"/>
      <c r="T95" s="698" t="b">
        <f>F95&gt;0</f>
        <v>1</v>
      </c>
      <c r="U95" s="1155"/>
      <c r="V95" s="1155"/>
      <c r="W95" s="318" t="s">
        <v>1257</v>
      </c>
      <c r="X95" s="1687"/>
      <c r="Y95" s="1155"/>
      <c r="Z95" s="1687"/>
      <c r="AA95" s="173"/>
      <c r="AB95" s="249"/>
      <c r="AC95" s="250" t="s">
        <v>1036</v>
      </c>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909"/>
      <c r="BD95" s="173"/>
      <c r="BE95" s="173"/>
      <c r="BF95" s="1020"/>
      <c r="BG95" s="1020"/>
      <c r="BH95" s="1020"/>
      <c r="BI95" s="1020"/>
      <c r="BJ95" s="1021" t="s">
        <v>1254</v>
      </c>
      <c r="BK95" s="1021"/>
    </row>
    <row r="96" spans="1:63" ht="16.5" customHeight="1">
      <c r="E96" s="676">
        <v>17</v>
      </c>
      <c r="U96" s="129" t="s">
        <v>238</v>
      </c>
      <c r="V96" s="122" t="s">
        <v>1260</v>
      </c>
    </row>
    <row r="97" spans="1:63" ht="11.25" hidden="1" customHeight="1">
      <c r="E97" s="676">
        <v>0</v>
      </c>
      <c r="AB97" s="152"/>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row>
    <row r="98" spans="1:63" s="425" customFormat="1" ht="14.65" customHeight="1">
      <c r="A98" s="126"/>
      <c r="B98" s="667"/>
      <c r="C98" s="126"/>
      <c r="D98" s="126"/>
      <c r="E98" s="676">
        <v>15</v>
      </c>
      <c r="F98" s="126"/>
      <c r="Q98" s="620"/>
      <c r="R98" s="620"/>
      <c r="T98" s="126"/>
      <c r="U98" s="126"/>
      <c r="V98" s="126"/>
      <c r="W98" s="126"/>
      <c r="X98" s="126"/>
      <c r="Y98" s="126"/>
      <c r="Z98" s="126"/>
      <c r="AB98" s="1802" t="s">
        <v>734</v>
      </c>
      <c r="AC98" s="1802"/>
      <c r="AD98" s="1802"/>
      <c r="AE98" s="1802"/>
      <c r="AF98" s="1802"/>
      <c r="AG98" s="1802"/>
      <c r="AH98" s="1802"/>
      <c r="AI98" s="1803"/>
      <c r="AJ98" s="1803"/>
      <c r="AK98" s="1803"/>
      <c r="AL98" s="1803"/>
      <c r="AM98" s="1803"/>
      <c r="AN98" s="1803"/>
      <c r="AO98" s="1803"/>
      <c r="AP98" s="1803"/>
      <c r="AQ98" s="1803"/>
      <c r="AR98" s="1803"/>
      <c r="AS98" s="1803"/>
      <c r="AT98" s="1803"/>
      <c r="AU98" s="1803"/>
      <c r="AV98" s="1803"/>
      <c r="AW98" s="1803"/>
      <c r="AX98" s="1803"/>
      <c r="AY98" s="1803"/>
      <c r="AZ98" s="1803"/>
      <c r="BA98" s="1803"/>
      <c r="BB98" s="1803"/>
      <c r="BC98" s="1803"/>
      <c r="BF98" s="1024"/>
      <c r="BG98" s="1024"/>
      <c r="BH98" s="1024"/>
      <c r="BI98" s="1024"/>
      <c r="BJ98" s="1025"/>
      <c r="BK98" s="1025"/>
    </row>
    <row r="99" spans="1:63" s="425" customFormat="1" ht="14.65" customHeight="1">
      <c r="A99" s="126"/>
      <c r="B99" s="667"/>
      <c r="C99" s="126"/>
      <c r="D99" s="126"/>
      <c r="E99" s="676">
        <v>15</v>
      </c>
      <c r="F99" s="126"/>
      <c r="Q99" s="620"/>
      <c r="R99" s="620"/>
      <c r="T99" s="126"/>
      <c r="U99" s="126"/>
      <c r="V99" s="126"/>
      <c r="W99" s="126"/>
      <c r="X99" s="126"/>
      <c r="Y99" s="126"/>
      <c r="Z99" s="126"/>
      <c r="AA99" s="778"/>
      <c r="AB99" s="1804"/>
      <c r="AC99" s="1804"/>
      <c r="AD99" s="1804"/>
      <c r="AE99" s="1804"/>
      <c r="AF99" s="1804"/>
      <c r="AG99" s="1804"/>
      <c r="AH99" s="1804"/>
      <c r="AI99" s="1796"/>
      <c r="AJ99" s="1796"/>
      <c r="AK99" s="1796"/>
      <c r="AL99" s="1796"/>
      <c r="AM99" s="1796"/>
      <c r="AN99" s="1797"/>
      <c r="AO99" s="1797"/>
      <c r="AP99" s="1797"/>
      <c r="AQ99" s="1797"/>
      <c r="AR99" s="1797"/>
      <c r="AS99" s="1796"/>
      <c r="AT99" s="1796"/>
      <c r="AU99" s="1796"/>
      <c r="AV99" s="1796"/>
      <c r="AW99" s="1796"/>
      <c r="AX99" s="1797"/>
      <c r="AY99" s="1797"/>
      <c r="AZ99" s="1797"/>
      <c r="BA99" s="1797"/>
      <c r="BB99" s="1797"/>
      <c r="BC99" s="1796"/>
      <c r="BF99" s="1024"/>
      <c r="BG99" s="1024"/>
      <c r="BH99" s="1024"/>
      <c r="BI99" s="1024"/>
      <c r="BJ99" s="1025"/>
      <c r="BK99" s="1025"/>
    </row>
    <row r="100" spans="1:63" s="425" customFormat="1" ht="14.65" hidden="1" customHeight="1">
      <c r="A100" s="126"/>
      <c r="B100" s="667"/>
      <c r="C100" s="126"/>
      <c r="D100" s="126"/>
      <c r="E100" s="676">
        <v>15</v>
      </c>
      <c r="F100" s="126"/>
      <c r="Q100" s="620"/>
      <c r="R100" s="620"/>
      <c r="T100" s="687" t="b">
        <f>ROW(W100)&gt;ROW(W$100)</f>
        <v>0</v>
      </c>
      <c r="U100" s="126"/>
      <c r="V100" s="129"/>
      <c r="W100" s="126" t="s">
        <v>236</v>
      </c>
      <c r="X100" s="126"/>
      <c r="Y100" s="126"/>
      <c r="Z100" s="126"/>
      <c r="AA100" s="774" t="s">
        <v>218</v>
      </c>
      <c r="AB100" s="1795"/>
      <c r="AC100" s="1795"/>
      <c r="AD100" s="1795"/>
      <c r="AE100" s="1795"/>
      <c r="AF100" s="1795"/>
      <c r="AG100" s="1795"/>
      <c r="AH100" s="1795"/>
      <c r="AI100" s="1796"/>
      <c r="AJ100" s="1796"/>
      <c r="AK100" s="1796"/>
      <c r="AL100" s="1796"/>
      <c r="AM100" s="1796"/>
      <c r="AN100" s="1797"/>
      <c r="AO100" s="1797"/>
      <c r="AP100" s="1797"/>
      <c r="AQ100" s="1797"/>
      <c r="AR100" s="1797"/>
      <c r="AS100" s="1796"/>
      <c r="AT100" s="1796"/>
      <c r="AU100" s="1796"/>
      <c r="AV100" s="1796"/>
      <c r="AW100" s="1796"/>
      <c r="AX100" s="1797"/>
      <c r="AY100" s="1797"/>
      <c r="AZ100" s="1797"/>
      <c r="BA100" s="1797"/>
      <c r="BB100" s="1797"/>
      <c r="BC100" s="1797"/>
      <c r="BF100" s="1024"/>
      <c r="BG100" s="1024"/>
      <c r="BH100" s="1024"/>
      <c r="BI100" s="1024"/>
      <c r="BJ100" s="1025"/>
      <c r="BK100" s="1025"/>
    </row>
    <row r="101" spans="1:63" s="425" customFormat="1" ht="14.65" customHeight="1">
      <c r="A101" s="126"/>
      <c r="B101" s="667"/>
      <c r="C101" s="126"/>
      <c r="D101" s="126"/>
      <c r="E101" s="676">
        <v>15</v>
      </c>
      <c r="F101" s="126"/>
      <c r="Q101" s="620"/>
      <c r="R101" s="620"/>
      <c r="T101" s="126"/>
      <c r="U101" s="126"/>
      <c r="V101" s="126"/>
      <c r="W101" s="122" t="s">
        <v>1261</v>
      </c>
      <c r="X101" s="126"/>
      <c r="Y101" s="126"/>
      <c r="Z101" s="126"/>
      <c r="AB101" s="1736" t="s">
        <v>735</v>
      </c>
      <c r="AC101" s="1737"/>
      <c r="AD101" s="324"/>
      <c r="AE101" s="324"/>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6"/>
      <c r="BF101" s="1024"/>
      <c r="BG101" s="1024"/>
      <c r="BH101" s="1024"/>
      <c r="BI101" s="1024"/>
      <c r="BJ101" s="1025"/>
      <c r="BK101" s="1025"/>
    </row>
  </sheetData>
  <sheetProtection formatColumns="0" formatRows="0" insertRows="0" deleteColumns="0" deleteRows="0" sort="0" autoFilter="0"/>
  <mergeCells count="40">
    <mergeCell ref="X71:X95"/>
    <mergeCell ref="Y74:Y76"/>
    <mergeCell ref="Y83:Y85"/>
    <mergeCell ref="Y92:Y94"/>
    <mergeCell ref="Z71:Z95"/>
    <mergeCell ref="Y86:Y88"/>
    <mergeCell ref="Y77:Y79"/>
    <mergeCell ref="X46:X70"/>
    <mergeCell ref="Y49:Y51"/>
    <mergeCell ref="Y58:Y60"/>
    <mergeCell ref="Y67:Y69"/>
    <mergeCell ref="Z46:Z70"/>
    <mergeCell ref="Y61:Y63"/>
    <mergeCell ref="Y52:Y54"/>
    <mergeCell ref="AB24:AB25"/>
    <mergeCell ref="AC24:AC25"/>
    <mergeCell ref="AD24:AD25"/>
    <mergeCell ref="BC24:BC25"/>
    <mergeCell ref="AA30:AA32"/>
    <mergeCell ref="AB100:BC100"/>
    <mergeCell ref="AB101:AC101"/>
    <mergeCell ref="AB98:BC98"/>
    <mergeCell ref="AB99:BC99"/>
    <mergeCell ref="AA36:AA38"/>
    <mergeCell ref="AA42:AA44"/>
    <mergeCell ref="AA58:AA60"/>
    <mergeCell ref="AA67:AA69"/>
    <mergeCell ref="AA49:AA51"/>
    <mergeCell ref="AA61:AA63"/>
    <mergeCell ref="AA52:AA54"/>
    <mergeCell ref="AA83:AA85"/>
    <mergeCell ref="AA92:AA94"/>
    <mergeCell ref="AA74:AA76"/>
    <mergeCell ref="AA86:AA88"/>
    <mergeCell ref="AA77:AA79"/>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AE63 AF60:AF63 AG60:AG63 AH60:AH63 AI60:AI63 AJ60:AJ63 AK60:AK63 AL60:AL63 AM60:AM63 AN60:AN63 AO60:AO63 AP60:AP63 AQ60:AQ63 AR60:AR63 AS60:AS63 AT60:AT63 AU60:AU63 AV60:AV63 AW60:AW63 AX60:AX63 AY60:AY63 AZ60:AZ63 BA60:BA63 BB60:BB63 AE67 AF67 AG67 AH67 AI67 AJ67 AK67 AL67 AM67 AN67 AO67 AP67 AQ67 AR67 AS67 AT67 AU67 AV67 AW67 AX67 AY67 AZ67 BA67 BB67 AE68 AF68 AG68 AH68 AI68 AJ68 AK68 AL68 AM68 AN68 AO68 AP68 AQ68 AR68 AS68 AT68 AU68 AV68 AW68 AX68 AY68 AZ68 BA68 BB68 AE69 AF69 AG69 AH69 AI69 AJ69 AK69 AL69 AM69 AN69 AO69 AP69 AQ69 AR69 AS69 AT69 AU69 AV69 AW69 AX69 AY69 AZ69 BA69 BB69 AE74 AF74 AG74 AH74 AI74 AJ74 AK74 AL74 AM74 AN74 AO74 AP74 AQ74 AR74 AS74 AT74 AU74 AV74 AW74 AX74 AY74 AZ74 BA74 BB74 AE75 AF75 AG75 AH75 AI75 AJ75 AK75 AL75 AM75 AN75 AO75 AP75 AQ75 AR75 AS75 AT75 AU75 AV75 AW75 AX75 AY75 AZ75 BA75 BB75 AE76:AE79 AF76:AF79 AG76:AG79 AH76:AH79 AI76:AI79 AJ76:AJ79 AK76:AK79 AL76:AL79 AM76:AM79 AN76:AN79 AO76:AO79 AP76:AP79 AQ76:AQ79 AR76:AR79 AS76:AS79 AT76:AT79 AU76:AU79 AV76:AV79 AW76:AW79 AX76:AX79 AY76:AY79 AZ76:AZ79 BA76:BA79 BB76:BB79 AE83 AF83 AG83 AH83 AI83 AJ83 AK83 AL83 AM83 AN83 AO83 AP83 AQ83 AR83 AS83 AT83 AU83 AV83 AW83 AX83 AY83 AZ83 BA83 BB83 AE84 AF84 AG84 AH84 AI84 AJ84 AK84 AL84 AM84 AN84 AO84 AP84 AQ84 AR84 AS84 AT84 AU84 AV84 AW84 AX84 AY84 AZ84 BA84 BB84 AE85:AE88 AF85:AF88 AG85:AG88 AH85:AH88 AI85:AI88 AJ85:AJ88 AK85:AK88 AL85:AL88 AM85:AM88 AN85:AN88 AO85:AO88 AP85:AP88 AQ85:AQ88 AR85:AR88 AS85:AS88 AT85:AT88 AU85:AU88 AV85:AV88 AW85:AW88 AX85:AX88 AY85:AY88 AZ85:AZ88 BA85:BA88 BB85:BB88 AE92 AF92 AG92 AH92 AI92 AJ92 AK92 AL92 AM92 AN92 AO92 AP92 AQ92 AR92 AS92 AT92 AU92 AV92 AW92 AX92 AY92 AZ92 BA92 BB92 AE93 AF93 AG93 AH93 AI93 AJ93 AK93 AL93 AM93 AN93 AO93 AP93 AQ93 AR93 AS93 AT93 AU93 AV93 AW93 AX93 AY93 AZ93 BA93 BB93 AE94 AF94 AG94 AH94 AI94 AJ94 AK94 AL94 AM94 AN94 AO94 AP94 AQ94 AR94 AS94 AT94 AU94 AV94 AW94 AX94 AY94 AZ94 BA94 BB94"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14A8-2278-D668-D0B8-BC3442ABF66F}">
  <sheetPr>
    <tabColor rgb="FF002060"/>
    <outlinePr summaryBelow="0"/>
    <pageSetUpPr fitToPage="1"/>
  </sheetPr>
  <dimension ref="A1:AR120"/>
  <sheetViews>
    <sheetView showGridLines="0" workbookViewId="0">
      <pane xSplit="30" ySplit="26" topLeftCell="AE82" activePane="bottomRight" state="frozen"/>
      <selection pane="topRight" activeCell="AE1" sqref="AE1"/>
      <selection pane="bottomLeft" activeCell="A27" sqref="A27"/>
      <selection pane="bottomRight" activeCell="AH99" sqref="AH99"/>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425" hidden="1" customWidth="1"/>
    <col min="17" max="18" width="3.5703125" style="784" hidden="1" customWidth="1"/>
    <col min="19" max="19" width="3.5703125" style="425" hidden="1" customWidth="1"/>
    <col min="20" max="20" width="8.5703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5" customWidth="1"/>
    <col min="28" max="28" width="5.140625" style="425" customWidth="1"/>
    <col min="29" max="29" width="56.7109375" style="425" customWidth="1"/>
    <col min="30" max="30" width="12.140625" style="425" customWidth="1"/>
    <col min="31" max="36" width="13.140625" style="425" customWidth="1"/>
    <col min="37" max="37" width="30.7109375" style="425" customWidth="1"/>
    <col min="38" max="38" width="3" style="425" customWidth="1"/>
    <col min="39" max="39" width="9.140625" style="425" hidden="1"/>
    <col min="40" max="40" width="16.42578125" style="1015" hidden="1" customWidth="1"/>
    <col min="41" max="41" width="11.7109375" style="1015" hidden="1" customWidth="1"/>
    <col min="42" max="42" width="11.28515625" style="1015" hidden="1" customWidth="1"/>
    <col min="43" max="43" width="16.140625" style="1026" hidden="1" customWidth="1"/>
    <col min="44" max="44" width="9.140625" style="1026" hidden="1"/>
  </cols>
  <sheetData>
    <row r="1" spans="1:44" s="1153" customFormat="1" ht="12" hidden="1" customHeight="1">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382</v>
      </c>
      <c r="Z1" s="687" t="s">
        <v>93</v>
      </c>
      <c r="AA1" s="698" t="s">
        <v>90</v>
      </c>
      <c r="AB1" s="698" t="s">
        <v>92</v>
      </c>
      <c r="AC1" s="698" t="s">
        <v>92</v>
      </c>
      <c r="AN1" s="981" t="s">
        <v>383</v>
      </c>
      <c r="AO1" s="981" t="s">
        <v>384</v>
      </c>
      <c r="AP1" s="981" t="s">
        <v>385</v>
      </c>
      <c r="AQ1" s="984" t="s">
        <v>388</v>
      </c>
      <c r="AR1" s="984" t="s">
        <v>389</v>
      </c>
    </row>
    <row r="2" spans="1:44" s="783" customFormat="1" ht="12" hidden="1" customHeight="1">
      <c r="B2" s="768" t="s">
        <v>15</v>
      </c>
      <c r="G2" s="786"/>
      <c r="H2" s="786"/>
      <c r="I2" s="786"/>
      <c r="J2" s="786"/>
      <c r="K2" s="786"/>
      <c r="L2" s="786"/>
      <c r="M2" s="786"/>
      <c r="N2" s="786"/>
      <c r="O2" s="786"/>
      <c r="P2" s="786"/>
      <c r="Q2" s="786"/>
      <c r="R2" s="786"/>
      <c r="S2" s="786"/>
      <c r="AI2" s="688" t="b">
        <f>AI6&lt;=last_year_vis</f>
        <v>1</v>
      </c>
      <c r="AJ2" s="688" t="b">
        <f>AJ6&lt;=last_year_vis</f>
        <v>1</v>
      </c>
      <c r="AN2" s="973"/>
      <c r="AO2" s="973"/>
      <c r="AP2" s="973"/>
      <c r="AQ2" s="985"/>
      <c r="AR2" s="985"/>
    </row>
    <row r="3" spans="1:44" s="1153" customFormat="1" ht="12" hidden="1" customHeight="1">
      <c r="B3" s="667"/>
      <c r="E3" s="667"/>
      <c r="G3" s="163"/>
      <c r="H3" s="163"/>
      <c r="I3" s="163"/>
      <c r="J3" s="163"/>
      <c r="K3" s="163"/>
      <c r="L3" s="163"/>
      <c r="M3" s="163"/>
      <c r="N3" s="163"/>
      <c r="O3" s="163"/>
      <c r="P3" s="163"/>
      <c r="Q3" s="620"/>
      <c r="R3" s="620"/>
      <c r="S3" s="163"/>
      <c r="AN3" s="981"/>
      <c r="AO3" s="981"/>
      <c r="AP3" s="981"/>
      <c r="AQ3" s="984"/>
      <c r="AR3" s="984"/>
    </row>
    <row r="4" spans="1:44" s="1153" customFormat="1" ht="12" hidden="1" customHeight="1">
      <c r="B4" s="667"/>
      <c r="E4" s="667"/>
      <c r="G4" s="163"/>
      <c r="H4" s="163"/>
      <c r="I4" s="163"/>
      <c r="J4" s="163"/>
      <c r="K4" s="163"/>
      <c r="L4" s="163"/>
      <c r="M4" s="163"/>
      <c r="N4" s="163"/>
      <c r="O4" s="163"/>
      <c r="P4" s="163"/>
      <c r="Q4" s="620"/>
      <c r="R4" s="620"/>
      <c r="S4" s="163"/>
      <c r="AN4" s="981"/>
      <c r="AO4" s="981"/>
      <c r="AP4" s="981"/>
      <c r="AQ4" s="984"/>
      <c r="AR4" s="984"/>
    </row>
    <row r="5" spans="1:44"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5.13</v>
      </c>
      <c r="AC5" s="676">
        <v>56.75</v>
      </c>
      <c r="AD5" s="676">
        <v>12.13</v>
      </c>
      <c r="AE5" s="676">
        <v>13.13</v>
      </c>
      <c r="AF5" s="676">
        <v>13.13</v>
      </c>
      <c r="AG5" s="676">
        <v>13.13</v>
      </c>
      <c r="AH5" s="676">
        <v>13.13</v>
      </c>
      <c r="AI5" s="676">
        <v>13.13</v>
      </c>
      <c r="AJ5" s="676">
        <v>13.13</v>
      </c>
      <c r="AK5" s="676">
        <v>30.75</v>
      </c>
      <c r="AL5" s="676">
        <v>3</v>
      </c>
      <c r="AN5" s="973"/>
      <c r="AO5" s="973"/>
      <c r="AP5" s="973"/>
      <c r="AQ5" s="985"/>
      <c r="AR5" s="985"/>
    </row>
    <row r="6" spans="1:44" s="1153" customFormat="1" ht="12" hidden="1" customHeight="1">
      <c r="B6" s="667"/>
      <c r="E6" s="676"/>
      <c r="G6" s="163"/>
      <c r="H6" s="163"/>
      <c r="I6" s="163"/>
      <c r="J6" s="163"/>
      <c r="K6" s="163"/>
      <c r="L6" s="163"/>
      <c r="M6" s="163"/>
      <c r="N6" s="163"/>
      <c r="O6" s="163"/>
      <c r="P6" s="163"/>
      <c r="Q6" s="620"/>
      <c r="R6" s="620"/>
      <c r="S6" s="163"/>
      <c r="AE6" s="126">
        <f>god-2</f>
        <v>2024</v>
      </c>
      <c r="AF6" s="126">
        <f>god-2</f>
        <v>2024</v>
      </c>
      <c r="AG6" s="126">
        <f>god-2</f>
        <v>2024</v>
      </c>
      <c r="AH6" s="126">
        <f>god-1</f>
        <v>2025</v>
      </c>
      <c r="AI6" s="126" cm="1">
        <f t="array" ref="AI6">god</f>
        <v>2026</v>
      </c>
      <c r="AJ6" s="126" cm="1">
        <f t="array" ref="AJ6">god</f>
        <v>2026</v>
      </c>
      <c r="AK6" s="133"/>
      <c r="AN6" s="981"/>
      <c r="AO6" s="981"/>
      <c r="AP6" s="981"/>
      <c r="AQ6" s="984"/>
      <c r="AR6" s="984"/>
    </row>
    <row r="7" spans="1:44" ht="12" hidden="1" customHeight="1">
      <c r="F7" s="163"/>
      <c r="T7" s="163"/>
      <c r="U7" s="163"/>
      <c r="V7" s="163"/>
      <c r="W7" s="163"/>
      <c r="X7" s="163"/>
      <c r="Y7" s="163"/>
      <c r="Z7" s="163"/>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AJ25</f>
        <v>Принято органом регулирования</v>
      </c>
    </row>
    <row r="8" spans="1:44" ht="12" hidden="1" customHeight="1">
      <c r="F8" s="163"/>
      <c r="T8" s="163"/>
      <c r="U8" s="163"/>
      <c r="V8" s="163"/>
      <c r="W8" s="163"/>
      <c r="X8" s="163"/>
      <c r="Y8" s="163"/>
      <c r="Z8" s="163"/>
      <c r="AE8" s="163" t="str">
        <f t="shared" ref="AE8:AJ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2025Принято органом регулирования</v>
      </c>
      <c r="AI8" s="163" t="str">
        <f t="shared" si="0"/>
        <v>2026Предложение организации</v>
      </c>
      <c r="AJ8" s="163" t="str">
        <f t="shared" si="0"/>
        <v>2026Принято органом регулирования</v>
      </c>
    </row>
    <row r="9" spans="1:44" s="1013" customFormat="1" ht="12" hidden="1" customHeight="1">
      <c r="A9" s="958" t="s">
        <v>472</v>
      </c>
      <c r="B9" s="951"/>
      <c r="E9" s="951"/>
      <c r="Q9" s="960"/>
      <c r="R9" s="960"/>
      <c r="AE9" s="959">
        <f>god-2</f>
        <v>2024</v>
      </c>
      <c r="AF9" s="959">
        <f>god-2</f>
        <v>2024</v>
      </c>
      <c r="AG9" s="959">
        <f>god-2</f>
        <v>2024</v>
      </c>
      <c r="AH9" s="959">
        <f>god-1</f>
        <v>2025</v>
      </c>
      <c r="AI9" s="959" cm="1">
        <f t="array" ref="AI9">god</f>
        <v>2026</v>
      </c>
      <c r="AJ9" s="959" cm="1">
        <f t="array" ref="AJ9">god</f>
        <v>2026</v>
      </c>
      <c r="AN9" s="981"/>
      <c r="AO9" s="981"/>
      <c r="AP9" s="981"/>
      <c r="AQ9" s="984"/>
      <c r="AR9" s="984"/>
    </row>
    <row r="10" spans="1:44" s="1013" customFormat="1" ht="12" hidden="1" customHeight="1">
      <c r="A10" s="958" t="s">
        <v>473</v>
      </c>
      <c r="B10" s="951"/>
      <c r="E10" s="951"/>
      <c r="Q10" s="960"/>
      <c r="R10" s="960"/>
      <c r="AE10" s="959" t="str" cm="1">
        <f t="array" ref="AE10">AE25</f>
        <v>Принято органом регулирования</v>
      </c>
      <c r="AF10" s="959" t="str" cm="1">
        <f t="array" ref="AF10">AF25</f>
        <v>Факт по данным организации</v>
      </c>
      <c r="AG10" s="959" t="str" cm="1">
        <f t="array" ref="AG10">AG25</f>
        <v>Факт, принятый органом регулирования</v>
      </c>
      <c r="AH10" s="959" t="str" cm="1">
        <f t="array" ref="AH10">AH25</f>
        <v>Принято органом регулирования</v>
      </c>
      <c r="AI10" s="959" t="str" cm="1">
        <f t="array" ref="AI10">AI25</f>
        <v>Предложение организации</v>
      </c>
      <c r="AJ10" s="959" t="str" cm="1">
        <f t="array" ref="AJ10">AJ25</f>
        <v>Принято органом регулирования</v>
      </c>
      <c r="AN10" s="981"/>
      <c r="AO10" s="981"/>
      <c r="AP10" s="981"/>
      <c r="AQ10" s="984"/>
      <c r="AR10" s="984"/>
    </row>
    <row r="11" spans="1:44" s="1016" customFormat="1" ht="12" hidden="1" customHeight="1">
      <c r="A11" s="958" t="s">
        <v>474</v>
      </c>
      <c r="B11" s="951"/>
      <c r="C11" s="959"/>
      <c r="D11" s="959"/>
      <c r="E11" s="951"/>
      <c r="Q11" s="982"/>
      <c r="R11" s="982"/>
      <c r="AK11" s="967" t="str" cm="1">
        <f t="array" ref="AK11">AK24</f>
        <v>Ссылка на правовую норму (основание для принятия показателя в расчет тарифа)</v>
      </c>
      <c r="AN11" s="981"/>
      <c r="AO11" s="981"/>
      <c r="AP11" s="981"/>
      <c r="AQ11" s="984"/>
      <c r="AR11" s="984"/>
    </row>
    <row r="12" spans="1:44" s="1013" customFormat="1" ht="12" hidden="1" customHeight="1">
      <c r="A12" s="958" t="s">
        <v>394</v>
      </c>
      <c r="B12" s="951"/>
      <c r="E12" s="951"/>
      <c r="G12" s="967"/>
      <c r="H12" s="967"/>
      <c r="I12" s="967"/>
      <c r="J12" s="967"/>
      <c r="K12" s="967"/>
      <c r="L12" s="967"/>
      <c r="M12" s="967"/>
      <c r="N12" s="967"/>
      <c r="O12" s="967"/>
      <c r="P12" s="967"/>
      <c r="Q12" s="982"/>
      <c r="R12" s="982"/>
      <c r="S12" s="967"/>
      <c r="AC12" s="959" t="s">
        <v>385</v>
      </c>
      <c r="AN12" s="981"/>
      <c r="AO12" s="981"/>
      <c r="AP12" s="981"/>
      <c r="AQ12" s="984"/>
      <c r="AR12" s="984"/>
    </row>
    <row r="13" spans="1:44" s="1153" customFormat="1" ht="12" hidden="1" customHeight="1">
      <c r="B13" s="667"/>
      <c r="E13" s="676"/>
      <c r="G13" s="163"/>
      <c r="H13" s="163"/>
      <c r="I13" s="163"/>
      <c r="J13" s="163"/>
      <c r="K13" s="163"/>
      <c r="L13" s="163"/>
      <c r="M13" s="163"/>
      <c r="N13" s="163"/>
      <c r="O13" s="163"/>
      <c r="P13" s="163"/>
      <c r="Q13" s="620"/>
      <c r="R13" s="620"/>
      <c r="S13" s="163"/>
      <c r="AN13" s="981"/>
      <c r="AO13" s="981"/>
      <c r="AP13" s="981"/>
      <c r="AQ13" s="984"/>
      <c r="AR13" s="984"/>
    </row>
    <row r="14" spans="1:44" s="1153" customFormat="1" ht="12" hidden="1" customHeight="1">
      <c r="B14" s="667"/>
      <c r="E14" s="676"/>
      <c r="G14" s="163"/>
      <c r="H14" s="163"/>
      <c r="I14" s="163"/>
      <c r="J14" s="163"/>
      <c r="K14" s="163"/>
      <c r="L14" s="163"/>
      <c r="M14" s="163"/>
      <c r="N14" s="163"/>
      <c r="O14" s="163"/>
      <c r="P14" s="163"/>
      <c r="Q14" s="620"/>
      <c r="R14" s="620"/>
      <c r="S14" s="163"/>
      <c r="AN14" s="981"/>
      <c r="AO14" s="981"/>
      <c r="AP14" s="981"/>
      <c r="AQ14" s="984"/>
      <c r="AR14" s="984"/>
    </row>
    <row r="15" spans="1:44" s="1153" customFormat="1" ht="12" hidden="1" customHeight="1">
      <c r="B15" s="667"/>
      <c r="E15" s="676"/>
      <c r="G15" s="163"/>
      <c r="H15" s="163"/>
      <c r="I15" s="163"/>
      <c r="J15" s="163"/>
      <c r="K15" s="163"/>
      <c r="L15" s="163"/>
      <c r="M15" s="163"/>
      <c r="N15" s="163"/>
      <c r="O15" s="163"/>
      <c r="P15" s="163"/>
      <c r="Q15" s="620"/>
      <c r="R15" s="620"/>
      <c r="S15" s="163"/>
      <c r="AN15" s="981"/>
      <c r="AO15" s="981"/>
      <c r="AP15" s="981"/>
      <c r="AQ15" s="984"/>
      <c r="AR15" s="984"/>
    </row>
    <row r="16" spans="1:44" s="1153" customFormat="1" ht="12" hidden="1" customHeight="1">
      <c r="B16" s="667"/>
      <c r="E16" s="676"/>
      <c r="G16" s="163"/>
      <c r="H16" s="163"/>
      <c r="I16" s="163"/>
      <c r="J16" s="163"/>
      <c r="K16" s="163"/>
      <c r="L16" s="163"/>
      <c r="M16" s="163"/>
      <c r="N16" s="163"/>
      <c r="O16" s="163"/>
      <c r="P16" s="163"/>
      <c r="Q16" s="620"/>
      <c r="R16" s="620"/>
      <c r="S16" s="163"/>
      <c r="AN16" s="981"/>
      <c r="AO16" s="981"/>
      <c r="AP16" s="981"/>
      <c r="AQ16" s="984"/>
      <c r="AR16" s="984"/>
    </row>
    <row r="17" spans="1:44" s="1153" customFormat="1" ht="12" hidden="1" customHeight="1">
      <c r="B17" s="667"/>
      <c r="E17" s="676"/>
      <c r="G17" s="163"/>
      <c r="H17" s="163"/>
      <c r="I17" s="163"/>
      <c r="J17" s="163"/>
      <c r="K17" s="163"/>
      <c r="L17" s="163"/>
      <c r="M17" s="163"/>
      <c r="N17" s="163"/>
      <c r="O17" s="163"/>
      <c r="P17" s="163"/>
      <c r="Q17" s="620"/>
      <c r="R17" s="620"/>
      <c r="S17" s="163"/>
      <c r="AK17" s="133"/>
      <c r="AN17" s="981"/>
      <c r="AO17" s="981"/>
      <c r="AP17" s="981"/>
      <c r="AQ17" s="984"/>
      <c r="AR17" s="984"/>
    </row>
    <row r="18" spans="1:44" s="1153" customFormat="1" ht="12" hidden="1" customHeight="1">
      <c r="A18" s="859" t="s">
        <v>530</v>
      </c>
      <c r="B18" s="667"/>
      <c r="E18" s="676"/>
      <c r="G18" s="163"/>
      <c r="H18" s="163"/>
      <c r="I18" s="163"/>
      <c r="J18" s="163"/>
      <c r="K18" s="163"/>
      <c r="L18" s="163"/>
      <c r="M18" s="163"/>
      <c r="N18" s="163"/>
      <c r="O18" s="163"/>
      <c r="P18" s="163"/>
      <c r="Q18" s="620"/>
      <c r="R18" s="620"/>
      <c r="S18" s="163"/>
      <c r="AC18" s="126" t="s">
        <v>225</v>
      </c>
      <c r="AN18" s="981"/>
      <c r="AO18" s="981"/>
      <c r="AP18" s="981"/>
      <c r="AQ18" s="984"/>
      <c r="AR18" s="984"/>
    </row>
    <row r="19" spans="1:44" s="1153" customFormat="1" ht="12" hidden="1" customHeight="1">
      <c r="B19" s="667"/>
      <c r="E19" s="676"/>
      <c r="G19" s="163"/>
      <c r="H19" s="163"/>
      <c r="I19" s="163"/>
      <c r="J19" s="163"/>
      <c r="K19" s="163"/>
      <c r="L19" s="163"/>
      <c r="M19" s="163"/>
      <c r="N19" s="163"/>
      <c r="O19" s="163"/>
      <c r="P19" s="163"/>
      <c r="Q19" s="620"/>
      <c r="R19" s="620"/>
      <c r="S19" s="163"/>
      <c r="AN19" s="981"/>
      <c r="AO19" s="981"/>
      <c r="AP19" s="981"/>
      <c r="AQ19" s="984"/>
      <c r="AR19" s="984"/>
    </row>
    <row r="20" spans="1:44" s="1153" customFormat="1" ht="12" hidden="1" customHeight="1">
      <c r="B20" s="667"/>
      <c r="E20" s="676"/>
      <c r="G20" s="163"/>
      <c r="H20" s="163"/>
      <c r="I20" s="163"/>
      <c r="J20" s="163"/>
      <c r="K20" s="163"/>
      <c r="L20" s="163"/>
      <c r="M20" s="163"/>
      <c r="N20" s="163"/>
      <c r="O20" s="163"/>
      <c r="P20" s="163"/>
      <c r="Q20" s="620"/>
      <c r="R20" s="620"/>
      <c r="S20" s="163"/>
      <c r="AN20" s="981"/>
      <c r="AO20" s="981"/>
      <c r="AP20" s="981"/>
      <c r="AQ20" s="984"/>
      <c r="AR20" s="984"/>
    </row>
    <row r="21" spans="1:44" ht="14.65" customHeight="1">
      <c r="E21" s="676">
        <v>15</v>
      </c>
      <c r="AA21" s="699"/>
      <c r="AC21" s="343" t="str" cm="1">
        <f t="array" ref="AC21">tpl_title</f>
        <v>Кемеровская область / 2026 / ОАО «СКЭК» (ИНН:4205153492, КПП:420501001) / ДПР: 2021-2030</v>
      </c>
    </row>
    <row r="22" spans="1:44" s="814" customFormat="1" ht="19.5" customHeight="1">
      <c r="A22" s="129"/>
      <c r="B22" s="667"/>
      <c r="C22" s="129"/>
      <c r="D22" s="129"/>
      <c r="E22" s="676">
        <v>20.100000000000001</v>
      </c>
      <c r="F22" s="129"/>
      <c r="Q22" s="620"/>
      <c r="R22" s="620"/>
      <c r="T22" s="129"/>
      <c r="U22" s="129"/>
      <c r="V22" s="129"/>
      <c r="W22" s="129"/>
      <c r="X22" s="129"/>
      <c r="Y22" s="129"/>
      <c r="Z22" s="129"/>
      <c r="AB22" s="333" t="s">
        <v>49</v>
      </c>
      <c r="AC22" s="344"/>
      <c r="AD22" s="344"/>
      <c r="AE22" s="344"/>
      <c r="AF22" s="344"/>
      <c r="AG22" s="344"/>
      <c r="AH22" s="344"/>
      <c r="AI22" s="344"/>
      <c r="AJ22" s="344"/>
      <c r="AK22" s="344"/>
      <c r="AN22" s="977"/>
      <c r="AO22" s="977"/>
      <c r="AP22" s="977"/>
      <c r="AQ22" s="986"/>
      <c r="AR22" s="986"/>
    </row>
    <row r="23" spans="1:44" s="814" customFormat="1" ht="11.1" customHeight="1">
      <c r="A23" s="129"/>
      <c r="B23" s="667"/>
      <c r="C23" s="129"/>
      <c r="D23" s="129"/>
      <c r="E23" s="676">
        <v>11.4</v>
      </c>
      <c r="F23" s="129"/>
      <c r="Q23" s="620"/>
      <c r="R23" s="620"/>
      <c r="T23" s="129"/>
      <c r="U23" s="129"/>
      <c r="V23" s="129"/>
      <c r="W23" s="129"/>
      <c r="X23" s="129"/>
      <c r="Y23" s="129"/>
      <c r="Z23" s="129"/>
      <c r="AB23" s="345"/>
      <c r="AC23" s="221"/>
      <c r="AD23" s="221"/>
      <c r="AE23" s="221"/>
      <c r="AF23" s="221"/>
      <c r="AG23" s="221"/>
      <c r="AH23" s="221"/>
      <c r="AI23" s="221"/>
      <c r="AJ23" s="221"/>
      <c r="AK23" s="221"/>
      <c r="AN23" s="977"/>
      <c r="AO23" s="977"/>
      <c r="AP23" s="977"/>
      <c r="AQ23" s="986"/>
      <c r="AR23" s="986"/>
    </row>
    <row r="24" spans="1:44" s="165" customFormat="1" ht="14.65" customHeight="1">
      <c r="A24" s="122"/>
      <c r="B24" s="671"/>
      <c r="C24" s="122"/>
      <c r="D24" s="122"/>
      <c r="E24" s="682">
        <v>15</v>
      </c>
      <c r="F24" s="122"/>
      <c r="Q24" s="777"/>
      <c r="R24" s="620"/>
      <c r="T24" s="122"/>
      <c r="U24" s="122"/>
      <c r="V24" s="122"/>
      <c r="W24" s="122"/>
      <c r="X24" s="122"/>
      <c r="Y24" s="122"/>
      <c r="Z24" s="122"/>
      <c r="AB24" s="1802" t="s">
        <v>1049</v>
      </c>
      <c r="AC24" s="1810" t="s">
        <v>225</v>
      </c>
      <c r="AD24" s="1802" t="s">
        <v>476</v>
      </c>
      <c r="AE24" s="120" t="str">
        <f>god-2&amp;" год"</f>
        <v>2024 год</v>
      </c>
      <c r="AF24" s="1143" t="str">
        <f>god-2&amp;" год"</f>
        <v>2024 год</v>
      </c>
      <c r="AG24" s="120" t="str">
        <f>god-2&amp;" год"</f>
        <v>2024 год</v>
      </c>
      <c r="AH24" s="120" t="str">
        <f>god-1&amp;" год"</f>
        <v>2025 год</v>
      </c>
      <c r="AI24" s="1141" t="str">
        <f>god&amp;" год"</f>
        <v>2026 год</v>
      </c>
      <c r="AJ24" s="121" t="str">
        <f>god&amp;" год"</f>
        <v>2026 год</v>
      </c>
      <c r="AK24" s="1748" t="s">
        <v>630</v>
      </c>
      <c r="AN24" s="981"/>
      <c r="AO24" s="987"/>
      <c r="AP24" s="987"/>
      <c r="AQ24" s="988"/>
      <c r="AR24" s="988"/>
    </row>
    <row r="25" spans="1:44" s="165" customFormat="1" ht="43.9" customHeight="1">
      <c r="A25" s="122"/>
      <c r="B25" s="671"/>
      <c r="C25" s="122"/>
      <c r="D25" s="122"/>
      <c r="E25" s="682">
        <v>45</v>
      </c>
      <c r="F25" s="122"/>
      <c r="Q25" s="777"/>
      <c r="R25" s="620"/>
      <c r="T25" s="122"/>
      <c r="U25" s="122"/>
      <c r="V25" s="122"/>
      <c r="W25" s="122"/>
      <c r="X25" s="122"/>
      <c r="Y25" s="122"/>
      <c r="Z25" s="122"/>
      <c r="AB25" s="1809"/>
      <c r="AC25" s="1809"/>
      <c r="AD25" s="1809"/>
      <c r="AE25" s="120" t="s">
        <v>412</v>
      </c>
      <c r="AF25" s="1143" t="s">
        <v>631</v>
      </c>
      <c r="AG25" s="120" t="s">
        <v>632</v>
      </c>
      <c r="AH25" s="120" t="s">
        <v>412</v>
      </c>
      <c r="AI25" s="1142" t="s">
        <v>413</v>
      </c>
      <c r="AJ25" s="351" t="s">
        <v>412</v>
      </c>
      <c r="AK25" s="1809"/>
      <c r="AN25" s="981"/>
      <c r="AO25" s="987"/>
      <c r="AP25" s="987"/>
      <c r="AQ25" s="988"/>
      <c r="AR25" s="988"/>
    </row>
    <row r="26" spans="1:44" s="165" customFormat="1" ht="45" hidden="1" customHeight="1">
      <c r="A26" s="122"/>
      <c r="B26" s="671"/>
      <c r="C26" s="122"/>
      <c r="D26" s="122"/>
      <c r="E26" s="682">
        <v>0</v>
      </c>
      <c r="F26" s="122"/>
      <c r="Q26" s="777"/>
      <c r="R26" s="620"/>
      <c r="T26" s="122"/>
      <c r="U26" s="122"/>
      <c r="V26" s="122"/>
      <c r="W26" s="122"/>
      <c r="X26" s="122"/>
      <c r="Y26" s="122"/>
      <c r="Z26" s="122"/>
      <c r="AB26" s="433"/>
      <c r="AC26" s="431"/>
      <c r="AD26" s="431"/>
      <c r="AE26" s="434"/>
      <c r="AF26" s="434"/>
      <c r="AG26" s="434"/>
      <c r="AH26" s="434"/>
      <c r="AI26" s="122"/>
      <c r="AJ26" s="122"/>
      <c r="AK26" s="431"/>
      <c r="AN26" s="981"/>
      <c r="AO26" s="987"/>
      <c r="AP26" s="987"/>
      <c r="AQ26" s="988"/>
      <c r="AR26" s="988"/>
    </row>
    <row r="27" spans="1:44" s="1154" customFormat="1" ht="11.1" hidden="1" customHeight="1">
      <c r="E27" s="682">
        <v>11.4</v>
      </c>
      <c r="F27" s="779" cm="1">
        <f t="array" ref="F27">X27</f>
        <v>0</v>
      </c>
      <c r="G27" s="620" t="s">
        <v>48</v>
      </c>
      <c r="T27" s="698" t="b">
        <f>F27&gt;0</f>
        <v>0</v>
      </c>
      <c r="V27" s="122" t="s">
        <v>315</v>
      </c>
      <c r="X27" s="1721">
        <v>0</v>
      </c>
      <c r="Z27" s="1721"/>
      <c r="AB27" s="266" t="str" cm="1">
        <f t="array" ref="AB27">INDEX('Общие сведения'!$AG$187:$AG$236,MATCH($F27,'Общие сведения'!$Z$187:$Z$236,0))</f>
        <v xml:space="preserve">Тариф 0 (Теплоснабжение) - </v>
      </c>
      <c r="AC27" s="210"/>
      <c r="AD27" s="210"/>
      <c r="AE27" s="321">
        <f t="shared" ref="AE27:AJ27" si="1">AE28+AE34+AE40+AE46</f>
        <v>0</v>
      </c>
      <c r="AF27" s="321">
        <f t="shared" si="1"/>
        <v>0</v>
      </c>
      <c r="AG27" s="321">
        <f t="shared" si="1"/>
        <v>0</v>
      </c>
      <c r="AH27" s="321">
        <f t="shared" si="1"/>
        <v>0</v>
      </c>
      <c r="AI27" s="321">
        <f t="shared" si="1"/>
        <v>0</v>
      </c>
      <c r="AJ27" s="321">
        <f t="shared" si="1"/>
        <v>0</v>
      </c>
      <c r="AK27" s="321"/>
      <c r="AN27" s="981"/>
      <c r="AO27" s="987"/>
      <c r="AP27" s="987"/>
      <c r="AQ27" s="988"/>
      <c r="AR27" s="988"/>
    </row>
    <row r="28" spans="1:44" s="1154" customFormat="1" ht="18.399999999999999" hidden="1" customHeight="1">
      <c r="E28" s="682">
        <v>18.8</v>
      </c>
      <c r="F28" s="779" cm="1">
        <f t="array" aca="1" ref="F28" ca="1">OFFSET(G28,-1,-1)</f>
        <v>0</v>
      </c>
      <c r="G28" s="620" t="s">
        <v>1262</v>
      </c>
      <c r="H28" s="163" t="s">
        <v>1263</v>
      </c>
      <c r="T28" s="698" t="b">
        <f ca="1">F28&gt;0</f>
        <v>0</v>
      </c>
      <c r="X28" s="1721"/>
      <c r="Z28" s="1721"/>
      <c r="AB28" s="346">
        <v>1</v>
      </c>
      <c r="AC28" s="347" t="s">
        <v>1264</v>
      </c>
      <c r="AD28" s="108" t="s">
        <v>839</v>
      </c>
      <c r="AE28" s="62"/>
      <c r="AF28" s="62"/>
      <c r="AG28" s="62"/>
      <c r="AH28" s="62"/>
      <c r="AI28" s="229">
        <f>SUMIFS(AI29:AI33,$AD29:$AD33,$AD28)</f>
        <v>0</v>
      </c>
      <c r="AJ28" s="229">
        <f>SUMIFS(AJ29:AJ33,$AD29:$AD33,$AD28)</f>
        <v>0</v>
      </c>
      <c r="AK28" s="34"/>
      <c r="AN28" s="981" t="s">
        <v>1265</v>
      </c>
      <c r="AO28" s="987"/>
      <c r="AP28" s="987"/>
      <c r="AQ28" s="988"/>
      <c r="AR28" s="988"/>
    </row>
    <row r="29" spans="1:44" s="1154" customFormat="1" ht="11.25" hidden="1" customHeight="1">
      <c r="E29" s="682">
        <v>0</v>
      </c>
      <c r="F29" s="779" cm="1">
        <f t="array" aca="1" ref="F29" ca="1">OFFSET(G29,-1,-1)</f>
        <v>0</v>
      </c>
      <c r="T29" s="698" t="b">
        <f ca="1">F29&gt;0</f>
        <v>0</v>
      </c>
      <c r="X29" s="1721"/>
      <c r="Z29" s="1721"/>
      <c r="AB29" s="346"/>
      <c r="AC29" s="347"/>
      <c r="AD29" s="108"/>
      <c r="AE29" s="120"/>
      <c r="AF29" s="120"/>
      <c r="AG29" s="120"/>
      <c r="AH29" s="120"/>
      <c r="AI29" s="231"/>
      <c r="AJ29" s="231"/>
      <c r="AK29" s="719"/>
      <c r="AN29" s="981" t="s">
        <v>243</v>
      </c>
      <c r="AO29" s="987"/>
      <c r="AP29" s="987"/>
      <c r="AQ29" s="988"/>
      <c r="AR29" s="988"/>
    </row>
    <row r="30" spans="1:44" s="1154" customFormat="1" ht="16.5" hidden="1" customHeight="1">
      <c r="E30" s="682">
        <v>17</v>
      </c>
      <c r="F30" s="779" cm="1">
        <f t="array" aca="1" ref="F30" ca="1">OFFSET(G30,-1,-1)</f>
        <v>0</v>
      </c>
      <c r="H30" s="163" t="s">
        <v>1263</v>
      </c>
      <c r="I30" s="163" cm="1">
        <f t="array" ref="I30">AC30</f>
        <v>0</v>
      </c>
      <c r="T30" s="698" t="b">
        <f ca="1">AND(F30&gt;0,Y30&gt;0)</f>
        <v>0</v>
      </c>
      <c r="W30" s="110" t="s">
        <v>236</v>
      </c>
      <c r="X30" s="1721"/>
      <c r="Y30" s="1721">
        <v>0</v>
      </c>
      <c r="Z30" s="1721"/>
      <c r="AA30" s="1806" t="s">
        <v>218</v>
      </c>
      <c r="AB30" s="346" t="str">
        <f>"1."&amp;Y30</f>
        <v>1.0</v>
      </c>
      <c r="AC30" s="9"/>
      <c r="AD30" s="108" t="s">
        <v>839</v>
      </c>
      <c r="AE30" s="120"/>
      <c r="AF30" s="120"/>
      <c r="AG30" s="120"/>
      <c r="AH30" s="120"/>
      <c r="AI30" s="230">
        <f>AI31*AI32*12/1000</f>
        <v>0</v>
      </c>
      <c r="AJ30" s="230">
        <f>AJ31*AJ32*12/1000</f>
        <v>0</v>
      </c>
      <c r="AK30" s="34"/>
      <c r="AN30" s="981" t="s">
        <v>1266</v>
      </c>
      <c r="AO30" s="987" t="s">
        <v>1267</v>
      </c>
      <c r="AP30" s="987" cm="1">
        <f t="array" ref="AP30">AC30</f>
        <v>0</v>
      </c>
      <c r="AQ30" s="988"/>
      <c r="AR30" s="988" t="b">
        <v>1</v>
      </c>
    </row>
    <row r="31" spans="1:44" s="1154" customFormat="1" ht="16.5" hidden="1" customHeight="1">
      <c r="E31" s="682">
        <v>17</v>
      </c>
      <c r="F31" s="779" cm="1">
        <f t="array" aca="1" ref="F31" ca="1">OFFSET(G31,-1,-1)</f>
        <v>0</v>
      </c>
      <c r="G31" s="620" t="s">
        <v>1268</v>
      </c>
      <c r="H31" s="163" t="str">
        <f>H30&amp;"_1"</f>
        <v>L1_1</v>
      </c>
      <c r="I31" s="163" cm="1">
        <f t="array" ref="I31">I30</f>
        <v>0</v>
      </c>
      <c r="T31" s="698" t="b" cm="1">
        <f t="array" aca="1" ref="T31" ca="1">T30</f>
        <v>0</v>
      </c>
      <c r="X31" s="1721"/>
      <c r="Y31" s="1721"/>
      <c r="Z31" s="1721"/>
      <c r="AA31" s="1806"/>
      <c r="AB31" s="346" t="str">
        <f>AB30&amp;".1"</f>
        <v>1.0.1</v>
      </c>
      <c r="AC31" s="241" t="s">
        <v>1269</v>
      </c>
      <c r="AD31" s="108" t="s">
        <v>1270</v>
      </c>
      <c r="AE31" s="120"/>
      <c r="AF31" s="120"/>
      <c r="AG31" s="120"/>
      <c r="AH31" s="120"/>
      <c r="AI31" s="247"/>
      <c r="AJ31" s="247"/>
      <c r="AK31" s="34"/>
      <c r="AN31" s="981" t="s">
        <v>1271</v>
      </c>
      <c r="AO31" s="987" t="s">
        <v>1267</v>
      </c>
      <c r="AP31" s="987" cm="1">
        <f t="array" ref="AP31">AP30</f>
        <v>0</v>
      </c>
      <c r="AQ31" s="988"/>
      <c r="AR31" s="988"/>
    </row>
    <row r="32" spans="1:44" s="1154" customFormat="1" ht="16.5" hidden="1" customHeight="1">
      <c r="E32" s="682">
        <v>17</v>
      </c>
      <c r="F32" s="779" cm="1">
        <f t="array" aca="1" ref="F32" ca="1">OFFSET(G32,-1,-1)</f>
        <v>0</v>
      </c>
      <c r="H32" s="163" t="str">
        <f>H30&amp;"_2"</f>
        <v>L1_2</v>
      </c>
      <c r="I32" s="163" cm="1">
        <f t="array" ref="I32">I31</f>
        <v>0</v>
      </c>
      <c r="T32" s="698" t="b" cm="1">
        <f t="array" aca="1" ref="T32" ca="1">T31</f>
        <v>0</v>
      </c>
      <c r="X32" s="1721"/>
      <c r="Y32" s="1721"/>
      <c r="Z32" s="1721"/>
      <c r="AA32" s="1806"/>
      <c r="AB32" s="346" t="str">
        <f>AB30&amp;".2"</f>
        <v>1.0.2</v>
      </c>
      <c r="AC32" s="241" t="s">
        <v>1272</v>
      </c>
      <c r="AD32" s="108" t="s">
        <v>1273</v>
      </c>
      <c r="AE32" s="120"/>
      <c r="AF32" s="120"/>
      <c r="AG32" s="120"/>
      <c r="AH32" s="120"/>
      <c r="AI32" s="247"/>
      <c r="AJ32" s="247"/>
      <c r="AK32" s="34"/>
      <c r="AN32" s="981" t="s">
        <v>1274</v>
      </c>
      <c r="AO32" s="987" t="s">
        <v>1267</v>
      </c>
      <c r="AP32" s="987" cm="1">
        <f t="array" ref="AP32">AP31</f>
        <v>0</v>
      </c>
      <c r="AQ32" s="988"/>
      <c r="AR32" s="988"/>
    </row>
    <row r="33" spans="5:44" s="1154" customFormat="1" ht="16.5" hidden="1" customHeight="1">
      <c r="E33" s="682">
        <v>17</v>
      </c>
      <c r="F33" s="779" cm="1">
        <f t="array" aca="1" ref="F33" ca="1">OFFSET(G33,-1,-1)</f>
        <v>0</v>
      </c>
      <c r="H33" s="163" t="str">
        <f ca="1">F33&amp;"pIns1"</f>
        <v>0pIns1</v>
      </c>
      <c r="T33" s="698" t="b">
        <f ca="1">F33&gt;0</f>
        <v>0</v>
      </c>
      <c r="W33" s="318" t="s">
        <v>1005</v>
      </c>
      <c r="X33" s="1721"/>
      <c r="Z33" s="1721"/>
      <c r="AB33" s="249"/>
      <c r="AC33" s="250" t="s">
        <v>238</v>
      </c>
      <c r="AD33" s="250"/>
      <c r="AE33" s="250"/>
      <c r="AF33" s="250"/>
      <c r="AG33" s="250"/>
      <c r="AH33" s="250"/>
      <c r="AI33" s="250"/>
      <c r="AJ33" s="250"/>
      <c r="AK33" s="909"/>
      <c r="AN33" s="981" t="s">
        <v>243</v>
      </c>
      <c r="AO33" s="987"/>
      <c r="AP33" s="987"/>
      <c r="AQ33" s="988" t="s">
        <v>1267</v>
      </c>
      <c r="AR33" s="988"/>
    </row>
    <row r="34" spans="5:44" s="1154" customFormat="1" ht="24.2" hidden="1" customHeight="1">
      <c r="E34" s="682">
        <v>24.8</v>
      </c>
      <c r="F34" s="779" cm="1">
        <f t="array" aca="1" ref="F34" ca="1">OFFSET(G34,-1,-1)</f>
        <v>0</v>
      </c>
      <c r="G34" s="620" t="s">
        <v>1275</v>
      </c>
      <c r="H34" s="163" t="s">
        <v>1250</v>
      </c>
      <c r="T34" s="698" t="b">
        <f ca="1">F34&gt;0</f>
        <v>0</v>
      </c>
      <c r="X34" s="1721"/>
      <c r="Z34" s="1721"/>
      <c r="AB34" s="346" t="s">
        <v>348</v>
      </c>
      <c r="AC34" s="347" t="s">
        <v>1276</v>
      </c>
      <c r="AD34" s="108" t="s">
        <v>839</v>
      </c>
      <c r="AE34" s="62"/>
      <c r="AF34" s="62"/>
      <c r="AG34" s="62"/>
      <c r="AH34" s="62"/>
      <c r="AI34" s="229">
        <f>SUMIFS(AI35:AI39,$AD35:$AD39,$AD34)</f>
        <v>0</v>
      </c>
      <c r="AJ34" s="229">
        <f>SUMIFS(AJ35:AJ39,$AD35:$AD39,$AD34)</f>
        <v>0</v>
      </c>
      <c r="AK34" s="34"/>
      <c r="AN34" s="981" t="s">
        <v>1277</v>
      </c>
      <c r="AO34" s="987"/>
      <c r="AP34" s="987"/>
      <c r="AQ34" s="988"/>
      <c r="AR34" s="988"/>
    </row>
    <row r="35" spans="5:44" s="1154" customFormat="1" ht="9" hidden="1" customHeight="1">
      <c r="E35" s="682">
        <v>0</v>
      </c>
      <c r="F35" s="779" cm="1">
        <f t="array" aca="1" ref="F35" ca="1">OFFSET(G35,-1,-1)</f>
        <v>0</v>
      </c>
      <c r="T35" s="698" t="b">
        <f ca="1">F35&gt;0</f>
        <v>0</v>
      </c>
      <c r="X35" s="1721"/>
      <c r="Z35" s="1721"/>
      <c r="AB35" s="346"/>
      <c r="AC35" s="347"/>
      <c r="AD35" s="108"/>
      <c r="AE35" s="120"/>
      <c r="AF35" s="120"/>
      <c r="AG35" s="120"/>
      <c r="AH35" s="120"/>
      <c r="AI35" s="231"/>
      <c r="AJ35" s="231"/>
      <c r="AK35" s="719"/>
      <c r="AN35" s="981"/>
      <c r="AO35" s="987"/>
      <c r="AP35" s="987"/>
      <c r="AQ35" s="988"/>
      <c r="AR35" s="988"/>
    </row>
    <row r="36" spans="5:44" s="1154" customFormat="1" ht="16.5" hidden="1" customHeight="1">
      <c r="E36" s="682">
        <v>17</v>
      </c>
      <c r="F36" s="779" cm="1">
        <f t="array" aca="1" ref="F36" ca="1">OFFSET(G36,-1,-1)</f>
        <v>0</v>
      </c>
      <c r="H36" s="163" t="s">
        <v>1250</v>
      </c>
      <c r="I36" s="163" cm="1">
        <f t="array" ref="I36">AC36</f>
        <v>0</v>
      </c>
      <c r="T36" s="698" t="b">
        <f ca="1">AND(F36&gt;0,Y36&gt;0)</f>
        <v>0</v>
      </c>
      <c r="W36" s="110" t="s">
        <v>236</v>
      </c>
      <c r="X36" s="1721"/>
      <c r="Y36" s="1721">
        <v>0</v>
      </c>
      <c r="Z36" s="1721"/>
      <c r="AA36" s="1806" t="s">
        <v>218</v>
      </c>
      <c r="AB36" s="346" t="str">
        <f>"2."&amp;Y36</f>
        <v>2.0</v>
      </c>
      <c r="AC36" s="9"/>
      <c r="AD36" s="108" t="s">
        <v>839</v>
      </c>
      <c r="AE36" s="120"/>
      <c r="AF36" s="120"/>
      <c r="AG36" s="120"/>
      <c r="AH36" s="120"/>
      <c r="AI36" s="230">
        <f>AI37*AI38*12/1000</f>
        <v>0</v>
      </c>
      <c r="AJ36" s="230">
        <f>AJ37*AJ38*12/1000</f>
        <v>0</v>
      </c>
      <c r="AK36" s="34"/>
      <c r="AN36" s="981" t="s">
        <v>1278</v>
      </c>
      <c r="AO36" s="987" t="s">
        <v>1279</v>
      </c>
      <c r="AP36" s="987" cm="1">
        <f t="array" ref="AP36">AC36</f>
        <v>0</v>
      </c>
      <c r="AQ36" s="988"/>
      <c r="AR36" s="988" t="b">
        <v>1</v>
      </c>
    </row>
    <row r="37" spans="5:44" s="1154" customFormat="1" ht="16.5" hidden="1" customHeight="1">
      <c r="E37" s="682">
        <v>17</v>
      </c>
      <c r="F37" s="779" cm="1">
        <f t="array" aca="1" ref="F37" ca="1">OFFSET(G37,-1,-1)</f>
        <v>0</v>
      </c>
      <c r="G37" s="620" t="s">
        <v>1280</v>
      </c>
      <c r="H37" s="163" t="str">
        <f>H36&amp;"_1"</f>
        <v>L5_1</v>
      </c>
      <c r="I37" s="163" cm="1">
        <f t="array" ref="I37">I36</f>
        <v>0</v>
      </c>
      <c r="T37" s="698" t="b" cm="1">
        <f t="array" aca="1" ref="T37" ca="1">T36</f>
        <v>0</v>
      </c>
      <c r="X37" s="1721"/>
      <c r="Y37" s="1721"/>
      <c r="Z37" s="1721"/>
      <c r="AA37" s="1806"/>
      <c r="AB37" s="346" t="str">
        <f>AB36&amp;".1"</f>
        <v>2.0.1</v>
      </c>
      <c r="AC37" s="241" t="s">
        <v>1269</v>
      </c>
      <c r="AD37" s="108" t="s">
        <v>1270</v>
      </c>
      <c r="AE37" s="120"/>
      <c r="AF37" s="120"/>
      <c r="AG37" s="120"/>
      <c r="AH37" s="120"/>
      <c r="AI37" s="247"/>
      <c r="AJ37" s="247"/>
      <c r="AK37" s="34"/>
      <c r="AN37" s="981" t="s">
        <v>1281</v>
      </c>
      <c r="AO37" s="987" t="s">
        <v>1279</v>
      </c>
      <c r="AP37" s="987" cm="1">
        <f t="array" ref="AP37">AP36</f>
        <v>0</v>
      </c>
      <c r="AQ37" s="988"/>
      <c r="AR37" s="988"/>
    </row>
    <row r="38" spans="5:44" s="1154" customFormat="1" ht="16.5" hidden="1" customHeight="1">
      <c r="E38" s="682">
        <v>17</v>
      </c>
      <c r="F38" s="779" cm="1">
        <f t="array" aca="1" ref="F38" ca="1">OFFSET(G38,-1,-1)</f>
        <v>0</v>
      </c>
      <c r="H38" s="163" t="str">
        <f>H36&amp;"_2"</f>
        <v>L5_2</v>
      </c>
      <c r="I38" s="163" cm="1">
        <f t="array" ref="I38">I37</f>
        <v>0</v>
      </c>
      <c r="T38" s="698" t="b" cm="1">
        <f t="array" aca="1" ref="T38" ca="1">T37</f>
        <v>0</v>
      </c>
      <c r="X38" s="1721"/>
      <c r="Y38" s="1721"/>
      <c r="Z38" s="1721"/>
      <c r="AA38" s="1806"/>
      <c r="AB38" s="346" t="str">
        <f>AB36&amp;".2"</f>
        <v>2.0.2</v>
      </c>
      <c r="AC38" s="241" t="s">
        <v>1272</v>
      </c>
      <c r="AD38" s="108" t="s">
        <v>1273</v>
      </c>
      <c r="AE38" s="120"/>
      <c r="AF38" s="120"/>
      <c r="AG38" s="120"/>
      <c r="AH38" s="120"/>
      <c r="AI38" s="247"/>
      <c r="AJ38" s="247"/>
      <c r="AK38" s="34"/>
      <c r="AN38" s="981" t="s">
        <v>1282</v>
      </c>
      <c r="AO38" s="987" t="s">
        <v>1279</v>
      </c>
      <c r="AP38" s="987" cm="1">
        <f t="array" ref="AP38">AP37</f>
        <v>0</v>
      </c>
      <c r="AQ38" s="988"/>
      <c r="AR38" s="988"/>
    </row>
    <row r="39" spans="5:44" s="1154" customFormat="1" ht="16.5" hidden="1" customHeight="1">
      <c r="E39" s="682">
        <v>17</v>
      </c>
      <c r="F39" s="779" cm="1">
        <f t="array" aca="1" ref="F39" ca="1">OFFSET(G39,-1,-1)</f>
        <v>0</v>
      </c>
      <c r="H39" s="163" t="str">
        <f ca="1">F39&amp;"pIns3"</f>
        <v>0pIns3</v>
      </c>
      <c r="T39" s="698" t="b">
        <f ca="1">F39&gt;0</f>
        <v>0</v>
      </c>
      <c r="W39" s="318" t="s">
        <v>1016</v>
      </c>
      <c r="X39" s="1721"/>
      <c r="Z39" s="1721"/>
      <c r="AB39" s="249"/>
      <c r="AC39" s="250" t="s">
        <v>238</v>
      </c>
      <c r="AD39" s="250"/>
      <c r="AE39" s="250"/>
      <c r="AF39" s="250"/>
      <c r="AG39" s="250"/>
      <c r="AH39" s="250"/>
      <c r="AI39" s="250"/>
      <c r="AJ39" s="250"/>
      <c r="AK39" s="909"/>
      <c r="AN39" s="981" t="s">
        <v>243</v>
      </c>
      <c r="AO39" s="987"/>
      <c r="AP39" s="987"/>
      <c r="AQ39" s="988" t="s">
        <v>1279</v>
      </c>
      <c r="AR39" s="988"/>
    </row>
    <row r="40" spans="5:44" s="1154" customFormat="1" ht="24.2" hidden="1" customHeight="1">
      <c r="E40" s="682">
        <v>24.8</v>
      </c>
      <c r="F40" s="779" cm="1">
        <f t="array" aca="1" ref="F40" ca="1">OFFSET(G40,-1,-1)</f>
        <v>0</v>
      </c>
      <c r="G40" s="620" t="s">
        <v>1283</v>
      </c>
      <c r="H40" s="163" t="s">
        <v>1250</v>
      </c>
      <c r="T40" s="698" t="b">
        <f ca="1">F40&gt;0</f>
        <v>0</v>
      </c>
      <c r="X40" s="1721"/>
      <c r="Z40" s="1721"/>
      <c r="AB40" s="346" t="s">
        <v>437</v>
      </c>
      <c r="AC40" s="347" t="s">
        <v>1284</v>
      </c>
      <c r="AD40" s="108" t="s">
        <v>839</v>
      </c>
      <c r="AE40" s="62"/>
      <c r="AF40" s="62"/>
      <c r="AG40" s="62"/>
      <c r="AH40" s="62"/>
      <c r="AI40" s="229">
        <f>SUMIFS(AI41:AI45,$AD41:$AD45,$AD40)</f>
        <v>0</v>
      </c>
      <c r="AJ40" s="229">
        <f>SUMIFS(AJ41:AJ45,$AD41:$AD45,$AD40)</f>
        <v>0</v>
      </c>
      <c r="AK40" s="34"/>
      <c r="AN40" s="981" t="s">
        <v>1285</v>
      </c>
      <c r="AO40" s="987"/>
      <c r="AP40" s="987"/>
      <c r="AQ40" s="988"/>
      <c r="AR40" s="988"/>
    </row>
    <row r="41" spans="5:44" s="1154" customFormat="1" ht="9" hidden="1" customHeight="1">
      <c r="E41" s="682">
        <v>0</v>
      </c>
      <c r="F41" s="779" cm="1">
        <f t="array" aca="1" ref="F41" ca="1">OFFSET(G41,-1,-1)</f>
        <v>0</v>
      </c>
      <c r="T41" s="698" t="b">
        <f ca="1">F41&gt;0</f>
        <v>0</v>
      </c>
      <c r="X41" s="1721"/>
      <c r="Z41" s="1721"/>
      <c r="AB41" s="346"/>
      <c r="AC41" s="347"/>
      <c r="AD41" s="108"/>
      <c r="AE41" s="120"/>
      <c r="AF41" s="120"/>
      <c r="AG41" s="120"/>
      <c r="AH41" s="120"/>
      <c r="AI41" s="231"/>
      <c r="AJ41" s="231"/>
      <c r="AK41" s="719"/>
      <c r="AN41" s="981"/>
      <c r="AO41" s="987"/>
      <c r="AP41" s="987"/>
      <c r="AQ41" s="988"/>
      <c r="AR41" s="988"/>
    </row>
    <row r="42" spans="5:44" s="1154" customFormat="1" ht="16.5" hidden="1" customHeight="1">
      <c r="E42" s="682">
        <v>17</v>
      </c>
      <c r="F42" s="779" cm="1">
        <f t="array" aca="1" ref="F42" ca="1">OFFSET(G42,-1,-1)</f>
        <v>0</v>
      </c>
      <c r="H42" s="163" t="s">
        <v>1250</v>
      </c>
      <c r="I42" s="163" cm="1">
        <f t="array" ref="I42">AC42</f>
        <v>0</v>
      </c>
      <c r="T42" s="698" t="b">
        <f ca="1">AND(F42&gt;0,Y42&gt;0)</f>
        <v>0</v>
      </c>
      <c r="W42" s="110" t="s">
        <v>236</v>
      </c>
      <c r="X42" s="1721"/>
      <c r="Y42" s="1721">
        <v>0</v>
      </c>
      <c r="Z42" s="1721"/>
      <c r="AA42" s="1806" t="s">
        <v>218</v>
      </c>
      <c r="AB42" s="346" t="str">
        <f>"3."&amp;Y42</f>
        <v>3.0</v>
      </c>
      <c r="AC42" s="9"/>
      <c r="AD42" s="108" t="s">
        <v>839</v>
      </c>
      <c r="AE42" s="120"/>
      <c r="AF42" s="120"/>
      <c r="AG42" s="120"/>
      <c r="AH42" s="120"/>
      <c r="AI42" s="230">
        <f>AI43*AI44*12/1000</f>
        <v>0</v>
      </c>
      <c r="AJ42" s="230">
        <f>AJ43*AJ44*12/1000</f>
        <v>0</v>
      </c>
      <c r="AK42" s="34"/>
      <c r="AN42" s="981" t="s">
        <v>1286</v>
      </c>
      <c r="AO42" s="987" t="s">
        <v>1287</v>
      </c>
      <c r="AP42" s="987" cm="1">
        <f t="array" ref="AP42">AC42</f>
        <v>0</v>
      </c>
      <c r="AQ42" s="988"/>
      <c r="AR42" s="988" t="b">
        <v>1</v>
      </c>
    </row>
    <row r="43" spans="5:44" s="1154" customFormat="1" ht="16.5" hidden="1" customHeight="1">
      <c r="E43" s="682">
        <v>17</v>
      </c>
      <c r="F43" s="779" cm="1">
        <f t="array" aca="1" ref="F43" ca="1">OFFSET(G43,-1,-1)</f>
        <v>0</v>
      </c>
      <c r="G43" s="620" t="s">
        <v>1288</v>
      </c>
      <c r="H43" s="163" t="str">
        <f>H42&amp;"_1"</f>
        <v>L5_1</v>
      </c>
      <c r="I43" s="163" cm="1">
        <f t="array" ref="I43">I42</f>
        <v>0</v>
      </c>
      <c r="T43" s="698" t="b" cm="1">
        <f t="array" aca="1" ref="T43" ca="1">T42</f>
        <v>0</v>
      </c>
      <c r="X43" s="1721"/>
      <c r="Y43" s="1721"/>
      <c r="Z43" s="1721"/>
      <c r="AA43" s="1806"/>
      <c r="AB43" s="346" t="str">
        <f>AB42&amp;".1"</f>
        <v>3.0.1</v>
      </c>
      <c r="AC43" s="241" t="s">
        <v>1269</v>
      </c>
      <c r="AD43" s="108" t="s">
        <v>1270</v>
      </c>
      <c r="AE43" s="120"/>
      <c r="AF43" s="120"/>
      <c r="AG43" s="120"/>
      <c r="AH43" s="120"/>
      <c r="AI43" s="247"/>
      <c r="AJ43" s="247"/>
      <c r="AK43" s="34"/>
      <c r="AN43" s="981" t="s">
        <v>1289</v>
      </c>
      <c r="AO43" s="987" t="s">
        <v>1287</v>
      </c>
      <c r="AP43" s="987" cm="1">
        <f t="array" ref="AP43">AP42</f>
        <v>0</v>
      </c>
      <c r="AQ43" s="988"/>
      <c r="AR43" s="988"/>
    </row>
    <row r="44" spans="5:44" s="1154" customFormat="1" ht="16.5" hidden="1" customHeight="1">
      <c r="E44" s="682">
        <v>17</v>
      </c>
      <c r="F44" s="779" cm="1">
        <f t="array" aca="1" ref="F44" ca="1">OFFSET(G44,-1,-1)</f>
        <v>0</v>
      </c>
      <c r="H44" s="163" t="str">
        <f>H42&amp;"_2"</f>
        <v>L5_2</v>
      </c>
      <c r="I44" s="163" cm="1">
        <f t="array" ref="I44">I43</f>
        <v>0</v>
      </c>
      <c r="T44" s="698" t="b" cm="1">
        <f t="array" aca="1" ref="T44" ca="1">T43</f>
        <v>0</v>
      </c>
      <c r="X44" s="1721"/>
      <c r="Y44" s="1721"/>
      <c r="Z44" s="1721"/>
      <c r="AA44" s="1806"/>
      <c r="AB44" s="346" t="str">
        <f>AB42&amp;".2"</f>
        <v>3.0.2</v>
      </c>
      <c r="AC44" s="241" t="s">
        <v>1272</v>
      </c>
      <c r="AD44" s="108" t="s">
        <v>1273</v>
      </c>
      <c r="AE44" s="120"/>
      <c r="AF44" s="120"/>
      <c r="AG44" s="120"/>
      <c r="AH44" s="120"/>
      <c r="AI44" s="247"/>
      <c r="AJ44" s="247"/>
      <c r="AK44" s="34"/>
      <c r="AN44" s="981" t="s">
        <v>1290</v>
      </c>
      <c r="AO44" s="987" t="s">
        <v>1287</v>
      </c>
      <c r="AP44" s="987" cm="1">
        <f t="array" ref="AP44">AP43</f>
        <v>0</v>
      </c>
      <c r="AQ44" s="988"/>
      <c r="AR44" s="988"/>
    </row>
    <row r="45" spans="5:44" s="1154" customFormat="1" ht="16.5" hidden="1" customHeight="1">
      <c r="E45" s="682">
        <v>17</v>
      </c>
      <c r="F45" s="779" cm="1">
        <f t="array" aca="1" ref="F45" ca="1">OFFSET(G45,-1,-1)</f>
        <v>0</v>
      </c>
      <c r="H45" s="163" t="str">
        <f ca="1">F45&amp;"pIns3"</f>
        <v>0pIns3</v>
      </c>
      <c r="T45" s="698" t="b">
        <f ca="1">F45&gt;0</f>
        <v>0</v>
      </c>
      <c r="W45" s="318" t="s">
        <v>1257</v>
      </c>
      <c r="X45" s="1721"/>
      <c r="Z45" s="1721"/>
      <c r="AB45" s="249"/>
      <c r="AC45" s="250" t="s">
        <v>238</v>
      </c>
      <c r="AD45" s="250"/>
      <c r="AE45" s="250"/>
      <c r="AF45" s="250"/>
      <c r="AG45" s="250"/>
      <c r="AH45" s="250"/>
      <c r="AI45" s="250"/>
      <c r="AJ45" s="250"/>
      <c r="AK45" s="909"/>
      <c r="AN45" s="981" t="s">
        <v>243</v>
      </c>
      <c r="AO45" s="987"/>
      <c r="AP45" s="987"/>
      <c r="AQ45" s="988" t="s">
        <v>1287</v>
      </c>
      <c r="AR45" s="988"/>
    </row>
    <row r="46" spans="5:44" s="1154" customFormat="1" ht="24.2" hidden="1" customHeight="1">
      <c r="E46" s="682">
        <v>24.8</v>
      </c>
      <c r="F46" s="779" cm="1">
        <f t="array" aca="1" ref="F46" ca="1">OFFSET(G46,-1,-1)</f>
        <v>0</v>
      </c>
      <c r="G46" s="620" t="s">
        <v>1291</v>
      </c>
      <c r="H46" s="163" t="s">
        <v>1250</v>
      </c>
      <c r="T46" s="698" t="b">
        <f ca="1">F46&gt;0</f>
        <v>0</v>
      </c>
      <c r="X46" s="1721"/>
      <c r="Z46" s="1721"/>
      <c r="AB46" s="346" t="s">
        <v>440</v>
      </c>
      <c r="AC46" s="347" t="s">
        <v>1292</v>
      </c>
      <c r="AD46" s="108" t="s">
        <v>839</v>
      </c>
      <c r="AE46" s="62"/>
      <c r="AF46" s="62"/>
      <c r="AG46" s="62"/>
      <c r="AH46" s="62"/>
      <c r="AI46" s="229">
        <f>SUMIFS(AI47:AI51,$AD47:$AD51,$AD46)</f>
        <v>0</v>
      </c>
      <c r="AJ46" s="229">
        <f>SUMIFS(AJ47:AJ51,$AD47:$AD51,$AD46)</f>
        <v>0</v>
      </c>
      <c r="AK46" s="34"/>
      <c r="AN46" s="981" t="s">
        <v>1293</v>
      </c>
      <c r="AO46" s="987"/>
      <c r="AP46" s="987"/>
      <c r="AQ46" s="988"/>
      <c r="AR46" s="988"/>
    </row>
    <row r="47" spans="5:44" s="1154" customFormat="1" ht="9" hidden="1" customHeight="1">
      <c r="E47" s="682">
        <v>0</v>
      </c>
      <c r="F47" s="779" cm="1">
        <f t="array" aca="1" ref="F47" ca="1">OFFSET(G47,-1,-1)</f>
        <v>0</v>
      </c>
      <c r="T47" s="698" t="b">
        <f ca="1">F47&gt;0</f>
        <v>0</v>
      </c>
      <c r="X47" s="1721"/>
      <c r="Z47" s="1721"/>
      <c r="AB47" s="346"/>
      <c r="AC47" s="347"/>
      <c r="AD47" s="108"/>
      <c r="AE47" s="120"/>
      <c r="AF47" s="120"/>
      <c r="AG47" s="120"/>
      <c r="AH47" s="120"/>
      <c r="AI47" s="231"/>
      <c r="AJ47" s="231"/>
      <c r="AK47" s="719"/>
      <c r="AN47" s="981"/>
      <c r="AO47" s="987"/>
      <c r="AP47" s="987"/>
      <c r="AQ47" s="988"/>
      <c r="AR47" s="988"/>
    </row>
    <row r="48" spans="5:44" s="1154" customFormat="1" ht="16.5" hidden="1" customHeight="1">
      <c r="E48" s="682">
        <v>17</v>
      </c>
      <c r="F48" s="779" cm="1">
        <f t="array" aca="1" ref="F48" ca="1">OFFSET(G48,-1,-1)</f>
        <v>0</v>
      </c>
      <c r="H48" s="163" t="s">
        <v>1250</v>
      </c>
      <c r="I48" s="163" cm="1">
        <f t="array" ref="I48">AC48</f>
        <v>0</v>
      </c>
      <c r="T48" s="698" t="b">
        <f ca="1">AND(F48&gt;0,Y48&gt;0)</f>
        <v>0</v>
      </c>
      <c r="W48" s="110" t="s">
        <v>236</v>
      </c>
      <c r="X48" s="1721"/>
      <c r="Y48" s="1721">
        <v>0</v>
      </c>
      <c r="Z48" s="1721"/>
      <c r="AA48" s="1806" t="s">
        <v>218</v>
      </c>
      <c r="AB48" s="346" t="str">
        <f>"4."&amp;Y48</f>
        <v>4.0</v>
      </c>
      <c r="AC48" s="9"/>
      <c r="AD48" s="108" t="s">
        <v>839</v>
      </c>
      <c r="AE48" s="120"/>
      <c r="AF48" s="120"/>
      <c r="AG48" s="120"/>
      <c r="AH48" s="120"/>
      <c r="AI48" s="230">
        <f>AI49*AI50*12/1000</f>
        <v>0</v>
      </c>
      <c r="AJ48" s="230">
        <f>AJ49*AJ50*12/1000</f>
        <v>0</v>
      </c>
      <c r="AK48" s="34"/>
      <c r="AN48" s="981" t="s">
        <v>1294</v>
      </c>
      <c r="AO48" s="987" t="s">
        <v>1295</v>
      </c>
      <c r="AP48" s="987" cm="1">
        <f t="array" ref="AP48">AC48</f>
        <v>0</v>
      </c>
      <c r="AQ48" s="988"/>
      <c r="AR48" s="988" t="b">
        <v>1</v>
      </c>
    </row>
    <row r="49" spans="1:44" s="1154" customFormat="1" ht="16.5" hidden="1" customHeight="1">
      <c r="E49" s="682">
        <v>17</v>
      </c>
      <c r="F49" s="779" cm="1">
        <f t="array" aca="1" ref="F49" ca="1">OFFSET(G49,-1,-1)</f>
        <v>0</v>
      </c>
      <c r="G49" s="620" t="s">
        <v>1296</v>
      </c>
      <c r="H49" s="163" t="str">
        <f>H48&amp;"_1"</f>
        <v>L5_1</v>
      </c>
      <c r="I49" s="163" cm="1">
        <f t="array" ref="I49">I48</f>
        <v>0</v>
      </c>
      <c r="T49" s="698" t="b" cm="1">
        <f t="array" aca="1" ref="T49" ca="1">T48</f>
        <v>0</v>
      </c>
      <c r="X49" s="1721"/>
      <c r="Y49" s="1721"/>
      <c r="Z49" s="1721"/>
      <c r="AA49" s="1806"/>
      <c r="AB49" s="346" t="str">
        <f>AB48&amp;".1"</f>
        <v>4.0.1</v>
      </c>
      <c r="AC49" s="241" t="s">
        <v>1269</v>
      </c>
      <c r="AD49" s="108" t="s">
        <v>1270</v>
      </c>
      <c r="AE49" s="120"/>
      <c r="AF49" s="120"/>
      <c r="AG49" s="120"/>
      <c r="AH49" s="120"/>
      <c r="AI49" s="247"/>
      <c r="AJ49" s="247"/>
      <c r="AK49" s="34"/>
      <c r="AN49" s="981" t="s">
        <v>1297</v>
      </c>
      <c r="AO49" s="987" t="s">
        <v>1295</v>
      </c>
      <c r="AP49" s="987" cm="1">
        <f t="array" ref="AP49">AP48</f>
        <v>0</v>
      </c>
      <c r="AQ49" s="988"/>
      <c r="AR49" s="988"/>
    </row>
    <row r="50" spans="1:44" s="1154" customFormat="1" ht="16.5" hidden="1" customHeight="1">
      <c r="E50" s="682">
        <v>17</v>
      </c>
      <c r="F50" s="779" cm="1">
        <f t="array" aca="1" ref="F50" ca="1">OFFSET(G50,-1,-1)</f>
        <v>0</v>
      </c>
      <c r="H50" s="163" t="str">
        <f>H48&amp;"_2"</f>
        <v>L5_2</v>
      </c>
      <c r="I50" s="163" cm="1">
        <f t="array" ref="I50">I49</f>
        <v>0</v>
      </c>
      <c r="T50" s="698" t="b" cm="1">
        <f t="array" aca="1" ref="T50" ca="1">T49</f>
        <v>0</v>
      </c>
      <c r="X50" s="1721"/>
      <c r="Y50" s="1721"/>
      <c r="Z50" s="1721"/>
      <c r="AA50" s="1806"/>
      <c r="AB50" s="346" t="str">
        <f>AB48&amp;".2"</f>
        <v>4.0.2</v>
      </c>
      <c r="AC50" s="241" t="s">
        <v>1272</v>
      </c>
      <c r="AD50" s="108" t="s">
        <v>1273</v>
      </c>
      <c r="AE50" s="120"/>
      <c r="AF50" s="120"/>
      <c r="AG50" s="120"/>
      <c r="AH50" s="120"/>
      <c r="AI50" s="247"/>
      <c r="AJ50" s="247"/>
      <c r="AK50" s="34"/>
      <c r="AN50" s="981" t="s">
        <v>1298</v>
      </c>
      <c r="AO50" s="987" t="s">
        <v>1295</v>
      </c>
      <c r="AP50" s="987" cm="1">
        <f t="array" ref="AP50">AP49</f>
        <v>0</v>
      </c>
      <c r="AQ50" s="988"/>
      <c r="AR50" s="988"/>
    </row>
    <row r="51" spans="1:44" s="1154" customFormat="1" ht="16.5" hidden="1" customHeight="1">
      <c r="E51" s="682">
        <v>17</v>
      </c>
      <c r="F51" s="779" cm="1">
        <f t="array" aca="1" ref="F51" ca="1">OFFSET(G51,-1,-1)</f>
        <v>0</v>
      </c>
      <c r="H51" s="163" t="str">
        <f ca="1">F51&amp;"pIns3"</f>
        <v>0pIns3</v>
      </c>
      <c r="T51" s="698" t="b">
        <f ca="1">F51&gt;0</f>
        <v>0</v>
      </c>
      <c r="W51" s="318" t="s">
        <v>1299</v>
      </c>
      <c r="X51" s="1721"/>
      <c r="Z51" s="1721"/>
      <c r="AB51" s="249"/>
      <c r="AC51" s="250" t="s">
        <v>238</v>
      </c>
      <c r="AD51" s="250"/>
      <c r="AE51" s="250"/>
      <c r="AF51" s="250"/>
      <c r="AG51" s="250"/>
      <c r="AH51" s="250"/>
      <c r="AI51" s="250"/>
      <c r="AJ51" s="250"/>
      <c r="AK51" s="251"/>
      <c r="AN51" s="981"/>
      <c r="AO51" s="987"/>
      <c r="AP51" s="987"/>
      <c r="AQ51" s="988" t="s">
        <v>1295</v>
      </c>
      <c r="AR51" s="988"/>
    </row>
    <row r="52" spans="1:44" s="671" customFormat="1" ht="10.5" customHeight="1">
      <c r="A52" s="1154"/>
      <c r="B52" s="1154"/>
      <c r="C52" s="1154"/>
      <c r="D52" s="1154"/>
      <c r="E52" s="682">
        <v>11.4</v>
      </c>
      <c r="F52" s="779" t="str" cm="1">
        <f t="array" ref="F52">X52</f>
        <v>1</v>
      </c>
      <c r="G52" s="620" t="s">
        <v>48</v>
      </c>
      <c r="H52" s="1154"/>
      <c r="I52" s="1154"/>
      <c r="J52" s="1154"/>
      <c r="K52" s="1154"/>
      <c r="L52" s="1154"/>
      <c r="M52" s="1154"/>
      <c r="N52" s="1154"/>
      <c r="O52" s="1154"/>
      <c r="P52" s="1154"/>
      <c r="Q52" s="1154"/>
      <c r="R52" s="1154"/>
      <c r="S52" s="1154"/>
      <c r="T52" s="698" t="b">
        <f>F52&gt;0</f>
        <v>1</v>
      </c>
      <c r="U52" s="1154"/>
      <c r="V52" s="122" t="str" cm="1">
        <f t="array" ref="V52">'Покупка услуг'!$AB$46</f>
        <v>Тариф 1 (Теплоснабжение) - Тариф на тепловую энергию (мощность), поставляемую потребителям (Не определено)</v>
      </c>
      <c r="W52" s="1154"/>
      <c r="X52" s="1721" t="s">
        <v>341</v>
      </c>
      <c r="Y52" s="1154"/>
      <c r="Z52" s="1721"/>
      <c r="AA52" s="1154"/>
      <c r="AB52" s="266"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10"/>
      <c r="AD52" s="210"/>
      <c r="AE52" s="321">
        <f t="shared" ref="AE52:AJ52" si="2">AE53+AE62+AE68+AE77</f>
        <v>0</v>
      </c>
      <c r="AF52" s="321">
        <f t="shared" si="2"/>
        <v>0</v>
      </c>
      <c r="AG52" s="321">
        <f t="shared" si="2"/>
        <v>0</v>
      </c>
      <c r="AH52" s="321">
        <f t="shared" si="2"/>
        <v>9526.7199999999993</v>
      </c>
      <c r="AI52" s="321">
        <f t="shared" si="2"/>
        <v>0</v>
      </c>
      <c r="AJ52" s="321">
        <f t="shared" si="2"/>
        <v>9906.3952207559978</v>
      </c>
      <c r="AK52" s="321"/>
      <c r="AL52" s="1154"/>
      <c r="AM52" s="1154"/>
      <c r="AN52" s="981"/>
      <c r="AO52" s="987"/>
      <c r="AP52" s="987"/>
      <c r="AQ52" s="988"/>
      <c r="AR52" s="988"/>
    </row>
    <row r="53" spans="1:44" s="671" customFormat="1" ht="18" customHeight="1">
      <c r="A53" s="1154"/>
      <c r="B53" s="1154"/>
      <c r="C53" s="1154"/>
      <c r="D53" s="1154"/>
      <c r="E53" s="682">
        <v>18.8</v>
      </c>
      <c r="F53" s="779" t="str" cm="1">
        <f t="array" aca="1" ref="F53" ca="1">OFFSET(G53,-1,-1)</f>
        <v>1</v>
      </c>
      <c r="G53" s="620" t="s">
        <v>1262</v>
      </c>
      <c r="H53" s="163" t="s">
        <v>1263</v>
      </c>
      <c r="I53" s="1154"/>
      <c r="J53" s="1154"/>
      <c r="K53" s="1154"/>
      <c r="L53" s="1154"/>
      <c r="M53" s="1154"/>
      <c r="N53" s="1154"/>
      <c r="O53" s="1154"/>
      <c r="P53" s="1154"/>
      <c r="Q53" s="1154"/>
      <c r="R53" s="1154"/>
      <c r="S53" s="1154"/>
      <c r="T53" s="698" t="b">
        <f ca="1">F53&gt;0</f>
        <v>1</v>
      </c>
      <c r="U53" s="1154"/>
      <c r="V53" s="1154"/>
      <c r="W53" s="1154"/>
      <c r="X53" s="1721"/>
      <c r="Y53" s="1154"/>
      <c r="Z53" s="1721"/>
      <c r="AA53" s="1154"/>
      <c r="AB53" s="346">
        <v>1</v>
      </c>
      <c r="AC53" s="347" t="s">
        <v>1264</v>
      </c>
      <c r="AD53" s="108" t="s">
        <v>839</v>
      </c>
      <c r="AE53" s="1339"/>
      <c r="AF53" s="1339"/>
      <c r="AG53" s="1339"/>
      <c r="AH53" s="1339">
        <v>3816.86</v>
      </c>
      <c r="AI53" s="229">
        <f>SUMIFS(AI54:AI61,$AD54:$AD61,$AD53)</f>
        <v>0</v>
      </c>
      <c r="AJ53" s="229">
        <f>SUMIFS(AJ54:AJ61,$AD54:$AD61,$AD53)</f>
        <v>3970.4500079999993</v>
      </c>
      <c r="AK53" s="1297"/>
      <c r="AL53" s="1154"/>
      <c r="AM53" s="1154"/>
      <c r="AN53" s="981" t="s">
        <v>1265</v>
      </c>
      <c r="AO53" s="987"/>
      <c r="AP53" s="987"/>
      <c r="AQ53" s="988"/>
      <c r="AR53" s="988"/>
    </row>
    <row r="54" spans="1:44" s="671" customFormat="1" ht="11.25" hidden="1" customHeight="1">
      <c r="A54" s="1154"/>
      <c r="B54" s="1154"/>
      <c r="C54" s="1154"/>
      <c r="D54" s="1154"/>
      <c r="E54" s="682">
        <v>0</v>
      </c>
      <c r="F54" s="779" t="str" cm="1">
        <f t="array" aca="1" ref="F54" ca="1">OFFSET(G54,-1,-1)</f>
        <v>1</v>
      </c>
      <c r="G54" s="1154"/>
      <c r="H54" s="1154"/>
      <c r="I54" s="1154"/>
      <c r="J54" s="1154"/>
      <c r="K54" s="1154"/>
      <c r="L54" s="1154"/>
      <c r="M54" s="1154"/>
      <c r="N54" s="1154"/>
      <c r="O54" s="1154"/>
      <c r="P54" s="1154"/>
      <c r="Q54" s="1154"/>
      <c r="R54" s="1154"/>
      <c r="S54" s="1154"/>
      <c r="T54" s="698" t="b">
        <f ca="1">F54&gt;0</f>
        <v>1</v>
      </c>
      <c r="U54" s="1154"/>
      <c r="V54" s="1154"/>
      <c r="W54" s="1154"/>
      <c r="X54" s="1721"/>
      <c r="Y54" s="1154"/>
      <c r="Z54" s="1721"/>
      <c r="AA54" s="1154"/>
      <c r="AB54" s="346"/>
      <c r="AC54" s="347"/>
      <c r="AD54" s="108"/>
      <c r="AE54" s="120"/>
      <c r="AF54" s="120"/>
      <c r="AG54" s="120"/>
      <c r="AH54" s="120"/>
      <c r="AI54" s="231"/>
      <c r="AJ54" s="231"/>
      <c r="AK54" s="719"/>
      <c r="AL54" s="1154"/>
      <c r="AM54" s="1154"/>
      <c r="AN54" s="981" t="s">
        <v>243</v>
      </c>
      <c r="AO54" s="987"/>
      <c r="AP54" s="987"/>
      <c r="AQ54" s="988"/>
      <c r="AR54" s="988"/>
    </row>
    <row r="55" spans="1:44" s="671" customFormat="1" ht="16.5" hidden="1" customHeight="1">
      <c r="E55" s="682">
        <v>17</v>
      </c>
      <c r="F55" s="779" t="str" cm="1">
        <f t="array" aca="1" ref="F55" ca="1">OFFSET(G55,-1,-1)</f>
        <v>1</v>
      </c>
      <c r="H55" s="163" t="s">
        <v>1263</v>
      </c>
      <c r="I55" s="163" cm="1">
        <f t="array" ref="I55">AC55</f>
        <v>0</v>
      </c>
      <c r="T55" s="698" t="b">
        <f ca="1">AND(F55&gt;0,Y55&gt;0)</f>
        <v>0</v>
      </c>
      <c r="W55" s="110" t="s">
        <v>236</v>
      </c>
      <c r="X55" s="1798"/>
      <c r="Y55" s="1721">
        <v>0</v>
      </c>
      <c r="Z55" s="1798"/>
      <c r="AA55" s="1806" t="s">
        <v>218</v>
      </c>
      <c r="AB55" s="346" t="str">
        <f>"1."&amp;Y55</f>
        <v>1.0</v>
      </c>
      <c r="AC55" s="9"/>
      <c r="AD55" s="108" t="s">
        <v>839</v>
      </c>
      <c r="AE55" s="120"/>
      <c r="AF55" s="120"/>
      <c r="AG55" s="120"/>
      <c r="AH55" s="120"/>
      <c r="AI55" s="230">
        <f>AI56*AI57*12/1000</f>
        <v>0</v>
      </c>
      <c r="AJ55" s="230">
        <f>AJ56*AJ57*12/1000</f>
        <v>0</v>
      </c>
      <c r="AK55" s="34"/>
      <c r="AN55" s="981" t="s">
        <v>1266</v>
      </c>
      <c r="AO55" s="987" t="s">
        <v>1267</v>
      </c>
      <c r="AP55" s="987" cm="1">
        <f t="array" ref="AP55">AC55</f>
        <v>0</v>
      </c>
      <c r="AQ55" s="988"/>
      <c r="AR55" s="988" t="b">
        <v>1</v>
      </c>
    </row>
    <row r="56" spans="1:44" s="671" customFormat="1" ht="16.5" hidden="1" customHeight="1">
      <c r="E56" s="682">
        <v>17</v>
      </c>
      <c r="F56" s="779" t="str" cm="1">
        <f t="array" aca="1" ref="F56" ca="1">OFFSET(G56,-1,-1)</f>
        <v>1</v>
      </c>
      <c r="G56" s="620" t="s">
        <v>1268</v>
      </c>
      <c r="H56" s="163" t="str">
        <f>H55&amp;"_1"</f>
        <v>L1_1</v>
      </c>
      <c r="I56" s="163" cm="1">
        <f t="array" ref="I56">I55</f>
        <v>0</v>
      </c>
      <c r="T56" s="698" t="b" cm="1">
        <f t="array" aca="1" ref="T56" ca="1">T55</f>
        <v>0</v>
      </c>
      <c r="X56" s="1798"/>
      <c r="Y56" s="1798"/>
      <c r="Z56" s="1798"/>
      <c r="AA56" s="1806"/>
      <c r="AB56" s="346" t="str">
        <f>AB55&amp;".1"</f>
        <v>1.0.1</v>
      </c>
      <c r="AC56" s="241" t="s">
        <v>1269</v>
      </c>
      <c r="AD56" s="108" t="s">
        <v>1270</v>
      </c>
      <c r="AE56" s="120"/>
      <c r="AF56" s="120"/>
      <c r="AG56" s="120"/>
      <c r="AH56" s="120"/>
      <c r="AI56" s="247"/>
      <c r="AJ56" s="247"/>
      <c r="AK56" s="34"/>
      <c r="AN56" s="981" t="s">
        <v>1271</v>
      </c>
      <c r="AO56" s="987" t="s">
        <v>1267</v>
      </c>
      <c r="AP56" s="987" cm="1">
        <f t="array" ref="AP56">AP55</f>
        <v>0</v>
      </c>
      <c r="AQ56" s="988"/>
      <c r="AR56" s="988"/>
    </row>
    <row r="57" spans="1:44" s="671" customFormat="1" ht="16.5" hidden="1" customHeight="1">
      <c r="E57" s="682">
        <v>17</v>
      </c>
      <c r="F57" s="779" t="str" cm="1">
        <f t="array" aca="1" ref="F57" ca="1">OFFSET(G57,-1,-1)</f>
        <v>1</v>
      </c>
      <c r="H57" s="163" t="str">
        <f>H55&amp;"_2"</f>
        <v>L1_2</v>
      </c>
      <c r="I57" s="163" cm="1">
        <f t="array" ref="I57">I56</f>
        <v>0</v>
      </c>
      <c r="T57" s="698" t="b" cm="1">
        <f t="array" aca="1" ref="T57" ca="1">T56</f>
        <v>0</v>
      </c>
      <c r="X57" s="1798"/>
      <c r="Y57" s="1798"/>
      <c r="Z57" s="1798"/>
      <c r="AA57" s="1806"/>
      <c r="AB57" s="346" t="str">
        <f>AB55&amp;".2"</f>
        <v>1.0.2</v>
      </c>
      <c r="AC57" s="241" t="s">
        <v>1272</v>
      </c>
      <c r="AD57" s="108" t="s">
        <v>1273</v>
      </c>
      <c r="AE57" s="120"/>
      <c r="AF57" s="120"/>
      <c r="AG57" s="120"/>
      <c r="AH57" s="120"/>
      <c r="AI57" s="247"/>
      <c r="AJ57" s="247"/>
      <c r="AK57" s="34"/>
      <c r="AN57" s="981" t="s">
        <v>1274</v>
      </c>
      <c r="AO57" s="987" t="s">
        <v>1267</v>
      </c>
      <c r="AP57" s="987" cm="1">
        <f t="array" ref="AP57">AP56</f>
        <v>0</v>
      </c>
      <c r="AQ57" s="988"/>
      <c r="AR57" s="988"/>
    </row>
    <row r="58" spans="1:44" s="671" customFormat="1" ht="16.5" customHeight="1">
      <c r="E58" s="682">
        <v>17</v>
      </c>
      <c r="F58" s="779" t="str" cm="1">
        <f t="array" aca="1" ref="F58" ca="1">OFFSET(G58,-1,-1)</f>
        <v>1</v>
      </c>
      <c r="H58" s="163" t="s">
        <v>1263</v>
      </c>
      <c r="I58" s="163" t="str" cm="1">
        <f t="array" ref="I58">AC58</f>
        <v>ФОТ</v>
      </c>
      <c r="T58" s="698" t="b">
        <f ca="1">AND(F58&gt;0,Y58&gt;0)</f>
        <v>1</v>
      </c>
      <c r="W58" s="110"/>
      <c r="X58" s="1798"/>
      <c r="Y58" s="1721" t="s">
        <v>341</v>
      </c>
      <c r="Z58" s="1798"/>
      <c r="AA58" s="1806" t="s">
        <v>218</v>
      </c>
      <c r="AB58" s="346" t="str">
        <f>"1."&amp;Y58</f>
        <v>1.1</v>
      </c>
      <c r="AC58" s="1203" t="s">
        <v>48</v>
      </c>
      <c r="AD58" s="108" t="s">
        <v>839</v>
      </c>
      <c r="AE58" s="120"/>
      <c r="AF58" s="120"/>
      <c r="AG58" s="120"/>
      <c r="AH58" s="120"/>
      <c r="AI58" s="230">
        <f>AI59*AI60*12/1000</f>
        <v>0</v>
      </c>
      <c r="AJ58" s="230">
        <f>AJ59*AJ60*12/1000</f>
        <v>3970.4500079999993</v>
      </c>
      <c r="AK58" s="1297"/>
      <c r="AN58" s="981" t="s">
        <v>1266</v>
      </c>
      <c r="AO58" s="987" t="s">
        <v>1267</v>
      </c>
      <c r="AP58" s="987" t="str" cm="1">
        <f t="array" ref="AP58">AC58</f>
        <v>ФОТ</v>
      </c>
      <c r="AQ58" s="988"/>
      <c r="AR58" s="988" t="b">
        <v>1</v>
      </c>
    </row>
    <row r="59" spans="1:44" s="671" customFormat="1" ht="16.5" customHeight="1">
      <c r="E59" s="682">
        <v>17</v>
      </c>
      <c r="F59" s="779" t="str" cm="1">
        <f t="array" aca="1" ref="F59" ca="1">OFFSET(G59,-1,-1)</f>
        <v>1</v>
      </c>
      <c r="G59" s="620" t="s">
        <v>1268</v>
      </c>
      <c r="H59" s="163" t="str">
        <f>H58&amp;"_1"</f>
        <v>L1_1</v>
      </c>
      <c r="I59" s="163" t="str" cm="1">
        <f t="array" ref="I59">I58</f>
        <v>ФОТ</v>
      </c>
      <c r="T59" s="698" t="b" cm="1">
        <f t="array" aca="1" ref="T59" ca="1">T58</f>
        <v>1</v>
      </c>
      <c r="X59" s="1798"/>
      <c r="Y59" s="1798"/>
      <c r="Z59" s="1798"/>
      <c r="AA59" s="1806"/>
      <c r="AB59" s="346" t="str">
        <f>AB58&amp;".1"</f>
        <v>1.1.1</v>
      </c>
      <c r="AC59" s="241" t="s">
        <v>1269</v>
      </c>
      <c r="AD59" s="108" t="s">
        <v>1270</v>
      </c>
      <c r="AE59" s="120"/>
      <c r="AF59" s="120"/>
      <c r="AG59" s="120"/>
      <c r="AH59" s="120"/>
      <c r="AI59" s="247"/>
      <c r="AJ59" s="247">
        <v>9</v>
      </c>
      <c r="AK59" s="1297"/>
      <c r="AN59" s="981" t="s">
        <v>1271</v>
      </c>
      <c r="AO59" s="987" t="s">
        <v>1267</v>
      </c>
      <c r="AP59" s="987" t="str" cm="1">
        <f t="array" ref="AP59">AP58</f>
        <v>ФОТ</v>
      </c>
      <c r="AQ59" s="988"/>
      <c r="AR59" s="988"/>
    </row>
    <row r="60" spans="1:44" s="671" customFormat="1" ht="16.5" customHeight="1">
      <c r="E60" s="682">
        <v>17</v>
      </c>
      <c r="F60" s="779" t="str" cm="1">
        <f t="array" aca="1" ref="F60" ca="1">OFFSET(G60,-1,-1)</f>
        <v>1</v>
      </c>
      <c r="H60" s="163" t="str">
        <f>H58&amp;"_2"</f>
        <v>L1_2</v>
      </c>
      <c r="I60" s="163" t="str" cm="1">
        <f t="array" ref="I60">I59</f>
        <v>ФОТ</v>
      </c>
      <c r="T60" s="698" t="b" cm="1">
        <f t="array" aca="1" ref="T60" ca="1">T59</f>
        <v>1</v>
      </c>
      <c r="X60" s="1798"/>
      <c r="Y60" s="1798"/>
      <c r="Z60" s="1798"/>
      <c r="AA60" s="1806"/>
      <c r="AB60" s="346" t="str">
        <f>AB58&amp;".2"</f>
        <v>1.1.2</v>
      </c>
      <c r="AC60" s="241" t="s">
        <v>1272</v>
      </c>
      <c r="AD60" s="108" t="s">
        <v>1273</v>
      </c>
      <c r="AE60" s="120"/>
      <c r="AF60" s="120"/>
      <c r="AG60" s="120"/>
      <c r="AH60" s="120"/>
      <c r="AI60" s="247"/>
      <c r="AJ60" s="247">
        <v>36763.425999999999</v>
      </c>
      <c r="AK60" s="1297"/>
      <c r="AN60" s="981" t="s">
        <v>1274</v>
      </c>
      <c r="AO60" s="987" t="s">
        <v>1267</v>
      </c>
      <c r="AP60" s="987" t="str" cm="1">
        <f t="array" ref="AP60">AP59</f>
        <v>ФОТ</v>
      </c>
      <c r="AQ60" s="988"/>
      <c r="AR60" s="988"/>
    </row>
    <row r="61" spans="1:44" s="671" customFormat="1" ht="16.5" customHeight="1">
      <c r="A61" s="1154"/>
      <c r="B61" s="1154"/>
      <c r="C61" s="1154"/>
      <c r="D61" s="1154"/>
      <c r="E61" s="682">
        <v>17</v>
      </c>
      <c r="F61" s="779" t="str" cm="1">
        <f t="array" aca="1" ref="F61" ca="1">OFFSET(G61,-1,-1)</f>
        <v>1</v>
      </c>
      <c r="G61" s="1154"/>
      <c r="H61" s="163" t="str">
        <f ca="1">F61&amp;"pIns1"</f>
        <v>1pIns1</v>
      </c>
      <c r="I61" s="1154"/>
      <c r="J61" s="1154"/>
      <c r="K61" s="1154"/>
      <c r="L61" s="1154"/>
      <c r="M61" s="1154"/>
      <c r="N61" s="1154"/>
      <c r="O61" s="1154"/>
      <c r="P61" s="1154"/>
      <c r="Q61" s="1154"/>
      <c r="R61" s="1154"/>
      <c r="S61" s="1154"/>
      <c r="T61" s="698" t="b">
        <f ca="1">F61&gt;0</f>
        <v>1</v>
      </c>
      <c r="U61" s="1154"/>
      <c r="V61" s="1154"/>
      <c r="W61" s="318" t="s">
        <v>1005</v>
      </c>
      <c r="X61" s="1721"/>
      <c r="Y61" s="1154"/>
      <c r="Z61" s="1721"/>
      <c r="AA61" s="1154"/>
      <c r="AB61" s="249"/>
      <c r="AC61" s="250" t="s">
        <v>238</v>
      </c>
      <c r="AD61" s="250"/>
      <c r="AE61" s="250"/>
      <c r="AF61" s="250"/>
      <c r="AG61" s="250"/>
      <c r="AH61" s="250"/>
      <c r="AI61" s="250"/>
      <c r="AJ61" s="250"/>
      <c r="AK61" s="909"/>
      <c r="AL61" s="1154"/>
      <c r="AM61" s="1154"/>
      <c r="AN61" s="981" t="s">
        <v>243</v>
      </c>
      <c r="AO61" s="987"/>
      <c r="AP61" s="987"/>
      <c r="AQ61" s="988" t="s">
        <v>1267</v>
      </c>
      <c r="AR61" s="988"/>
    </row>
    <row r="62" spans="1:44" s="671" customFormat="1" ht="24" customHeight="1">
      <c r="A62" s="1154"/>
      <c r="B62" s="1154"/>
      <c r="C62" s="1154"/>
      <c r="D62" s="1154"/>
      <c r="E62" s="682">
        <v>24.8</v>
      </c>
      <c r="F62" s="779" t="str" cm="1">
        <f t="array" aca="1" ref="F62" ca="1">OFFSET(G62,-1,-1)</f>
        <v>1</v>
      </c>
      <c r="G62" s="620" t="s">
        <v>1275</v>
      </c>
      <c r="H62" s="163" t="s">
        <v>1250</v>
      </c>
      <c r="I62" s="1154"/>
      <c r="J62" s="1154"/>
      <c r="K62" s="1154"/>
      <c r="L62" s="1154"/>
      <c r="M62" s="1154"/>
      <c r="N62" s="1154"/>
      <c r="O62" s="1154"/>
      <c r="P62" s="1154"/>
      <c r="Q62" s="1154"/>
      <c r="R62" s="1154"/>
      <c r="S62" s="1154"/>
      <c r="T62" s="698" t="b">
        <f ca="1">F62&gt;0</f>
        <v>1</v>
      </c>
      <c r="U62" s="1154"/>
      <c r="V62" s="1154"/>
      <c r="W62" s="1154"/>
      <c r="X62" s="1721"/>
      <c r="Y62" s="1154"/>
      <c r="Z62" s="1721"/>
      <c r="AA62" s="1154"/>
      <c r="AB62" s="346" t="s">
        <v>348</v>
      </c>
      <c r="AC62" s="347" t="s">
        <v>1276</v>
      </c>
      <c r="AD62" s="108" t="s">
        <v>839</v>
      </c>
      <c r="AE62" s="1339"/>
      <c r="AF62" s="1339"/>
      <c r="AG62" s="1339"/>
      <c r="AH62" s="1339"/>
      <c r="AI62" s="229">
        <f>SUMIFS(AI63:AI67,$AD63:$AD67,$AD62)</f>
        <v>0</v>
      </c>
      <c r="AJ62" s="229">
        <f>SUMIFS(AJ63:AJ67,$AD63:$AD67,$AD62)</f>
        <v>0</v>
      </c>
      <c r="AK62" s="1297"/>
      <c r="AL62" s="1154"/>
      <c r="AM62" s="1154"/>
      <c r="AN62" s="981" t="s">
        <v>1277</v>
      </c>
      <c r="AO62" s="987"/>
      <c r="AP62" s="987"/>
      <c r="AQ62" s="988"/>
      <c r="AR62" s="988"/>
    </row>
    <row r="63" spans="1:44" s="671" customFormat="1" ht="9" hidden="1" customHeight="1">
      <c r="A63" s="1154"/>
      <c r="B63" s="1154"/>
      <c r="C63" s="1154"/>
      <c r="D63" s="1154"/>
      <c r="E63" s="682">
        <v>0</v>
      </c>
      <c r="F63" s="779" t="str" cm="1">
        <f t="array" aca="1" ref="F63" ca="1">OFFSET(G63,-1,-1)</f>
        <v>1</v>
      </c>
      <c r="G63" s="1154"/>
      <c r="H63" s="1154"/>
      <c r="I63" s="1154"/>
      <c r="J63" s="1154"/>
      <c r="K63" s="1154"/>
      <c r="L63" s="1154"/>
      <c r="M63" s="1154"/>
      <c r="N63" s="1154"/>
      <c r="O63" s="1154"/>
      <c r="P63" s="1154"/>
      <c r="Q63" s="1154"/>
      <c r="R63" s="1154"/>
      <c r="S63" s="1154"/>
      <c r="T63" s="698" t="b">
        <f ca="1">F63&gt;0</f>
        <v>1</v>
      </c>
      <c r="U63" s="1154"/>
      <c r="V63" s="1154"/>
      <c r="W63" s="1154"/>
      <c r="X63" s="1721"/>
      <c r="Y63" s="1154"/>
      <c r="Z63" s="1721"/>
      <c r="AA63" s="1154"/>
      <c r="AB63" s="346"/>
      <c r="AC63" s="347"/>
      <c r="AD63" s="108"/>
      <c r="AE63" s="120"/>
      <c r="AF63" s="120"/>
      <c r="AG63" s="120"/>
      <c r="AH63" s="120"/>
      <c r="AI63" s="231"/>
      <c r="AJ63" s="231"/>
      <c r="AK63" s="719"/>
      <c r="AL63" s="1154"/>
      <c r="AM63" s="1154"/>
      <c r="AN63" s="981"/>
      <c r="AO63" s="987"/>
      <c r="AP63" s="987"/>
      <c r="AQ63" s="988"/>
      <c r="AR63" s="988"/>
    </row>
    <row r="64" spans="1:44" s="671" customFormat="1" ht="16.5" hidden="1" customHeight="1">
      <c r="A64" s="1154"/>
      <c r="B64" s="1154"/>
      <c r="C64" s="1154"/>
      <c r="D64" s="1154"/>
      <c r="E64" s="682">
        <v>17</v>
      </c>
      <c r="F64" s="779" t="str" cm="1">
        <f t="array" aca="1" ref="F64" ca="1">OFFSET(G64,-1,-1)</f>
        <v>1</v>
      </c>
      <c r="G64" s="1154"/>
      <c r="H64" s="163" t="s">
        <v>1250</v>
      </c>
      <c r="I64" s="163" cm="1">
        <f t="array" ref="I64">AC64</f>
        <v>0</v>
      </c>
      <c r="J64" s="1154"/>
      <c r="K64" s="1154"/>
      <c r="L64" s="1154"/>
      <c r="M64" s="1154"/>
      <c r="N64" s="1154"/>
      <c r="O64" s="1154"/>
      <c r="P64" s="1154"/>
      <c r="Q64" s="1154"/>
      <c r="R64" s="1154"/>
      <c r="S64" s="1154"/>
      <c r="T64" s="698" t="b">
        <f ca="1">AND(F64&gt;0,Y64&gt;0)</f>
        <v>0</v>
      </c>
      <c r="U64" s="1154"/>
      <c r="V64" s="1154"/>
      <c r="W64" s="110" t="s">
        <v>236</v>
      </c>
      <c r="X64" s="1721"/>
      <c r="Y64" s="1721">
        <v>0</v>
      </c>
      <c r="Z64" s="1721"/>
      <c r="AA64" s="1806" t="s">
        <v>218</v>
      </c>
      <c r="AB64" s="346" t="str">
        <f>"2."&amp;Y64</f>
        <v>2.0</v>
      </c>
      <c r="AC64" s="9"/>
      <c r="AD64" s="108" t="s">
        <v>839</v>
      </c>
      <c r="AE64" s="120"/>
      <c r="AF64" s="120"/>
      <c r="AG64" s="120"/>
      <c r="AH64" s="120"/>
      <c r="AI64" s="230">
        <f>AI65*AI66*12/1000</f>
        <v>0</v>
      </c>
      <c r="AJ64" s="230">
        <f>AJ65*AJ66*12/1000</f>
        <v>0</v>
      </c>
      <c r="AK64" s="34"/>
      <c r="AL64" s="1154"/>
      <c r="AM64" s="1154"/>
      <c r="AN64" s="981" t="s">
        <v>1278</v>
      </c>
      <c r="AO64" s="987" t="s">
        <v>1279</v>
      </c>
      <c r="AP64" s="987" cm="1">
        <f t="array" ref="AP64">AC64</f>
        <v>0</v>
      </c>
      <c r="AQ64" s="988"/>
      <c r="AR64" s="988" t="b">
        <v>1</v>
      </c>
    </row>
    <row r="65" spans="1:44" s="671" customFormat="1" ht="16.5" hidden="1" customHeight="1">
      <c r="A65" s="1154"/>
      <c r="B65" s="1154"/>
      <c r="C65" s="1154"/>
      <c r="D65" s="1154"/>
      <c r="E65" s="682">
        <v>17</v>
      </c>
      <c r="F65" s="779" t="str" cm="1">
        <f t="array" aca="1" ref="F65" ca="1">OFFSET(G65,-1,-1)</f>
        <v>1</v>
      </c>
      <c r="G65" s="620" t="s">
        <v>1280</v>
      </c>
      <c r="H65" s="163" t="str">
        <f>H64&amp;"_1"</f>
        <v>L5_1</v>
      </c>
      <c r="I65" s="163" cm="1">
        <f t="array" ref="I65">I64</f>
        <v>0</v>
      </c>
      <c r="J65" s="1154"/>
      <c r="K65" s="1154"/>
      <c r="L65" s="1154"/>
      <c r="M65" s="1154"/>
      <c r="N65" s="1154"/>
      <c r="O65" s="1154"/>
      <c r="P65" s="1154"/>
      <c r="Q65" s="1154"/>
      <c r="R65" s="1154"/>
      <c r="S65" s="1154"/>
      <c r="T65" s="698" t="b" cm="1">
        <f t="array" aca="1" ref="T65" ca="1">T64</f>
        <v>0</v>
      </c>
      <c r="U65" s="1154"/>
      <c r="V65" s="1154"/>
      <c r="W65" s="1154"/>
      <c r="X65" s="1721"/>
      <c r="Y65" s="1721"/>
      <c r="Z65" s="1721"/>
      <c r="AA65" s="1806"/>
      <c r="AB65" s="346" t="str">
        <f>AB64&amp;".1"</f>
        <v>2.0.1</v>
      </c>
      <c r="AC65" s="241" t="s">
        <v>1269</v>
      </c>
      <c r="AD65" s="108" t="s">
        <v>1270</v>
      </c>
      <c r="AE65" s="120"/>
      <c r="AF65" s="120"/>
      <c r="AG65" s="120"/>
      <c r="AH65" s="120"/>
      <c r="AI65" s="247"/>
      <c r="AJ65" s="247"/>
      <c r="AK65" s="34"/>
      <c r="AL65" s="1154"/>
      <c r="AM65" s="1154"/>
      <c r="AN65" s="981" t="s">
        <v>1281</v>
      </c>
      <c r="AO65" s="987" t="s">
        <v>1279</v>
      </c>
      <c r="AP65" s="987" cm="1">
        <f t="array" ref="AP65">AP64</f>
        <v>0</v>
      </c>
      <c r="AQ65" s="988"/>
      <c r="AR65" s="988"/>
    </row>
    <row r="66" spans="1:44" s="671" customFormat="1" ht="16.5" hidden="1" customHeight="1">
      <c r="A66" s="1154"/>
      <c r="B66" s="1154"/>
      <c r="C66" s="1154"/>
      <c r="D66" s="1154"/>
      <c r="E66" s="682">
        <v>17</v>
      </c>
      <c r="F66" s="779" t="str" cm="1">
        <f t="array" aca="1" ref="F66" ca="1">OFFSET(G66,-1,-1)</f>
        <v>1</v>
      </c>
      <c r="G66" s="1154"/>
      <c r="H66" s="163" t="str">
        <f>H64&amp;"_2"</f>
        <v>L5_2</v>
      </c>
      <c r="I66" s="163" cm="1">
        <f t="array" ref="I66">I65</f>
        <v>0</v>
      </c>
      <c r="J66" s="1154"/>
      <c r="K66" s="1154"/>
      <c r="L66" s="1154"/>
      <c r="M66" s="1154"/>
      <c r="N66" s="1154"/>
      <c r="O66" s="1154"/>
      <c r="P66" s="1154"/>
      <c r="Q66" s="1154"/>
      <c r="R66" s="1154"/>
      <c r="S66" s="1154"/>
      <c r="T66" s="698" t="b" cm="1">
        <f t="array" aca="1" ref="T66" ca="1">T65</f>
        <v>0</v>
      </c>
      <c r="U66" s="1154"/>
      <c r="V66" s="1154"/>
      <c r="W66" s="1154"/>
      <c r="X66" s="1721"/>
      <c r="Y66" s="1721"/>
      <c r="Z66" s="1721"/>
      <c r="AA66" s="1806"/>
      <c r="AB66" s="346" t="str">
        <f>AB64&amp;".2"</f>
        <v>2.0.2</v>
      </c>
      <c r="AC66" s="241" t="s">
        <v>1272</v>
      </c>
      <c r="AD66" s="108" t="s">
        <v>1273</v>
      </c>
      <c r="AE66" s="120"/>
      <c r="AF66" s="120"/>
      <c r="AG66" s="120"/>
      <c r="AH66" s="120"/>
      <c r="AI66" s="247"/>
      <c r="AJ66" s="247"/>
      <c r="AK66" s="34"/>
      <c r="AL66" s="1154"/>
      <c r="AM66" s="1154"/>
      <c r="AN66" s="981" t="s">
        <v>1282</v>
      </c>
      <c r="AO66" s="987" t="s">
        <v>1279</v>
      </c>
      <c r="AP66" s="987" cm="1">
        <f t="array" ref="AP66">AP65</f>
        <v>0</v>
      </c>
      <c r="AQ66" s="988"/>
      <c r="AR66" s="988"/>
    </row>
    <row r="67" spans="1:44" s="671" customFormat="1" ht="16.5" customHeight="1">
      <c r="A67" s="1154"/>
      <c r="B67" s="1154"/>
      <c r="C67" s="1154"/>
      <c r="D67" s="1154"/>
      <c r="E67" s="682">
        <v>17</v>
      </c>
      <c r="F67" s="779" t="str" cm="1">
        <f t="array" aca="1" ref="F67" ca="1">OFFSET(G67,-1,-1)</f>
        <v>1</v>
      </c>
      <c r="G67" s="1154"/>
      <c r="H67" s="163" t="str">
        <f ca="1">F67&amp;"pIns3"</f>
        <v>1pIns3</v>
      </c>
      <c r="I67" s="1154"/>
      <c r="J67" s="1154"/>
      <c r="K67" s="1154"/>
      <c r="L67" s="1154"/>
      <c r="M67" s="1154"/>
      <c r="N67" s="1154"/>
      <c r="O67" s="1154"/>
      <c r="P67" s="1154"/>
      <c r="Q67" s="1154"/>
      <c r="R67" s="1154"/>
      <c r="S67" s="1154"/>
      <c r="T67" s="698" t="b">
        <f ca="1">F67&gt;0</f>
        <v>1</v>
      </c>
      <c r="U67" s="1154"/>
      <c r="V67" s="1154"/>
      <c r="W67" s="318" t="s">
        <v>1016</v>
      </c>
      <c r="X67" s="1721"/>
      <c r="Y67" s="1154"/>
      <c r="Z67" s="1721"/>
      <c r="AA67" s="1154"/>
      <c r="AB67" s="249"/>
      <c r="AC67" s="250" t="s">
        <v>238</v>
      </c>
      <c r="AD67" s="250"/>
      <c r="AE67" s="250"/>
      <c r="AF67" s="250"/>
      <c r="AG67" s="250"/>
      <c r="AH67" s="250"/>
      <c r="AI67" s="250"/>
      <c r="AJ67" s="250"/>
      <c r="AK67" s="909"/>
      <c r="AL67" s="1154"/>
      <c r="AM67" s="1154"/>
      <c r="AN67" s="981" t="s">
        <v>243</v>
      </c>
      <c r="AO67" s="987"/>
      <c r="AP67" s="987"/>
      <c r="AQ67" s="988" t="s">
        <v>1279</v>
      </c>
      <c r="AR67" s="988"/>
    </row>
    <row r="68" spans="1:44" s="671" customFormat="1" ht="24" customHeight="1">
      <c r="A68" s="1154"/>
      <c r="B68" s="1154"/>
      <c r="C68" s="1154"/>
      <c r="D68" s="1154"/>
      <c r="E68" s="682">
        <v>24.8</v>
      </c>
      <c r="F68" s="779" t="str" cm="1">
        <f t="array" aca="1" ref="F68" ca="1">OFFSET(G68,-1,-1)</f>
        <v>1</v>
      </c>
      <c r="G68" s="620" t="s">
        <v>1283</v>
      </c>
      <c r="H68" s="163" t="s">
        <v>1250</v>
      </c>
      <c r="I68" s="1154"/>
      <c r="J68" s="1154"/>
      <c r="K68" s="1154"/>
      <c r="L68" s="1154"/>
      <c r="M68" s="1154"/>
      <c r="N68" s="1154"/>
      <c r="O68" s="1154"/>
      <c r="P68" s="1154"/>
      <c r="Q68" s="1154"/>
      <c r="R68" s="1154"/>
      <c r="S68" s="1154"/>
      <c r="T68" s="698" t="b">
        <f ca="1">F68&gt;0</f>
        <v>1</v>
      </c>
      <c r="U68" s="1154"/>
      <c r="V68" s="1154"/>
      <c r="W68" s="1154"/>
      <c r="X68" s="1721"/>
      <c r="Y68" s="1154"/>
      <c r="Z68" s="1721"/>
      <c r="AA68" s="1154"/>
      <c r="AB68" s="346" t="s">
        <v>437</v>
      </c>
      <c r="AC68" s="347" t="s">
        <v>1284</v>
      </c>
      <c r="AD68" s="108" t="s">
        <v>839</v>
      </c>
      <c r="AE68" s="1339"/>
      <c r="AF68" s="1339"/>
      <c r="AG68" s="1339"/>
      <c r="AH68" s="1339">
        <v>5709.86</v>
      </c>
      <c r="AI68" s="229">
        <f>SUMIFS(AI69:AI76,$AD69:$AD76,$AD68)</f>
        <v>0</v>
      </c>
      <c r="AJ68" s="229">
        <f>SUMIFS(AJ69:AJ76,$AD69:$AD76,$AD68)</f>
        <v>5935.9452127559989</v>
      </c>
      <c r="AK68" s="1297"/>
      <c r="AL68" s="1154"/>
      <c r="AM68" s="1154"/>
      <c r="AN68" s="981" t="s">
        <v>1285</v>
      </c>
      <c r="AO68" s="987"/>
      <c r="AP68" s="987"/>
      <c r="AQ68" s="988"/>
      <c r="AR68" s="988"/>
    </row>
    <row r="69" spans="1:44" s="671" customFormat="1" ht="9" hidden="1" customHeight="1">
      <c r="A69" s="1154"/>
      <c r="B69" s="1154"/>
      <c r="C69" s="1154"/>
      <c r="D69" s="1154"/>
      <c r="E69" s="682">
        <v>0</v>
      </c>
      <c r="F69" s="779" t="str" cm="1">
        <f t="array" aca="1" ref="F69" ca="1">OFFSET(G69,-1,-1)</f>
        <v>1</v>
      </c>
      <c r="G69" s="1154"/>
      <c r="H69" s="1154"/>
      <c r="I69" s="1154"/>
      <c r="J69" s="1154"/>
      <c r="K69" s="1154"/>
      <c r="L69" s="1154"/>
      <c r="M69" s="1154"/>
      <c r="N69" s="1154"/>
      <c r="O69" s="1154"/>
      <c r="P69" s="1154"/>
      <c r="Q69" s="1154"/>
      <c r="R69" s="1154"/>
      <c r="S69" s="1154"/>
      <c r="T69" s="698" t="b">
        <f ca="1">F69&gt;0</f>
        <v>1</v>
      </c>
      <c r="U69" s="1154"/>
      <c r="V69" s="1154"/>
      <c r="W69" s="1154"/>
      <c r="X69" s="1721"/>
      <c r="Y69" s="1154"/>
      <c r="Z69" s="1721"/>
      <c r="AA69" s="1154"/>
      <c r="AB69" s="346"/>
      <c r="AC69" s="347"/>
      <c r="AD69" s="108"/>
      <c r="AE69" s="120"/>
      <c r="AF69" s="120"/>
      <c r="AG69" s="120"/>
      <c r="AH69" s="120"/>
      <c r="AI69" s="231"/>
      <c r="AJ69" s="231"/>
      <c r="AK69" s="719"/>
      <c r="AL69" s="1154"/>
      <c r="AM69" s="1154"/>
      <c r="AN69" s="981"/>
      <c r="AO69" s="987"/>
      <c r="AP69" s="987"/>
      <c r="AQ69" s="988"/>
      <c r="AR69" s="988"/>
    </row>
    <row r="70" spans="1:44" s="671" customFormat="1" ht="16.5" hidden="1" customHeight="1">
      <c r="E70" s="682">
        <v>17</v>
      </c>
      <c r="F70" s="779" t="str" cm="1">
        <f t="array" aca="1" ref="F70" ca="1">OFFSET(G70,-1,-1)</f>
        <v>1</v>
      </c>
      <c r="H70" s="163" t="s">
        <v>1250</v>
      </c>
      <c r="I70" s="163" cm="1">
        <f t="array" ref="I70">AC70</f>
        <v>0</v>
      </c>
      <c r="T70" s="698" t="b">
        <f ca="1">AND(F70&gt;0,Y70&gt;0)</f>
        <v>0</v>
      </c>
      <c r="W70" s="110" t="s">
        <v>236</v>
      </c>
      <c r="X70" s="1798"/>
      <c r="Y70" s="1721">
        <v>0</v>
      </c>
      <c r="Z70" s="1798"/>
      <c r="AA70" s="1806" t="s">
        <v>218</v>
      </c>
      <c r="AB70" s="346" t="str">
        <f>"3."&amp;Y70</f>
        <v>3.0</v>
      </c>
      <c r="AC70" s="9"/>
      <c r="AD70" s="108" t="s">
        <v>839</v>
      </c>
      <c r="AE70" s="120"/>
      <c r="AF70" s="120"/>
      <c r="AG70" s="120"/>
      <c r="AH70" s="120"/>
      <c r="AI70" s="230">
        <f>AI71*AI72*12/1000</f>
        <v>0</v>
      </c>
      <c r="AJ70" s="230">
        <f>AJ71*AJ72*12/1000</f>
        <v>0</v>
      </c>
      <c r="AK70" s="34"/>
      <c r="AN70" s="981" t="s">
        <v>1286</v>
      </c>
      <c r="AO70" s="987" t="s">
        <v>1287</v>
      </c>
      <c r="AP70" s="987" cm="1">
        <f t="array" ref="AP70">AC70</f>
        <v>0</v>
      </c>
      <c r="AQ70" s="988"/>
      <c r="AR70" s="988" t="b">
        <v>1</v>
      </c>
    </row>
    <row r="71" spans="1:44" s="671" customFormat="1" ht="16.5" hidden="1" customHeight="1">
      <c r="E71" s="682">
        <v>17</v>
      </c>
      <c r="F71" s="779" t="str" cm="1">
        <f t="array" aca="1" ref="F71" ca="1">OFFSET(G71,-1,-1)</f>
        <v>1</v>
      </c>
      <c r="G71" s="620" t="s">
        <v>1288</v>
      </c>
      <c r="H71" s="163" t="str">
        <f>H70&amp;"_1"</f>
        <v>L5_1</v>
      </c>
      <c r="I71" s="163" cm="1">
        <f t="array" ref="I71">I70</f>
        <v>0</v>
      </c>
      <c r="T71" s="698" t="b" cm="1">
        <f t="array" aca="1" ref="T71" ca="1">T70</f>
        <v>0</v>
      </c>
      <c r="X71" s="1798"/>
      <c r="Y71" s="1798"/>
      <c r="Z71" s="1798"/>
      <c r="AA71" s="1806"/>
      <c r="AB71" s="346" t="str">
        <f>AB70&amp;".1"</f>
        <v>3.0.1</v>
      </c>
      <c r="AC71" s="241" t="s">
        <v>1269</v>
      </c>
      <c r="AD71" s="108" t="s">
        <v>1270</v>
      </c>
      <c r="AE71" s="120"/>
      <c r="AF71" s="120"/>
      <c r="AG71" s="120"/>
      <c r="AH71" s="120"/>
      <c r="AI71" s="247"/>
      <c r="AJ71" s="247"/>
      <c r="AK71" s="34"/>
      <c r="AN71" s="981" t="s">
        <v>1289</v>
      </c>
      <c r="AO71" s="987" t="s">
        <v>1287</v>
      </c>
      <c r="AP71" s="987" cm="1">
        <f t="array" ref="AP71">AP70</f>
        <v>0</v>
      </c>
      <c r="AQ71" s="988"/>
      <c r="AR71" s="988"/>
    </row>
    <row r="72" spans="1:44" s="671" customFormat="1" ht="16.5" hidden="1" customHeight="1">
      <c r="E72" s="682">
        <v>17</v>
      </c>
      <c r="F72" s="779" t="str" cm="1">
        <f t="array" aca="1" ref="F72" ca="1">OFFSET(G72,-1,-1)</f>
        <v>1</v>
      </c>
      <c r="H72" s="163" t="str">
        <f>H70&amp;"_2"</f>
        <v>L5_2</v>
      </c>
      <c r="I72" s="163" cm="1">
        <f t="array" ref="I72">I71</f>
        <v>0</v>
      </c>
      <c r="T72" s="698" t="b" cm="1">
        <f t="array" aca="1" ref="T72" ca="1">T71</f>
        <v>0</v>
      </c>
      <c r="X72" s="1798"/>
      <c r="Y72" s="1798"/>
      <c r="Z72" s="1798"/>
      <c r="AA72" s="1806"/>
      <c r="AB72" s="346" t="str">
        <f>AB70&amp;".2"</f>
        <v>3.0.2</v>
      </c>
      <c r="AC72" s="241" t="s">
        <v>1272</v>
      </c>
      <c r="AD72" s="108" t="s">
        <v>1273</v>
      </c>
      <c r="AE72" s="120"/>
      <c r="AF72" s="120"/>
      <c r="AG72" s="120"/>
      <c r="AH72" s="120"/>
      <c r="AI72" s="247"/>
      <c r="AJ72" s="247"/>
      <c r="AK72" s="34"/>
      <c r="AN72" s="981" t="s">
        <v>1290</v>
      </c>
      <c r="AO72" s="987" t="s">
        <v>1287</v>
      </c>
      <c r="AP72" s="987" cm="1">
        <f t="array" ref="AP72">AP71</f>
        <v>0</v>
      </c>
      <c r="AQ72" s="988"/>
      <c r="AR72" s="988"/>
    </row>
    <row r="73" spans="1:44" s="671" customFormat="1" ht="16.5" customHeight="1">
      <c r="E73" s="682">
        <v>17</v>
      </c>
      <c r="F73" s="779" t="str" cm="1">
        <f t="array" aca="1" ref="F73" ca="1">OFFSET(G73,-1,-1)</f>
        <v>1</v>
      </c>
      <c r="H73" s="163" t="s">
        <v>1250</v>
      </c>
      <c r="I73" s="163" t="str" cm="1">
        <f t="array" ref="I73">AC73</f>
        <v>ФОТ</v>
      </c>
      <c r="T73" s="698" t="b">
        <f ca="1">AND(F73&gt;0,Y73&gt;0)</f>
        <v>1</v>
      </c>
      <c r="W73" s="110"/>
      <c r="X73" s="1798"/>
      <c r="Y73" s="1721" t="s">
        <v>341</v>
      </c>
      <c r="Z73" s="1798"/>
      <c r="AA73" s="1806" t="s">
        <v>218</v>
      </c>
      <c r="AB73" s="346" t="str">
        <f>"3."&amp;Y73</f>
        <v>3.1</v>
      </c>
      <c r="AC73" s="1203" t="s">
        <v>48</v>
      </c>
      <c r="AD73" s="108" t="s">
        <v>839</v>
      </c>
      <c r="AE73" s="120"/>
      <c r="AF73" s="120"/>
      <c r="AG73" s="120"/>
      <c r="AH73" s="120"/>
      <c r="AI73" s="230">
        <f>AI74*AI75*12/1000</f>
        <v>0</v>
      </c>
      <c r="AJ73" s="230">
        <f>AJ74*AJ75*12/1000</f>
        <v>5935.9452127559989</v>
      </c>
      <c r="AK73" s="1297"/>
      <c r="AN73" s="981" t="s">
        <v>1286</v>
      </c>
      <c r="AO73" s="987" t="s">
        <v>1287</v>
      </c>
      <c r="AP73" s="987" t="str" cm="1">
        <f t="array" ref="AP73">AC73</f>
        <v>ФОТ</v>
      </c>
      <c r="AQ73" s="988"/>
      <c r="AR73" s="988" t="b">
        <v>1</v>
      </c>
    </row>
    <row r="74" spans="1:44" s="671" customFormat="1" ht="16.5" customHeight="1">
      <c r="E74" s="682">
        <v>17</v>
      </c>
      <c r="F74" s="779" t="str" cm="1">
        <f t="array" aca="1" ref="F74" ca="1">OFFSET(G74,-1,-1)</f>
        <v>1</v>
      </c>
      <c r="G74" s="620" t="s">
        <v>1288</v>
      </c>
      <c r="H74" s="163" t="str">
        <f>H73&amp;"_1"</f>
        <v>L5_1</v>
      </c>
      <c r="I74" s="163" t="str" cm="1">
        <f t="array" ref="I74">I73</f>
        <v>ФОТ</v>
      </c>
      <c r="T74" s="698" t="b" cm="1">
        <f t="array" aca="1" ref="T74" ca="1">T73</f>
        <v>1</v>
      </c>
      <c r="X74" s="1798"/>
      <c r="Y74" s="1798"/>
      <c r="Z74" s="1798"/>
      <c r="AA74" s="1806"/>
      <c r="AB74" s="346" t="str">
        <f>AB73&amp;".1"</f>
        <v>3.1.1</v>
      </c>
      <c r="AC74" s="241" t="s">
        <v>1269</v>
      </c>
      <c r="AD74" s="108" t="s">
        <v>1270</v>
      </c>
      <c r="AE74" s="120"/>
      <c r="AF74" s="120"/>
      <c r="AG74" s="120"/>
      <c r="AH74" s="120"/>
      <c r="AI74" s="247"/>
      <c r="AJ74" s="247">
        <v>6.2748999999999997</v>
      </c>
      <c r="AK74" s="1297"/>
      <c r="AN74" s="981" t="s">
        <v>1289</v>
      </c>
      <c r="AO74" s="987" t="s">
        <v>1287</v>
      </c>
      <c r="AP74" s="987" t="str" cm="1">
        <f t="array" ref="AP74">AP73</f>
        <v>ФОТ</v>
      </c>
      <c r="AQ74" s="988"/>
      <c r="AR74" s="988"/>
    </row>
    <row r="75" spans="1:44" s="671" customFormat="1" ht="16.5" customHeight="1">
      <c r="E75" s="682">
        <v>17</v>
      </c>
      <c r="F75" s="779" t="str" cm="1">
        <f t="array" aca="1" ref="F75" ca="1">OFFSET(G75,-1,-1)</f>
        <v>1</v>
      </c>
      <c r="H75" s="163" t="str">
        <f>H73&amp;"_2"</f>
        <v>L5_2</v>
      </c>
      <c r="I75" s="163" t="str" cm="1">
        <f t="array" ref="I75">I74</f>
        <v>ФОТ</v>
      </c>
      <c r="T75" s="698" t="b" cm="1">
        <f t="array" aca="1" ref="T75" ca="1">T74</f>
        <v>1</v>
      </c>
      <c r="X75" s="1798"/>
      <c r="Y75" s="1798"/>
      <c r="Z75" s="1798"/>
      <c r="AA75" s="1806"/>
      <c r="AB75" s="346" t="str">
        <f>AB73&amp;".2"</f>
        <v>3.1.2</v>
      </c>
      <c r="AC75" s="241" t="s">
        <v>1272</v>
      </c>
      <c r="AD75" s="108" t="s">
        <v>1273</v>
      </c>
      <c r="AE75" s="120"/>
      <c r="AF75" s="120"/>
      <c r="AG75" s="120"/>
      <c r="AH75" s="120"/>
      <c r="AI75" s="247"/>
      <c r="AJ75" s="247">
        <v>78831.87</v>
      </c>
      <c r="AK75" s="1297"/>
      <c r="AN75" s="981" t="s">
        <v>1290</v>
      </c>
      <c r="AO75" s="987" t="s">
        <v>1287</v>
      </c>
      <c r="AP75" s="987" t="str" cm="1">
        <f t="array" ref="AP75">AP74</f>
        <v>ФОТ</v>
      </c>
      <c r="AQ75" s="988"/>
      <c r="AR75" s="988"/>
    </row>
    <row r="76" spans="1:44" s="671" customFormat="1" ht="16.5" customHeight="1">
      <c r="A76" s="1154"/>
      <c r="B76" s="1154"/>
      <c r="C76" s="1154"/>
      <c r="D76" s="1154"/>
      <c r="E76" s="682">
        <v>17</v>
      </c>
      <c r="F76" s="779" t="str" cm="1">
        <f t="array" aca="1" ref="F76" ca="1">OFFSET(G76,-1,-1)</f>
        <v>1</v>
      </c>
      <c r="G76" s="1154"/>
      <c r="H76" s="163" t="str">
        <f ca="1">F76&amp;"pIns3"</f>
        <v>1pIns3</v>
      </c>
      <c r="I76" s="1154"/>
      <c r="J76" s="1154"/>
      <c r="K76" s="1154"/>
      <c r="L76" s="1154"/>
      <c r="M76" s="1154"/>
      <c r="N76" s="1154"/>
      <c r="O76" s="1154"/>
      <c r="P76" s="1154"/>
      <c r="Q76" s="1154"/>
      <c r="R76" s="1154"/>
      <c r="S76" s="1154"/>
      <c r="T76" s="698" t="b">
        <f ca="1">F76&gt;0</f>
        <v>1</v>
      </c>
      <c r="U76" s="1154"/>
      <c r="V76" s="1154"/>
      <c r="W76" s="318" t="s">
        <v>1257</v>
      </c>
      <c r="X76" s="1721"/>
      <c r="Y76" s="1154"/>
      <c r="Z76" s="1721"/>
      <c r="AA76" s="1154"/>
      <c r="AB76" s="249"/>
      <c r="AC76" s="250" t="s">
        <v>238</v>
      </c>
      <c r="AD76" s="250"/>
      <c r="AE76" s="250"/>
      <c r="AF76" s="250"/>
      <c r="AG76" s="250"/>
      <c r="AH76" s="250"/>
      <c r="AI76" s="250"/>
      <c r="AJ76" s="250"/>
      <c r="AK76" s="909"/>
      <c r="AL76" s="1154"/>
      <c r="AM76" s="1154"/>
      <c r="AN76" s="981" t="s">
        <v>243</v>
      </c>
      <c r="AO76" s="987"/>
      <c r="AP76" s="987"/>
      <c r="AQ76" s="988" t="s">
        <v>1287</v>
      </c>
      <c r="AR76" s="988"/>
    </row>
    <row r="77" spans="1:44" s="671" customFormat="1" ht="24" customHeight="1">
      <c r="A77" s="1154"/>
      <c r="B77" s="1154"/>
      <c r="C77" s="1154"/>
      <c r="D77" s="1154"/>
      <c r="E77" s="682">
        <v>24.8</v>
      </c>
      <c r="F77" s="779" t="str" cm="1">
        <f t="array" aca="1" ref="F77" ca="1">OFFSET(G77,-1,-1)</f>
        <v>1</v>
      </c>
      <c r="G77" s="620" t="s">
        <v>1291</v>
      </c>
      <c r="H77" s="163" t="s">
        <v>1250</v>
      </c>
      <c r="I77" s="1154"/>
      <c r="J77" s="1154"/>
      <c r="K77" s="1154"/>
      <c r="L77" s="1154"/>
      <c r="M77" s="1154"/>
      <c r="N77" s="1154"/>
      <c r="O77" s="1154"/>
      <c r="P77" s="1154"/>
      <c r="Q77" s="1154"/>
      <c r="R77" s="1154"/>
      <c r="S77" s="1154"/>
      <c r="T77" s="698" t="b">
        <f ca="1">F77&gt;0</f>
        <v>1</v>
      </c>
      <c r="U77" s="1154"/>
      <c r="V77" s="1154"/>
      <c r="W77" s="1154"/>
      <c r="X77" s="1721"/>
      <c r="Y77" s="1154"/>
      <c r="Z77" s="1721"/>
      <c r="AA77" s="1154"/>
      <c r="AB77" s="346" t="s">
        <v>440</v>
      </c>
      <c r="AC77" s="347" t="s">
        <v>1292</v>
      </c>
      <c r="AD77" s="108" t="s">
        <v>839</v>
      </c>
      <c r="AE77" s="1339"/>
      <c r="AF77" s="1339"/>
      <c r="AG77" s="1339"/>
      <c r="AH77" s="1339"/>
      <c r="AI77" s="229">
        <f>SUMIFS(AI78:AI82,$AD78:$AD82,$AD77)</f>
        <v>0</v>
      </c>
      <c r="AJ77" s="229">
        <f>SUMIFS(AJ78:AJ82,$AD78:$AD82,$AD77)</f>
        <v>0</v>
      </c>
      <c r="AK77" s="1297"/>
      <c r="AL77" s="1154"/>
      <c r="AM77" s="1154"/>
      <c r="AN77" s="981" t="s">
        <v>1293</v>
      </c>
      <c r="AO77" s="987"/>
      <c r="AP77" s="987"/>
      <c r="AQ77" s="988"/>
      <c r="AR77" s="988"/>
    </row>
    <row r="78" spans="1:44" s="671" customFormat="1" ht="9" hidden="1" customHeight="1">
      <c r="A78" s="1154"/>
      <c r="B78" s="1154"/>
      <c r="C78" s="1154"/>
      <c r="D78" s="1154"/>
      <c r="E78" s="682">
        <v>0</v>
      </c>
      <c r="F78" s="779" t="str" cm="1">
        <f t="array" aca="1" ref="F78" ca="1">OFFSET(G78,-1,-1)</f>
        <v>1</v>
      </c>
      <c r="G78" s="1154"/>
      <c r="H78" s="1154"/>
      <c r="I78" s="1154"/>
      <c r="J78" s="1154"/>
      <c r="K78" s="1154"/>
      <c r="L78" s="1154"/>
      <c r="M78" s="1154"/>
      <c r="N78" s="1154"/>
      <c r="O78" s="1154"/>
      <c r="P78" s="1154"/>
      <c r="Q78" s="1154"/>
      <c r="R78" s="1154"/>
      <c r="S78" s="1154"/>
      <c r="T78" s="698" t="b">
        <f ca="1">F78&gt;0</f>
        <v>1</v>
      </c>
      <c r="U78" s="1154"/>
      <c r="V78" s="1154"/>
      <c r="W78" s="1154"/>
      <c r="X78" s="1721"/>
      <c r="Y78" s="1154"/>
      <c r="Z78" s="1721"/>
      <c r="AA78" s="1154"/>
      <c r="AB78" s="346"/>
      <c r="AC78" s="347"/>
      <c r="AD78" s="108"/>
      <c r="AE78" s="120"/>
      <c r="AF78" s="120"/>
      <c r="AG78" s="120"/>
      <c r="AH78" s="120"/>
      <c r="AI78" s="231"/>
      <c r="AJ78" s="231"/>
      <c r="AK78" s="719"/>
      <c r="AL78" s="1154"/>
      <c r="AM78" s="1154"/>
      <c r="AN78" s="981"/>
      <c r="AO78" s="987"/>
      <c r="AP78" s="987"/>
      <c r="AQ78" s="988"/>
      <c r="AR78" s="988"/>
    </row>
    <row r="79" spans="1:44" s="671" customFormat="1" ht="16.5" hidden="1" customHeight="1">
      <c r="A79" s="1154"/>
      <c r="B79" s="1154"/>
      <c r="C79" s="1154"/>
      <c r="D79" s="1154"/>
      <c r="E79" s="682">
        <v>17</v>
      </c>
      <c r="F79" s="779" t="str" cm="1">
        <f t="array" aca="1" ref="F79" ca="1">OFFSET(G79,-1,-1)</f>
        <v>1</v>
      </c>
      <c r="G79" s="1154"/>
      <c r="H79" s="163" t="s">
        <v>1250</v>
      </c>
      <c r="I79" s="163" cm="1">
        <f t="array" ref="I79">AC79</f>
        <v>0</v>
      </c>
      <c r="J79" s="1154"/>
      <c r="K79" s="1154"/>
      <c r="L79" s="1154"/>
      <c r="M79" s="1154"/>
      <c r="N79" s="1154"/>
      <c r="O79" s="1154"/>
      <c r="P79" s="1154"/>
      <c r="Q79" s="1154"/>
      <c r="R79" s="1154"/>
      <c r="S79" s="1154"/>
      <c r="T79" s="698" t="b">
        <f ca="1">AND(F79&gt;0,Y79&gt;0)</f>
        <v>0</v>
      </c>
      <c r="U79" s="1154"/>
      <c r="V79" s="1154"/>
      <c r="W79" s="110" t="s">
        <v>236</v>
      </c>
      <c r="X79" s="1721"/>
      <c r="Y79" s="1721">
        <v>0</v>
      </c>
      <c r="Z79" s="1721"/>
      <c r="AA79" s="1806" t="s">
        <v>218</v>
      </c>
      <c r="AB79" s="346" t="str">
        <f>"4."&amp;Y79</f>
        <v>4.0</v>
      </c>
      <c r="AC79" s="9"/>
      <c r="AD79" s="108" t="s">
        <v>839</v>
      </c>
      <c r="AE79" s="120"/>
      <c r="AF79" s="120"/>
      <c r="AG79" s="120"/>
      <c r="AH79" s="120"/>
      <c r="AI79" s="230">
        <f>AI80*AI81*12/1000</f>
        <v>0</v>
      </c>
      <c r="AJ79" s="230">
        <f>AJ80*AJ81*12/1000</f>
        <v>0</v>
      </c>
      <c r="AK79" s="34"/>
      <c r="AL79" s="1154"/>
      <c r="AM79" s="1154"/>
      <c r="AN79" s="981" t="s">
        <v>1294</v>
      </c>
      <c r="AO79" s="987" t="s">
        <v>1295</v>
      </c>
      <c r="AP79" s="987" cm="1">
        <f t="array" ref="AP79">AC79</f>
        <v>0</v>
      </c>
      <c r="AQ79" s="988"/>
      <c r="AR79" s="988" t="b">
        <v>1</v>
      </c>
    </row>
    <row r="80" spans="1:44" s="671" customFormat="1" ht="16.5" hidden="1" customHeight="1">
      <c r="A80" s="1154"/>
      <c r="B80" s="1154"/>
      <c r="C80" s="1154"/>
      <c r="D80" s="1154"/>
      <c r="E80" s="682">
        <v>17</v>
      </c>
      <c r="F80" s="779" t="str" cm="1">
        <f t="array" aca="1" ref="F80" ca="1">OFFSET(G80,-1,-1)</f>
        <v>1</v>
      </c>
      <c r="G80" s="620" t="s">
        <v>1296</v>
      </c>
      <c r="H80" s="163" t="str">
        <f>H79&amp;"_1"</f>
        <v>L5_1</v>
      </c>
      <c r="I80" s="163" cm="1">
        <f t="array" ref="I80">I79</f>
        <v>0</v>
      </c>
      <c r="J80" s="1154"/>
      <c r="K80" s="1154"/>
      <c r="L80" s="1154"/>
      <c r="M80" s="1154"/>
      <c r="N80" s="1154"/>
      <c r="O80" s="1154"/>
      <c r="P80" s="1154"/>
      <c r="Q80" s="1154"/>
      <c r="R80" s="1154"/>
      <c r="S80" s="1154"/>
      <c r="T80" s="698" t="b" cm="1">
        <f t="array" aca="1" ref="T80" ca="1">T79</f>
        <v>0</v>
      </c>
      <c r="U80" s="1154"/>
      <c r="V80" s="1154"/>
      <c r="W80" s="1154"/>
      <c r="X80" s="1721"/>
      <c r="Y80" s="1721"/>
      <c r="Z80" s="1721"/>
      <c r="AA80" s="1806"/>
      <c r="AB80" s="346" t="str">
        <f>AB79&amp;".1"</f>
        <v>4.0.1</v>
      </c>
      <c r="AC80" s="241" t="s">
        <v>1269</v>
      </c>
      <c r="AD80" s="108" t="s">
        <v>1270</v>
      </c>
      <c r="AE80" s="120"/>
      <c r="AF80" s="120"/>
      <c r="AG80" s="120"/>
      <c r="AH80" s="120"/>
      <c r="AI80" s="247"/>
      <c r="AJ80" s="247"/>
      <c r="AK80" s="34"/>
      <c r="AL80" s="1154"/>
      <c r="AM80" s="1154"/>
      <c r="AN80" s="981" t="s">
        <v>1297</v>
      </c>
      <c r="AO80" s="987" t="s">
        <v>1295</v>
      </c>
      <c r="AP80" s="987" cm="1">
        <f t="array" ref="AP80">AP79</f>
        <v>0</v>
      </c>
      <c r="AQ80" s="988"/>
      <c r="AR80" s="988"/>
    </row>
    <row r="81" spans="1:44" s="671" customFormat="1" ht="16.5" hidden="1" customHeight="1">
      <c r="A81" s="1154"/>
      <c r="B81" s="1154"/>
      <c r="C81" s="1154"/>
      <c r="D81" s="1154"/>
      <c r="E81" s="682">
        <v>17</v>
      </c>
      <c r="F81" s="779" t="str" cm="1">
        <f t="array" aca="1" ref="F81" ca="1">OFFSET(G81,-1,-1)</f>
        <v>1</v>
      </c>
      <c r="G81" s="1154"/>
      <c r="H81" s="163" t="str">
        <f>H79&amp;"_2"</f>
        <v>L5_2</v>
      </c>
      <c r="I81" s="163" cm="1">
        <f t="array" ref="I81">I80</f>
        <v>0</v>
      </c>
      <c r="J81" s="1154"/>
      <c r="K81" s="1154"/>
      <c r="L81" s="1154"/>
      <c r="M81" s="1154"/>
      <c r="N81" s="1154"/>
      <c r="O81" s="1154"/>
      <c r="P81" s="1154"/>
      <c r="Q81" s="1154"/>
      <c r="R81" s="1154"/>
      <c r="S81" s="1154"/>
      <c r="T81" s="698" t="b" cm="1">
        <f t="array" aca="1" ref="T81" ca="1">T80</f>
        <v>0</v>
      </c>
      <c r="U81" s="1154"/>
      <c r="V81" s="1154"/>
      <c r="W81" s="1154"/>
      <c r="X81" s="1721"/>
      <c r="Y81" s="1721"/>
      <c r="Z81" s="1721"/>
      <c r="AA81" s="1806"/>
      <c r="AB81" s="346" t="str">
        <f>AB79&amp;".2"</f>
        <v>4.0.2</v>
      </c>
      <c r="AC81" s="241" t="s">
        <v>1272</v>
      </c>
      <c r="AD81" s="108" t="s">
        <v>1273</v>
      </c>
      <c r="AE81" s="120"/>
      <c r="AF81" s="120"/>
      <c r="AG81" s="120"/>
      <c r="AH81" s="120"/>
      <c r="AI81" s="247"/>
      <c r="AJ81" s="247"/>
      <c r="AK81" s="34"/>
      <c r="AL81" s="1154"/>
      <c r="AM81" s="1154"/>
      <c r="AN81" s="981" t="s">
        <v>1298</v>
      </c>
      <c r="AO81" s="987" t="s">
        <v>1295</v>
      </c>
      <c r="AP81" s="987" cm="1">
        <f t="array" ref="AP81">AP80</f>
        <v>0</v>
      </c>
      <c r="AQ81" s="988"/>
      <c r="AR81" s="988"/>
    </row>
    <row r="82" spans="1:44" s="671" customFormat="1" ht="16.5" customHeight="1">
      <c r="A82" s="1154"/>
      <c r="B82" s="1154"/>
      <c r="C82" s="1154"/>
      <c r="D82" s="1154"/>
      <c r="E82" s="682">
        <v>17</v>
      </c>
      <c r="F82" s="779" t="str" cm="1">
        <f t="array" aca="1" ref="F82" ca="1">OFFSET(G82,-1,-1)</f>
        <v>1</v>
      </c>
      <c r="G82" s="1154"/>
      <c r="H82" s="163" t="str">
        <f ca="1">F82&amp;"pIns3"</f>
        <v>1pIns3</v>
      </c>
      <c r="I82" s="1154"/>
      <c r="J82" s="1154"/>
      <c r="K82" s="1154"/>
      <c r="L82" s="1154"/>
      <c r="M82" s="1154"/>
      <c r="N82" s="1154"/>
      <c r="O82" s="1154"/>
      <c r="P82" s="1154"/>
      <c r="Q82" s="1154"/>
      <c r="R82" s="1154"/>
      <c r="S82" s="1154"/>
      <c r="T82" s="698" t="b">
        <f ca="1">F82&gt;0</f>
        <v>1</v>
      </c>
      <c r="U82" s="1154"/>
      <c r="V82" s="1154"/>
      <c r="W82" s="318" t="s">
        <v>1299</v>
      </c>
      <c r="X82" s="1721"/>
      <c r="Y82" s="1154"/>
      <c r="Z82" s="1721"/>
      <c r="AA82" s="1154"/>
      <c r="AB82" s="249"/>
      <c r="AC82" s="250" t="s">
        <v>238</v>
      </c>
      <c r="AD82" s="250"/>
      <c r="AE82" s="250"/>
      <c r="AF82" s="250"/>
      <c r="AG82" s="250"/>
      <c r="AH82" s="250"/>
      <c r="AI82" s="250"/>
      <c r="AJ82" s="250"/>
      <c r="AK82" s="251"/>
      <c r="AL82" s="1154"/>
      <c r="AM82" s="1154"/>
      <c r="AN82" s="981"/>
      <c r="AO82" s="987"/>
      <c r="AP82" s="987"/>
      <c r="AQ82" s="988" t="s">
        <v>1295</v>
      </c>
      <c r="AR82" s="988"/>
    </row>
    <row r="83" spans="1:44" s="671" customFormat="1" ht="10.5" customHeight="1">
      <c r="A83" s="1154"/>
      <c r="B83" s="1154"/>
      <c r="C83" s="1154"/>
      <c r="D83" s="1154"/>
      <c r="E83" s="682">
        <v>11.4</v>
      </c>
      <c r="F83" s="779" t="str" cm="1">
        <f t="array" ref="F83">X83</f>
        <v>2</v>
      </c>
      <c r="G83" s="620" t="s">
        <v>48</v>
      </c>
      <c r="H83" s="1154"/>
      <c r="I83" s="1154"/>
      <c r="J83" s="1154"/>
      <c r="K83" s="1154"/>
      <c r="L83" s="1154"/>
      <c r="M83" s="1154"/>
      <c r="N83" s="1154"/>
      <c r="O83" s="1154"/>
      <c r="P83" s="1154"/>
      <c r="Q83" s="1154"/>
      <c r="R83" s="1154"/>
      <c r="S83" s="1154"/>
      <c r="T83" s="698" t="b">
        <f>F83&gt;0</f>
        <v>1</v>
      </c>
      <c r="U83" s="1154"/>
      <c r="V83" s="122" t="str" cm="1">
        <f t="array" ref="V83">'Покупка услуг'!$AB$71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3" s="1154"/>
      <c r="X83" s="1721" t="s">
        <v>348</v>
      </c>
      <c r="Y83" s="1154"/>
      <c r="Z83" s="1721"/>
      <c r="AA83" s="1154"/>
      <c r="AB83" s="266" t="str" cm="1">
        <f t="array" ref="AB83">IF(ISBLANK('Покупка услуг'!$AB$71),"",'Покупка услуг'!$AB$71)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3" s="210"/>
      <c r="AD83" s="210"/>
      <c r="AE83" s="321">
        <f t="shared" ref="AE83:AJ83" si="3">AE84+AE93+AE99+AE108</f>
        <v>0</v>
      </c>
      <c r="AF83" s="321">
        <f t="shared" si="3"/>
        <v>0</v>
      </c>
      <c r="AG83" s="321">
        <f t="shared" si="3"/>
        <v>0</v>
      </c>
      <c r="AH83" s="321">
        <f t="shared" si="3"/>
        <v>8448.25</v>
      </c>
      <c r="AI83" s="321">
        <f t="shared" si="3"/>
        <v>0</v>
      </c>
      <c r="AJ83" s="321">
        <f t="shared" si="3"/>
        <v>9218.8492079999978</v>
      </c>
      <c r="AK83" s="321"/>
      <c r="AL83" s="1154"/>
      <c r="AM83" s="1154"/>
      <c r="AN83" s="981"/>
      <c r="AO83" s="987"/>
      <c r="AP83" s="987"/>
      <c r="AQ83" s="988"/>
      <c r="AR83" s="988"/>
    </row>
    <row r="84" spans="1:44" s="671" customFormat="1" ht="18" customHeight="1">
      <c r="A84" s="1154"/>
      <c r="B84" s="1154"/>
      <c r="C84" s="1154"/>
      <c r="D84" s="1154"/>
      <c r="E84" s="682">
        <v>18.8</v>
      </c>
      <c r="F84" s="779" t="str" cm="1">
        <f t="array" aca="1" ref="F84" ca="1">OFFSET(G84,-1,-1)</f>
        <v>2</v>
      </c>
      <c r="G84" s="620" t="s">
        <v>1262</v>
      </c>
      <c r="H84" s="163" t="s">
        <v>1263</v>
      </c>
      <c r="I84" s="1154"/>
      <c r="J84" s="1154"/>
      <c r="K84" s="1154"/>
      <c r="L84" s="1154"/>
      <c r="M84" s="1154"/>
      <c r="N84" s="1154"/>
      <c r="O84" s="1154"/>
      <c r="P84" s="1154"/>
      <c r="Q84" s="1154"/>
      <c r="R84" s="1154"/>
      <c r="S84" s="1154"/>
      <c r="T84" s="698" t="b">
        <f ca="1">F84&gt;0</f>
        <v>1</v>
      </c>
      <c r="U84" s="1154"/>
      <c r="V84" s="1154"/>
      <c r="W84" s="1154"/>
      <c r="X84" s="1721"/>
      <c r="Y84" s="1154"/>
      <c r="Z84" s="1721"/>
      <c r="AA84" s="1154"/>
      <c r="AB84" s="346">
        <v>1</v>
      </c>
      <c r="AC84" s="347" t="s">
        <v>1264</v>
      </c>
      <c r="AD84" s="108" t="s">
        <v>839</v>
      </c>
      <c r="AE84" s="1339"/>
      <c r="AF84" s="1339"/>
      <c r="AG84" s="1339"/>
      <c r="AH84" s="1339">
        <v>3518.69</v>
      </c>
      <c r="AI84" s="229">
        <f>SUMIFS(AI85:AI92,$AD85:$AD92,$AD84)</f>
        <v>0</v>
      </c>
      <c r="AJ84" s="229">
        <f>SUMIFS(AJ85:AJ92,$AD85:$AD92,$AD84)</f>
        <v>3839.6440799999996</v>
      </c>
      <c r="AK84" s="1297"/>
      <c r="AL84" s="1154"/>
      <c r="AM84" s="1154"/>
      <c r="AN84" s="981" t="s">
        <v>1265</v>
      </c>
      <c r="AO84" s="987"/>
      <c r="AP84" s="987"/>
      <c r="AQ84" s="988"/>
      <c r="AR84" s="988"/>
    </row>
    <row r="85" spans="1:44" s="671" customFormat="1" ht="11.25" hidden="1" customHeight="1">
      <c r="A85" s="1154"/>
      <c r="B85" s="1154"/>
      <c r="C85" s="1154"/>
      <c r="D85" s="1154"/>
      <c r="E85" s="682">
        <v>0</v>
      </c>
      <c r="F85" s="779" t="str" cm="1">
        <f t="array" aca="1" ref="F85" ca="1">OFFSET(G85,-1,-1)</f>
        <v>2</v>
      </c>
      <c r="G85" s="1154"/>
      <c r="H85" s="1154"/>
      <c r="I85" s="1154"/>
      <c r="J85" s="1154"/>
      <c r="K85" s="1154"/>
      <c r="L85" s="1154"/>
      <c r="M85" s="1154"/>
      <c r="N85" s="1154"/>
      <c r="O85" s="1154"/>
      <c r="P85" s="1154"/>
      <c r="Q85" s="1154"/>
      <c r="R85" s="1154"/>
      <c r="S85" s="1154"/>
      <c r="T85" s="698" t="b">
        <f ca="1">F85&gt;0</f>
        <v>1</v>
      </c>
      <c r="U85" s="1154"/>
      <c r="V85" s="1154"/>
      <c r="W85" s="1154"/>
      <c r="X85" s="1721"/>
      <c r="Y85" s="1154"/>
      <c r="Z85" s="1721"/>
      <c r="AA85" s="1154"/>
      <c r="AB85" s="346"/>
      <c r="AC85" s="347"/>
      <c r="AD85" s="108"/>
      <c r="AE85" s="120"/>
      <c r="AF85" s="120"/>
      <c r="AG85" s="120"/>
      <c r="AH85" s="120"/>
      <c r="AI85" s="231"/>
      <c r="AJ85" s="231"/>
      <c r="AK85" s="719"/>
      <c r="AL85" s="1154"/>
      <c r="AM85" s="1154"/>
      <c r="AN85" s="981" t="s">
        <v>243</v>
      </c>
      <c r="AO85" s="987"/>
      <c r="AP85" s="987"/>
      <c r="AQ85" s="988"/>
      <c r="AR85" s="988"/>
    </row>
    <row r="86" spans="1:44" s="671" customFormat="1" ht="16.5" hidden="1" customHeight="1">
      <c r="E86" s="682">
        <v>17</v>
      </c>
      <c r="F86" s="779" t="str" cm="1">
        <f t="array" aca="1" ref="F86" ca="1">OFFSET(G86,-1,-1)</f>
        <v>2</v>
      </c>
      <c r="H86" s="163" t="s">
        <v>1263</v>
      </c>
      <c r="I86" s="163" cm="1">
        <f t="array" ref="I86">AC86</f>
        <v>0</v>
      </c>
      <c r="T86" s="698" t="b">
        <f ca="1">AND(F86&gt;0,Y86&gt;0)</f>
        <v>0</v>
      </c>
      <c r="W86" s="110" t="s">
        <v>236</v>
      </c>
      <c r="X86" s="1798"/>
      <c r="Y86" s="1721">
        <v>0</v>
      </c>
      <c r="Z86" s="1798"/>
      <c r="AA86" s="1806" t="s">
        <v>218</v>
      </c>
      <c r="AB86" s="346" t="str">
        <f>"1."&amp;Y86</f>
        <v>1.0</v>
      </c>
      <c r="AC86" s="9"/>
      <c r="AD86" s="108" t="s">
        <v>839</v>
      </c>
      <c r="AE86" s="120"/>
      <c r="AF86" s="120"/>
      <c r="AG86" s="120"/>
      <c r="AH86" s="120"/>
      <c r="AI86" s="230">
        <f>AI87*AI88*12/1000</f>
        <v>0</v>
      </c>
      <c r="AJ86" s="230">
        <f>AJ87*AJ88*12/1000</f>
        <v>0</v>
      </c>
      <c r="AK86" s="34"/>
      <c r="AN86" s="981" t="s">
        <v>1266</v>
      </c>
      <c r="AO86" s="987" t="s">
        <v>1267</v>
      </c>
      <c r="AP86" s="987" cm="1">
        <f t="array" ref="AP86">AC86</f>
        <v>0</v>
      </c>
      <c r="AQ86" s="988"/>
      <c r="AR86" s="988" t="b">
        <v>1</v>
      </c>
    </row>
    <row r="87" spans="1:44" s="671" customFormat="1" ht="16.5" hidden="1" customHeight="1">
      <c r="E87" s="682">
        <v>17</v>
      </c>
      <c r="F87" s="779" t="str" cm="1">
        <f t="array" aca="1" ref="F87" ca="1">OFFSET(G87,-1,-1)</f>
        <v>2</v>
      </c>
      <c r="G87" s="620" t="s">
        <v>1268</v>
      </c>
      <c r="H87" s="163" t="str">
        <f>H86&amp;"_1"</f>
        <v>L1_1</v>
      </c>
      <c r="I87" s="163" cm="1">
        <f t="array" ref="I87">I86</f>
        <v>0</v>
      </c>
      <c r="T87" s="698" t="b" cm="1">
        <f t="array" aca="1" ref="T87" ca="1">T86</f>
        <v>0</v>
      </c>
      <c r="X87" s="1798"/>
      <c r="Y87" s="1798"/>
      <c r="Z87" s="1798"/>
      <c r="AA87" s="1806"/>
      <c r="AB87" s="346" t="str">
        <f>AB86&amp;".1"</f>
        <v>1.0.1</v>
      </c>
      <c r="AC87" s="241" t="s">
        <v>1269</v>
      </c>
      <c r="AD87" s="108" t="s">
        <v>1270</v>
      </c>
      <c r="AE87" s="120"/>
      <c r="AF87" s="120"/>
      <c r="AG87" s="120"/>
      <c r="AH87" s="120"/>
      <c r="AI87" s="247"/>
      <c r="AJ87" s="247"/>
      <c r="AK87" s="34"/>
      <c r="AN87" s="981" t="s">
        <v>1271</v>
      </c>
      <c r="AO87" s="987" t="s">
        <v>1267</v>
      </c>
      <c r="AP87" s="987" cm="1">
        <f t="array" ref="AP87">AP86</f>
        <v>0</v>
      </c>
      <c r="AQ87" s="988"/>
      <c r="AR87" s="988"/>
    </row>
    <row r="88" spans="1:44" s="671" customFormat="1" ht="16.5" hidden="1" customHeight="1">
      <c r="E88" s="682">
        <v>17</v>
      </c>
      <c r="F88" s="779" t="str" cm="1">
        <f t="array" aca="1" ref="F88" ca="1">OFFSET(G88,-1,-1)</f>
        <v>2</v>
      </c>
      <c r="H88" s="163" t="str">
        <f>H86&amp;"_2"</f>
        <v>L1_2</v>
      </c>
      <c r="I88" s="163" cm="1">
        <f t="array" ref="I88">I87</f>
        <v>0</v>
      </c>
      <c r="T88" s="698" t="b" cm="1">
        <f t="array" aca="1" ref="T88" ca="1">T87</f>
        <v>0</v>
      </c>
      <c r="X88" s="1798"/>
      <c r="Y88" s="1798"/>
      <c r="Z88" s="1798"/>
      <c r="AA88" s="1806"/>
      <c r="AB88" s="346" t="str">
        <f>AB86&amp;".2"</f>
        <v>1.0.2</v>
      </c>
      <c r="AC88" s="241" t="s">
        <v>1272</v>
      </c>
      <c r="AD88" s="108" t="s">
        <v>1273</v>
      </c>
      <c r="AE88" s="120"/>
      <c r="AF88" s="120"/>
      <c r="AG88" s="120"/>
      <c r="AH88" s="120"/>
      <c r="AI88" s="247"/>
      <c r="AJ88" s="247"/>
      <c r="AK88" s="34"/>
      <c r="AN88" s="981" t="s">
        <v>1274</v>
      </c>
      <c r="AO88" s="987" t="s">
        <v>1267</v>
      </c>
      <c r="AP88" s="987" cm="1">
        <f t="array" ref="AP88">AP87</f>
        <v>0</v>
      </c>
      <c r="AQ88" s="988"/>
      <c r="AR88" s="988"/>
    </row>
    <row r="89" spans="1:44" s="671" customFormat="1" ht="16.5" customHeight="1">
      <c r="E89" s="682">
        <v>17</v>
      </c>
      <c r="F89" s="779" t="str" cm="1">
        <f t="array" aca="1" ref="F89" ca="1">OFFSET(G89,-1,-1)</f>
        <v>2</v>
      </c>
      <c r="H89" s="163" t="s">
        <v>1263</v>
      </c>
      <c r="I89" s="163" t="str" cm="1">
        <f t="array" ref="I89">AC89</f>
        <v>ФОТ</v>
      </c>
      <c r="T89" s="698" t="b">
        <f ca="1">AND(F89&gt;0,Y89&gt;0)</f>
        <v>1</v>
      </c>
      <c r="W89" s="110"/>
      <c r="X89" s="1798"/>
      <c r="Y89" s="1721" t="s">
        <v>341</v>
      </c>
      <c r="Z89" s="1798"/>
      <c r="AA89" s="1806" t="s">
        <v>218</v>
      </c>
      <c r="AB89" s="346" t="str">
        <f>"1."&amp;Y89</f>
        <v>1.1</v>
      </c>
      <c r="AC89" s="1203" t="s">
        <v>48</v>
      </c>
      <c r="AD89" s="108" t="s">
        <v>839</v>
      </c>
      <c r="AE89" s="120"/>
      <c r="AF89" s="120"/>
      <c r="AG89" s="120"/>
      <c r="AH89" s="120"/>
      <c r="AI89" s="230">
        <f>AI90*AI91*12/1000</f>
        <v>0</v>
      </c>
      <c r="AJ89" s="230">
        <f>AJ90*AJ91*12/1000</f>
        <v>3839.6440799999996</v>
      </c>
      <c r="AK89" s="1297"/>
      <c r="AN89" s="981" t="s">
        <v>1266</v>
      </c>
      <c r="AO89" s="987" t="s">
        <v>1267</v>
      </c>
      <c r="AP89" s="987" t="str" cm="1">
        <f t="array" ref="AP89">AC89</f>
        <v>ФОТ</v>
      </c>
      <c r="AQ89" s="988"/>
      <c r="AR89" s="988" t="b">
        <v>1</v>
      </c>
    </row>
    <row r="90" spans="1:44" s="671" customFormat="1" ht="16.5" customHeight="1">
      <c r="E90" s="682">
        <v>17</v>
      </c>
      <c r="F90" s="779" t="str" cm="1">
        <f t="array" aca="1" ref="F90" ca="1">OFFSET(G90,-1,-1)</f>
        <v>2</v>
      </c>
      <c r="G90" s="620" t="s">
        <v>1268</v>
      </c>
      <c r="H90" s="163" t="str">
        <f>H89&amp;"_1"</f>
        <v>L1_1</v>
      </c>
      <c r="I90" s="163" t="str" cm="1">
        <f t="array" ref="I90">I89</f>
        <v>ФОТ</v>
      </c>
      <c r="T90" s="698" t="b" cm="1">
        <f t="array" aca="1" ref="T90" ca="1">T89</f>
        <v>1</v>
      </c>
      <c r="X90" s="1798"/>
      <c r="Y90" s="1798"/>
      <c r="Z90" s="1798"/>
      <c r="AA90" s="1806"/>
      <c r="AB90" s="346" t="str">
        <f>AB89&amp;".1"</f>
        <v>1.1.1</v>
      </c>
      <c r="AC90" s="241" t="s">
        <v>1269</v>
      </c>
      <c r="AD90" s="108" t="s">
        <v>1270</v>
      </c>
      <c r="AE90" s="120"/>
      <c r="AF90" s="120"/>
      <c r="AG90" s="120"/>
      <c r="AH90" s="120"/>
      <c r="AI90" s="247"/>
      <c r="AJ90" s="247">
        <v>8.6999999999999993</v>
      </c>
      <c r="AK90" s="1297"/>
      <c r="AN90" s="981" t="s">
        <v>1271</v>
      </c>
      <c r="AO90" s="987" t="s">
        <v>1267</v>
      </c>
      <c r="AP90" s="987" t="str" cm="1">
        <f t="array" ref="AP90">AP89</f>
        <v>ФОТ</v>
      </c>
      <c r="AQ90" s="988"/>
      <c r="AR90" s="988"/>
    </row>
    <row r="91" spans="1:44" s="671" customFormat="1" ht="16.5" customHeight="1">
      <c r="E91" s="682">
        <v>17</v>
      </c>
      <c r="F91" s="779" t="str" cm="1">
        <f t="array" aca="1" ref="F91" ca="1">OFFSET(G91,-1,-1)</f>
        <v>2</v>
      </c>
      <c r="H91" s="163" t="str">
        <f>H89&amp;"_2"</f>
        <v>L1_2</v>
      </c>
      <c r="I91" s="163" t="str" cm="1">
        <f t="array" ref="I91">I90</f>
        <v>ФОТ</v>
      </c>
      <c r="T91" s="698" t="b" cm="1">
        <f t="array" aca="1" ref="T91" ca="1">T90</f>
        <v>1</v>
      </c>
      <c r="X91" s="1798"/>
      <c r="Y91" s="1798"/>
      <c r="Z91" s="1798"/>
      <c r="AA91" s="1806"/>
      <c r="AB91" s="346" t="str">
        <f>AB89&amp;".2"</f>
        <v>1.1.2</v>
      </c>
      <c r="AC91" s="241" t="s">
        <v>1272</v>
      </c>
      <c r="AD91" s="108" t="s">
        <v>1273</v>
      </c>
      <c r="AE91" s="120"/>
      <c r="AF91" s="120"/>
      <c r="AG91" s="120"/>
      <c r="AH91" s="120"/>
      <c r="AI91" s="247"/>
      <c r="AJ91" s="247">
        <v>36778.199999999997</v>
      </c>
      <c r="AK91" s="1297"/>
      <c r="AN91" s="981" t="s">
        <v>1274</v>
      </c>
      <c r="AO91" s="987" t="s">
        <v>1267</v>
      </c>
      <c r="AP91" s="987" t="str" cm="1">
        <f t="array" ref="AP91">AP90</f>
        <v>ФОТ</v>
      </c>
      <c r="AQ91" s="988"/>
      <c r="AR91" s="988"/>
    </row>
    <row r="92" spans="1:44" s="671" customFormat="1" ht="16.5" customHeight="1">
      <c r="A92" s="1154"/>
      <c r="B92" s="1154"/>
      <c r="C92" s="1154"/>
      <c r="D92" s="1154"/>
      <c r="E92" s="682">
        <v>17</v>
      </c>
      <c r="F92" s="779" t="str" cm="1">
        <f t="array" aca="1" ref="F92" ca="1">OFFSET(G92,-1,-1)</f>
        <v>2</v>
      </c>
      <c r="G92" s="1154"/>
      <c r="H92" s="163" t="str">
        <f ca="1">F92&amp;"pIns1"</f>
        <v>2pIns1</v>
      </c>
      <c r="I92" s="1154"/>
      <c r="J92" s="1154"/>
      <c r="K92" s="1154"/>
      <c r="L92" s="1154"/>
      <c r="M92" s="1154"/>
      <c r="N92" s="1154"/>
      <c r="O92" s="1154"/>
      <c r="P92" s="1154"/>
      <c r="Q92" s="1154"/>
      <c r="R92" s="1154"/>
      <c r="S92" s="1154"/>
      <c r="T92" s="698" t="b">
        <f ca="1">F92&gt;0</f>
        <v>1</v>
      </c>
      <c r="U92" s="1154"/>
      <c r="V92" s="1154"/>
      <c r="W92" s="318" t="s">
        <v>1005</v>
      </c>
      <c r="X92" s="1721"/>
      <c r="Y92" s="1154"/>
      <c r="Z92" s="1721"/>
      <c r="AA92" s="1154"/>
      <c r="AB92" s="249"/>
      <c r="AC92" s="250" t="s">
        <v>238</v>
      </c>
      <c r="AD92" s="250"/>
      <c r="AE92" s="250"/>
      <c r="AF92" s="250"/>
      <c r="AG92" s="250"/>
      <c r="AH92" s="250"/>
      <c r="AI92" s="250"/>
      <c r="AJ92" s="250"/>
      <c r="AK92" s="909"/>
      <c r="AL92" s="1154"/>
      <c r="AM92" s="1154"/>
      <c r="AN92" s="981" t="s">
        <v>243</v>
      </c>
      <c r="AO92" s="987"/>
      <c r="AP92" s="987"/>
      <c r="AQ92" s="988" t="s">
        <v>1267</v>
      </c>
      <c r="AR92" s="988"/>
    </row>
    <row r="93" spans="1:44" s="671" customFormat="1" ht="24" customHeight="1">
      <c r="A93" s="1154"/>
      <c r="B93" s="1154"/>
      <c r="C93" s="1154"/>
      <c r="D93" s="1154"/>
      <c r="E93" s="682">
        <v>24.8</v>
      </c>
      <c r="F93" s="779" t="str" cm="1">
        <f t="array" aca="1" ref="F93" ca="1">OFFSET(G93,-1,-1)</f>
        <v>2</v>
      </c>
      <c r="G93" s="620" t="s">
        <v>1275</v>
      </c>
      <c r="H93" s="163" t="s">
        <v>1250</v>
      </c>
      <c r="I93" s="1154"/>
      <c r="J93" s="1154"/>
      <c r="K93" s="1154"/>
      <c r="L93" s="1154"/>
      <c r="M93" s="1154"/>
      <c r="N93" s="1154"/>
      <c r="O93" s="1154"/>
      <c r="P93" s="1154"/>
      <c r="Q93" s="1154"/>
      <c r="R93" s="1154"/>
      <c r="S93" s="1154"/>
      <c r="T93" s="698" t="b">
        <f ca="1">F93&gt;0</f>
        <v>1</v>
      </c>
      <c r="U93" s="1154"/>
      <c r="V93" s="1154"/>
      <c r="W93" s="1154"/>
      <c r="X93" s="1721"/>
      <c r="Y93" s="1154"/>
      <c r="Z93" s="1721"/>
      <c r="AA93" s="1154"/>
      <c r="AB93" s="346" t="s">
        <v>348</v>
      </c>
      <c r="AC93" s="347" t="s">
        <v>1276</v>
      </c>
      <c r="AD93" s="108" t="s">
        <v>839</v>
      </c>
      <c r="AE93" s="1339"/>
      <c r="AF93" s="1339"/>
      <c r="AG93" s="1339"/>
      <c r="AH93" s="1339"/>
      <c r="AI93" s="229">
        <f>SUMIFS(AI94:AI98,$AD94:$AD98,$AD93)</f>
        <v>0</v>
      </c>
      <c r="AJ93" s="229">
        <f>SUMIFS(AJ94:AJ98,$AD94:$AD98,$AD93)</f>
        <v>0</v>
      </c>
      <c r="AK93" s="1297"/>
      <c r="AL93" s="1154"/>
      <c r="AM93" s="1154"/>
      <c r="AN93" s="981" t="s">
        <v>1277</v>
      </c>
      <c r="AO93" s="987"/>
      <c r="AP93" s="987"/>
      <c r="AQ93" s="988"/>
      <c r="AR93" s="988"/>
    </row>
    <row r="94" spans="1:44" s="671" customFormat="1" ht="9" hidden="1" customHeight="1">
      <c r="A94" s="1154"/>
      <c r="B94" s="1154"/>
      <c r="C94" s="1154"/>
      <c r="D94" s="1154"/>
      <c r="E94" s="682">
        <v>0</v>
      </c>
      <c r="F94" s="779" t="str" cm="1">
        <f t="array" aca="1" ref="F94" ca="1">OFFSET(G94,-1,-1)</f>
        <v>2</v>
      </c>
      <c r="G94" s="1154"/>
      <c r="H94" s="1154"/>
      <c r="I94" s="1154"/>
      <c r="J94" s="1154"/>
      <c r="K94" s="1154"/>
      <c r="L94" s="1154"/>
      <c r="M94" s="1154"/>
      <c r="N94" s="1154"/>
      <c r="O94" s="1154"/>
      <c r="P94" s="1154"/>
      <c r="Q94" s="1154"/>
      <c r="R94" s="1154"/>
      <c r="S94" s="1154"/>
      <c r="T94" s="698" t="b">
        <f ca="1">F94&gt;0</f>
        <v>1</v>
      </c>
      <c r="U94" s="1154"/>
      <c r="V94" s="1154"/>
      <c r="W94" s="1154"/>
      <c r="X94" s="1721"/>
      <c r="Y94" s="1154"/>
      <c r="Z94" s="1721"/>
      <c r="AA94" s="1154"/>
      <c r="AB94" s="346"/>
      <c r="AC94" s="347"/>
      <c r="AD94" s="108"/>
      <c r="AE94" s="120"/>
      <c r="AF94" s="120"/>
      <c r="AG94" s="120"/>
      <c r="AH94" s="120"/>
      <c r="AI94" s="231"/>
      <c r="AJ94" s="231"/>
      <c r="AK94" s="719"/>
      <c r="AL94" s="1154"/>
      <c r="AM94" s="1154"/>
      <c r="AN94" s="981"/>
      <c r="AO94" s="987"/>
      <c r="AP94" s="987"/>
      <c r="AQ94" s="988"/>
      <c r="AR94" s="988"/>
    </row>
    <row r="95" spans="1:44" s="671" customFormat="1" ht="16.5" hidden="1" customHeight="1">
      <c r="A95" s="1154"/>
      <c r="B95" s="1154"/>
      <c r="C95" s="1154"/>
      <c r="D95" s="1154"/>
      <c r="E95" s="682">
        <v>17</v>
      </c>
      <c r="F95" s="779" t="str" cm="1">
        <f t="array" aca="1" ref="F95" ca="1">OFFSET(G95,-1,-1)</f>
        <v>2</v>
      </c>
      <c r="G95" s="1154"/>
      <c r="H95" s="163" t="s">
        <v>1250</v>
      </c>
      <c r="I95" s="163" cm="1">
        <f t="array" ref="I95">AC95</f>
        <v>0</v>
      </c>
      <c r="J95" s="1154"/>
      <c r="K95" s="1154"/>
      <c r="L95" s="1154"/>
      <c r="M95" s="1154"/>
      <c r="N95" s="1154"/>
      <c r="O95" s="1154"/>
      <c r="P95" s="1154"/>
      <c r="Q95" s="1154"/>
      <c r="R95" s="1154"/>
      <c r="S95" s="1154"/>
      <c r="T95" s="698" t="b">
        <f ca="1">AND(F95&gt;0,Y95&gt;0)</f>
        <v>0</v>
      </c>
      <c r="U95" s="1154"/>
      <c r="V95" s="1154"/>
      <c r="W95" s="110" t="s">
        <v>236</v>
      </c>
      <c r="X95" s="1721"/>
      <c r="Y95" s="1721">
        <v>0</v>
      </c>
      <c r="Z95" s="1721"/>
      <c r="AA95" s="1806" t="s">
        <v>218</v>
      </c>
      <c r="AB95" s="346" t="str">
        <f>"2."&amp;Y95</f>
        <v>2.0</v>
      </c>
      <c r="AC95" s="9"/>
      <c r="AD95" s="108" t="s">
        <v>839</v>
      </c>
      <c r="AE95" s="120"/>
      <c r="AF95" s="120"/>
      <c r="AG95" s="120"/>
      <c r="AH95" s="120"/>
      <c r="AI95" s="230">
        <f>AI96*AI97*12/1000</f>
        <v>0</v>
      </c>
      <c r="AJ95" s="230">
        <f>AJ96*AJ97*12/1000</f>
        <v>0</v>
      </c>
      <c r="AK95" s="34"/>
      <c r="AL95" s="1154"/>
      <c r="AM95" s="1154"/>
      <c r="AN95" s="981" t="s">
        <v>1278</v>
      </c>
      <c r="AO95" s="987" t="s">
        <v>1279</v>
      </c>
      <c r="AP95" s="987" cm="1">
        <f t="array" ref="AP95">AC95</f>
        <v>0</v>
      </c>
      <c r="AQ95" s="988"/>
      <c r="AR95" s="988" t="b">
        <v>1</v>
      </c>
    </row>
    <row r="96" spans="1:44" s="671" customFormat="1" ht="16.5" hidden="1" customHeight="1">
      <c r="A96" s="1154"/>
      <c r="B96" s="1154"/>
      <c r="C96" s="1154"/>
      <c r="D96" s="1154"/>
      <c r="E96" s="682">
        <v>17</v>
      </c>
      <c r="F96" s="779" t="str" cm="1">
        <f t="array" aca="1" ref="F96" ca="1">OFFSET(G96,-1,-1)</f>
        <v>2</v>
      </c>
      <c r="G96" s="620" t="s">
        <v>1280</v>
      </c>
      <c r="H96" s="163" t="str">
        <f>H95&amp;"_1"</f>
        <v>L5_1</v>
      </c>
      <c r="I96" s="163" cm="1">
        <f t="array" ref="I96">I95</f>
        <v>0</v>
      </c>
      <c r="J96" s="1154"/>
      <c r="K96" s="1154"/>
      <c r="L96" s="1154"/>
      <c r="M96" s="1154"/>
      <c r="N96" s="1154"/>
      <c r="O96" s="1154"/>
      <c r="P96" s="1154"/>
      <c r="Q96" s="1154"/>
      <c r="R96" s="1154"/>
      <c r="S96" s="1154"/>
      <c r="T96" s="698" t="b" cm="1">
        <f t="array" aca="1" ref="T96" ca="1">T95</f>
        <v>0</v>
      </c>
      <c r="U96" s="1154"/>
      <c r="V96" s="1154"/>
      <c r="W96" s="1154"/>
      <c r="X96" s="1721"/>
      <c r="Y96" s="1721"/>
      <c r="Z96" s="1721"/>
      <c r="AA96" s="1806"/>
      <c r="AB96" s="346" t="str">
        <f>AB95&amp;".1"</f>
        <v>2.0.1</v>
      </c>
      <c r="AC96" s="241" t="s">
        <v>1269</v>
      </c>
      <c r="AD96" s="108" t="s">
        <v>1270</v>
      </c>
      <c r="AE96" s="120"/>
      <c r="AF96" s="120"/>
      <c r="AG96" s="120"/>
      <c r="AH96" s="120"/>
      <c r="AI96" s="247"/>
      <c r="AJ96" s="247"/>
      <c r="AK96" s="34"/>
      <c r="AL96" s="1154"/>
      <c r="AM96" s="1154"/>
      <c r="AN96" s="981" t="s">
        <v>1281</v>
      </c>
      <c r="AO96" s="987" t="s">
        <v>1279</v>
      </c>
      <c r="AP96" s="987" cm="1">
        <f t="array" ref="AP96">AP95</f>
        <v>0</v>
      </c>
      <c r="AQ96" s="988"/>
      <c r="AR96" s="988"/>
    </row>
    <row r="97" spans="1:44" s="671" customFormat="1" ht="16.5" hidden="1" customHeight="1">
      <c r="A97" s="1154"/>
      <c r="B97" s="1154"/>
      <c r="C97" s="1154"/>
      <c r="D97" s="1154"/>
      <c r="E97" s="682">
        <v>17</v>
      </c>
      <c r="F97" s="779" t="str" cm="1">
        <f t="array" aca="1" ref="F97" ca="1">OFFSET(G97,-1,-1)</f>
        <v>2</v>
      </c>
      <c r="G97" s="1154"/>
      <c r="H97" s="163" t="str">
        <f>H95&amp;"_2"</f>
        <v>L5_2</v>
      </c>
      <c r="I97" s="163" cm="1">
        <f t="array" ref="I97">I96</f>
        <v>0</v>
      </c>
      <c r="J97" s="1154"/>
      <c r="K97" s="1154"/>
      <c r="L97" s="1154"/>
      <c r="M97" s="1154"/>
      <c r="N97" s="1154"/>
      <c r="O97" s="1154"/>
      <c r="P97" s="1154"/>
      <c r="Q97" s="1154"/>
      <c r="R97" s="1154"/>
      <c r="S97" s="1154"/>
      <c r="T97" s="698" t="b" cm="1">
        <f t="array" aca="1" ref="T97" ca="1">T96</f>
        <v>0</v>
      </c>
      <c r="U97" s="1154"/>
      <c r="V97" s="1154"/>
      <c r="W97" s="1154"/>
      <c r="X97" s="1721"/>
      <c r="Y97" s="1721"/>
      <c r="Z97" s="1721"/>
      <c r="AA97" s="1806"/>
      <c r="AB97" s="346" t="str">
        <f>AB95&amp;".2"</f>
        <v>2.0.2</v>
      </c>
      <c r="AC97" s="241" t="s">
        <v>1272</v>
      </c>
      <c r="AD97" s="108" t="s">
        <v>1273</v>
      </c>
      <c r="AE97" s="120"/>
      <c r="AF97" s="120"/>
      <c r="AG97" s="120"/>
      <c r="AH97" s="120"/>
      <c r="AI97" s="247"/>
      <c r="AJ97" s="247"/>
      <c r="AK97" s="34"/>
      <c r="AL97" s="1154"/>
      <c r="AM97" s="1154"/>
      <c r="AN97" s="981" t="s">
        <v>1282</v>
      </c>
      <c r="AO97" s="987" t="s">
        <v>1279</v>
      </c>
      <c r="AP97" s="987" cm="1">
        <f t="array" ref="AP97">AP96</f>
        <v>0</v>
      </c>
      <c r="AQ97" s="988"/>
      <c r="AR97" s="988"/>
    </row>
    <row r="98" spans="1:44" s="671" customFormat="1" ht="16.5" customHeight="1">
      <c r="A98" s="1154"/>
      <c r="B98" s="1154"/>
      <c r="C98" s="1154"/>
      <c r="D98" s="1154"/>
      <c r="E98" s="682">
        <v>17</v>
      </c>
      <c r="F98" s="779" t="str" cm="1">
        <f t="array" aca="1" ref="F98" ca="1">OFFSET(G98,-1,-1)</f>
        <v>2</v>
      </c>
      <c r="G98" s="1154"/>
      <c r="H98" s="163" t="str">
        <f ca="1">F98&amp;"pIns3"</f>
        <v>2pIns3</v>
      </c>
      <c r="I98" s="1154"/>
      <c r="J98" s="1154"/>
      <c r="K98" s="1154"/>
      <c r="L98" s="1154"/>
      <c r="M98" s="1154"/>
      <c r="N98" s="1154"/>
      <c r="O98" s="1154"/>
      <c r="P98" s="1154"/>
      <c r="Q98" s="1154"/>
      <c r="R98" s="1154"/>
      <c r="S98" s="1154"/>
      <c r="T98" s="698" t="b">
        <f ca="1">F98&gt;0</f>
        <v>1</v>
      </c>
      <c r="U98" s="1154"/>
      <c r="V98" s="1154"/>
      <c r="W98" s="318" t="s">
        <v>1016</v>
      </c>
      <c r="X98" s="1721"/>
      <c r="Y98" s="1154"/>
      <c r="Z98" s="1721"/>
      <c r="AA98" s="1154"/>
      <c r="AB98" s="249"/>
      <c r="AC98" s="250" t="s">
        <v>238</v>
      </c>
      <c r="AD98" s="250"/>
      <c r="AE98" s="250"/>
      <c r="AF98" s="250"/>
      <c r="AG98" s="250"/>
      <c r="AH98" s="250"/>
      <c r="AI98" s="250"/>
      <c r="AJ98" s="250"/>
      <c r="AK98" s="909"/>
      <c r="AL98" s="1154"/>
      <c r="AM98" s="1154"/>
      <c r="AN98" s="981" t="s">
        <v>243</v>
      </c>
      <c r="AO98" s="987"/>
      <c r="AP98" s="987"/>
      <c r="AQ98" s="988" t="s">
        <v>1279</v>
      </c>
      <c r="AR98" s="988"/>
    </row>
    <row r="99" spans="1:44" s="671" customFormat="1" ht="24" customHeight="1">
      <c r="A99" s="1154"/>
      <c r="B99" s="1154"/>
      <c r="C99" s="1154"/>
      <c r="D99" s="1154"/>
      <c r="E99" s="682">
        <v>24.8</v>
      </c>
      <c r="F99" s="779" t="str" cm="1">
        <f t="array" aca="1" ref="F99" ca="1">OFFSET(G99,-1,-1)</f>
        <v>2</v>
      </c>
      <c r="G99" s="620" t="s">
        <v>1283</v>
      </c>
      <c r="H99" s="163" t="s">
        <v>1250</v>
      </c>
      <c r="I99" s="1154"/>
      <c r="J99" s="1154"/>
      <c r="K99" s="1154"/>
      <c r="L99" s="1154"/>
      <c r="M99" s="1154"/>
      <c r="N99" s="1154"/>
      <c r="O99" s="1154"/>
      <c r="P99" s="1154"/>
      <c r="Q99" s="1154"/>
      <c r="R99" s="1154"/>
      <c r="S99" s="1154"/>
      <c r="T99" s="698" t="b">
        <f ca="1">F99&gt;0</f>
        <v>1</v>
      </c>
      <c r="U99" s="1154"/>
      <c r="V99" s="1154"/>
      <c r="W99" s="1154"/>
      <c r="X99" s="1721"/>
      <c r="Y99" s="1154"/>
      <c r="Z99" s="1721"/>
      <c r="AA99" s="1154"/>
      <c r="AB99" s="346" t="s">
        <v>437</v>
      </c>
      <c r="AC99" s="347" t="s">
        <v>1284</v>
      </c>
      <c r="AD99" s="108" t="s">
        <v>839</v>
      </c>
      <c r="AE99" s="1339"/>
      <c r="AF99" s="1339"/>
      <c r="AG99" s="1339"/>
      <c r="AH99" s="1339">
        <v>4929.5600000000004</v>
      </c>
      <c r="AI99" s="229">
        <f>SUMIFS(AI100:AI107,$AD100:$AD107,$AD99)</f>
        <v>0</v>
      </c>
      <c r="AJ99" s="229">
        <f>SUMIFS(AJ100:AJ107,$AD100:$AD107,$AD99)</f>
        <v>5379.2051279999987</v>
      </c>
      <c r="AK99" s="1297"/>
      <c r="AL99" s="1154"/>
      <c r="AM99" s="1154"/>
      <c r="AN99" s="981" t="s">
        <v>1285</v>
      </c>
      <c r="AO99" s="987"/>
      <c r="AP99" s="987"/>
      <c r="AQ99" s="988"/>
      <c r="AR99" s="988"/>
    </row>
    <row r="100" spans="1:44" s="671" customFormat="1" ht="9" hidden="1" customHeight="1">
      <c r="A100" s="1154"/>
      <c r="B100" s="1154"/>
      <c r="C100" s="1154"/>
      <c r="D100" s="1154"/>
      <c r="E100" s="682">
        <v>0</v>
      </c>
      <c r="F100" s="779" t="str" cm="1">
        <f t="array" aca="1" ref="F100" ca="1">OFFSET(G100,-1,-1)</f>
        <v>2</v>
      </c>
      <c r="G100" s="1154"/>
      <c r="H100" s="1154"/>
      <c r="I100" s="1154"/>
      <c r="J100" s="1154"/>
      <c r="K100" s="1154"/>
      <c r="L100" s="1154"/>
      <c r="M100" s="1154"/>
      <c r="N100" s="1154"/>
      <c r="O100" s="1154"/>
      <c r="P100" s="1154"/>
      <c r="Q100" s="1154"/>
      <c r="R100" s="1154"/>
      <c r="S100" s="1154"/>
      <c r="T100" s="698" t="b">
        <f ca="1">F100&gt;0</f>
        <v>1</v>
      </c>
      <c r="U100" s="1154"/>
      <c r="V100" s="1154"/>
      <c r="W100" s="1154"/>
      <c r="X100" s="1721"/>
      <c r="Y100" s="1154"/>
      <c r="Z100" s="1721"/>
      <c r="AA100" s="1154"/>
      <c r="AB100" s="346"/>
      <c r="AC100" s="347"/>
      <c r="AD100" s="108"/>
      <c r="AE100" s="120"/>
      <c r="AF100" s="120"/>
      <c r="AG100" s="120"/>
      <c r="AH100" s="120"/>
      <c r="AI100" s="231"/>
      <c r="AJ100" s="231"/>
      <c r="AK100" s="719"/>
      <c r="AL100" s="1154"/>
      <c r="AM100" s="1154"/>
      <c r="AN100" s="981"/>
      <c r="AO100" s="987"/>
      <c r="AP100" s="987"/>
      <c r="AQ100" s="988"/>
      <c r="AR100" s="988"/>
    </row>
    <row r="101" spans="1:44" s="671" customFormat="1" ht="16.5" hidden="1" customHeight="1">
      <c r="E101" s="682">
        <v>17</v>
      </c>
      <c r="F101" s="779" t="str" cm="1">
        <f t="array" aca="1" ref="F101" ca="1">OFFSET(G101,-1,-1)</f>
        <v>2</v>
      </c>
      <c r="H101" s="163" t="s">
        <v>1250</v>
      </c>
      <c r="I101" s="163" cm="1">
        <f t="array" ref="I101">AC101</f>
        <v>0</v>
      </c>
      <c r="T101" s="698" t="b">
        <f ca="1">AND(F101&gt;0,Y101&gt;0)</f>
        <v>0</v>
      </c>
      <c r="W101" s="110" t="s">
        <v>236</v>
      </c>
      <c r="X101" s="1798"/>
      <c r="Y101" s="1721">
        <v>0</v>
      </c>
      <c r="Z101" s="1798"/>
      <c r="AA101" s="1806" t="s">
        <v>218</v>
      </c>
      <c r="AB101" s="346" t="str">
        <f>"3."&amp;Y101</f>
        <v>3.0</v>
      </c>
      <c r="AC101" s="9"/>
      <c r="AD101" s="108" t="s">
        <v>839</v>
      </c>
      <c r="AE101" s="120"/>
      <c r="AF101" s="120"/>
      <c r="AG101" s="120"/>
      <c r="AH101" s="120"/>
      <c r="AI101" s="230">
        <f>AI102*AI103*12/1000</f>
        <v>0</v>
      </c>
      <c r="AJ101" s="230">
        <f>AJ102*AJ103*12/1000</f>
        <v>0</v>
      </c>
      <c r="AK101" s="34"/>
      <c r="AN101" s="981" t="s">
        <v>1286</v>
      </c>
      <c r="AO101" s="987" t="s">
        <v>1287</v>
      </c>
      <c r="AP101" s="987" cm="1">
        <f t="array" ref="AP101">AC101</f>
        <v>0</v>
      </c>
      <c r="AQ101" s="988"/>
      <c r="AR101" s="988" t="b">
        <v>1</v>
      </c>
    </row>
    <row r="102" spans="1:44" s="671" customFormat="1" ht="16.5" hidden="1" customHeight="1">
      <c r="E102" s="682">
        <v>17</v>
      </c>
      <c r="F102" s="779" t="str" cm="1">
        <f t="array" aca="1" ref="F102" ca="1">OFFSET(G102,-1,-1)</f>
        <v>2</v>
      </c>
      <c r="G102" s="620" t="s">
        <v>1288</v>
      </c>
      <c r="H102" s="163" t="str">
        <f>H101&amp;"_1"</f>
        <v>L5_1</v>
      </c>
      <c r="I102" s="163" cm="1">
        <f t="array" ref="I102">I101</f>
        <v>0</v>
      </c>
      <c r="T102" s="698" t="b" cm="1">
        <f t="array" aca="1" ref="T102" ca="1">T101</f>
        <v>0</v>
      </c>
      <c r="X102" s="1798"/>
      <c r="Y102" s="1798"/>
      <c r="Z102" s="1798"/>
      <c r="AA102" s="1806"/>
      <c r="AB102" s="346" t="str">
        <f>AB101&amp;".1"</f>
        <v>3.0.1</v>
      </c>
      <c r="AC102" s="241" t="s">
        <v>1269</v>
      </c>
      <c r="AD102" s="108" t="s">
        <v>1270</v>
      </c>
      <c r="AE102" s="120"/>
      <c r="AF102" s="120"/>
      <c r="AG102" s="120"/>
      <c r="AH102" s="120"/>
      <c r="AI102" s="247"/>
      <c r="AJ102" s="247"/>
      <c r="AK102" s="34"/>
      <c r="AN102" s="981" t="s">
        <v>1289</v>
      </c>
      <c r="AO102" s="987" t="s">
        <v>1287</v>
      </c>
      <c r="AP102" s="987" cm="1">
        <f t="array" ref="AP102">AP101</f>
        <v>0</v>
      </c>
      <c r="AQ102" s="988"/>
      <c r="AR102" s="988"/>
    </row>
    <row r="103" spans="1:44" s="671" customFormat="1" ht="16.5" hidden="1" customHeight="1">
      <c r="E103" s="682">
        <v>17</v>
      </c>
      <c r="F103" s="779" t="str" cm="1">
        <f t="array" aca="1" ref="F103" ca="1">OFFSET(G103,-1,-1)</f>
        <v>2</v>
      </c>
      <c r="H103" s="163" t="str">
        <f>H101&amp;"_2"</f>
        <v>L5_2</v>
      </c>
      <c r="I103" s="163" cm="1">
        <f t="array" ref="I103">I102</f>
        <v>0</v>
      </c>
      <c r="T103" s="698" t="b" cm="1">
        <f t="array" aca="1" ref="T103" ca="1">T102</f>
        <v>0</v>
      </c>
      <c r="X103" s="1798"/>
      <c r="Y103" s="1798"/>
      <c r="Z103" s="1798"/>
      <c r="AA103" s="1806"/>
      <c r="AB103" s="346" t="str">
        <f>AB101&amp;".2"</f>
        <v>3.0.2</v>
      </c>
      <c r="AC103" s="241" t="s">
        <v>1272</v>
      </c>
      <c r="AD103" s="108" t="s">
        <v>1273</v>
      </c>
      <c r="AE103" s="120"/>
      <c r="AF103" s="120"/>
      <c r="AG103" s="120"/>
      <c r="AH103" s="120"/>
      <c r="AI103" s="247"/>
      <c r="AJ103" s="247"/>
      <c r="AK103" s="34"/>
      <c r="AN103" s="981" t="s">
        <v>1290</v>
      </c>
      <c r="AO103" s="987" t="s">
        <v>1287</v>
      </c>
      <c r="AP103" s="987" cm="1">
        <f t="array" ref="AP103">AP102</f>
        <v>0</v>
      </c>
      <c r="AQ103" s="988"/>
      <c r="AR103" s="988"/>
    </row>
    <row r="104" spans="1:44" s="671" customFormat="1" ht="16.5" customHeight="1">
      <c r="E104" s="682">
        <v>17</v>
      </c>
      <c r="F104" s="779" t="str" cm="1">
        <f t="array" aca="1" ref="F104" ca="1">OFFSET(G104,-1,-1)</f>
        <v>2</v>
      </c>
      <c r="H104" s="163" t="s">
        <v>1250</v>
      </c>
      <c r="I104" s="163" t="str" cm="1">
        <f t="array" ref="I104">AC104</f>
        <v>ФОТ</v>
      </c>
      <c r="T104" s="698" t="b">
        <f ca="1">AND(F104&gt;0,Y104&gt;0)</f>
        <v>1</v>
      </c>
      <c r="W104" s="110"/>
      <c r="X104" s="1798"/>
      <c r="Y104" s="1721" t="s">
        <v>341</v>
      </c>
      <c r="Z104" s="1798"/>
      <c r="AA104" s="1806" t="s">
        <v>218</v>
      </c>
      <c r="AB104" s="346" t="str">
        <f>"3."&amp;Y104</f>
        <v>3.1</v>
      </c>
      <c r="AC104" s="1203" t="s">
        <v>48</v>
      </c>
      <c r="AD104" s="108" t="s">
        <v>839</v>
      </c>
      <c r="AE104" s="120"/>
      <c r="AF104" s="120"/>
      <c r="AG104" s="120"/>
      <c r="AH104" s="120"/>
      <c r="AI104" s="230">
        <f>AI105*AI106*12/1000</f>
        <v>0</v>
      </c>
      <c r="AJ104" s="230">
        <f>AJ105*AJ106*12/1000</f>
        <v>5379.2051279999987</v>
      </c>
      <c r="AK104" s="1297"/>
      <c r="AN104" s="981" t="s">
        <v>1286</v>
      </c>
      <c r="AO104" s="987" t="s">
        <v>1287</v>
      </c>
      <c r="AP104" s="987" t="str" cm="1">
        <f t="array" ref="AP104">AC104</f>
        <v>ФОТ</v>
      </c>
      <c r="AQ104" s="988"/>
      <c r="AR104" s="988" t="b">
        <v>1</v>
      </c>
    </row>
    <row r="105" spans="1:44" s="671" customFormat="1" ht="16.5" customHeight="1">
      <c r="E105" s="682">
        <v>17</v>
      </c>
      <c r="F105" s="779" t="str" cm="1">
        <f t="array" aca="1" ref="F105" ca="1">OFFSET(G105,-1,-1)</f>
        <v>2</v>
      </c>
      <c r="G105" s="620" t="s">
        <v>1288</v>
      </c>
      <c r="H105" s="163" t="str">
        <f>H104&amp;"_1"</f>
        <v>L5_1</v>
      </c>
      <c r="I105" s="163" t="str" cm="1">
        <f t="array" ref="I105">I104</f>
        <v>ФОТ</v>
      </c>
      <c r="T105" s="698" t="b" cm="1">
        <f t="array" aca="1" ref="T105" ca="1">T104</f>
        <v>1</v>
      </c>
      <c r="X105" s="1798"/>
      <c r="Y105" s="1798"/>
      <c r="Z105" s="1798"/>
      <c r="AA105" s="1806"/>
      <c r="AB105" s="346" t="str">
        <f>AB104&amp;".1"</f>
        <v>3.1.1</v>
      </c>
      <c r="AC105" s="241" t="s">
        <v>1269</v>
      </c>
      <c r="AD105" s="108" t="s">
        <v>1270</v>
      </c>
      <c r="AE105" s="120"/>
      <c r="AF105" s="120"/>
      <c r="AG105" s="120"/>
      <c r="AH105" s="120"/>
      <c r="AI105" s="247"/>
      <c r="AJ105" s="247">
        <v>5.8</v>
      </c>
      <c r="AK105" s="1297"/>
      <c r="AN105" s="981" t="s">
        <v>1289</v>
      </c>
      <c r="AO105" s="987" t="s">
        <v>1287</v>
      </c>
      <c r="AP105" s="987" t="str" cm="1">
        <f t="array" ref="AP105">AP104</f>
        <v>ФОТ</v>
      </c>
      <c r="AQ105" s="988"/>
      <c r="AR105" s="988"/>
    </row>
    <row r="106" spans="1:44" s="671" customFormat="1" ht="16.5" customHeight="1">
      <c r="E106" s="682">
        <v>17</v>
      </c>
      <c r="F106" s="779" t="str" cm="1">
        <f t="array" aca="1" ref="F106" ca="1">OFFSET(G106,-1,-1)</f>
        <v>2</v>
      </c>
      <c r="H106" s="163" t="str">
        <f>H104&amp;"_2"</f>
        <v>L5_2</v>
      </c>
      <c r="I106" s="163" t="str" cm="1">
        <f t="array" ref="I106">I105</f>
        <v>ФОТ</v>
      </c>
      <c r="T106" s="698" t="b" cm="1">
        <f t="array" aca="1" ref="T106" ca="1">T105</f>
        <v>1</v>
      </c>
      <c r="X106" s="1798"/>
      <c r="Y106" s="1798"/>
      <c r="Z106" s="1798"/>
      <c r="AA106" s="1806"/>
      <c r="AB106" s="346" t="str">
        <f>AB104&amp;".2"</f>
        <v>3.1.2</v>
      </c>
      <c r="AC106" s="241" t="s">
        <v>1272</v>
      </c>
      <c r="AD106" s="108" t="s">
        <v>1273</v>
      </c>
      <c r="AE106" s="120"/>
      <c r="AF106" s="120"/>
      <c r="AG106" s="120"/>
      <c r="AH106" s="120"/>
      <c r="AI106" s="247"/>
      <c r="AJ106" s="247">
        <v>77287.429999999993</v>
      </c>
      <c r="AK106" s="1297"/>
      <c r="AN106" s="981" t="s">
        <v>1290</v>
      </c>
      <c r="AO106" s="987" t="s">
        <v>1287</v>
      </c>
      <c r="AP106" s="987" t="str" cm="1">
        <f t="array" ref="AP106">AP105</f>
        <v>ФОТ</v>
      </c>
      <c r="AQ106" s="988"/>
      <c r="AR106" s="988"/>
    </row>
    <row r="107" spans="1:44" s="671" customFormat="1" ht="16.5" customHeight="1">
      <c r="A107" s="1154"/>
      <c r="B107" s="1154"/>
      <c r="C107" s="1154"/>
      <c r="D107" s="1154"/>
      <c r="E107" s="682">
        <v>17</v>
      </c>
      <c r="F107" s="779" t="str" cm="1">
        <f t="array" aca="1" ref="F107" ca="1">OFFSET(G107,-1,-1)</f>
        <v>2</v>
      </c>
      <c r="G107" s="1154"/>
      <c r="H107" s="163" t="str">
        <f ca="1">F107&amp;"pIns3"</f>
        <v>2pIns3</v>
      </c>
      <c r="I107" s="1154"/>
      <c r="J107" s="1154"/>
      <c r="K107" s="1154"/>
      <c r="L107" s="1154"/>
      <c r="M107" s="1154"/>
      <c r="N107" s="1154"/>
      <c r="O107" s="1154"/>
      <c r="P107" s="1154"/>
      <c r="Q107" s="1154"/>
      <c r="R107" s="1154"/>
      <c r="S107" s="1154"/>
      <c r="T107" s="698" t="b">
        <f ca="1">F107&gt;0</f>
        <v>1</v>
      </c>
      <c r="U107" s="1154"/>
      <c r="V107" s="1154"/>
      <c r="W107" s="318" t="s">
        <v>1257</v>
      </c>
      <c r="X107" s="1721"/>
      <c r="Y107" s="1154"/>
      <c r="Z107" s="1721"/>
      <c r="AA107" s="1154"/>
      <c r="AB107" s="249"/>
      <c r="AC107" s="250" t="s">
        <v>238</v>
      </c>
      <c r="AD107" s="250"/>
      <c r="AE107" s="250"/>
      <c r="AF107" s="250"/>
      <c r="AG107" s="250"/>
      <c r="AH107" s="250"/>
      <c r="AI107" s="250"/>
      <c r="AJ107" s="250"/>
      <c r="AK107" s="909"/>
      <c r="AL107" s="1154"/>
      <c r="AM107" s="1154"/>
      <c r="AN107" s="981" t="s">
        <v>243</v>
      </c>
      <c r="AO107" s="987"/>
      <c r="AP107" s="987"/>
      <c r="AQ107" s="988" t="s">
        <v>1287</v>
      </c>
      <c r="AR107" s="988"/>
    </row>
    <row r="108" spans="1:44" s="671" customFormat="1" ht="24" customHeight="1">
      <c r="A108" s="1154"/>
      <c r="B108" s="1154"/>
      <c r="C108" s="1154"/>
      <c r="D108" s="1154"/>
      <c r="E108" s="682">
        <v>24.8</v>
      </c>
      <c r="F108" s="779" t="str" cm="1">
        <f t="array" aca="1" ref="F108" ca="1">OFFSET(G108,-1,-1)</f>
        <v>2</v>
      </c>
      <c r="G108" s="620" t="s">
        <v>1291</v>
      </c>
      <c r="H108" s="163" t="s">
        <v>1250</v>
      </c>
      <c r="I108" s="1154"/>
      <c r="J108" s="1154"/>
      <c r="K108" s="1154"/>
      <c r="L108" s="1154"/>
      <c r="M108" s="1154"/>
      <c r="N108" s="1154"/>
      <c r="O108" s="1154"/>
      <c r="P108" s="1154"/>
      <c r="Q108" s="1154"/>
      <c r="R108" s="1154"/>
      <c r="S108" s="1154"/>
      <c r="T108" s="698" t="b">
        <f ca="1">F108&gt;0</f>
        <v>1</v>
      </c>
      <c r="U108" s="1154"/>
      <c r="V108" s="1154"/>
      <c r="W108" s="1154"/>
      <c r="X108" s="1721"/>
      <c r="Y108" s="1154"/>
      <c r="Z108" s="1721"/>
      <c r="AA108" s="1154"/>
      <c r="AB108" s="346" t="s">
        <v>440</v>
      </c>
      <c r="AC108" s="347" t="s">
        <v>1292</v>
      </c>
      <c r="AD108" s="108" t="s">
        <v>839</v>
      </c>
      <c r="AE108" s="1339"/>
      <c r="AF108" s="1339"/>
      <c r="AG108" s="1339"/>
      <c r="AH108" s="1339"/>
      <c r="AI108" s="229">
        <f>SUMIFS(AI109:AI113,$AD109:$AD113,$AD108)</f>
        <v>0</v>
      </c>
      <c r="AJ108" s="229">
        <f>SUMIFS(AJ109:AJ113,$AD109:$AD113,$AD108)</f>
        <v>0</v>
      </c>
      <c r="AK108" s="1297"/>
      <c r="AL108" s="1154"/>
      <c r="AM108" s="1154"/>
      <c r="AN108" s="981" t="s">
        <v>1293</v>
      </c>
      <c r="AO108" s="987"/>
      <c r="AP108" s="987"/>
      <c r="AQ108" s="988"/>
      <c r="AR108" s="988"/>
    </row>
    <row r="109" spans="1:44" s="671" customFormat="1" ht="9" hidden="1" customHeight="1">
      <c r="A109" s="1154"/>
      <c r="B109" s="1154"/>
      <c r="C109" s="1154"/>
      <c r="D109" s="1154"/>
      <c r="E109" s="682">
        <v>0</v>
      </c>
      <c r="F109" s="779" t="str" cm="1">
        <f t="array" aca="1" ref="F109" ca="1">OFFSET(G109,-1,-1)</f>
        <v>2</v>
      </c>
      <c r="G109" s="1154"/>
      <c r="H109" s="1154"/>
      <c r="I109" s="1154"/>
      <c r="J109" s="1154"/>
      <c r="K109" s="1154"/>
      <c r="L109" s="1154"/>
      <c r="M109" s="1154"/>
      <c r="N109" s="1154"/>
      <c r="O109" s="1154"/>
      <c r="P109" s="1154"/>
      <c r="Q109" s="1154"/>
      <c r="R109" s="1154"/>
      <c r="S109" s="1154"/>
      <c r="T109" s="698" t="b">
        <f ca="1">F109&gt;0</f>
        <v>1</v>
      </c>
      <c r="U109" s="1154"/>
      <c r="V109" s="1154"/>
      <c r="W109" s="1154"/>
      <c r="X109" s="1721"/>
      <c r="Y109" s="1154"/>
      <c r="Z109" s="1721"/>
      <c r="AA109" s="1154"/>
      <c r="AB109" s="346"/>
      <c r="AC109" s="347"/>
      <c r="AD109" s="108"/>
      <c r="AE109" s="120"/>
      <c r="AF109" s="120"/>
      <c r="AG109" s="120"/>
      <c r="AH109" s="120"/>
      <c r="AI109" s="231"/>
      <c r="AJ109" s="231"/>
      <c r="AK109" s="719"/>
      <c r="AL109" s="1154"/>
      <c r="AM109" s="1154"/>
      <c r="AN109" s="981"/>
      <c r="AO109" s="987"/>
      <c r="AP109" s="987"/>
      <c r="AQ109" s="988"/>
      <c r="AR109" s="988"/>
    </row>
    <row r="110" spans="1:44" s="671" customFormat="1" ht="16.5" hidden="1" customHeight="1">
      <c r="A110" s="1154"/>
      <c r="B110" s="1154"/>
      <c r="C110" s="1154"/>
      <c r="D110" s="1154"/>
      <c r="E110" s="682">
        <v>17</v>
      </c>
      <c r="F110" s="779" t="str" cm="1">
        <f t="array" aca="1" ref="F110" ca="1">OFFSET(G110,-1,-1)</f>
        <v>2</v>
      </c>
      <c r="G110" s="1154"/>
      <c r="H110" s="163" t="s">
        <v>1250</v>
      </c>
      <c r="I110" s="163" cm="1">
        <f t="array" ref="I110">AC110</f>
        <v>0</v>
      </c>
      <c r="J110" s="1154"/>
      <c r="K110" s="1154"/>
      <c r="L110" s="1154"/>
      <c r="M110" s="1154"/>
      <c r="N110" s="1154"/>
      <c r="O110" s="1154"/>
      <c r="P110" s="1154"/>
      <c r="Q110" s="1154"/>
      <c r="R110" s="1154"/>
      <c r="S110" s="1154"/>
      <c r="T110" s="698" t="b">
        <f ca="1">AND(F110&gt;0,Y110&gt;0)</f>
        <v>0</v>
      </c>
      <c r="U110" s="1154"/>
      <c r="V110" s="1154"/>
      <c r="W110" s="110" t="s">
        <v>236</v>
      </c>
      <c r="X110" s="1721"/>
      <c r="Y110" s="1721">
        <v>0</v>
      </c>
      <c r="Z110" s="1721"/>
      <c r="AA110" s="1806" t="s">
        <v>218</v>
      </c>
      <c r="AB110" s="346" t="str">
        <f>"4."&amp;Y110</f>
        <v>4.0</v>
      </c>
      <c r="AC110" s="9"/>
      <c r="AD110" s="108" t="s">
        <v>839</v>
      </c>
      <c r="AE110" s="120"/>
      <c r="AF110" s="120"/>
      <c r="AG110" s="120"/>
      <c r="AH110" s="120"/>
      <c r="AI110" s="230">
        <f>AI111*AI112*12/1000</f>
        <v>0</v>
      </c>
      <c r="AJ110" s="230">
        <f>AJ111*AJ112*12/1000</f>
        <v>0</v>
      </c>
      <c r="AK110" s="34"/>
      <c r="AL110" s="1154"/>
      <c r="AM110" s="1154"/>
      <c r="AN110" s="981" t="s">
        <v>1294</v>
      </c>
      <c r="AO110" s="987" t="s">
        <v>1295</v>
      </c>
      <c r="AP110" s="987" cm="1">
        <f t="array" ref="AP110">AC110</f>
        <v>0</v>
      </c>
      <c r="AQ110" s="988"/>
      <c r="AR110" s="988" t="b">
        <v>1</v>
      </c>
    </row>
    <row r="111" spans="1:44" s="671" customFormat="1" ht="16.5" hidden="1" customHeight="1">
      <c r="A111" s="1154"/>
      <c r="B111" s="1154"/>
      <c r="C111" s="1154"/>
      <c r="D111" s="1154"/>
      <c r="E111" s="682">
        <v>17</v>
      </c>
      <c r="F111" s="779" t="str" cm="1">
        <f t="array" aca="1" ref="F111" ca="1">OFFSET(G111,-1,-1)</f>
        <v>2</v>
      </c>
      <c r="G111" s="620" t="s">
        <v>1296</v>
      </c>
      <c r="H111" s="163" t="str">
        <f>H110&amp;"_1"</f>
        <v>L5_1</v>
      </c>
      <c r="I111" s="163" cm="1">
        <f t="array" ref="I111">I110</f>
        <v>0</v>
      </c>
      <c r="J111" s="1154"/>
      <c r="K111" s="1154"/>
      <c r="L111" s="1154"/>
      <c r="M111" s="1154"/>
      <c r="N111" s="1154"/>
      <c r="O111" s="1154"/>
      <c r="P111" s="1154"/>
      <c r="Q111" s="1154"/>
      <c r="R111" s="1154"/>
      <c r="S111" s="1154"/>
      <c r="T111" s="698" t="b" cm="1">
        <f t="array" aca="1" ref="T111" ca="1">T110</f>
        <v>0</v>
      </c>
      <c r="U111" s="1154"/>
      <c r="V111" s="1154"/>
      <c r="W111" s="1154"/>
      <c r="X111" s="1721"/>
      <c r="Y111" s="1721"/>
      <c r="Z111" s="1721"/>
      <c r="AA111" s="1806"/>
      <c r="AB111" s="346" t="str">
        <f>AB110&amp;".1"</f>
        <v>4.0.1</v>
      </c>
      <c r="AC111" s="241" t="s">
        <v>1269</v>
      </c>
      <c r="AD111" s="108" t="s">
        <v>1270</v>
      </c>
      <c r="AE111" s="120"/>
      <c r="AF111" s="120"/>
      <c r="AG111" s="120"/>
      <c r="AH111" s="120"/>
      <c r="AI111" s="247"/>
      <c r="AJ111" s="247"/>
      <c r="AK111" s="34"/>
      <c r="AL111" s="1154"/>
      <c r="AM111" s="1154"/>
      <c r="AN111" s="981" t="s">
        <v>1297</v>
      </c>
      <c r="AO111" s="987" t="s">
        <v>1295</v>
      </c>
      <c r="AP111" s="987" cm="1">
        <f t="array" ref="AP111">AP110</f>
        <v>0</v>
      </c>
      <c r="AQ111" s="988"/>
      <c r="AR111" s="988"/>
    </row>
    <row r="112" spans="1:44" s="671" customFormat="1" ht="16.5" hidden="1" customHeight="1">
      <c r="A112" s="1154"/>
      <c r="B112" s="1154"/>
      <c r="C112" s="1154"/>
      <c r="D112" s="1154"/>
      <c r="E112" s="682">
        <v>17</v>
      </c>
      <c r="F112" s="779" t="str" cm="1">
        <f t="array" aca="1" ref="F112" ca="1">OFFSET(G112,-1,-1)</f>
        <v>2</v>
      </c>
      <c r="G112" s="1154"/>
      <c r="H112" s="163" t="str">
        <f>H110&amp;"_2"</f>
        <v>L5_2</v>
      </c>
      <c r="I112" s="163" cm="1">
        <f t="array" ref="I112">I111</f>
        <v>0</v>
      </c>
      <c r="J112" s="1154"/>
      <c r="K112" s="1154"/>
      <c r="L112" s="1154"/>
      <c r="M112" s="1154"/>
      <c r="N112" s="1154"/>
      <c r="O112" s="1154"/>
      <c r="P112" s="1154"/>
      <c r="Q112" s="1154"/>
      <c r="R112" s="1154"/>
      <c r="S112" s="1154"/>
      <c r="T112" s="698" t="b" cm="1">
        <f t="array" aca="1" ref="T112" ca="1">T111</f>
        <v>0</v>
      </c>
      <c r="U112" s="1154"/>
      <c r="V112" s="1154"/>
      <c r="W112" s="1154"/>
      <c r="X112" s="1721"/>
      <c r="Y112" s="1721"/>
      <c r="Z112" s="1721"/>
      <c r="AA112" s="1806"/>
      <c r="AB112" s="346" t="str">
        <f>AB110&amp;".2"</f>
        <v>4.0.2</v>
      </c>
      <c r="AC112" s="241" t="s">
        <v>1272</v>
      </c>
      <c r="AD112" s="108" t="s">
        <v>1273</v>
      </c>
      <c r="AE112" s="120"/>
      <c r="AF112" s="120"/>
      <c r="AG112" s="120"/>
      <c r="AH112" s="120"/>
      <c r="AI112" s="247"/>
      <c r="AJ112" s="247"/>
      <c r="AK112" s="34"/>
      <c r="AL112" s="1154"/>
      <c r="AM112" s="1154"/>
      <c r="AN112" s="981" t="s">
        <v>1298</v>
      </c>
      <c r="AO112" s="987" t="s">
        <v>1295</v>
      </c>
      <c r="AP112" s="987" cm="1">
        <f t="array" ref="AP112">AP111</f>
        <v>0</v>
      </c>
      <c r="AQ112" s="988"/>
      <c r="AR112" s="988"/>
    </row>
    <row r="113" spans="1:44" s="671" customFormat="1" ht="16.5" customHeight="1">
      <c r="A113" s="1154"/>
      <c r="B113" s="1154"/>
      <c r="C113" s="1154"/>
      <c r="D113" s="1154"/>
      <c r="E113" s="682">
        <v>17</v>
      </c>
      <c r="F113" s="779" t="str" cm="1">
        <f t="array" aca="1" ref="F113" ca="1">OFFSET(G113,-1,-1)</f>
        <v>2</v>
      </c>
      <c r="G113" s="1154"/>
      <c r="H113" s="163" t="str">
        <f ca="1">F113&amp;"pIns3"</f>
        <v>2pIns3</v>
      </c>
      <c r="I113" s="1154"/>
      <c r="J113" s="1154"/>
      <c r="K113" s="1154"/>
      <c r="L113" s="1154"/>
      <c r="M113" s="1154"/>
      <c r="N113" s="1154"/>
      <c r="O113" s="1154"/>
      <c r="P113" s="1154"/>
      <c r="Q113" s="1154"/>
      <c r="R113" s="1154"/>
      <c r="S113" s="1154"/>
      <c r="T113" s="698" t="b">
        <f ca="1">F113&gt;0</f>
        <v>1</v>
      </c>
      <c r="U113" s="1154"/>
      <c r="V113" s="1154"/>
      <c r="W113" s="318" t="s">
        <v>1299</v>
      </c>
      <c r="X113" s="1721"/>
      <c r="Y113" s="1154"/>
      <c r="Z113" s="1721"/>
      <c r="AA113" s="1154"/>
      <c r="AB113" s="249"/>
      <c r="AC113" s="250" t="s">
        <v>238</v>
      </c>
      <c r="AD113" s="250"/>
      <c r="AE113" s="250"/>
      <c r="AF113" s="250"/>
      <c r="AG113" s="250"/>
      <c r="AH113" s="250"/>
      <c r="AI113" s="250"/>
      <c r="AJ113" s="250"/>
      <c r="AK113" s="251"/>
      <c r="AL113" s="1154"/>
      <c r="AM113" s="1154"/>
      <c r="AN113" s="981"/>
      <c r="AO113" s="987"/>
      <c r="AP113" s="987"/>
      <c r="AQ113" s="988" t="s">
        <v>1295</v>
      </c>
      <c r="AR113" s="988"/>
    </row>
    <row r="114" spans="1:44" ht="11.1" customHeight="1">
      <c r="E114" s="676">
        <v>11.4</v>
      </c>
      <c r="U114" s="129" t="s">
        <v>238</v>
      </c>
      <c r="V114" s="122" t="s">
        <v>1300</v>
      </c>
    </row>
    <row r="115" spans="1:44" ht="11.25" hidden="1" customHeight="1">
      <c r="E115" s="676">
        <v>0</v>
      </c>
    </row>
    <row r="116" spans="1:44" ht="14.65" customHeight="1">
      <c r="E116" s="676">
        <v>15</v>
      </c>
      <c r="AB116" s="1802" t="s">
        <v>734</v>
      </c>
      <c r="AC116" s="1802"/>
      <c r="AD116" s="1802"/>
      <c r="AE116" s="1802"/>
      <c r="AF116" s="1802"/>
      <c r="AG116" s="1802"/>
      <c r="AH116" s="1802"/>
      <c r="AI116" s="1803"/>
      <c r="AJ116" s="1803"/>
      <c r="AK116" s="1803"/>
    </row>
    <row r="117" spans="1:44" ht="14.65" customHeight="1">
      <c r="E117" s="676">
        <v>15</v>
      </c>
      <c r="AA117" s="778"/>
      <c r="AB117" s="1804"/>
      <c r="AC117" s="1804"/>
      <c r="AD117" s="1804"/>
      <c r="AE117" s="1804"/>
      <c r="AF117" s="1804"/>
      <c r="AG117" s="1804"/>
      <c r="AH117" s="1804"/>
      <c r="AI117" s="1796"/>
      <c r="AJ117" s="1796"/>
      <c r="AK117" s="1796"/>
    </row>
    <row r="118" spans="1:44" ht="14.65" hidden="1" customHeight="1">
      <c r="E118" s="676">
        <v>15</v>
      </c>
      <c r="T118" s="687" t="b">
        <f>ROW(W118)&gt;ROW(W$118)</f>
        <v>0</v>
      </c>
      <c r="V118" s="129"/>
      <c r="W118" s="126" t="s">
        <v>236</v>
      </c>
      <c r="AA118" s="774" t="s">
        <v>218</v>
      </c>
      <c r="AB118" s="1795"/>
      <c r="AC118" s="1795"/>
      <c r="AD118" s="1795"/>
      <c r="AE118" s="1795"/>
      <c r="AF118" s="1795"/>
      <c r="AG118" s="1795"/>
      <c r="AH118" s="1795"/>
      <c r="AI118" s="1796"/>
      <c r="AJ118" s="1796"/>
      <c r="AK118" s="1797"/>
    </row>
    <row r="119" spans="1:44" ht="14.65" customHeight="1">
      <c r="E119" s="676">
        <v>15</v>
      </c>
      <c r="W119" s="122" t="s">
        <v>1048</v>
      </c>
      <c r="AB119" s="1736" t="s">
        <v>735</v>
      </c>
      <c r="AC119" s="1737"/>
      <c r="AD119" s="324"/>
      <c r="AE119" s="324"/>
      <c r="AF119" s="325"/>
      <c r="AG119" s="325"/>
      <c r="AH119" s="325"/>
      <c r="AI119" s="325"/>
      <c r="AJ119" s="325"/>
      <c r="AK119" s="326"/>
    </row>
    <row r="120" spans="1:44" ht="11.25" customHeight="1">
      <c r="AL120" s="163"/>
    </row>
  </sheetData>
  <sheetProtection formatColumns="0" formatRows="0" insertRows="0" deleteColumns="0" deleteRows="0" sort="0" autoFilter="0"/>
  <mergeCells count="46">
    <mergeCell ref="AA104:AA106"/>
    <mergeCell ref="Z83:Z113"/>
    <mergeCell ref="X83:X113"/>
    <mergeCell ref="Y86:Y88"/>
    <mergeCell ref="Y95:Y97"/>
    <mergeCell ref="Y101:Y103"/>
    <mergeCell ref="Y110:Y112"/>
    <mergeCell ref="Y89:Y91"/>
    <mergeCell ref="Y104:Y106"/>
    <mergeCell ref="Z52:Z82"/>
    <mergeCell ref="X52:X82"/>
    <mergeCell ref="Y55:Y57"/>
    <mergeCell ref="Y64:Y66"/>
    <mergeCell ref="Y70:Y72"/>
    <mergeCell ref="Y79:Y81"/>
    <mergeCell ref="Y58:Y60"/>
    <mergeCell ref="Y73:Y75"/>
    <mergeCell ref="AA30:AA32"/>
    <mergeCell ref="AA36:AA38"/>
    <mergeCell ref="AA42:AA44"/>
    <mergeCell ref="AA48:AA50"/>
    <mergeCell ref="AB116:AK116"/>
    <mergeCell ref="AA55:AA57"/>
    <mergeCell ref="AA64:AA66"/>
    <mergeCell ref="AA70:AA72"/>
    <mergeCell ref="AA79:AA81"/>
    <mergeCell ref="AA58:AA60"/>
    <mergeCell ref="AA73:AA75"/>
    <mergeCell ref="AA86:AA88"/>
    <mergeCell ref="AA95:AA97"/>
    <mergeCell ref="AA101:AA103"/>
    <mergeCell ref="AA110:AA112"/>
    <mergeCell ref="AA89:AA91"/>
    <mergeCell ref="AB117:AK117"/>
    <mergeCell ref="AB119:AC119"/>
    <mergeCell ref="AB24:AB25"/>
    <mergeCell ref="AC24:AC25"/>
    <mergeCell ref="AD24:AD25"/>
    <mergeCell ref="AK24:AK25"/>
    <mergeCell ref="AB118:AK118"/>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AC18-9046-5258-08BA-CD3AB9317D81}">
  <sheetPr>
    <tabColor rgb="FF002060"/>
    <outlinePr summaryBelow="0" summaryRight="0"/>
    <pageSetUpPr fitToPage="1"/>
  </sheetPr>
  <dimension ref="A1:BJ74"/>
  <sheetViews>
    <sheetView showGridLines="0" workbookViewId="0">
      <pane xSplit="30" ySplit="26" topLeftCell="AG41" activePane="bottomRight" state="frozen"/>
      <selection pane="topRight" activeCell="AE1" sqref="AE1"/>
      <selection pane="bottomLeft" activeCell="A27" sqref="A27"/>
      <selection pane="bottomRight" activeCell="AH57" sqref="AH57:AH62"/>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425" hidden="1" customWidth="1"/>
    <col min="17" max="18" width="3.5703125" style="784" hidden="1" customWidth="1"/>
    <col min="19" max="19" width="3.5703125" style="425"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0" customWidth="1"/>
    <col min="28" max="28" width="6.140625" style="425" customWidth="1"/>
    <col min="29" max="29" width="43.7109375" style="170" customWidth="1"/>
    <col min="30" max="30" width="12.140625" style="170" customWidth="1"/>
    <col min="31" max="39" width="12.5703125" style="170" customWidth="1"/>
    <col min="40" max="44" width="12.5703125" style="170" hidden="1" customWidth="1"/>
    <col min="45" max="49" width="12.5703125" style="170" customWidth="1"/>
    <col min="50" max="54" width="12.5703125" style="170" hidden="1" customWidth="1"/>
    <col min="55" max="55" width="20.140625" style="170" customWidth="1"/>
    <col min="56" max="56" width="3" style="170" customWidth="1"/>
    <col min="57" max="57" width="9.140625" style="170" hidden="1"/>
    <col min="58" max="60" width="9.140625" style="1015" hidden="1"/>
    <col min="61" max="62" width="9.140625" style="1026" hidden="1"/>
  </cols>
  <sheetData>
    <row r="1" spans="1:62" s="1153" customFormat="1" ht="12" hidden="1" customHeight="1">
      <c r="B1" s="783"/>
      <c r="E1" s="783"/>
      <c r="F1" s="698" t="s">
        <v>83</v>
      </c>
      <c r="G1" s="425"/>
      <c r="H1" s="425"/>
      <c r="I1" s="425"/>
      <c r="J1" s="425"/>
      <c r="K1" s="425"/>
      <c r="L1" s="425"/>
      <c r="M1" s="425"/>
      <c r="N1" s="425"/>
      <c r="O1" s="425"/>
      <c r="P1" s="425"/>
      <c r="Q1" s="784"/>
      <c r="R1" s="784"/>
      <c r="S1" s="425"/>
      <c r="T1" s="687" t="s">
        <v>86</v>
      </c>
      <c r="U1" s="687" t="s">
        <v>91</v>
      </c>
      <c r="V1" s="687" t="s">
        <v>87</v>
      </c>
      <c r="W1" s="687" t="s">
        <v>88</v>
      </c>
      <c r="X1" s="687" t="s">
        <v>89</v>
      </c>
      <c r="Y1" s="698" t="s">
        <v>382</v>
      </c>
      <c r="Z1" s="687" t="s">
        <v>93</v>
      </c>
      <c r="AA1" s="698" t="s">
        <v>90</v>
      </c>
      <c r="AB1" s="698" t="s">
        <v>92</v>
      </c>
      <c r="AC1" s="698" t="s">
        <v>92</v>
      </c>
      <c r="BF1" s="1015" t="s">
        <v>383</v>
      </c>
      <c r="BG1" s="1015" t="s">
        <v>384</v>
      </c>
      <c r="BH1" s="1015" t="s">
        <v>385</v>
      </c>
      <c r="BI1" s="1026" t="s">
        <v>388</v>
      </c>
      <c r="BJ1" s="1026" t="s">
        <v>389</v>
      </c>
    </row>
    <row r="2" spans="1:62" s="783" customFormat="1" ht="12" hidden="1" customHeight="1">
      <c r="B2" s="785" t="s">
        <v>15</v>
      </c>
      <c r="G2" s="817"/>
      <c r="H2" s="817"/>
      <c r="I2" s="817"/>
      <c r="J2" s="817"/>
      <c r="K2" s="817"/>
      <c r="L2" s="817"/>
      <c r="M2" s="817"/>
      <c r="N2" s="817"/>
      <c r="O2" s="817"/>
      <c r="P2" s="817"/>
      <c r="Q2" s="817"/>
      <c r="R2" s="817"/>
      <c r="S2" s="817"/>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1018"/>
      <c r="BG2" s="1018"/>
      <c r="BH2" s="1018"/>
      <c r="BI2" s="1027"/>
      <c r="BJ2" s="1027"/>
    </row>
    <row r="3" spans="1:62" s="1153" customFormat="1" ht="12" hidden="1" customHeight="1">
      <c r="B3" s="783"/>
      <c r="E3" s="783"/>
      <c r="G3" s="425"/>
      <c r="H3" s="425"/>
      <c r="I3" s="425"/>
      <c r="J3" s="425"/>
      <c r="K3" s="425"/>
      <c r="L3" s="425"/>
      <c r="M3" s="425"/>
      <c r="N3" s="425"/>
      <c r="O3" s="425"/>
      <c r="P3" s="425"/>
      <c r="Q3" s="784"/>
      <c r="R3" s="784"/>
      <c r="S3" s="425"/>
      <c r="BF3" s="1015"/>
      <c r="BG3" s="1015"/>
      <c r="BH3" s="1015"/>
      <c r="BI3" s="1026"/>
      <c r="BJ3" s="1026"/>
    </row>
    <row r="4" spans="1:62" s="1153" customFormat="1" ht="12" hidden="1" customHeight="1">
      <c r="B4" s="783"/>
      <c r="E4" s="783"/>
      <c r="G4" s="425"/>
      <c r="H4" s="425"/>
      <c r="I4" s="425"/>
      <c r="J4" s="425"/>
      <c r="K4" s="425"/>
      <c r="L4" s="425"/>
      <c r="M4" s="425"/>
      <c r="N4" s="425"/>
      <c r="O4" s="425"/>
      <c r="P4" s="425"/>
      <c r="Q4" s="784"/>
      <c r="R4" s="784"/>
      <c r="S4" s="425"/>
      <c r="BF4" s="1015"/>
      <c r="BG4" s="1015"/>
      <c r="BH4" s="1015"/>
      <c r="BI4" s="1026"/>
      <c r="BJ4" s="1026"/>
    </row>
    <row r="5" spans="1:62" s="782" customFormat="1" ht="12" hidden="1" customHeight="1">
      <c r="A5" s="783"/>
      <c r="B5" s="783"/>
      <c r="C5" s="783"/>
      <c r="D5" s="783"/>
      <c r="E5" s="782" t="s">
        <v>16</v>
      </c>
      <c r="G5" s="818"/>
      <c r="H5" s="818"/>
      <c r="I5" s="818"/>
      <c r="J5" s="818"/>
      <c r="K5" s="818"/>
      <c r="L5" s="818"/>
      <c r="M5" s="818"/>
      <c r="N5" s="818"/>
      <c r="O5" s="818"/>
      <c r="P5" s="818"/>
      <c r="Q5" s="818"/>
      <c r="R5" s="818"/>
      <c r="S5" s="818"/>
      <c r="AA5" s="782">
        <v>3</v>
      </c>
      <c r="AB5" s="782">
        <v>6.13</v>
      </c>
      <c r="AC5" s="782">
        <v>43.75</v>
      </c>
      <c r="AD5" s="782">
        <v>12.13</v>
      </c>
      <c r="AE5" s="782">
        <v>12.63</v>
      </c>
      <c r="AF5" s="782">
        <v>12.63</v>
      </c>
      <c r="AG5" s="782">
        <v>12.63</v>
      </c>
      <c r="AH5" s="782">
        <v>12.63</v>
      </c>
      <c r="AI5" s="782">
        <v>12.63</v>
      </c>
      <c r="AJ5" s="782">
        <v>12.63</v>
      </c>
      <c r="AK5" s="782">
        <v>12.63</v>
      </c>
      <c r="AL5" s="782">
        <v>12.63</v>
      </c>
      <c r="AM5" s="782">
        <v>12.63</v>
      </c>
      <c r="AN5" s="782">
        <v>12.63</v>
      </c>
      <c r="AO5" s="782">
        <v>12.63</v>
      </c>
      <c r="AP5" s="782">
        <v>12.63</v>
      </c>
      <c r="AQ5" s="782">
        <v>12.63</v>
      </c>
      <c r="AR5" s="782">
        <v>12.63</v>
      </c>
      <c r="AS5" s="782">
        <v>12.63</v>
      </c>
      <c r="AT5" s="782">
        <v>12.63</v>
      </c>
      <c r="AU5" s="782">
        <v>12.63</v>
      </c>
      <c r="AV5" s="782">
        <v>12.63</v>
      </c>
      <c r="AW5" s="782">
        <v>12.63</v>
      </c>
      <c r="AX5" s="782">
        <v>12.63</v>
      </c>
      <c r="AY5" s="782">
        <v>12.63</v>
      </c>
      <c r="AZ5" s="782">
        <v>12.63</v>
      </c>
      <c r="BA5" s="782">
        <v>12.63</v>
      </c>
      <c r="BB5" s="782">
        <v>12.63</v>
      </c>
      <c r="BC5" s="782">
        <v>20.13</v>
      </c>
      <c r="BD5" s="782">
        <v>3</v>
      </c>
      <c r="BF5" s="1018"/>
      <c r="BG5" s="1018"/>
      <c r="BH5" s="1018"/>
      <c r="BI5" s="1027"/>
      <c r="BJ5" s="1027"/>
    </row>
    <row r="6" spans="1:62" s="1153" customFormat="1" ht="12" hidden="1" customHeight="1">
      <c r="B6" s="783"/>
      <c r="E6" s="782"/>
      <c r="G6" s="425"/>
      <c r="H6" s="425"/>
      <c r="I6" s="425"/>
      <c r="J6" s="425"/>
      <c r="K6" s="425"/>
      <c r="L6" s="425"/>
      <c r="M6" s="425"/>
      <c r="N6" s="425"/>
      <c r="O6" s="425"/>
      <c r="P6" s="425"/>
      <c r="Q6" s="784"/>
      <c r="R6" s="784"/>
      <c r="S6" s="425"/>
      <c r="AE6" s="812">
        <f>god-2</f>
        <v>2024</v>
      </c>
      <c r="AF6" s="812">
        <f>god-2</f>
        <v>2024</v>
      </c>
      <c r="AG6" s="812">
        <f>god-2</f>
        <v>2024</v>
      </c>
      <c r="AH6" s="812">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15"/>
      <c r="BG6" s="1015"/>
      <c r="BH6" s="1015"/>
      <c r="BI6" s="1026"/>
      <c r="BJ6" s="1026"/>
    </row>
    <row r="7" spans="1:62" s="425" customFormat="1" ht="12" hidden="1" customHeight="1">
      <c r="A7" s="812"/>
      <c r="B7" s="783"/>
      <c r="C7" s="812"/>
      <c r="D7" s="812"/>
      <c r="E7" s="782"/>
      <c r="Q7" s="784"/>
      <c r="R7" s="784"/>
      <c r="AE7" s="425" t="str" cm="1">
        <f t="array" ref="AE7">AE25</f>
        <v>Принято органом регулирования</v>
      </c>
      <c r="AF7" s="425" t="str" cm="1">
        <f t="array" ref="AF7">AF25</f>
        <v>Факт по данным организации</v>
      </c>
      <c r="AG7" s="425" t="str" cm="1">
        <f t="array" ref="AG7">AG25</f>
        <v>Факт, принятый органом регулирования</v>
      </c>
      <c r="AH7" s="425" t="str" cm="1">
        <f t="array" ref="AH7">AH25</f>
        <v>Принято органом регулирования</v>
      </c>
      <c r="AI7" s="425" t="str" cm="1">
        <f t="array" ref="AI7">AI25</f>
        <v>Предложение организации</v>
      </c>
      <c r="AJ7" s="425" t="str" cm="1">
        <f t="array" ref="AJ7">AJ25</f>
        <v>Предложение организации</v>
      </c>
      <c r="AK7" s="425" t="str" cm="1">
        <f t="array" ref="AK7">AK25</f>
        <v>Предложение организации</v>
      </c>
      <c r="AL7" s="425" t="str" cm="1">
        <f t="array" ref="AL7">AL25</f>
        <v>Предложение организации</v>
      </c>
      <c r="AM7" s="425" t="str" cm="1">
        <f t="array" ref="AM7">AM25</f>
        <v>Предложение организации</v>
      </c>
      <c r="AN7" s="425" t="str" cm="1">
        <f t="array" ref="AN7">AN25</f>
        <v>Предложение организации</v>
      </c>
      <c r="AO7" s="425" t="str" cm="1">
        <f t="array" ref="AO7">AO25</f>
        <v>Предложение организации</v>
      </c>
      <c r="AP7" s="425" t="str" cm="1">
        <f t="array" ref="AP7">AP25</f>
        <v>Предложение организации</v>
      </c>
      <c r="AQ7" s="425" t="str" cm="1">
        <f t="array" ref="AQ7">AQ25</f>
        <v>Предложение организации</v>
      </c>
      <c r="AR7" s="425" t="str" cm="1">
        <f t="array" ref="AR7">AR25</f>
        <v>Предложение организации</v>
      </c>
      <c r="AS7" s="425" t="str" cm="1">
        <f t="array" ref="AS7">AS25</f>
        <v>Принято органом регулирования</v>
      </c>
      <c r="AT7" s="425" t="str" cm="1">
        <f t="array" ref="AT7">AT25</f>
        <v>Принято органом регулирования</v>
      </c>
      <c r="AU7" s="425" t="str" cm="1">
        <f t="array" ref="AU7">AU25</f>
        <v>Принято органом регулирования</v>
      </c>
      <c r="AV7" s="425" t="str" cm="1">
        <f t="array" ref="AV7">AV25</f>
        <v>Принято органом регулирования</v>
      </c>
      <c r="AW7" s="425" t="str" cm="1">
        <f t="array" ref="AW7">AW25</f>
        <v>Принято органом регулирования</v>
      </c>
      <c r="AX7" s="425" t="str" cm="1">
        <f t="array" ref="AX7">AX25</f>
        <v>Принято органом регулирования</v>
      </c>
      <c r="AY7" s="425" t="str" cm="1">
        <f t="array" ref="AY7">AY25</f>
        <v>Принято органом регулирования</v>
      </c>
      <c r="AZ7" s="425" t="str" cm="1">
        <f t="array" ref="AZ7">AZ25</f>
        <v>Принято органом регулирования</v>
      </c>
      <c r="BA7" s="425" t="str" cm="1">
        <f t="array" ref="BA7">BA25</f>
        <v>Принято органом регулирования</v>
      </c>
      <c r="BB7" s="425" t="str" cm="1">
        <f t="array" ref="BB7">BB25</f>
        <v>Принято органом регулирования</v>
      </c>
      <c r="BF7" s="1015"/>
      <c r="BG7" s="1015"/>
      <c r="BH7" s="1015"/>
      <c r="BI7" s="1026"/>
      <c r="BJ7" s="1026"/>
    </row>
    <row r="8" spans="1:62" s="425" customFormat="1" ht="12" hidden="1" customHeight="1">
      <c r="A8" s="812"/>
      <c r="B8" s="783"/>
      <c r="C8" s="812"/>
      <c r="D8" s="812"/>
      <c r="E8" s="782"/>
      <c r="Q8" s="784"/>
      <c r="R8" s="784"/>
      <c r="BF8" s="1015"/>
      <c r="BG8" s="1015"/>
      <c r="BH8" s="1015"/>
      <c r="BI8" s="1026"/>
      <c r="BJ8" s="1026"/>
    </row>
    <row r="9" spans="1:62" s="1013" customFormat="1" ht="12" hidden="1" customHeight="1">
      <c r="A9" s="1011" t="s">
        <v>472</v>
      </c>
      <c r="B9" s="1012"/>
      <c r="E9" s="1012"/>
      <c r="Q9" s="1014"/>
      <c r="R9" s="1014"/>
      <c r="AE9" s="1013">
        <f>god-2</f>
        <v>2024</v>
      </c>
      <c r="AF9" s="1013">
        <f>god-2</f>
        <v>2024</v>
      </c>
      <c r="AG9" s="1013">
        <f>god-2</f>
        <v>2024</v>
      </c>
      <c r="AH9" s="1013">
        <f>god-1</f>
        <v>2025</v>
      </c>
      <c r="AI9" s="1013" cm="1">
        <f t="array" ref="AI9">god</f>
        <v>2026</v>
      </c>
      <c r="AJ9" s="1013">
        <f>god+1</f>
        <v>2027</v>
      </c>
      <c r="AK9" s="1013">
        <f>god+2</f>
        <v>2028</v>
      </c>
      <c r="AL9" s="1013">
        <f>god+3</f>
        <v>2029</v>
      </c>
      <c r="AM9" s="1013">
        <f>god+4</f>
        <v>2030</v>
      </c>
      <c r="AN9" s="1013">
        <f>god+5</f>
        <v>2031</v>
      </c>
      <c r="AO9" s="1013">
        <f>god+6</f>
        <v>2032</v>
      </c>
      <c r="AP9" s="1013">
        <f>god+7</f>
        <v>2033</v>
      </c>
      <c r="AQ9" s="1013">
        <f>god+8</f>
        <v>2034</v>
      </c>
      <c r="AR9" s="1013">
        <f>god+9</f>
        <v>2035</v>
      </c>
      <c r="AS9" s="1013" cm="1">
        <f t="array" ref="AS9">god</f>
        <v>2026</v>
      </c>
      <c r="AT9" s="1013">
        <f>god+1</f>
        <v>2027</v>
      </c>
      <c r="AU9" s="1013">
        <f>god+2</f>
        <v>2028</v>
      </c>
      <c r="AV9" s="1013">
        <f>god+3</f>
        <v>2029</v>
      </c>
      <c r="AW9" s="1013">
        <f>god+4</f>
        <v>2030</v>
      </c>
      <c r="AX9" s="1013">
        <f>god+5</f>
        <v>2031</v>
      </c>
      <c r="AY9" s="1013">
        <f>god+6</f>
        <v>2032</v>
      </c>
      <c r="AZ9" s="1013">
        <f>god+7</f>
        <v>2033</v>
      </c>
      <c r="BA9" s="1013">
        <f>god+8</f>
        <v>2034</v>
      </c>
      <c r="BB9" s="1013">
        <f>god+9</f>
        <v>2035</v>
      </c>
      <c r="BF9" s="1015"/>
      <c r="BG9" s="1015"/>
      <c r="BH9" s="1015"/>
      <c r="BI9" s="1026"/>
      <c r="BJ9" s="1026"/>
    </row>
    <row r="10" spans="1:62" s="1013" customFormat="1" ht="12" hidden="1" customHeight="1">
      <c r="A10" s="1011" t="s">
        <v>473</v>
      </c>
      <c r="B10" s="1012"/>
      <c r="E10" s="1012"/>
      <c r="Q10" s="1014"/>
      <c r="R10" s="1014"/>
      <c r="AE10" s="1013" t="str" cm="1">
        <f t="array" ref="AE10">AE25</f>
        <v>Принято органом регулирования</v>
      </c>
      <c r="AF10" s="1013" t="str" cm="1">
        <f t="array" ref="AF10">AF25</f>
        <v>Факт по данным организации</v>
      </c>
      <c r="AG10" s="1013" t="str" cm="1">
        <f t="array" ref="AG10">AG25</f>
        <v>Факт, принятый органом регулирования</v>
      </c>
      <c r="AH10" s="1013" t="str" cm="1">
        <f t="array" ref="AH10">AH25</f>
        <v>Принято органом регулирования</v>
      </c>
      <c r="AI10" s="1013" t="str" cm="1">
        <f t="array" ref="AI10">AI25</f>
        <v>Предложение организации</v>
      </c>
      <c r="AJ10" s="1013" t="str" cm="1">
        <f t="array" ref="AJ10">AJ25</f>
        <v>Предложение организации</v>
      </c>
      <c r="AK10" s="1013" t="str" cm="1">
        <f t="array" ref="AK10">AK25</f>
        <v>Предложение организации</v>
      </c>
      <c r="AL10" s="1013" t="str" cm="1">
        <f t="array" ref="AL10">AL25</f>
        <v>Предложение организации</v>
      </c>
      <c r="AM10" s="1013" t="str" cm="1">
        <f t="array" ref="AM10">AM25</f>
        <v>Предложение организации</v>
      </c>
      <c r="AN10" s="1013" t="str" cm="1">
        <f t="array" ref="AN10">AN25</f>
        <v>Предложение организации</v>
      </c>
      <c r="AO10" s="1013" t="str" cm="1">
        <f t="array" ref="AO10">AO25</f>
        <v>Предложение организации</v>
      </c>
      <c r="AP10" s="1013" t="str" cm="1">
        <f t="array" ref="AP10">AP25</f>
        <v>Предложение организации</v>
      </c>
      <c r="AQ10" s="1013" t="str" cm="1">
        <f t="array" ref="AQ10">AQ25</f>
        <v>Предложение организации</v>
      </c>
      <c r="AR10" s="1013" t="str" cm="1">
        <f t="array" ref="AR10">AR25</f>
        <v>Предложение организации</v>
      </c>
      <c r="AS10" s="1013" t="str" cm="1">
        <f t="array" ref="AS10">AS25</f>
        <v>Принято органом регулирования</v>
      </c>
      <c r="AT10" s="1013" t="str" cm="1">
        <f t="array" ref="AT10">AT25</f>
        <v>Принято органом регулирования</v>
      </c>
      <c r="AU10" s="1013" t="str" cm="1">
        <f t="array" ref="AU10">AU25</f>
        <v>Принято органом регулирования</v>
      </c>
      <c r="AV10" s="1013" t="str" cm="1">
        <f t="array" ref="AV10">AV25</f>
        <v>Принято органом регулирования</v>
      </c>
      <c r="AW10" s="1013" t="str" cm="1">
        <f t="array" ref="AW10">AW25</f>
        <v>Принято органом регулирования</v>
      </c>
      <c r="AX10" s="1013" t="str" cm="1">
        <f t="array" ref="AX10">AX25</f>
        <v>Принято органом регулирования</v>
      </c>
      <c r="AY10" s="1013" t="str" cm="1">
        <f t="array" ref="AY10">AY25</f>
        <v>Принято органом регулирования</v>
      </c>
      <c r="AZ10" s="1013" t="str" cm="1">
        <f t="array" ref="AZ10">AZ25</f>
        <v>Принято органом регулирования</v>
      </c>
      <c r="BA10" s="1013" t="str" cm="1">
        <f t="array" ref="BA10">BA25</f>
        <v>Принято органом регулирования</v>
      </c>
      <c r="BB10" s="1013" t="str" cm="1">
        <f t="array" ref="BB10">BB25</f>
        <v>Принято органом регулирования</v>
      </c>
      <c r="BF10" s="1015"/>
      <c r="BG10" s="1015"/>
      <c r="BH10" s="1015"/>
      <c r="BI10" s="1026"/>
      <c r="BJ10" s="1026"/>
    </row>
    <row r="11" spans="1:62" s="1013" customFormat="1" ht="12" hidden="1" customHeight="1">
      <c r="A11" s="1011" t="s">
        <v>474</v>
      </c>
      <c r="B11" s="1012"/>
      <c r="E11" s="1012"/>
      <c r="G11" s="1016"/>
      <c r="H11" s="1016"/>
      <c r="I11" s="1016"/>
      <c r="J11" s="1016"/>
      <c r="K11" s="1016"/>
      <c r="L11" s="1016"/>
      <c r="M11" s="1016"/>
      <c r="N11" s="1016"/>
      <c r="O11" s="1016"/>
      <c r="P11" s="1016"/>
      <c r="Q11" s="1017"/>
      <c r="R11" s="1017"/>
      <c r="S11" s="1016"/>
      <c r="BC11" s="1013" t="str" cm="1">
        <f t="array" ref="BC11">BC24</f>
        <v>Ссылка на правовую норму (основание для принятия показателя в расчет тарифа)</v>
      </c>
      <c r="BF11" s="1015"/>
      <c r="BG11" s="1015"/>
      <c r="BH11" s="1015"/>
      <c r="BI11" s="1026"/>
      <c r="BJ11" s="1026"/>
    </row>
    <row r="12" spans="1:62" s="1013" customFormat="1" ht="12" hidden="1" customHeight="1">
      <c r="A12" s="1011" t="s">
        <v>394</v>
      </c>
      <c r="B12" s="1012"/>
      <c r="E12" s="1012"/>
      <c r="G12" s="1016"/>
      <c r="H12" s="1016"/>
      <c r="I12" s="1016"/>
      <c r="J12" s="1016"/>
      <c r="K12" s="1016"/>
      <c r="L12" s="1016"/>
      <c r="M12" s="1016"/>
      <c r="N12" s="1016"/>
      <c r="O12" s="1016"/>
      <c r="P12" s="1016"/>
      <c r="Q12" s="1017"/>
      <c r="R12" s="1017"/>
      <c r="S12" s="1016"/>
      <c r="AC12" s="1013" t="s">
        <v>385</v>
      </c>
      <c r="BF12" s="1015"/>
      <c r="BG12" s="1015"/>
      <c r="BH12" s="1015"/>
      <c r="BI12" s="1026"/>
      <c r="BJ12" s="1026"/>
    </row>
    <row r="13" spans="1:62" s="1153" customFormat="1" ht="12" hidden="1" customHeight="1">
      <c r="B13" s="783"/>
      <c r="E13" s="782"/>
      <c r="G13" s="425"/>
      <c r="H13" s="425"/>
      <c r="I13" s="425"/>
      <c r="J13" s="425"/>
      <c r="K13" s="425"/>
      <c r="L13" s="425"/>
      <c r="M13" s="425"/>
      <c r="N13" s="425"/>
      <c r="O13" s="425"/>
      <c r="P13" s="425"/>
      <c r="Q13" s="784"/>
      <c r="R13" s="784"/>
      <c r="S13" s="425"/>
      <c r="AI13" s="126"/>
      <c r="AJ13" s="126"/>
      <c r="AK13" s="126"/>
      <c r="AL13" s="126"/>
      <c r="AM13" s="126"/>
      <c r="AN13" s="126"/>
      <c r="AO13" s="126"/>
      <c r="AP13" s="126"/>
      <c r="AQ13" s="126"/>
      <c r="AR13" s="126"/>
      <c r="AS13" s="126"/>
      <c r="AT13" s="126"/>
      <c r="AU13" s="126"/>
      <c r="AV13" s="126"/>
      <c r="AW13" s="126"/>
      <c r="AX13" s="126"/>
      <c r="AY13" s="126"/>
      <c r="AZ13" s="126"/>
      <c r="BA13" s="126"/>
      <c r="BB13" s="126"/>
      <c r="BF13" s="1015"/>
      <c r="BG13" s="1015"/>
      <c r="BH13" s="1015"/>
      <c r="BI13" s="1026"/>
      <c r="BJ13" s="1026"/>
    </row>
    <row r="14" spans="1:62" s="1153" customFormat="1" ht="12" hidden="1" customHeight="1">
      <c r="B14" s="783"/>
      <c r="E14" s="782"/>
      <c r="G14" s="425"/>
      <c r="H14" s="425"/>
      <c r="I14" s="425"/>
      <c r="J14" s="425"/>
      <c r="K14" s="425"/>
      <c r="L14" s="425"/>
      <c r="M14" s="425"/>
      <c r="N14" s="425"/>
      <c r="O14" s="425"/>
      <c r="P14" s="425"/>
      <c r="Q14" s="784"/>
      <c r="R14" s="784"/>
      <c r="S14" s="425"/>
      <c r="AI14" s="126"/>
      <c r="AJ14" s="126"/>
      <c r="AK14" s="126"/>
      <c r="AL14" s="126"/>
      <c r="AM14" s="126"/>
      <c r="AN14" s="126"/>
      <c r="AO14" s="126"/>
      <c r="AP14" s="126"/>
      <c r="AQ14" s="126"/>
      <c r="AR14" s="126"/>
      <c r="AS14" s="126"/>
      <c r="AT14" s="126"/>
      <c r="AU14" s="126"/>
      <c r="AV14" s="126"/>
      <c r="AW14" s="126"/>
      <c r="AX14" s="126"/>
      <c r="AY14" s="126"/>
      <c r="AZ14" s="126"/>
      <c r="BA14" s="126"/>
      <c r="BB14" s="126"/>
      <c r="BF14" s="1015"/>
      <c r="BG14" s="1015"/>
      <c r="BH14" s="1015"/>
      <c r="BI14" s="1026"/>
      <c r="BJ14" s="1026"/>
    </row>
    <row r="15" spans="1:62" s="1153" customFormat="1" ht="12" hidden="1" customHeight="1">
      <c r="B15" s="783"/>
      <c r="E15" s="782"/>
      <c r="G15" s="425"/>
      <c r="H15" s="425"/>
      <c r="I15" s="425"/>
      <c r="J15" s="425"/>
      <c r="K15" s="425"/>
      <c r="L15" s="425"/>
      <c r="M15" s="425"/>
      <c r="N15" s="425"/>
      <c r="O15" s="425"/>
      <c r="P15" s="425"/>
      <c r="Q15" s="784"/>
      <c r="R15" s="784"/>
      <c r="S15" s="425"/>
      <c r="AI15" s="126"/>
      <c r="AJ15" s="126"/>
      <c r="AK15" s="126"/>
      <c r="AL15" s="126"/>
      <c r="AM15" s="126"/>
      <c r="AN15" s="126"/>
      <c r="AO15" s="126"/>
      <c r="AP15" s="126"/>
      <c r="AQ15" s="126"/>
      <c r="AR15" s="126"/>
      <c r="AS15" s="126"/>
      <c r="AT15" s="126"/>
      <c r="AU15" s="126"/>
      <c r="AV15" s="126"/>
      <c r="AW15" s="126"/>
      <c r="AX15" s="126"/>
      <c r="AY15" s="126"/>
      <c r="AZ15" s="126"/>
      <c r="BA15" s="126"/>
      <c r="BB15" s="126"/>
      <c r="BF15" s="1015"/>
      <c r="BG15" s="1015"/>
      <c r="BH15" s="1015"/>
      <c r="BI15" s="1026"/>
      <c r="BJ15" s="1026"/>
    </row>
    <row r="16" spans="1:62" s="1153" customFormat="1" ht="12" hidden="1" customHeight="1">
      <c r="B16" s="783"/>
      <c r="E16" s="782"/>
      <c r="G16" s="425"/>
      <c r="H16" s="425"/>
      <c r="I16" s="425"/>
      <c r="J16" s="425"/>
      <c r="K16" s="425"/>
      <c r="L16" s="425"/>
      <c r="M16" s="425"/>
      <c r="N16" s="425"/>
      <c r="O16" s="425"/>
      <c r="P16" s="425"/>
      <c r="Q16" s="784"/>
      <c r="R16" s="784"/>
      <c r="S16" s="425"/>
      <c r="AI16" s="126"/>
      <c r="AJ16" s="126"/>
      <c r="AK16" s="126"/>
      <c r="AL16" s="126"/>
      <c r="AM16" s="126"/>
      <c r="AN16" s="126"/>
      <c r="AO16" s="126"/>
      <c r="AP16" s="126"/>
      <c r="AQ16" s="126"/>
      <c r="AR16" s="126"/>
      <c r="AS16" s="126"/>
      <c r="AT16" s="126"/>
      <c r="AU16" s="126"/>
      <c r="AV16" s="126"/>
      <c r="AW16" s="126"/>
      <c r="AX16" s="126"/>
      <c r="AY16" s="126"/>
      <c r="AZ16" s="126"/>
      <c r="BA16" s="126"/>
      <c r="BB16" s="126"/>
      <c r="BF16" s="1015"/>
      <c r="BG16" s="1015"/>
      <c r="BH16" s="1015"/>
      <c r="BI16" s="1026"/>
      <c r="BJ16" s="1026"/>
    </row>
    <row r="17" spans="1:62" s="1153" customFormat="1" ht="12" hidden="1" customHeight="1">
      <c r="B17" s="783"/>
      <c r="E17" s="782"/>
      <c r="G17" s="425"/>
      <c r="H17" s="425"/>
      <c r="I17" s="425"/>
      <c r="J17" s="425"/>
      <c r="K17" s="425"/>
      <c r="L17" s="425"/>
      <c r="M17" s="425"/>
      <c r="N17" s="425"/>
      <c r="O17" s="425"/>
      <c r="P17" s="425"/>
      <c r="Q17" s="784"/>
      <c r="R17" s="784"/>
      <c r="S17" s="425"/>
      <c r="AX17" s="126"/>
      <c r="AY17" s="126"/>
      <c r="AZ17" s="126"/>
      <c r="BA17" s="126"/>
      <c r="BB17" s="126"/>
      <c r="BF17" s="1015"/>
      <c r="BG17" s="1015"/>
      <c r="BH17" s="1015"/>
      <c r="BI17" s="1026"/>
      <c r="BJ17" s="1026"/>
    </row>
    <row r="18" spans="1:62" s="1153" customFormat="1" ht="12" hidden="1" customHeight="1">
      <c r="A18" s="812" t="s">
        <v>530</v>
      </c>
      <c r="B18" s="783"/>
      <c r="E18" s="782"/>
      <c r="G18" s="425"/>
      <c r="H18" s="425"/>
      <c r="I18" s="425"/>
      <c r="J18" s="425"/>
      <c r="K18" s="425"/>
      <c r="L18" s="425"/>
      <c r="M18" s="425"/>
      <c r="N18" s="425"/>
      <c r="O18" s="425"/>
      <c r="P18" s="425"/>
      <c r="Q18" s="784"/>
      <c r="R18" s="784"/>
      <c r="S18" s="425"/>
      <c r="AC18" s="812" t="s">
        <v>475</v>
      </c>
      <c r="BF18" s="1015"/>
      <c r="BG18" s="1015"/>
      <c r="BH18" s="1015"/>
      <c r="BI18" s="1026"/>
      <c r="BJ18" s="1026"/>
    </row>
    <row r="19" spans="1:62" s="1153" customFormat="1" ht="12" hidden="1" customHeight="1">
      <c r="B19" s="783"/>
      <c r="E19" s="782"/>
      <c r="G19" s="425"/>
      <c r="H19" s="425"/>
      <c r="I19" s="425"/>
      <c r="J19" s="425"/>
      <c r="K19" s="425"/>
      <c r="L19" s="425"/>
      <c r="M19" s="425"/>
      <c r="N19" s="425"/>
      <c r="O19" s="425"/>
      <c r="P19" s="425"/>
      <c r="Q19" s="784"/>
      <c r="R19" s="784"/>
      <c r="S19" s="425"/>
      <c r="BF19" s="1015"/>
      <c r="BG19" s="1015"/>
      <c r="BH19" s="1015"/>
      <c r="BI19" s="1026"/>
      <c r="BJ19" s="1026"/>
    </row>
    <row r="20" spans="1:62" s="1153" customFormat="1" ht="12" hidden="1" customHeight="1">
      <c r="B20" s="783"/>
      <c r="E20" s="782"/>
      <c r="G20" s="425"/>
      <c r="H20" s="425"/>
      <c r="I20" s="425"/>
      <c r="J20" s="425"/>
      <c r="K20" s="425"/>
      <c r="L20" s="425"/>
      <c r="M20" s="425"/>
      <c r="N20" s="425"/>
      <c r="O20" s="425"/>
      <c r="P20" s="425"/>
      <c r="Q20" s="784"/>
      <c r="R20" s="784"/>
      <c r="S20" s="425"/>
      <c r="BF20" s="1015"/>
      <c r="BG20" s="1015"/>
      <c r="BH20" s="1015"/>
      <c r="BI20" s="1026"/>
      <c r="BJ20" s="1026"/>
    </row>
    <row r="21" spans="1:62" ht="14.65" customHeight="1">
      <c r="E21" s="782">
        <v>15</v>
      </c>
      <c r="AA21" s="699"/>
      <c r="AC21" s="795" t="str" cm="1">
        <f t="array" ref="AC21">tpl_title</f>
        <v>Кемеровская область / 2026 / ОАО «СКЭК» (ИНН:4205153492, КПП:420501001) / ДПР: 2021-2030</v>
      </c>
    </row>
    <row r="22" spans="1:62" ht="19.5" customHeight="1">
      <c r="E22" s="782">
        <v>20.100000000000001</v>
      </c>
      <c r="AB22" s="426" t="s">
        <v>51</v>
      </c>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38"/>
    </row>
    <row r="23" spans="1:62" ht="11.1" customHeight="1">
      <c r="E23" s="782">
        <v>11.4</v>
      </c>
    </row>
    <row r="24" spans="1:62" s="170" customFormat="1" ht="14.65" customHeight="1">
      <c r="A24" s="126"/>
      <c r="B24" s="667"/>
      <c r="C24" s="126"/>
      <c r="D24" s="126"/>
      <c r="E24" s="676">
        <v>15</v>
      </c>
      <c r="F24" s="126"/>
      <c r="G24" s="163"/>
      <c r="H24" s="163"/>
      <c r="I24" s="163"/>
      <c r="J24" s="163"/>
      <c r="K24" s="163"/>
      <c r="L24" s="163"/>
      <c r="M24" s="163"/>
      <c r="N24" s="163"/>
      <c r="O24" s="163"/>
      <c r="P24" s="163"/>
      <c r="Q24" s="620"/>
      <c r="R24" s="620"/>
      <c r="S24" s="163"/>
      <c r="T24" s="126"/>
      <c r="U24" s="126"/>
      <c r="V24" s="126"/>
      <c r="W24" s="126"/>
      <c r="X24" s="126"/>
      <c r="Y24" s="126"/>
      <c r="Z24" s="126"/>
      <c r="AB24" s="1802" t="s">
        <v>396</v>
      </c>
      <c r="AC24" s="1802" t="s">
        <v>475</v>
      </c>
      <c r="AD24" s="1802" t="s">
        <v>1204</v>
      </c>
      <c r="AE24" s="350" t="str">
        <f>god-2&amp;" год"</f>
        <v>2024 год</v>
      </c>
      <c r="AF24" s="1146" t="str">
        <f>god-2&amp;" год"</f>
        <v>2024 год</v>
      </c>
      <c r="AG24" s="350" t="str">
        <f>god-2&amp;" год"</f>
        <v>2024 год</v>
      </c>
      <c r="AH24" s="125" t="str">
        <f>god-1&amp;" год"</f>
        <v>2025 год</v>
      </c>
      <c r="AI24" s="1141" t="str">
        <f>god&amp;" год"</f>
        <v>2026 год</v>
      </c>
      <c r="AJ24" s="1141" t="str">
        <f>god+1&amp;" год"</f>
        <v>2027 год</v>
      </c>
      <c r="AK24" s="1141" t="str">
        <f>god+2&amp;" год"</f>
        <v>2028 год</v>
      </c>
      <c r="AL24" s="1141" t="str">
        <f>god+3&amp;" год"</f>
        <v>2029 год</v>
      </c>
      <c r="AM24" s="1141" t="str">
        <f>god+4&amp;" год"</f>
        <v>2030 год</v>
      </c>
      <c r="AN24" s="1141" t="str">
        <f>god+5&amp;" год"</f>
        <v>2031 год</v>
      </c>
      <c r="AO24" s="1141" t="str">
        <f>god+6&amp;" год"</f>
        <v>2032 год</v>
      </c>
      <c r="AP24" s="1141" t="str">
        <f>god+7&amp;" год"</f>
        <v>2033 год</v>
      </c>
      <c r="AQ24" s="1141" t="str">
        <f>god+8&amp;" год"</f>
        <v>2034 год</v>
      </c>
      <c r="AR24" s="1141"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815" t="s">
        <v>630</v>
      </c>
      <c r="BF24" s="981"/>
      <c r="BG24" s="981"/>
      <c r="BH24" s="981"/>
      <c r="BI24" s="984"/>
      <c r="BJ24" s="984"/>
    </row>
    <row r="25" spans="1:62" s="170" customFormat="1" ht="48.75" customHeight="1">
      <c r="A25" s="126"/>
      <c r="B25" s="667"/>
      <c r="C25" s="126"/>
      <c r="D25" s="126"/>
      <c r="E25" s="676">
        <v>50.1</v>
      </c>
      <c r="F25" s="126"/>
      <c r="G25" s="163"/>
      <c r="H25" s="163"/>
      <c r="I25" s="163"/>
      <c r="J25" s="163"/>
      <c r="K25" s="163"/>
      <c r="L25" s="163"/>
      <c r="M25" s="163"/>
      <c r="N25" s="163"/>
      <c r="O25" s="163"/>
      <c r="P25" s="163"/>
      <c r="Q25" s="620"/>
      <c r="R25" s="620"/>
      <c r="S25" s="163"/>
      <c r="T25" s="126"/>
      <c r="U25" s="126"/>
      <c r="V25" s="126"/>
      <c r="W25" s="126"/>
      <c r="X25" s="126"/>
      <c r="Y25" s="126"/>
      <c r="Z25" s="126"/>
      <c r="AB25" s="1802"/>
      <c r="AC25" s="1802"/>
      <c r="AD25" s="1802"/>
      <c r="AE25" s="121" t="s">
        <v>412</v>
      </c>
      <c r="AF25" s="1141" t="s">
        <v>631</v>
      </c>
      <c r="AG25" s="121" t="s">
        <v>632</v>
      </c>
      <c r="AH25" s="121" t="s">
        <v>412</v>
      </c>
      <c r="AI25" s="1142" t="s">
        <v>413</v>
      </c>
      <c r="AJ25" s="1142" t="s">
        <v>413</v>
      </c>
      <c r="AK25" s="1142" t="s">
        <v>413</v>
      </c>
      <c r="AL25" s="1142" t="s">
        <v>413</v>
      </c>
      <c r="AM25" s="1142" t="s">
        <v>413</v>
      </c>
      <c r="AN25" s="1142" t="s">
        <v>413</v>
      </c>
      <c r="AO25" s="1142" t="s">
        <v>413</v>
      </c>
      <c r="AP25" s="1142" t="s">
        <v>413</v>
      </c>
      <c r="AQ25" s="1142" t="s">
        <v>413</v>
      </c>
      <c r="AR25" s="1142" t="s">
        <v>413</v>
      </c>
      <c r="AS25" s="351" t="s">
        <v>412</v>
      </c>
      <c r="AT25" s="351" t="s">
        <v>412</v>
      </c>
      <c r="AU25" s="351" t="s">
        <v>412</v>
      </c>
      <c r="AV25" s="351" t="s">
        <v>412</v>
      </c>
      <c r="AW25" s="351" t="s">
        <v>412</v>
      </c>
      <c r="AX25" s="351" t="s">
        <v>412</v>
      </c>
      <c r="AY25" s="351" t="s">
        <v>412</v>
      </c>
      <c r="AZ25" s="351" t="s">
        <v>412</v>
      </c>
      <c r="BA25" s="351" t="s">
        <v>412</v>
      </c>
      <c r="BB25" s="351" t="s">
        <v>412</v>
      </c>
      <c r="BC25" s="1815"/>
      <c r="BF25" s="981"/>
      <c r="BG25" s="981"/>
      <c r="BH25" s="981"/>
      <c r="BI25" s="984"/>
      <c r="BJ25" s="984"/>
    </row>
    <row r="26" spans="1:62" s="170" customFormat="1" ht="50.25" hidden="1" customHeight="1">
      <c r="A26" s="126"/>
      <c r="B26" s="667"/>
      <c r="C26" s="126"/>
      <c r="D26" s="126"/>
      <c r="E26" s="676">
        <v>0</v>
      </c>
      <c r="F26" s="126"/>
      <c r="G26" s="163"/>
      <c r="H26" s="163"/>
      <c r="I26" s="163"/>
      <c r="J26" s="163"/>
      <c r="K26" s="163"/>
      <c r="L26" s="163"/>
      <c r="M26" s="163"/>
      <c r="N26" s="163"/>
      <c r="O26" s="163"/>
      <c r="P26" s="163"/>
      <c r="Q26" s="620"/>
      <c r="R26" s="620"/>
      <c r="S26" s="163"/>
      <c r="T26" s="126"/>
      <c r="U26" s="126"/>
      <c r="V26" s="126"/>
      <c r="W26" s="126"/>
      <c r="X26" s="126"/>
      <c r="Y26" s="126"/>
      <c r="Z26" s="126"/>
      <c r="AB26" s="435"/>
      <c r="AC26" s="436"/>
      <c r="AD26" s="436"/>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7"/>
      <c r="BF26" s="981"/>
      <c r="BG26" s="981"/>
      <c r="BH26" s="981"/>
      <c r="BI26" s="984"/>
      <c r="BJ26" s="984"/>
    </row>
    <row r="27" spans="1:62" s="170" customFormat="1" ht="11.1" hidden="1" customHeight="1">
      <c r="E27" s="676">
        <v>11.4</v>
      </c>
      <c r="F27" s="779" cm="1">
        <f t="array" ref="F27">X27</f>
        <v>0</v>
      </c>
      <c r="T27" s="698" t="b">
        <f>X27&gt;0</f>
        <v>0</v>
      </c>
      <c r="V27" s="126" t="s">
        <v>315</v>
      </c>
      <c r="X27" s="1726">
        <v>0</v>
      </c>
      <c r="Z27" s="1724"/>
      <c r="AB27" s="237" t="str" cm="1">
        <f t="array" ref="AB27">INDEX('Общие сведения'!$AG$187:$AG$236,MATCH($F27,'Общие сведения'!$Z$187:$Z$236,0))</f>
        <v xml:space="preserve">Тариф 0 (Теплоснабжение) - </v>
      </c>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F27" s="981"/>
      <c r="BG27" s="981"/>
      <c r="BH27" s="981"/>
      <c r="BI27" s="984"/>
      <c r="BJ27" s="984"/>
    </row>
    <row r="28" spans="1:62" s="170" customFormat="1" ht="29.25" hidden="1" customHeight="1">
      <c r="E28" s="676">
        <v>30</v>
      </c>
      <c r="F28" s="779" cm="1">
        <f t="array" aca="1" ref="F28" ca="1">OFFSET(G28,-1,-1)</f>
        <v>0</v>
      </c>
      <c r="T28" s="687" t="b" cm="1">
        <f t="array" ref="T28">T27</f>
        <v>0</v>
      </c>
      <c r="X28" s="1724"/>
      <c r="Z28" s="1724"/>
      <c r="AB28" s="252">
        <v>1</v>
      </c>
      <c r="AC28" s="234" t="s">
        <v>1301</v>
      </c>
      <c r="AD28" s="227" t="s">
        <v>839</v>
      </c>
      <c r="AE28" s="245">
        <f t="shared" ref="AE28:BB28" si="1">SUM(AE29:AE37)</f>
        <v>0</v>
      </c>
      <c r="AF28" s="245">
        <f t="shared" si="1"/>
        <v>0</v>
      </c>
      <c r="AG28" s="245">
        <f t="shared" si="1"/>
        <v>0</v>
      </c>
      <c r="AH28" s="245">
        <f t="shared" si="1"/>
        <v>0</v>
      </c>
      <c r="AI28" s="245">
        <f t="shared" si="1"/>
        <v>0</v>
      </c>
      <c r="AJ28" s="245">
        <f t="shared" si="1"/>
        <v>0</v>
      </c>
      <c r="AK28" s="245">
        <f t="shared" si="1"/>
        <v>0</v>
      </c>
      <c r="AL28" s="245">
        <f t="shared" si="1"/>
        <v>0</v>
      </c>
      <c r="AM28" s="245">
        <f t="shared" si="1"/>
        <v>0</v>
      </c>
      <c r="AN28" s="245">
        <f t="shared" si="1"/>
        <v>0</v>
      </c>
      <c r="AO28" s="245">
        <f t="shared" si="1"/>
        <v>0</v>
      </c>
      <c r="AP28" s="245">
        <f t="shared" si="1"/>
        <v>0</v>
      </c>
      <c r="AQ28" s="245">
        <f t="shared" si="1"/>
        <v>0</v>
      </c>
      <c r="AR28" s="245">
        <f t="shared" si="1"/>
        <v>0</v>
      </c>
      <c r="AS28" s="245">
        <f t="shared" si="1"/>
        <v>0</v>
      </c>
      <c r="AT28" s="245">
        <f t="shared" si="1"/>
        <v>0</v>
      </c>
      <c r="AU28" s="245">
        <f t="shared" si="1"/>
        <v>0</v>
      </c>
      <c r="AV28" s="245">
        <f t="shared" si="1"/>
        <v>0</v>
      </c>
      <c r="AW28" s="245">
        <f t="shared" si="1"/>
        <v>0</v>
      </c>
      <c r="AX28" s="245">
        <f t="shared" si="1"/>
        <v>0</v>
      </c>
      <c r="AY28" s="245">
        <f t="shared" si="1"/>
        <v>0</v>
      </c>
      <c r="AZ28" s="245">
        <f t="shared" si="1"/>
        <v>0</v>
      </c>
      <c r="BA28" s="245">
        <f t="shared" si="1"/>
        <v>0</v>
      </c>
      <c r="BB28" s="245">
        <f t="shared" si="1"/>
        <v>0</v>
      </c>
      <c r="BC28" s="28"/>
      <c r="BF28" s="981" t="s">
        <v>1302</v>
      </c>
      <c r="BG28" s="981"/>
      <c r="BH28" s="981"/>
      <c r="BI28" s="984"/>
      <c r="BJ28" s="984"/>
    </row>
    <row r="29" spans="1:62" s="170" customFormat="1" ht="58.5" hidden="1" customHeight="1">
      <c r="E29" s="676">
        <v>60</v>
      </c>
      <c r="F29" s="779" cm="1">
        <f t="array" aca="1" ref="F29" ca="1">OFFSET(G29,-1,-1)</f>
        <v>0</v>
      </c>
      <c r="G29" s="620" t="s">
        <v>1303</v>
      </c>
      <c r="T29" s="687" t="b" cm="1">
        <f t="array" ref="T29">T28</f>
        <v>0</v>
      </c>
      <c r="X29" s="1724"/>
      <c r="Z29" s="1724"/>
      <c r="AB29" s="235" t="s">
        <v>484</v>
      </c>
      <c r="AC29" s="428" t="s">
        <v>1304</v>
      </c>
      <c r="AD29" s="105" t="s">
        <v>839</v>
      </c>
      <c r="AE29" s="29"/>
      <c r="AF29" s="62"/>
      <c r="AG29" s="62"/>
      <c r="AH29" s="62"/>
      <c r="AI29" s="247"/>
      <c r="AJ29" s="247"/>
      <c r="AK29" s="247"/>
      <c r="AL29" s="247"/>
      <c r="AM29" s="247"/>
      <c r="AN29" s="62"/>
      <c r="AO29" s="62"/>
      <c r="AP29" s="62"/>
      <c r="AQ29" s="62"/>
      <c r="AR29" s="62"/>
      <c r="AS29" s="247"/>
      <c r="AT29" s="247"/>
      <c r="AU29" s="247"/>
      <c r="AV29" s="247"/>
      <c r="AW29" s="247"/>
      <c r="AX29" s="62"/>
      <c r="AY29" s="62"/>
      <c r="AZ29" s="62"/>
      <c r="BA29" s="62"/>
      <c r="BB29" s="62"/>
      <c r="BC29" s="28"/>
      <c r="BF29" s="981" t="s">
        <v>1305</v>
      </c>
      <c r="BG29" s="981"/>
      <c r="BH29" s="981"/>
      <c r="BI29" s="984"/>
      <c r="BJ29" s="984"/>
    </row>
    <row r="30" spans="1:62" s="170" customFormat="1" ht="16.7" hidden="1" customHeight="1">
      <c r="E30" s="676">
        <v>17.100000000000001</v>
      </c>
      <c r="F30" s="779" cm="1">
        <f t="array" aca="1" ref="F30" ca="1">OFFSET(G30,-1,-1)</f>
        <v>0</v>
      </c>
      <c r="G30" s="620" t="s">
        <v>1306</v>
      </c>
      <c r="H30" s="163" t="s">
        <v>1307</v>
      </c>
      <c r="T30" s="687" t="b" cm="1">
        <f t="array" ref="T30">T29</f>
        <v>0</v>
      </c>
      <c r="X30" s="1724"/>
      <c r="Z30" s="1724"/>
      <c r="AB30" s="235" t="s">
        <v>989</v>
      </c>
      <c r="AC30" s="428" t="s">
        <v>1308</v>
      </c>
      <c r="AD30" s="105" t="s">
        <v>839</v>
      </c>
      <c r="AE30" s="29"/>
      <c r="AF30" s="62"/>
      <c r="AG30" s="62"/>
      <c r="AH30" s="62"/>
      <c r="AI30" s="247"/>
      <c r="AJ30" s="247"/>
      <c r="AK30" s="247"/>
      <c r="AL30" s="247"/>
      <c r="AM30" s="247"/>
      <c r="AN30" s="62"/>
      <c r="AO30" s="62"/>
      <c r="AP30" s="62"/>
      <c r="AQ30" s="62"/>
      <c r="AR30" s="62"/>
      <c r="AS30" s="247"/>
      <c r="AT30" s="247"/>
      <c r="AU30" s="247"/>
      <c r="AV30" s="247"/>
      <c r="AW30" s="247"/>
      <c r="AX30" s="62"/>
      <c r="AY30" s="62"/>
      <c r="AZ30" s="62"/>
      <c r="BA30" s="62"/>
      <c r="BB30" s="62"/>
      <c r="BC30" s="28"/>
      <c r="BF30" s="981" t="s">
        <v>1309</v>
      </c>
      <c r="BG30" s="981"/>
      <c r="BH30" s="981"/>
      <c r="BI30" s="984"/>
      <c r="BJ30" s="984"/>
    </row>
    <row r="31" spans="1:62" s="170" customFormat="1" ht="16.7" hidden="1" customHeight="1">
      <c r="E31" s="676">
        <v>17.100000000000001</v>
      </c>
      <c r="F31" s="779" cm="1">
        <f t="array" aca="1" ref="F31" ca="1">OFFSET(G31,-1,-1)</f>
        <v>0</v>
      </c>
      <c r="G31" s="620" t="s">
        <v>1310</v>
      </c>
      <c r="T31" s="687" t="b" cm="1">
        <f t="array" ref="T31">T30</f>
        <v>0</v>
      </c>
      <c r="X31" s="1724"/>
      <c r="Z31" s="1724"/>
      <c r="AB31" s="235" t="s">
        <v>991</v>
      </c>
      <c r="AC31" s="428" t="s">
        <v>1311</v>
      </c>
      <c r="AD31" s="105" t="s">
        <v>839</v>
      </c>
      <c r="AE31" s="29"/>
      <c r="AF31" s="62"/>
      <c r="AG31" s="62"/>
      <c r="AH31" s="62"/>
      <c r="AI31" s="247"/>
      <c r="AJ31" s="247"/>
      <c r="AK31" s="247"/>
      <c r="AL31" s="247"/>
      <c r="AM31" s="247"/>
      <c r="AN31" s="62"/>
      <c r="AO31" s="62"/>
      <c r="AP31" s="62"/>
      <c r="AQ31" s="62"/>
      <c r="AR31" s="62"/>
      <c r="AS31" s="247"/>
      <c r="AT31" s="247"/>
      <c r="AU31" s="247"/>
      <c r="AV31" s="247"/>
      <c r="AW31" s="247"/>
      <c r="AX31" s="62"/>
      <c r="AY31" s="62"/>
      <c r="AZ31" s="62"/>
      <c r="BA31" s="62"/>
      <c r="BB31" s="62"/>
      <c r="BC31" s="28"/>
      <c r="BF31" s="981" t="s">
        <v>1312</v>
      </c>
      <c r="BG31" s="981"/>
      <c r="BH31" s="981"/>
      <c r="BI31" s="984"/>
      <c r="BJ31" s="984"/>
    </row>
    <row r="32" spans="1:62" ht="16.7" hidden="1" customHeight="1">
      <c r="E32" s="676">
        <v>17.100000000000001</v>
      </c>
      <c r="F32" s="779" cm="1">
        <f t="array" aca="1" ref="F32" ca="1">OFFSET(G32,-1,-1)</f>
        <v>0</v>
      </c>
      <c r="G32" s="620" t="s">
        <v>1306</v>
      </c>
      <c r="H32" s="163" t="s">
        <v>1306</v>
      </c>
      <c r="T32" s="687" t="b" cm="1">
        <f t="array" ref="T32">T31</f>
        <v>0</v>
      </c>
      <c r="X32" s="1726"/>
      <c r="Z32" s="1726"/>
      <c r="AB32" s="235" t="s">
        <v>995</v>
      </c>
      <c r="AC32" s="428" t="s">
        <v>1313</v>
      </c>
      <c r="AD32" s="105" t="s">
        <v>839</v>
      </c>
      <c r="AE32" s="63"/>
      <c r="AF32" s="63"/>
      <c r="AG32" s="63"/>
      <c r="AH32" s="63"/>
      <c r="AI32" s="248"/>
      <c r="AJ32" s="248"/>
      <c r="AK32" s="248"/>
      <c r="AL32" s="248"/>
      <c r="AM32" s="248"/>
      <c r="AN32" s="63"/>
      <c r="AO32" s="63"/>
      <c r="AP32" s="63"/>
      <c r="AQ32" s="63"/>
      <c r="AR32" s="63"/>
      <c r="AS32" s="248"/>
      <c r="AT32" s="248"/>
      <c r="AU32" s="248"/>
      <c r="AV32" s="248"/>
      <c r="AW32" s="248"/>
      <c r="AX32" s="63"/>
      <c r="AY32" s="63"/>
      <c r="AZ32" s="63"/>
      <c r="BA32" s="63"/>
      <c r="BB32" s="63"/>
      <c r="BC32" s="28"/>
      <c r="BF32" s="981" t="s">
        <v>610</v>
      </c>
    </row>
    <row r="33" spans="1:62" s="170" customFormat="1" ht="16.7" hidden="1" customHeight="1">
      <c r="E33" s="676">
        <v>17.100000000000001</v>
      </c>
      <c r="F33" s="779" cm="1">
        <f t="array" aca="1" ref="F33" ca="1">OFFSET(G33,-1,-1)</f>
        <v>0</v>
      </c>
      <c r="G33" s="620" t="s">
        <v>1306</v>
      </c>
      <c r="H33" s="163" t="s">
        <v>1314</v>
      </c>
      <c r="T33" s="687" t="b" cm="1">
        <f t="array" ref="T33">T32</f>
        <v>0</v>
      </c>
      <c r="X33" s="1724"/>
      <c r="Z33" s="1724"/>
      <c r="AB33" s="235" t="s">
        <v>1100</v>
      </c>
      <c r="AC33" s="428" t="s">
        <v>1315</v>
      </c>
      <c r="AD33" s="105" t="s">
        <v>839</v>
      </c>
      <c r="AE33" s="29"/>
      <c r="AF33" s="29"/>
      <c r="AG33" s="29"/>
      <c r="AH33" s="29"/>
      <c r="AI33" s="246"/>
      <c r="AJ33" s="246"/>
      <c r="AK33" s="246"/>
      <c r="AL33" s="246"/>
      <c r="AM33" s="246"/>
      <c r="AN33" s="29"/>
      <c r="AO33" s="29"/>
      <c r="AP33" s="29"/>
      <c r="AQ33" s="29"/>
      <c r="AR33" s="29"/>
      <c r="AS33" s="246"/>
      <c r="AT33" s="246"/>
      <c r="AU33" s="246"/>
      <c r="AV33" s="246"/>
      <c r="AW33" s="246"/>
      <c r="AX33" s="29"/>
      <c r="AY33" s="29"/>
      <c r="AZ33" s="29"/>
      <c r="BA33" s="29"/>
      <c r="BB33" s="29"/>
      <c r="BC33" s="28"/>
      <c r="BF33" s="981" t="s">
        <v>606</v>
      </c>
      <c r="BG33" s="981"/>
      <c r="BH33" s="981"/>
      <c r="BI33" s="984"/>
      <c r="BJ33" s="984"/>
    </row>
    <row r="34" spans="1:62" s="170" customFormat="1" ht="16.7" hidden="1" customHeight="1">
      <c r="E34" s="676">
        <v>17.100000000000001</v>
      </c>
      <c r="F34" s="779" cm="1">
        <f t="array" aca="1" ref="F34" ca="1">OFFSET(G34,-1,-1)</f>
        <v>0</v>
      </c>
      <c r="G34" s="620" t="s">
        <v>1306</v>
      </c>
      <c r="H34" s="163" t="s">
        <v>1316</v>
      </c>
      <c r="T34" s="687" t="b" cm="1">
        <f t="array" ref="T34">T33</f>
        <v>0</v>
      </c>
      <c r="X34" s="1724"/>
      <c r="Z34" s="1724"/>
      <c r="AB34" s="235" t="s">
        <v>1103</v>
      </c>
      <c r="AC34" s="428" t="s">
        <v>1317</v>
      </c>
      <c r="AD34" s="105" t="s">
        <v>839</v>
      </c>
      <c r="AE34" s="29"/>
      <c r="AF34" s="29"/>
      <c r="AG34" s="29"/>
      <c r="AH34" s="29"/>
      <c r="AI34" s="246"/>
      <c r="AJ34" s="246"/>
      <c r="AK34" s="246"/>
      <c r="AL34" s="246"/>
      <c r="AM34" s="246"/>
      <c r="AN34" s="29"/>
      <c r="AO34" s="29"/>
      <c r="AP34" s="29"/>
      <c r="AQ34" s="29"/>
      <c r="AR34" s="29"/>
      <c r="AS34" s="246"/>
      <c r="AT34" s="246"/>
      <c r="AU34" s="246"/>
      <c r="AV34" s="246"/>
      <c r="AW34" s="246"/>
      <c r="AX34" s="29"/>
      <c r="AY34" s="29"/>
      <c r="AZ34" s="29"/>
      <c r="BA34" s="29"/>
      <c r="BB34" s="29"/>
      <c r="BC34" s="28"/>
      <c r="BF34" s="981" t="s">
        <v>1318</v>
      </c>
      <c r="BG34" s="981"/>
      <c r="BH34" s="981"/>
      <c r="BI34" s="984"/>
      <c r="BJ34" s="984"/>
    </row>
    <row r="35" spans="1:62" s="170" customFormat="1" ht="16.7" hidden="1" customHeight="1">
      <c r="E35" s="676">
        <v>17.100000000000001</v>
      </c>
      <c r="F35" s="779" cm="1">
        <f t="array" aca="1" ref="F35" ca="1">OFFSET(G35,-1,-1)</f>
        <v>0</v>
      </c>
      <c r="G35" s="620" t="s">
        <v>1319</v>
      </c>
      <c r="T35" s="687" t="b" cm="1">
        <f t="array" ref="T35">T34</f>
        <v>0</v>
      </c>
      <c r="X35" s="1724"/>
      <c r="Z35" s="1724"/>
      <c r="AB35" s="235" t="s">
        <v>1106</v>
      </c>
      <c r="AC35" s="428" t="s">
        <v>1320</v>
      </c>
      <c r="AD35" s="105" t="s">
        <v>839</v>
      </c>
      <c r="AE35" s="29"/>
      <c r="AF35" s="29"/>
      <c r="AG35" s="29"/>
      <c r="AH35" s="29"/>
      <c r="AI35" s="246"/>
      <c r="AJ35" s="246"/>
      <c r="AK35" s="246"/>
      <c r="AL35" s="246"/>
      <c r="AM35" s="246"/>
      <c r="AN35" s="29"/>
      <c r="AO35" s="29"/>
      <c r="AP35" s="29"/>
      <c r="AQ35" s="29"/>
      <c r="AR35" s="29"/>
      <c r="AS35" s="246"/>
      <c r="AT35" s="246"/>
      <c r="AU35" s="246"/>
      <c r="AV35" s="246"/>
      <c r="AW35" s="246"/>
      <c r="AX35" s="29"/>
      <c r="AY35" s="29"/>
      <c r="AZ35" s="29"/>
      <c r="BA35" s="29"/>
      <c r="BB35" s="29"/>
      <c r="BC35" s="28"/>
      <c r="BF35" s="981" t="s">
        <v>614</v>
      </c>
      <c r="BG35" s="981"/>
      <c r="BH35" s="981"/>
      <c r="BI35" s="984"/>
      <c r="BJ35" s="984"/>
    </row>
    <row r="36" spans="1:62" s="170" customFormat="1" ht="16.7" hidden="1" customHeight="1">
      <c r="E36" s="676">
        <v>17.100000000000001</v>
      </c>
      <c r="F36" s="779" cm="1">
        <f t="array" aca="1" ref="F36" ca="1">OFFSET(G36,-1,-1)</f>
        <v>0</v>
      </c>
      <c r="G36" s="620" t="s">
        <v>1306</v>
      </c>
      <c r="H36" s="163" t="s">
        <v>1321</v>
      </c>
      <c r="T36" s="687" t="b" cm="1">
        <f t="array" ref="T36">T35</f>
        <v>0</v>
      </c>
      <c r="X36" s="1724"/>
      <c r="Z36" s="1724"/>
      <c r="AB36" s="235" t="s">
        <v>1109</v>
      </c>
      <c r="AC36" s="428" t="s">
        <v>1322</v>
      </c>
      <c r="AD36" s="105" t="s">
        <v>839</v>
      </c>
      <c r="AE36" s="29"/>
      <c r="AF36" s="29"/>
      <c r="AG36" s="29"/>
      <c r="AH36" s="29"/>
      <c r="AI36" s="246"/>
      <c r="AJ36" s="246"/>
      <c r="AK36" s="246"/>
      <c r="AL36" s="246"/>
      <c r="AM36" s="246"/>
      <c r="AN36" s="29"/>
      <c r="AO36" s="29"/>
      <c r="AP36" s="29"/>
      <c r="AQ36" s="29"/>
      <c r="AR36" s="29"/>
      <c r="AS36" s="246"/>
      <c r="AT36" s="246"/>
      <c r="AU36" s="246"/>
      <c r="AV36" s="246"/>
      <c r="AW36" s="246"/>
      <c r="AX36" s="29"/>
      <c r="AY36" s="29"/>
      <c r="AZ36" s="29"/>
      <c r="BA36" s="29"/>
      <c r="BB36" s="29"/>
      <c r="BC36" s="28"/>
      <c r="BF36" s="981" t="s">
        <v>1323</v>
      </c>
      <c r="BG36" s="981"/>
      <c r="BH36" s="981"/>
      <c r="BI36" s="984"/>
      <c r="BJ36" s="984"/>
    </row>
    <row r="37" spans="1:62" s="170" customFormat="1" ht="16.7" hidden="1" customHeight="1">
      <c r="E37" s="676">
        <v>17.100000000000001</v>
      </c>
      <c r="F37" s="779" cm="1">
        <f t="array" aca="1" ref="F37" ca="1">OFFSET(G37,-1,-1)</f>
        <v>0</v>
      </c>
      <c r="G37" s="620" t="s">
        <v>1306</v>
      </c>
      <c r="H37" s="163" t="s">
        <v>1306</v>
      </c>
      <c r="T37" s="687" t="b" cm="1">
        <f t="array" ref="T37">T36</f>
        <v>0</v>
      </c>
      <c r="X37" s="1724"/>
      <c r="Z37" s="1724"/>
      <c r="AB37" s="235" t="s">
        <v>1324</v>
      </c>
      <c r="AC37" s="428" t="s">
        <v>1325</v>
      </c>
      <c r="AD37" s="105" t="s">
        <v>839</v>
      </c>
      <c r="AE37" s="311">
        <f t="shared" ref="AE37:BB37" si="2">SUM(AE38:AE40)</f>
        <v>0</v>
      </c>
      <c r="AF37" s="311">
        <f t="shared" si="2"/>
        <v>0</v>
      </c>
      <c r="AG37" s="311">
        <f t="shared" si="2"/>
        <v>0</v>
      </c>
      <c r="AH37" s="311">
        <f t="shared" si="2"/>
        <v>0</v>
      </c>
      <c r="AI37" s="311">
        <f t="shared" si="2"/>
        <v>0</v>
      </c>
      <c r="AJ37" s="311">
        <f t="shared" si="2"/>
        <v>0</v>
      </c>
      <c r="AK37" s="311">
        <f t="shared" si="2"/>
        <v>0</v>
      </c>
      <c r="AL37" s="311">
        <f t="shared" si="2"/>
        <v>0</v>
      </c>
      <c r="AM37" s="311">
        <f t="shared" si="2"/>
        <v>0</v>
      </c>
      <c r="AN37" s="311">
        <f t="shared" si="2"/>
        <v>0</v>
      </c>
      <c r="AO37" s="311">
        <f t="shared" si="2"/>
        <v>0</v>
      </c>
      <c r="AP37" s="311">
        <f t="shared" si="2"/>
        <v>0</v>
      </c>
      <c r="AQ37" s="311">
        <f t="shared" si="2"/>
        <v>0</v>
      </c>
      <c r="AR37" s="311">
        <f t="shared" si="2"/>
        <v>0</v>
      </c>
      <c r="AS37" s="311">
        <f t="shared" si="2"/>
        <v>0</v>
      </c>
      <c r="AT37" s="311">
        <f t="shared" si="2"/>
        <v>0</v>
      </c>
      <c r="AU37" s="311">
        <f t="shared" si="2"/>
        <v>0</v>
      </c>
      <c r="AV37" s="311">
        <f t="shared" si="2"/>
        <v>0</v>
      </c>
      <c r="AW37" s="311">
        <f t="shared" si="2"/>
        <v>0</v>
      </c>
      <c r="AX37" s="311">
        <f t="shared" si="2"/>
        <v>0</v>
      </c>
      <c r="AY37" s="311">
        <f t="shared" si="2"/>
        <v>0</v>
      </c>
      <c r="AZ37" s="311">
        <f t="shared" si="2"/>
        <v>0</v>
      </c>
      <c r="BA37" s="311">
        <f t="shared" si="2"/>
        <v>0</v>
      </c>
      <c r="BB37" s="311">
        <f t="shared" si="2"/>
        <v>0</v>
      </c>
      <c r="BC37" s="28"/>
      <c r="BF37" s="981" t="s">
        <v>1252</v>
      </c>
      <c r="BG37" s="981"/>
      <c r="BH37" s="981"/>
      <c r="BI37" s="984"/>
      <c r="BJ37" s="984"/>
    </row>
    <row r="38" spans="1:62" ht="17.25" hidden="1" customHeight="1">
      <c r="E38" s="676">
        <v>0</v>
      </c>
      <c r="F38" s="779" cm="1">
        <f t="array" aca="1" ref="F38" ca="1">OFFSET(G38,-1,-1)</f>
        <v>0</v>
      </c>
      <c r="T38" s="687" t="b" cm="1">
        <f t="array" ref="T38">T37</f>
        <v>0</v>
      </c>
      <c r="X38" s="1726"/>
      <c r="Z38" s="1726"/>
      <c r="AB38" s="258"/>
      <c r="AC38" s="236"/>
      <c r="AD38" s="105"/>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105"/>
      <c r="BF38" s="981" t="str">
        <f>IF(AND(ISNUMBER(VALUE(TRIM(SUBSTITUTE(AB38,".","")))),TRIM(SUBSTITUTE(AB38,".",""))&lt;&gt;""),"P"&amp;SUBSTITUTE(AB38,".",""),"")</f>
        <v/>
      </c>
    </row>
    <row r="39" spans="1:62" s="170" customFormat="1" ht="16.7" hidden="1" customHeight="1">
      <c r="E39" s="676">
        <v>17.100000000000001</v>
      </c>
      <c r="F39" s="779" cm="1">
        <f t="array" aca="1" ref="F39" ca="1">OFFSET(G39,-1,-1)</f>
        <v>0</v>
      </c>
      <c r="H39" s="163" cm="1">
        <f t="array" ref="H39">AC39</f>
        <v>0</v>
      </c>
      <c r="T39" s="687" t="b">
        <f ca="1">AND(OFFSET(U39,1,-1),Y39&gt;0)</f>
        <v>0</v>
      </c>
      <c r="W39" s="126" t="s">
        <v>236</v>
      </c>
      <c r="X39" s="1724"/>
      <c r="Y39" s="126">
        <v>0</v>
      </c>
      <c r="Z39" s="1724"/>
      <c r="AA39" s="11" t="s">
        <v>218</v>
      </c>
      <c r="AB39" s="105" t="str">
        <f>"1.9."&amp;Y39</f>
        <v>1.9.0</v>
      </c>
      <c r="AC39" s="64"/>
      <c r="AD39" s="105" t="s">
        <v>839</v>
      </c>
      <c r="AE39" s="29"/>
      <c r="AF39" s="62"/>
      <c r="AG39" s="62"/>
      <c r="AH39" s="62"/>
      <c r="AI39" s="247"/>
      <c r="AJ39" s="247"/>
      <c r="AK39" s="247"/>
      <c r="AL39" s="247"/>
      <c r="AM39" s="247"/>
      <c r="AN39" s="62"/>
      <c r="AO39" s="62"/>
      <c r="AP39" s="62"/>
      <c r="AQ39" s="62"/>
      <c r="AR39" s="62"/>
      <c r="AS39" s="247"/>
      <c r="AT39" s="247"/>
      <c r="AU39" s="247"/>
      <c r="AV39" s="247"/>
      <c r="AW39" s="247"/>
      <c r="AX39" s="62"/>
      <c r="AY39" s="62"/>
      <c r="AZ39" s="62"/>
      <c r="BA39" s="62"/>
      <c r="BB39" s="62"/>
      <c r="BC39" s="28"/>
      <c r="BF39" s="981" t="s">
        <v>1326</v>
      </c>
      <c r="BG39" s="981" t="s">
        <v>1327</v>
      </c>
      <c r="BH39" s="1028" cm="1">
        <f t="array" ref="BH39">AC39</f>
        <v>0</v>
      </c>
      <c r="BI39" s="984"/>
      <c r="BJ39" s="984" t="b">
        <v>1</v>
      </c>
    </row>
    <row r="40" spans="1:62" s="170" customFormat="1" ht="11.1" hidden="1" customHeight="1">
      <c r="E40" s="676">
        <v>11.4</v>
      </c>
      <c r="F40" s="779" cm="1">
        <f t="array" aca="1" ref="F40" ca="1">OFFSET(G40,-1,-1)</f>
        <v>0</v>
      </c>
      <c r="T40" s="687" t="b" cm="1">
        <f t="array" ref="T40">T37</f>
        <v>0</v>
      </c>
      <c r="W40" s="318" t="s">
        <v>1005</v>
      </c>
      <c r="X40" s="1724"/>
      <c r="Z40" s="1724"/>
      <c r="AB40" s="427"/>
      <c r="AC40" s="250" t="s">
        <v>238</v>
      </c>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1"/>
      <c r="BF40" s="981"/>
      <c r="BG40" s="981"/>
      <c r="BH40" s="981"/>
      <c r="BI40" s="984" t="s">
        <v>1327</v>
      </c>
      <c r="BJ40" s="984"/>
    </row>
    <row r="41" spans="1:62" s="1340" customFormat="1" ht="10.5" customHeight="1">
      <c r="A41" s="170"/>
      <c r="B41" s="170"/>
      <c r="C41" s="170"/>
      <c r="D41" s="170"/>
      <c r="E41" s="676">
        <v>11.4</v>
      </c>
      <c r="F41" s="779" t="str" cm="1">
        <f t="array" ref="F41">X41</f>
        <v>1</v>
      </c>
      <c r="G41" s="170"/>
      <c r="H41" s="170"/>
      <c r="I41" s="170"/>
      <c r="J41" s="170"/>
      <c r="K41" s="170"/>
      <c r="L41" s="170"/>
      <c r="M41" s="170"/>
      <c r="N41" s="170"/>
      <c r="O41" s="170"/>
      <c r="P41" s="170"/>
      <c r="Q41" s="170"/>
      <c r="R41" s="170"/>
      <c r="S41" s="170"/>
      <c r="T41" s="698" t="b">
        <f>X41&gt;0</f>
        <v>1</v>
      </c>
      <c r="U41" s="170"/>
      <c r="V41" s="126" t="str" cm="1">
        <f t="array" ref="V41">ФОТ!$AB$52</f>
        <v>Тариф 1 (Теплоснабжение) - Тариф на тепловую энергию (мощность), поставляемую потребителям (Не определено)</v>
      </c>
      <c r="W41" s="170"/>
      <c r="X41" s="1726" t="s">
        <v>341</v>
      </c>
      <c r="Y41" s="170"/>
      <c r="Z41" s="1724"/>
      <c r="AA41" s="170"/>
      <c r="AB41" s="237" t="str" cm="1">
        <f t="array" ref="AB41">IF(ISBLANK(ФОТ!$AB$52),"",ФОТ!$AB$52)</f>
        <v>Тариф 1 (Теплоснабжение) - Тариф на тепловую энергию (мощность), поставляемую потребителям (Не определено)</v>
      </c>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170"/>
      <c r="BE41" s="170"/>
      <c r="BF41" s="981"/>
      <c r="BG41" s="981"/>
      <c r="BH41" s="981"/>
      <c r="BI41" s="984"/>
      <c r="BJ41" s="984"/>
    </row>
    <row r="42" spans="1:62" s="1341" customFormat="1" ht="29.25" customHeight="1">
      <c r="A42" s="170"/>
      <c r="B42" s="170"/>
      <c r="C42" s="170"/>
      <c r="D42" s="170"/>
      <c r="E42" s="676">
        <v>30</v>
      </c>
      <c r="F42" s="779" t="str" cm="1">
        <f t="array" aca="1" ref="F42" ca="1">OFFSET(G42,-1,-1)</f>
        <v>1</v>
      </c>
      <c r="G42" s="170"/>
      <c r="H42" s="170"/>
      <c r="I42" s="170"/>
      <c r="J42" s="170"/>
      <c r="K42" s="170"/>
      <c r="L42" s="170"/>
      <c r="M42" s="170"/>
      <c r="N42" s="170"/>
      <c r="O42" s="170"/>
      <c r="P42" s="170"/>
      <c r="Q42" s="170"/>
      <c r="R42" s="170"/>
      <c r="S42" s="170"/>
      <c r="T42" s="687" t="b" cm="1">
        <f t="array" ref="T42">T41</f>
        <v>1</v>
      </c>
      <c r="U42" s="170"/>
      <c r="V42" s="170"/>
      <c r="W42" s="170"/>
      <c r="X42" s="1724"/>
      <c r="Y42" s="170"/>
      <c r="Z42" s="1724"/>
      <c r="AA42" s="170"/>
      <c r="AB42" s="252">
        <v>1</v>
      </c>
      <c r="AC42" s="234" t="s">
        <v>1301</v>
      </c>
      <c r="AD42" s="227" t="s">
        <v>839</v>
      </c>
      <c r="AE42" s="245">
        <f t="shared" ref="AE42:BB42" si="3">SUM(AE43:AE51)</f>
        <v>0</v>
      </c>
      <c r="AF42" s="245">
        <f t="shared" si="3"/>
        <v>0</v>
      </c>
      <c r="AG42" s="245">
        <f t="shared" si="3"/>
        <v>0</v>
      </c>
      <c r="AH42" s="245">
        <f t="shared" si="3"/>
        <v>4109.4399999999996</v>
      </c>
      <c r="AI42" s="245">
        <f t="shared" si="3"/>
        <v>0</v>
      </c>
      <c r="AJ42" s="245">
        <f t="shared" si="3"/>
        <v>0</v>
      </c>
      <c r="AK42" s="245">
        <f t="shared" si="3"/>
        <v>0</v>
      </c>
      <c r="AL42" s="245">
        <f t="shared" si="3"/>
        <v>0</v>
      </c>
      <c r="AM42" s="245">
        <f t="shared" si="3"/>
        <v>0</v>
      </c>
      <c r="AN42" s="245">
        <f t="shared" si="3"/>
        <v>0</v>
      </c>
      <c r="AO42" s="245">
        <f t="shared" si="3"/>
        <v>0</v>
      </c>
      <c r="AP42" s="245">
        <f t="shared" si="3"/>
        <v>0</v>
      </c>
      <c r="AQ42" s="245">
        <f t="shared" si="3"/>
        <v>0</v>
      </c>
      <c r="AR42" s="245">
        <f t="shared" si="3"/>
        <v>0</v>
      </c>
      <c r="AS42" s="245">
        <f t="shared" si="3"/>
        <v>7187.0429999999997</v>
      </c>
      <c r="AT42" s="245">
        <f t="shared" si="3"/>
        <v>0</v>
      </c>
      <c r="AU42" s="245">
        <f t="shared" si="3"/>
        <v>0</v>
      </c>
      <c r="AV42" s="245">
        <f t="shared" si="3"/>
        <v>0</v>
      </c>
      <c r="AW42" s="245">
        <f t="shared" si="3"/>
        <v>0</v>
      </c>
      <c r="AX42" s="245">
        <f t="shared" si="3"/>
        <v>0</v>
      </c>
      <c r="AY42" s="245">
        <f t="shared" si="3"/>
        <v>0</v>
      </c>
      <c r="AZ42" s="245">
        <f t="shared" si="3"/>
        <v>0</v>
      </c>
      <c r="BA42" s="245">
        <f t="shared" si="3"/>
        <v>0</v>
      </c>
      <c r="BB42" s="245">
        <f t="shared" si="3"/>
        <v>0</v>
      </c>
      <c r="BC42" s="1290"/>
      <c r="BD42" s="170"/>
      <c r="BE42" s="170"/>
      <c r="BF42" s="981" t="s">
        <v>1302</v>
      </c>
      <c r="BG42" s="981"/>
      <c r="BH42" s="981"/>
      <c r="BI42" s="984"/>
      <c r="BJ42" s="984"/>
    </row>
    <row r="43" spans="1:62" s="1342" customFormat="1" ht="58.5" customHeight="1">
      <c r="A43" s="170"/>
      <c r="B43" s="170"/>
      <c r="C43" s="170"/>
      <c r="D43" s="170"/>
      <c r="E43" s="676">
        <v>60</v>
      </c>
      <c r="F43" s="779" t="str" cm="1">
        <f t="array" aca="1" ref="F43" ca="1">OFFSET(G43,-1,-1)</f>
        <v>1</v>
      </c>
      <c r="G43" s="620" t="s">
        <v>1303</v>
      </c>
      <c r="H43" s="170"/>
      <c r="I43" s="170"/>
      <c r="J43" s="170"/>
      <c r="K43" s="170"/>
      <c r="L43" s="170"/>
      <c r="M43" s="170"/>
      <c r="N43" s="170"/>
      <c r="O43" s="170"/>
      <c r="P43" s="170"/>
      <c r="Q43" s="170"/>
      <c r="R43" s="170"/>
      <c r="S43" s="170"/>
      <c r="T43" s="687" t="b" cm="1">
        <f t="array" ref="T43">T42</f>
        <v>1</v>
      </c>
      <c r="U43" s="170"/>
      <c r="V43" s="170"/>
      <c r="W43" s="170"/>
      <c r="X43" s="1724"/>
      <c r="Y43" s="170"/>
      <c r="Z43" s="1724"/>
      <c r="AA43" s="170"/>
      <c r="AB43" s="235" t="s">
        <v>484</v>
      </c>
      <c r="AC43" s="428" t="s">
        <v>1304</v>
      </c>
      <c r="AD43" s="105" t="s">
        <v>839</v>
      </c>
      <c r="AE43" s="1291"/>
      <c r="AF43" s="1339"/>
      <c r="AG43" s="1339"/>
      <c r="AH43" s="1339">
        <v>33.47</v>
      </c>
      <c r="AI43" s="247"/>
      <c r="AJ43" s="247"/>
      <c r="AK43" s="247"/>
      <c r="AL43" s="247"/>
      <c r="AM43" s="247"/>
      <c r="AN43" s="1339"/>
      <c r="AO43" s="1339"/>
      <c r="AP43" s="1339"/>
      <c r="AQ43" s="1339"/>
      <c r="AR43" s="1339"/>
      <c r="AS43" s="247">
        <v>51.668999999999997</v>
      </c>
      <c r="AT43" s="247"/>
      <c r="AU43" s="247"/>
      <c r="AV43" s="247"/>
      <c r="AW43" s="247"/>
      <c r="AX43" s="1339"/>
      <c r="AY43" s="1339"/>
      <c r="AZ43" s="1339"/>
      <c r="BA43" s="1339"/>
      <c r="BB43" s="1339"/>
      <c r="BC43" s="1290"/>
      <c r="BD43" s="170"/>
      <c r="BE43" s="170"/>
      <c r="BF43" s="981" t="s">
        <v>1305</v>
      </c>
      <c r="BG43" s="981"/>
      <c r="BH43" s="981"/>
      <c r="BI43" s="984"/>
      <c r="BJ43" s="984"/>
    </row>
    <row r="44" spans="1:62" s="1343" customFormat="1" ht="16.5" customHeight="1">
      <c r="A44" s="170"/>
      <c r="B44" s="170"/>
      <c r="C44" s="170"/>
      <c r="D44" s="170"/>
      <c r="E44" s="676">
        <v>17.100000000000001</v>
      </c>
      <c r="F44" s="779" t="str" cm="1">
        <f t="array" aca="1" ref="F44" ca="1">OFFSET(G44,-1,-1)</f>
        <v>1</v>
      </c>
      <c r="G44" s="620" t="s">
        <v>1306</v>
      </c>
      <c r="H44" s="163" t="s">
        <v>1307</v>
      </c>
      <c r="I44" s="170"/>
      <c r="J44" s="170"/>
      <c r="K44" s="170"/>
      <c r="L44" s="170"/>
      <c r="M44" s="170"/>
      <c r="N44" s="170"/>
      <c r="O44" s="170"/>
      <c r="P44" s="170"/>
      <c r="Q44" s="170"/>
      <c r="R44" s="170"/>
      <c r="S44" s="170"/>
      <c r="T44" s="687" t="b" cm="1">
        <f t="array" ref="T44">T43</f>
        <v>1</v>
      </c>
      <c r="U44" s="170"/>
      <c r="V44" s="170"/>
      <c r="W44" s="170"/>
      <c r="X44" s="1724"/>
      <c r="Y44" s="170"/>
      <c r="Z44" s="1724"/>
      <c r="AA44" s="170"/>
      <c r="AB44" s="235" t="s">
        <v>989</v>
      </c>
      <c r="AC44" s="428" t="s">
        <v>1308</v>
      </c>
      <c r="AD44" s="105" t="s">
        <v>839</v>
      </c>
      <c r="AE44" s="1291"/>
      <c r="AF44" s="1339"/>
      <c r="AG44" s="1339"/>
      <c r="AH44" s="1339">
        <v>4</v>
      </c>
      <c r="AI44" s="247"/>
      <c r="AJ44" s="247"/>
      <c r="AK44" s="247"/>
      <c r="AL44" s="247"/>
      <c r="AM44" s="247"/>
      <c r="AN44" s="1339"/>
      <c r="AO44" s="1339"/>
      <c r="AP44" s="1339"/>
      <c r="AQ44" s="1339"/>
      <c r="AR44" s="1339"/>
      <c r="AS44" s="247">
        <v>4.5</v>
      </c>
      <c r="AT44" s="247"/>
      <c r="AU44" s="247"/>
      <c r="AV44" s="247"/>
      <c r="AW44" s="247"/>
      <c r="AX44" s="1339"/>
      <c r="AY44" s="1339"/>
      <c r="AZ44" s="1339"/>
      <c r="BA44" s="1339"/>
      <c r="BB44" s="1339"/>
      <c r="BC44" s="1290"/>
      <c r="BD44" s="170"/>
      <c r="BE44" s="170"/>
      <c r="BF44" s="981" t="s">
        <v>1309</v>
      </c>
      <c r="BG44" s="981"/>
      <c r="BH44" s="981"/>
      <c r="BI44" s="984"/>
      <c r="BJ44" s="984"/>
    </row>
    <row r="45" spans="1:62" s="1344" customFormat="1" ht="16.5" customHeight="1">
      <c r="A45" s="170"/>
      <c r="B45" s="170"/>
      <c r="C45" s="170"/>
      <c r="D45" s="170"/>
      <c r="E45" s="676">
        <v>17.100000000000001</v>
      </c>
      <c r="F45" s="779" t="str" cm="1">
        <f t="array" aca="1" ref="F45" ca="1">OFFSET(G45,-1,-1)</f>
        <v>1</v>
      </c>
      <c r="G45" s="620" t="s">
        <v>1310</v>
      </c>
      <c r="H45" s="170"/>
      <c r="I45" s="170"/>
      <c r="J45" s="170"/>
      <c r="K45" s="170"/>
      <c r="L45" s="170"/>
      <c r="M45" s="170"/>
      <c r="N45" s="170"/>
      <c r="O45" s="170"/>
      <c r="P45" s="170"/>
      <c r="Q45" s="170"/>
      <c r="R45" s="170"/>
      <c r="S45" s="170"/>
      <c r="T45" s="687" t="b" cm="1">
        <f t="array" ref="T45">T44</f>
        <v>1</v>
      </c>
      <c r="U45" s="170"/>
      <c r="V45" s="170"/>
      <c r="W45" s="170"/>
      <c r="X45" s="1724"/>
      <c r="Y45" s="170"/>
      <c r="Z45" s="1724"/>
      <c r="AA45" s="170"/>
      <c r="AB45" s="235" t="s">
        <v>991</v>
      </c>
      <c r="AC45" s="428" t="s">
        <v>1311</v>
      </c>
      <c r="AD45" s="105" t="s">
        <v>839</v>
      </c>
      <c r="AE45" s="1291"/>
      <c r="AF45" s="1339"/>
      <c r="AG45" s="1339"/>
      <c r="AH45" s="1339">
        <v>4.99</v>
      </c>
      <c r="AI45" s="247"/>
      <c r="AJ45" s="247"/>
      <c r="AK45" s="247"/>
      <c r="AL45" s="247"/>
      <c r="AM45" s="247"/>
      <c r="AN45" s="1339"/>
      <c r="AO45" s="1339"/>
      <c r="AP45" s="1339"/>
      <c r="AQ45" s="1339"/>
      <c r="AR45" s="1339"/>
      <c r="AS45" s="247">
        <v>4.95</v>
      </c>
      <c r="AT45" s="247"/>
      <c r="AU45" s="247"/>
      <c r="AV45" s="247"/>
      <c r="AW45" s="247"/>
      <c r="AX45" s="1339"/>
      <c r="AY45" s="1339"/>
      <c r="AZ45" s="1339"/>
      <c r="BA45" s="1339"/>
      <c r="BB45" s="1339"/>
      <c r="BC45" s="1290"/>
      <c r="BD45" s="170"/>
      <c r="BE45" s="170"/>
      <c r="BF45" s="981" t="s">
        <v>1312</v>
      </c>
      <c r="BG45" s="981"/>
      <c r="BH45" s="981"/>
      <c r="BI45" s="984"/>
      <c r="BJ45" s="984"/>
    </row>
    <row r="46" spans="1:62" s="1229" customFormat="1" ht="16.5" customHeight="1">
      <c r="A46" s="1153"/>
      <c r="B46" s="783"/>
      <c r="C46" s="1153"/>
      <c r="D46" s="1153"/>
      <c r="E46" s="676">
        <v>17.100000000000001</v>
      </c>
      <c r="F46" s="779" t="str" cm="1">
        <f t="array" aca="1" ref="F46" ca="1">OFFSET(G46,-1,-1)</f>
        <v>1</v>
      </c>
      <c r="G46" s="620" t="s">
        <v>1306</v>
      </c>
      <c r="H46" s="163" t="s">
        <v>1306</v>
      </c>
      <c r="I46" s="425"/>
      <c r="J46" s="425"/>
      <c r="K46" s="425"/>
      <c r="L46" s="425"/>
      <c r="M46" s="425"/>
      <c r="N46" s="425"/>
      <c r="O46" s="425"/>
      <c r="P46" s="425"/>
      <c r="Q46" s="784"/>
      <c r="R46" s="784"/>
      <c r="S46" s="425"/>
      <c r="T46" s="687" t="b" cm="1">
        <f t="array" ref="T46">T45</f>
        <v>1</v>
      </c>
      <c r="U46" s="1153"/>
      <c r="V46" s="1153"/>
      <c r="W46" s="1153"/>
      <c r="X46" s="1726"/>
      <c r="Y46" s="1153"/>
      <c r="Z46" s="1726"/>
      <c r="AA46" s="170"/>
      <c r="AB46" s="235" t="s">
        <v>995</v>
      </c>
      <c r="AC46" s="428" t="s">
        <v>1313</v>
      </c>
      <c r="AD46" s="105" t="s">
        <v>839</v>
      </c>
      <c r="AE46" s="1345"/>
      <c r="AF46" s="1345"/>
      <c r="AG46" s="1345"/>
      <c r="AH46" s="1345"/>
      <c r="AI46" s="248"/>
      <c r="AJ46" s="248"/>
      <c r="AK46" s="248"/>
      <c r="AL46" s="248"/>
      <c r="AM46" s="248"/>
      <c r="AN46" s="1345"/>
      <c r="AO46" s="1345"/>
      <c r="AP46" s="1345"/>
      <c r="AQ46" s="1345"/>
      <c r="AR46" s="1345"/>
      <c r="AS46" s="248"/>
      <c r="AT46" s="248"/>
      <c r="AU46" s="248"/>
      <c r="AV46" s="248"/>
      <c r="AW46" s="248"/>
      <c r="AX46" s="1345"/>
      <c r="AY46" s="1345"/>
      <c r="AZ46" s="1345"/>
      <c r="BA46" s="1345"/>
      <c r="BB46" s="1345"/>
      <c r="BC46" s="1290"/>
      <c r="BD46" s="170"/>
      <c r="BE46" s="170"/>
      <c r="BF46" s="981" t="s">
        <v>610</v>
      </c>
      <c r="BG46" s="1015"/>
      <c r="BH46" s="1015"/>
      <c r="BI46" s="1026"/>
      <c r="BJ46" s="1026"/>
    </row>
    <row r="47" spans="1:62" s="1346" customFormat="1" ht="16.5" customHeight="1">
      <c r="A47" s="170"/>
      <c r="B47" s="170"/>
      <c r="C47" s="170"/>
      <c r="D47" s="170"/>
      <c r="E47" s="676">
        <v>17.100000000000001</v>
      </c>
      <c r="F47" s="779" t="str" cm="1">
        <f t="array" aca="1" ref="F47" ca="1">OFFSET(G47,-1,-1)</f>
        <v>1</v>
      </c>
      <c r="G47" s="620" t="s">
        <v>1306</v>
      </c>
      <c r="H47" s="163" t="s">
        <v>1314</v>
      </c>
      <c r="I47" s="170"/>
      <c r="J47" s="170"/>
      <c r="K47" s="170"/>
      <c r="L47" s="170"/>
      <c r="M47" s="170"/>
      <c r="N47" s="170"/>
      <c r="O47" s="170"/>
      <c r="P47" s="170"/>
      <c r="Q47" s="170"/>
      <c r="R47" s="170"/>
      <c r="S47" s="170"/>
      <c r="T47" s="687" t="b" cm="1">
        <f t="array" ref="T47">T46</f>
        <v>1</v>
      </c>
      <c r="U47" s="170"/>
      <c r="V47" s="170"/>
      <c r="W47" s="170"/>
      <c r="X47" s="1724"/>
      <c r="Y47" s="170"/>
      <c r="Z47" s="1724"/>
      <c r="AA47" s="170"/>
      <c r="AB47" s="235" t="s">
        <v>1100</v>
      </c>
      <c r="AC47" s="428" t="s">
        <v>1315</v>
      </c>
      <c r="AD47" s="105" t="s">
        <v>839</v>
      </c>
      <c r="AE47" s="1291"/>
      <c r="AF47" s="1291"/>
      <c r="AG47" s="1291"/>
      <c r="AH47" s="1291">
        <v>4057</v>
      </c>
      <c r="AI47" s="246"/>
      <c r="AJ47" s="246"/>
      <c r="AK47" s="246"/>
      <c r="AL47" s="246"/>
      <c r="AM47" s="246"/>
      <c r="AN47" s="1291"/>
      <c r="AO47" s="1291"/>
      <c r="AP47" s="1291"/>
      <c r="AQ47" s="1291"/>
      <c r="AR47" s="1291"/>
      <c r="AS47" s="246">
        <v>7122.64</v>
      </c>
      <c r="AT47" s="246"/>
      <c r="AU47" s="246"/>
      <c r="AV47" s="246"/>
      <c r="AW47" s="246"/>
      <c r="AX47" s="1291"/>
      <c r="AY47" s="1291"/>
      <c r="AZ47" s="1291"/>
      <c r="BA47" s="1291"/>
      <c r="BB47" s="1291"/>
      <c r="BC47" s="1290"/>
      <c r="BD47" s="170"/>
      <c r="BE47" s="170"/>
      <c r="BF47" s="981" t="s">
        <v>606</v>
      </c>
      <c r="BG47" s="981"/>
      <c r="BH47" s="981"/>
      <c r="BI47" s="984"/>
      <c r="BJ47" s="984"/>
    </row>
    <row r="48" spans="1:62" s="1347" customFormat="1" ht="16.5" customHeight="1">
      <c r="A48" s="170"/>
      <c r="B48" s="170"/>
      <c r="C48" s="170"/>
      <c r="D48" s="170"/>
      <c r="E48" s="676">
        <v>17.100000000000001</v>
      </c>
      <c r="F48" s="779" t="str" cm="1">
        <f t="array" aca="1" ref="F48" ca="1">OFFSET(G48,-1,-1)</f>
        <v>1</v>
      </c>
      <c r="G48" s="620" t="s">
        <v>1306</v>
      </c>
      <c r="H48" s="163" t="s">
        <v>1316</v>
      </c>
      <c r="I48" s="170"/>
      <c r="J48" s="170"/>
      <c r="K48" s="170"/>
      <c r="L48" s="170"/>
      <c r="M48" s="170"/>
      <c r="N48" s="170"/>
      <c r="O48" s="170"/>
      <c r="P48" s="170"/>
      <c r="Q48" s="170"/>
      <c r="R48" s="170"/>
      <c r="S48" s="170"/>
      <c r="T48" s="687" t="b" cm="1">
        <f t="array" ref="T48">T47</f>
        <v>1</v>
      </c>
      <c r="U48" s="170"/>
      <c r="V48" s="170"/>
      <c r="W48" s="170"/>
      <c r="X48" s="1724"/>
      <c r="Y48" s="170"/>
      <c r="Z48" s="1724"/>
      <c r="AA48" s="170"/>
      <c r="AB48" s="235" t="s">
        <v>1103</v>
      </c>
      <c r="AC48" s="428" t="s">
        <v>1317</v>
      </c>
      <c r="AD48" s="105" t="s">
        <v>839</v>
      </c>
      <c r="AE48" s="1291"/>
      <c r="AF48" s="1291"/>
      <c r="AG48" s="1291"/>
      <c r="AH48" s="1291">
        <v>9.98</v>
      </c>
      <c r="AI48" s="246"/>
      <c r="AJ48" s="246"/>
      <c r="AK48" s="246"/>
      <c r="AL48" s="246"/>
      <c r="AM48" s="246"/>
      <c r="AN48" s="1291"/>
      <c r="AO48" s="1291"/>
      <c r="AP48" s="1291"/>
      <c r="AQ48" s="1291"/>
      <c r="AR48" s="1291"/>
      <c r="AS48" s="246">
        <v>3.2839999999999998</v>
      </c>
      <c r="AT48" s="246"/>
      <c r="AU48" s="246"/>
      <c r="AV48" s="246"/>
      <c r="AW48" s="246"/>
      <c r="AX48" s="1291"/>
      <c r="AY48" s="1291"/>
      <c r="AZ48" s="1291"/>
      <c r="BA48" s="1291"/>
      <c r="BB48" s="1291"/>
      <c r="BC48" s="1290"/>
      <c r="BD48" s="170"/>
      <c r="BE48" s="170"/>
      <c r="BF48" s="981" t="s">
        <v>1318</v>
      </c>
      <c r="BG48" s="981"/>
      <c r="BH48" s="981"/>
      <c r="BI48" s="984"/>
      <c r="BJ48" s="984"/>
    </row>
    <row r="49" spans="1:62" s="1348" customFormat="1" ht="16.5" customHeight="1">
      <c r="A49" s="170"/>
      <c r="B49" s="170"/>
      <c r="C49" s="170"/>
      <c r="D49" s="170"/>
      <c r="E49" s="676">
        <v>17.100000000000001</v>
      </c>
      <c r="F49" s="779" t="str" cm="1">
        <f t="array" aca="1" ref="F49" ca="1">OFFSET(G49,-1,-1)</f>
        <v>1</v>
      </c>
      <c r="G49" s="620" t="s">
        <v>1319</v>
      </c>
      <c r="H49" s="170"/>
      <c r="I49" s="170"/>
      <c r="J49" s="170"/>
      <c r="K49" s="170"/>
      <c r="L49" s="170"/>
      <c r="M49" s="170"/>
      <c r="N49" s="170"/>
      <c r="O49" s="170"/>
      <c r="P49" s="170"/>
      <c r="Q49" s="170"/>
      <c r="R49" s="170"/>
      <c r="S49" s="170"/>
      <c r="T49" s="687" t="b" cm="1">
        <f t="array" ref="T49">T48</f>
        <v>1</v>
      </c>
      <c r="U49" s="170"/>
      <c r="V49" s="170"/>
      <c r="W49" s="170"/>
      <c r="X49" s="1724"/>
      <c r="Y49" s="170"/>
      <c r="Z49" s="1724"/>
      <c r="AA49" s="170"/>
      <c r="AB49" s="235" t="s">
        <v>1106</v>
      </c>
      <c r="AC49" s="428" t="s">
        <v>1320</v>
      </c>
      <c r="AD49" s="105" t="s">
        <v>839</v>
      </c>
      <c r="AE49" s="1291"/>
      <c r="AF49" s="1291"/>
      <c r="AG49" s="1291"/>
      <c r="AH49" s="1291"/>
      <c r="AI49" s="246"/>
      <c r="AJ49" s="246"/>
      <c r="AK49" s="246"/>
      <c r="AL49" s="246"/>
      <c r="AM49" s="246"/>
      <c r="AN49" s="1291"/>
      <c r="AO49" s="1291"/>
      <c r="AP49" s="1291"/>
      <c r="AQ49" s="1291"/>
      <c r="AR49" s="1291"/>
      <c r="AS49" s="246"/>
      <c r="AT49" s="246"/>
      <c r="AU49" s="246"/>
      <c r="AV49" s="246"/>
      <c r="AW49" s="246"/>
      <c r="AX49" s="1291"/>
      <c r="AY49" s="1291"/>
      <c r="AZ49" s="1291"/>
      <c r="BA49" s="1291"/>
      <c r="BB49" s="1291"/>
      <c r="BC49" s="1290"/>
      <c r="BD49" s="170"/>
      <c r="BE49" s="170"/>
      <c r="BF49" s="981" t="s">
        <v>614</v>
      </c>
      <c r="BG49" s="981"/>
      <c r="BH49" s="981"/>
      <c r="BI49" s="984"/>
      <c r="BJ49" s="984"/>
    </row>
    <row r="50" spans="1:62" s="1349" customFormat="1" ht="16.5" customHeight="1">
      <c r="A50" s="170"/>
      <c r="B50" s="170"/>
      <c r="C50" s="170"/>
      <c r="D50" s="170"/>
      <c r="E50" s="676">
        <v>17.100000000000001</v>
      </c>
      <c r="F50" s="779" t="str" cm="1">
        <f t="array" aca="1" ref="F50" ca="1">OFFSET(G50,-1,-1)</f>
        <v>1</v>
      </c>
      <c r="G50" s="620" t="s">
        <v>1306</v>
      </c>
      <c r="H50" s="163" t="s">
        <v>1321</v>
      </c>
      <c r="I50" s="170"/>
      <c r="J50" s="170"/>
      <c r="K50" s="170"/>
      <c r="L50" s="170"/>
      <c r="M50" s="170"/>
      <c r="N50" s="170"/>
      <c r="O50" s="170"/>
      <c r="P50" s="170"/>
      <c r="Q50" s="170"/>
      <c r="R50" s="170"/>
      <c r="S50" s="170"/>
      <c r="T50" s="687" t="b" cm="1">
        <f t="array" ref="T50">T49</f>
        <v>1</v>
      </c>
      <c r="U50" s="170"/>
      <c r="V50" s="170"/>
      <c r="W50" s="170"/>
      <c r="X50" s="1724"/>
      <c r="Y50" s="170"/>
      <c r="Z50" s="1724"/>
      <c r="AA50" s="170"/>
      <c r="AB50" s="235" t="s">
        <v>1109</v>
      </c>
      <c r="AC50" s="428" t="s">
        <v>1322</v>
      </c>
      <c r="AD50" s="105" t="s">
        <v>839</v>
      </c>
      <c r="AE50" s="1291"/>
      <c r="AF50" s="1291"/>
      <c r="AG50" s="1291"/>
      <c r="AH50" s="1291"/>
      <c r="AI50" s="246"/>
      <c r="AJ50" s="246"/>
      <c r="AK50" s="246"/>
      <c r="AL50" s="246"/>
      <c r="AM50" s="246"/>
      <c r="AN50" s="1291"/>
      <c r="AO50" s="1291"/>
      <c r="AP50" s="1291"/>
      <c r="AQ50" s="1291"/>
      <c r="AR50" s="1291"/>
      <c r="AS50" s="246"/>
      <c r="AT50" s="246"/>
      <c r="AU50" s="246"/>
      <c r="AV50" s="246"/>
      <c r="AW50" s="246"/>
      <c r="AX50" s="1291"/>
      <c r="AY50" s="1291"/>
      <c r="AZ50" s="1291"/>
      <c r="BA50" s="1291"/>
      <c r="BB50" s="1291"/>
      <c r="BC50" s="1290"/>
      <c r="BD50" s="170"/>
      <c r="BE50" s="170"/>
      <c r="BF50" s="981" t="s">
        <v>1323</v>
      </c>
      <c r="BG50" s="981"/>
      <c r="BH50" s="981"/>
      <c r="BI50" s="984"/>
      <c r="BJ50" s="984"/>
    </row>
    <row r="51" spans="1:62" s="1350" customFormat="1" ht="16.5" customHeight="1">
      <c r="A51" s="170"/>
      <c r="B51" s="170"/>
      <c r="C51" s="170"/>
      <c r="D51" s="170"/>
      <c r="E51" s="676">
        <v>17.100000000000001</v>
      </c>
      <c r="F51" s="779" t="str" cm="1">
        <f t="array" aca="1" ref="F51" ca="1">OFFSET(G51,-1,-1)</f>
        <v>1</v>
      </c>
      <c r="G51" s="620" t="s">
        <v>1306</v>
      </c>
      <c r="H51" s="163" t="s">
        <v>1306</v>
      </c>
      <c r="I51" s="170"/>
      <c r="J51" s="170"/>
      <c r="K51" s="170"/>
      <c r="L51" s="170"/>
      <c r="M51" s="170"/>
      <c r="N51" s="170"/>
      <c r="O51" s="170"/>
      <c r="P51" s="170"/>
      <c r="Q51" s="170"/>
      <c r="R51" s="170"/>
      <c r="S51" s="170"/>
      <c r="T51" s="687" t="b" cm="1">
        <f t="array" ref="T51">T50</f>
        <v>1</v>
      </c>
      <c r="U51" s="170"/>
      <c r="V51" s="170"/>
      <c r="W51" s="170"/>
      <c r="X51" s="1724"/>
      <c r="Y51" s="170"/>
      <c r="Z51" s="1724"/>
      <c r="AA51" s="170"/>
      <c r="AB51" s="235" t="s">
        <v>1324</v>
      </c>
      <c r="AC51" s="428" t="s">
        <v>1325</v>
      </c>
      <c r="AD51" s="105" t="s">
        <v>839</v>
      </c>
      <c r="AE51" s="311">
        <f t="shared" ref="AE51:BB51" si="4">SUM(AE52:AE54)</f>
        <v>0</v>
      </c>
      <c r="AF51" s="311">
        <f t="shared" si="4"/>
        <v>0</v>
      </c>
      <c r="AG51" s="311">
        <f t="shared" si="4"/>
        <v>0</v>
      </c>
      <c r="AH51" s="311">
        <f t="shared" si="4"/>
        <v>0</v>
      </c>
      <c r="AI51" s="311">
        <f t="shared" si="4"/>
        <v>0</v>
      </c>
      <c r="AJ51" s="311">
        <f t="shared" si="4"/>
        <v>0</v>
      </c>
      <c r="AK51" s="311">
        <f t="shared" si="4"/>
        <v>0</v>
      </c>
      <c r="AL51" s="311">
        <f t="shared" si="4"/>
        <v>0</v>
      </c>
      <c r="AM51" s="311">
        <f t="shared" si="4"/>
        <v>0</v>
      </c>
      <c r="AN51" s="311">
        <f t="shared" si="4"/>
        <v>0</v>
      </c>
      <c r="AO51" s="311">
        <f t="shared" si="4"/>
        <v>0</v>
      </c>
      <c r="AP51" s="311">
        <f t="shared" si="4"/>
        <v>0</v>
      </c>
      <c r="AQ51" s="311">
        <f t="shared" si="4"/>
        <v>0</v>
      </c>
      <c r="AR51" s="311">
        <f t="shared" si="4"/>
        <v>0</v>
      </c>
      <c r="AS51" s="311">
        <f t="shared" si="4"/>
        <v>0</v>
      </c>
      <c r="AT51" s="311">
        <f t="shared" si="4"/>
        <v>0</v>
      </c>
      <c r="AU51" s="311">
        <f t="shared" si="4"/>
        <v>0</v>
      </c>
      <c r="AV51" s="311">
        <f t="shared" si="4"/>
        <v>0</v>
      </c>
      <c r="AW51" s="311">
        <f t="shared" si="4"/>
        <v>0</v>
      </c>
      <c r="AX51" s="311">
        <f t="shared" si="4"/>
        <v>0</v>
      </c>
      <c r="AY51" s="311">
        <f t="shared" si="4"/>
        <v>0</v>
      </c>
      <c r="AZ51" s="311">
        <f t="shared" si="4"/>
        <v>0</v>
      </c>
      <c r="BA51" s="311">
        <f t="shared" si="4"/>
        <v>0</v>
      </c>
      <c r="BB51" s="311">
        <f t="shared" si="4"/>
        <v>0</v>
      </c>
      <c r="BC51" s="1290"/>
      <c r="BD51" s="170"/>
      <c r="BE51" s="170"/>
      <c r="BF51" s="981" t="s">
        <v>1252</v>
      </c>
      <c r="BG51" s="981"/>
      <c r="BH51" s="981"/>
      <c r="BI51" s="984"/>
      <c r="BJ51" s="984"/>
    </row>
    <row r="52" spans="1:62" s="1229" customFormat="1" ht="17.25" hidden="1" customHeight="1">
      <c r="A52" s="1153"/>
      <c r="B52" s="783"/>
      <c r="C52" s="1153"/>
      <c r="D52" s="1153"/>
      <c r="E52" s="676">
        <v>0</v>
      </c>
      <c r="F52" s="779" t="str" cm="1">
        <f t="array" aca="1" ref="F52" ca="1">OFFSET(G52,-1,-1)</f>
        <v>1</v>
      </c>
      <c r="G52" s="425"/>
      <c r="H52" s="425"/>
      <c r="I52" s="425"/>
      <c r="J52" s="425"/>
      <c r="K52" s="425"/>
      <c r="L52" s="425"/>
      <c r="M52" s="425"/>
      <c r="N52" s="425"/>
      <c r="O52" s="425"/>
      <c r="P52" s="425"/>
      <c r="Q52" s="784"/>
      <c r="R52" s="784"/>
      <c r="S52" s="425"/>
      <c r="T52" s="687" t="b" cm="1">
        <f t="array" ref="T52">T51</f>
        <v>1</v>
      </c>
      <c r="U52" s="1153"/>
      <c r="V52" s="1153"/>
      <c r="W52" s="1153"/>
      <c r="X52" s="1726"/>
      <c r="Y52" s="1153"/>
      <c r="Z52" s="1726"/>
      <c r="AA52" s="170"/>
      <c r="AB52" s="258"/>
      <c r="AC52" s="236"/>
      <c r="AD52" s="105"/>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105"/>
      <c r="BD52" s="170"/>
      <c r="BE52" s="170"/>
      <c r="BF52" s="981" t="str">
        <f>IF(AND(ISNUMBER(VALUE(TRIM(SUBSTITUTE(AB52,".","")))),TRIM(SUBSTITUTE(AB52,".",""))&lt;&gt;""),"P"&amp;SUBSTITUTE(AB52,".",""),"")</f>
        <v/>
      </c>
      <c r="BG52" s="1015"/>
      <c r="BH52" s="1015"/>
      <c r="BI52" s="1026"/>
      <c r="BJ52" s="1026"/>
    </row>
    <row r="53" spans="1:62" s="1351" customFormat="1" ht="16.5" hidden="1" customHeight="1">
      <c r="A53" s="170"/>
      <c r="B53" s="170"/>
      <c r="C53" s="170"/>
      <c r="D53" s="170"/>
      <c r="E53" s="676">
        <v>17.100000000000001</v>
      </c>
      <c r="F53" s="779" t="str" cm="1">
        <f t="array" aca="1" ref="F53" ca="1">OFFSET(G53,-1,-1)</f>
        <v>1</v>
      </c>
      <c r="G53" s="170"/>
      <c r="H53" s="163" cm="1">
        <f t="array" ref="H53">AC53</f>
        <v>0</v>
      </c>
      <c r="I53" s="170"/>
      <c r="J53" s="170"/>
      <c r="K53" s="170"/>
      <c r="L53" s="170"/>
      <c r="M53" s="170"/>
      <c r="N53" s="170"/>
      <c r="O53" s="170"/>
      <c r="P53" s="170"/>
      <c r="Q53" s="170"/>
      <c r="R53" s="170"/>
      <c r="S53" s="170"/>
      <c r="T53" s="687" t="b">
        <f ca="1">AND(OFFSET(U53,1,-1),Y53&gt;0)</f>
        <v>0</v>
      </c>
      <c r="U53" s="170"/>
      <c r="V53" s="170"/>
      <c r="W53" s="126" t="s">
        <v>236</v>
      </c>
      <c r="X53" s="1724"/>
      <c r="Y53" s="126">
        <v>0</v>
      </c>
      <c r="Z53" s="1724"/>
      <c r="AA53" s="11" t="s">
        <v>218</v>
      </c>
      <c r="AB53" s="105" t="str">
        <f>"1.9."&amp;Y53</f>
        <v>1.9.0</v>
      </c>
      <c r="AC53" s="64"/>
      <c r="AD53" s="105" t="s">
        <v>839</v>
      </c>
      <c r="AE53" s="29"/>
      <c r="AF53" s="62"/>
      <c r="AG53" s="62"/>
      <c r="AH53" s="62"/>
      <c r="AI53" s="247"/>
      <c r="AJ53" s="247"/>
      <c r="AK53" s="247"/>
      <c r="AL53" s="247"/>
      <c r="AM53" s="247"/>
      <c r="AN53" s="62"/>
      <c r="AO53" s="62"/>
      <c r="AP53" s="62"/>
      <c r="AQ53" s="62"/>
      <c r="AR53" s="62"/>
      <c r="AS53" s="247"/>
      <c r="AT53" s="247"/>
      <c r="AU53" s="247"/>
      <c r="AV53" s="247"/>
      <c r="AW53" s="247"/>
      <c r="AX53" s="62"/>
      <c r="AY53" s="62"/>
      <c r="AZ53" s="62"/>
      <c r="BA53" s="62"/>
      <c r="BB53" s="62"/>
      <c r="BC53" s="28"/>
      <c r="BD53" s="170"/>
      <c r="BE53" s="170"/>
      <c r="BF53" s="981" t="s">
        <v>1326</v>
      </c>
      <c r="BG53" s="981" t="s">
        <v>1327</v>
      </c>
      <c r="BH53" s="1028" cm="1">
        <f t="array" ref="BH53">AC53</f>
        <v>0</v>
      </c>
      <c r="BI53" s="984"/>
      <c r="BJ53" s="984" t="b">
        <v>1</v>
      </c>
    </row>
    <row r="54" spans="1:62" s="1352" customFormat="1" ht="10.5" customHeight="1">
      <c r="A54" s="170"/>
      <c r="B54" s="170"/>
      <c r="C54" s="170"/>
      <c r="D54" s="170"/>
      <c r="E54" s="676">
        <v>11.4</v>
      </c>
      <c r="F54" s="779" t="str" cm="1">
        <f t="array" aca="1" ref="F54" ca="1">OFFSET(G54,-1,-1)</f>
        <v>1</v>
      </c>
      <c r="G54" s="170"/>
      <c r="H54" s="170"/>
      <c r="I54" s="170"/>
      <c r="J54" s="170"/>
      <c r="K54" s="170"/>
      <c r="L54" s="170"/>
      <c r="M54" s="170"/>
      <c r="N54" s="170"/>
      <c r="O54" s="170"/>
      <c r="P54" s="170"/>
      <c r="Q54" s="170"/>
      <c r="R54" s="170"/>
      <c r="S54" s="170"/>
      <c r="T54" s="687" t="b" cm="1">
        <f t="array" ref="T54">T51</f>
        <v>1</v>
      </c>
      <c r="U54" s="170"/>
      <c r="V54" s="170"/>
      <c r="W54" s="318" t="s">
        <v>1005</v>
      </c>
      <c r="X54" s="1724"/>
      <c r="Y54" s="170"/>
      <c r="Z54" s="1724"/>
      <c r="AA54" s="170"/>
      <c r="AB54" s="427"/>
      <c r="AC54" s="250" t="s">
        <v>238</v>
      </c>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1"/>
      <c r="BD54" s="170"/>
      <c r="BE54" s="170"/>
      <c r="BF54" s="981"/>
      <c r="BG54" s="981"/>
      <c r="BH54" s="981"/>
      <c r="BI54" s="984" t="s">
        <v>1327</v>
      </c>
      <c r="BJ54" s="984"/>
    </row>
    <row r="55" spans="1:62" s="1353" customFormat="1" ht="10.5" customHeight="1">
      <c r="A55" s="170"/>
      <c r="B55" s="170"/>
      <c r="C55" s="170"/>
      <c r="D55" s="170"/>
      <c r="E55" s="676">
        <v>11.4</v>
      </c>
      <c r="F55" s="779" t="str" cm="1">
        <f t="array" ref="F55">X55</f>
        <v>2</v>
      </c>
      <c r="G55" s="170"/>
      <c r="H55" s="170"/>
      <c r="I55" s="170"/>
      <c r="J55" s="170"/>
      <c r="K55" s="170"/>
      <c r="L55" s="170"/>
      <c r="M55" s="170"/>
      <c r="N55" s="170"/>
      <c r="O55" s="170"/>
      <c r="P55" s="170"/>
      <c r="Q55" s="170"/>
      <c r="R55" s="170"/>
      <c r="S55" s="170"/>
      <c r="T55" s="698" t="b">
        <f>X55&gt;0</f>
        <v>1</v>
      </c>
      <c r="U55" s="170"/>
      <c r="V55" s="126" t="str" cm="1">
        <f t="array" ref="V55">ФОТ!$AB$83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5" s="170"/>
      <c r="X55" s="1726" t="s">
        <v>348</v>
      </c>
      <c r="Y55" s="170"/>
      <c r="Z55" s="1724"/>
      <c r="AA55" s="170"/>
      <c r="AB55" s="237" t="str" cm="1">
        <f t="array" ref="AB55">IF(ISBLANK(ФОТ!$AB$83),"",ФОТ!$AB$83)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170"/>
      <c r="BE55" s="170"/>
      <c r="BF55" s="981"/>
      <c r="BG55" s="981"/>
      <c r="BH55" s="981"/>
      <c r="BI55" s="984"/>
      <c r="BJ55" s="984"/>
    </row>
    <row r="56" spans="1:62" s="1354" customFormat="1" ht="29.25" customHeight="1">
      <c r="A56" s="170"/>
      <c r="B56" s="170"/>
      <c r="C56" s="170"/>
      <c r="D56" s="170"/>
      <c r="E56" s="676">
        <v>30</v>
      </c>
      <c r="F56" s="779" t="str" cm="1">
        <f t="array" aca="1" ref="F56" ca="1">OFFSET(G56,-1,-1)</f>
        <v>2</v>
      </c>
      <c r="G56" s="170"/>
      <c r="H56" s="170"/>
      <c r="I56" s="170"/>
      <c r="J56" s="170"/>
      <c r="K56" s="170"/>
      <c r="L56" s="170"/>
      <c r="M56" s="170"/>
      <c r="N56" s="170"/>
      <c r="O56" s="170"/>
      <c r="P56" s="170"/>
      <c r="Q56" s="170"/>
      <c r="R56" s="170"/>
      <c r="S56" s="170"/>
      <c r="T56" s="687" t="b" cm="1">
        <f t="array" ref="T56">T55</f>
        <v>1</v>
      </c>
      <c r="U56" s="170"/>
      <c r="V56" s="170"/>
      <c r="W56" s="170"/>
      <c r="X56" s="1724"/>
      <c r="Y56" s="170"/>
      <c r="Z56" s="1724"/>
      <c r="AA56" s="170"/>
      <c r="AB56" s="252">
        <v>1</v>
      </c>
      <c r="AC56" s="234" t="s">
        <v>1301</v>
      </c>
      <c r="AD56" s="227" t="s">
        <v>839</v>
      </c>
      <c r="AE56" s="245">
        <f t="shared" ref="AE56:BB56" si="5">SUM(AE57:AE65)</f>
        <v>0</v>
      </c>
      <c r="AF56" s="245">
        <f t="shared" si="5"/>
        <v>0</v>
      </c>
      <c r="AG56" s="245">
        <f t="shared" si="5"/>
        <v>0</v>
      </c>
      <c r="AH56" s="245">
        <f t="shared" si="5"/>
        <v>3558.19</v>
      </c>
      <c r="AI56" s="245">
        <f t="shared" si="5"/>
        <v>0</v>
      </c>
      <c r="AJ56" s="245">
        <f t="shared" si="5"/>
        <v>0</v>
      </c>
      <c r="AK56" s="245">
        <f t="shared" si="5"/>
        <v>0</v>
      </c>
      <c r="AL56" s="245">
        <f t="shared" si="5"/>
        <v>0</v>
      </c>
      <c r="AM56" s="245">
        <f t="shared" si="5"/>
        <v>0</v>
      </c>
      <c r="AN56" s="245">
        <f t="shared" si="5"/>
        <v>0</v>
      </c>
      <c r="AO56" s="245">
        <f t="shared" si="5"/>
        <v>0</v>
      </c>
      <c r="AP56" s="245">
        <f t="shared" si="5"/>
        <v>0</v>
      </c>
      <c r="AQ56" s="245">
        <f t="shared" si="5"/>
        <v>0</v>
      </c>
      <c r="AR56" s="245">
        <f t="shared" si="5"/>
        <v>0</v>
      </c>
      <c r="AS56" s="245">
        <f t="shared" si="5"/>
        <v>4045.6600000000003</v>
      </c>
      <c r="AT56" s="245">
        <f t="shared" si="5"/>
        <v>0</v>
      </c>
      <c r="AU56" s="245">
        <f t="shared" si="5"/>
        <v>0</v>
      </c>
      <c r="AV56" s="245">
        <f t="shared" si="5"/>
        <v>0</v>
      </c>
      <c r="AW56" s="245">
        <f t="shared" si="5"/>
        <v>0</v>
      </c>
      <c r="AX56" s="245">
        <f t="shared" si="5"/>
        <v>0</v>
      </c>
      <c r="AY56" s="245">
        <f t="shared" si="5"/>
        <v>0</v>
      </c>
      <c r="AZ56" s="245">
        <f t="shared" si="5"/>
        <v>0</v>
      </c>
      <c r="BA56" s="245">
        <f t="shared" si="5"/>
        <v>0</v>
      </c>
      <c r="BB56" s="245">
        <f t="shared" si="5"/>
        <v>0</v>
      </c>
      <c r="BC56" s="1290"/>
      <c r="BD56" s="170"/>
      <c r="BE56" s="170"/>
      <c r="BF56" s="981" t="s">
        <v>1302</v>
      </c>
      <c r="BG56" s="981"/>
      <c r="BH56" s="981"/>
      <c r="BI56" s="984"/>
      <c r="BJ56" s="984"/>
    </row>
    <row r="57" spans="1:62" s="1355" customFormat="1" ht="58.5" customHeight="1">
      <c r="A57" s="170"/>
      <c r="B57" s="170"/>
      <c r="C57" s="170"/>
      <c r="D57" s="170"/>
      <c r="E57" s="676">
        <v>60</v>
      </c>
      <c r="F57" s="779" t="str" cm="1">
        <f t="array" aca="1" ref="F57" ca="1">OFFSET(G57,-1,-1)</f>
        <v>2</v>
      </c>
      <c r="G57" s="620" t="s">
        <v>1303</v>
      </c>
      <c r="H57" s="170"/>
      <c r="I57" s="170"/>
      <c r="J57" s="170"/>
      <c r="K57" s="170"/>
      <c r="L57" s="170"/>
      <c r="M57" s="170"/>
      <c r="N57" s="170"/>
      <c r="O57" s="170"/>
      <c r="P57" s="170"/>
      <c r="Q57" s="170"/>
      <c r="R57" s="170"/>
      <c r="S57" s="170"/>
      <c r="T57" s="687" t="b" cm="1">
        <f t="array" ref="T57">T56</f>
        <v>1</v>
      </c>
      <c r="U57" s="170"/>
      <c r="V57" s="170"/>
      <c r="W57" s="170"/>
      <c r="X57" s="1724"/>
      <c r="Y57" s="170"/>
      <c r="Z57" s="1724"/>
      <c r="AA57" s="170"/>
      <c r="AB57" s="235" t="s">
        <v>484</v>
      </c>
      <c r="AC57" s="428" t="s">
        <v>1304</v>
      </c>
      <c r="AD57" s="105" t="s">
        <v>839</v>
      </c>
      <c r="AE57" s="1291"/>
      <c r="AF57" s="1339"/>
      <c r="AG57" s="1339"/>
      <c r="AH57" s="1339">
        <v>26.42</v>
      </c>
      <c r="AI57" s="247"/>
      <c r="AJ57" s="247"/>
      <c r="AK57" s="247"/>
      <c r="AL57" s="247"/>
      <c r="AM57" s="247"/>
      <c r="AN57" s="1339"/>
      <c r="AO57" s="1339"/>
      <c r="AP57" s="1339"/>
      <c r="AQ57" s="1339"/>
      <c r="AR57" s="1339"/>
      <c r="AS57" s="247">
        <v>37.81</v>
      </c>
      <c r="AT57" s="247"/>
      <c r="AU57" s="247"/>
      <c r="AV57" s="247"/>
      <c r="AW57" s="247"/>
      <c r="AX57" s="1339"/>
      <c r="AY57" s="1339"/>
      <c r="AZ57" s="1339"/>
      <c r="BA57" s="1339"/>
      <c r="BB57" s="1339"/>
      <c r="BC57" s="1290"/>
      <c r="BD57" s="170"/>
      <c r="BE57" s="170"/>
      <c r="BF57" s="981" t="s">
        <v>1305</v>
      </c>
      <c r="BG57" s="981"/>
      <c r="BH57" s="981"/>
      <c r="BI57" s="984"/>
      <c r="BJ57" s="984"/>
    </row>
    <row r="58" spans="1:62" s="1356" customFormat="1" ht="16.5" customHeight="1">
      <c r="A58" s="170"/>
      <c r="B58" s="170"/>
      <c r="C58" s="170"/>
      <c r="D58" s="170"/>
      <c r="E58" s="676">
        <v>17.100000000000001</v>
      </c>
      <c r="F58" s="779" t="str" cm="1">
        <f t="array" aca="1" ref="F58" ca="1">OFFSET(G58,-1,-1)</f>
        <v>2</v>
      </c>
      <c r="G58" s="620" t="s">
        <v>1306</v>
      </c>
      <c r="H58" s="163" t="s">
        <v>1307</v>
      </c>
      <c r="I58" s="170"/>
      <c r="J58" s="170"/>
      <c r="K58" s="170"/>
      <c r="L58" s="170"/>
      <c r="M58" s="170"/>
      <c r="N58" s="170"/>
      <c r="O58" s="170"/>
      <c r="P58" s="170"/>
      <c r="Q58" s="170"/>
      <c r="R58" s="170"/>
      <c r="S58" s="170"/>
      <c r="T58" s="687" t="b" cm="1">
        <f t="array" ref="T58">T57</f>
        <v>1</v>
      </c>
      <c r="U58" s="170"/>
      <c r="V58" s="170"/>
      <c r="W58" s="170"/>
      <c r="X58" s="1724"/>
      <c r="Y58" s="170"/>
      <c r="Z58" s="1724"/>
      <c r="AA58" s="170"/>
      <c r="AB58" s="235" t="s">
        <v>989</v>
      </c>
      <c r="AC58" s="428" t="s">
        <v>1308</v>
      </c>
      <c r="AD58" s="105" t="s">
        <v>839</v>
      </c>
      <c r="AE58" s="1291"/>
      <c r="AF58" s="1339"/>
      <c r="AG58" s="1339"/>
      <c r="AH58" s="1339">
        <v>3.47</v>
      </c>
      <c r="AI58" s="247"/>
      <c r="AJ58" s="247"/>
      <c r="AK58" s="247"/>
      <c r="AL58" s="247"/>
      <c r="AM58" s="247"/>
      <c r="AN58" s="1339"/>
      <c r="AO58" s="1339"/>
      <c r="AP58" s="1339"/>
      <c r="AQ58" s="1339"/>
      <c r="AR58" s="1339"/>
      <c r="AS58" s="247">
        <v>3.6</v>
      </c>
      <c r="AT58" s="247"/>
      <c r="AU58" s="247"/>
      <c r="AV58" s="247"/>
      <c r="AW58" s="247"/>
      <c r="AX58" s="1339"/>
      <c r="AY58" s="1339"/>
      <c r="AZ58" s="1339"/>
      <c r="BA58" s="1339"/>
      <c r="BB58" s="1339"/>
      <c r="BC58" s="1290"/>
      <c r="BD58" s="170"/>
      <c r="BE58" s="170"/>
      <c r="BF58" s="981" t="s">
        <v>1309</v>
      </c>
      <c r="BG58" s="981"/>
      <c r="BH58" s="981"/>
      <c r="BI58" s="984"/>
      <c r="BJ58" s="984"/>
    </row>
    <row r="59" spans="1:62" s="1357" customFormat="1" ht="16.5" customHeight="1">
      <c r="A59" s="170"/>
      <c r="B59" s="170"/>
      <c r="C59" s="170"/>
      <c r="D59" s="170"/>
      <c r="E59" s="676">
        <v>17.100000000000001</v>
      </c>
      <c r="F59" s="779" t="str" cm="1">
        <f t="array" aca="1" ref="F59" ca="1">OFFSET(G59,-1,-1)</f>
        <v>2</v>
      </c>
      <c r="G59" s="620" t="s">
        <v>1310</v>
      </c>
      <c r="H59" s="170"/>
      <c r="I59" s="170"/>
      <c r="J59" s="170"/>
      <c r="K59" s="170"/>
      <c r="L59" s="170"/>
      <c r="M59" s="170"/>
      <c r="N59" s="170"/>
      <c r="O59" s="170"/>
      <c r="P59" s="170"/>
      <c r="Q59" s="170"/>
      <c r="R59" s="170"/>
      <c r="S59" s="170"/>
      <c r="T59" s="687" t="b" cm="1">
        <f t="array" ref="T59">T58</f>
        <v>1</v>
      </c>
      <c r="U59" s="170"/>
      <c r="V59" s="170"/>
      <c r="W59" s="170"/>
      <c r="X59" s="1724"/>
      <c r="Y59" s="170"/>
      <c r="Z59" s="1724"/>
      <c r="AA59" s="170"/>
      <c r="AB59" s="235" t="s">
        <v>991</v>
      </c>
      <c r="AC59" s="428" t="s">
        <v>1311</v>
      </c>
      <c r="AD59" s="105" t="s">
        <v>839</v>
      </c>
      <c r="AE59" s="1291"/>
      <c r="AF59" s="1339"/>
      <c r="AG59" s="1339"/>
      <c r="AH59" s="1339">
        <v>4.32</v>
      </c>
      <c r="AI59" s="247"/>
      <c r="AJ59" s="247"/>
      <c r="AK59" s="247"/>
      <c r="AL59" s="247"/>
      <c r="AM59" s="247"/>
      <c r="AN59" s="1339"/>
      <c r="AO59" s="1339"/>
      <c r="AP59" s="1339"/>
      <c r="AQ59" s="1339"/>
      <c r="AR59" s="1339"/>
      <c r="AS59" s="247">
        <v>4.05</v>
      </c>
      <c r="AT59" s="247"/>
      <c r="AU59" s="247"/>
      <c r="AV59" s="247"/>
      <c r="AW59" s="247"/>
      <c r="AX59" s="1339"/>
      <c r="AY59" s="1339"/>
      <c r="AZ59" s="1339"/>
      <c r="BA59" s="1339"/>
      <c r="BB59" s="1339"/>
      <c r="BC59" s="1290"/>
      <c r="BD59" s="170"/>
      <c r="BE59" s="170"/>
      <c r="BF59" s="981" t="s">
        <v>1312</v>
      </c>
      <c r="BG59" s="981"/>
      <c r="BH59" s="981"/>
      <c r="BI59" s="984"/>
      <c r="BJ59" s="984"/>
    </row>
    <row r="60" spans="1:62" s="1229" customFormat="1" ht="16.5" customHeight="1">
      <c r="A60" s="1153"/>
      <c r="B60" s="783"/>
      <c r="C60" s="1153"/>
      <c r="D60" s="1153"/>
      <c r="E60" s="676">
        <v>17.100000000000001</v>
      </c>
      <c r="F60" s="779" t="str" cm="1">
        <f t="array" aca="1" ref="F60" ca="1">OFFSET(G60,-1,-1)</f>
        <v>2</v>
      </c>
      <c r="G60" s="620" t="s">
        <v>1306</v>
      </c>
      <c r="H60" s="163" t="s">
        <v>1306</v>
      </c>
      <c r="I60" s="425"/>
      <c r="J60" s="425"/>
      <c r="K60" s="425"/>
      <c r="L60" s="425"/>
      <c r="M60" s="425"/>
      <c r="N60" s="425"/>
      <c r="O60" s="425"/>
      <c r="P60" s="425"/>
      <c r="Q60" s="784"/>
      <c r="R60" s="784"/>
      <c r="S60" s="425"/>
      <c r="T60" s="687" t="b" cm="1">
        <f t="array" ref="T60">T59</f>
        <v>1</v>
      </c>
      <c r="U60" s="1153"/>
      <c r="V60" s="1153"/>
      <c r="W60" s="1153"/>
      <c r="X60" s="1726"/>
      <c r="Y60" s="1153"/>
      <c r="Z60" s="1726"/>
      <c r="AA60" s="170"/>
      <c r="AB60" s="235" t="s">
        <v>995</v>
      </c>
      <c r="AC60" s="428" t="s">
        <v>1313</v>
      </c>
      <c r="AD60" s="105" t="s">
        <v>839</v>
      </c>
      <c r="AE60" s="1345"/>
      <c r="AF60" s="1345"/>
      <c r="AG60" s="1345"/>
      <c r="AH60" s="1345"/>
      <c r="AI60" s="248"/>
      <c r="AJ60" s="248"/>
      <c r="AK60" s="248"/>
      <c r="AL60" s="248"/>
      <c r="AM60" s="248"/>
      <c r="AN60" s="1345"/>
      <c r="AO60" s="1345"/>
      <c r="AP60" s="1345"/>
      <c r="AQ60" s="1345"/>
      <c r="AR60" s="1345"/>
      <c r="AS60" s="248"/>
      <c r="AT60" s="248"/>
      <c r="AU60" s="248"/>
      <c r="AV60" s="248"/>
      <c r="AW60" s="248"/>
      <c r="AX60" s="1345"/>
      <c r="AY60" s="1345"/>
      <c r="AZ60" s="1345"/>
      <c r="BA60" s="1345"/>
      <c r="BB60" s="1345"/>
      <c r="BC60" s="1290"/>
      <c r="BD60" s="170"/>
      <c r="BE60" s="170"/>
      <c r="BF60" s="981" t="s">
        <v>610</v>
      </c>
      <c r="BG60" s="1015"/>
      <c r="BH60" s="1015"/>
      <c r="BI60" s="1026"/>
      <c r="BJ60" s="1026"/>
    </row>
    <row r="61" spans="1:62" s="1358" customFormat="1" ht="16.5" customHeight="1">
      <c r="A61" s="170"/>
      <c r="B61" s="170"/>
      <c r="C61" s="170"/>
      <c r="D61" s="170"/>
      <c r="E61" s="676">
        <v>17.100000000000001</v>
      </c>
      <c r="F61" s="779" t="str" cm="1">
        <f t="array" aca="1" ref="F61" ca="1">OFFSET(G61,-1,-1)</f>
        <v>2</v>
      </c>
      <c r="G61" s="620" t="s">
        <v>1306</v>
      </c>
      <c r="H61" s="163" t="s">
        <v>1314</v>
      </c>
      <c r="I61" s="170"/>
      <c r="J61" s="170"/>
      <c r="K61" s="170"/>
      <c r="L61" s="170"/>
      <c r="M61" s="170"/>
      <c r="N61" s="170"/>
      <c r="O61" s="170"/>
      <c r="P61" s="170"/>
      <c r="Q61" s="170"/>
      <c r="R61" s="170"/>
      <c r="S61" s="170"/>
      <c r="T61" s="687" t="b" cm="1">
        <f t="array" ref="T61">T60</f>
        <v>1</v>
      </c>
      <c r="U61" s="170"/>
      <c r="V61" s="170"/>
      <c r="W61" s="170"/>
      <c r="X61" s="1724"/>
      <c r="Y61" s="170"/>
      <c r="Z61" s="1724"/>
      <c r="AA61" s="170"/>
      <c r="AB61" s="235" t="s">
        <v>1100</v>
      </c>
      <c r="AC61" s="428" t="s">
        <v>1315</v>
      </c>
      <c r="AD61" s="105" t="s">
        <v>839</v>
      </c>
      <c r="AE61" s="1291"/>
      <c r="AF61" s="1291"/>
      <c r="AG61" s="1291"/>
      <c r="AH61" s="1291">
        <v>3515.33</v>
      </c>
      <c r="AI61" s="246"/>
      <c r="AJ61" s="246"/>
      <c r="AK61" s="246"/>
      <c r="AL61" s="246"/>
      <c r="AM61" s="246"/>
      <c r="AN61" s="1291"/>
      <c r="AO61" s="1291"/>
      <c r="AP61" s="1291"/>
      <c r="AQ61" s="1291"/>
      <c r="AR61" s="1291"/>
      <c r="AS61" s="246">
        <v>3997.59</v>
      </c>
      <c r="AT61" s="246"/>
      <c r="AU61" s="246"/>
      <c r="AV61" s="246"/>
      <c r="AW61" s="246"/>
      <c r="AX61" s="1291"/>
      <c r="AY61" s="1291"/>
      <c r="AZ61" s="1291"/>
      <c r="BA61" s="1291"/>
      <c r="BB61" s="1291"/>
      <c r="BC61" s="1290"/>
      <c r="BD61" s="170"/>
      <c r="BE61" s="170"/>
      <c r="BF61" s="981" t="s">
        <v>606</v>
      </c>
      <c r="BG61" s="981"/>
      <c r="BH61" s="981"/>
      <c r="BI61" s="984"/>
      <c r="BJ61" s="984"/>
    </row>
    <row r="62" spans="1:62" s="1359" customFormat="1" ht="16.5" customHeight="1">
      <c r="A62" s="170"/>
      <c r="B62" s="170"/>
      <c r="C62" s="170"/>
      <c r="D62" s="170"/>
      <c r="E62" s="676">
        <v>17.100000000000001</v>
      </c>
      <c r="F62" s="779" t="str" cm="1">
        <f t="array" aca="1" ref="F62" ca="1">OFFSET(G62,-1,-1)</f>
        <v>2</v>
      </c>
      <c r="G62" s="620" t="s">
        <v>1306</v>
      </c>
      <c r="H62" s="163" t="s">
        <v>1316</v>
      </c>
      <c r="I62" s="170"/>
      <c r="J62" s="170"/>
      <c r="K62" s="170"/>
      <c r="L62" s="170"/>
      <c r="M62" s="170"/>
      <c r="N62" s="170"/>
      <c r="O62" s="170"/>
      <c r="P62" s="170"/>
      <c r="Q62" s="170"/>
      <c r="R62" s="170"/>
      <c r="S62" s="170"/>
      <c r="T62" s="687" t="b" cm="1">
        <f t="array" ref="T62">T61</f>
        <v>1</v>
      </c>
      <c r="U62" s="170"/>
      <c r="V62" s="170"/>
      <c r="W62" s="170"/>
      <c r="X62" s="1724"/>
      <c r="Y62" s="170"/>
      <c r="Z62" s="1724"/>
      <c r="AA62" s="170"/>
      <c r="AB62" s="235" t="s">
        <v>1103</v>
      </c>
      <c r="AC62" s="428" t="s">
        <v>1317</v>
      </c>
      <c r="AD62" s="105" t="s">
        <v>839</v>
      </c>
      <c r="AE62" s="1291"/>
      <c r="AF62" s="1291"/>
      <c r="AG62" s="1291"/>
      <c r="AH62" s="1291">
        <v>8.65</v>
      </c>
      <c r="AI62" s="246"/>
      <c r="AJ62" s="246"/>
      <c r="AK62" s="246"/>
      <c r="AL62" s="246"/>
      <c r="AM62" s="246"/>
      <c r="AN62" s="1291"/>
      <c r="AO62" s="1291"/>
      <c r="AP62" s="1291"/>
      <c r="AQ62" s="1291"/>
      <c r="AR62" s="1291"/>
      <c r="AS62" s="246">
        <v>2.61</v>
      </c>
      <c r="AT62" s="246"/>
      <c r="AU62" s="246"/>
      <c r="AV62" s="246"/>
      <c r="AW62" s="246"/>
      <c r="AX62" s="1291"/>
      <c r="AY62" s="1291"/>
      <c r="AZ62" s="1291"/>
      <c r="BA62" s="1291"/>
      <c r="BB62" s="1291"/>
      <c r="BC62" s="1290"/>
      <c r="BD62" s="170"/>
      <c r="BE62" s="170"/>
      <c r="BF62" s="981" t="s">
        <v>1318</v>
      </c>
      <c r="BG62" s="981"/>
      <c r="BH62" s="981"/>
      <c r="BI62" s="984"/>
      <c r="BJ62" s="984"/>
    </row>
    <row r="63" spans="1:62" s="1360" customFormat="1" ht="16.5" customHeight="1">
      <c r="A63" s="170"/>
      <c r="B63" s="170"/>
      <c r="C63" s="170"/>
      <c r="D63" s="170"/>
      <c r="E63" s="676">
        <v>17.100000000000001</v>
      </c>
      <c r="F63" s="779" t="str" cm="1">
        <f t="array" aca="1" ref="F63" ca="1">OFFSET(G63,-1,-1)</f>
        <v>2</v>
      </c>
      <c r="G63" s="620" t="s">
        <v>1319</v>
      </c>
      <c r="H63" s="170"/>
      <c r="I63" s="170"/>
      <c r="J63" s="170"/>
      <c r="K63" s="170"/>
      <c r="L63" s="170"/>
      <c r="M63" s="170"/>
      <c r="N63" s="170"/>
      <c r="O63" s="170"/>
      <c r="P63" s="170"/>
      <c r="Q63" s="170"/>
      <c r="R63" s="170"/>
      <c r="S63" s="170"/>
      <c r="T63" s="687" t="b" cm="1">
        <f t="array" ref="T63">T62</f>
        <v>1</v>
      </c>
      <c r="U63" s="170"/>
      <c r="V63" s="170"/>
      <c r="W63" s="170"/>
      <c r="X63" s="1724"/>
      <c r="Y63" s="170"/>
      <c r="Z63" s="1724"/>
      <c r="AA63" s="170"/>
      <c r="AB63" s="235" t="s">
        <v>1106</v>
      </c>
      <c r="AC63" s="428" t="s">
        <v>1320</v>
      </c>
      <c r="AD63" s="105" t="s">
        <v>839</v>
      </c>
      <c r="AE63" s="1291"/>
      <c r="AF63" s="1291"/>
      <c r="AG63" s="1291"/>
      <c r="AH63" s="1291"/>
      <c r="AI63" s="246"/>
      <c r="AJ63" s="246"/>
      <c r="AK63" s="246"/>
      <c r="AL63" s="246"/>
      <c r="AM63" s="246"/>
      <c r="AN63" s="1291"/>
      <c r="AO63" s="1291"/>
      <c r="AP63" s="1291"/>
      <c r="AQ63" s="1291"/>
      <c r="AR63" s="1291"/>
      <c r="AS63" s="246"/>
      <c r="AT63" s="246"/>
      <c r="AU63" s="246"/>
      <c r="AV63" s="246"/>
      <c r="AW63" s="246"/>
      <c r="AX63" s="1291"/>
      <c r="AY63" s="1291"/>
      <c r="AZ63" s="1291"/>
      <c r="BA63" s="1291"/>
      <c r="BB63" s="1291"/>
      <c r="BC63" s="1290"/>
      <c r="BD63" s="170"/>
      <c r="BE63" s="170"/>
      <c r="BF63" s="981" t="s">
        <v>614</v>
      </c>
      <c r="BG63" s="981"/>
      <c r="BH63" s="981"/>
      <c r="BI63" s="984"/>
      <c r="BJ63" s="984"/>
    </row>
    <row r="64" spans="1:62" s="1361" customFormat="1" ht="16.5" customHeight="1">
      <c r="A64" s="170"/>
      <c r="B64" s="170"/>
      <c r="C64" s="170"/>
      <c r="D64" s="170"/>
      <c r="E64" s="676">
        <v>17.100000000000001</v>
      </c>
      <c r="F64" s="779" t="str" cm="1">
        <f t="array" aca="1" ref="F64" ca="1">OFFSET(G64,-1,-1)</f>
        <v>2</v>
      </c>
      <c r="G64" s="620" t="s">
        <v>1306</v>
      </c>
      <c r="H64" s="163" t="s">
        <v>1321</v>
      </c>
      <c r="I64" s="170"/>
      <c r="J64" s="170"/>
      <c r="K64" s="170"/>
      <c r="L64" s="170"/>
      <c r="M64" s="170"/>
      <c r="N64" s="170"/>
      <c r="O64" s="170"/>
      <c r="P64" s="170"/>
      <c r="Q64" s="170"/>
      <c r="R64" s="170"/>
      <c r="S64" s="170"/>
      <c r="T64" s="687" t="b" cm="1">
        <f t="array" ref="T64">T63</f>
        <v>1</v>
      </c>
      <c r="U64" s="170"/>
      <c r="V64" s="170"/>
      <c r="W64" s="170"/>
      <c r="X64" s="1724"/>
      <c r="Y64" s="170"/>
      <c r="Z64" s="1724"/>
      <c r="AA64" s="170"/>
      <c r="AB64" s="235" t="s">
        <v>1109</v>
      </c>
      <c r="AC64" s="428" t="s">
        <v>1322</v>
      </c>
      <c r="AD64" s="105" t="s">
        <v>839</v>
      </c>
      <c r="AE64" s="1291"/>
      <c r="AF64" s="1291"/>
      <c r="AG64" s="1291"/>
      <c r="AH64" s="1291"/>
      <c r="AI64" s="246"/>
      <c r="AJ64" s="246"/>
      <c r="AK64" s="246"/>
      <c r="AL64" s="246"/>
      <c r="AM64" s="246"/>
      <c r="AN64" s="1291"/>
      <c r="AO64" s="1291"/>
      <c r="AP64" s="1291"/>
      <c r="AQ64" s="1291"/>
      <c r="AR64" s="1291"/>
      <c r="AS64" s="246"/>
      <c r="AT64" s="246"/>
      <c r="AU64" s="246"/>
      <c r="AV64" s="246"/>
      <c r="AW64" s="246"/>
      <c r="AX64" s="1291"/>
      <c r="AY64" s="1291"/>
      <c r="AZ64" s="1291"/>
      <c r="BA64" s="1291"/>
      <c r="BB64" s="1291"/>
      <c r="BC64" s="1290"/>
      <c r="BD64" s="170"/>
      <c r="BE64" s="170"/>
      <c r="BF64" s="981" t="s">
        <v>1323</v>
      </c>
      <c r="BG64" s="981"/>
      <c r="BH64" s="981"/>
      <c r="BI64" s="984"/>
      <c r="BJ64" s="984"/>
    </row>
    <row r="65" spans="1:62" s="1362" customFormat="1" ht="16.5" customHeight="1">
      <c r="A65" s="170"/>
      <c r="B65" s="170"/>
      <c r="C65" s="170"/>
      <c r="D65" s="170"/>
      <c r="E65" s="676">
        <v>17.100000000000001</v>
      </c>
      <c r="F65" s="779" t="str" cm="1">
        <f t="array" aca="1" ref="F65" ca="1">OFFSET(G65,-1,-1)</f>
        <v>2</v>
      </c>
      <c r="G65" s="620" t="s">
        <v>1306</v>
      </c>
      <c r="H65" s="163" t="s">
        <v>1306</v>
      </c>
      <c r="I65" s="170"/>
      <c r="J65" s="170"/>
      <c r="K65" s="170"/>
      <c r="L65" s="170"/>
      <c r="M65" s="170"/>
      <c r="N65" s="170"/>
      <c r="O65" s="170"/>
      <c r="P65" s="170"/>
      <c r="Q65" s="170"/>
      <c r="R65" s="170"/>
      <c r="S65" s="170"/>
      <c r="T65" s="687" t="b" cm="1">
        <f t="array" ref="T65">T64</f>
        <v>1</v>
      </c>
      <c r="U65" s="170"/>
      <c r="V65" s="170"/>
      <c r="W65" s="170"/>
      <c r="X65" s="1724"/>
      <c r="Y65" s="170"/>
      <c r="Z65" s="1724"/>
      <c r="AA65" s="170"/>
      <c r="AB65" s="235" t="s">
        <v>1324</v>
      </c>
      <c r="AC65" s="428" t="s">
        <v>1325</v>
      </c>
      <c r="AD65" s="105" t="s">
        <v>839</v>
      </c>
      <c r="AE65" s="311">
        <f t="shared" ref="AE65:BB65" si="6">SUM(AE66:AE68)</f>
        <v>0</v>
      </c>
      <c r="AF65" s="311">
        <f t="shared" si="6"/>
        <v>0</v>
      </c>
      <c r="AG65" s="311">
        <f t="shared" si="6"/>
        <v>0</v>
      </c>
      <c r="AH65" s="311">
        <f t="shared" si="6"/>
        <v>0</v>
      </c>
      <c r="AI65" s="311">
        <f t="shared" si="6"/>
        <v>0</v>
      </c>
      <c r="AJ65" s="311">
        <f t="shared" si="6"/>
        <v>0</v>
      </c>
      <c r="AK65" s="311">
        <f t="shared" si="6"/>
        <v>0</v>
      </c>
      <c r="AL65" s="311">
        <f t="shared" si="6"/>
        <v>0</v>
      </c>
      <c r="AM65" s="311">
        <f t="shared" si="6"/>
        <v>0</v>
      </c>
      <c r="AN65" s="311">
        <f t="shared" si="6"/>
        <v>0</v>
      </c>
      <c r="AO65" s="311">
        <f t="shared" si="6"/>
        <v>0</v>
      </c>
      <c r="AP65" s="311">
        <f t="shared" si="6"/>
        <v>0</v>
      </c>
      <c r="AQ65" s="311">
        <f t="shared" si="6"/>
        <v>0</v>
      </c>
      <c r="AR65" s="311">
        <f t="shared" si="6"/>
        <v>0</v>
      </c>
      <c r="AS65" s="311">
        <f t="shared" si="6"/>
        <v>0</v>
      </c>
      <c r="AT65" s="311">
        <f t="shared" si="6"/>
        <v>0</v>
      </c>
      <c r="AU65" s="311">
        <f t="shared" si="6"/>
        <v>0</v>
      </c>
      <c r="AV65" s="311">
        <f t="shared" si="6"/>
        <v>0</v>
      </c>
      <c r="AW65" s="311">
        <f t="shared" si="6"/>
        <v>0</v>
      </c>
      <c r="AX65" s="311">
        <f t="shared" si="6"/>
        <v>0</v>
      </c>
      <c r="AY65" s="311">
        <f t="shared" si="6"/>
        <v>0</v>
      </c>
      <c r="AZ65" s="311">
        <f t="shared" si="6"/>
        <v>0</v>
      </c>
      <c r="BA65" s="311">
        <f t="shared" si="6"/>
        <v>0</v>
      </c>
      <c r="BB65" s="311">
        <f t="shared" si="6"/>
        <v>0</v>
      </c>
      <c r="BC65" s="1290"/>
      <c r="BD65" s="170"/>
      <c r="BE65" s="170"/>
      <c r="BF65" s="981" t="s">
        <v>1252</v>
      </c>
      <c r="BG65" s="981"/>
      <c r="BH65" s="981"/>
      <c r="BI65" s="984"/>
      <c r="BJ65" s="984"/>
    </row>
    <row r="66" spans="1:62" s="1229" customFormat="1" ht="17.25" hidden="1" customHeight="1">
      <c r="A66" s="1153"/>
      <c r="B66" s="783"/>
      <c r="C66" s="1153"/>
      <c r="D66" s="1153"/>
      <c r="E66" s="676">
        <v>0</v>
      </c>
      <c r="F66" s="779" t="str" cm="1">
        <f t="array" aca="1" ref="F66" ca="1">OFFSET(G66,-1,-1)</f>
        <v>2</v>
      </c>
      <c r="G66" s="425"/>
      <c r="H66" s="425"/>
      <c r="I66" s="425"/>
      <c r="J66" s="425"/>
      <c r="K66" s="425"/>
      <c r="L66" s="425"/>
      <c r="M66" s="425"/>
      <c r="N66" s="425"/>
      <c r="O66" s="425"/>
      <c r="P66" s="425"/>
      <c r="Q66" s="784"/>
      <c r="R66" s="784"/>
      <c r="S66" s="425"/>
      <c r="T66" s="687" t="b" cm="1">
        <f t="array" ref="T66">T65</f>
        <v>1</v>
      </c>
      <c r="U66" s="1153"/>
      <c r="V66" s="1153"/>
      <c r="W66" s="1153"/>
      <c r="X66" s="1726"/>
      <c r="Y66" s="1153"/>
      <c r="Z66" s="1726"/>
      <c r="AA66" s="170"/>
      <c r="AB66" s="258"/>
      <c r="AC66" s="236"/>
      <c r="AD66" s="105"/>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105"/>
      <c r="BD66" s="170"/>
      <c r="BE66" s="170"/>
      <c r="BF66" s="981" t="str">
        <f>IF(AND(ISNUMBER(VALUE(TRIM(SUBSTITUTE(AB66,".","")))),TRIM(SUBSTITUTE(AB66,".",""))&lt;&gt;""),"P"&amp;SUBSTITUTE(AB66,".",""),"")</f>
        <v/>
      </c>
      <c r="BG66" s="1015"/>
      <c r="BH66" s="1015"/>
      <c r="BI66" s="1026"/>
      <c r="BJ66" s="1026"/>
    </row>
    <row r="67" spans="1:62" s="1363" customFormat="1" ht="16.5" hidden="1" customHeight="1">
      <c r="A67" s="170"/>
      <c r="B67" s="170"/>
      <c r="C67" s="170"/>
      <c r="D67" s="170"/>
      <c r="E67" s="676">
        <v>17.100000000000001</v>
      </c>
      <c r="F67" s="779" t="str" cm="1">
        <f t="array" aca="1" ref="F67" ca="1">OFFSET(G67,-1,-1)</f>
        <v>2</v>
      </c>
      <c r="G67" s="170"/>
      <c r="H67" s="163" cm="1">
        <f t="array" ref="H67">AC67</f>
        <v>0</v>
      </c>
      <c r="I67" s="170"/>
      <c r="J67" s="170"/>
      <c r="K67" s="170"/>
      <c r="L67" s="170"/>
      <c r="M67" s="170"/>
      <c r="N67" s="170"/>
      <c r="O67" s="170"/>
      <c r="P67" s="170"/>
      <c r="Q67" s="170"/>
      <c r="R67" s="170"/>
      <c r="S67" s="170"/>
      <c r="T67" s="687" t="b">
        <f ca="1">AND(OFFSET(U67,1,-1),Y67&gt;0)</f>
        <v>0</v>
      </c>
      <c r="U67" s="170"/>
      <c r="V67" s="170"/>
      <c r="W67" s="126" t="s">
        <v>236</v>
      </c>
      <c r="X67" s="1724"/>
      <c r="Y67" s="126">
        <v>0</v>
      </c>
      <c r="Z67" s="1724"/>
      <c r="AA67" s="11" t="s">
        <v>218</v>
      </c>
      <c r="AB67" s="105" t="str">
        <f>"1.9."&amp;Y67</f>
        <v>1.9.0</v>
      </c>
      <c r="AC67" s="64"/>
      <c r="AD67" s="105" t="s">
        <v>839</v>
      </c>
      <c r="AE67" s="29"/>
      <c r="AF67" s="62"/>
      <c r="AG67" s="62"/>
      <c r="AH67" s="62"/>
      <c r="AI67" s="247"/>
      <c r="AJ67" s="247"/>
      <c r="AK67" s="247"/>
      <c r="AL67" s="247"/>
      <c r="AM67" s="247"/>
      <c r="AN67" s="62"/>
      <c r="AO67" s="62"/>
      <c r="AP67" s="62"/>
      <c r="AQ67" s="62"/>
      <c r="AR67" s="62"/>
      <c r="AS67" s="247"/>
      <c r="AT67" s="247"/>
      <c r="AU67" s="247"/>
      <c r="AV67" s="247"/>
      <c r="AW67" s="247"/>
      <c r="AX67" s="62"/>
      <c r="AY67" s="62"/>
      <c r="AZ67" s="62"/>
      <c r="BA67" s="62"/>
      <c r="BB67" s="62"/>
      <c r="BC67" s="28"/>
      <c r="BD67" s="170"/>
      <c r="BE67" s="170"/>
      <c r="BF67" s="981" t="s">
        <v>1326</v>
      </c>
      <c r="BG67" s="981" t="s">
        <v>1327</v>
      </c>
      <c r="BH67" s="1028" cm="1">
        <f t="array" ref="BH67">AC67</f>
        <v>0</v>
      </c>
      <c r="BI67" s="984"/>
      <c r="BJ67" s="984" t="b">
        <v>1</v>
      </c>
    </row>
    <row r="68" spans="1:62" s="1364" customFormat="1" ht="10.5" customHeight="1">
      <c r="A68" s="170"/>
      <c r="B68" s="170"/>
      <c r="C68" s="170"/>
      <c r="D68" s="170"/>
      <c r="E68" s="676">
        <v>11.4</v>
      </c>
      <c r="F68" s="779" t="str" cm="1">
        <f t="array" aca="1" ref="F68" ca="1">OFFSET(G68,-1,-1)</f>
        <v>2</v>
      </c>
      <c r="G68" s="170"/>
      <c r="H68" s="170"/>
      <c r="I68" s="170"/>
      <c r="J68" s="170"/>
      <c r="K68" s="170"/>
      <c r="L68" s="170"/>
      <c r="M68" s="170"/>
      <c r="N68" s="170"/>
      <c r="O68" s="170"/>
      <c r="P68" s="170"/>
      <c r="Q68" s="170"/>
      <c r="R68" s="170"/>
      <c r="S68" s="170"/>
      <c r="T68" s="687" t="b" cm="1">
        <f t="array" ref="T68">T65</f>
        <v>1</v>
      </c>
      <c r="U68" s="170"/>
      <c r="V68" s="170"/>
      <c r="W68" s="318" t="s">
        <v>1005</v>
      </c>
      <c r="X68" s="1724"/>
      <c r="Y68" s="170"/>
      <c r="Z68" s="1724"/>
      <c r="AA68" s="170"/>
      <c r="AB68" s="427"/>
      <c r="AC68" s="250" t="s">
        <v>238</v>
      </c>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1"/>
      <c r="BD68" s="170"/>
      <c r="BE68" s="170"/>
      <c r="BF68" s="981"/>
      <c r="BG68" s="981"/>
      <c r="BH68" s="981"/>
      <c r="BI68" s="984" t="s">
        <v>1327</v>
      </c>
      <c r="BJ68" s="984"/>
    </row>
    <row r="69" spans="1:62" ht="11.1" customHeight="1">
      <c r="E69" s="782">
        <v>11.4</v>
      </c>
      <c r="U69" s="129" t="s">
        <v>238</v>
      </c>
      <c r="V69" s="122" t="s">
        <v>1328</v>
      </c>
      <c r="AB69" s="170"/>
    </row>
    <row r="70" spans="1:62" ht="11.25" hidden="1" customHeight="1">
      <c r="E70" s="782">
        <v>0</v>
      </c>
    </row>
    <row r="71" spans="1:62" s="425" customFormat="1" ht="14.65" customHeight="1">
      <c r="A71" s="126"/>
      <c r="B71" s="667"/>
      <c r="C71" s="126"/>
      <c r="D71" s="126"/>
      <c r="E71" s="676">
        <v>15</v>
      </c>
      <c r="F71" s="126"/>
      <c r="Q71" s="620"/>
      <c r="R71" s="620"/>
      <c r="T71" s="126"/>
      <c r="U71" s="126"/>
      <c r="V71" s="126"/>
      <c r="W71" s="126"/>
      <c r="X71" s="126"/>
      <c r="Y71" s="126"/>
      <c r="Z71" s="126"/>
      <c r="AB71" s="1802" t="s">
        <v>734</v>
      </c>
      <c r="AC71" s="1802"/>
      <c r="AD71" s="1802"/>
      <c r="AE71" s="1802"/>
      <c r="AF71" s="1802"/>
      <c r="AG71" s="1802"/>
      <c r="AH71" s="1802"/>
      <c r="AI71" s="1803"/>
      <c r="AJ71" s="1803"/>
      <c r="AK71" s="1803"/>
      <c r="AL71" s="1803"/>
      <c r="AM71" s="1803"/>
      <c r="AN71" s="1803"/>
      <c r="AO71" s="1803"/>
      <c r="AP71" s="1803"/>
      <c r="AQ71" s="1803"/>
      <c r="AR71" s="1803"/>
      <c r="AS71" s="1803"/>
      <c r="AT71" s="1803"/>
      <c r="AU71" s="1803"/>
      <c r="AV71" s="1803"/>
      <c r="AW71" s="1803"/>
      <c r="AX71" s="1803"/>
      <c r="AY71" s="1803"/>
      <c r="AZ71" s="1803"/>
      <c r="BA71" s="1803"/>
      <c r="BB71" s="1803"/>
      <c r="BC71" s="1803"/>
      <c r="BF71" s="981"/>
      <c r="BG71" s="981"/>
      <c r="BH71" s="981"/>
      <c r="BI71" s="984"/>
      <c r="BJ71" s="984"/>
    </row>
    <row r="72" spans="1:62" s="425" customFormat="1" ht="14.65" customHeight="1">
      <c r="A72" s="126"/>
      <c r="B72" s="667"/>
      <c r="C72" s="126"/>
      <c r="D72" s="126"/>
      <c r="E72" s="676">
        <v>15</v>
      </c>
      <c r="F72" s="126"/>
      <c r="Q72" s="620"/>
      <c r="R72" s="620"/>
      <c r="T72" s="126"/>
      <c r="U72" s="126"/>
      <c r="V72" s="126"/>
      <c r="W72" s="126"/>
      <c r="X72" s="126"/>
      <c r="Y72" s="126"/>
      <c r="Z72" s="126"/>
      <c r="AA72" s="778"/>
      <c r="AB72" s="1804"/>
      <c r="AC72" s="1804"/>
      <c r="AD72" s="1804"/>
      <c r="AE72" s="1804"/>
      <c r="AF72" s="1804"/>
      <c r="AG72" s="1804"/>
      <c r="AH72" s="1804"/>
      <c r="AI72" s="1796"/>
      <c r="AJ72" s="1796"/>
      <c r="AK72" s="1796"/>
      <c r="AL72" s="1796"/>
      <c r="AM72" s="1796"/>
      <c r="AN72" s="1797"/>
      <c r="AO72" s="1797"/>
      <c r="AP72" s="1797"/>
      <c r="AQ72" s="1797"/>
      <c r="AR72" s="1797"/>
      <c r="AS72" s="1796"/>
      <c r="AT72" s="1796"/>
      <c r="AU72" s="1796"/>
      <c r="AV72" s="1796"/>
      <c r="AW72" s="1796"/>
      <c r="AX72" s="1797"/>
      <c r="AY72" s="1797"/>
      <c r="AZ72" s="1797"/>
      <c r="BA72" s="1797"/>
      <c r="BB72" s="1797"/>
      <c r="BC72" s="1796"/>
      <c r="BF72" s="981"/>
      <c r="BG72" s="981"/>
      <c r="BH72" s="981"/>
      <c r="BI72" s="984"/>
      <c r="BJ72" s="984"/>
    </row>
    <row r="73" spans="1:62" s="425" customFormat="1" ht="14.65" hidden="1" customHeight="1">
      <c r="A73" s="126"/>
      <c r="B73" s="667"/>
      <c r="C73" s="126"/>
      <c r="D73" s="126"/>
      <c r="E73" s="676">
        <v>15</v>
      </c>
      <c r="F73" s="126"/>
      <c r="Q73" s="620"/>
      <c r="R73" s="620"/>
      <c r="T73" s="687" t="b">
        <f>ROW(W73)&gt;ROW(W$73)</f>
        <v>0</v>
      </c>
      <c r="U73" s="126"/>
      <c r="V73" s="129"/>
      <c r="W73" s="126" t="s">
        <v>236</v>
      </c>
      <c r="X73" s="126"/>
      <c r="Y73" s="126"/>
      <c r="Z73" s="126"/>
      <c r="AA73" s="774" t="s">
        <v>218</v>
      </c>
      <c r="AB73" s="1795"/>
      <c r="AC73" s="1795"/>
      <c r="AD73" s="1795"/>
      <c r="AE73" s="1795"/>
      <c r="AF73" s="1795"/>
      <c r="AG73" s="1795"/>
      <c r="AH73" s="1795"/>
      <c r="AI73" s="1796"/>
      <c r="AJ73" s="1796"/>
      <c r="AK73" s="1796"/>
      <c r="AL73" s="1796"/>
      <c r="AM73" s="1796"/>
      <c r="AN73" s="1797"/>
      <c r="AO73" s="1797"/>
      <c r="AP73" s="1797"/>
      <c r="AQ73" s="1797"/>
      <c r="AR73" s="1797"/>
      <c r="AS73" s="1796"/>
      <c r="AT73" s="1796"/>
      <c r="AU73" s="1796"/>
      <c r="AV73" s="1796"/>
      <c r="AW73" s="1796"/>
      <c r="AX73" s="1797"/>
      <c r="AY73" s="1797"/>
      <c r="AZ73" s="1797"/>
      <c r="BA73" s="1797"/>
      <c r="BB73" s="1797"/>
      <c r="BC73" s="1797"/>
      <c r="BF73" s="981"/>
      <c r="BG73" s="981"/>
      <c r="BH73" s="981"/>
      <c r="BI73" s="984"/>
      <c r="BJ73" s="984"/>
    </row>
    <row r="74" spans="1:62" s="425" customFormat="1" ht="14.65" customHeight="1">
      <c r="A74" s="126"/>
      <c r="B74" s="667"/>
      <c r="C74" s="126"/>
      <c r="D74" s="126"/>
      <c r="E74" s="676">
        <v>15</v>
      </c>
      <c r="F74" s="126"/>
      <c r="Q74" s="620"/>
      <c r="R74" s="620"/>
      <c r="T74" s="126"/>
      <c r="U74" s="126"/>
      <c r="V74" s="126"/>
      <c r="W74" s="122" t="s">
        <v>1329</v>
      </c>
      <c r="X74" s="126"/>
      <c r="Y74" s="126"/>
      <c r="Z74" s="126"/>
      <c r="AB74" s="1736" t="s">
        <v>735</v>
      </c>
      <c r="AC74" s="1737"/>
      <c r="AD74" s="324"/>
      <c r="AE74" s="324"/>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6"/>
      <c r="BF74" s="981"/>
      <c r="BG74" s="981"/>
      <c r="BH74" s="981"/>
      <c r="BI74" s="984"/>
      <c r="BJ74" s="984"/>
    </row>
  </sheetData>
  <sheetProtection formatColumns="0" formatRows="0" insertRows="0" deleteColumns="0" deleteRows="0" sort="0" autoFilter="0"/>
  <mergeCells count="14">
    <mergeCell ref="AB24:AB25"/>
    <mergeCell ref="AC24:AC25"/>
    <mergeCell ref="AD24:AD25"/>
    <mergeCell ref="BC24:BC25"/>
    <mergeCell ref="AB73:BC73"/>
    <mergeCell ref="X27:X40"/>
    <mergeCell ref="Z27:Z40"/>
    <mergeCell ref="AB74:AC74"/>
    <mergeCell ref="AB71:BC71"/>
    <mergeCell ref="AB72:BC72"/>
    <mergeCell ref="X41:X54"/>
    <mergeCell ref="Z41:Z54"/>
    <mergeCell ref="X55:X68"/>
    <mergeCell ref="Z55:Z68"/>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xr:uid="{00000000-0002-0000-1200-000000000000}">
      <formula1>0</formula1>
      <formula2>9.99999999999999E+23</formula2>
    </dataValidation>
    <dataValidation allowBlank="1" showInputMessage="1" showErrorMessage="1" sqref="AI38:BB38 AI70:BC65530 AI52 AJ52 AK52 AL52 AM52 AN52 AO52 AP52 AQ52 AR52 AS52 AT52 AU52 AV52 AW52 AX52 AY52 AZ52 BA52 BB52 AI66 AJ66 AK66 AL66 AM66 AN66 AO66 AP66 AQ66 AR66 AS66 AT66 AU66 AV66 AW66 AX66 AY66 AZ66 BA66 BB66"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6338-D89E-8153-6918-873D6A731458}">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55" hidden="1" customWidth="1"/>
    <col min="2" max="2" width="8.5703125" style="783" hidden="1" customWidth="1"/>
    <col min="3" max="4" width="3.5703125" style="1155" hidden="1" customWidth="1"/>
    <col min="5" max="5" width="8.42578125" style="782" hidden="1" customWidth="1"/>
    <col min="6" max="26" width="3.5703125" style="1155" hidden="1" customWidth="1"/>
    <col min="27" max="27" width="3" style="791" customWidth="1"/>
    <col min="28" max="28" width="11.140625" style="334" customWidth="1"/>
    <col min="29" max="29" width="32.28515625" style="334" customWidth="1"/>
    <col min="30" max="30" width="115.5703125" style="334" customWidth="1"/>
    <col min="31" max="31" width="3" style="334" customWidth="1"/>
    <col min="32" max="32" width="9.140625" style="334" hidden="1"/>
    <col min="33" max="33" width="18.7109375" style="701" hidden="1" customWidth="1"/>
  </cols>
  <sheetData>
    <row r="1" spans="1:31" s="1155" customFormat="1" ht="12" hidden="1" customHeight="1">
      <c r="B1" s="667"/>
      <c r="E1" s="667"/>
    </row>
    <row r="2" spans="1:31" s="783" customFormat="1" ht="12" hidden="1" customHeight="1">
      <c r="B2" s="768" t="s">
        <v>15</v>
      </c>
    </row>
    <row r="3" spans="1:31" s="1155" customFormat="1" ht="12" hidden="1" customHeight="1">
      <c r="B3" s="667"/>
      <c r="E3" s="667"/>
    </row>
    <row r="4" spans="1:31" s="1155" customFormat="1" ht="12" hidden="1" customHeight="1">
      <c r="B4" s="667"/>
      <c r="E4" s="667"/>
    </row>
    <row r="5" spans="1:31" s="782" customFormat="1" ht="12" hidden="1" customHeight="1">
      <c r="A5" s="667"/>
      <c r="B5" s="667"/>
      <c r="C5" s="667"/>
      <c r="D5" s="667"/>
      <c r="E5" s="676" t="s">
        <v>16</v>
      </c>
      <c r="AA5" s="676">
        <v>3</v>
      </c>
      <c r="AB5" s="676">
        <v>11.13</v>
      </c>
      <c r="AC5" s="676">
        <v>32.25</v>
      </c>
      <c r="AD5" s="676">
        <v>115.5</v>
      </c>
      <c r="AE5" s="676">
        <v>3</v>
      </c>
    </row>
    <row r="6" spans="1:31" s="1155" customFormat="1" ht="12" hidden="1" customHeight="1">
      <c r="B6" s="667"/>
      <c r="E6" s="676"/>
    </row>
    <row r="7" spans="1:31" s="814" customFormat="1" ht="12" hidden="1" customHeight="1">
      <c r="A7" s="129"/>
      <c r="B7" s="667"/>
      <c r="C7" s="129"/>
      <c r="D7" s="129"/>
      <c r="E7" s="676"/>
    </row>
    <row r="8" spans="1:31" s="814" customFormat="1" ht="12" hidden="1" customHeight="1">
      <c r="A8" s="129"/>
      <c r="B8" s="667"/>
      <c r="C8" s="129"/>
      <c r="D8" s="129"/>
      <c r="E8" s="676"/>
    </row>
    <row r="9" spans="1:31" s="1155" customFormat="1" ht="12" hidden="1" customHeight="1">
      <c r="B9" s="667"/>
      <c r="E9" s="676"/>
    </row>
    <row r="10" spans="1:31" s="1155" customFormat="1" ht="12" hidden="1" customHeight="1">
      <c r="B10" s="667"/>
      <c r="E10" s="676"/>
    </row>
    <row r="11" spans="1:31" s="1155" customFormat="1" ht="12" hidden="1" customHeight="1">
      <c r="B11" s="667"/>
      <c r="E11" s="676"/>
    </row>
    <row r="12" spans="1:31" s="1155" customFormat="1" ht="12" hidden="1" customHeight="1">
      <c r="B12" s="667"/>
      <c r="E12" s="676"/>
    </row>
    <row r="13" spans="1:31" s="1155" customFormat="1" ht="12" hidden="1" customHeight="1">
      <c r="B13" s="667"/>
      <c r="E13" s="676"/>
    </row>
    <row r="14" spans="1:31" s="1155" customFormat="1" ht="12" hidden="1" customHeight="1">
      <c r="B14" s="667"/>
      <c r="E14" s="676"/>
    </row>
    <row r="15" spans="1:31" s="1155" customFormat="1" ht="12" hidden="1" customHeight="1">
      <c r="B15" s="667"/>
      <c r="E15" s="676"/>
    </row>
    <row r="16" spans="1:31" s="1155" customFormat="1" ht="12" hidden="1" customHeight="1">
      <c r="B16" s="667"/>
      <c r="E16" s="676"/>
    </row>
    <row r="17" spans="1:33" s="1155" customFormat="1" ht="12" hidden="1" customHeight="1">
      <c r="B17" s="667"/>
      <c r="E17" s="676"/>
    </row>
    <row r="18" spans="1:33" s="1155" customFormat="1" ht="12" hidden="1" customHeight="1">
      <c r="B18" s="667"/>
      <c r="E18" s="676"/>
    </row>
    <row r="19" spans="1:33" s="1155" customFormat="1" ht="12" hidden="1" customHeight="1">
      <c r="B19" s="667"/>
      <c r="E19" s="676"/>
    </row>
    <row r="20" spans="1:33" s="1155" customFormat="1" ht="12" hidden="1" customHeight="1">
      <c r="B20" s="667"/>
      <c r="E20" s="676"/>
    </row>
    <row r="21" spans="1:33" s="791" customFormat="1" ht="12.95" customHeight="1">
      <c r="A21" s="129"/>
      <c r="B21" s="667"/>
      <c r="C21" s="129"/>
      <c r="D21" s="129"/>
      <c r="E21" s="676">
        <v>13.2</v>
      </c>
      <c r="F21" s="129"/>
      <c r="G21" s="129"/>
      <c r="H21" s="129"/>
      <c r="I21" s="129"/>
      <c r="J21" s="129"/>
      <c r="K21" s="129"/>
      <c r="L21" s="129"/>
      <c r="M21" s="129"/>
      <c r="N21" s="129"/>
      <c r="O21" s="129"/>
      <c r="P21" s="129"/>
      <c r="Q21" s="129"/>
      <c r="R21" s="129"/>
      <c r="S21" s="129"/>
      <c r="T21" s="129"/>
      <c r="U21" s="129"/>
      <c r="V21" s="129"/>
      <c r="W21" s="129"/>
      <c r="X21" s="129"/>
      <c r="Y21" s="129"/>
      <c r="Z21" s="129"/>
      <c r="AA21" s="699"/>
      <c r="AG21" s="164"/>
    </row>
    <row r="22" spans="1:33" ht="24.2" customHeight="1">
      <c r="E22" s="676">
        <v>24.9</v>
      </c>
      <c r="AB22" s="335" t="s">
        <v>17</v>
      </c>
      <c r="AC22" s="336"/>
      <c r="AD22" s="336"/>
    </row>
    <row r="23" spans="1:33" ht="16.149999999999999" customHeight="1">
      <c r="E23" s="676">
        <v>16.5</v>
      </c>
      <c r="AB23" s="340" t="s">
        <v>18</v>
      </c>
    </row>
    <row r="24" spans="1:33" ht="34.35" customHeight="1">
      <c r="B24" s="856" t="b">
        <v>1</v>
      </c>
      <c r="E24" s="676">
        <v>35.299999999999997</v>
      </c>
      <c r="H24" s="129">
        <v>2</v>
      </c>
      <c r="AB24" s="337" t="s">
        <v>19</v>
      </c>
      <c r="AC24" s="338" t="s">
        <v>20</v>
      </c>
      <c r="AD24" s="339" t="s">
        <v>21</v>
      </c>
    </row>
    <row r="25" spans="1:33" ht="37.35" customHeight="1">
      <c r="B25" s="856" t="b">
        <v>1</v>
      </c>
      <c r="E25" s="676">
        <v>38.299999999999997</v>
      </c>
      <c r="H25" s="129">
        <f>IF(B24,H24+1,H24)</f>
        <v>3</v>
      </c>
      <c r="AB25" s="337" t="s">
        <v>19</v>
      </c>
      <c r="AC25" s="338" t="s">
        <v>22</v>
      </c>
      <c r="AD25" s="339" t="s">
        <v>23</v>
      </c>
    </row>
    <row r="26" spans="1:33" ht="27.2" customHeight="1">
      <c r="B26" s="856" t="b">
        <v>1</v>
      </c>
      <c r="E26" s="676">
        <v>27.9</v>
      </c>
      <c r="H26" s="129">
        <f>IF(B25,H25+1,H25)</f>
        <v>4</v>
      </c>
      <c r="AB26" s="337" t="s">
        <v>19</v>
      </c>
      <c r="AC26" s="338" t="s">
        <v>24</v>
      </c>
      <c r="AD26" s="339" t="s">
        <v>25</v>
      </c>
    </row>
    <row r="27" spans="1:33" ht="27.2" customHeight="1">
      <c r="B27" s="856" t="b">
        <f>AND(NOT(method_reg="Метод экономически обоснованных расходов"),NOT(method_reg="Метод сравнения аналогов"))</f>
        <v>1</v>
      </c>
      <c r="E27" s="676">
        <v>27.9</v>
      </c>
      <c r="H27" s="129">
        <f>IF(B26,H26+1,H26)</f>
        <v>5</v>
      </c>
      <c r="AB27" s="337" t="s">
        <v>19</v>
      </c>
      <c r="AC27" s="338" t="s">
        <v>26</v>
      </c>
      <c r="AD27" s="339" t="s">
        <v>27</v>
      </c>
    </row>
    <row r="28" spans="1:33" ht="27.2" customHeight="1">
      <c r="B28" s="856" t="b">
        <f>NOT(method_reg="Метод сравнения аналогов")</f>
        <v>1</v>
      </c>
      <c r="E28" s="676">
        <v>27.9</v>
      </c>
      <c r="H28" s="129">
        <f>IF(B27,H27+1,H27)</f>
        <v>6</v>
      </c>
      <c r="AB28" s="337" t="s">
        <v>19</v>
      </c>
      <c r="AC28" s="338" t="s">
        <v>28</v>
      </c>
      <c r="AD28" s="339" t="s">
        <v>29</v>
      </c>
    </row>
    <row r="29" spans="1:33" ht="27.75" hidden="1" customHeight="1">
      <c r="B29" s="856" t="b">
        <f>(method_reg="Метод сравнения аналогов")</f>
        <v>0</v>
      </c>
      <c r="H29" s="129">
        <f>IF(B28,H28+1,H28)</f>
        <v>7</v>
      </c>
      <c r="AB29" s="337" t="s">
        <v>30</v>
      </c>
      <c r="AC29" s="338" t="s">
        <v>31</v>
      </c>
      <c r="AD29" s="339" t="s">
        <v>29</v>
      </c>
    </row>
    <row r="30" spans="1:33" ht="27.2" customHeight="1">
      <c r="B30" s="856" t="b" cm="1">
        <f t="array" ref="B30">'Баланс Пр'!$A$1</f>
        <v>1</v>
      </c>
      <c r="E30" s="676">
        <v>27.9</v>
      </c>
      <c r="H30" s="129" cm="1">
        <f t="array" ref="H30">IF(B29,H29+1,H29)</f>
        <v>7</v>
      </c>
      <c r="AB30" s="337" t="s">
        <v>19</v>
      </c>
      <c r="AC30" s="338" t="s">
        <v>32</v>
      </c>
      <c r="AD30" s="349" t="s">
        <v>33</v>
      </c>
    </row>
    <row r="31" spans="1:33" ht="27.2" hidden="1" customHeight="1">
      <c r="B31" s="856" t="b" cm="1">
        <f t="array" ref="B31">'Баланс Тр'!$A$1</f>
        <v>0</v>
      </c>
      <c r="E31" s="676">
        <v>27.9</v>
      </c>
      <c r="H31" s="129">
        <f>IF(B30,H30+1,H30)</f>
        <v>8</v>
      </c>
      <c r="AB31" s="337" t="s">
        <v>30</v>
      </c>
      <c r="AC31" s="338" t="s">
        <v>34</v>
      </c>
      <c r="AD31" s="339" t="s">
        <v>35</v>
      </c>
    </row>
    <row r="32" spans="1:33" ht="27.2" customHeight="1">
      <c r="B32" s="856" t="b">
        <f t="shared" ref="B32:B40" si="0">NOT(method_reg="Метод сравнения аналогов")</f>
        <v>1</v>
      </c>
      <c r="E32" s="676">
        <v>27.9</v>
      </c>
      <c r="H32" s="129" cm="1">
        <f t="array" ref="H32">IF(B31,H31+1,H31)</f>
        <v>8</v>
      </c>
      <c r="AB32" s="337" t="s">
        <v>19</v>
      </c>
      <c r="AC32" s="338" t="s">
        <v>36</v>
      </c>
      <c r="AD32" s="338" t="s">
        <v>37</v>
      </c>
    </row>
    <row r="33" spans="2:30" ht="27.2" customHeight="1">
      <c r="B33" s="856" t="b">
        <f t="shared" si="0"/>
        <v>1</v>
      </c>
      <c r="E33" s="676">
        <v>27.9</v>
      </c>
      <c r="H33" s="129">
        <f t="shared" ref="H33:H46" si="1">IF(B32,H32+1,H32)</f>
        <v>9</v>
      </c>
      <c r="AB33" s="337" t="s">
        <v>19</v>
      </c>
      <c r="AC33" s="338" t="s">
        <v>38</v>
      </c>
      <c r="AD33" s="339" t="s">
        <v>39</v>
      </c>
    </row>
    <row r="34" spans="2:30" ht="27.2" customHeight="1">
      <c r="B34" s="856" t="b">
        <f t="shared" si="0"/>
        <v>1</v>
      </c>
      <c r="E34" s="676">
        <v>27.9</v>
      </c>
      <c r="H34" s="129">
        <f t="shared" si="1"/>
        <v>10</v>
      </c>
      <c r="AB34" s="337" t="s">
        <v>19</v>
      </c>
      <c r="AC34" s="338" t="s">
        <v>40</v>
      </c>
      <c r="AD34" s="339" t="s">
        <v>41</v>
      </c>
    </row>
    <row r="35" spans="2:30" ht="27.2" customHeight="1">
      <c r="B35" s="856" t="b">
        <f t="shared" si="0"/>
        <v>1</v>
      </c>
      <c r="E35" s="676">
        <v>27.9</v>
      </c>
      <c r="H35" s="129">
        <f t="shared" si="1"/>
        <v>11</v>
      </c>
      <c r="AB35" s="337" t="s">
        <v>19</v>
      </c>
      <c r="AC35" s="338" t="s">
        <v>42</v>
      </c>
      <c r="AD35" s="339" t="s">
        <v>43</v>
      </c>
    </row>
    <row r="36" spans="2:30" ht="27.2" customHeight="1">
      <c r="B36" s="856" t="b">
        <f t="shared" si="0"/>
        <v>1</v>
      </c>
      <c r="E36" s="676">
        <v>27.9</v>
      </c>
      <c r="H36" s="129">
        <f t="shared" si="1"/>
        <v>12</v>
      </c>
      <c r="AB36" s="337" t="s">
        <v>19</v>
      </c>
      <c r="AC36" s="338" t="s">
        <v>44</v>
      </c>
      <c r="AD36" s="338" t="s">
        <v>45</v>
      </c>
    </row>
    <row r="37" spans="2:30" ht="27.2" customHeight="1">
      <c r="B37" s="856" t="b">
        <f t="shared" si="0"/>
        <v>1</v>
      </c>
      <c r="E37" s="676">
        <v>27.9</v>
      </c>
      <c r="H37" s="129">
        <f t="shared" si="1"/>
        <v>13</v>
      </c>
      <c r="AB37" s="337" t="s">
        <v>19</v>
      </c>
      <c r="AC37" s="338" t="s">
        <v>46</v>
      </c>
      <c r="AD37" s="338" t="s">
        <v>47</v>
      </c>
    </row>
    <row r="38" spans="2:30" ht="27.2" customHeight="1">
      <c r="B38" s="856" t="b">
        <f t="shared" si="0"/>
        <v>1</v>
      </c>
      <c r="E38" s="676">
        <v>27.9</v>
      </c>
      <c r="H38" s="129">
        <f t="shared" si="1"/>
        <v>14</v>
      </c>
      <c r="AB38" s="337" t="s">
        <v>19</v>
      </c>
      <c r="AC38" s="338" t="s">
        <v>48</v>
      </c>
      <c r="AD38" s="349" t="s">
        <v>49</v>
      </c>
    </row>
    <row r="39" spans="2:30" ht="27.2" customHeight="1">
      <c r="B39" s="856" t="b">
        <f t="shared" si="0"/>
        <v>1</v>
      </c>
      <c r="E39" s="676">
        <v>27.8</v>
      </c>
      <c r="H39" s="129">
        <f t="shared" si="1"/>
        <v>15</v>
      </c>
      <c r="AB39" s="337" t="s">
        <v>19</v>
      </c>
      <c r="AC39" s="338" t="s">
        <v>50</v>
      </c>
      <c r="AD39" s="338" t="s">
        <v>51</v>
      </c>
    </row>
    <row r="40" spans="2:30" ht="28.5" customHeight="1">
      <c r="B40" s="856" t="b">
        <f t="shared" si="0"/>
        <v>1</v>
      </c>
      <c r="E40" s="676">
        <v>29.3</v>
      </c>
      <c r="H40" s="129">
        <f t="shared" si="1"/>
        <v>16</v>
      </c>
      <c r="AB40" s="337" t="s">
        <v>19</v>
      </c>
      <c r="AC40" s="338" t="s">
        <v>52</v>
      </c>
      <c r="AD40" s="339" t="s">
        <v>53</v>
      </c>
    </row>
    <row r="41" spans="2:30" ht="27.2" customHeight="1">
      <c r="B41" s="856" t="b">
        <f>OR(method_reg="Метод индексации",method_reg="Метод обеспечения доходности инвестированного капитала")</f>
        <v>1</v>
      </c>
      <c r="E41" s="676">
        <v>27.9</v>
      </c>
      <c r="H41" s="129">
        <f t="shared" si="1"/>
        <v>17</v>
      </c>
      <c r="AB41" s="337" t="s">
        <v>19</v>
      </c>
      <c r="AC41" s="338" t="s">
        <v>54</v>
      </c>
      <c r="AD41" s="339" t="s">
        <v>55</v>
      </c>
    </row>
    <row r="42" spans="2:30" ht="27.2" customHeight="1">
      <c r="B42" s="856" t="b">
        <f>OR(method_reg="Метод индексации",method_reg="Метод обеспечения доходности инвестированного капитала")</f>
        <v>1</v>
      </c>
      <c r="E42" s="676">
        <v>27.9</v>
      </c>
      <c r="H42" s="129">
        <f t="shared" si="1"/>
        <v>18</v>
      </c>
      <c r="AB42" s="337" t="s">
        <v>19</v>
      </c>
      <c r="AC42" s="338" t="s">
        <v>56</v>
      </c>
      <c r="AD42" s="339" t="s">
        <v>57</v>
      </c>
    </row>
    <row r="43" spans="2:30" ht="27.2" customHeight="1">
      <c r="B43" s="856" t="b">
        <f>OR(method_reg="Метод индексации",method_reg="Метод обеспечения доходности инвестированного капитала")</f>
        <v>1</v>
      </c>
      <c r="E43" s="676">
        <v>27.9</v>
      </c>
      <c r="H43" s="129">
        <f t="shared" si="1"/>
        <v>19</v>
      </c>
      <c r="AB43" s="337" t="s">
        <v>19</v>
      </c>
      <c r="AC43" s="338" t="s">
        <v>58</v>
      </c>
      <c r="AD43" s="339" t="s">
        <v>59</v>
      </c>
    </row>
    <row r="44" spans="2:30" ht="27.2" customHeight="1">
      <c r="B44" s="856" t="b">
        <f>OR(method_reg="Метод индексации",method_reg="Метод обеспечения доходности инвестированного капитала")</f>
        <v>1</v>
      </c>
      <c r="E44" s="676">
        <v>27.9</v>
      </c>
      <c r="H44" s="129">
        <f t="shared" si="1"/>
        <v>20</v>
      </c>
      <c r="AB44" s="337" t="s">
        <v>19</v>
      </c>
      <c r="AC44" s="338" t="s">
        <v>60</v>
      </c>
      <c r="AD44" s="339" t="s">
        <v>61</v>
      </c>
    </row>
    <row r="45" spans="2:30" ht="27.2" customHeight="1">
      <c r="B45" s="856" t="b">
        <f>OR(method_reg="Метод индексации",method_reg="Метод обеспечения доходности инвестированного капитала")</f>
        <v>1</v>
      </c>
      <c r="E45" s="676">
        <v>27.9</v>
      </c>
      <c r="H45" s="129">
        <f t="shared" si="1"/>
        <v>21</v>
      </c>
      <c r="AB45" s="337" t="s">
        <v>19</v>
      </c>
      <c r="AC45" s="338" t="s">
        <v>62</v>
      </c>
      <c r="AD45" s="339" t="s">
        <v>63</v>
      </c>
    </row>
    <row r="46" spans="2:30" ht="27.2" hidden="1" customHeight="1">
      <c r="B46" s="856" t="b">
        <f>method_reg="Метод экономически обоснованных расходов"</f>
        <v>0</v>
      </c>
      <c r="E46" s="676">
        <v>27.9</v>
      </c>
      <c r="H46" s="129">
        <f t="shared" si="1"/>
        <v>22</v>
      </c>
      <c r="AB46" s="337" t="s">
        <v>30</v>
      </c>
      <c r="AC46" s="338" t="s">
        <v>64</v>
      </c>
      <c r="AD46" s="338" t="s">
        <v>65</v>
      </c>
    </row>
    <row r="47" spans="2:30" ht="27.2" customHeight="1">
      <c r="B47" s="856" t="b">
        <f>OR(method_reg="Метод индексации",method_reg="Метод обеспечения доходности инвестированного капитала")</f>
        <v>1</v>
      </c>
      <c r="E47" s="676">
        <v>27.9</v>
      </c>
      <c r="H47" s="129" cm="1">
        <f t="array" ref="H47">IF(B46,H46+1,H46)</f>
        <v>22</v>
      </c>
      <c r="AB47" s="337" t="s">
        <v>19</v>
      </c>
      <c r="AC47" s="338" t="s">
        <v>66</v>
      </c>
      <c r="AD47" s="339" t="s">
        <v>67</v>
      </c>
    </row>
    <row r="48" spans="2:30" ht="27.2" hidden="1" customHeight="1">
      <c r="B48" s="856" t="b">
        <f>(method_reg="Метод сравнения аналогов")</f>
        <v>0</v>
      </c>
      <c r="E48" s="676">
        <v>27.9</v>
      </c>
      <c r="H48" s="129">
        <f>IF(B47,H47+1,H47)</f>
        <v>23</v>
      </c>
      <c r="AB48" s="337" t="s">
        <v>30</v>
      </c>
      <c r="AC48" s="338" t="s">
        <v>68</v>
      </c>
      <c r="AD48" s="349" t="s">
        <v>69</v>
      </c>
    </row>
    <row r="49" spans="2:30" ht="27.2" hidden="1" customHeight="1">
      <c r="B49" s="856" t="b">
        <f>(method_reg="Метод сравнения аналогов")</f>
        <v>0</v>
      </c>
      <c r="E49" s="676">
        <v>27.9</v>
      </c>
      <c r="H49" s="129" cm="1">
        <f t="array" ref="H49">IF(B48,H48+1,H48)</f>
        <v>23</v>
      </c>
      <c r="AB49" s="337" t="s">
        <v>30</v>
      </c>
      <c r="AC49" s="338" t="s">
        <v>70</v>
      </c>
      <c r="AD49" s="349" t="s">
        <v>71</v>
      </c>
    </row>
    <row r="50" spans="2:30" ht="27.2" hidden="1" customHeight="1">
      <c r="B50" s="856" t="b">
        <f>(method_reg="Метод сравнения аналогов")</f>
        <v>0</v>
      </c>
      <c r="E50" s="676">
        <v>27.9</v>
      </c>
      <c r="H50" s="129" cm="1">
        <f t="array" ref="H50">IF(B48,H48+1,H48)</f>
        <v>23</v>
      </c>
      <c r="AB50" s="337" t="s">
        <v>30</v>
      </c>
      <c r="AC50" s="338" t="s">
        <v>72</v>
      </c>
      <c r="AD50" s="339" t="s">
        <v>73</v>
      </c>
    </row>
    <row r="51" spans="2:30" ht="27.2" customHeight="1">
      <c r="B51" s="856" t="b">
        <f>NOT(method_reg="Метод сравнения аналогов")</f>
        <v>1</v>
      </c>
      <c r="E51" s="676">
        <v>27.9</v>
      </c>
      <c r="H51" s="129">
        <f>IF(B47,H47+1,H47)</f>
        <v>23</v>
      </c>
      <c r="AB51" s="337" t="s">
        <v>19</v>
      </c>
      <c r="AC51" s="338" t="s">
        <v>74</v>
      </c>
      <c r="AD51" s="339" t="s">
        <v>75</v>
      </c>
    </row>
    <row r="52" spans="2:30" ht="27.2" customHeight="1">
      <c r="B52" s="856" t="b">
        <f>NOT(method_reg="Метод сравнения аналогов")</f>
        <v>1</v>
      </c>
      <c r="E52" s="676">
        <v>27.9</v>
      </c>
      <c r="H52" s="129">
        <f>IF(B51,H51+1,H51)</f>
        <v>24</v>
      </c>
      <c r="AB52" s="337" t="s">
        <v>19</v>
      </c>
      <c r="AC52" s="338" t="s">
        <v>76</v>
      </c>
      <c r="AD52" s="339" t="s">
        <v>77</v>
      </c>
    </row>
    <row r="53" spans="2:30" ht="27.2" customHeight="1">
      <c r="B53" s="856" t="b">
        <f>OR(method_reg="Метод индексации",method_reg="Метод обеспечения доходности инвестированного капитала")</f>
        <v>1</v>
      </c>
      <c r="E53" s="676">
        <v>27.9</v>
      </c>
      <c r="H53" s="129">
        <f>IF(B52,H52+1,H52)</f>
        <v>25</v>
      </c>
      <c r="AB53" s="337" t="s">
        <v>19</v>
      </c>
      <c r="AC53" s="338" t="s">
        <v>78</v>
      </c>
      <c r="AD53" s="338" t="s">
        <v>79</v>
      </c>
    </row>
    <row r="54" spans="2:30" ht="27.75" hidden="1" customHeight="1">
      <c r="E54" s="676">
        <v>0</v>
      </c>
      <c r="AB54" s="337"/>
      <c r="AC54" s="338"/>
      <c r="AD54" s="33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737F8-4368-F563-F996-EAB6619DD492}">
  <sheetPr>
    <tabColor rgb="FF002060"/>
    <outlinePr summaryBelow="0" summaryRight="0"/>
  </sheetPr>
  <dimension ref="A1:BB57"/>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425" hidden="1" customWidth="1"/>
    <col min="17" max="18" width="3.5703125" style="784" hidden="1" customWidth="1"/>
    <col min="19" max="19" width="3.5703125" style="425" hidden="1" customWidth="1"/>
    <col min="20" max="20" width="8.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0" customWidth="1"/>
    <col min="28" max="28" width="6.140625" style="170" customWidth="1"/>
    <col min="29" max="29" width="50.140625" style="170" customWidth="1"/>
    <col min="30" max="30" width="10.140625" style="170" customWidth="1"/>
    <col min="31" max="32" width="12.5703125" style="170" customWidth="1"/>
    <col min="33" max="33" width="18.140625" style="170" customWidth="1"/>
    <col min="34" max="35" width="12.5703125" style="170" customWidth="1"/>
    <col min="36" max="40" width="12.5703125" style="170" hidden="1" customWidth="1"/>
    <col min="41" max="45" width="12.5703125" style="170" customWidth="1"/>
    <col min="46" max="50" width="12.5703125" style="170" hidden="1" customWidth="1"/>
    <col min="51" max="51" width="20.140625" style="170" customWidth="1"/>
    <col min="52" max="52" width="3" style="170" customWidth="1"/>
    <col min="53" max="53" width="9.140625" style="170" hidden="1"/>
    <col min="54" max="54" width="9.140625" style="1002" hidden="1"/>
  </cols>
  <sheetData>
    <row r="1" spans="1:54" s="1153" customFormat="1" ht="12" hidden="1" customHeight="1">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382</v>
      </c>
      <c r="Z1" s="687" t="s">
        <v>93</v>
      </c>
      <c r="AA1" s="698" t="s">
        <v>90</v>
      </c>
      <c r="AB1" s="698" t="s">
        <v>92</v>
      </c>
      <c r="BB1" s="958" t="s">
        <v>383</v>
      </c>
    </row>
    <row r="2" spans="1:54" s="783" customFormat="1" ht="12" hidden="1" customHeight="1">
      <c r="B2" s="768" t="s">
        <v>15</v>
      </c>
      <c r="G2" s="786"/>
      <c r="H2" s="786"/>
      <c r="I2" s="786"/>
      <c r="J2" s="786"/>
      <c r="K2" s="786"/>
      <c r="L2" s="786"/>
      <c r="M2" s="786"/>
      <c r="N2" s="786"/>
      <c r="O2" s="786"/>
      <c r="P2" s="786"/>
      <c r="Q2" s="786"/>
      <c r="R2" s="786"/>
      <c r="S2" s="786"/>
      <c r="AE2" s="688" t="b">
        <f t="shared" ref="AE2:AX2" si="0">AE6&lt;=last_year_vis</f>
        <v>1</v>
      </c>
      <c r="AF2" s="688" t="b">
        <f t="shared" si="0"/>
        <v>1</v>
      </c>
      <c r="AG2" s="688" t="b">
        <f t="shared" si="0"/>
        <v>1</v>
      </c>
      <c r="AH2" s="688" t="b">
        <f t="shared" si="0"/>
        <v>1</v>
      </c>
      <c r="AI2" s="688" t="b">
        <f t="shared" si="0"/>
        <v>1</v>
      </c>
      <c r="AJ2" s="688" t="b">
        <f t="shared" si="0"/>
        <v>0</v>
      </c>
      <c r="AK2" s="688" t="b">
        <f t="shared" si="0"/>
        <v>0</v>
      </c>
      <c r="AL2" s="688" t="b">
        <f t="shared" si="0"/>
        <v>0</v>
      </c>
      <c r="AM2" s="688" t="b">
        <f t="shared" si="0"/>
        <v>0</v>
      </c>
      <c r="AN2" s="688" t="b">
        <f t="shared" si="0"/>
        <v>0</v>
      </c>
      <c r="AO2" s="688" t="b">
        <f t="shared" si="0"/>
        <v>1</v>
      </c>
      <c r="AP2" s="688" t="b">
        <f t="shared" si="0"/>
        <v>1</v>
      </c>
      <c r="AQ2" s="688" t="b">
        <f t="shared" si="0"/>
        <v>1</v>
      </c>
      <c r="AR2" s="688" t="b">
        <f t="shared" si="0"/>
        <v>1</v>
      </c>
      <c r="AS2" s="688" t="b">
        <f t="shared" si="0"/>
        <v>1</v>
      </c>
      <c r="AT2" s="688" t="b">
        <f t="shared" si="0"/>
        <v>0</v>
      </c>
      <c r="AU2" s="688" t="b">
        <f t="shared" si="0"/>
        <v>0</v>
      </c>
      <c r="AV2" s="688" t="b">
        <f t="shared" si="0"/>
        <v>0</v>
      </c>
      <c r="AW2" s="688" t="b">
        <f t="shared" si="0"/>
        <v>0</v>
      </c>
      <c r="AX2" s="688" t="b">
        <f t="shared" si="0"/>
        <v>0</v>
      </c>
      <c r="BB2" s="957"/>
    </row>
    <row r="3" spans="1:54" s="1153" customFormat="1" ht="12" hidden="1" customHeight="1">
      <c r="B3" s="667"/>
      <c r="E3" s="667"/>
      <c r="G3" s="163"/>
      <c r="H3" s="163"/>
      <c r="I3" s="163"/>
      <c r="J3" s="163"/>
      <c r="K3" s="163"/>
      <c r="L3" s="163"/>
      <c r="M3" s="163"/>
      <c r="N3" s="163"/>
      <c r="O3" s="163"/>
      <c r="P3" s="163"/>
      <c r="Q3" s="620"/>
      <c r="R3" s="620"/>
      <c r="S3" s="163"/>
      <c r="BB3" s="958"/>
    </row>
    <row r="4" spans="1:54" s="1153" customFormat="1" ht="12" hidden="1" customHeight="1">
      <c r="B4" s="667"/>
      <c r="E4" s="667"/>
      <c r="G4" s="163"/>
      <c r="H4" s="163"/>
      <c r="I4" s="163"/>
      <c r="J4" s="163"/>
      <c r="K4" s="163"/>
      <c r="L4" s="163"/>
      <c r="M4" s="163"/>
      <c r="N4" s="163"/>
      <c r="O4" s="163"/>
      <c r="P4" s="163"/>
      <c r="Q4" s="620"/>
      <c r="R4" s="620"/>
      <c r="S4" s="163"/>
      <c r="BB4" s="958"/>
    </row>
    <row r="5" spans="1:54"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6.13</v>
      </c>
      <c r="AC5" s="676">
        <v>50.13</v>
      </c>
      <c r="AD5" s="676">
        <v>10.130000000000001</v>
      </c>
      <c r="AE5" s="676">
        <v>12.63</v>
      </c>
      <c r="AF5" s="676">
        <v>12.63</v>
      </c>
      <c r="AG5" s="676">
        <v>18.13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20.13</v>
      </c>
      <c r="AZ5" s="676">
        <v>3</v>
      </c>
      <c r="BB5" s="957"/>
    </row>
    <row r="6" spans="1:54" s="1153" customFormat="1" ht="12" hidden="1" customHeight="1">
      <c r="B6" s="667"/>
      <c r="E6" s="676"/>
      <c r="G6" s="163"/>
      <c r="H6" s="163"/>
      <c r="I6" s="163"/>
      <c r="J6" s="163"/>
      <c r="K6" s="163"/>
      <c r="L6" s="163"/>
      <c r="M6" s="163"/>
      <c r="N6" s="163"/>
      <c r="O6" s="163"/>
      <c r="P6" s="163"/>
      <c r="Q6" s="620"/>
      <c r="R6" s="620"/>
      <c r="S6" s="163"/>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B6" s="958"/>
    </row>
    <row r="7" spans="1:54" s="425" customFormat="1" ht="12" hidden="1" customHeight="1">
      <c r="A7" s="126"/>
      <c r="B7" s="667"/>
      <c r="C7" s="126"/>
      <c r="D7" s="126"/>
      <c r="E7" s="676"/>
      <c r="Q7" s="620"/>
      <c r="R7" s="620"/>
      <c r="AE7" s="163" t="str" cm="1">
        <f t="array" ref="AE7">AE25</f>
        <v>Предложения организации</v>
      </c>
      <c r="AF7" s="163" t="str" cm="1">
        <f t="array" ref="AF7">AF25</f>
        <v>Предложения организации</v>
      </c>
      <c r="AG7" s="163" t="str" cm="1">
        <f t="array" ref="AG7">AG25</f>
        <v>Предложения организации</v>
      </c>
      <c r="AH7" s="163" t="str" cm="1">
        <f t="array" ref="AH7">AH25</f>
        <v>Предложения организации</v>
      </c>
      <c r="AI7" s="163" t="str" cm="1">
        <f t="array" ref="AI7">AI25</f>
        <v>Предложения организации</v>
      </c>
      <c r="AJ7" s="163" t="str" cm="1">
        <f t="array" ref="AJ7">AJ25</f>
        <v>Предложения организации</v>
      </c>
      <c r="AK7" s="163" t="str" cm="1">
        <f t="array" ref="AK7">AK25</f>
        <v>Предложения организации</v>
      </c>
      <c r="AL7" s="163" t="str" cm="1">
        <f t="array" ref="AL7">AL25</f>
        <v>Предложения организации</v>
      </c>
      <c r="AM7" s="163" t="str" cm="1">
        <f t="array" ref="AM7">AM25</f>
        <v>Предложения организации</v>
      </c>
      <c r="AN7" s="163" t="str" cm="1">
        <f t="array" ref="AN7">AN25</f>
        <v>Предложения организации</v>
      </c>
      <c r="AO7" s="163" t="str" cm="1">
        <f t="array" ref="AO7">AO25</f>
        <v>Принято органом регулирования</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BB7" s="958"/>
    </row>
    <row r="8" spans="1:54" s="425" customFormat="1" ht="12" hidden="1" customHeight="1">
      <c r="A8" s="126"/>
      <c r="B8" s="667"/>
      <c r="C8" s="126"/>
      <c r="D8" s="126"/>
      <c r="E8" s="676"/>
      <c r="Q8" s="620"/>
      <c r="R8" s="620"/>
      <c r="BB8" s="958"/>
    </row>
    <row r="9" spans="1:54" s="1013" customFormat="1" ht="12" hidden="1" customHeight="1">
      <c r="A9" s="958" t="s">
        <v>472</v>
      </c>
      <c r="B9" s="951"/>
      <c r="E9" s="951"/>
      <c r="Q9" s="960"/>
      <c r="R9" s="960"/>
      <c r="AE9" s="959" cm="1">
        <f t="array" ref="AE9">god</f>
        <v>2026</v>
      </c>
      <c r="AF9" s="959">
        <f>god+1</f>
        <v>2027</v>
      </c>
      <c r="AG9" s="959">
        <f>god+2</f>
        <v>2028</v>
      </c>
      <c r="AH9" s="959">
        <f>god+3</f>
        <v>2029</v>
      </c>
      <c r="AI9" s="959">
        <f>god+4</f>
        <v>2030</v>
      </c>
      <c r="AJ9" s="959">
        <f>god+5</f>
        <v>2031</v>
      </c>
      <c r="AK9" s="959">
        <f>god+6</f>
        <v>2032</v>
      </c>
      <c r="AL9" s="959">
        <f>god+7</f>
        <v>2033</v>
      </c>
      <c r="AM9" s="959">
        <f>god+8</f>
        <v>2034</v>
      </c>
      <c r="AN9" s="959">
        <f>god+9</f>
        <v>2035</v>
      </c>
      <c r="AO9" s="959" cm="1">
        <f t="array" ref="AO9">god</f>
        <v>2026</v>
      </c>
      <c r="AP9" s="959">
        <f>god+1</f>
        <v>2027</v>
      </c>
      <c r="AQ9" s="959">
        <f>god+2</f>
        <v>2028</v>
      </c>
      <c r="AR9" s="959">
        <f>god+3</f>
        <v>2029</v>
      </c>
      <c r="AS9" s="959">
        <f>god+4</f>
        <v>2030</v>
      </c>
      <c r="AT9" s="959">
        <f>god+5</f>
        <v>2031</v>
      </c>
      <c r="AU9" s="959">
        <f>god+6</f>
        <v>2032</v>
      </c>
      <c r="AV9" s="959">
        <f>god+7</f>
        <v>2033</v>
      </c>
      <c r="AW9" s="959">
        <f>god+8</f>
        <v>2034</v>
      </c>
      <c r="AX9" s="959">
        <f>god+9</f>
        <v>2035</v>
      </c>
      <c r="BB9" s="958"/>
    </row>
    <row r="10" spans="1:54" s="1013" customFormat="1" ht="12" hidden="1" customHeight="1">
      <c r="A10" s="958" t="s">
        <v>473</v>
      </c>
      <c r="B10" s="951"/>
      <c r="E10" s="951"/>
      <c r="Q10" s="960"/>
      <c r="R10" s="960"/>
      <c r="AE10" s="959" t="str" cm="1">
        <f t="array" ref="AE10">AE25</f>
        <v>Предложения организации</v>
      </c>
      <c r="AF10" s="959" t="str" cm="1">
        <f t="array" ref="AF10">AF25</f>
        <v>Предложения организации</v>
      </c>
      <c r="AG10" s="959" t="str" cm="1">
        <f t="array" ref="AG10">AG25</f>
        <v>Предложения организации</v>
      </c>
      <c r="AH10" s="959" t="str" cm="1">
        <f t="array" ref="AH10">AH25</f>
        <v>Предложения организации</v>
      </c>
      <c r="AI10" s="959" t="str" cm="1">
        <f t="array" ref="AI10">AI25</f>
        <v>Предложения организации</v>
      </c>
      <c r="AJ10" s="959" t="str" cm="1">
        <f t="array" ref="AJ10">AJ25</f>
        <v>Предложения организации</v>
      </c>
      <c r="AK10" s="959" t="str" cm="1">
        <f t="array" ref="AK10">AK25</f>
        <v>Предложения организации</v>
      </c>
      <c r="AL10" s="959" t="str" cm="1">
        <f t="array" ref="AL10">AL25</f>
        <v>Предложения организации</v>
      </c>
      <c r="AM10" s="959" t="str" cm="1">
        <f t="array" ref="AM10">AM25</f>
        <v>Предложения организации</v>
      </c>
      <c r="AN10" s="959" t="str" cm="1">
        <f t="array" ref="AN10">AN25</f>
        <v>Предложения организации</v>
      </c>
      <c r="AO10" s="959" t="str" cm="1">
        <f t="array" ref="AO10">AO25</f>
        <v>Принято органом регулирования</v>
      </c>
      <c r="AP10" s="959" t="str" cm="1">
        <f t="array" ref="AP10">AP25</f>
        <v>Принято органом регулирования</v>
      </c>
      <c r="AQ10" s="959" t="str" cm="1">
        <f t="array" ref="AQ10">AQ25</f>
        <v>Принято органом регулирования</v>
      </c>
      <c r="AR10" s="959" t="str" cm="1">
        <f t="array" ref="AR10">AR25</f>
        <v>Принято органом регулирования</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BB10" s="958"/>
    </row>
    <row r="11" spans="1:54" s="1013" customFormat="1" ht="12" hidden="1" customHeight="1">
      <c r="A11" s="958" t="s">
        <v>474</v>
      </c>
      <c r="B11" s="951"/>
      <c r="E11" s="951"/>
      <c r="G11" s="967"/>
      <c r="H11" s="967"/>
      <c r="I11" s="967"/>
      <c r="J11" s="967"/>
      <c r="K11" s="967"/>
      <c r="L11" s="967"/>
      <c r="M11" s="967"/>
      <c r="N11" s="967"/>
      <c r="O11" s="967"/>
      <c r="P11" s="967"/>
      <c r="Q11" s="982"/>
      <c r="R11" s="982"/>
      <c r="S11" s="967"/>
      <c r="AY11" s="959" t="str" cm="1">
        <f t="array" ref="AY11">AY24</f>
        <v>Ссылка на правовую норму (основание для принятия показателя в расчет тарифа)</v>
      </c>
      <c r="BB11" s="958"/>
    </row>
    <row r="12" spans="1:54" s="1153" customFormat="1" ht="12" hidden="1" customHeight="1">
      <c r="B12" s="667"/>
      <c r="E12" s="676"/>
      <c r="G12" s="163"/>
      <c r="H12" s="163"/>
      <c r="I12" s="163"/>
      <c r="J12" s="163"/>
      <c r="K12" s="163"/>
      <c r="L12" s="163"/>
      <c r="M12" s="163"/>
      <c r="N12" s="163"/>
      <c r="O12" s="163"/>
      <c r="P12" s="163"/>
      <c r="Q12" s="620"/>
      <c r="R12" s="620"/>
      <c r="S12" s="163"/>
      <c r="BB12" s="958"/>
    </row>
    <row r="13" spans="1:54" s="1153" customFormat="1" ht="12" hidden="1" customHeight="1">
      <c r="B13" s="667"/>
      <c r="E13" s="676"/>
      <c r="G13" s="163"/>
      <c r="H13" s="163"/>
      <c r="I13" s="163"/>
      <c r="J13" s="163"/>
      <c r="K13" s="163"/>
      <c r="L13" s="163"/>
      <c r="M13" s="163"/>
      <c r="N13" s="163"/>
      <c r="O13" s="163"/>
      <c r="P13" s="163"/>
      <c r="Q13" s="620"/>
      <c r="R13" s="620"/>
      <c r="S13" s="163"/>
      <c r="BB13" s="958"/>
    </row>
    <row r="14" spans="1:54" s="1153" customFormat="1" ht="12" hidden="1" customHeight="1">
      <c r="B14" s="667"/>
      <c r="E14" s="676"/>
      <c r="G14" s="163"/>
      <c r="H14" s="163"/>
      <c r="I14" s="163"/>
      <c r="J14" s="163"/>
      <c r="K14" s="163"/>
      <c r="L14" s="163"/>
      <c r="M14" s="163"/>
      <c r="N14" s="163"/>
      <c r="O14" s="163"/>
      <c r="P14" s="163"/>
      <c r="Q14" s="620"/>
      <c r="R14" s="620"/>
      <c r="S14" s="163"/>
      <c r="BB14" s="958"/>
    </row>
    <row r="15" spans="1:54" s="1153" customFormat="1" ht="12" hidden="1" customHeight="1">
      <c r="B15" s="667"/>
      <c r="E15" s="676"/>
      <c r="G15" s="163"/>
      <c r="H15" s="163"/>
      <c r="I15" s="163"/>
      <c r="J15" s="163"/>
      <c r="K15" s="163"/>
      <c r="L15" s="163"/>
      <c r="M15" s="163"/>
      <c r="N15" s="163"/>
      <c r="O15" s="163"/>
      <c r="P15" s="163"/>
      <c r="Q15" s="620"/>
      <c r="R15" s="620"/>
      <c r="S15" s="163"/>
      <c r="BB15" s="958"/>
    </row>
    <row r="16" spans="1:54" s="1153" customFormat="1" ht="12" hidden="1" customHeight="1">
      <c r="B16" s="667"/>
      <c r="E16" s="676"/>
      <c r="G16" s="163"/>
      <c r="H16" s="163"/>
      <c r="I16" s="163"/>
      <c r="J16" s="163"/>
      <c r="K16" s="163"/>
      <c r="L16" s="163"/>
      <c r="M16" s="163"/>
      <c r="N16" s="163"/>
      <c r="O16" s="163"/>
      <c r="P16" s="163"/>
      <c r="Q16" s="620"/>
      <c r="R16" s="620"/>
      <c r="S16" s="163"/>
      <c r="BB16" s="958"/>
    </row>
    <row r="17" spans="2:54" s="1153" customFormat="1" ht="12" hidden="1" customHeight="1">
      <c r="B17" s="667"/>
      <c r="E17" s="676"/>
      <c r="G17" s="163"/>
      <c r="H17" s="163"/>
      <c r="I17" s="163"/>
      <c r="J17" s="163"/>
      <c r="K17" s="163"/>
      <c r="L17" s="163"/>
      <c r="M17" s="163"/>
      <c r="N17" s="163"/>
      <c r="O17" s="163"/>
      <c r="P17" s="163"/>
      <c r="Q17" s="620"/>
      <c r="R17" s="620"/>
      <c r="S17" s="163"/>
      <c r="BB17" s="958"/>
    </row>
    <row r="18" spans="2:54" s="1153" customFormat="1" ht="12" hidden="1" customHeight="1">
      <c r="B18" s="667"/>
      <c r="E18" s="676"/>
      <c r="G18" s="163"/>
      <c r="H18" s="163"/>
      <c r="I18" s="163"/>
      <c r="J18" s="163"/>
      <c r="K18" s="163"/>
      <c r="L18" s="163"/>
      <c r="M18" s="163"/>
      <c r="N18" s="163"/>
      <c r="O18" s="163"/>
      <c r="P18" s="163"/>
      <c r="Q18" s="620"/>
      <c r="R18" s="620"/>
      <c r="S18" s="163"/>
      <c r="BB18" s="958"/>
    </row>
    <row r="19" spans="2:54" s="1153" customFormat="1" ht="12" hidden="1" customHeight="1">
      <c r="B19" s="667"/>
      <c r="E19" s="676"/>
      <c r="G19" s="163"/>
      <c r="H19" s="163"/>
      <c r="I19" s="163"/>
      <c r="J19" s="163"/>
      <c r="K19" s="163"/>
      <c r="L19" s="163"/>
      <c r="M19" s="163"/>
      <c r="N19" s="163"/>
      <c r="O19" s="163"/>
      <c r="P19" s="163"/>
      <c r="Q19" s="620"/>
      <c r="R19" s="620"/>
      <c r="S19" s="163"/>
      <c r="BB19" s="958"/>
    </row>
    <row r="20" spans="2:54" s="1153" customFormat="1" ht="12" hidden="1" customHeight="1">
      <c r="B20" s="667"/>
      <c r="E20" s="676"/>
      <c r="G20" s="163"/>
      <c r="H20" s="163"/>
      <c r="I20" s="163"/>
      <c r="J20" s="163"/>
      <c r="K20" s="163"/>
      <c r="L20" s="163"/>
      <c r="M20" s="163"/>
      <c r="N20" s="163"/>
      <c r="O20" s="163"/>
      <c r="P20" s="163"/>
      <c r="Q20" s="620"/>
      <c r="R20" s="620"/>
      <c r="S20" s="163"/>
      <c r="BB20" s="958"/>
    </row>
    <row r="21" spans="2:54" ht="14.65" customHeight="1">
      <c r="E21" s="676">
        <v>15</v>
      </c>
      <c r="AA21" s="699"/>
      <c r="AB21" s="177"/>
      <c r="AC21" s="343" t="str" cm="1">
        <f t="array" ref="AC21">tpl_title</f>
        <v>Кемеровская область / 2026 / ОАО «СКЭК» (ИНН:4205153492, КПП:420501001) / ДПР: 2021-2030</v>
      </c>
      <c r="AD21" s="177"/>
      <c r="AE21" s="177"/>
      <c r="AF21" s="177"/>
      <c r="AG21" s="177"/>
      <c r="AH21" s="177"/>
      <c r="AI21" s="177"/>
      <c r="AJ21" s="177"/>
      <c r="AK21" s="177"/>
      <c r="AL21" s="177"/>
      <c r="AM21" s="177"/>
      <c r="AN21" s="177"/>
      <c r="AO21" s="177"/>
      <c r="AP21" s="177"/>
      <c r="AQ21" s="177"/>
      <c r="AR21" s="177"/>
      <c r="AS21" s="177"/>
      <c r="AT21" s="177"/>
      <c r="AU21" s="177"/>
      <c r="AV21" s="177"/>
      <c r="AW21" s="177"/>
      <c r="AX21" s="177"/>
    </row>
    <row r="22" spans="2:54" ht="19.5" customHeight="1">
      <c r="E22" s="676">
        <v>20.100000000000001</v>
      </c>
      <c r="AB22" s="333" t="s">
        <v>53</v>
      </c>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row>
    <row r="23" spans="2:54" ht="11.1" customHeight="1">
      <c r="E23" s="676">
        <v>11.3</v>
      </c>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row>
    <row r="24" spans="2:54" ht="21" customHeight="1">
      <c r="E24" s="676">
        <v>21.6</v>
      </c>
      <c r="AB24" s="1730" t="s">
        <v>396</v>
      </c>
      <c r="AC24" s="1729" t="s">
        <v>756</v>
      </c>
      <c r="AD24" s="1729" t="s">
        <v>476</v>
      </c>
      <c r="AE24" s="1141" t="str">
        <f>god&amp;" год"</f>
        <v>2026 год</v>
      </c>
      <c r="AF24" s="1141" t="str">
        <f>god+1&amp;" год"</f>
        <v>2027 год</v>
      </c>
      <c r="AG24" s="1141" t="str">
        <f>god+2&amp;" год"</f>
        <v>2028 год</v>
      </c>
      <c r="AH24" s="1141" t="str">
        <f>god+3&amp;" год"</f>
        <v>2029 год</v>
      </c>
      <c r="AI24" s="1141" t="str">
        <f>god+4&amp;" год"</f>
        <v>2030 год</v>
      </c>
      <c r="AJ24" s="1141" t="str">
        <f>god+5&amp;" год"</f>
        <v>2031 год</v>
      </c>
      <c r="AK24" s="1141" t="str">
        <f>god+6&amp;" год"</f>
        <v>2032 год</v>
      </c>
      <c r="AL24" s="1141" t="str">
        <f>god+7&amp;" год"</f>
        <v>2033 год</v>
      </c>
      <c r="AM24" s="1141" t="str">
        <f>god+8&amp;" год"</f>
        <v>2034 год</v>
      </c>
      <c r="AN24" s="1141" t="str">
        <f>god+9&amp;" год"</f>
        <v>2035 год</v>
      </c>
      <c r="AO24" s="121" t="str">
        <f>god&amp;" год"</f>
        <v>2026 год</v>
      </c>
      <c r="AP24" s="121" t="str">
        <f>god+1&amp;" год"</f>
        <v>2027 год</v>
      </c>
      <c r="AQ24" s="121" t="str">
        <f>god+2&amp;" год"</f>
        <v>2028 год</v>
      </c>
      <c r="AR24" s="121" t="str">
        <f>god+3&amp;" год"</f>
        <v>2029 год</v>
      </c>
      <c r="AS24" s="121" t="str">
        <f>god+4&amp;" год"</f>
        <v>2030 год</v>
      </c>
      <c r="AT24" s="121" t="str">
        <f>god+5&amp;" год"</f>
        <v>2031 год</v>
      </c>
      <c r="AU24" s="121" t="str">
        <f>god+6&amp;" год"</f>
        <v>2032 год</v>
      </c>
      <c r="AV24" s="121" t="str">
        <f>god+7&amp;" год"</f>
        <v>2033 год</v>
      </c>
      <c r="AW24" s="121" t="str">
        <f>god+8&amp;" год"</f>
        <v>2034 год</v>
      </c>
      <c r="AX24" s="121" t="str">
        <f>god+9&amp;" год"</f>
        <v>2035 год</v>
      </c>
      <c r="AY24" s="1815" t="s">
        <v>630</v>
      </c>
    </row>
    <row r="25" spans="2:54" ht="56.45" customHeight="1">
      <c r="E25" s="676">
        <v>57.8</v>
      </c>
      <c r="AB25" s="1730"/>
      <c r="AC25" s="1729"/>
      <c r="AD25" s="1729"/>
      <c r="AE25" s="1143" t="s">
        <v>1330</v>
      </c>
      <c r="AF25" s="1143" t="s">
        <v>1330</v>
      </c>
      <c r="AG25" s="1143" t="s">
        <v>1330</v>
      </c>
      <c r="AH25" s="1143" t="s">
        <v>1330</v>
      </c>
      <c r="AI25" s="1143" t="s">
        <v>1330</v>
      </c>
      <c r="AJ25" s="1143" t="s">
        <v>1330</v>
      </c>
      <c r="AK25" s="1143" t="s">
        <v>1330</v>
      </c>
      <c r="AL25" s="1143" t="s">
        <v>1330</v>
      </c>
      <c r="AM25" s="1143" t="s">
        <v>1330</v>
      </c>
      <c r="AN25" s="1143" t="s">
        <v>1330</v>
      </c>
      <c r="AO25" s="120" t="s">
        <v>412</v>
      </c>
      <c r="AP25" s="120" t="s">
        <v>412</v>
      </c>
      <c r="AQ25" s="120" t="s">
        <v>412</v>
      </c>
      <c r="AR25" s="120" t="s">
        <v>412</v>
      </c>
      <c r="AS25" s="120" t="s">
        <v>412</v>
      </c>
      <c r="AT25" s="120" t="s">
        <v>412</v>
      </c>
      <c r="AU25" s="120" t="s">
        <v>412</v>
      </c>
      <c r="AV25" s="120" t="s">
        <v>412</v>
      </c>
      <c r="AW25" s="120" t="s">
        <v>412</v>
      </c>
      <c r="AX25" s="120" t="s">
        <v>412</v>
      </c>
      <c r="AY25" s="1815"/>
    </row>
    <row r="26" spans="2:54" ht="57.75" hidden="1" customHeight="1">
      <c r="E26" s="676">
        <v>0</v>
      </c>
      <c r="AB26" s="318"/>
      <c r="AC26" s="443"/>
      <c r="AD26" s="443"/>
      <c r="AE26" s="444"/>
      <c r="AF26" s="444"/>
      <c r="AG26" s="444"/>
      <c r="AH26" s="444"/>
      <c r="AI26" s="444"/>
      <c r="AJ26" s="444"/>
      <c r="AK26" s="444"/>
      <c r="AL26" s="444"/>
      <c r="AM26" s="444"/>
      <c r="AN26" s="444"/>
      <c r="AO26" s="444"/>
      <c r="AP26" s="444"/>
      <c r="AQ26" s="444"/>
      <c r="AR26" s="444"/>
      <c r="AS26" s="444"/>
      <c r="AT26" s="444"/>
      <c r="AU26" s="444"/>
      <c r="AV26" s="444"/>
      <c r="AW26" s="444"/>
      <c r="AX26" s="444"/>
      <c r="AY26" s="445"/>
    </row>
    <row r="27" spans="2:54" ht="16.5" hidden="1" customHeight="1">
      <c r="E27" s="676">
        <v>17</v>
      </c>
      <c r="F27" s="779" cm="1">
        <f t="array" ref="F27">X27</f>
        <v>0</v>
      </c>
      <c r="T27" s="687" t="b">
        <f>X27&gt;0</f>
        <v>0</v>
      </c>
      <c r="V27" s="126" t="s">
        <v>315</v>
      </c>
      <c r="X27" s="1726">
        <v>0</v>
      </c>
      <c r="Z27" s="1726"/>
      <c r="AB27" s="266" t="str" cm="1">
        <f t="array" ref="AB27">INDEX('Общие сведения'!$AG$187:$AG$236,MATCH($F27,'Общие сведения'!$Z$187:$Z$236,0))</f>
        <v xml:space="preserve">Тариф 0 (Теплоснабжение) - </v>
      </c>
      <c r="AC27" s="267"/>
      <c r="AD27" s="267"/>
      <c r="AE27" s="267"/>
      <c r="AF27" s="267"/>
      <c r="AG27" s="267"/>
      <c r="AH27" s="267"/>
      <c r="AI27" s="267"/>
      <c r="AJ27" s="267"/>
      <c r="AK27" s="267"/>
      <c r="AL27" s="267"/>
      <c r="AM27" s="267"/>
      <c r="AN27" s="267"/>
      <c r="AO27" s="267"/>
      <c r="AP27" s="267"/>
      <c r="AQ27" s="267"/>
      <c r="AR27" s="267"/>
      <c r="AS27" s="267"/>
      <c r="AT27" s="267"/>
      <c r="AU27" s="267"/>
      <c r="AV27" s="267"/>
      <c r="AW27" s="267"/>
      <c r="AX27" s="267"/>
      <c r="AY27" s="267"/>
    </row>
    <row r="28" spans="2:54" s="265" customFormat="1" ht="16.5" hidden="1" customHeight="1">
      <c r="E28" s="676">
        <v>17</v>
      </c>
      <c r="F28" s="779" cm="1">
        <f t="array" ref="F28">F27</f>
        <v>0</v>
      </c>
      <c r="T28" s="687" t="b" cm="1">
        <f t="array" ref="T28">T27</f>
        <v>0</v>
      </c>
      <c r="X28" s="1816"/>
      <c r="Z28" s="1816"/>
      <c r="AB28" s="271" t="s">
        <v>341</v>
      </c>
      <c r="AC28" s="114" t="s">
        <v>1331</v>
      </c>
      <c r="AD28" s="271" t="s">
        <v>839</v>
      </c>
      <c r="AE28" s="245">
        <f t="shared" ref="AE28:AX28" si="1">AE29+AE30+AE31</f>
        <v>0</v>
      </c>
      <c r="AF28" s="272">
        <f t="shared" si="1"/>
        <v>0</v>
      </c>
      <c r="AG28" s="272">
        <f t="shared" si="1"/>
        <v>0</v>
      </c>
      <c r="AH28" s="272">
        <f t="shared" si="1"/>
        <v>0</v>
      </c>
      <c r="AI28" s="272">
        <f t="shared" si="1"/>
        <v>0</v>
      </c>
      <c r="AJ28" s="272">
        <f t="shared" si="1"/>
        <v>0</v>
      </c>
      <c r="AK28" s="272">
        <f t="shared" si="1"/>
        <v>0</v>
      </c>
      <c r="AL28" s="272">
        <f t="shared" si="1"/>
        <v>0</v>
      </c>
      <c r="AM28" s="272">
        <f t="shared" si="1"/>
        <v>0</v>
      </c>
      <c r="AN28" s="272">
        <f t="shared" si="1"/>
        <v>0</v>
      </c>
      <c r="AO28" s="245">
        <f t="shared" si="1"/>
        <v>0</v>
      </c>
      <c r="AP28" s="272">
        <f t="shared" si="1"/>
        <v>0</v>
      </c>
      <c r="AQ28" s="272">
        <f t="shared" si="1"/>
        <v>0</v>
      </c>
      <c r="AR28" s="272">
        <f t="shared" si="1"/>
        <v>0</v>
      </c>
      <c r="AS28" s="272">
        <f t="shared" si="1"/>
        <v>0</v>
      </c>
      <c r="AT28" s="272">
        <f t="shared" si="1"/>
        <v>0</v>
      </c>
      <c r="AU28" s="272">
        <f t="shared" si="1"/>
        <v>0</v>
      </c>
      <c r="AV28" s="272">
        <f t="shared" si="1"/>
        <v>0</v>
      </c>
      <c r="AW28" s="272">
        <f t="shared" si="1"/>
        <v>0</v>
      </c>
      <c r="AX28" s="272">
        <f t="shared" si="1"/>
        <v>0</v>
      </c>
      <c r="AY28" s="28"/>
      <c r="BB28" s="1002" t="s">
        <v>1332</v>
      </c>
    </row>
    <row r="29" spans="2:54" ht="16.5" hidden="1" customHeight="1">
      <c r="E29" s="676">
        <v>17</v>
      </c>
      <c r="F29" s="779" cm="1">
        <f t="array" ref="F29">F28</f>
        <v>0</v>
      </c>
      <c r="T29" s="687" t="b" cm="1">
        <f t="array" ref="T29">T28</f>
        <v>0</v>
      </c>
      <c r="X29" s="1726"/>
      <c r="Z29" s="1726"/>
      <c r="AB29" s="124" t="s">
        <v>484</v>
      </c>
      <c r="AC29" s="115" t="s">
        <v>1333</v>
      </c>
      <c r="AD29" s="124" t="s">
        <v>839</v>
      </c>
      <c r="AE29" s="247"/>
      <c r="AF29" s="273"/>
      <c r="AG29" s="273"/>
      <c r="AH29" s="273"/>
      <c r="AI29" s="273"/>
      <c r="AJ29" s="65"/>
      <c r="AK29" s="65"/>
      <c r="AL29" s="65"/>
      <c r="AM29" s="65"/>
      <c r="AN29" s="65"/>
      <c r="AO29" s="247"/>
      <c r="AP29" s="273"/>
      <c r="AQ29" s="273"/>
      <c r="AR29" s="273"/>
      <c r="AS29" s="273"/>
      <c r="AT29" s="65"/>
      <c r="AU29" s="65"/>
      <c r="AV29" s="65"/>
      <c r="AW29" s="65"/>
      <c r="AX29" s="65"/>
      <c r="AY29" s="28"/>
      <c r="BB29" s="1002" t="s">
        <v>1334</v>
      </c>
    </row>
    <row r="30" spans="2:54" ht="16.5" hidden="1" customHeight="1">
      <c r="E30" s="676">
        <v>17</v>
      </c>
      <c r="F30" s="779" cm="1">
        <f t="array" ref="F30">F29</f>
        <v>0</v>
      </c>
      <c r="T30" s="687" t="b" cm="1">
        <f t="array" ref="T30">T29</f>
        <v>0</v>
      </c>
      <c r="X30" s="1726"/>
      <c r="Z30" s="1726"/>
      <c r="AB30" s="124" t="s">
        <v>989</v>
      </c>
      <c r="AC30" s="115" t="s">
        <v>1335</v>
      </c>
      <c r="AD30" s="124" t="s">
        <v>839</v>
      </c>
      <c r="AE30" s="247"/>
      <c r="AF30" s="273"/>
      <c r="AG30" s="273"/>
      <c r="AH30" s="273"/>
      <c r="AI30" s="273"/>
      <c r="AJ30" s="65"/>
      <c r="AK30" s="65"/>
      <c r="AL30" s="65"/>
      <c r="AM30" s="65"/>
      <c r="AN30" s="65"/>
      <c r="AO30" s="247"/>
      <c r="AP30" s="273"/>
      <c r="AQ30" s="273"/>
      <c r="AR30" s="273"/>
      <c r="AS30" s="273"/>
      <c r="AT30" s="65"/>
      <c r="AU30" s="65"/>
      <c r="AV30" s="65"/>
      <c r="AW30" s="65"/>
      <c r="AX30" s="65"/>
      <c r="AY30" s="28"/>
      <c r="BB30" s="1002" t="s">
        <v>1336</v>
      </c>
    </row>
    <row r="31" spans="2:54" ht="33.4" hidden="1" customHeight="1">
      <c r="E31" s="676">
        <v>34.200000000000003</v>
      </c>
      <c r="F31" s="779" cm="1">
        <f t="array" ref="F31">F30</f>
        <v>0</v>
      </c>
      <c r="T31" s="687" t="b" cm="1">
        <f t="array" ref="T31">T30</f>
        <v>0</v>
      </c>
      <c r="X31" s="1726"/>
      <c r="Z31" s="1726"/>
      <c r="AB31" s="124" t="s">
        <v>991</v>
      </c>
      <c r="AC31" s="115" t="s">
        <v>1337</v>
      </c>
      <c r="AD31" s="124" t="s">
        <v>839</v>
      </c>
      <c r="AE31" s="247"/>
      <c r="AF31" s="273"/>
      <c r="AG31" s="273"/>
      <c r="AH31" s="273"/>
      <c r="AI31" s="273"/>
      <c r="AJ31" s="65"/>
      <c r="AK31" s="65"/>
      <c r="AL31" s="65"/>
      <c r="AM31" s="65"/>
      <c r="AN31" s="65"/>
      <c r="AO31" s="247"/>
      <c r="AP31" s="273"/>
      <c r="AQ31" s="273"/>
      <c r="AR31" s="273"/>
      <c r="AS31" s="273"/>
      <c r="AT31" s="65"/>
      <c r="AU31" s="65"/>
      <c r="AV31" s="65"/>
      <c r="AW31" s="65"/>
      <c r="AX31" s="65"/>
      <c r="AY31" s="28"/>
      <c r="BB31" s="1002" t="s">
        <v>1338</v>
      </c>
    </row>
    <row r="32" spans="2:54" ht="16.5" hidden="1" customHeight="1">
      <c r="E32" s="676">
        <v>17</v>
      </c>
      <c r="F32" s="779" cm="1">
        <f t="array" ref="F32">F31</f>
        <v>0</v>
      </c>
      <c r="T32" s="687" t="b" cm="1">
        <f t="array" ref="T32">T31</f>
        <v>0</v>
      </c>
      <c r="X32" s="1726"/>
      <c r="Z32" s="1726"/>
      <c r="AB32" s="124" t="s">
        <v>348</v>
      </c>
      <c r="AC32" s="269" t="s">
        <v>1339</v>
      </c>
      <c r="AD32" s="124" t="s">
        <v>533</v>
      </c>
      <c r="AE32" s="941">
        <f ca="1">SUMIFS(Сценарии!AE$25:AE$110,Сценарии!$F$25:$F$110,$F32,Сценарии!$AC$25:$AC$110,"Индекс потребительских цен")</f>
        <v>0</v>
      </c>
      <c r="AF32" s="941">
        <f ca="1">SUMIFS(Сценарии!AF$25:AF$110,Сценарии!$F$25:$F$110,$F32,Сценарии!$AC$25:$AC$110,"Индекс потребительских цен")</f>
        <v>0</v>
      </c>
      <c r="AG32" s="941">
        <f ca="1">SUMIFS(Сценарии!AG$25:AG$110,Сценарии!$F$25:$F$110,$F32,Сценарии!$AC$25:$AC$110,"Индекс потребительских цен")</f>
        <v>0</v>
      </c>
      <c r="AH32" s="941">
        <f ca="1">SUMIFS(Сценарии!AH$25:AH$110,Сценарии!$F$25:$F$110,$F32,Сценарии!$AC$25:$AC$110,"Индекс потребительских цен")</f>
        <v>0</v>
      </c>
      <c r="AI32" s="941">
        <f ca="1">SUMIFS(Сценарии!AI$25:AI$110,Сценарии!$F$25:$F$110,$F32,Сценарии!$AC$25:$AC$110,"Индекс потребительских цен")</f>
        <v>0</v>
      </c>
      <c r="AJ32" s="941">
        <f ca="1">SUMIFS(Сценарии!AJ$25:AJ$110,Сценарии!$F$25:$F$110,$F32,Сценарии!$AC$25:$AC$110,"Индекс потребительских цен")</f>
        <v>0</v>
      </c>
      <c r="AK32" s="941">
        <f ca="1">SUMIFS(Сценарии!AK$25:AK$110,Сценарии!$F$25:$F$110,$F32,Сценарии!$AC$25:$AC$110,"Индекс потребительских цен")</f>
        <v>0</v>
      </c>
      <c r="AL32" s="941">
        <f ca="1">SUMIFS(Сценарии!AL$25:AL$110,Сценарии!$F$25:$F$110,$F32,Сценарии!$AC$25:$AC$110,"Индекс потребительских цен")</f>
        <v>0</v>
      </c>
      <c r="AM32" s="941">
        <f ca="1">SUMIFS(Сценарии!AM$25:AM$110,Сценарии!$F$25:$F$110,$F32,Сценарии!$AC$25:$AC$110,"Индекс потребительских цен")</f>
        <v>0</v>
      </c>
      <c r="AN32" s="941">
        <f ca="1">SUMIFS(Сценарии!AN$25:AN$110,Сценарии!$F$25:$F$110,$F32,Сценарии!$AC$25:$AC$110,"Индекс потребительских цен")</f>
        <v>0</v>
      </c>
      <c r="AO32" s="941">
        <f ca="1">SUMIFS(Сценарии!AO$25:AO$110,Сценарии!$F$25:$F$110,$F32,Сценарии!$AC$25:$AC$110,"Индекс потребительских цен")</f>
        <v>0</v>
      </c>
      <c r="AP32" s="941">
        <f ca="1">SUMIFS(Сценарии!AP$25:AP$110,Сценарии!$F$25:$F$110,$F32,Сценарии!$AC$25:$AC$110,"Индекс потребительских цен")</f>
        <v>0</v>
      </c>
      <c r="AQ32" s="941">
        <f ca="1">SUMIFS(Сценарии!AQ$25:AQ$110,Сценарии!$F$25:$F$110,$F32,Сценарии!$AC$25:$AC$110,"Индекс потребительских цен")</f>
        <v>0</v>
      </c>
      <c r="AR32" s="941">
        <f ca="1">SUMIFS(Сценарии!AR$25:AR$110,Сценарии!$F$25:$F$110,$F32,Сценарии!$AC$25:$AC$110,"Индекс потребительских цен")</f>
        <v>0</v>
      </c>
      <c r="AS32" s="941">
        <f ca="1">SUMIFS(Сценарии!AS$25:AS$110,Сценарии!$F$25:$F$110,$F32,Сценарии!$AC$25:$AC$110,"Индекс потребительских цен")</f>
        <v>0</v>
      </c>
      <c r="AT32" s="941">
        <f ca="1">SUMIFS(Сценарии!AT$25:AT$110,Сценарии!$F$25:$F$110,$F32,Сценарии!$AC$25:$AC$110,"Индекс потребительских цен")</f>
        <v>0</v>
      </c>
      <c r="AU32" s="941">
        <f ca="1">SUMIFS(Сценарии!AU$25:AU$110,Сценарии!$F$25:$F$110,$F32,Сценарии!$AC$25:$AC$110,"Индекс потребительских цен")</f>
        <v>0</v>
      </c>
      <c r="AV32" s="941">
        <f ca="1">SUMIFS(Сценарии!AV$25:AV$110,Сценарии!$F$25:$F$110,$F32,Сценарии!$AC$25:$AC$110,"Индекс потребительских цен")</f>
        <v>0</v>
      </c>
      <c r="AW32" s="941">
        <f ca="1">SUMIFS(Сценарии!AW$25:AW$110,Сценарии!$F$25:$F$110,$F32,Сценарии!$AC$25:$AC$110,"Индекс потребительских цен")</f>
        <v>0</v>
      </c>
      <c r="AX32" s="941">
        <f ca="1">SUMIFS(Сценарии!AX$25:AX$110,Сценарии!$F$25:$F$110,$F32,Сценарии!$AC$25:$AC$110,"Индекс потребительских цен")</f>
        <v>0</v>
      </c>
      <c r="AY32" s="28"/>
      <c r="BB32" s="1002" t="s">
        <v>548</v>
      </c>
    </row>
    <row r="33" spans="1:54" ht="16.5" hidden="1" customHeight="1">
      <c r="E33" s="676">
        <v>17</v>
      </c>
      <c r="F33" s="779" cm="1">
        <f t="array" ref="F33">F32</f>
        <v>0</v>
      </c>
      <c r="T33" s="687" t="b" cm="1">
        <f t="array" ref="T33">T32</f>
        <v>0</v>
      </c>
      <c r="X33" s="1726"/>
      <c r="Z33" s="1726"/>
      <c r="AB33" s="270">
        <v>3</v>
      </c>
      <c r="AC33" s="269" t="s">
        <v>1340</v>
      </c>
      <c r="AD33" s="124"/>
      <c r="AE33" s="329">
        <f ca="1">1+AE32%</f>
        <v>1</v>
      </c>
      <c r="AF33" s="330">
        <f t="shared" ref="AF33:AN33" ca="1" si="2">AE33*(1+AF32%)</f>
        <v>1</v>
      </c>
      <c r="AG33" s="330">
        <f t="shared" ca="1" si="2"/>
        <v>1</v>
      </c>
      <c r="AH33" s="330">
        <f t="shared" ca="1" si="2"/>
        <v>1</v>
      </c>
      <c r="AI33" s="330">
        <f t="shared" ca="1" si="2"/>
        <v>1</v>
      </c>
      <c r="AJ33" s="66">
        <f t="shared" ca="1" si="2"/>
        <v>1</v>
      </c>
      <c r="AK33" s="66">
        <f t="shared" ca="1" si="2"/>
        <v>1</v>
      </c>
      <c r="AL33" s="66">
        <f t="shared" ca="1" si="2"/>
        <v>1</v>
      </c>
      <c r="AM33" s="66">
        <f t="shared" ca="1" si="2"/>
        <v>1</v>
      </c>
      <c r="AN33" s="66">
        <f t="shared" ca="1" si="2"/>
        <v>1</v>
      </c>
      <c r="AO33" s="329">
        <f ca="1">1+AO32%</f>
        <v>1</v>
      </c>
      <c r="AP33" s="330">
        <f t="shared" ref="AP33:AX33" ca="1" si="3">AO33*(1+AP32%)</f>
        <v>1</v>
      </c>
      <c r="AQ33" s="330">
        <f t="shared" ca="1" si="3"/>
        <v>1</v>
      </c>
      <c r="AR33" s="330">
        <f t="shared" ca="1" si="3"/>
        <v>1</v>
      </c>
      <c r="AS33" s="330">
        <f t="shared" ca="1" si="3"/>
        <v>1</v>
      </c>
      <c r="AT33" s="66">
        <f t="shared" ca="1" si="3"/>
        <v>1</v>
      </c>
      <c r="AU33" s="66">
        <f t="shared" ca="1" si="3"/>
        <v>1</v>
      </c>
      <c r="AV33" s="66">
        <f t="shared" ca="1" si="3"/>
        <v>1</v>
      </c>
      <c r="AW33" s="66">
        <f t="shared" ca="1" si="3"/>
        <v>1</v>
      </c>
      <c r="AX33" s="66">
        <f t="shared" ca="1" si="3"/>
        <v>1</v>
      </c>
      <c r="AY33" s="28"/>
      <c r="BB33" s="1002" t="s">
        <v>1341</v>
      </c>
    </row>
    <row r="34" spans="1:54" s="265" customFormat="1" ht="16.5" hidden="1" customHeight="1">
      <c r="E34" s="676">
        <v>17</v>
      </c>
      <c r="F34" s="779" cm="1">
        <f t="array" ref="F34">F33</f>
        <v>0</v>
      </c>
      <c r="G34" s="620" t="s">
        <v>1342</v>
      </c>
      <c r="T34" s="687" t="b" cm="1">
        <f t="array" ref="T34">T33</f>
        <v>0</v>
      </c>
      <c r="X34" s="1816"/>
      <c r="Z34" s="1816"/>
      <c r="AB34" s="271" t="s">
        <v>440</v>
      </c>
      <c r="AC34" s="114" t="s">
        <v>1343</v>
      </c>
      <c r="AD34" s="271" t="s">
        <v>839</v>
      </c>
      <c r="AE34" s="245">
        <f t="shared" ref="AE34:AX34" ca="1" si="4">AE28*AE33</f>
        <v>0</v>
      </c>
      <c r="AF34" s="245">
        <f t="shared" ca="1" si="4"/>
        <v>0</v>
      </c>
      <c r="AG34" s="245">
        <f t="shared" ca="1" si="4"/>
        <v>0</v>
      </c>
      <c r="AH34" s="245">
        <f t="shared" ca="1" si="4"/>
        <v>0</v>
      </c>
      <c r="AI34" s="245">
        <f t="shared" ca="1" si="4"/>
        <v>0</v>
      </c>
      <c r="AJ34" s="245">
        <f t="shared" ca="1" si="4"/>
        <v>0</v>
      </c>
      <c r="AK34" s="245">
        <f t="shared" ca="1" si="4"/>
        <v>0</v>
      </c>
      <c r="AL34" s="245">
        <f t="shared" ca="1" si="4"/>
        <v>0</v>
      </c>
      <c r="AM34" s="245">
        <f t="shared" ca="1" si="4"/>
        <v>0</v>
      </c>
      <c r="AN34" s="245">
        <f t="shared" ca="1" si="4"/>
        <v>0</v>
      </c>
      <c r="AO34" s="245">
        <f t="shared" ca="1" si="4"/>
        <v>0</v>
      </c>
      <c r="AP34" s="245">
        <f t="shared" ca="1" si="4"/>
        <v>0</v>
      </c>
      <c r="AQ34" s="245">
        <f t="shared" ca="1" si="4"/>
        <v>0</v>
      </c>
      <c r="AR34" s="245">
        <f t="shared" ca="1" si="4"/>
        <v>0</v>
      </c>
      <c r="AS34" s="245">
        <f t="shared" ca="1" si="4"/>
        <v>0</v>
      </c>
      <c r="AT34" s="245">
        <f t="shared" ca="1" si="4"/>
        <v>0</v>
      </c>
      <c r="AU34" s="245">
        <f t="shared" ca="1" si="4"/>
        <v>0</v>
      </c>
      <c r="AV34" s="245">
        <f t="shared" ca="1" si="4"/>
        <v>0</v>
      </c>
      <c r="AW34" s="245">
        <f t="shared" ca="1" si="4"/>
        <v>0</v>
      </c>
      <c r="AX34" s="245">
        <f t="shared" ca="1" si="4"/>
        <v>0</v>
      </c>
      <c r="AY34" s="28"/>
      <c r="BB34" s="1002" t="s">
        <v>1344</v>
      </c>
    </row>
    <row r="35" spans="1:54" s="1229" customFormat="1" ht="16.5" customHeight="1">
      <c r="A35" s="1153"/>
      <c r="B35" s="783"/>
      <c r="C35" s="1153"/>
      <c r="D35" s="1153"/>
      <c r="E35" s="676">
        <v>17</v>
      </c>
      <c r="F35" s="779" t="str" cm="1">
        <f t="array" ref="F35">X35</f>
        <v>1</v>
      </c>
      <c r="G35" s="425"/>
      <c r="H35" s="425"/>
      <c r="I35" s="425"/>
      <c r="J35" s="425"/>
      <c r="K35" s="425"/>
      <c r="L35" s="425"/>
      <c r="M35" s="425"/>
      <c r="N35" s="425"/>
      <c r="O35" s="425"/>
      <c r="P35" s="425"/>
      <c r="Q35" s="784"/>
      <c r="R35" s="784"/>
      <c r="S35" s="425"/>
      <c r="T35" s="687" t="b">
        <f>X35&gt;0</f>
        <v>1</v>
      </c>
      <c r="U35" s="1153"/>
      <c r="V35" s="126" t="str" cm="1">
        <f t="array" ref="V35">Налоги!$AB$41</f>
        <v>Тариф 1 (Теплоснабжение) - Тариф на тепловую энергию (мощность), поставляемую потребителям (Не определено)</v>
      </c>
      <c r="W35" s="1153"/>
      <c r="X35" s="1726" t="s">
        <v>341</v>
      </c>
      <c r="Y35" s="1153"/>
      <c r="Z35" s="1726"/>
      <c r="AA35" s="170"/>
      <c r="AB35" s="266" t="str" cm="1">
        <f t="array" ref="AB35">IF(ISBLANK(Налоги!$AB$41),"",Налоги!$AB$41)</f>
        <v>Тариф 1 (Теплоснабжение) - Тариф на тепловую энергию (мощность), поставляемую потребителям (Не определено)</v>
      </c>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170"/>
      <c r="BA35" s="170"/>
      <c r="BB35" s="1002"/>
    </row>
    <row r="36" spans="1:54" s="1365" customFormat="1" ht="16.5" customHeight="1">
      <c r="A36" s="265"/>
      <c r="B36" s="265"/>
      <c r="C36" s="265"/>
      <c r="D36" s="265"/>
      <c r="E36" s="676">
        <v>17</v>
      </c>
      <c r="F36" s="779" t="str" cm="1">
        <f t="array" ref="F36">F35</f>
        <v>1</v>
      </c>
      <c r="G36" s="265"/>
      <c r="H36" s="265"/>
      <c r="I36" s="265"/>
      <c r="J36" s="265"/>
      <c r="K36" s="265"/>
      <c r="L36" s="265"/>
      <c r="M36" s="265"/>
      <c r="N36" s="265"/>
      <c r="O36" s="265"/>
      <c r="P36" s="265"/>
      <c r="Q36" s="265"/>
      <c r="R36" s="265"/>
      <c r="S36" s="265"/>
      <c r="T36" s="687" t="b" cm="1">
        <f t="array" ref="T36">T35</f>
        <v>1</v>
      </c>
      <c r="U36" s="265"/>
      <c r="V36" s="265"/>
      <c r="W36" s="265"/>
      <c r="X36" s="1816"/>
      <c r="Y36" s="265"/>
      <c r="Z36" s="1816"/>
      <c r="AA36" s="265"/>
      <c r="AB36" s="271" t="s">
        <v>341</v>
      </c>
      <c r="AC36" s="114" t="s">
        <v>1331</v>
      </c>
      <c r="AD36" s="271" t="s">
        <v>839</v>
      </c>
      <c r="AE36" s="245">
        <f t="shared" ref="AE36:AX36" si="5">AE37+AE38+AE39</f>
        <v>0</v>
      </c>
      <c r="AF36" s="272">
        <f t="shared" si="5"/>
        <v>0</v>
      </c>
      <c r="AG36" s="272">
        <f t="shared" si="5"/>
        <v>0</v>
      </c>
      <c r="AH36" s="272">
        <f t="shared" si="5"/>
        <v>0</v>
      </c>
      <c r="AI36" s="272">
        <f t="shared" si="5"/>
        <v>0</v>
      </c>
      <c r="AJ36" s="272">
        <f t="shared" si="5"/>
        <v>0</v>
      </c>
      <c r="AK36" s="272">
        <f t="shared" si="5"/>
        <v>0</v>
      </c>
      <c r="AL36" s="272">
        <f t="shared" si="5"/>
        <v>0</v>
      </c>
      <c r="AM36" s="272">
        <f t="shared" si="5"/>
        <v>0</v>
      </c>
      <c r="AN36" s="272">
        <f t="shared" si="5"/>
        <v>0</v>
      </c>
      <c r="AO36" s="245">
        <f t="shared" si="5"/>
        <v>0</v>
      </c>
      <c r="AP36" s="272">
        <f t="shared" si="5"/>
        <v>0</v>
      </c>
      <c r="AQ36" s="272">
        <f t="shared" si="5"/>
        <v>0</v>
      </c>
      <c r="AR36" s="272">
        <f t="shared" si="5"/>
        <v>0</v>
      </c>
      <c r="AS36" s="272">
        <f t="shared" si="5"/>
        <v>0</v>
      </c>
      <c r="AT36" s="272">
        <f t="shared" si="5"/>
        <v>0</v>
      </c>
      <c r="AU36" s="272">
        <f t="shared" si="5"/>
        <v>0</v>
      </c>
      <c r="AV36" s="272">
        <f t="shared" si="5"/>
        <v>0</v>
      </c>
      <c r="AW36" s="272">
        <f t="shared" si="5"/>
        <v>0</v>
      </c>
      <c r="AX36" s="272">
        <f t="shared" si="5"/>
        <v>0</v>
      </c>
      <c r="AY36" s="1290"/>
      <c r="AZ36" s="265"/>
      <c r="BA36" s="265"/>
      <c r="BB36" s="1002" t="s">
        <v>1332</v>
      </c>
    </row>
    <row r="37" spans="1:54" s="1229" customFormat="1" ht="16.5" customHeight="1">
      <c r="A37" s="1153"/>
      <c r="B37" s="783"/>
      <c r="C37" s="1153"/>
      <c r="D37" s="1153"/>
      <c r="E37" s="676">
        <v>17</v>
      </c>
      <c r="F37" s="779" t="str" cm="1">
        <f t="array" ref="F37">F36</f>
        <v>1</v>
      </c>
      <c r="G37" s="425"/>
      <c r="H37" s="425"/>
      <c r="I37" s="425"/>
      <c r="J37" s="425"/>
      <c r="K37" s="425"/>
      <c r="L37" s="425"/>
      <c r="M37" s="425"/>
      <c r="N37" s="425"/>
      <c r="O37" s="425"/>
      <c r="P37" s="425"/>
      <c r="Q37" s="784"/>
      <c r="R37" s="784"/>
      <c r="S37" s="425"/>
      <c r="T37" s="687" t="b" cm="1">
        <f t="array" ref="T37">T36</f>
        <v>1</v>
      </c>
      <c r="U37" s="1153"/>
      <c r="V37" s="1153"/>
      <c r="W37" s="1153"/>
      <c r="X37" s="1726"/>
      <c r="Y37" s="1153"/>
      <c r="Z37" s="1726"/>
      <c r="AA37" s="170"/>
      <c r="AB37" s="124" t="s">
        <v>484</v>
      </c>
      <c r="AC37" s="115" t="s">
        <v>1333</v>
      </c>
      <c r="AD37" s="124" t="s">
        <v>839</v>
      </c>
      <c r="AE37" s="247"/>
      <c r="AF37" s="273"/>
      <c r="AG37" s="273"/>
      <c r="AH37" s="273"/>
      <c r="AI37" s="273"/>
      <c r="AJ37" s="1366"/>
      <c r="AK37" s="1366"/>
      <c r="AL37" s="1366"/>
      <c r="AM37" s="1366"/>
      <c r="AN37" s="1366"/>
      <c r="AO37" s="247"/>
      <c r="AP37" s="273"/>
      <c r="AQ37" s="273"/>
      <c r="AR37" s="273"/>
      <c r="AS37" s="273"/>
      <c r="AT37" s="1366"/>
      <c r="AU37" s="1366"/>
      <c r="AV37" s="1366"/>
      <c r="AW37" s="1366"/>
      <c r="AX37" s="1366"/>
      <c r="AY37" s="1290"/>
      <c r="AZ37" s="170"/>
      <c r="BA37" s="170"/>
      <c r="BB37" s="1002" t="s">
        <v>1334</v>
      </c>
    </row>
    <row r="38" spans="1:54" s="1229" customFormat="1" ht="16.5" customHeight="1">
      <c r="A38" s="1153"/>
      <c r="B38" s="783"/>
      <c r="C38" s="1153"/>
      <c r="D38" s="1153"/>
      <c r="E38" s="676">
        <v>17</v>
      </c>
      <c r="F38" s="779" t="str" cm="1">
        <f t="array" ref="F38">F37</f>
        <v>1</v>
      </c>
      <c r="G38" s="425"/>
      <c r="H38" s="425"/>
      <c r="I38" s="425"/>
      <c r="J38" s="425"/>
      <c r="K38" s="425"/>
      <c r="L38" s="425"/>
      <c r="M38" s="425"/>
      <c r="N38" s="425"/>
      <c r="O38" s="425"/>
      <c r="P38" s="425"/>
      <c r="Q38" s="784"/>
      <c r="R38" s="784"/>
      <c r="S38" s="425"/>
      <c r="T38" s="687" t="b" cm="1">
        <f t="array" ref="T38">T37</f>
        <v>1</v>
      </c>
      <c r="U38" s="1153"/>
      <c r="V38" s="1153"/>
      <c r="W38" s="1153"/>
      <c r="X38" s="1726"/>
      <c r="Y38" s="1153"/>
      <c r="Z38" s="1726"/>
      <c r="AA38" s="170"/>
      <c r="AB38" s="124" t="s">
        <v>989</v>
      </c>
      <c r="AC38" s="115" t="s">
        <v>1335</v>
      </c>
      <c r="AD38" s="124" t="s">
        <v>839</v>
      </c>
      <c r="AE38" s="247"/>
      <c r="AF38" s="273"/>
      <c r="AG38" s="273"/>
      <c r="AH38" s="273"/>
      <c r="AI38" s="273"/>
      <c r="AJ38" s="1366"/>
      <c r="AK38" s="1366"/>
      <c r="AL38" s="1366"/>
      <c r="AM38" s="1366"/>
      <c r="AN38" s="1366"/>
      <c r="AO38" s="247"/>
      <c r="AP38" s="273"/>
      <c r="AQ38" s="273"/>
      <c r="AR38" s="273"/>
      <c r="AS38" s="273"/>
      <c r="AT38" s="1366"/>
      <c r="AU38" s="1366"/>
      <c r="AV38" s="1366"/>
      <c r="AW38" s="1366"/>
      <c r="AX38" s="1366"/>
      <c r="AY38" s="1290"/>
      <c r="AZ38" s="170"/>
      <c r="BA38" s="170"/>
      <c r="BB38" s="1002" t="s">
        <v>1336</v>
      </c>
    </row>
    <row r="39" spans="1:54" s="1229" customFormat="1" ht="33" customHeight="1">
      <c r="A39" s="1153"/>
      <c r="B39" s="783"/>
      <c r="C39" s="1153"/>
      <c r="D39" s="1153"/>
      <c r="E39" s="676">
        <v>34.200000000000003</v>
      </c>
      <c r="F39" s="779" t="str" cm="1">
        <f t="array" ref="F39">F38</f>
        <v>1</v>
      </c>
      <c r="G39" s="425"/>
      <c r="H39" s="425"/>
      <c r="I39" s="425"/>
      <c r="J39" s="425"/>
      <c r="K39" s="425"/>
      <c r="L39" s="425"/>
      <c r="M39" s="425"/>
      <c r="N39" s="425"/>
      <c r="O39" s="425"/>
      <c r="P39" s="425"/>
      <c r="Q39" s="784"/>
      <c r="R39" s="784"/>
      <c r="S39" s="425"/>
      <c r="T39" s="687" t="b" cm="1">
        <f t="array" ref="T39">T38</f>
        <v>1</v>
      </c>
      <c r="U39" s="1153"/>
      <c r="V39" s="1153"/>
      <c r="W39" s="1153"/>
      <c r="X39" s="1726"/>
      <c r="Y39" s="1153"/>
      <c r="Z39" s="1726"/>
      <c r="AA39" s="170"/>
      <c r="AB39" s="124" t="s">
        <v>991</v>
      </c>
      <c r="AC39" s="115" t="s">
        <v>1337</v>
      </c>
      <c r="AD39" s="124" t="s">
        <v>839</v>
      </c>
      <c r="AE39" s="247"/>
      <c r="AF39" s="273"/>
      <c r="AG39" s="273"/>
      <c r="AH39" s="273"/>
      <c r="AI39" s="273"/>
      <c r="AJ39" s="1366"/>
      <c r="AK39" s="1366"/>
      <c r="AL39" s="1366"/>
      <c r="AM39" s="1366"/>
      <c r="AN39" s="1366"/>
      <c r="AO39" s="247"/>
      <c r="AP39" s="273"/>
      <c r="AQ39" s="273"/>
      <c r="AR39" s="273"/>
      <c r="AS39" s="273"/>
      <c r="AT39" s="1366"/>
      <c r="AU39" s="1366"/>
      <c r="AV39" s="1366"/>
      <c r="AW39" s="1366"/>
      <c r="AX39" s="1366"/>
      <c r="AY39" s="1290"/>
      <c r="AZ39" s="170"/>
      <c r="BA39" s="170"/>
      <c r="BB39" s="1002" t="s">
        <v>1338</v>
      </c>
    </row>
    <row r="40" spans="1:54" s="1229" customFormat="1" ht="16.5" customHeight="1">
      <c r="A40" s="1153"/>
      <c r="B40" s="783"/>
      <c r="C40" s="1153"/>
      <c r="D40" s="1153"/>
      <c r="E40" s="676">
        <v>17</v>
      </c>
      <c r="F40" s="779" t="str" cm="1">
        <f t="array" ref="F40">F39</f>
        <v>1</v>
      </c>
      <c r="G40" s="425"/>
      <c r="H40" s="425"/>
      <c r="I40" s="425"/>
      <c r="J40" s="425"/>
      <c r="K40" s="425"/>
      <c r="L40" s="425"/>
      <c r="M40" s="425"/>
      <c r="N40" s="425"/>
      <c r="O40" s="425"/>
      <c r="P40" s="425"/>
      <c r="Q40" s="784"/>
      <c r="R40" s="784"/>
      <c r="S40" s="425"/>
      <c r="T40" s="687" t="b" cm="1">
        <f t="array" ref="T40">T39</f>
        <v>1</v>
      </c>
      <c r="U40" s="1153"/>
      <c r="V40" s="1153"/>
      <c r="W40" s="1153"/>
      <c r="X40" s="1726"/>
      <c r="Y40" s="1153"/>
      <c r="Z40" s="1726"/>
      <c r="AA40" s="170"/>
      <c r="AB40" s="124" t="s">
        <v>348</v>
      </c>
      <c r="AC40" s="269" t="s">
        <v>1339</v>
      </c>
      <c r="AD40" s="124" t="s">
        <v>533</v>
      </c>
      <c r="AE40" s="941">
        <f ca="1">SUMIFS(Сценарии!AE$25:AE$110,Сценарии!$F$25:$F$110,$F40,Сценарии!$AC$25:$AC$110,"Индекс потребительских цен")</f>
        <v>0</v>
      </c>
      <c r="AF40" s="941">
        <f ca="1">SUMIFS(Сценарии!AF$25:AF$110,Сценарии!$F$25:$F$110,$F40,Сценарии!$AC$25:$AC$110,"Индекс потребительских цен")</f>
        <v>0</v>
      </c>
      <c r="AG40" s="941">
        <f ca="1">SUMIFS(Сценарии!AG$25:AG$110,Сценарии!$F$25:$F$110,$F40,Сценарии!$AC$25:$AC$110,"Индекс потребительских цен")</f>
        <v>0</v>
      </c>
      <c r="AH40" s="941">
        <f ca="1">SUMIFS(Сценарии!AH$25:AH$110,Сценарии!$F$25:$F$110,$F40,Сценарии!$AC$25:$AC$110,"Индекс потребительских цен")</f>
        <v>0</v>
      </c>
      <c r="AI40" s="941">
        <f ca="1">SUMIFS(Сценарии!AI$25:AI$110,Сценарии!$F$25:$F$110,$F40,Сценарии!$AC$25:$AC$110,"Индекс потребительских цен")</f>
        <v>0</v>
      </c>
      <c r="AJ40" s="941">
        <f ca="1">SUMIFS(Сценарии!AJ$25:AJ$110,Сценарии!$F$25:$F$110,$F40,Сценарии!$AC$25:$AC$110,"Индекс потребительских цен")</f>
        <v>0</v>
      </c>
      <c r="AK40" s="941">
        <f ca="1">SUMIFS(Сценарии!AK$25:AK$110,Сценарии!$F$25:$F$110,$F40,Сценарии!$AC$25:$AC$110,"Индекс потребительских цен")</f>
        <v>0</v>
      </c>
      <c r="AL40" s="941">
        <f ca="1">SUMIFS(Сценарии!AL$25:AL$110,Сценарии!$F$25:$F$110,$F40,Сценарии!$AC$25:$AC$110,"Индекс потребительских цен")</f>
        <v>0</v>
      </c>
      <c r="AM40" s="941">
        <f ca="1">SUMIFS(Сценарии!AM$25:AM$110,Сценарии!$F$25:$F$110,$F40,Сценарии!$AC$25:$AC$110,"Индекс потребительских цен")</f>
        <v>0</v>
      </c>
      <c r="AN40" s="941">
        <f ca="1">SUMIFS(Сценарии!AN$25:AN$110,Сценарии!$F$25:$F$110,$F40,Сценарии!$AC$25:$AC$110,"Индекс потребительских цен")</f>
        <v>0</v>
      </c>
      <c r="AO40" s="941">
        <f ca="1">SUMIFS(Сценарии!AO$25:AO$110,Сценарии!$F$25:$F$110,$F40,Сценарии!$AC$25:$AC$110,"Индекс потребительских цен")</f>
        <v>5.0999999999999996</v>
      </c>
      <c r="AP40" s="941">
        <f ca="1">SUMIFS(Сценарии!AP$25:AP$110,Сценарии!$F$25:$F$110,$F40,Сценарии!$AC$25:$AC$110,"Индекс потребительских цен")</f>
        <v>0</v>
      </c>
      <c r="AQ40" s="941">
        <f ca="1">SUMIFS(Сценарии!AQ$25:AQ$110,Сценарии!$F$25:$F$110,$F40,Сценарии!$AC$25:$AC$110,"Индекс потребительских цен")</f>
        <v>0</v>
      </c>
      <c r="AR40" s="941">
        <f ca="1">SUMIFS(Сценарии!AR$25:AR$110,Сценарии!$F$25:$F$110,$F40,Сценарии!$AC$25:$AC$110,"Индекс потребительских цен")</f>
        <v>0</v>
      </c>
      <c r="AS40" s="941">
        <f ca="1">SUMIFS(Сценарии!AS$25:AS$110,Сценарии!$F$25:$F$110,$F40,Сценарии!$AC$25:$AC$110,"Индекс потребительских цен")</f>
        <v>0</v>
      </c>
      <c r="AT40" s="941">
        <f ca="1">SUMIFS(Сценарии!AT$25:AT$110,Сценарии!$F$25:$F$110,$F40,Сценарии!$AC$25:$AC$110,"Индекс потребительских цен")</f>
        <v>0</v>
      </c>
      <c r="AU40" s="941">
        <f ca="1">SUMIFS(Сценарии!AU$25:AU$110,Сценарии!$F$25:$F$110,$F40,Сценарии!$AC$25:$AC$110,"Индекс потребительских цен")</f>
        <v>0</v>
      </c>
      <c r="AV40" s="941">
        <f ca="1">SUMIFS(Сценарии!AV$25:AV$110,Сценарии!$F$25:$F$110,$F40,Сценарии!$AC$25:$AC$110,"Индекс потребительских цен")</f>
        <v>0</v>
      </c>
      <c r="AW40" s="941">
        <f ca="1">SUMIFS(Сценарии!AW$25:AW$110,Сценарии!$F$25:$F$110,$F40,Сценарии!$AC$25:$AC$110,"Индекс потребительских цен")</f>
        <v>0</v>
      </c>
      <c r="AX40" s="941">
        <f ca="1">SUMIFS(Сценарии!AX$25:AX$110,Сценарии!$F$25:$F$110,$F40,Сценарии!$AC$25:$AC$110,"Индекс потребительских цен")</f>
        <v>0</v>
      </c>
      <c r="AY40" s="1290"/>
      <c r="AZ40" s="170"/>
      <c r="BA40" s="170"/>
      <c r="BB40" s="1002" t="s">
        <v>548</v>
      </c>
    </row>
    <row r="41" spans="1:54" s="1229" customFormat="1" ht="16.5" customHeight="1">
      <c r="A41" s="1153"/>
      <c r="B41" s="783"/>
      <c r="C41" s="1153"/>
      <c r="D41" s="1153"/>
      <c r="E41" s="676">
        <v>17</v>
      </c>
      <c r="F41" s="779" t="str" cm="1">
        <f t="array" ref="F41">F40</f>
        <v>1</v>
      </c>
      <c r="G41" s="425"/>
      <c r="H41" s="425"/>
      <c r="I41" s="425"/>
      <c r="J41" s="425"/>
      <c r="K41" s="425"/>
      <c r="L41" s="425"/>
      <c r="M41" s="425"/>
      <c r="N41" s="425"/>
      <c r="O41" s="425"/>
      <c r="P41" s="425"/>
      <c r="Q41" s="784"/>
      <c r="R41" s="784"/>
      <c r="S41" s="425"/>
      <c r="T41" s="687" t="b" cm="1">
        <f t="array" ref="T41">T40</f>
        <v>1</v>
      </c>
      <c r="U41" s="1153"/>
      <c r="V41" s="1153"/>
      <c r="W41" s="1153"/>
      <c r="X41" s="1726"/>
      <c r="Y41" s="1153"/>
      <c r="Z41" s="1726"/>
      <c r="AA41" s="170"/>
      <c r="AB41" s="270">
        <v>3</v>
      </c>
      <c r="AC41" s="269" t="s">
        <v>1340</v>
      </c>
      <c r="AD41" s="124"/>
      <c r="AE41" s="329">
        <f ca="1">1+AE40%</f>
        <v>1</v>
      </c>
      <c r="AF41" s="330">
        <f t="shared" ref="AF41:AN41" ca="1" si="6">AE41*(1+AF40%)</f>
        <v>1</v>
      </c>
      <c r="AG41" s="330">
        <f t="shared" ca="1" si="6"/>
        <v>1</v>
      </c>
      <c r="AH41" s="330">
        <f t="shared" ca="1" si="6"/>
        <v>1</v>
      </c>
      <c r="AI41" s="330">
        <f t="shared" ca="1" si="6"/>
        <v>1</v>
      </c>
      <c r="AJ41" s="1367">
        <f t="shared" ca="1" si="6"/>
        <v>1</v>
      </c>
      <c r="AK41" s="1367">
        <f t="shared" ca="1" si="6"/>
        <v>1</v>
      </c>
      <c r="AL41" s="1367">
        <f t="shared" ca="1" si="6"/>
        <v>1</v>
      </c>
      <c r="AM41" s="1367">
        <f t="shared" ca="1" si="6"/>
        <v>1</v>
      </c>
      <c r="AN41" s="1367">
        <f t="shared" ca="1" si="6"/>
        <v>1</v>
      </c>
      <c r="AO41" s="329">
        <f ca="1">1+AO40%</f>
        <v>1.0509999999999999</v>
      </c>
      <c r="AP41" s="330">
        <f t="shared" ref="AP41:AX41" ca="1" si="7">AO41*(1+AP40%)</f>
        <v>1.0509999999999999</v>
      </c>
      <c r="AQ41" s="330">
        <f t="shared" ca="1" si="7"/>
        <v>1.0509999999999999</v>
      </c>
      <c r="AR41" s="330">
        <f t="shared" ca="1" si="7"/>
        <v>1.0509999999999999</v>
      </c>
      <c r="AS41" s="330">
        <f t="shared" ca="1" si="7"/>
        <v>1.0509999999999999</v>
      </c>
      <c r="AT41" s="1367">
        <f t="shared" ca="1" si="7"/>
        <v>1.0509999999999999</v>
      </c>
      <c r="AU41" s="1367">
        <f t="shared" ca="1" si="7"/>
        <v>1.0509999999999999</v>
      </c>
      <c r="AV41" s="1367">
        <f t="shared" ca="1" si="7"/>
        <v>1.0509999999999999</v>
      </c>
      <c r="AW41" s="1367">
        <f t="shared" ca="1" si="7"/>
        <v>1.0509999999999999</v>
      </c>
      <c r="AX41" s="1367">
        <f t="shared" ca="1" si="7"/>
        <v>1.0509999999999999</v>
      </c>
      <c r="AY41" s="1290"/>
      <c r="AZ41" s="170"/>
      <c r="BA41" s="170"/>
      <c r="BB41" s="1002" t="s">
        <v>1341</v>
      </c>
    </row>
    <row r="42" spans="1:54" s="1368" customFormat="1" ht="16.5" customHeight="1">
      <c r="A42" s="265"/>
      <c r="B42" s="265"/>
      <c r="C42" s="265"/>
      <c r="D42" s="265"/>
      <c r="E42" s="676">
        <v>17</v>
      </c>
      <c r="F42" s="779" t="str" cm="1">
        <f t="array" ref="F42">F41</f>
        <v>1</v>
      </c>
      <c r="G42" s="620" t="s">
        <v>1342</v>
      </c>
      <c r="H42" s="265"/>
      <c r="I42" s="265"/>
      <c r="J42" s="265"/>
      <c r="K42" s="265"/>
      <c r="L42" s="265"/>
      <c r="M42" s="265"/>
      <c r="N42" s="265"/>
      <c r="O42" s="265"/>
      <c r="P42" s="265"/>
      <c r="Q42" s="265"/>
      <c r="R42" s="265"/>
      <c r="S42" s="265"/>
      <c r="T42" s="687" t="b" cm="1">
        <f t="array" ref="T42">T41</f>
        <v>1</v>
      </c>
      <c r="U42" s="265"/>
      <c r="V42" s="265"/>
      <c r="W42" s="265"/>
      <c r="X42" s="1816"/>
      <c r="Y42" s="265"/>
      <c r="Z42" s="1816"/>
      <c r="AA42" s="265"/>
      <c r="AB42" s="271" t="s">
        <v>440</v>
      </c>
      <c r="AC42" s="114" t="s">
        <v>1343</v>
      </c>
      <c r="AD42" s="271" t="s">
        <v>839</v>
      </c>
      <c r="AE42" s="245">
        <f t="shared" ref="AE42:AX42" ca="1" si="8">AE36*AE41</f>
        <v>0</v>
      </c>
      <c r="AF42" s="245">
        <f t="shared" ca="1" si="8"/>
        <v>0</v>
      </c>
      <c r="AG42" s="245">
        <f t="shared" ca="1" si="8"/>
        <v>0</v>
      </c>
      <c r="AH42" s="245">
        <f t="shared" ca="1" si="8"/>
        <v>0</v>
      </c>
      <c r="AI42" s="245">
        <f t="shared" ca="1" si="8"/>
        <v>0</v>
      </c>
      <c r="AJ42" s="245">
        <f t="shared" ca="1" si="8"/>
        <v>0</v>
      </c>
      <c r="AK42" s="245">
        <f t="shared" ca="1" si="8"/>
        <v>0</v>
      </c>
      <c r="AL42" s="245">
        <f t="shared" ca="1" si="8"/>
        <v>0</v>
      </c>
      <c r="AM42" s="245">
        <f t="shared" ca="1" si="8"/>
        <v>0</v>
      </c>
      <c r="AN42" s="245">
        <f t="shared" ca="1" si="8"/>
        <v>0</v>
      </c>
      <c r="AO42" s="245">
        <f t="shared" ca="1" si="8"/>
        <v>0</v>
      </c>
      <c r="AP42" s="245">
        <f t="shared" ca="1" si="8"/>
        <v>0</v>
      </c>
      <c r="AQ42" s="245">
        <f t="shared" ca="1" si="8"/>
        <v>0</v>
      </c>
      <c r="AR42" s="245">
        <f t="shared" ca="1" si="8"/>
        <v>0</v>
      </c>
      <c r="AS42" s="245">
        <f t="shared" ca="1" si="8"/>
        <v>0</v>
      </c>
      <c r="AT42" s="245">
        <f t="shared" ca="1" si="8"/>
        <v>0</v>
      </c>
      <c r="AU42" s="245">
        <f t="shared" ca="1" si="8"/>
        <v>0</v>
      </c>
      <c r="AV42" s="245">
        <f t="shared" ca="1" si="8"/>
        <v>0</v>
      </c>
      <c r="AW42" s="245">
        <f t="shared" ca="1" si="8"/>
        <v>0</v>
      </c>
      <c r="AX42" s="245">
        <f t="shared" ca="1" si="8"/>
        <v>0</v>
      </c>
      <c r="AY42" s="1290"/>
      <c r="AZ42" s="265"/>
      <c r="BA42" s="265"/>
      <c r="BB42" s="1002" t="s">
        <v>1344</v>
      </c>
    </row>
    <row r="43" spans="1:54" s="1229" customFormat="1" ht="16.5" customHeight="1">
      <c r="A43" s="1153"/>
      <c r="B43" s="783"/>
      <c r="C43" s="1153"/>
      <c r="D43" s="1153"/>
      <c r="E43" s="676">
        <v>17</v>
      </c>
      <c r="F43" s="779" t="str" cm="1">
        <f t="array" ref="F43">X43</f>
        <v>2</v>
      </c>
      <c r="G43" s="425"/>
      <c r="H43" s="425"/>
      <c r="I43" s="425"/>
      <c r="J43" s="425"/>
      <c r="K43" s="425"/>
      <c r="L43" s="425"/>
      <c r="M43" s="425"/>
      <c r="N43" s="425"/>
      <c r="O43" s="425"/>
      <c r="P43" s="425"/>
      <c r="Q43" s="784"/>
      <c r="R43" s="784"/>
      <c r="S43" s="425"/>
      <c r="T43" s="687" t="b">
        <f>X43&gt;0</f>
        <v>1</v>
      </c>
      <c r="U43" s="1153"/>
      <c r="V43" s="126" t="str" cm="1">
        <f t="array" ref="V43">Налоги!$AB$55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3" s="1153"/>
      <c r="X43" s="1726" t="s">
        <v>348</v>
      </c>
      <c r="Y43" s="1153"/>
      <c r="Z43" s="1726"/>
      <c r="AA43" s="170"/>
      <c r="AB43" s="266" t="str" cm="1">
        <f t="array" ref="AB43">IF(ISBLANK(Налоги!$AB$55),"",Налоги!$AB$55)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170"/>
      <c r="BA43" s="170"/>
      <c r="BB43" s="1002"/>
    </row>
    <row r="44" spans="1:54" s="1369" customFormat="1" ht="16.5" customHeight="1">
      <c r="A44" s="265"/>
      <c r="B44" s="265"/>
      <c r="C44" s="265"/>
      <c r="D44" s="265"/>
      <c r="E44" s="676">
        <v>17</v>
      </c>
      <c r="F44" s="779" t="str" cm="1">
        <f t="array" ref="F44">F43</f>
        <v>2</v>
      </c>
      <c r="G44" s="265"/>
      <c r="H44" s="265"/>
      <c r="I44" s="265"/>
      <c r="J44" s="265"/>
      <c r="K44" s="265"/>
      <c r="L44" s="265"/>
      <c r="M44" s="265"/>
      <c r="N44" s="265"/>
      <c r="O44" s="265"/>
      <c r="P44" s="265"/>
      <c r="Q44" s="265"/>
      <c r="R44" s="265"/>
      <c r="S44" s="265"/>
      <c r="T44" s="687" t="b" cm="1">
        <f t="array" ref="T44">T43</f>
        <v>1</v>
      </c>
      <c r="U44" s="265"/>
      <c r="V44" s="265"/>
      <c r="W44" s="265"/>
      <c r="X44" s="1816"/>
      <c r="Y44" s="265"/>
      <c r="Z44" s="1816"/>
      <c r="AA44" s="265"/>
      <c r="AB44" s="271" t="s">
        <v>341</v>
      </c>
      <c r="AC44" s="114" t="s">
        <v>1331</v>
      </c>
      <c r="AD44" s="271" t="s">
        <v>839</v>
      </c>
      <c r="AE44" s="245">
        <f t="shared" ref="AE44:AX44" si="9">AE45+AE46+AE47</f>
        <v>0</v>
      </c>
      <c r="AF44" s="272">
        <f t="shared" si="9"/>
        <v>0</v>
      </c>
      <c r="AG44" s="272">
        <f t="shared" si="9"/>
        <v>0</v>
      </c>
      <c r="AH44" s="272">
        <f t="shared" si="9"/>
        <v>0</v>
      </c>
      <c r="AI44" s="272">
        <f t="shared" si="9"/>
        <v>0</v>
      </c>
      <c r="AJ44" s="272">
        <f t="shared" si="9"/>
        <v>0</v>
      </c>
      <c r="AK44" s="272">
        <f t="shared" si="9"/>
        <v>0</v>
      </c>
      <c r="AL44" s="272">
        <f t="shared" si="9"/>
        <v>0</v>
      </c>
      <c r="AM44" s="272">
        <f t="shared" si="9"/>
        <v>0</v>
      </c>
      <c r="AN44" s="272">
        <f t="shared" si="9"/>
        <v>0</v>
      </c>
      <c r="AO44" s="245">
        <f t="shared" si="9"/>
        <v>0</v>
      </c>
      <c r="AP44" s="272">
        <f t="shared" si="9"/>
        <v>0</v>
      </c>
      <c r="AQ44" s="272">
        <f t="shared" si="9"/>
        <v>0</v>
      </c>
      <c r="AR44" s="272">
        <f t="shared" si="9"/>
        <v>0</v>
      </c>
      <c r="AS44" s="272">
        <f t="shared" si="9"/>
        <v>0</v>
      </c>
      <c r="AT44" s="272">
        <f t="shared" si="9"/>
        <v>0</v>
      </c>
      <c r="AU44" s="272">
        <f t="shared" si="9"/>
        <v>0</v>
      </c>
      <c r="AV44" s="272">
        <f t="shared" si="9"/>
        <v>0</v>
      </c>
      <c r="AW44" s="272">
        <f t="shared" si="9"/>
        <v>0</v>
      </c>
      <c r="AX44" s="272">
        <f t="shared" si="9"/>
        <v>0</v>
      </c>
      <c r="AY44" s="1290"/>
      <c r="AZ44" s="265"/>
      <c r="BA44" s="265"/>
      <c r="BB44" s="1002" t="s">
        <v>1332</v>
      </c>
    </row>
    <row r="45" spans="1:54" s="1229" customFormat="1" ht="16.5" customHeight="1">
      <c r="A45" s="1153"/>
      <c r="B45" s="783"/>
      <c r="C45" s="1153"/>
      <c r="D45" s="1153"/>
      <c r="E45" s="676">
        <v>17</v>
      </c>
      <c r="F45" s="779" t="str" cm="1">
        <f t="array" ref="F45">F44</f>
        <v>2</v>
      </c>
      <c r="G45" s="425"/>
      <c r="H45" s="425"/>
      <c r="I45" s="425"/>
      <c r="J45" s="425"/>
      <c r="K45" s="425"/>
      <c r="L45" s="425"/>
      <c r="M45" s="425"/>
      <c r="N45" s="425"/>
      <c r="O45" s="425"/>
      <c r="P45" s="425"/>
      <c r="Q45" s="784"/>
      <c r="R45" s="784"/>
      <c r="S45" s="425"/>
      <c r="T45" s="687" t="b" cm="1">
        <f t="array" ref="T45">T44</f>
        <v>1</v>
      </c>
      <c r="U45" s="1153"/>
      <c r="V45" s="1153"/>
      <c r="W45" s="1153"/>
      <c r="X45" s="1726"/>
      <c r="Y45" s="1153"/>
      <c r="Z45" s="1726"/>
      <c r="AA45" s="170"/>
      <c r="AB45" s="124" t="s">
        <v>484</v>
      </c>
      <c r="AC45" s="115" t="s">
        <v>1333</v>
      </c>
      <c r="AD45" s="124" t="s">
        <v>839</v>
      </c>
      <c r="AE45" s="247"/>
      <c r="AF45" s="273"/>
      <c r="AG45" s="273"/>
      <c r="AH45" s="273"/>
      <c r="AI45" s="273"/>
      <c r="AJ45" s="1366"/>
      <c r="AK45" s="1366"/>
      <c r="AL45" s="1366"/>
      <c r="AM45" s="1366"/>
      <c r="AN45" s="1366"/>
      <c r="AO45" s="247"/>
      <c r="AP45" s="273"/>
      <c r="AQ45" s="273"/>
      <c r="AR45" s="273"/>
      <c r="AS45" s="273"/>
      <c r="AT45" s="1366"/>
      <c r="AU45" s="1366"/>
      <c r="AV45" s="1366"/>
      <c r="AW45" s="1366"/>
      <c r="AX45" s="1366"/>
      <c r="AY45" s="1290"/>
      <c r="AZ45" s="170"/>
      <c r="BA45" s="170"/>
      <c r="BB45" s="1002" t="s">
        <v>1334</v>
      </c>
    </row>
    <row r="46" spans="1:54" s="1229" customFormat="1" ht="16.5" customHeight="1">
      <c r="A46" s="1153"/>
      <c r="B46" s="783"/>
      <c r="C46" s="1153"/>
      <c r="D46" s="1153"/>
      <c r="E46" s="676">
        <v>17</v>
      </c>
      <c r="F46" s="779" t="str" cm="1">
        <f t="array" ref="F46">F45</f>
        <v>2</v>
      </c>
      <c r="G46" s="425"/>
      <c r="H46" s="425"/>
      <c r="I46" s="425"/>
      <c r="J46" s="425"/>
      <c r="K46" s="425"/>
      <c r="L46" s="425"/>
      <c r="M46" s="425"/>
      <c r="N46" s="425"/>
      <c r="O46" s="425"/>
      <c r="P46" s="425"/>
      <c r="Q46" s="784"/>
      <c r="R46" s="784"/>
      <c r="S46" s="425"/>
      <c r="T46" s="687" t="b" cm="1">
        <f t="array" ref="T46">T45</f>
        <v>1</v>
      </c>
      <c r="U46" s="1153"/>
      <c r="V46" s="1153"/>
      <c r="W46" s="1153"/>
      <c r="X46" s="1726"/>
      <c r="Y46" s="1153"/>
      <c r="Z46" s="1726"/>
      <c r="AA46" s="170"/>
      <c r="AB46" s="124" t="s">
        <v>989</v>
      </c>
      <c r="AC46" s="115" t="s">
        <v>1335</v>
      </c>
      <c r="AD46" s="124" t="s">
        <v>839</v>
      </c>
      <c r="AE46" s="247"/>
      <c r="AF46" s="273"/>
      <c r="AG46" s="273"/>
      <c r="AH46" s="273"/>
      <c r="AI46" s="273"/>
      <c r="AJ46" s="1366"/>
      <c r="AK46" s="1366"/>
      <c r="AL46" s="1366"/>
      <c r="AM46" s="1366"/>
      <c r="AN46" s="1366"/>
      <c r="AO46" s="247"/>
      <c r="AP46" s="273"/>
      <c r="AQ46" s="273"/>
      <c r="AR46" s="273"/>
      <c r="AS46" s="273"/>
      <c r="AT46" s="1366"/>
      <c r="AU46" s="1366"/>
      <c r="AV46" s="1366"/>
      <c r="AW46" s="1366"/>
      <c r="AX46" s="1366"/>
      <c r="AY46" s="1290"/>
      <c r="AZ46" s="170"/>
      <c r="BA46" s="170"/>
      <c r="BB46" s="1002" t="s">
        <v>1336</v>
      </c>
    </row>
    <row r="47" spans="1:54" s="1229" customFormat="1" ht="33" customHeight="1">
      <c r="A47" s="1153"/>
      <c r="B47" s="783"/>
      <c r="C47" s="1153"/>
      <c r="D47" s="1153"/>
      <c r="E47" s="676">
        <v>34.200000000000003</v>
      </c>
      <c r="F47" s="779" t="str" cm="1">
        <f t="array" ref="F47">F46</f>
        <v>2</v>
      </c>
      <c r="G47" s="425"/>
      <c r="H47" s="425"/>
      <c r="I47" s="425"/>
      <c r="J47" s="425"/>
      <c r="K47" s="425"/>
      <c r="L47" s="425"/>
      <c r="M47" s="425"/>
      <c r="N47" s="425"/>
      <c r="O47" s="425"/>
      <c r="P47" s="425"/>
      <c r="Q47" s="784"/>
      <c r="R47" s="784"/>
      <c r="S47" s="425"/>
      <c r="T47" s="687" t="b" cm="1">
        <f t="array" ref="T47">T46</f>
        <v>1</v>
      </c>
      <c r="U47" s="1153"/>
      <c r="V47" s="1153"/>
      <c r="W47" s="1153"/>
      <c r="X47" s="1726"/>
      <c r="Y47" s="1153"/>
      <c r="Z47" s="1726"/>
      <c r="AA47" s="170"/>
      <c r="AB47" s="124" t="s">
        <v>991</v>
      </c>
      <c r="AC47" s="115" t="s">
        <v>1337</v>
      </c>
      <c r="AD47" s="124" t="s">
        <v>839</v>
      </c>
      <c r="AE47" s="247"/>
      <c r="AF47" s="273"/>
      <c r="AG47" s="273"/>
      <c r="AH47" s="273"/>
      <c r="AI47" s="273"/>
      <c r="AJ47" s="1366"/>
      <c r="AK47" s="1366"/>
      <c r="AL47" s="1366"/>
      <c r="AM47" s="1366"/>
      <c r="AN47" s="1366"/>
      <c r="AO47" s="247"/>
      <c r="AP47" s="273"/>
      <c r="AQ47" s="273"/>
      <c r="AR47" s="273"/>
      <c r="AS47" s="273"/>
      <c r="AT47" s="1366"/>
      <c r="AU47" s="1366"/>
      <c r="AV47" s="1366"/>
      <c r="AW47" s="1366"/>
      <c r="AX47" s="1366"/>
      <c r="AY47" s="1290"/>
      <c r="AZ47" s="170"/>
      <c r="BA47" s="170"/>
      <c r="BB47" s="1002" t="s">
        <v>1338</v>
      </c>
    </row>
    <row r="48" spans="1:54" s="1229" customFormat="1" ht="16.5" customHeight="1">
      <c r="A48" s="1153"/>
      <c r="B48" s="783"/>
      <c r="C48" s="1153"/>
      <c r="D48" s="1153"/>
      <c r="E48" s="676">
        <v>17</v>
      </c>
      <c r="F48" s="779" t="str" cm="1">
        <f t="array" ref="F48">F47</f>
        <v>2</v>
      </c>
      <c r="G48" s="425"/>
      <c r="H48" s="425"/>
      <c r="I48" s="425"/>
      <c r="J48" s="425"/>
      <c r="K48" s="425"/>
      <c r="L48" s="425"/>
      <c r="M48" s="425"/>
      <c r="N48" s="425"/>
      <c r="O48" s="425"/>
      <c r="P48" s="425"/>
      <c r="Q48" s="784"/>
      <c r="R48" s="784"/>
      <c r="S48" s="425"/>
      <c r="T48" s="687" t="b" cm="1">
        <f t="array" ref="T48">T47</f>
        <v>1</v>
      </c>
      <c r="U48" s="1153"/>
      <c r="V48" s="1153"/>
      <c r="W48" s="1153"/>
      <c r="X48" s="1726"/>
      <c r="Y48" s="1153"/>
      <c r="Z48" s="1726"/>
      <c r="AA48" s="170"/>
      <c r="AB48" s="124" t="s">
        <v>348</v>
      </c>
      <c r="AC48" s="269" t="s">
        <v>1339</v>
      </c>
      <c r="AD48" s="124" t="s">
        <v>533</v>
      </c>
      <c r="AE48" s="941">
        <f ca="1">SUMIFS(Сценарии!AE$25:AE$110,Сценарии!$F$25:$F$110,$F48,Сценарии!$AC$25:$AC$110,"Индекс потребительских цен")</f>
        <v>0</v>
      </c>
      <c r="AF48" s="941">
        <f ca="1">SUMIFS(Сценарии!AF$25:AF$110,Сценарии!$F$25:$F$110,$F48,Сценарии!$AC$25:$AC$110,"Индекс потребительских цен")</f>
        <v>0</v>
      </c>
      <c r="AG48" s="941">
        <f ca="1">SUMIFS(Сценарии!AG$25:AG$110,Сценарии!$F$25:$F$110,$F48,Сценарии!$AC$25:$AC$110,"Индекс потребительских цен")</f>
        <v>0</v>
      </c>
      <c r="AH48" s="941">
        <f ca="1">SUMIFS(Сценарии!AH$25:AH$110,Сценарии!$F$25:$F$110,$F48,Сценарии!$AC$25:$AC$110,"Индекс потребительских цен")</f>
        <v>0</v>
      </c>
      <c r="AI48" s="941">
        <f ca="1">SUMIFS(Сценарии!AI$25:AI$110,Сценарии!$F$25:$F$110,$F48,Сценарии!$AC$25:$AC$110,"Индекс потребительских цен")</f>
        <v>0</v>
      </c>
      <c r="AJ48" s="941">
        <f ca="1">SUMIFS(Сценарии!AJ$25:AJ$110,Сценарии!$F$25:$F$110,$F48,Сценарии!$AC$25:$AC$110,"Индекс потребительских цен")</f>
        <v>0</v>
      </c>
      <c r="AK48" s="941">
        <f ca="1">SUMIFS(Сценарии!AK$25:AK$110,Сценарии!$F$25:$F$110,$F48,Сценарии!$AC$25:$AC$110,"Индекс потребительских цен")</f>
        <v>0</v>
      </c>
      <c r="AL48" s="941">
        <f ca="1">SUMIFS(Сценарии!AL$25:AL$110,Сценарии!$F$25:$F$110,$F48,Сценарии!$AC$25:$AC$110,"Индекс потребительских цен")</f>
        <v>0</v>
      </c>
      <c r="AM48" s="941">
        <f ca="1">SUMIFS(Сценарии!AM$25:AM$110,Сценарии!$F$25:$F$110,$F48,Сценарии!$AC$25:$AC$110,"Индекс потребительских цен")</f>
        <v>0</v>
      </c>
      <c r="AN48" s="941">
        <f ca="1">SUMIFS(Сценарии!AN$25:AN$110,Сценарии!$F$25:$F$110,$F48,Сценарии!$AC$25:$AC$110,"Индекс потребительских цен")</f>
        <v>0</v>
      </c>
      <c r="AO48" s="941">
        <f ca="1">SUMIFS(Сценарии!AO$25:AO$110,Сценарии!$F$25:$F$110,$F48,Сценарии!$AC$25:$AC$110,"Индекс потребительских цен")</f>
        <v>0</v>
      </c>
      <c r="AP48" s="941">
        <f ca="1">SUMIFS(Сценарии!AP$25:AP$110,Сценарии!$F$25:$F$110,$F48,Сценарии!$AC$25:$AC$110,"Индекс потребительских цен")</f>
        <v>0</v>
      </c>
      <c r="AQ48" s="941">
        <f ca="1">SUMIFS(Сценарии!AQ$25:AQ$110,Сценарии!$F$25:$F$110,$F48,Сценарии!$AC$25:$AC$110,"Индекс потребительских цен")</f>
        <v>0</v>
      </c>
      <c r="AR48" s="941">
        <f ca="1">SUMIFS(Сценарии!AR$25:AR$110,Сценарии!$F$25:$F$110,$F48,Сценарии!$AC$25:$AC$110,"Индекс потребительских цен")</f>
        <v>0</v>
      </c>
      <c r="AS48" s="941">
        <f ca="1">SUMIFS(Сценарии!AS$25:AS$110,Сценарии!$F$25:$F$110,$F48,Сценарии!$AC$25:$AC$110,"Индекс потребительских цен")</f>
        <v>0</v>
      </c>
      <c r="AT48" s="941">
        <f ca="1">SUMIFS(Сценарии!AT$25:AT$110,Сценарии!$F$25:$F$110,$F48,Сценарии!$AC$25:$AC$110,"Индекс потребительских цен")</f>
        <v>0</v>
      </c>
      <c r="AU48" s="941">
        <f ca="1">SUMIFS(Сценарии!AU$25:AU$110,Сценарии!$F$25:$F$110,$F48,Сценарии!$AC$25:$AC$110,"Индекс потребительских цен")</f>
        <v>0</v>
      </c>
      <c r="AV48" s="941">
        <f ca="1">SUMIFS(Сценарии!AV$25:AV$110,Сценарии!$F$25:$F$110,$F48,Сценарии!$AC$25:$AC$110,"Индекс потребительских цен")</f>
        <v>0</v>
      </c>
      <c r="AW48" s="941">
        <f ca="1">SUMIFS(Сценарии!AW$25:AW$110,Сценарии!$F$25:$F$110,$F48,Сценарии!$AC$25:$AC$110,"Индекс потребительских цен")</f>
        <v>0</v>
      </c>
      <c r="AX48" s="941">
        <f ca="1">SUMIFS(Сценарии!AX$25:AX$110,Сценарии!$F$25:$F$110,$F48,Сценарии!$AC$25:$AC$110,"Индекс потребительских цен")</f>
        <v>0</v>
      </c>
      <c r="AY48" s="1290"/>
      <c r="AZ48" s="170"/>
      <c r="BA48" s="170"/>
      <c r="BB48" s="1002" t="s">
        <v>548</v>
      </c>
    </row>
    <row r="49" spans="1:54" s="1229" customFormat="1" ht="16.5" customHeight="1">
      <c r="A49" s="1153"/>
      <c r="B49" s="783"/>
      <c r="C49" s="1153"/>
      <c r="D49" s="1153"/>
      <c r="E49" s="676">
        <v>17</v>
      </c>
      <c r="F49" s="779" t="str" cm="1">
        <f t="array" ref="F49">F48</f>
        <v>2</v>
      </c>
      <c r="G49" s="425"/>
      <c r="H49" s="425"/>
      <c r="I49" s="425"/>
      <c r="J49" s="425"/>
      <c r="K49" s="425"/>
      <c r="L49" s="425"/>
      <c r="M49" s="425"/>
      <c r="N49" s="425"/>
      <c r="O49" s="425"/>
      <c r="P49" s="425"/>
      <c r="Q49" s="784"/>
      <c r="R49" s="784"/>
      <c r="S49" s="425"/>
      <c r="T49" s="687" t="b" cm="1">
        <f t="array" ref="T49">T48</f>
        <v>1</v>
      </c>
      <c r="U49" s="1153"/>
      <c r="V49" s="1153"/>
      <c r="W49" s="1153"/>
      <c r="X49" s="1726"/>
      <c r="Y49" s="1153"/>
      <c r="Z49" s="1726"/>
      <c r="AA49" s="170"/>
      <c r="AB49" s="270">
        <v>3</v>
      </c>
      <c r="AC49" s="269" t="s">
        <v>1340</v>
      </c>
      <c r="AD49" s="124"/>
      <c r="AE49" s="329">
        <f ca="1">1+AE48%</f>
        <v>1</v>
      </c>
      <c r="AF49" s="330">
        <f t="shared" ref="AF49:AN49" ca="1" si="10">AE49*(1+AF48%)</f>
        <v>1</v>
      </c>
      <c r="AG49" s="330">
        <f t="shared" ca="1" si="10"/>
        <v>1</v>
      </c>
      <c r="AH49" s="330">
        <f t="shared" ca="1" si="10"/>
        <v>1</v>
      </c>
      <c r="AI49" s="330">
        <f t="shared" ca="1" si="10"/>
        <v>1</v>
      </c>
      <c r="AJ49" s="1367">
        <f t="shared" ca="1" si="10"/>
        <v>1</v>
      </c>
      <c r="AK49" s="1367">
        <f t="shared" ca="1" si="10"/>
        <v>1</v>
      </c>
      <c r="AL49" s="1367">
        <f t="shared" ca="1" si="10"/>
        <v>1</v>
      </c>
      <c r="AM49" s="1367">
        <f t="shared" ca="1" si="10"/>
        <v>1</v>
      </c>
      <c r="AN49" s="1367">
        <f t="shared" ca="1" si="10"/>
        <v>1</v>
      </c>
      <c r="AO49" s="329">
        <f ca="1">1+AO48%</f>
        <v>1</v>
      </c>
      <c r="AP49" s="330">
        <f t="shared" ref="AP49:AX49" ca="1" si="11">AO49*(1+AP48%)</f>
        <v>1</v>
      </c>
      <c r="AQ49" s="330">
        <f t="shared" ca="1" si="11"/>
        <v>1</v>
      </c>
      <c r="AR49" s="330">
        <f t="shared" ca="1" si="11"/>
        <v>1</v>
      </c>
      <c r="AS49" s="330">
        <f t="shared" ca="1" si="11"/>
        <v>1</v>
      </c>
      <c r="AT49" s="1367">
        <f t="shared" ca="1" si="11"/>
        <v>1</v>
      </c>
      <c r="AU49" s="1367">
        <f t="shared" ca="1" si="11"/>
        <v>1</v>
      </c>
      <c r="AV49" s="1367">
        <f t="shared" ca="1" si="11"/>
        <v>1</v>
      </c>
      <c r="AW49" s="1367">
        <f t="shared" ca="1" si="11"/>
        <v>1</v>
      </c>
      <c r="AX49" s="1367">
        <f t="shared" ca="1" si="11"/>
        <v>1</v>
      </c>
      <c r="AY49" s="1290"/>
      <c r="AZ49" s="170"/>
      <c r="BA49" s="170"/>
      <c r="BB49" s="1002" t="s">
        <v>1341</v>
      </c>
    </row>
    <row r="50" spans="1:54" s="1370" customFormat="1" ht="16.5" customHeight="1">
      <c r="A50" s="265"/>
      <c r="B50" s="265"/>
      <c r="C50" s="265"/>
      <c r="D50" s="265"/>
      <c r="E50" s="676">
        <v>17</v>
      </c>
      <c r="F50" s="779" t="str" cm="1">
        <f t="array" ref="F50">F49</f>
        <v>2</v>
      </c>
      <c r="G50" s="620" t="s">
        <v>1342</v>
      </c>
      <c r="H50" s="265"/>
      <c r="I50" s="265"/>
      <c r="J50" s="265"/>
      <c r="K50" s="265"/>
      <c r="L50" s="265"/>
      <c r="M50" s="265"/>
      <c r="N50" s="265"/>
      <c r="O50" s="265"/>
      <c r="P50" s="265"/>
      <c r="Q50" s="265"/>
      <c r="R50" s="265"/>
      <c r="S50" s="265"/>
      <c r="T50" s="687" t="b" cm="1">
        <f t="array" ref="T50">T49</f>
        <v>1</v>
      </c>
      <c r="U50" s="265"/>
      <c r="V50" s="265"/>
      <c r="W50" s="265"/>
      <c r="X50" s="1816"/>
      <c r="Y50" s="265"/>
      <c r="Z50" s="1816"/>
      <c r="AA50" s="265"/>
      <c r="AB50" s="271" t="s">
        <v>440</v>
      </c>
      <c r="AC50" s="114" t="s">
        <v>1343</v>
      </c>
      <c r="AD50" s="271" t="s">
        <v>839</v>
      </c>
      <c r="AE50" s="245">
        <f t="shared" ref="AE50:AX50" ca="1" si="12">AE44*AE49</f>
        <v>0</v>
      </c>
      <c r="AF50" s="245">
        <f t="shared" ca="1" si="12"/>
        <v>0</v>
      </c>
      <c r="AG50" s="245">
        <f t="shared" ca="1" si="12"/>
        <v>0</v>
      </c>
      <c r="AH50" s="245">
        <f t="shared" ca="1" si="12"/>
        <v>0</v>
      </c>
      <c r="AI50" s="245">
        <f t="shared" ca="1" si="12"/>
        <v>0</v>
      </c>
      <c r="AJ50" s="245">
        <f t="shared" ca="1" si="12"/>
        <v>0</v>
      </c>
      <c r="AK50" s="245">
        <f t="shared" ca="1" si="12"/>
        <v>0</v>
      </c>
      <c r="AL50" s="245">
        <f t="shared" ca="1" si="12"/>
        <v>0</v>
      </c>
      <c r="AM50" s="245">
        <f t="shared" ca="1" si="12"/>
        <v>0</v>
      </c>
      <c r="AN50" s="245">
        <f t="shared" ca="1" si="12"/>
        <v>0</v>
      </c>
      <c r="AO50" s="245">
        <f t="shared" ca="1" si="12"/>
        <v>0</v>
      </c>
      <c r="AP50" s="245">
        <f t="shared" ca="1" si="12"/>
        <v>0</v>
      </c>
      <c r="AQ50" s="245">
        <f t="shared" ca="1" si="12"/>
        <v>0</v>
      </c>
      <c r="AR50" s="245">
        <f t="shared" ca="1" si="12"/>
        <v>0</v>
      </c>
      <c r="AS50" s="245">
        <f t="shared" ca="1" si="12"/>
        <v>0</v>
      </c>
      <c r="AT50" s="245">
        <f t="shared" ca="1" si="12"/>
        <v>0</v>
      </c>
      <c r="AU50" s="245">
        <f t="shared" ca="1" si="12"/>
        <v>0</v>
      </c>
      <c r="AV50" s="245">
        <f t="shared" ca="1" si="12"/>
        <v>0</v>
      </c>
      <c r="AW50" s="245">
        <f t="shared" ca="1" si="12"/>
        <v>0</v>
      </c>
      <c r="AX50" s="245">
        <f t="shared" ca="1" si="12"/>
        <v>0</v>
      </c>
      <c r="AY50" s="1290"/>
      <c r="AZ50" s="265"/>
      <c r="BA50" s="265"/>
      <c r="BB50" s="1002" t="s">
        <v>1344</v>
      </c>
    </row>
    <row r="51" spans="1:54" ht="11.1" customHeight="1">
      <c r="E51" s="676">
        <v>11.4</v>
      </c>
      <c r="U51" s="129" t="s">
        <v>238</v>
      </c>
      <c r="V51" s="122" t="s">
        <v>1345</v>
      </c>
    </row>
    <row r="52" spans="1:54" ht="11.25" hidden="1" customHeight="1">
      <c r="E52" s="676">
        <v>0</v>
      </c>
    </row>
    <row r="53" spans="1:54" ht="14.65" customHeight="1">
      <c r="E53" s="676">
        <v>15</v>
      </c>
      <c r="AB53" s="1802" t="s">
        <v>734</v>
      </c>
      <c r="AC53" s="1802"/>
      <c r="AD53" s="1802"/>
      <c r="AE53" s="1802"/>
      <c r="AF53" s="1802"/>
      <c r="AG53" s="1802"/>
      <c r="AH53" s="1802"/>
      <c r="AI53" s="1802"/>
      <c r="AJ53" s="1802"/>
      <c r="AK53" s="1802"/>
      <c r="AL53" s="1802"/>
      <c r="AM53" s="1802"/>
      <c r="AN53" s="1802"/>
      <c r="AO53" s="1802"/>
      <c r="AP53" s="1802"/>
      <c r="AQ53" s="1802"/>
      <c r="AR53" s="1802"/>
      <c r="AS53" s="1802"/>
      <c r="AT53" s="1802"/>
      <c r="AU53" s="1802"/>
      <c r="AV53" s="1802"/>
      <c r="AW53" s="1802"/>
      <c r="AX53" s="1803"/>
      <c r="AY53" s="1803"/>
    </row>
    <row r="54" spans="1:54" ht="14.65" customHeight="1">
      <c r="E54" s="676">
        <v>15</v>
      </c>
      <c r="AA54" s="778"/>
      <c r="AB54" s="1817"/>
      <c r="AC54" s="1818"/>
      <c r="AD54" s="1818"/>
      <c r="AE54" s="1818"/>
      <c r="AF54" s="1818"/>
      <c r="AG54" s="1818"/>
      <c r="AH54" s="1818"/>
      <c r="AI54" s="1818"/>
      <c r="AJ54" s="1818"/>
      <c r="AK54" s="1818"/>
      <c r="AL54" s="1818"/>
      <c r="AM54" s="1818"/>
      <c r="AN54" s="1818"/>
      <c r="AO54" s="1818"/>
      <c r="AP54" s="1818"/>
      <c r="AQ54" s="1818"/>
      <c r="AR54" s="1818"/>
      <c r="AS54" s="1818"/>
      <c r="AT54" s="1818"/>
      <c r="AU54" s="1818"/>
      <c r="AV54" s="1818"/>
      <c r="AW54" s="1818"/>
      <c r="AX54" s="1819"/>
      <c r="AY54" s="1819"/>
    </row>
    <row r="55" spans="1:54" ht="14.65" hidden="1" customHeight="1">
      <c r="E55" s="676">
        <v>15</v>
      </c>
      <c r="T55" s="687" t="b">
        <f>ROW(W55)&gt;ROW(W$55)</f>
        <v>0</v>
      </c>
      <c r="W55" s="126" t="s">
        <v>236</v>
      </c>
      <c r="AA55" s="774" t="s">
        <v>218</v>
      </c>
      <c r="AB55" s="1820"/>
      <c r="AC55" s="1818"/>
      <c r="AD55" s="1818"/>
      <c r="AE55" s="1818"/>
      <c r="AF55" s="1818"/>
      <c r="AG55" s="1818"/>
      <c r="AH55" s="1818"/>
      <c r="AI55" s="1818"/>
      <c r="AJ55" s="1818"/>
      <c r="AK55" s="1818"/>
      <c r="AL55" s="1818"/>
      <c r="AM55" s="1818"/>
      <c r="AN55" s="1818"/>
      <c r="AO55" s="1818"/>
      <c r="AP55" s="1818"/>
      <c r="AQ55" s="1818"/>
      <c r="AR55" s="1818"/>
      <c r="AS55" s="1818"/>
      <c r="AT55" s="1818"/>
      <c r="AU55" s="1818"/>
      <c r="AV55" s="1818"/>
      <c r="AW55" s="1818"/>
      <c r="AX55" s="1819"/>
      <c r="AY55" s="1819"/>
    </row>
    <row r="56" spans="1:54" ht="14.65" customHeight="1">
      <c r="E56" s="676">
        <v>15</v>
      </c>
      <c r="W56" s="122" t="s">
        <v>237</v>
      </c>
      <c r="AA56" s="163"/>
      <c r="AB56" s="1736" t="s">
        <v>735</v>
      </c>
      <c r="AC56" s="1737"/>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294"/>
    </row>
    <row r="57" spans="1:54" ht="11.25" customHeight="1">
      <c r="AZ57" s="151"/>
    </row>
  </sheetData>
  <sheetProtection formatColumns="0" formatRows="0" insertRows="0" deleteColumns="0" deleteRows="0" sort="0" autoFilter="0"/>
  <mergeCells count="14">
    <mergeCell ref="AB24:AB25"/>
    <mergeCell ref="AC24:AC25"/>
    <mergeCell ref="AD24:AD25"/>
    <mergeCell ref="AY24:AY25"/>
    <mergeCell ref="AB55:AY55"/>
    <mergeCell ref="Z27:Z34"/>
    <mergeCell ref="X27:X34"/>
    <mergeCell ref="AB56:AC56"/>
    <mergeCell ref="AB53:AY53"/>
    <mergeCell ref="AB54:AY54"/>
    <mergeCell ref="Z35:Z42"/>
    <mergeCell ref="X35:X42"/>
    <mergeCell ref="Z43:Z50"/>
    <mergeCell ref="X43:X50"/>
  </mergeCells>
  <dataValidations count="1">
    <dataValidation allowBlank="1" showInputMessage="1" showErrorMessage="1" sqref="AY53:AY55"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7FF4-320B-1AC5-55D1-D984B40BBCBC}">
  <sheetPr>
    <tabColor rgb="FF92D050"/>
    <outlinePr summaryBelow="0" summaryRight="0"/>
    <pageSetUpPr fitToPage="1"/>
  </sheetPr>
  <dimension ref="A1:AV108"/>
  <sheetViews>
    <sheetView showGridLines="0" workbookViewId="0">
      <pane xSplit="30" ySplit="26" topLeftCell="AH51" activePane="bottomRight" state="frozen"/>
      <selection pane="topRight" activeCell="AE1" sqref="AE1"/>
      <selection pane="bottomLeft" activeCell="A27" sqref="A27"/>
      <selection pane="bottomRight" activeCell="AI92" sqref="AI92"/>
    </sheetView>
  </sheetViews>
  <sheetFormatPr defaultColWidth="9.140625" defaultRowHeight="11.25" customHeight="1"/>
  <cols>
    <col min="1" max="1" width="3.5703125" style="178" hidden="1" customWidth="1"/>
    <col min="2" max="2" width="8.5703125" style="783" hidden="1" customWidth="1"/>
    <col min="3" max="4" width="3.5703125" style="178" hidden="1" customWidth="1"/>
    <col min="5" max="5" width="8.42578125" style="782"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7" width="12.5703125" style="180" customWidth="1"/>
    <col min="38" max="38" width="38.140625" style="180" customWidth="1"/>
    <col min="39" max="39" width="19" style="180" customWidth="1"/>
    <col min="40" max="40" width="17.28515625" style="180" customWidth="1"/>
    <col min="41" max="41" width="31.28515625" style="180" customWidth="1"/>
    <col min="42" max="42" width="3" style="180" customWidth="1"/>
    <col min="43" max="43" width="9.140625" style="180" hidden="1"/>
    <col min="44" max="46" width="9.140625" style="1031" hidden="1"/>
    <col min="47" max="48" width="9.140625" style="1032" hidden="1"/>
  </cols>
  <sheetData>
    <row r="1" spans="1:48" s="178" customFormat="1" ht="12" hidden="1" customHeight="1">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C1" s="698" t="s">
        <v>92</v>
      </c>
      <c r="AR1" s="1031" t="s">
        <v>383</v>
      </c>
      <c r="AS1" s="1031" t="s">
        <v>384</v>
      </c>
      <c r="AT1" s="1031" t="s">
        <v>385</v>
      </c>
      <c r="AU1" s="1032" t="s">
        <v>388</v>
      </c>
      <c r="AV1" s="1032" t="s">
        <v>389</v>
      </c>
    </row>
    <row r="2" spans="1:48" s="783" customFormat="1" ht="12" hidden="1" customHeight="1">
      <c r="B2" s="768" t="s">
        <v>15</v>
      </c>
      <c r="G2" s="786"/>
      <c r="H2" s="786"/>
      <c r="I2" s="786"/>
      <c r="J2" s="786"/>
      <c r="K2" s="786"/>
      <c r="L2" s="786"/>
      <c r="M2" s="786"/>
      <c r="N2" s="786"/>
      <c r="O2" s="786"/>
      <c r="P2" s="786"/>
      <c r="Q2" s="786"/>
      <c r="R2" s="786"/>
      <c r="S2" s="786"/>
      <c r="AC2" s="671"/>
      <c r="AJ2" s="1371"/>
      <c r="AK2" s="1371"/>
      <c r="AL2" s="1371"/>
      <c r="AR2" s="973"/>
      <c r="AS2" s="973"/>
      <c r="AT2" s="973"/>
      <c r="AU2" s="985"/>
      <c r="AV2" s="985"/>
    </row>
    <row r="3" spans="1:48" s="178" customFormat="1" ht="12" hidden="1" customHeight="1">
      <c r="B3" s="667"/>
      <c r="E3" s="667"/>
      <c r="G3" s="180"/>
      <c r="H3" s="180"/>
      <c r="I3" s="180"/>
      <c r="J3" s="180"/>
      <c r="K3" s="180"/>
      <c r="L3" s="180"/>
      <c r="M3" s="180"/>
      <c r="N3" s="180"/>
      <c r="O3" s="180"/>
      <c r="P3" s="180"/>
      <c r="Q3" s="143"/>
      <c r="R3" s="143"/>
      <c r="S3" s="180"/>
      <c r="T3" s="126"/>
      <c r="U3" s="126"/>
      <c r="V3" s="126"/>
      <c r="W3" s="126"/>
      <c r="X3" s="126"/>
      <c r="Y3" s="126"/>
      <c r="Z3" s="126"/>
      <c r="AC3" s="182"/>
      <c r="AR3" s="1031"/>
      <c r="AS3" s="1031"/>
      <c r="AT3" s="1031"/>
      <c r="AU3" s="1032"/>
      <c r="AV3" s="1032"/>
    </row>
    <row r="4" spans="1:48" s="178" customFormat="1" ht="12" hidden="1" customHeight="1">
      <c r="B4" s="667"/>
      <c r="E4" s="667"/>
      <c r="G4" s="180"/>
      <c r="H4" s="180"/>
      <c r="I4" s="180"/>
      <c r="J4" s="180"/>
      <c r="K4" s="180"/>
      <c r="L4" s="180"/>
      <c r="M4" s="180"/>
      <c r="N4" s="180"/>
      <c r="O4" s="180"/>
      <c r="P4" s="180"/>
      <c r="Q4" s="143"/>
      <c r="R4" s="143"/>
      <c r="S4" s="180"/>
      <c r="T4" s="126"/>
      <c r="U4" s="126"/>
      <c r="V4" s="126"/>
      <c r="W4" s="126"/>
      <c r="X4" s="126"/>
      <c r="Y4" s="126"/>
      <c r="Z4" s="126"/>
      <c r="AC4" s="182"/>
      <c r="AR4" s="1031"/>
      <c r="AS4" s="1031"/>
      <c r="AT4" s="1031"/>
      <c r="AU4" s="1032"/>
      <c r="AV4" s="1032"/>
    </row>
    <row r="5" spans="1:48"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12.63</v>
      </c>
      <c r="AF5" s="676">
        <v>12.63</v>
      </c>
      <c r="AG5" s="676">
        <v>12.63</v>
      </c>
      <c r="AH5" s="676">
        <v>19.13</v>
      </c>
      <c r="AI5" s="676">
        <v>12.63</v>
      </c>
      <c r="AJ5" s="676">
        <v>12.63</v>
      </c>
      <c r="AK5" s="676">
        <v>12.63</v>
      </c>
      <c r="AL5" s="676">
        <v>38.130000000000003</v>
      </c>
      <c r="AM5" s="676">
        <v>19</v>
      </c>
      <c r="AN5" s="676">
        <v>17.25</v>
      </c>
      <c r="AO5" s="676">
        <v>31.25</v>
      </c>
      <c r="AP5" s="676">
        <v>3</v>
      </c>
      <c r="AR5" s="973"/>
      <c r="AS5" s="973"/>
      <c r="AT5" s="973"/>
      <c r="AU5" s="985"/>
      <c r="AV5" s="985"/>
    </row>
    <row r="6" spans="1:48" s="178" customFormat="1" ht="12" hidden="1" customHeight="1">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cm="1">
        <f t="array" ref="AK6">god</f>
        <v>2026</v>
      </c>
      <c r="AL6" s="126" cm="1">
        <f t="array" ref="AL6">god</f>
        <v>2026</v>
      </c>
      <c r="AR6" s="1031"/>
      <c r="AS6" s="1031"/>
      <c r="AT6" s="1031"/>
      <c r="AU6" s="1032"/>
      <c r="AV6" s="1032"/>
    </row>
    <row r="7" spans="1:48" ht="12" hidden="1" customHeight="1">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$AK$25</f>
        <v>Принято органом регулирования</v>
      </c>
      <c r="AL7" s="163"/>
    </row>
    <row r="8" spans="1:48" ht="12" hidden="1" customHeight="1">
      <c r="F8" s="180"/>
      <c r="T8" s="163"/>
      <c r="U8" s="163"/>
      <c r="V8" s="163"/>
      <c r="W8" s="163"/>
      <c r="X8" s="163"/>
      <c r="Y8" s="163"/>
      <c r="Z8" s="163"/>
      <c r="AB8" s="180"/>
      <c r="AD8" s="180"/>
      <c r="AE8" s="163" t="str">
        <f t="shared" ref="AE8:AK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2024отклонение факта по данным организации к факту принятому органом регулирования</v>
      </c>
      <c r="AI8" s="163" t="str">
        <f t="shared" si="0"/>
        <v>2025Принято органом регулирования</v>
      </c>
      <c r="AJ8" s="163" t="str">
        <f t="shared" si="0"/>
        <v>2026Предложение организации</v>
      </c>
      <c r="AK8" s="163" t="str">
        <f t="shared" si="0"/>
        <v>2026Принято органом регулирования</v>
      </c>
      <c r="AL8" s="163"/>
    </row>
    <row r="9" spans="1:48" s="1030" customFormat="1" ht="12" hidden="1" customHeight="1">
      <c r="A9" s="958" t="s">
        <v>472</v>
      </c>
      <c r="B9" s="951"/>
      <c r="E9" s="951"/>
      <c r="Q9" s="1008"/>
      <c r="R9" s="1008"/>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cm="1">
        <f t="array" ref="AK9">god</f>
        <v>2026</v>
      </c>
      <c r="AL9" s="1030" cm="1">
        <f t="array" ref="AL9">god</f>
        <v>2026</v>
      </c>
      <c r="AR9" s="1031"/>
      <c r="AS9" s="1031"/>
      <c r="AT9" s="1031"/>
      <c r="AU9" s="1032"/>
      <c r="AV9" s="1032"/>
    </row>
    <row r="10" spans="1:48" s="1030" customFormat="1" ht="12" hidden="1" customHeight="1">
      <c r="A10" s="958" t="s">
        <v>473</v>
      </c>
      <c r="B10" s="951"/>
      <c r="E10" s="951"/>
      <c r="Q10" s="1008"/>
      <c r="R10" s="1008"/>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Принято органом регулирования</v>
      </c>
      <c r="AL10" s="103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31"/>
      <c r="AS10" s="1031"/>
      <c r="AT10" s="1031"/>
      <c r="AU10" s="1032"/>
      <c r="AV10" s="1032"/>
    </row>
    <row r="11" spans="1:48" s="1030" customFormat="1" ht="12" hidden="1" customHeight="1">
      <c r="A11" s="958" t="s">
        <v>474</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M11" s="1030" t="str" cm="1">
        <f t="array" ref="AM11">AM24</f>
        <v>Указание на подтверждающие документы / URL-ссылка на копии подтверждающих документов</v>
      </c>
      <c r="AN11" s="1030" t="str" cm="1">
        <f t="array" ref="AN11">AN24</f>
        <v>Ссылка на правовую норму (основание для принятия показателя в расчет тарифа)</v>
      </c>
      <c r="AO11" s="103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31"/>
      <c r="AS11" s="1031"/>
      <c r="AT11" s="1031"/>
      <c r="AU11" s="1032"/>
      <c r="AV11" s="1032"/>
    </row>
    <row r="12" spans="1:48" s="1030" customFormat="1" ht="12" hidden="1" customHeight="1">
      <c r="A12" s="958" t="s">
        <v>394</v>
      </c>
      <c r="B12" s="951"/>
      <c r="E12" s="951"/>
      <c r="G12" s="1033"/>
      <c r="H12" s="1033"/>
      <c r="I12" s="1033"/>
      <c r="J12" s="1033"/>
      <c r="K12" s="1033"/>
      <c r="L12" s="1033"/>
      <c r="M12" s="1033"/>
      <c r="N12" s="1033"/>
      <c r="O12" s="1033"/>
      <c r="P12" s="1033"/>
      <c r="Q12" s="1010"/>
      <c r="R12" s="1010"/>
      <c r="S12" s="1033"/>
      <c r="T12" s="959"/>
      <c r="U12" s="959"/>
      <c r="V12" s="959"/>
      <c r="W12" s="959"/>
      <c r="X12" s="959"/>
      <c r="Y12" s="959"/>
      <c r="Z12" s="959"/>
      <c r="AC12" s="1034" t="s">
        <v>385</v>
      </c>
      <c r="AR12" s="1031"/>
      <c r="AS12" s="1031"/>
      <c r="AT12" s="1031"/>
      <c r="AU12" s="1032"/>
      <c r="AV12" s="1032"/>
    </row>
    <row r="13" spans="1:48" s="178" customFormat="1" ht="12" hidden="1" customHeight="1">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R13" s="1031"/>
      <c r="AS13" s="1031"/>
      <c r="AT13" s="1031"/>
      <c r="AU13" s="1032"/>
      <c r="AV13" s="1032"/>
    </row>
    <row r="14" spans="1:48" s="178" customFormat="1" ht="12" hidden="1" customHeight="1">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R14" s="1031"/>
      <c r="AS14" s="1031"/>
      <c r="AT14" s="1031"/>
      <c r="AU14" s="1032"/>
      <c r="AV14" s="1032"/>
    </row>
    <row r="15" spans="1:48" s="178" customFormat="1" ht="12" hidden="1" customHeight="1">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R15" s="1031"/>
      <c r="AS15" s="1031"/>
      <c r="AT15" s="1031"/>
      <c r="AU15" s="1032"/>
      <c r="AV15" s="1032"/>
    </row>
    <row r="16" spans="1:48" s="178" customFormat="1" ht="12" hidden="1" customHeight="1">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R16" s="1031"/>
      <c r="AS16" s="1031"/>
      <c r="AT16" s="1031"/>
      <c r="AU16" s="1032"/>
      <c r="AV16" s="1032"/>
    </row>
    <row r="17" spans="1:48" s="178" customFormat="1" ht="12" hidden="1" customHeight="1">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J17" s="126"/>
      <c r="AK17" s="126"/>
      <c r="AL17" s="126"/>
      <c r="AR17" s="1031"/>
      <c r="AS17" s="1031"/>
      <c r="AT17" s="1031"/>
      <c r="AU17" s="1032"/>
      <c r="AV17" s="1032"/>
    </row>
    <row r="18" spans="1:48" s="178" customFormat="1" ht="12" hidden="1" customHeight="1">
      <c r="A18" s="178" t="s">
        <v>530</v>
      </c>
      <c r="B18" s="667"/>
      <c r="E18" s="676"/>
      <c r="G18" s="180"/>
      <c r="H18" s="180"/>
      <c r="I18" s="180"/>
      <c r="J18" s="180"/>
      <c r="K18" s="180"/>
      <c r="L18" s="180"/>
      <c r="M18" s="180"/>
      <c r="N18" s="180"/>
      <c r="O18" s="180"/>
      <c r="P18" s="180"/>
      <c r="Q18" s="143"/>
      <c r="R18" s="143"/>
      <c r="S18" s="180"/>
      <c r="T18" s="126"/>
      <c r="U18" s="126"/>
      <c r="V18" s="126"/>
      <c r="W18" s="126"/>
      <c r="X18" s="126"/>
      <c r="Y18" s="126"/>
      <c r="Z18" s="126"/>
      <c r="AC18" s="182" t="s">
        <v>475</v>
      </c>
      <c r="AR18" s="1031"/>
      <c r="AS18" s="1031"/>
      <c r="AT18" s="1031"/>
      <c r="AU18" s="1032"/>
      <c r="AV18" s="1032"/>
    </row>
    <row r="19" spans="1:48" s="178" customFormat="1" ht="12" hidden="1" customHeight="1">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R19" s="1031"/>
      <c r="AS19" s="1031"/>
      <c r="AT19" s="1031"/>
      <c r="AU19" s="1032"/>
      <c r="AV19" s="1032"/>
    </row>
    <row r="20" spans="1:48" s="178" customFormat="1" ht="11.1" hidden="1" customHeight="1">
      <c r="B20" s="667"/>
      <c r="E20" s="676">
        <v>11.4</v>
      </c>
      <c r="G20" s="180"/>
      <c r="H20" s="180"/>
      <c r="I20" s="180"/>
      <c r="J20" s="180"/>
      <c r="K20" s="180"/>
      <c r="L20" s="180"/>
      <c r="M20" s="180"/>
      <c r="N20" s="180"/>
      <c r="O20" s="180"/>
      <c r="P20" s="180"/>
      <c r="Q20" s="143"/>
      <c r="R20" s="143"/>
      <c r="S20" s="180"/>
      <c r="T20" s="126"/>
      <c r="U20" s="126"/>
      <c r="V20" s="126"/>
      <c r="W20" s="126"/>
      <c r="X20" s="126"/>
      <c r="Y20" s="126"/>
      <c r="Z20" s="126"/>
      <c r="AC20" s="182"/>
      <c r="AR20" s="1031"/>
      <c r="AS20" s="1031"/>
      <c r="AT20" s="1031"/>
      <c r="AU20" s="1032"/>
      <c r="AV20" s="1032"/>
    </row>
    <row r="21" spans="1:48" ht="14.65" customHeight="1">
      <c r="E21" s="676">
        <v>15</v>
      </c>
      <c r="AA21" s="699"/>
      <c r="AB21" s="180"/>
      <c r="AC21" s="343" t="str" cm="1">
        <f t="array" ref="AC21">tpl_title</f>
        <v>Кемеровская область / 2026 / ОАО «СКЭК» (ИНН:4205153492, КПП:420501001) / ДПР: 2021-2030</v>
      </c>
      <c r="AD21" s="180"/>
    </row>
    <row r="22" spans="1:48" s="1156" customFormat="1" ht="19.5" customHeight="1">
      <c r="A22" s="133"/>
      <c r="B22" s="667"/>
      <c r="C22" s="133"/>
      <c r="D22" s="133"/>
      <c r="E22" s="676">
        <v>20.100000000000001</v>
      </c>
      <c r="F22" s="133"/>
      <c r="Q22" s="143"/>
      <c r="R22" s="143"/>
      <c r="T22" s="129"/>
      <c r="U22" s="129"/>
      <c r="V22" s="129"/>
      <c r="W22" s="129"/>
      <c r="X22" s="129"/>
      <c r="Y22" s="129"/>
      <c r="Z22" s="129"/>
      <c r="AB22" s="333" t="s">
        <v>55</v>
      </c>
      <c r="AC22" s="274"/>
      <c r="AD22" s="274"/>
      <c r="AE22" s="274"/>
      <c r="AF22" s="274"/>
      <c r="AG22" s="274"/>
      <c r="AH22" s="274"/>
      <c r="AI22" s="274"/>
      <c r="AJ22" s="274"/>
      <c r="AK22" s="274"/>
      <c r="AL22" s="274"/>
      <c r="AM22" s="274"/>
      <c r="AN22" s="274"/>
      <c r="AO22" s="274"/>
      <c r="AR22" s="989"/>
      <c r="AS22" s="989"/>
      <c r="AT22" s="989"/>
      <c r="AU22" s="990"/>
      <c r="AV22" s="990"/>
    </row>
    <row r="23" spans="1:48" s="1156" customFormat="1" ht="9.9499999999999993" customHeight="1">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R23" s="989"/>
      <c r="AS23" s="989"/>
      <c r="AT23" s="989"/>
      <c r="AU23" s="990"/>
      <c r="AV23" s="990"/>
    </row>
    <row r="24" spans="1:48" s="179" customFormat="1" ht="24.2" customHeight="1">
      <c r="A24" s="182"/>
      <c r="B24" s="671"/>
      <c r="C24" s="182"/>
      <c r="D24" s="182"/>
      <c r="E24" s="682">
        <v>24.8</v>
      </c>
      <c r="F24" s="182"/>
      <c r="Q24" s="788"/>
      <c r="R24" s="788"/>
      <c r="T24" s="122"/>
      <c r="U24" s="122"/>
      <c r="V24" s="122"/>
      <c r="W24" s="122"/>
      <c r="X24" s="122"/>
      <c r="Y24" s="122"/>
      <c r="Z24" s="122"/>
      <c r="AB24" s="1827" t="s">
        <v>396</v>
      </c>
      <c r="AC24" s="1827" t="s">
        <v>475</v>
      </c>
      <c r="AD24" s="1827" t="s">
        <v>476</v>
      </c>
      <c r="AE24" s="211" t="str">
        <f>god-2&amp;" год"</f>
        <v>2024 год</v>
      </c>
      <c r="AF24" s="1147" t="str">
        <f>god-2&amp;" год"</f>
        <v>2024 год</v>
      </c>
      <c r="AG24" s="211" t="str">
        <f>god-2&amp;" год"</f>
        <v>2024 год</v>
      </c>
      <c r="AH24" s="211" t="str">
        <f>god-2&amp;" год"</f>
        <v>2024 год</v>
      </c>
      <c r="AI24" s="120" t="str">
        <f>god-1&amp;" год"</f>
        <v>2025 год</v>
      </c>
      <c r="AJ24" s="1141" t="str">
        <f>god&amp;" год"</f>
        <v>2026 год</v>
      </c>
      <c r="AK24" s="121" t="str">
        <f>god&amp;" год"</f>
        <v>2026 год</v>
      </c>
      <c r="AL24" s="121" t="str">
        <f>god&amp;" год"</f>
        <v>2026 год</v>
      </c>
      <c r="AM24" s="1826" t="s">
        <v>1346</v>
      </c>
      <c r="AN24" s="1826" t="s">
        <v>630</v>
      </c>
      <c r="AO24" s="1826" t="s">
        <v>1347</v>
      </c>
      <c r="AR24" s="1031"/>
      <c r="AS24" s="1035"/>
      <c r="AT24" s="1035"/>
      <c r="AU24" s="1036"/>
      <c r="AV24" s="1036"/>
    </row>
    <row r="25" spans="1:48" s="179" customFormat="1" ht="44.65" customHeight="1">
      <c r="A25" s="182"/>
      <c r="B25" s="671"/>
      <c r="C25" s="182"/>
      <c r="D25" s="182"/>
      <c r="E25" s="682">
        <v>45.8</v>
      </c>
      <c r="F25" s="182"/>
      <c r="Q25" s="788"/>
      <c r="R25" s="788"/>
      <c r="T25" s="122"/>
      <c r="U25" s="122"/>
      <c r="V25" s="122"/>
      <c r="W25" s="122"/>
      <c r="X25" s="122"/>
      <c r="Y25" s="122"/>
      <c r="Z25" s="122"/>
      <c r="AB25" s="1827"/>
      <c r="AC25" s="1827"/>
      <c r="AD25" s="1827"/>
      <c r="AE25" s="120" t="s">
        <v>412</v>
      </c>
      <c r="AF25" s="1143" t="s">
        <v>631</v>
      </c>
      <c r="AG25" s="120" t="s">
        <v>632</v>
      </c>
      <c r="AH25" s="211" t="s">
        <v>1348</v>
      </c>
      <c r="AI25" s="120" t="s">
        <v>412</v>
      </c>
      <c r="AJ25" s="1142" t="s">
        <v>413</v>
      </c>
      <c r="AK25" s="351" t="s">
        <v>412</v>
      </c>
      <c r="AL25" s="211" t="s">
        <v>1349</v>
      </c>
      <c r="AM25" s="1826"/>
      <c r="AN25" s="1826"/>
      <c r="AO25" s="1826"/>
      <c r="AR25" s="1031"/>
      <c r="AS25" s="1035"/>
      <c r="AT25" s="1035"/>
      <c r="AU25" s="1036"/>
      <c r="AV25" s="1036"/>
    </row>
    <row r="26" spans="1:48" s="179" customFormat="1" ht="45.75" hidden="1" customHeight="1">
      <c r="A26" s="182"/>
      <c r="B26" s="671"/>
      <c r="C26" s="182"/>
      <c r="D26" s="182"/>
      <c r="E26" s="682">
        <v>0</v>
      </c>
      <c r="F26" s="182"/>
      <c r="Q26" s="788"/>
      <c r="R26" s="788"/>
      <c r="T26" s="122"/>
      <c r="U26" s="122"/>
      <c r="V26" s="122"/>
      <c r="W26" s="122"/>
      <c r="X26" s="122"/>
      <c r="Y26" s="122"/>
      <c r="Z26" s="122"/>
      <c r="AB26" s="596"/>
      <c r="AC26" s="597"/>
      <c r="AD26" s="597"/>
      <c r="AE26" s="122"/>
      <c r="AF26" s="122"/>
      <c r="AG26" s="122"/>
      <c r="AH26" s="182"/>
      <c r="AI26" s="122"/>
      <c r="AJ26" s="122"/>
      <c r="AK26" s="122"/>
      <c r="AL26" s="182"/>
      <c r="AM26" s="182"/>
      <c r="AN26" s="182"/>
      <c r="AO26" s="182"/>
      <c r="AR26" s="1031"/>
      <c r="AS26" s="1035"/>
      <c r="AT26" s="1035"/>
      <c r="AU26" s="1036"/>
      <c r="AV26" s="1036"/>
    </row>
    <row r="27" spans="1:48" s="170" customFormat="1" ht="13.7" hidden="1" customHeight="1">
      <c r="E27" s="676">
        <v>14.1</v>
      </c>
      <c r="F27" s="779" cm="1">
        <f t="array" ref="F27">X27</f>
        <v>0</v>
      </c>
      <c r="G27" s="143" cm="1">
        <f t="array" ref="G27">INDEX('Общие сведения'!$AK$187:$AK$236,MATCH($F27,'Общие сведения'!$Z$187:$Z$236,0))</f>
        <v>0</v>
      </c>
      <c r="I27" s="163" t="str" cm="1">
        <f t="array" ref="I27">INDEX('Общие сведения'!$AE$187:$AE$236,MATCH($F27,'Общие сведения'!$Z$187:$Z$236,0))</f>
        <v>Теплоснабжение</v>
      </c>
      <c r="T27" s="698" t="b">
        <f>X27&gt;0</f>
        <v>0</v>
      </c>
      <c r="V27" s="126" t="s">
        <v>315</v>
      </c>
      <c r="X27" s="1726">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R27" s="981"/>
      <c r="AS27" s="981"/>
      <c r="AT27" s="981"/>
      <c r="AU27" s="984"/>
      <c r="AV27" s="984"/>
    </row>
    <row r="28" spans="1:48" s="184" customFormat="1" ht="13.7" hidden="1" customHeight="1">
      <c r="E28" s="682">
        <v>14.1</v>
      </c>
      <c r="F28" s="779" cm="1">
        <f t="array" aca="1" ref="F28" ca="1">OFFSET(G28,-1,-1)</f>
        <v>0</v>
      </c>
      <c r="G28" s="788" t="s">
        <v>1350</v>
      </c>
      <c r="T28" s="687" t="b" cm="1">
        <f t="array" ref="T28">T27</f>
        <v>0</v>
      </c>
      <c r="X28" s="1821"/>
      <c r="Z28" s="1821"/>
      <c r="AB28" s="1824" t="s">
        <v>1351</v>
      </c>
      <c r="AC28" s="1825"/>
      <c r="AD28" s="252" t="s">
        <v>839</v>
      </c>
      <c r="AE28" s="67">
        <f ca="1">SUM(AE29:AE33)+SUM(AE39:AE43)+AE47</f>
        <v>0</v>
      </c>
      <c r="AF28" s="67">
        <f ca="1">SUM(AF29:AF33)+SUM(AF39:AF43)+AF47</f>
        <v>0</v>
      </c>
      <c r="AG28" s="67">
        <f ca="1">SUM(AG29:AG33)+SUM(AG39:AG43)+AG47</f>
        <v>0</v>
      </c>
      <c r="AH28" s="67">
        <f t="shared" ref="AH28:AH43" ca="1" si="1">AG28-AF28</f>
        <v>0</v>
      </c>
      <c r="AI28" s="67">
        <f ca="1">SUM(AI29:AI33)+SUM(AI39:AI43)+AI47</f>
        <v>0</v>
      </c>
      <c r="AJ28" s="67">
        <f ca="1">SUM(AJ29:AJ33)+SUM(AJ39:AJ43)+AJ47</f>
        <v>0</v>
      </c>
      <c r="AK28" s="67">
        <f ca="1">SUM(AK29:AK33)+SUM(AK39:AK43)+AK47</f>
        <v>0</v>
      </c>
      <c r="AL28" s="255">
        <f t="shared" ref="AL28:AL43" ca="1" si="2">IF(AI28=0,0,(AK28-AI28)/AI28*100)</f>
        <v>0</v>
      </c>
      <c r="AM28" s="28"/>
      <c r="AN28" s="28"/>
      <c r="AO28" s="28"/>
      <c r="AR28" s="1031" t="s">
        <v>1352</v>
      </c>
      <c r="AS28" s="1037"/>
      <c r="AT28" s="1037"/>
      <c r="AU28" s="1038"/>
      <c r="AV28" s="1038"/>
    </row>
    <row r="29" spans="1:48" ht="29.25" hidden="1" customHeight="1">
      <c r="E29" s="676">
        <v>30</v>
      </c>
      <c r="F29" s="779" cm="1">
        <f t="array" aca="1" ref="F29" ca="1">OFFSET(G29,-1,-1)</f>
        <v>0</v>
      </c>
      <c r="T29" s="687" t="b" cm="1">
        <f t="array" ref="T29">T28</f>
        <v>0</v>
      </c>
      <c r="X29" s="1726"/>
      <c r="Z29" s="1726"/>
      <c r="AB29" s="111">
        <v>1</v>
      </c>
      <c r="AC29" s="119" t="s">
        <v>1353</v>
      </c>
      <c r="AD29" s="468" t="s">
        <v>1077</v>
      </c>
      <c r="AE29" s="68"/>
      <c r="AF29" s="68"/>
      <c r="AG29" s="68"/>
      <c r="AH29" s="323">
        <f t="shared" si="1"/>
        <v>0</v>
      </c>
      <c r="AI29" s="68"/>
      <c r="AJ29" s="68"/>
      <c r="AK29" s="68"/>
      <c r="AL29" s="256">
        <f t="shared" si="2"/>
        <v>0</v>
      </c>
      <c r="AM29" s="28"/>
      <c r="AN29" s="28"/>
      <c r="AO29" s="28"/>
      <c r="AR29" s="1031" t="s">
        <v>1354</v>
      </c>
    </row>
    <row r="30" spans="1:48" s="183" customFormat="1" ht="14.65" hidden="1" customHeight="1">
      <c r="E30" s="682">
        <v>15</v>
      </c>
      <c r="F30" s="779" cm="1">
        <f t="array" aca="1" ref="F30" ca="1">OFFSET(G30,-1,-1)</f>
        <v>0</v>
      </c>
      <c r="T30" s="687" t="b" cm="1">
        <f t="array" ref="T30">T29</f>
        <v>0</v>
      </c>
      <c r="X30" s="1822"/>
      <c r="Z30" s="1822"/>
      <c r="AB30" s="111">
        <v>2</v>
      </c>
      <c r="AC30" s="119" t="s">
        <v>1355</v>
      </c>
      <c r="AD30" s="468" t="s">
        <v>1077</v>
      </c>
      <c r="AE30" s="68"/>
      <c r="AF30" s="68"/>
      <c r="AG30" s="68"/>
      <c r="AH30" s="256">
        <f t="shared" si="1"/>
        <v>0</v>
      </c>
      <c r="AI30" s="68"/>
      <c r="AJ30" s="68"/>
      <c r="AK30" s="68"/>
      <c r="AL30" s="256">
        <f t="shared" si="2"/>
        <v>0</v>
      </c>
      <c r="AM30" s="28"/>
      <c r="AN30" s="28"/>
      <c r="AO30" s="28"/>
      <c r="AR30" s="1031" t="s">
        <v>1356</v>
      </c>
      <c r="AS30" s="1037"/>
      <c r="AT30" s="1037"/>
      <c r="AU30" s="1038"/>
      <c r="AV30" s="1038"/>
    </row>
    <row r="31" spans="1:48" ht="14.65" hidden="1" customHeight="1">
      <c r="E31" s="676">
        <v>15</v>
      </c>
      <c r="F31" s="779" cm="1">
        <f t="array" aca="1" ref="F31" ca="1">OFFSET(G31,-1,-1)</f>
        <v>0</v>
      </c>
      <c r="G31" s="143" t="s">
        <v>48</v>
      </c>
      <c r="T31" s="687" t="b" cm="1">
        <f t="array" ref="T31">T30</f>
        <v>0</v>
      </c>
      <c r="X31" s="1726"/>
      <c r="Z31" s="1726"/>
      <c r="AB31" s="111">
        <v>3</v>
      </c>
      <c r="AC31" s="118" t="s">
        <v>49</v>
      </c>
      <c r="AD31" s="419" t="s">
        <v>1077</v>
      </c>
      <c r="AE31" s="53">
        <f ca="1">SUMIFS(ФОТ!AE$26:AE$114,ФОТ!$F$26:$F$114,$F31,ФОТ!$G$26:$G$114,$G31)</f>
        <v>0</v>
      </c>
      <c r="AF31" s="53">
        <f ca="1">SUMIFS(ФОТ!AF$26:AF$114,ФОТ!$F$26:$F$114,$F31,ФОТ!$G$26:$G$114,$G31)</f>
        <v>0</v>
      </c>
      <c r="AG31" s="53">
        <f ca="1">SUMIFS(ФОТ!AG$26:AG$114,ФОТ!$F$26:$F$114,$F31,ФОТ!$G$26:$G$114,$G31)</f>
        <v>0</v>
      </c>
      <c r="AH31" s="256">
        <f t="shared" ca="1" si="1"/>
        <v>0</v>
      </c>
      <c r="AI31" s="53">
        <f ca="1">SUMIFS(ФОТ!AH$26:AH$114,ФОТ!$F$26:$F$114,$F31,ФОТ!$G$26:$G$114,$G31)</f>
        <v>0</v>
      </c>
      <c r="AJ31" s="256">
        <f ca="1">SUMIFS(ФОТ!AI$26:AI$114,ФОТ!$F$26:$F$114,$F31,ФОТ!$G$26:$G$114,$G31)</f>
        <v>0</v>
      </c>
      <c r="AK31" s="256">
        <f ca="1">SUMIFS(ФОТ!AJ$26:AJ$114,ФОТ!$F$26:$F$114,$F31,ФОТ!$G$26:$G$114,$G31)</f>
        <v>0</v>
      </c>
      <c r="AL31" s="256">
        <f t="shared" ca="1" si="2"/>
        <v>0</v>
      </c>
      <c r="AM31" s="28"/>
      <c r="AN31" s="28"/>
      <c r="AO31" s="28"/>
      <c r="AR31" s="1031" t="s">
        <v>1357</v>
      </c>
    </row>
    <row r="32" spans="1:48" ht="52.7" hidden="1" customHeight="1">
      <c r="E32" s="676">
        <v>54</v>
      </c>
      <c r="F32" s="779" cm="1">
        <f t="array" aca="1" ref="F32" ca="1">OFFSET(G32,-1,-1)</f>
        <v>0</v>
      </c>
      <c r="T32" s="687" t="b" cm="1">
        <f t="array" ref="T32">T31</f>
        <v>0</v>
      </c>
      <c r="X32" s="1726"/>
      <c r="Z32" s="1726"/>
      <c r="AB32" s="111">
        <v>4</v>
      </c>
      <c r="AC32" s="119" t="s">
        <v>1358</v>
      </c>
      <c r="AD32" s="419" t="s">
        <v>1077</v>
      </c>
      <c r="AE32" s="53"/>
      <c r="AF32" s="53"/>
      <c r="AG32" s="53"/>
      <c r="AH32" s="256">
        <f t="shared" si="1"/>
        <v>0</v>
      </c>
      <c r="AI32" s="53"/>
      <c r="AJ32" s="53"/>
      <c r="AK32" s="53"/>
      <c r="AL32" s="256">
        <f t="shared" si="2"/>
        <v>0</v>
      </c>
      <c r="AM32" s="28"/>
      <c r="AN32" s="28"/>
      <c r="AO32" s="28"/>
      <c r="AR32" s="1031" t="s">
        <v>1359</v>
      </c>
    </row>
    <row r="33" spans="5:48" ht="30.75" hidden="1" customHeight="1">
      <c r="E33" s="676">
        <v>31.5</v>
      </c>
      <c r="F33" s="779" cm="1">
        <f t="array" aca="1" ref="F33" ca="1">OFFSET(G33,-1,-1)</f>
        <v>0</v>
      </c>
      <c r="T33" s="687" t="b" cm="1">
        <f t="array" ref="T33">T32</f>
        <v>0</v>
      </c>
      <c r="X33" s="1726"/>
      <c r="Z33" s="1726"/>
      <c r="AB33" s="111">
        <v>5</v>
      </c>
      <c r="AC33" s="119" t="s">
        <v>1360</v>
      </c>
      <c r="AD33" s="419" t="s">
        <v>1077</v>
      </c>
      <c r="AE33" s="256">
        <f>SUM(AE34:AE38)</f>
        <v>0</v>
      </c>
      <c r="AF33" s="256">
        <f>SUM(AF34:AF38)</f>
        <v>0</v>
      </c>
      <c r="AG33" s="53">
        <f>SUM(AG34:AG38)</f>
        <v>0</v>
      </c>
      <c r="AH33" s="256">
        <f t="shared" si="1"/>
        <v>0</v>
      </c>
      <c r="AI33" s="256">
        <f>SUM(AI34:AI38)</f>
        <v>0</v>
      </c>
      <c r="AJ33" s="256">
        <f>SUM(AJ34:AJ38)</f>
        <v>0</v>
      </c>
      <c r="AK33" s="256">
        <f>SUM(AK34:AK38)</f>
        <v>0</v>
      </c>
      <c r="AL33" s="256">
        <f t="shared" si="2"/>
        <v>0</v>
      </c>
      <c r="AM33" s="28"/>
      <c r="AN33" s="28"/>
      <c r="AO33" s="28"/>
      <c r="AR33" s="1031" t="s">
        <v>1361</v>
      </c>
    </row>
    <row r="34" spans="5:48" ht="14.65" hidden="1" customHeight="1">
      <c r="E34" s="676">
        <v>15</v>
      </c>
      <c r="F34" s="779" cm="1">
        <f t="array" aca="1" ref="F34" ca="1">OFFSET(G34,-1,-1)</f>
        <v>0</v>
      </c>
      <c r="T34" s="687" t="b" cm="1">
        <f t="array" ref="T34">T33</f>
        <v>0</v>
      </c>
      <c r="X34" s="1726"/>
      <c r="Z34" s="1726"/>
      <c r="AB34" s="111" t="s">
        <v>785</v>
      </c>
      <c r="AC34" s="119" t="s">
        <v>1362</v>
      </c>
      <c r="AD34" s="419" t="s">
        <v>1077</v>
      </c>
      <c r="AE34" s="53"/>
      <c r="AF34" s="53"/>
      <c r="AG34" s="53"/>
      <c r="AH34" s="256">
        <f t="shared" si="1"/>
        <v>0</v>
      </c>
      <c r="AI34" s="53"/>
      <c r="AJ34" s="53"/>
      <c r="AK34" s="53"/>
      <c r="AL34" s="256">
        <f t="shared" si="2"/>
        <v>0</v>
      </c>
      <c r="AM34" s="28"/>
      <c r="AN34" s="28"/>
      <c r="AO34" s="28"/>
      <c r="AR34" s="1031" t="s">
        <v>1363</v>
      </c>
    </row>
    <row r="35" spans="5:48" ht="14.65" hidden="1" customHeight="1">
      <c r="E35" s="676">
        <v>15</v>
      </c>
      <c r="F35" s="779" cm="1">
        <f t="array" aca="1" ref="F35" ca="1">OFFSET(G35,-1,-1)</f>
        <v>0</v>
      </c>
      <c r="T35" s="687" t="b" cm="1">
        <f t="array" ref="T35">T34</f>
        <v>0</v>
      </c>
      <c r="X35" s="1726"/>
      <c r="Z35" s="1726"/>
      <c r="AB35" s="111" t="s">
        <v>1364</v>
      </c>
      <c r="AC35" s="119" t="s">
        <v>1365</v>
      </c>
      <c r="AD35" s="419" t="s">
        <v>1077</v>
      </c>
      <c r="AE35" s="53"/>
      <c r="AF35" s="53"/>
      <c r="AG35" s="53"/>
      <c r="AH35" s="256">
        <f t="shared" si="1"/>
        <v>0</v>
      </c>
      <c r="AI35" s="53"/>
      <c r="AJ35" s="53"/>
      <c r="AK35" s="53"/>
      <c r="AL35" s="256">
        <f t="shared" si="2"/>
        <v>0</v>
      </c>
      <c r="AM35" s="28"/>
      <c r="AN35" s="28"/>
      <c r="AO35" s="28"/>
      <c r="AR35" s="1031" t="s">
        <v>1366</v>
      </c>
    </row>
    <row r="36" spans="5:48" ht="14.65" hidden="1" customHeight="1">
      <c r="E36" s="676">
        <v>15</v>
      </c>
      <c r="F36" s="779" cm="1">
        <f t="array" aca="1" ref="F36" ca="1">OFFSET(G36,-1,-1)</f>
        <v>0</v>
      </c>
      <c r="T36" s="687" t="b" cm="1">
        <f t="array" ref="T36">T35</f>
        <v>0</v>
      </c>
      <c r="X36" s="1726"/>
      <c r="Z36" s="1726"/>
      <c r="AB36" s="111" t="s">
        <v>1367</v>
      </c>
      <c r="AC36" s="119" t="s">
        <v>1368</v>
      </c>
      <c r="AD36" s="419" t="s">
        <v>1077</v>
      </c>
      <c r="AE36" s="53"/>
      <c r="AF36" s="53"/>
      <c r="AG36" s="53"/>
      <c r="AH36" s="256">
        <f t="shared" si="1"/>
        <v>0</v>
      </c>
      <c r="AI36" s="53"/>
      <c r="AJ36" s="53"/>
      <c r="AK36" s="53"/>
      <c r="AL36" s="256">
        <f t="shared" si="2"/>
        <v>0</v>
      </c>
      <c r="AM36" s="28"/>
      <c r="AN36" s="28"/>
      <c r="AO36" s="28"/>
      <c r="AR36" s="1031" t="s">
        <v>1369</v>
      </c>
    </row>
    <row r="37" spans="5:48" ht="23.45" hidden="1" customHeight="1">
      <c r="E37" s="676">
        <v>24</v>
      </c>
      <c r="F37" s="779" cm="1">
        <f t="array" aca="1" ref="F37" ca="1">OFFSET(G37,-1,-1)</f>
        <v>0</v>
      </c>
      <c r="T37" s="687" t="b" cm="1">
        <f t="array" ref="T37">T36</f>
        <v>0</v>
      </c>
      <c r="X37" s="1726"/>
      <c r="Z37" s="1726"/>
      <c r="AB37" s="111" t="s">
        <v>1370</v>
      </c>
      <c r="AC37" s="119" t="s">
        <v>1371</v>
      </c>
      <c r="AD37" s="419" t="s">
        <v>1077</v>
      </c>
      <c r="AE37" s="53"/>
      <c r="AF37" s="53"/>
      <c r="AG37" s="53"/>
      <c r="AH37" s="256">
        <f t="shared" si="1"/>
        <v>0</v>
      </c>
      <c r="AI37" s="53"/>
      <c r="AJ37" s="53"/>
      <c r="AK37" s="53"/>
      <c r="AL37" s="256">
        <f t="shared" si="2"/>
        <v>0</v>
      </c>
      <c r="AM37" s="28"/>
      <c r="AN37" s="28"/>
      <c r="AO37" s="28"/>
      <c r="AR37" s="1031" t="s">
        <v>1372</v>
      </c>
    </row>
    <row r="38" spans="5:48" ht="14.65" hidden="1" customHeight="1">
      <c r="E38" s="676">
        <v>15</v>
      </c>
      <c r="F38" s="779" cm="1">
        <f t="array" aca="1" ref="F38" ca="1">OFFSET(G38,-1,-1)</f>
        <v>0</v>
      </c>
      <c r="T38" s="687" t="b" cm="1">
        <f t="array" ref="T38">T37</f>
        <v>0</v>
      </c>
      <c r="X38" s="1726"/>
      <c r="Z38" s="1726"/>
      <c r="AB38" s="111" t="s">
        <v>1373</v>
      </c>
      <c r="AC38" s="119" t="s">
        <v>1374</v>
      </c>
      <c r="AD38" s="419" t="s">
        <v>1077</v>
      </c>
      <c r="AE38" s="53"/>
      <c r="AF38" s="53"/>
      <c r="AG38" s="53"/>
      <c r="AH38" s="256">
        <f t="shared" si="1"/>
        <v>0</v>
      </c>
      <c r="AI38" s="53"/>
      <c r="AJ38" s="53"/>
      <c r="AK38" s="53"/>
      <c r="AL38" s="256">
        <f t="shared" si="2"/>
        <v>0</v>
      </c>
      <c r="AM38" s="28"/>
      <c r="AN38" s="28"/>
      <c r="AO38" s="28"/>
      <c r="AR38" s="1031" t="s">
        <v>1375</v>
      </c>
    </row>
    <row r="39" spans="5:48" s="185" customFormat="1" ht="14.65" hidden="1" customHeight="1">
      <c r="E39" s="676">
        <v>15</v>
      </c>
      <c r="F39" s="779" cm="1">
        <f t="array" aca="1" ref="F39" ca="1">OFFSET(G39,-1,-1)</f>
        <v>0</v>
      </c>
      <c r="T39" s="687" t="b" cm="1">
        <f t="array" ref="T39">T38</f>
        <v>0</v>
      </c>
      <c r="X39" s="1823"/>
      <c r="Z39" s="1823"/>
      <c r="AB39" s="111" t="s">
        <v>448</v>
      </c>
      <c r="AC39" s="119" t="s">
        <v>1376</v>
      </c>
      <c r="AD39" s="419" t="s">
        <v>1077</v>
      </c>
      <c r="AE39" s="53"/>
      <c r="AF39" s="53"/>
      <c r="AG39" s="53"/>
      <c r="AH39" s="256">
        <f t="shared" si="1"/>
        <v>0</v>
      </c>
      <c r="AI39" s="53"/>
      <c r="AJ39" s="53"/>
      <c r="AK39" s="53"/>
      <c r="AL39" s="256">
        <f t="shared" si="2"/>
        <v>0</v>
      </c>
      <c r="AM39" s="28"/>
      <c r="AN39" s="28"/>
      <c r="AO39" s="28"/>
      <c r="AR39" s="1031" t="s">
        <v>1377</v>
      </c>
      <c r="AS39" s="1039"/>
      <c r="AT39" s="1039"/>
      <c r="AU39" s="1040"/>
      <c r="AV39" s="1040"/>
    </row>
    <row r="40" spans="5:48" ht="14.65" hidden="1" customHeight="1">
      <c r="E40" s="676">
        <v>15</v>
      </c>
      <c r="F40" s="779" cm="1">
        <f t="array" aca="1" ref="F40" ca="1">OFFSET(G40,-1,-1)</f>
        <v>0</v>
      </c>
      <c r="T40" s="687" t="b" cm="1">
        <f t="array" ref="T40">T39</f>
        <v>0</v>
      </c>
      <c r="X40" s="1726"/>
      <c r="Z40" s="1726"/>
      <c r="AB40" s="111" t="s">
        <v>451</v>
      </c>
      <c r="AC40" s="119" t="s">
        <v>1378</v>
      </c>
      <c r="AD40" s="419" t="s">
        <v>1077</v>
      </c>
      <c r="AE40" s="53"/>
      <c r="AF40" s="53"/>
      <c r="AG40" s="53"/>
      <c r="AH40" s="256">
        <f t="shared" si="1"/>
        <v>0</v>
      </c>
      <c r="AI40" s="53"/>
      <c r="AJ40" s="53"/>
      <c r="AK40" s="53"/>
      <c r="AL40" s="256">
        <f t="shared" si="2"/>
        <v>0</v>
      </c>
      <c r="AM40" s="28"/>
      <c r="AN40" s="28"/>
      <c r="AO40" s="28"/>
      <c r="AR40" s="1031" t="s">
        <v>1379</v>
      </c>
    </row>
    <row r="41" spans="5:48" ht="14.65" hidden="1" customHeight="1">
      <c r="E41" s="676">
        <v>15</v>
      </c>
      <c r="F41" s="779" cm="1">
        <f t="array" aca="1" ref="F41" ca="1">OFFSET(G41,-1,-1)</f>
        <v>0</v>
      </c>
      <c r="G41" s="143" t="s">
        <v>1222</v>
      </c>
      <c r="T41" s="687" t="b" cm="1">
        <f t="array" ref="T41">T40</f>
        <v>0</v>
      </c>
      <c r="X41" s="1726"/>
      <c r="Z41" s="1726"/>
      <c r="AB41" s="111" t="s">
        <v>454</v>
      </c>
      <c r="AC41" s="118" t="s">
        <v>1380</v>
      </c>
      <c r="AD41" s="419" t="s">
        <v>1077</v>
      </c>
      <c r="AE41" s="256">
        <f ca="1">SUMIFS(Аренда!AE$26:AE$63,Аренда!$F$26:$F$63,$F41,Аренда!$G$26:$G$63,$G41)</f>
        <v>0</v>
      </c>
      <c r="AF41" s="256">
        <f ca="1">SUMIFS(Аренда!AF$26:AF$63,Аренда!$F$26:$F$63,$F41,Аренда!$G$26:$G$63,$G41)</f>
        <v>0</v>
      </c>
      <c r="AG41" s="53">
        <f ca="1">SUMIFS(Аренда!AG$26:AG$63,Аренда!$F$26:$F$63,$F41,Аренда!$G$26:$G$63,$G41)</f>
        <v>0</v>
      </c>
      <c r="AH41" s="256">
        <f t="shared" ca="1" si="1"/>
        <v>0</v>
      </c>
      <c r="AI41" s="256">
        <f ca="1">SUMIFS(Аренда!AH$26:AH$63,Аренда!$F$26:$F$63,$F41,Аренда!$G$26:$G$63,$G41)</f>
        <v>0</v>
      </c>
      <c r="AJ41" s="256">
        <f ca="1">SUMIFS(Аренда!AI$26:AI$63,Аренда!$F$26:$F$63,$F41,Аренда!$G$26:$G$63,$G41)</f>
        <v>0</v>
      </c>
      <c r="AK41" s="256">
        <f ca="1">SUMIFS(Аренда!AS$26:AS$63,Аренда!$F$26:$F$63,$F41,Аренда!$G$26:$G$63,$G41)</f>
        <v>0</v>
      </c>
      <c r="AL41" s="256">
        <f t="shared" ca="1" si="2"/>
        <v>0</v>
      </c>
      <c r="AM41" s="28"/>
      <c r="AN41" s="28"/>
      <c r="AO41" s="28"/>
      <c r="AR41" s="1031" t="s">
        <v>1381</v>
      </c>
    </row>
    <row r="42" spans="5:48" s="185" customFormat="1" ht="14.65" hidden="1" customHeight="1">
      <c r="E42" s="676">
        <v>15</v>
      </c>
      <c r="F42" s="779" cm="1">
        <f t="array" aca="1" ref="F42" ca="1">OFFSET(G42,-1,-1)</f>
        <v>0</v>
      </c>
      <c r="G42" s="143" t="s">
        <v>1209</v>
      </c>
      <c r="T42" s="687" t="b" cm="1">
        <f t="array" ref="T42">T41</f>
        <v>0</v>
      </c>
      <c r="X42" s="1823"/>
      <c r="Z42" s="1823"/>
      <c r="AB42" s="111" t="s">
        <v>457</v>
      </c>
      <c r="AC42" s="118" t="s">
        <v>1382</v>
      </c>
      <c r="AD42" s="419" t="s">
        <v>1077</v>
      </c>
      <c r="AE42" s="256">
        <f ca="1">SUMIFS(Аренда!AE$26:AE$63,Аренда!$F$26:$F$63,$F42,Аренда!$G$26:$G$63,$G42)</f>
        <v>0</v>
      </c>
      <c r="AF42" s="256">
        <f ca="1">SUMIFS(Аренда!AF$26:AF$63,Аренда!$F$26:$F$63,$F42,Аренда!$G$26:$G$63,$G42)</f>
        <v>0</v>
      </c>
      <c r="AG42" s="53">
        <f ca="1">SUMIFS(Аренда!AG$26:AG$63,Аренда!$F$26:$F$63,$F42,Аренда!$G$26:$G$63,$G42)</f>
        <v>0</v>
      </c>
      <c r="AH42" s="256">
        <f t="shared" ca="1" si="1"/>
        <v>0</v>
      </c>
      <c r="AI42" s="256">
        <f ca="1">SUMIFS(Аренда!AH$26:AH$63,Аренда!$F$26:$F$63,$F42,Аренда!$G$26:$G$63,$G42)</f>
        <v>0</v>
      </c>
      <c r="AJ42" s="256">
        <f ca="1">SUMIFS(Аренда!AI$26:AI$63,Аренда!$F$26:$F$63,$F42,Аренда!$G$26:$G$63,$G42)</f>
        <v>0</v>
      </c>
      <c r="AK42" s="256">
        <f ca="1">SUMIFS(Аренда!AS$26:AS$63,Аренда!$F$26:$F$63,$F42,Аренда!$G$26:$G$63,$G42)</f>
        <v>0</v>
      </c>
      <c r="AL42" s="256">
        <f t="shared" ca="1" si="2"/>
        <v>0</v>
      </c>
      <c r="AM42" s="28"/>
      <c r="AN42" s="28"/>
      <c r="AO42" s="28"/>
      <c r="AR42" s="1031" t="s">
        <v>1212</v>
      </c>
      <c r="AS42" s="1039"/>
      <c r="AT42" s="1039"/>
      <c r="AU42" s="1040"/>
      <c r="AV42" s="1040"/>
    </row>
    <row r="43" spans="5:48" ht="29.25" hidden="1" customHeight="1">
      <c r="E43" s="676">
        <v>30</v>
      </c>
      <c r="F43" s="779" cm="1">
        <f t="array" aca="1" ref="F43" ca="1">OFFSET(G43,-1,-1)</f>
        <v>0</v>
      </c>
      <c r="T43" s="687" t="b" cm="1">
        <f t="array" ref="T43">T42</f>
        <v>0</v>
      </c>
      <c r="X43" s="1726"/>
      <c r="Z43" s="1726"/>
      <c r="AB43" s="111" t="s">
        <v>460</v>
      </c>
      <c r="AC43" s="119" t="s">
        <v>1383</v>
      </c>
      <c r="AD43" s="419" t="s">
        <v>1077</v>
      </c>
      <c r="AE43" s="256">
        <f>SUM(AE44:AE46)</f>
        <v>0</v>
      </c>
      <c r="AF43" s="256">
        <f>SUM(AF44:AF46)</f>
        <v>0</v>
      </c>
      <c r="AG43" s="53">
        <f>SUM(AG44:AG46)</f>
        <v>0</v>
      </c>
      <c r="AH43" s="256">
        <f t="shared" si="1"/>
        <v>0</v>
      </c>
      <c r="AI43" s="256">
        <f>SUM(AI44:AI46)</f>
        <v>0</v>
      </c>
      <c r="AJ43" s="256">
        <f>SUM(AJ44:AJ46)</f>
        <v>0</v>
      </c>
      <c r="AK43" s="256">
        <f>SUM(AK44:AK46)</f>
        <v>0</v>
      </c>
      <c r="AL43" s="256">
        <f t="shared" si="2"/>
        <v>0</v>
      </c>
      <c r="AM43" s="28"/>
      <c r="AN43" s="28"/>
      <c r="AO43" s="28"/>
      <c r="AR43" s="1031" t="s">
        <v>1326</v>
      </c>
    </row>
    <row r="44" spans="5:48" ht="11.25" hidden="1" customHeight="1">
      <c r="E44" s="676">
        <v>0</v>
      </c>
      <c r="F44" s="779" cm="1">
        <f t="array" aca="1" ref="F44" ca="1">OFFSET(G44,-1,-1)</f>
        <v>0</v>
      </c>
      <c r="T44" s="687" t="b" cm="1">
        <f t="array" ref="T44">T43</f>
        <v>0</v>
      </c>
      <c r="X44" s="1726"/>
      <c r="Z44" s="1726"/>
      <c r="AB44" s="111"/>
      <c r="AC44" s="116"/>
      <c r="AD44" s="419"/>
      <c r="AE44" s="419"/>
      <c r="AF44" s="419"/>
      <c r="AG44" s="419"/>
      <c r="AH44" s="419"/>
      <c r="AI44" s="419"/>
      <c r="AJ44" s="419"/>
      <c r="AK44" s="419"/>
      <c r="AL44" s="419"/>
      <c r="AM44" s="123"/>
      <c r="AN44" s="123"/>
      <c r="AO44" s="123"/>
      <c r="AR44" s="1031" t="str">
        <f>IF(AND(ISNUMBER(VALUE(TRIM(SUBSTITUTE(AB44,".","")))),TRIM(SUBSTITUTE(AB44,".",""))&lt;&gt;""),"P"&amp;SUBSTITUTE(AB44,".",""),"")</f>
        <v/>
      </c>
    </row>
    <row r="45" spans="5:48" ht="14.65" hidden="1" customHeight="1">
      <c r="E45" s="676">
        <v>15</v>
      </c>
      <c r="F45" s="779" cm="1">
        <f t="array" aca="1" ref="F45" ca="1">OFFSET(G45,-1,-1)</f>
        <v>0</v>
      </c>
      <c r="T45" s="687" t="b">
        <f ca="1">AND(F45&gt;0,Y45&gt;0)</f>
        <v>0</v>
      </c>
      <c r="W45" s="126" t="s">
        <v>236</v>
      </c>
      <c r="X45" s="1726"/>
      <c r="Y45" s="126">
        <v>0</v>
      </c>
      <c r="Z45" s="1726"/>
      <c r="AA45" s="69" t="s">
        <v>218</v>
      </c>
      <c r="AB45" s="539" t="str">
        <f>"10."&amp;Y45</f>
        <v>10.0</v>
      </c>
      <c r="AC45" s="70"/>
      <c r="AD45" s="424" t="s">
        <v>1077</v>
      </c>
      <c r="AE45" s="71"/>
      <c r="AF45" s="71"/>
      <c r="AG45" s="71"/>
      <c r="AH45" s="464">
        <f>AG45-AF45</f>
        <v>0</v>
      </c>
      <c r="AI45" s="71"/>
      <c r="AJ45" s="71"/>
      <c r="AK45" s="71"/>
      <c r="AL45" s="464">
        <f>IF(AI45=0,0,(AK45-AI45)/AI45*100)</f>
        <v>0</v>
      </c>
      <c r="AM45" s="24"/>
      <c r="AN45" s="24"/>
      <c r="AO45" s="24"/>
      <c r="AR45" s="1031" t="s">
        <v>1326</v>
      </c>
      <c r="AS45" s="1031" t="s">
        <v>1254</v>
      </c>
      <c r="AT45" s="1041" cm="1">
        <f t="array" ref="AT45">AC45</f>
        <v>0</v>
      </c>
      <c r="AV45" s="1032" t="b">
        <v>1</v>
      </c>
    </row>
    <row r="46" spans="5:48" ht="13.7" hidden="1" customHeight="1">
      <c r="E46" s="676">
        <v>14.1</v>
      </c>
      <c r="F46" s="779" cm="1">
        <f t="array" aca="1" ref="F46" ca="1">OFFSET(G46,-1,-1)</f>
        <v>0</v>
      </c>
      <c r="T46" s="687" t="b">
        <f ca="1">F46&gt;0</f>
        <v>0</v>
      </c>
      <c r="W46" s="318" t="s">
        <v>544</v>
      </c>
      <c r="X46" s="1726"/>
      <c r="Z46" s="1726"/>
      <c r="AB46" s="612"/>
      <c r="AC46" s="616" t="s">
        <v>238</v>
      </c>
      <c r="AD46" s="613"/>
      <c r="AE46" s="614"/>
      <c r="AF46" s="614"/>
      <c r="AG46" s="614"/>
      <c r="AH46" s="614"/>
      <c r="AI46" s="614"/>
      <c r="AJ46" s="614"/>
      <c r="AK46" s="614"/>
      <c r="AL46" s="614"/>
      <c r="AM46" s="910"/>
      <c r="AN46" s="910"/>
      <c r="AO46" s="911"/>
      <c r="AR46" s="1031" t="str">
        <f>IF(AND(ISNUMBER(VALUE(TRIM(SUBSTITUTE(AB46,".","")))),TRIM(SUBSTITUTE(AB46,".",""))&lt;&gt;""),"P"&amp;SUBSTITUTE(AB46,".",""),"")</f>
        <v/>
      </c>
      <c r="AU46" s="1032" t="s">
        <v>1254</v>
      </c>
    </row>
    <row r="47" spans="5:48" ht="13.7" hidden="1" customHeight="1">
      <c r="E47" s="676">
        <v>14.1</v>
      </c>
      <c r="F47" s="779" cm="1">
        <f t="array" aca="1" ref="F47" ca="1">OFFSET(G47,-1,-1)</f>
        <v>0</v>
      </c>
      <c r="T47" s="687" t="b">
        <f ca="1">F47&gt;0</f>
        <v>0</v>
      </c>
      <c r="X47" s="1726"/>
      <c r="Z47" s="1726"/>
      <c r="AB47" s="540" t="s">
        <v>463</v>
      </c>
      <c r="AC47" s="611" t="s">
        <v>1384</v>
      </c>
      <c r="AD47" s="468" t="s">
        <v>1077</v>
      </c>
      <c r="AE47" s="542">
        <f>SUM(AE48:AE50)</f>
        <v>0</v>
      </c>
      <c r="AF47" s="542">
        <f>SUM(AF48:AF50)</f>
        <v>0</v>
      </c>
      <c r="AG47" s="72">
        <f>SUM(AG48:AG50)</f>
        <v>0</v>
      </c>
      <c r="AH47" s="542">
        <f>AG47-AF47</f>
        <v>0</v>
      </c>
      <c r="AI47" s="542">
        <f>SUM(AI48:AI50)</f>
        <v>0</v>
      </c>
      <c r="AJ47" s="542">
        <f>SUM(AJ48:AJ50)</f>
        <v>0</v>
      </c>
      <c r="AK47" s="542">
        <f>SUM(AK48:AK50)</f>
        <v>0</v>
      </c>
      <c r="AL47" s="542">
        <f>IF(AI47=0,0,(AK47-AI47)/AI47*100)</f>
        <v>0</v>
      </c>
      <c r="AM47" s="35"/>
      <c r="AN47" s="35"/>
      <c r="AO47" s="35"/>
      <c r="AR47" s="1031" t="s">
        <v>1385</v>
      </c>
    </row>
    <row r="48" spans="5:48" ht="11.25" hidden="1" customHeight="1">
      <c r="E48" s="676">
        <v>0</v>
      </c>
      <c r="F48" s="779" cm="1">
        <f t="array" aca="1" ref="F48" ca="1">OFFSET(G48,-1,-1)</f>
        <v>0</v>
      </c>
      <c r="T48" s="687" t="b">
        <f ca="1">F48&gt;0</f>
        <v>0</v>
      </c>
      <c r="X48" s="1726"/>
      <c r="Z48" s="1726"/>
      <c r="AB48" s="539"/>
      <c r="AC48" s="561"/>
      <c r="AD48" s="562"/>
      <c r="AE48" s="419"/>
      <c r="AF48" s="419"/>
      <c r="AG48" s="419"/>
      <c r="AI48" s="419"/>
      <c r="AJ48" s="419"/>
      <c r="AK48" s="419"/>
      <c r="AR48" s="1031" t="str">
        <f>IF(AND(ISNUMBER(VALUE(TRIM(SUBSTITUTE(AB48,".","")))),TRIM(SUBSTITUTE(AB48,".",""))&lt;&gt;""),"P"&amp;SUBSTITUTE(AB48,".",""),"")</f>
        <v/>
      </c>
    </row>
    <row r="49" spans="1:48" ht="13.7" hidden="1" customHeight="1">
      <c r="E49" s="676">
        <v>14.1</v>
      </c>
      <c r="F49" s="779" cm="1">
        <f t="array" aca="1" ref="F49" ca="1">OFFSET(G49,-1,-1)</f>
        <v>0</v>
      </c>
      <c r="T49" s="687" t="b">
        <f ca="1">AND(F49&gt;0,Y49&gt;0)</f>
        <v>0</v>
      </c>
      <c r="W49" s="126" t="s">
        <v>236</v>
      </c>
      <c r="X49" s="1726"/>
      <c r="Y49" s="126">
        <v>0</v>
      </c>
      <c r="Z49" s="1726"/>
      <c r="AA49" s="69" t="s">
        <v>218</v>
      </c>
      <c r="AB49" s="539" t="str">
        <f>"11."&amp;Y49</f>
        <v>11.0</v>
      </c>
      <c r="AC49" s="64"/>
      <c r="AD49" s="124" t="s">
        <v>1077</v>
      </c>
      <c r="AE49" s="53"/>
      <c r="AF49" s="53"/>
      <c r="AG49" s="53"/>
      <c r="AH49" s="256">
        <f>AG49-AF49</f>
        <v>0</v>
      </c>
      <c r="AI49" s="53"/>
      <c r="AJ49" s="53"/>
      <c r="AK49" s="53"/>
      <c r="AL49" s="256">
        <f>IF(AI49=0,0,(AK49-AI49)/AI49*100)</f>
        <v>0</v>
      </c>
      <c r="AM49" s="28"/>
      <c r="AN49" s="28"/>
      <c r="AO49" s="28"/>
      <c r="AR49" s="1031" t="s">
        <v>1385</v>
      </c>
      <c r="AS49" s="1031" t="s">
        <v>1386</v>
      </c>
      <c r="AT49" s="1041" cm="1">
        <f t="array" ref="AT49">AC49</f>
        <v>0</v>
      </c>
      <c r="AV49" s="1032" t="b">
        <v>1</v>
      </c>
    </row>
    <row r="50" spans="1:48" ht="13.7" hidden="1" customHeight="1">
      <c r="E50" s="676">
        <v>14.1</v>
      </c>
      <c r="F50" s="779" cm="1">
        <f t="array" aca="1" ref="F50" ca="1">OFFSET(G50,-1,-1)</f>
        <v>0</v>
      </c>
      <c r="T50" s="687" t="b">
        <f ca="1">F50&gt;0</f>
        <v>0</v>
      </c>
      <c r="W50" s="318" t="s">
        <v>1387</v>
      </c>
      <c r="X50" s="1726"/>
      <c r="Z50" s="1726"/>
      <c r="AB50" s="612"/>
      <c r="AC50" s="616" t="s">
        <v>238</v>
      </c>
      <c r="AD50" s="613"/>
      <c r="AE50" s="615"/>
      <c r="AF50" s="615"/>
      <c r="AG50" s="615"/>
      <c r="AH50" s="615"/>
      <c r="AI50" s="615"/>
      <c r="AJ50" s="615"/>
      <c r="AK50" s="615"/>
      <c r="AL50" s="615"/>
      <c r="AM50" s="615"/>
      <c r="AN50" s="615"/>
      <c r="AO50" s="615"/>
      <c r="AU50" s="1032" t="s">
        <v>1386</v>
      </c>
    </row>
    <row r="51" spans="1:48" s="1372" customFormat="1" ht="13.5" customHeight="1">
      <c r="A51" s="170"/>
      <c r="B51" s="170"/>
      <c r="C51" s="170"/>
      <c r="D51" s="170"/>
      <c r="E51" s="676">
        <v>14.1</v>
      </c>
      <c r="F51" s="779" t="str" cm="1">
        <f t="array" ref="F51">X51</f>
        <v>1</v>
      </c>
      <c r="G51" s="143" t="str" cm="1">
        <f t="array" ref="G51">INDEX('Общие сведения'!$AK$187:$AK$236,MATCH($F51,'Общие сведения'!$Z$187:$Z$236,0))</f>
        <v>одноставочный</v>
      </c>
      <c r="H51" s="170"/>
      <c r="I51" s="163" t="str" cm="1">
        <f t="array" ref="I51">INDEX('Общие сведения'!$AE$187:$AE$236,MATCH($F51,'Общие сведения'!$Z$187:$Z$236,0))</f>
        <v>Теплоснабжение</v>
      </c>
      <c r="J51" s="170"/>
      <c r="K51" s="170"/>
      <c r="L51" s="170"/>
      <c r="M51" s="170"/>
      <c r="N51" s="170"/>
      <c r="O51" s="170"/>
      <c r="P51" s="170"/>
      <c r="Q51" s="170"/>
      <c r="R51" s="170"/>
      <c r="S51" s="170"/>
      <c r="T51" s="698" t="b">
        <f>X51&gt;0</f>
        <v>1</v>
      </c>
      <c r="U51" s="170"/>
      <c r="V51" s="126" t="str" cm="1">
        <f t="array" ref="V51">Экономия_корр!$AB$35</f>
        <v>Тариф 1 (Теплоснабжение) - Тариф на тепловую энергию (мощность), поставляемую потребителям (Не определено)</v>
      </c>
      <c r="W51" s="170"/>
      <c r="X51" s="1726" t="s">
        <v>341</v>
      </c>
      <c r="Y51" s="170"/>
      <c r="Z51" s="1724"/>
      <c r="AA51" s="170"/>
      <c r="AB51" s="275"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6"/>
      <c r="AD51" s="276"/>
      <c r="AE51" s="276"/>
      <c r="AF51" s="276"/>
      <c r="AG51" s="276"/>
      <c r="AH51" s="276"/>
      <c r="AI51" s="276"/>
      <c r="AJ51" s="276"/>
      <c r="AK51" s="276"/>
      <c r="AL51" s="276"/>
      <c r="AM51" s="276"/>
      <c r="AN51" s="276"/>
      <c r="AO51" s="276"/>
      <c r="AP51" s="170"/>
      <c r="AQ51" s="170"/>
      <c r="AR51" s="981"/>
      <c r="AS51" s="981"/>
      <c r="AT51" s="981"/>
      <c r="AU51" s="984"/>
      <c r="AV51" s="984"/>
    </row>
    <row r="52" spans="1:48" s="1373" customFormat="1" ht="13.5" customHeight="1">
      <c r="A52" s="184"/>
      <c r="B52" s="184"/>
      <c r="C52" s="184"/>
      <c r="D52" s="184"/>
      <c r="E52" s="682">
        <v>14.1</v>
      </c>
      <c r="F52" s="779" t="str" cm="1">
        <f t="array" aca="1" ref="F52" ca="1">OFFSET(G52,-1,-1)</f>
        <v>1</v>
      </c>
      <c r="G52" s="788" t="s">
        <v>1350</v>
      </c>
      <c r="H52" s="184"/>
      <c r="I52" s="184"/>
      <c r="J52" s="184"/>
      <c r="K52" s="184"/>
      <c r="L52" s="184"/>
      <c r="M52" s="184"/>
      <c r="N52" s="184"/>
      <c r="O52" s="184"/>
      <c r="P52" s="184"/>
      <c r="Q52" s="184"/>
      <c r="R52" s="184"/>
      <c r="S52" s="184"/>
      <c r="T52" s="687" t="b" cm="1">
        <f t="array" ref="T52">T51</f>
        <v>1</v>
      </c>
      <c r="U52" s="184"/>
      <c r="V52" s="184"/>
      <c r="W52" s="184"/>
      <c r="X52" s="1821"/>
      <c r="Y52" s="184"/>
      <c r="Z52" s="1821"/>
      <c r="AA52" s="184"/>
      <c r="AB52" s="1824" t="s">
        <v>1351</v>
      </c>
      <c r="AC52" s="1825"/>
      <c r="AD52" s="252" t="s">
        <v>839</v>
      </c>
      <c r="AE52" s="1374">
        <f ca="1">SUM(AE53:AE57)+SUM(AE63:AE67)+AE73</f>
        <v>0</v>
      </c>
      <c r="AF52" s="1374">
        <f ca="1">SUM(AF53:AF57)+SUM(AF63:AF67)+AF73</f>
        <v>0</v>
      </c>
      <c r="AG52" s="1374">
        <f ca="1">SUM(AG53:AG57)+SUM(AG63:AG67)+AG73</f>
        <v>0</v>
      </c>
      <c r="AH52" s="1374">
        <f t="shared" ref="AH52:AH67" ca="1" si="3">AG52-AF52</f>
        <v>0</v>
      </c>
      <c r="AI52" s="1374">
        <f ca="1">SUM(AI53:AI57)+SUM(AI63:AI67)+AI73</f>
        <v>243303.35</v>
      </c>
      <c r="AJ52" s="1374">
        <f ca="1">SUM(AJ53:AJ57)+SUM(AJ63:AJ67)+AJ73</f>
        <v>0</v>
      </c>
      <c r="AK52" s="1374">
        <f ca="1">SUM(AK53:AK57)+SUM(AK63:AK67)+AK73</f>
        <v>237576.49522075601</v>
      </c>
      <c r="AL52" s="255">
        <f t="shared" ref="AL52:AL67" ca="1" si="4">IF(AI52=0,0,(AK52-AI52)/AI52*100)</f>
        <v>-2.3537919963880451</v>
      </c>
      <c r="AM52" s="1290"/>
      <c r="AN52" s="1290"/>
      <c r="AO52" s="1290"/>
      <c r="AP52" s="184"/>
      <c r="AQ52" s="184"/>
      <c r="AR52" s="1031" t="s">
        <v>1352</v>
      </c>
      <c r="AS52" s="1037"/>
      <c r="AT52" s="1037"/>
      <c r="AU52" s="1038"/>
      <c r="AV52" s="1038"/>
    </row>
    <row r="53" spans="1:48" s="1229" customFormat="1" ht="29.25" customHeight="1">
      <c r="A53" s="178"/>
      <c r="B53" s="783"/>
      <c r="C53" s="178"/>
      <c r="D53" s="178"/>
      <c r="E53" s="676">
        <v>30</v>
      </c>
      <c r="F53" s="779" t="str" cm="1">
        <f t="array" aca="1" ref="F53" ca="1">OFFSET(G53,-1,-1)</f>
        <v>1</v>
      </c>
      <c r="G53" s="180"/>
      <c r="H53" s="180"/>
      <c r="I53" s="180"/>
      <c r="J53" s="180"/>
      <c r="K53" s="180"/>
      <c r="L53" s="180"/>
      <c r="M53" s="180"/>
      <c r="N53" s="180"/>
      <c r="O53" s="180"/>
      <c r="P53" s="180"/>
      <c r="Q53" s="143"/>
      <c r="R53" s="143"/>
      <c r="S53" s="180"/>
      <c r="T53" s="687" t="b" cm="1">
        <f t="array" ref="T53">T52</f>
        <v>1</v>
      </c>
      <c r="U53" s="1153"/>
      <c r="V53" s="1153"/>
      <c r="W53" s="1153"/>
      <c r="X53" s="1726"/>
      <c r="Y53" s="1153"/>
      <c r="Z53" s="1726"/>
      <c r="AA53" s="180"/>
      <c r="AB53" s="111">
        <v>1</v>
      </c>
      <c r="AC53" s="119" t="s">
        <v>1353</v>
      </c>
      <c r="AD53" s="468" t="s">
        <v>1077</v>
      </c>
      <c r="AE53" s="1375"/>
      <c r="AF53" s="1375"/>
      <c r="AG53" s="1375"/>
      <c r="AH53" s="323">
        <f t="shared" si="3"/>
        <v>0</v>
      </c>
      <c r="AI53" s="1375">
        <v>444.77</v>
      </c>
      <c r="AJ53" s="1375"/>
      <c r="AK53" s="1375">
        <v>462.34</v>
      </c>
      <c r="AL53" s="256">
        <f t="shared" si="4"/>
        <v>3.9503563639633956</v>
      </c>
      <c r="AM53" s="1290"/>
      <c r="AN53" s="1290"/>
      <c r="AO53" s="1290"/>
      <c r="AP53" s="180"/>
      <c r="AQ53" s="180"/>
      <c r="AR53" s="1031" t="s">
        <v>1354</v>
      </c>
      <c r="AS53" s="1031"/>
      <c r="AT53" s="1031"/>
      <c r="AU53" s="1032"/>
      <c r="AV53" s="1032"/>
    </row>
    <row r="54" spans="1:48" s="1376" customFormat="1" ht="14.25" customHeight="1">
      <c r="A54" s="183"/>
      <c r="B54" s="183"/>
      <c r="C54" s="183"/>
      <c r="D54" s="183"/>
      <c r="E54" s="682">
        <v>15</v>
      </c>
      <c r="F54" s="779" t="str" cm="1">
        <f t="array" aca="1" ref="F54" ca="1">OFFSET(G54,-1,-1)</f>
        <v>1</v>
      </c>
      <c r="G54" s="183"/>
      <c r="H54" s="183"/>
      <c r="I54" s="183"/>
      <c r="J54" s="183"/>
      <c r="K54" s="183"/>
      <c r="L54" s="183"/>
      <c r="M54" s="183"/>
      <c r="N54" s="183"/>
      <c r="O54" s="183"/>
      <c r="P54" s="183"/>
      <c r="Q54" s="183"/>
      <c r="R54" s="183"/>
      <c r="S54" s="183"/>
      <c r="T54" s="687" t="b" cm="1">
        <f t="array" ref="T54">T53</f>
        <v>1</v>
      </c>
      <c r="U54" s="183"/>
      <c r="V54" s="183"/>
      <c r="W54" s="183"/>
      <c r="X54" s="1822"/>
      <c r="Y54" s="183"/>
      <c r="Z54" s="1822"/>
      <c r="AA54" s="183"/>
      <c r="AB54" s="111">
        <v>2</v>
      </c>
      <c r="AC54" s="119" t="s">
        <v>1355</v>
      </c>
      <c r="AD54" s="468" t="s">
        <v>1077</v>
      </c>
      <c r="AE54" s="1375"/>
      <c r="AF54" s="1375"/>
      <c r="AG54" s="1375"/>
      <c r="AH54" s="256">
        <f t="shared" si="3"/>
        <v>0</v>
      </c>
      <c r="AI54" s="1375">
        <v>72733.7</v>
      </c>
      <c r="AJ54" s="1375"/>
      <c r="AK54" s="1375">
        <v>75603.460000000006</v>
      </c>
      <c r="AL54" s="256">
        <f t="shared" si="4"/>
        <v>3.9455713101354797</v>
      </c>
      <c r="AM54" s="1290"/>
      <c r="AN54" s="1290"/>
      <c r="AO54" s="1290"/>
      <c r="AP54" s="183"/>
      <c r="AQ54" s="183"/>
      <c r="AR54" s="1031" t="s">
        <v>1356</v>
      </c>
      <c r="AS54" s="1037"/>
      <c r="AT54" s="1037"/>
      <c r="AU54" s="1038"/>
      <c r="AV54" s="1038"/>
    </row>
    <row r="55" spans="1:48" s="1229" customFormat="1" ht="14.25" customHeight="1">
      <c r="A55" s="178"/>
      <c r="B55" s="783"/>
      <c r="C55" s="178"/>
      <c r="D55" s="178"/>
      <c r="E55" s="676">
        <v>15</v>
      </c>
      <c r="F55" s="779" t="str" cm="1">
        <f t="array" aca="1" ref="F55" ca="1">OFFSET(G55,-1,-1)</f>
        <v>1</v>
      </c>
      <c r="G55" s="143" t="s">
        <v>48</v>
      </c>
      <c r="H55" s="180"/>
      <c r="I55" s="180"/>
      <c r="J55" s="180"/>
      <c r="K55" s="180"/>
      <c r="L55" s="180"/>
      <c r="M55" s="180"/>
      <c r="N55" s="180"/>
      <c r="O55" s="180"/>
      <c r="P55" s="180"/>
      <c r="Q55" s="143"/>
      <c r="R55" s="143"/>
      <c r="S55" s="180"/>
      <c r="T55" s="687" t="b" cm="1">
        <f t="array" ref="T55">T54</f>
        <v>1</v>
      </c>
      <c r="U55" s="1153"/>
      <c r="V55" s="1153"/>
      <c r="W55" s="1153"/>
      <c r="X55" s="1726"/>
      <c r="Y55" s="1153"/>
      <c r="Z55" s="1726"/>
      <c r="AA55" s="180"/>
      <c r="AB55" s="111">
        <v>3</v>
      </c>
      <c r="AC55" s="118" t="s">
        <v>49</v>
      </c>
      <c r="AD55" s="419" t="s">
        <v>1077</v>
      </c>
      <c r="AE55" s="1314">
        <f ca="1">SUMIFS(ФОТ!AE$26:AE$114,ФОТ!$F$26:$F$114,$F55,ФОТ!$G$26:$G$114,$G55)</f>
        <v>0</v>
      </c>
      <c r="AF55" s="1314">
        <f ca="1">SUMIFS(ФОТ!AF$26:AF$114,ФОТ!$F$26:$F$114,$F55,ФОТ!$G$26:$G$114,$G55)</f>
        <v>0</v>
      </c>
      <c r="AG55" s="1314">
        <f ca="1">SUMIFS(ФОТ!AG$26:AG$114,ФОТ!$F$26:$F$114,$F55,ФОТ!$G$26:$G$114,$G55)</f>
        <v>0</v>
      </c>
      <c r="AH55" s="256">
        <f t="shared" ca="1" si="3"/>
        <v>0</v>
      </c>
      <c r="AI55" s="1314">
        <f ca="1">SUMIFS(ФОТ!AH$26:AH$114,ФОТ!$F$26:$F$114,$F55,ФОТ!$G$26:$G$114,$G55)</f>
        <v>9526.7199999999993</v>
      </c>
      <c r="AJ55" s="256">
        <f ca="1">SUMIFS(ФОТ!AI$26:AI$114,ФОТ!$F$26:$F$114,$F55,ФОТ!$G$26:$G$114,$G55)</f>
        <v>0</v>
      </c>
      <c r="AK55" s="256">
        <f ca="1">SUMIFS(ФОТ!AJ$26:AJ$114,ФОТ!$F$26:$F$114,$F55,ФОТ!$G$26:$G$114,$G55)</f>
        <v>9906.3952207559978</v>
      </c>
      <c r="AL55" s="256">
        <f t="shared" ca="1" si="4"/>
        <v>3.9853718882889231</v>
      </c>
      <c r="AM55" s="1290"/>
      <c r="AN55" s="1290"/>
      <c r="AO55" s="1290"/>
      <c r="AP55" s="180"/>
      <c r="AQ55" s="180"/>
      <c r="AR55" s="1031" t="s">
        <v>1357</v>
      </c>
      <c r="AS55" s="1031"/>
      <c r="AT55" s="1031"/>
      <c r="AU55" s="1032"/>
      <c r="AV55" s="1032"/>
    </row>
    <row r="56" spans="1:48" s="1229" customFormat="1" ht="52.5" customHeight="1">
      <c r="A56" s="178"/>
      <c r="B56" s="783"/>
      <c r="C56" s="178"/>
      <c r="D56" s="178"/>
      <c r="E56" s="676">
        <v>54</v>
      </c>
      <c r="F56" s="779" t="str" cm="1">
        <f t="array" aca="1" ref="F56" ca="1">OFFSET(G56,-1,-1)</f>
        <v>1</v>
      </c>
      <c r="G56" s="180"/>
      <c r="H56" s="180"/>
      <c r="I56" s="180"/>
      <c r="J56" s="180"/>
      <c r="K56" s="180"/>
      <c r="L56" s="180"/>
      <c r="M56" s="180"/>
      <c r="N56" s="180"/>
      <c r="O56" s="180"/>
      <c r="P56" s="180"/>
      <c r="Q56" s="143"/>
      <c r="R56" s="143"/>
      <c r="S56" s="180"/>
      <c r="T56" s="687" t="b" cm="1">
        <f t="array" ref="T56">T55</f>
        <v>1</v>
      </c>
      <c r="U56" s="1153"/>
      <c r="V56" s="1153"/>
      <c r="W56" s="1153"/>
      <c r="X56" s="1726"/>
      <c r="Y56" s="1153"/>
      <c r="Z56" s="1726"/>
      <c r="AA56" s="180"/>
      <c r="AB56" s="111">
        <v>4</v>
      </c>
      <c r="AC56" s="119" t="s">
        <v>1358</v>
      </c>
      <c r="AD56" s="419" t="s">
        <v>1077</v>
      </c>
      <c r="AE56" s="1314"/>
      <c r="AF56" s="1314"/>
      <c r="AG56" s="1314"/>
      <c r="AH56" s="256">
        <f t="shared" si="3"/>
        <v>0</v>
      </c>
      <c r="AI56" s="1314">
        <v>153145.57</v>
      </c>
      <c r="AJ56" s="1314"/>
      <c r="AK56" s="1314">
        <v>143863.92000000001</v>
      </c>
      <c r="AL56" s="256">
        <f t="shared" si="4"/>
        <v>-6.0606715558275663</v>
      </c>
      <c r="AM56" s="1290"/>
      <c r="AN56" s="1290"/>
      <c r="AO56" s="1290"/>
      <c r="AP56" s="180"/>
      <c r="AQ56" s="180"/>
      <c r="AR56" s="1031" t="s">
        <v>1359</v>
      </c>
      <c r="AS56" s="1031"/>
      <c r="AT56" s="1031"/>
      <c r="AU56" s="1032"/>
      <c r="AV56" s="1032"/>
    </row>
    <row r="57" spans="1:48" s="1229" customFormat="1" ht="30" customHeight="1">
      <c r="A57" s="178"/>
      <c r="B57" s="783"/>
      <c r="C57" s="178"/>
      <c r="D57" s="178"/>
      <c r="E57" s="676">
        <v>31.5</v>
      </c>
      <c r="F57" s="779" t="str" cm="1">
        <f t="array" aca="1" ref="F57" ca="1">OFFSET(G57,-1,-1)</f>
        <v>1</v>
      </c>
      <c r="G57" s="180"/>
      <c r="H57" s="180"/>
      <c r="I57" s="180"/>
      <c r="J57" s="180"/>
      <c r="K57" s="180"/>
      <c r="L57" s="180"/>
      <c r="M57" s="180"/>
      <c r="N57" s="180"/>
      <c r="O57" s="180"/>
      <c r="P57" s="180"/>
      <c r="Q57" s="143"/>
      <c r="R57" s="143"/>
      <c r="S57" s="180"/>
      <c r="T57" s="687" t="b" cm="1">
        <f t="array" ref="T57">T56</f>
        <v>1</v>
      </c>
      <c r="U57" s="1153"/>
      <c r="V57" s="1153"/>
      <c r="W57" s="1153"/>
      <c r="X57" s="1726"/>
      <c r="Y57" s="1153"/>
      <c r="Z57" s="1726"/>
      <c r="AA57" s="180"/>
      <c r="AB57" s="111">
        <v>5</v>
      </c>
      <c r="AC57" s="119" t="s">
        <v>1360</v>
      </c>
      <c r="AD57" s="419" t="s">
        <v>1077</v>
      </c>
      <c r="AE57" s="256">
        <f>SUM(AE58:AE62)</f>
        <v>0</v>
      </c>
      <c r="AF57" s="256">
        <f>SUM(AF58:AF62)</f>
        <v>0</v>
      </c>
      <c r="AG57" s="1314">
        <f>SUM(AG58:AG62)</f>
        <v>0</v>
      </c>
      <c r="AH57" s="256">
        <f t="shared" si="3"/>
        <v>0</v>
      </c>
      <c r="AI57" s="256">
        <f>SUM(AI58:AI62)</f>
        <v>3667.76</v>
      </c>
      <c r="AJ57" s="256">
        <f>SUM(AJ58:AJ62)</f>
        <v>0</v>
      </c>
      <c r="AK57" s="256">
        <f>SUM(AK58:AK62)</f>
        <v>3804.29</v>
      </c>
      <c r="AL57" s="256">
        <f t="shared" si="4"/>
        <v>3.722435491962389</v>
      </c>
      <c r="AM57" s="1290"/>
      <c r="AN57" s="1290"/>
      <c r="AO57" s="1290"/>
      <c r="AP57" s="180"/>
      <c r="AQ57" s="180"/>
      <c r="AR57" s="1031" t="s">
        <v>1361</v>
      </c>
      <c r="AS57" s="1031"/>
      <c r="AT57" s="1031"/>
      <c r="AU57" s="1032"/>
      <c r="AV57" s="1032"/>
    </row>
    <row r="58" spans="1:48" s="1229" customFormat="1" ht="14.25" customHeight="1">
      <c r="A58" s="178"/>
      <c r="B58" s="783"/>
      <c r="C58" s="178"/>
      <c r="D58" s="178"/>
      <c r="E58" s="676">
        <v>15</v>
      </c>
      <c r="F58" s="779" t="str" cm="1">
        <f t="array" aca="1" ref="F58" ca="1">OFFSET(G58,-1,-1)</f>
        <v>1</v>
      </c>
      <c r="G58" s="180"/>
      <c r="H58" s="180"/>
      <c r="I58" s="180"/>
      <c r="J58" s="180"/>
      <c r="K58" s="180"/>
      <c r="L58" s="180"/>
      <c r="M58" s="180"/>
      <c r="N58" s="180"/>
      <c r="O58" s="180"/>
      <c r="P58" s="180"/>
      <c r="Q58" s="143"/>
      <c r="R58" s="143"/>
      <c r="S58" s="180"/>
      <c r="T58" s="687" t="b" cm="1">
        <f t="array" ref="T58">T57</f>
        <v>1</v>
      </c>
      <c r="U58" s="1153"/>
      <c r="V58" s="1153"/>
      <c r="W58" s="1153"/>
      <c r="X58" s="1726"/>
      <c r="Y58" s="1153"/>
      <c r="Z58" s="1726"/>
      <c r="AA58" s="180"/>
      <c r="AB58" s="111" t="s">
        <v>785</v>
      </c>
      <c r="AC58" s="119" t="s">
        <v>1362</v>
      </c>
      <c r="AD58" s="419" t="s">
        <v>1077</v>
      </c>
      <c r="AE58" s="1314"/>
      <c r="AF58" s="1314"/>
      <c r="AG58" s="1314"/>
      <c r="AH58" s="256">
        <f t="shared" si="3"/>
        <v>0</v>
      </c>
      <c r="AI58" s="1314"/>
      <c r="AJ58" s="1314"/>
      <c r="AK58" s="1314"/>
      <c r="AL58" s="256">
        <f t="shared" si="4"/>
        <v>0</v>
      </c>
      <c r="AM58" s="1290"/>
      <c r="AN58" s="1290"/>
      <c r="AO58" s="1290"/>
      <c r="AP58" s="180"/>
      <c r="AQ58" s="180"/>
      <c r="AR58" s="1031" t="s">
        <v>1363</v>
      </c>
      <c r="AS58" s="1031"/>
      <c r="AT58" s="1031"/>
      <c r="AU58" s="1032"/>
      <c r="AV58" s="1032"/>
    </row>
    <row r="59" spans="1:48" s="1229" customFormat="1" ht="14.25" customHeight="1">
      <c r="A59" s="178"/>
      <c r="B59" s="783"/>
      <c r="C59" s="178"/>
      <c r="D59" s="178"/>
      <c r="E59" s="676">
        <v>15</v>
      </c>
      <c r="F59" s="779" t="str" cm="1">
        <f t="array" aca="1" ref="F59" ca="1">OFFSET(G59,-1,-1)</f>
        <v>1</v>
      </c>
      <c r="G59" s="180"/>
      <c r="H59" s="180"/>
      <c r="I59" s="180"/>
      <c r="J59" s="180"/>
      <c r="K59" s="180"/>
      <c r="L59" s="180"/>
      <c r="M59" s="180"/>
      <c r="N59" s="180"/>
      <c r="O59" s="180"/>
      <c r="P59" s="180"/>
      <c r="Q59" s="143"/>
      <c r="R59" s="143"/>
      <c r="S59" s="180"/>
      <c r="T59" s="687" t="b" cm="1">
        <f t="array" ref="T59">T58</f>
        <v>1</v>
      </c>
      <c r="U59" s="1153"/>
      <c r="V59" s="1153"/>
      <c r="W59" s="1153"/>
      <c r="X59" s="1726"/>
      <c r="Y59" s="1153"/>
      <c r="Z59" s="1726"/>
      <c r="AA59" s="180"/>
      <c r="AB59" s="111" t="s">
        <v>1364</v>
      </c>
      <c r="AC59" s="119" t="s">
        <v>1365</v>
      </c>
      <c r="AD59" s="419" t="s">
        <v>1077</v>
      </c>
      <c r="AE59" s="1314"/>
      <c r="AF59" s="1314"/>
      <c r="AG59" s="1314"/>
      <c r="AH59" s="256">
        <f t="shared" si="3"/>
        <v>0</v>
      </c>
      <c r="AI59" s="1314"/>
      <c r="AJ59" s="1314"/>
      <c r="AK59" s="1314"/>
      <c r="AL59" s="256">
        <f t="shared" si="4"/>
        <v>0</v>
      </c>
      <c r="AM59" s="1290"/>
      <c r="AN59" s="1290"/>
      <c r="AO59" s="1290"/>
      <c r="AP59" s="180"/>
      <c r="AQ59" s="180"/>
      <c r="AR59" s="1031" t="s">
        <v>1366</v>
      </c>
      <c r="AS59" s="1031"/>
      <c r="AT59" s="1031"/>
      <c r="AU59" s="1032"/>
      <c r="AV59" s="1032"/>
    </row>
    <row r="60" spans="1:48" s="1229" customFormat="1" ht="14.25" customHeight="1">
      <c r="A60" s="178"/>
      <c r="B60" s="783"/>
      <c r="C60" s="178"/>
      <c r="D60" s="178"/>
      <c r="E60" s="676">
        <v>15</v>
      </c>
      <c r="F60" s="779" t="str" cm="1">
        <f t="array" aca="1" ref="F60" ca="1">OFFSET(G60,-1,-1)</f>
        <v>1</v>
      </c>
      <c r="G60" s="180"/>
      <c r="H60" s="180"/>
      <c r="I60" s="180"/>
      <c r="J60" s="180"/>
      <c r="K60" s="180"/>
      <c r="L60" s="180"/>
      <c r="M60" s="180"/>
      <c r="N60" s="180"/>
      <c r="O60" s="180"/>
      <c r="P60" s="180"/>
      <c r="Q60" s="143"/>
      <c r="R60" s="143"/>
      <c r="S60" s="180"/>
      <c r="T60" s="687" t="b" cm="1">
        <f t="array" ref="T60">T59</f>
        <v>1</v>
      </c>
      <c r="U60" s="1153"/>
      <c r="V60" s="1153"/>
      <c r="W60" s="1153"/>
      <c r="X60" s="1726"/>
      <c r="Y60" s="1153"/>
      <c r="Z60" s="1726"/>
      <c r="AA60" s="180"/>
      <c r="AB60" s="111" t="s">
        <v>1367</v>
      </c>
      <c r="AC60" s="119" t="s">
        <v>1368</v>
      </c>
      <c r="AD60" s="419" t="s">
        <v>1077</v>
      </c>
      <c r="AE60" s="1314"/>
      <c r="AF60" s="1314"/>
      <c r="AG60" s="1314"/>
      <c r="AH60" s="256">
        <f t="shared" si="3"/>
        <v>0</v>
      </c>
      <c r="AI60" s="1314"/>
      <c r="AJ60" s="1314"/>
      <c r="AK60" s="1314"/>
      <c r="AL60" s="256">
        <f t="shared" si="4"/>
        <v>0</v>
      </c>
      <c r="AM60" s="1290"/>
      <c r="AN60" s="1290"/>
      <c r="AO60" s="1290"/>
      <c r="AP60" s="180"/>
      <c r="AQ60" s="180"/>
      <c r="AR60" s="1031" t="s">
        <v>1369</v>
      </c>
      <c r="AS60" s="1031"/>
      <c r="AT60" s="1031"/>
      <c r="AU60" s="1032"/>
      <c r="AV60" s="1032"/>
    </row>
    <row r="61" spans="1:48" s="1229" customFormat="1" ht="23.25" customHeight="1">
      <c r="A61" s="178"/>
      <c r="B61" s="783"/>
      <c r="C61" s="178"/>
      <c r="D61" s="178"/>
      <c r="E61" s="676">
        <v>24</v>
      </c>
      <c r="F61" s="779" t="str" cm="1">
        <f t="array" aca="1" ref="F61" ca="1">OFFSET(G61,-1,-1)</f>
        <v>1</v>
      </c>
      <c r="G61" s="180"/>
      <c r="H61" s="180"/>
      <c r="I61" s="180"/>
      <c r="J61" s="180"/>
      <c r="K61" s="180"/>
      <c r="L61" s="180"/>
      <c r="M61" s="180"/>
      <c r="N61" s="180"/>
      <c r="O61" s="180"/>
      <c r="P61" s="180"/>
      <c r="Q61" s="143"/>
      <c r="R61" s="143"/>
      <c r="S61" s="180"/>
      <c r="T61" s="687" t="b" cm="1">
        <f t="array" ref="T61">T60</f>
        <v>1</v>
      </c>
      <c r="U61" s="1153"/>
      <c r="V61" s="1153"/>
      <c r="W61" s="1153"/>
      <c r="X61" s="1726"/>
      <c r="Y61" s="1153"/>
      <c r="Z61" s="1726"/>
      <c r="AA61" s="180"/>
      <c r="AB61" s="111" t="s">
        <v>1370</v>
      </c>
      <c r="AC61" s="119" t="s">
        <v>1371</v>
      </c>
      <c r="AD61" s="419" t="s">
        <v>1077</v>
      </c>
      <c r="AE61" s="1314"/>
      <c r="AF61" s="1314"/>
      <c r="AG61" s="1314"/>
      <c r="AH61" s="256">
        <f t="shared" si="3"/>
        <v>0</v>
      </c>
      <c r="AI61" s="1314"/>
      <c r="AJ61" s="1314"/>
      <c r="AK61" s="1314"/>
      <c r="AL61" s="256">
        <f t="shared" si="4"/>
        <v>0</v>
      </c>
      <c r="AM61" s="1290"/>
      <c r="AN61" s="1290"/>
      <c r="AO61" s="1290"/>
      <c r="AP61" s="180"/>
      <c r="AQ61" s="180"/>
      <c r="AR61" s="1031" t="s">
        <v>1372</v>
      </c>
      <c r="AS61" s="1031"/>
      <c r="AT61" s="1031"/>
      <c r="AU61" s="1032"/>
      <c r="AV61" s="1032"/>
    </row>
    <row r="62" spans="1:48" s="1229" customFormat="1" ht="14.25" customHeight="1">
      <c r="A62" s="178"/>
      <c r="B62" s="783"/>
      <c r="C62" s="178"/>
      <c r="D62" s="178"/>
      <c r="E62" s="676">
        <v>15</v>
      </c>
      <c r="F62" s="779" t="str" cm="1">
        <f t="array" aca="1" ref="F62" ca="1">OFFSET(G62,-1,-1)</f>
        <v>1</v>
      </c>
      <c r="G62" s="180"/>
      <c r="H62" s="180"/>
      <c r="I62" s="180"/>
      <c r="J62" s="180"/>
      <c r="K62" s="180"/>
      <c r="L62" s="180"/>
      <c r="M62" s="180"/>
      <c r="N62" s="180"/>
      <c r="O62" s="180"/>
      <c r="P62" s="180"/>
      <c r="Q62" s="143"/>
      <c r="R62" s="143"/>
      <c r="S62" s="180"/>
      <c r="T62" s="687" t="b" cm="1">
        <f t="array" ref="T62">T61</f>
        <v>1</v>
      </c>
      <c r="U62" s="1153"/>
      <c r="V62" s="1153"/>
      <c r="W62" s="1153"/>
      <c r="X62" s="1726"/>
      <c r="Y62" s="1153"/>
      <c r="Z62" s="1726"/>
      <c r="AA62" s="180"/>
      <c r="AB62" s="111" t="s">
        <v>1373</v>
      </c>
      <c r="AC62" s="119" t="s">
        <v>1374</v>
      </c>
      <c r="AD62" s="419" t="s">
        <v>1077</v>
      </c>
      <c r="AE62" s="1314"/>
      <c r="AF62" s="1314"/>
      <c r="AG62" s="1314"/>
      <c r="AH62" s="256">
        <f t="shared" si="3"/>
        <v>0</v>
      </c>
      <c r="AI62" s="1314">
        <v>3667.76</v>
      </c>
      <c r="AJ62" s="1314"/>
      <c r="AK62" s="1314">
        <v>3804.29</v>
      </c>
      <c r="AL62" s="256">
        <f t="shared" si="4"/>
        <v>3.722435491962389</v>
      </c>
      <c r="AM62" s="1290"/>
      <c r="AN62" s="1290"/>
      <c r="AO62" s="1290"/>
      <c r="AP62" s="180"/>
      <c r="AQ62" s="180"/>
      <c r="AR62" s="1031" t="s">
        <v>1375</v>
      </c>
      <c r="AS62" s="1031"/>
      <c r="AT62" s="1031"/>
      <c r="AU62" s="1032"/>
      <c r="AV62" s="1032"/>
    </row>
    <row r="63" spans="1:48" s="1377" customFormat="1" ht="14.25" customHeight="1">
      <c r="A63" s="185"/>
      <c r="B63" s="185"/>
      <c r="C63" s="185"/>
      <c r="D63" s="185"/>
      <c r="E63" s="676">
        <v>15</v>
      </c>
      <c r="F63" s="779" t="str" cm="1">
        <f t="array" aca="1" ref="F63" ca="1">OFFSET(G63,-1,-1)</f>
        <v>1</v>
      </c>
      <c r="G63" s="185"/>
      <c r="H63" s="185"/>
      <c r="I63" s="185"/>
      <c r="J63" s="185"/>
      <c r="K63" s="185"/>
      <c r="L63" s="185"/>
      <c r="M63" s="185"/>
      <c r="N63" s="185"/>
      <c r="O63" s="185"/>
      <c r="P63" s="185"/>
      <c r="Q63" s="185"/>
      <c r="R63" s="185"/>
      <c r="S63" s="185"/>
      <c r="T63" s="687" t="b" cm="1">
        <f t="array" ref="T63">T62</f>
        <v>1</v>
      </c>
      <c r="U63" s="185"/>
      <c r="V63" s="185"/>
      <c r="W63" s="185"/>
      <c r="X63" s="1823"/>
      <c r="Y63" s="185"/>
      <c r="Z63" s="1823"/>
      <c r="AA63" s="185"/>
      <c r="AB63" s="111" t="s">
        <v>448</v>
      </c>
      <c r="AC63" s="119" t="s">
        <v>1376</v>
      </c>
      <c r="AD63" s="419" t="s">
        <v>1077</v>
      </c>
      <c r="AE63" s="1314"/>
      <c r="AF63" s="1314"/>
      <c r="AG63" s="1314"/>
      <c r="AH63" s="256">
        <f t="shared" si="3"/>
        <v>0</v>
      </c>
      <c r="AI63" s="1314">
        <v>31.51</v>
      </c>
      <c r="AJ63" s="1314"/>
      <c r="AK63" s="1314">
        <v>32.770000000000003</v>
      </c>
      <c r="AL63" s="256">
        <f t="shared" si="4"/>
        <v>3.9987305617264406</v>
      </c>
      <c r="AM63" s="1290"/>
      <c r="AN63" s="1290"/>
      <c r="AO63" s="1290"/>
      <c r="AP63" s="185"/>
      <c r="AQ63" s="185"/>
      <c r="AR63" s="1031" t="s">
        <v>1377</v>
      </c>
      <c r="AS63" s="1039"/>
      <c r="AT63" s="1039"/>
      <c r="AU63" s="1040"/>
      <c r="AV63" s="1040"/>
    </row>
    <row r="64" spans="1:48" s="1229" customFormat="1" ht="14.25" customHeight="1">
      <c r="A64" s="178"/>
      <c r="B64" s="783"/>
      <c r="C64" s="178"/>
      <c r="D64" s="178"/>
      <c r="E64" s="676">
        <v>15</v>
      </c>
      <c r="F64" s="779" t="str" cm="1">
        <f t="array" aca="1" ref="F64" ca="1">OFFSET(G64,-1,-1)</f>
        <v>1</v>
      </c>
      <c r="G64" s="180"/>
      <c r="H64" s="180"/>
      <c r="I64" s="180"/>
      <c r="J64" s="180"/>
      <c r="K64" s="180"/>
      <c r="L64" s="180"/>
      <c r="M64" s="180"/>
      <c r="N64" s="180"/>
      <c r="O64" s="180"/>
      <c r="P64" s="180"/>
      <c r="Q64" s="143"/>
      <c r="R64" s="143"/>
      <c r="S64" s="180"/>
      <c r="T64" s="687" t="b" cm="1">
        <f t="array" ref="T64">T63</f>
        <v>1</v>
      </c>
      <c r="U64" s="1153"/>
      <c r="V64" s="1153"/>
      <c r="W64" s="1153"/>
      <c r="X64" s="1726"/>
      <c r="Y64" s="1153"/>
      <c r="Z64" s="1726"/>
      <c r="AA64" s="180"/>
      <c r="AB64" s="111" t="s">
        <v>451</v>
      </c>
      <c r="AC64" s="119" t="s">
        <v>1378</v>
      </c>
      <c r="AD64" s="419" t="s">
        <v>1077</v>
      </c>
      <c r="AE64" s="1314"/>
      <c r="AF64" s="1314"/>
      <c r="AG64" s="1314"/>
      <c r="AH64" s="256">
        <f t="shared" si="3"/>
        <v>0</v>
      </c>
      <c r="AI64" s="1314">
        <v>90.07</v>
      </c>
      <c r="AJ64" s="1314"/>
      <c r="AK64" s="1314">
        <v>93.54</v>
      </c>
      <c r="AL64" s="256">
        <f t="shared" si="4"/>
        <v>3.8525591206839271</v>
      </c>
      <c r="AM64" s="1290"/>
      <c r="AN64" s="1290"/>
      <c r="AO64" s="1290"/>
      <c r="AP64" s="180"/>
      <c r="AQ64" s="180"/>
      <c r="AR64" s="1031" t="s">
        <v>1379</v>
      </c>
      <c r="AS64" s="1031"/>
      <c r="AT64" s="1031"/>
      <c r="AU64" s="1032"/>
      <c r="AV64" s="1032"/>
    </row>
    <row r="65" spans="1:48" s="1229" customFormat="1" ht="14.25" customHeight="1">
      <c r="A65" s="178"/>
      <c r="B65" s="783"/>
      <c r="C65" s="178"/>
      <c r="D65" s="178"/>
      <c r="E65" s="676">
        <v>15</v>
      </c>
      <c r="F65" s="779" t="str" cm="1">
        <f t="array" aca="1" ref="F65" ca="1">OFFSET(G65,-1,-1)</f>
        <v>1</v>
      </c>
      <c r="G65" s="143" t="s">
        <v>1222</v>
      </c>
      <c r="H65" s="180"/>
      <c r="I65" s="180"/>
      <c r="J65" s="180"/>
      <c r="K65" s="180"/>
      <c r="L65" s="180"/>
      <c r="M65" s="180"/>
      <c r="N65" s="180"/>
      <c r="O65" s="180"/>
      <c r="P65" s="180"/>
      <c r="Q65" s="143"/>
      <c r="R65" s="143"/>
      <c r="S65" s="180"/>
      <c r="T65" s="687" t="b" cm="1">
        <f t="array" ref="T65">T64</f>
        <v>1</v>
      </c>
      <c r="U65" s="1153"/>
      <c r="V65" s="1153"/>
      <c r="W65" s="1153"/>
      <c r="X65" s="1726"/>
      <c r="Y65" s="1153"/>
      <c r="Z65" s="1726"/>
      <c r="AA65" s="180"/>
      <c r="AB65" s="111" t="s">
        <v>454</v>
      </c>
      <c r="AC65" s="118" t="s">
        <v>1380</v>
      </c>
      <c r="AD65" s="419" t="s">
        <v>1077</v>
      </c>
      <c r="AE65" s="256">
        <f ca="1">SUMIFS(Аренда!AE$26:AE$63,Аренда!$F$26:$F$63,$F65,Аренда!$G$26:$G$63,$G65)</f>
        <v>0</v>
      </c>
      <c r="AF65" s="256">
        <f ca="1">SUMIFS(Аренда!AF$26:AF$63,Аренда!$F$26:$F$63,$F65,Аренда!$G$26:$G$63,$G65)</f>
        <v>0</v>
      </c>
      <c r="AG65" s="1314">
        <f ca="1">SUMIFS(Аренда!AG$26:AG$63,Аренда!$F$26:$F$63,$F65,Аренда!$G$26:$G$63,$G65)</f>
        <v>0</v>
      </c>
      <c r="AH65" s="256">
        <f t="shared" ca="1" si="3"/>
        <v>0</v>
      </c>
      <c r="AI65" s="256">
        <f ca="1">SUMIFS(Аренда!AH$26:AH$63,Аренда!$F$26:$F$63,$F65,Аренда!$G$26:$G$63,$G65)</f>
        <v>0</v>
      </c>
      <c r="AJ65" s="256">
        <f ca="1">SUMIFS(Аренда!AI$26:AI$63,Аренда!$F$26:$F$63,$F65,Аренда!$G$26:$G$63,$G65)</f>
        <v>0</v>
      </c>
      <c r="AK65" s="256">
        <f ca="1">SUMIFS(Аренда!AS$26:AS$63,Аренда!$F$26:$F$63,$F65,Аренда!$G$26:$G$63,$G65)</f>
        <v>0</v>
      </c>
      <c r="AL65" s="256">
        <f t="shared" ca="1" si="4"/>
        <v>0</v>
      </c>
      <c r="AM65" s="1290"/>
      <c r="AN65" s="1290"/>
      <c r="AO65" s="1290"/>
      <c r="AP65" s="180"/>
      <c r="AQ65" s="180"/>
      <c r="AR65" s="1031" t="s">
        <v>1381</v>
      </c>
      <c r="AS65" s="1031"/>
      <c r="AT65" s="1031"/>
      <c r="AU65" s="1032"/>
      <c r="AV65" s="1032"/>
    </row>
    <row r="66" spans="1:48" s="1378" customFormat="1" ht="14.25" customHeight="1">
      <c r="A66" s="185"/>
      <c r="B66" s="185"/>
      <c r="C66" s="185"/>
      <c r="D66" s="185"/>
      <c r="E66" s="676">
        <v>15</v>
      </c>
      <c r="F66" s="779" t="str" cm="1">
        <f t="array" aca="1" ref="F66" ca="1">OFFSET(G66,-1,-1)</f>
        <v>1</v>
      </c>
      <c r="G66" s="143" t="s">
        <v>1209</v>
      </c>
      <c r="H66" s="185"/>
      <c r="I66" s="185"/>
      <c r="J66" s="185"/>
      <c r="K66" s="185"/>
      <c r="L66" s="185"/>
      <c r="M66" s="185"/>
      <c r="N66" s="185"/>
      <c r="O66" s="185"/>
      <c r="P66" s="185"/>
      <c r="Q66" s="185"/>
      <c r="R66" s="185"/>
      <c r="S66" s="185"/>
      <c r="T66" s="687" t="b" cm="1">
        <f t="array" ref="T66">T65</f>
        <v>1</v>
      </c>
      <c r="U66" s="185"/>
      <c r="V66" s="185"/>
      <c r="W66" s="185"/>
      <c r="X66" s="1823"/>
      <c r="Y66" s="185"/>
      <c r="Z66" s="1823"/>
      <c r="AA66" s="185"/>
      <c r="AB66" s="111" t="s">
        <v>457</v>
      </c>
      <c r="AC66" s="118" t="s">
        <v>1382</v>
      </c>
      <c r="AD66" s="419" t="s">
        <v>1077</v>
      </c>
      <c r="AE66" s="256">
        <f ca="1">SUMIFS(Аренда!AE$26:AE$63,Аренда!$F$26:$F$63,$F66,Аренда!$G$26:$G$63,$G66)</f>
        <v>0</v>
      </c>
      <c r="AF66" s="256">
        <f ca="1">SUMIFS(Аренда!AF$26:AF$63,Аренда!$F$26:$F$63,$F66,Аренда!$G$26:$G$63,$G66)</f>
        <v>0</v>
      </c>
      <c r="AG66" s="1314">
        <f ca="1">SUMIFS(Аренда!AG$26:AG$63,Аренда!$F$26:$F$63,$F66,Аренда!$G$26:$G$63,$G66)</f>
        <v>0</v>
      </c>
      <c r="AH66" s="256">
        <f t="shared" ca="1" si="3"/>
        <v>0</v>
      </c>
      <c r="AI66" s="256">
        <f ca="1">SUMIFS(Аренда!AH$26:AH$63,Аренда!$F$26:$F$63,$F66,Аренда!$G$26:$G$63,$G66)</f>
        <v>175.26</v>
      </c>
      <c r="AJ66" s="256">
        <f ca="1">SUMIFS(Аренда!AI$26:AI$63,Аренда!$F$26:$F$63,$F66,Аренда!$G$26:$G$63,$G66)</f>
        <v>0</v>
      </c>
      <c r="AK66" s="256">
        <f ca="1">SUMIFS(Аренда!AS$26:AS$63,Аренда!$F$26:$F$63,$F66,Аренда!$G$26:$G$63,$G66)</f>
        <v>182.19</v>
      </c>
      <c r="AL66" s="256">
        <f t="shared" ca="1" si="4"/>
        <v>3.954125299554951</v>
      </c>
      <c r="AM66" s="1290"/>
      <c r="AN66" s="1290"/>
      <c r="AO66" s="1290"/>
      <c r="AP66" s="185"/>
      <c r="AQ66" s="185"/>
      <c r="AR66" s="1031" t="s">
        <v>1212</v>
      </c>
      <c r="AS66" s="1039"/>
      <c r="AT66" s="1039"/>
      <c r="AU66" s="1040"/>
      <c r="AV66" s="1040"/>
    </row>
    <row r="67" spans="1:48" s="1229" customFormat="1" ht="29.25" customHeight="1">
      <c r="A67" s="178"/>
      <c r="B67" s="783"/>
      <c r="C67" s="178"/>
      <c r="D67" s="178"/>
      <c r="E67" s="676">
        <v>30</v>
      </c>
      <c r="F67" s="779" t="str" cm="1">
        <f t="array" aca="1" ref="F67" ca="1">OFFSET(G67,-1,-1)</f>
        <v>1</v>
      </c>
      <c r="G67" s="180"/>
      <c r="H67" s="180"/>
      <c r="I67" s="180"/>
      <c r="J67" s="180"/>
      <c r="K67" s="180"/>
      <c r="L67" s="180"/>
      <c r="M67" s="180"/>
      <c r="N67" s="180"/>
      <c r="O67" s="180"/>
      <c r="P67" s="180"/>
      <c r="Q67" s="143"/>
      <c r="R67" s="143"/>
      <c r="S67" s="180"/>
      <c r="T67" s="687" t="b" cm="1">
        <f t="array" ref="T67">T66</f>
        <v>1</v>
      </c>
      <c r="U67" s="1153"/>
      <c r="V67" s="1153"/>
      <c r="W67" s="1153"/>
      <c r="X67" s="1726"/>
      <c r="Y67" s="1153"/>
      <c r="Z67" s="1726"/>
      <c r="AA67" s="180"/>
      <c r="AB67" s="111" t="s">
        <v>460</v>
      </c>
      <c r="AC67" s="119" t="s">
        <v>1383</v>
      </c>
      <c r="AD67" s="419" t="s">
        <v>1077</v>
      </c>
      <c r="AE67" s="256">
        <f>SUM(AE68:AE72)</f>
        <v>0</v>
      </c>
      <c r="AF67" s="256">
        <f>SUM(AF68:AF72)</f>
        <v>0</v>
      </c>
      <c r="AG67" s="1314">
        <f>SUM(AG68:AG72)</f>
        <v>0</v>
      </c>
      <c r="AH67" s="256">
        <f t="shared" si="3"/>
        <v>0</v>
      </c>
      <c r="AI67" s="256">
        <f>SUM(AI68:AI72)</f>
        <v>3487.99</v>
      </c>
      <c r="AJ67" s="256">
        <f>SUM(AJ68:AJ72)</f>
        <v>0</v>
      </c>
      <c r="AK67" s="256">
        <f>SUM(AK68:AK72)</f>
        <v>3627.59</v>
      </c>
      <c r="AL67" s="256">
        <f t="shared" si="4"/>
        <v>4.0023050524800921</v>
      </c>
      <c r="AM67" s="1290"/>
      <c r="AN67" s="1290"/>
      <c r="AO67" s="1290"/>
      <c r="AP67" s="180"/>
      <c r="AQ67" s="180"/>
      <c r="AR67" s="1031" t="s">
        <v>1326</v>
      </c>
      <c r="AS67" s="1031"/>
      <c r="AT67" s="1031"/>
      <c r="AU67" s="1032"/>
      <c r="AV67" s="1032"/>
    </row>
    <row r="68" spans="1:48" s="1229" customFormat="1" ht="11.25" hidden="1" customHeight="1">
      <c r="A68" s="178"/>
      <c r="B68" s="783"/>
      <c r="C68" s="178"/>
      <c r="D68" s="178"/>
      <c r="E68" s="676">
        <v>0</v>
      </c>
      <c r="F68" s="779" t="str" cm="1">
        <f t="array" aca="1" ref="F68" ca="1">OFFSET(G68,-1,-1)</f>
        <v>1</v>
      </c>
      <c r="G68" s="180"/>
      <c r="H68" s="180"/>
      <c r="I68" s="180"/>
      <c r="J68" s="180"/>
      <c r="K68" s="180"/>
      <c r="L68" s="180"/>
      <c r="M68" s="180"/>
      <c r="N68" s="180"/>
      <c r="O68" s="180"/>
      <c r="P68" s="180"/>
      <c r="Q68" s="143"/>
      <c r="R68" s="143"/>
      <c r="S68" s="180"/>
      <c r="T68" s="687" t="b" cm="1">
        <f t="array" ref="T68">T67</f>
        <v>1</v>
      </c>
      <c r="U68" s="1153"/>
      <c r="V68" s="1153"/>
      <c r="W68" s="1153"/>
      <c r="X68" s="1726"/>
      <c r="Y68" s="1153"/>
      <c r="Z68" s="1726"/>
      <c r="AA68" s="180"/>
      <c r="AB68" s="111"/>
      <c r="AC68" s="116"/>
      <c r="AD68" s="419"/>
      <c r="AE68" s="419"/>
      <c r="AF68" s="419"/>
      <c r="AG68" s="419"/>
      <c r="AH68" s="419"/>
      <c r="AI68" s="419"/>
      <c r="AJ68" s="419"/>
      <c r="AK68" s="419"/>
      <c r="AL68" s="419"/>
      <c r="AM68" s="123"/>
      <c r="AN68" s="123"/>
      <c r="AO68" s="123"/>
      <c r="AP68" s="180"/>
      <c r="AQ68" s="180"/>
      <c r="AR68" s="1031" t="str">
        <f>IF(AND(ISNUMBER(VALUE(TRIM(SUBSTITUTE(AB68,".","")))),TRIM(SUBSTITUTE(AB68,".",""))&lt;&gt;""),"P"&amp;SUBSTITUTE(AB68,".",""),"")</f>
        <v/>
      </c>
      <c r="AS68" s="1031"/>
      <c r="AT68" s="1031"/>
      <c r="AU68" s="1032"/>
      <c r="AV68" s="1032"/>
    </row>
    <row r="69" spans="1:48" s="1229" customFormat="1" ht="14.25" hidden="1" customHeight="1">
      <c r="E69" s="676">
        <v>15</v>
      </c>
      <c r="F69" s="779" t="str" cm="1">
        <f t="array" aca="1" ref="F69" ca="1">OFFSET(G69,-1,-1)</f>
        <v>1</v>
      </c>
      <c r="T69" s="687" t="b">
        <f ca="1">AND(F69&gt;0,Y69&gt;0)</f>
        <v>0</v>
      </c>
      <c r="W69" s="126" t="s">
        <v>236</v>
      </c>
      <c r="X69" s="1722"/>
      <c r="Y69" s="126">
        <v>0</v>
      </c>
      <c r="Z69" s="1722"/>
      <c r="AA69" s="69" t="s">
        <v>218</v>
      </c>
      <c r="AB69" s="539" t="str">
        <f>"10."&amp;Y69</f>
        <v>10.0</v>
      </c>
      <c r="AC69" s="70"/>
      <c r="AD69" s="424" t="s">
        <v>1077</v>
      </c>
      <c r="AE69" s="71"/>
      <c r="AF69" s="71"/>
      <c r="AG69" s="71"/>
      <c r="AH69" s="464">
        <f>AG69-AF69</f>
        <v>0</v>
      </c>
      <c r="AI69" s="71"/>
      <c r="AJ69" s="71"/>
      <c r="AK69" s="71"/>
      <c r="AL69" s="464">
        <f>IF(AI69=0,0,(AK69-AI69)/AI69*100)</f>
        <v>0</v>
      </c>
      <c r="AM69" s="24"/>
      <c r="AN69" s="24"/>
      <c r="AO69" s="24"/>
      <c r="AR69" s="1031" t="s">
        <v>1326</v>
      </c>
      <c r="AS69" s="1031" t="s">
        <v>1254</v>
      </c>
      <c r="AT69" s="1041" cm="1">
        <f t="array" ref="AT69">AC69</f>
        <v>0</v>
      </c>
      <c r="AU69" s="1032"/>
      <c r="AV69" s="1032" t="b">
        <v>1</v>
      </c>
    </row>
    <row r="70" spans="1:48" s="1229" customFormat="1" ht="14.25" customHeight="1">
      <c r="E70" s="676">
        <v>15</v>
      </c>
      <c r="F70" s="779" t="str" cm="1">
        <f t="array" aca="1" ref="F70" ca="1">OFFSET(G70,-1,-1)</f>
        <v>1</v>
      </c>
      <c r="T70" s="687" t="b">
        <f ca="1">AND(F70&gt;0,Y70&gt;0)</f>
        <v>1</v>
      </c>
      <c r="W70" s="126"/>
      <c r="X70" s="1722"/>
      <c r="Y70" s="126" t="s">
        <v>341</v>
      </c>
      <c r="Z70" s="1722"/>
      <c r="AA70" s="69" t="s">
        <v>218</v>
      </c>
      <c r="AB70" s="539" t="str">
        <f>"10."&amp;Y70</f>
        <v>10.1</v>
      </c>
      <c r="AC70" s="1379" t="s">
        <v>1388</v>
      </c>
      <c r="AD70" s="424" t="s">
        <v>1077</v>
      </c>
      <c r="AE70" s="1380"/>
      <c r="AF70" s="1380"/>
      <c r="AG70" s="1380"/>
      <c r="AH70" s="464">
        <f>AG70-AF70</f>
        <v>0</v>
      </c>
      <c r="AI70" s="1380">
        <f>3386.58-0.01</f>
        <v>3386.5699999999997</v>
      </c>
      <c r="AJ70" s="1380"/>
      <c r="AK70" s="1380">
        <f>3522.85-0.66</f>
        <v>3522.19</v>
      </c>
      <c r="AL70" s="464">
        <f>IF(AI70=0,0,(AK70-AI70)/AI70*100)</f>
        <v>4.0046418647776472</v>
      </c>
      <c r="AM70" s="1296"/>
      <c r="AN70" s="1296"/>
      <c r="AO70" s="1296"/>
      <c r="AR70" s="1031" t="s">
        <v>1326</v>
      </c>
      <c r="AS70" s="1031" t="s">
        <v>1254</v>
      </c>
      <c r="AT70" s="1041" t="str" cm="1">
        <f t="array" ref="AT70">AC70</f>
        <v>другие расходы</v>
      </c>
      <c r="AU70" s="1032"/>
      <c r="AV70" s="1032" t="b">
        <v>1</v>
      </c>
    </row>
    <row r="71" spans="1:48" s="1229" customFormat="1" ht="14.25" customHeight="1">
      <c r="E71" s="676">
        <v>15</v>
      </c>
      <c r="F71" s="779" t="str" cm="1">
        <f t="array" aca="1" ref="F71" ca="1">OFFSET(G71,-1,-1)</f>
        <v>1</v>
      </c>
      <c r="T71" s="687" t="b">
        <f ca="1">AND(F71&gt;0,Y71&gt;0)</f>
        <v>1</v>
      </c>
      <c r="W71" s="126"/>
      <c r="X71" s="1722"/>
      <c r="Y71" s="126" t="s">
        <v>348</v>
      </c>
      <c r="Z71" s="1722"/>
      <c r="AA71" s="69" t="s">
        <v>218</v>
      </c>
      <c r="AB71" s="539" t="str">
        <f>"10."&amp;Y71</f>
        <v>10.2</v>
      </c>
      <c r="AC71" s="1379" t="s">
        <v>1389</v>
      </c>
      <c r="AD71" s="424" t="s">
        <v>1077</v>
      </c>
      <c r="AE71" s="1380"/>
      <c r="AF71" s="1380"/>
      <c r="AG71" s="1380"/>
      <c r="AH71" s="464">
        <f>AG71-AF71</f>
        <v>0</v>
      </c>
      <c r="AI71" s="1380">
        <v>101.42</v>
      </c>
      <c r="AJ71" s="1380"/>
      <c r="AK71" s="1380">
        <v>105.4</v>
      </c>
      <c r="AL71" s="464">
        <f>IF(AI71=0,0,(AK71-AI71)/AI71*100)</f>
        <v>3.9242752908696548</v>
      </c>
      <c r="AM71" s="1296"/>
      <c r="AN71" s="1296"/>
      <c r="AO71" s="1296"/>
      <c r="AR71" s="1031" t="s">
        <v>1326</v>
      </c>
      <c r="AS71" s="1031" t="s">
        <v>1254</v>
      </c>
      <c r="AT71" s="1041" t="str" cm="1">
        <f t="array" ref="AT71">AC71</f>
        <v>услуги банка</v>
      </c>
      <c r="AU71" s="1032"/>
      <c r="AV71" s="1032" t="b">
        <v>1</v>
      </c>
    </row>
    <row r="72" spans="1:48" s="1229" customFormat="1" ht="13.5" customHeight="1">
      <c r="A72" s="178"/>
      <c r="B72" s="783"/>
      <c r="C72" s="178"/>
      <c r="D72" s="178"/>
      <c r="E72" s="676">
        <v>14.1</v>
      </c>
      <c r="F72" s="779" t="str" cm="1">
        <f t="array" aca="1" ref="F72" ca="1">OFFSET(G72,-1,-1)</f>
        <v>1</v>
      </c>
      <c r="G72" s="180"/>
      <c r="H72" s="180"/>
      <c r="I72" s="180"/>
      <c r="J72" s="180"/>
      <c r="K72" s="180"/>
      <c r="L72" s="180"/>
      <c r="M72" s="180"/>
      <c r="N72" s="180"/>
      <c r="O72" s="180"/>
      <c r="P72" s="180"/>
      <c r="Q72" s="143"/>
      <c r="R72" s="143"/>
      <c r="S72" s="180"/>
      <c r="T72" s="687" t="b">
        <f ca="1">F72&gt;0</f>
        <v>1</v>
      </c>
      <c r="U72" s="1153"/>
      <c r="V72" s="1153"/>
      <c r="W72" s="318" t="s">
        <v>544</v>
      </c>
      <c r="X72" s="1726"/>
      <c r="Y72" s="1153"/>
      <c r="Z72" s="1726"/>
      <c r="AA72" s="180"/>
      <c r="AB72" s="612"/>
      <c r="AC72" s="616" t="s">
        <v>238</v>
      </c>
      <c r="AD72" s="613"/>
      <c r="AE72" s="614"/>
      <c r="AF72" s="614"/>
      <c r="AG72" s="614"/>
      <c r="AH72" s="614"/>
      <c r="AI72" s="614"/>
      <c r="AJ72" s="614"/>
      <c r="AK72" s="614"/>
      <c r="AL72" s="614"/>
      <c r="AM72" s="910"/>
      <c r="AN72" s="910"/>
      <c r="AO72" s="911"/>
      <c r="AP72" s="180"/>
      <c r="AQ72" s="180"/>
      <c r="AR72" s="1031" t="str">
        <f>IF(AND(ISNUMBER(VALUE(TRIM(SUBSTITUTE(AB72,".","")))),TRIM(SUBSTITUTE(AB72,".",""))&lt;&gt;""),"P"&amp;SUBSTITUTE(AB72,".",""),"")</f>
        <v/>
      </c>
      <c r="AS72" s="1031"/>
      <c r="AT72" s="1031"/>
      <c r="AU72" s="1032" t="s">
        <v>1254</v>
      </c>
      <c r="AV72" s="1032"/>
    </row>
    <row r="73" spans="1:48" s="1229" customFormat="1" ht="13.5" customHeight="1">
      <c r="A73" s="178"/>
      <c r="B73" s="783"/>
      <c r="C73" s="178"/>
      <c r="D73" s="178"/>
      <c r="E73" s="676">
        <v>14.1</v>
      </c>
      <c r="F73" s="779" t="str" cm="1">
        <f t="array" aca="1" ref="F73" ca="1">OFFSET(G73,-1,-1)</f>
        <v>1</v>
      </c>
      <c r="G73" s="180"/>
      <c r="H73" s="180"/>
      <c r="I73" s="180"/>
      <c r="J73" s="180"/>
      <c r="K73" s="180"/>
      <c r="L73" s="180"/>
      <c r="M73" s="180"/>
      <c r="N73" s="180"/>
      <c r="O73" s="180"/>
      <c r="P73" s="180"/>
      <c r="Q73" s="143"/>
      <c r="R73" s="143"/>
      <c r="S73" s="180"/>
      <c r="T73" s="687" t="b">
        <f ca="1">F73&gt;0</f>
        <v>1</v>
      </c>
      <c r="U73" s="1153"/>
      <c r="V73" s="1153"/>
      <c r="W73" s="1153"/>
      <c r="X73" s="1726"/>
      <c r="Y73" s="1153"/>
      <c r="Z73" s="1726"/>
      <c r="AA73" s="180"/>
      <c r="AB73" s="540" t="s">
        <v>463</v>
      </c>
      <c r="AC73" s="611" t="s">
        <v>1384</v>
      </c>
      <c r="AD73" s="468" t="s">
        <v>1077</v>
      </c>
      <c r="AE73" s="542">
        <f>SUM(AE74:AE76)</f>
        <v>0</v>
      </c>
      <c r="AF73" s="542">
        <f>SUM(AF74:AF76)</f>
        <v>0</v>
      </c>
      <c r="AG73" s="1381">
        <f>SUM(AG74:AG76)</f>
        <v>0</v>
      </c>
      <c r="AH73" s="542">
        <f>AG73-AF73</f>
        <v>0</v>
      </c>
      <c r="AI73" s="542">
        <f>SUM(AI74:AI76)</f>
        <v>0</v>
      </c>
      <c r="AJ73" s="542">
        <f>SUM(AJ74:AJ76)</f>
        <v>0</v>
      </c>
      <c r="AK73" s="542">
        <f>SUM(AK74:AK76)</f>
        <v>0</v>
      </c>
      <c r="AL73" s="542">
        <f>IF(AI73=0,0,(AK73-AI73)/AI73*100)</f>
        <v>0</v>
      </c>
      <c r="AM73" s="1298"/>
      <c r="AN73" s="1298"/>
      <c r="AO73" s="1298"/>
      <c r="AP73" s="180"/>
      <c r="AQ73" s="180"/>
      <c r="AR73" s="1031" t="s">
        <v>1385</v>
      </c>
      <c r="AS73" s="1031"/>
      <c r="AT73" s="1031"/>
      <c r="AU73" s="1032"/>
      <c r="AV73" s="1032"/>
    </row>
    <row r="74" spans="1:48" s="1229" customFormat="1" ht="11.25" hidden="1" customHeight="1">
      <c r="A74" s="178"/>
      <c r="B74" s="783"/>
      <c r="C74" s="178"/>
      <c r="D74" s="178"/>
      <c r="E74" s="676">
        <v>0</v>
      </c>
      <c r="F74" s="779" t="str" cm="1">
        <f t="array" aca="1" ref="F74" ca="1">OFFSET(G74,-1,-1)</f>
        <v>1</v>
      </c>
      <c r="G74" s="180"/>
      <c r="H74" s="180"/>
      <c r="I74" s="180"/>
      <c r="J74" s="180"/>
      <c r="K74" s="180"/>
      <c r="L74" s="180"/>
      <c r="M74" s="180"/>
      <c r="N74" s="180"/>
      <c r="O74" s="180"/>
      <c r="P74" s="180"/>
      <c r="Q74" s="143"/>
      <c r="R74" s="143"/>
      <c r="S74" s="180"/>
      <c r="T74" s="687" t="b">
        <f ca="1">F74&gt;0</f>
        <v>1</v>
      </c>
      <c r="U74" s="1153"/>
      <c r="V74" s="1153"/>
      <c r="W74" s="1153"/>
      <c r="X74" s="1726"/>
      <c r="Y74" s="1153"/>
      <c r="Z74" s="1726"/>
      <c r="AA74" s="180"/>
      <c r="AB74" s="539"/>
      <c r="AC74" s="561"/>
      <c r="AD74" s="562"/>
      <c r="AE74" s="419"/>
      <c r="AF74" s="419"/>
      <c r="AG74" s="419"/>
      <c r="AH74" s="180"/>
      <c r="AI74" s="419"/>
      <c r="AJ74" s="419"/>
      <c r="AK74" s="419"/>
      <c r="AL74" s="180"/>
      <c r="AM74" s="180"/>
      <c r="AN74" s="180"/>
      <c r="AO74" s="180"/>
      <c r="AP74" s="180"/>
      <c r="AQ74" s="180"/>
      <c r="AR74" s="1031" t="str">
        <f>IF(AND(ISNUMBER(VALUE(TRIM(SUBSTITUTE(AB74,".","")))),TRIM(SUBSTITUTE(AB74,".",""))&lt;&gt;""),"P"&amp;SUBSTITUTE(AB74,".",""),"")</f>
        <v/>
      </c>
      <c r="AS74" s="1031"/>
      <c r="AT74" s="1031"/>
      <c r="AU74" s="1032"/>
      <c r="AV74" s="1032"/>
    </row>
    <row r="75" spans="1:48" s="1229" customFormat="1" ht="13.5" hidden="1" customHeight="1">
      <c r="A75" s="178"/>
      <c r="B75" s="783"/>
      <c r="C75" s="178"/>
      <c r="D75" s="178"/>
      <c r="E75" s="676">
        <v>14.1</v>
      </c>
      <c r="F75" s="779" t="str" cm="1">
        <f t="array" aca="1" ref="F75" ca="1">OFFSET(G75,-1,-1)</f>
        <v>1</v>
      </c>
      <c r="G75" s="180"/>
      <c r="H75" s="180"/>
      <c r="I75" s="180"/>
      <c r="J75" s="180"/>
      <c r="K75" s="180"/>
      <c r="L75" s="180"/>
      <c r="M75" s="180"/>
      <c r="N75" s="180"/>
      <c r="O75" s="180"/>
      <c r="P75" s="180"/>
      <c r="Q75" s="143"/>
      <c r="R75" s="143"/>
      <c r="S75" s="180"/>
      <c r="T75" s="687" t="b">
        <f ca="1">AND(F75&gt;0,Y75&gt;0)</f>
        <v>0</v>
      </c>
      <c r="U75" s="1153"/>
      <c r="V75" s="1153"/>
      <c r="W75" s="126" t="s">
        <v>236</v>
      </c>
      <c r="X75" s="1726"/>
      <c r="Y75" s="126">
        <v>0</v>
      </c>
      <c r="Z75" s="1726"/>
      <c r="AA75" s="69" t="s">
        <v>218</v>
      </c>
      <c r="AB75" s="539" t="str">
        <f>"11."&amp;Y75</f>
        <v>11.0</v>
      </c>
      <c r="AC75" s="64"/>
      <c r="AD75" s="124" t="s">
        <v>1077</v>
      </c>
      <c r="AE75" s="53"/>
      <c r="AF75" s="53"/>
      <c r="AG75" s="53"/>
      <c r="AH75" s="256">
        <f>AG75-AF75</f>
        <v>0</v>
      </c>
      <c r="AI75" s="53"/>
      <c r="AJ75" s="53"/>
      <c r="AK75" s="53"/>
      <c r="AL75" s="256">
        <f>IF(AI75=0,0,(AK75-AI75)/AI75*100)</f>
        <v>0</v>
      </c>
      <c r="AM75" s="28"/>
      <c r="AN75" s="28"/>
      <c r="AO75" s="28"/>
      <c r="AP75" s="180"/>
      <c r="AQ75" s="180"/>
      <c r="AR75" s="1031" t="s">
        <v>1385</v>
      </c>
      <c r="AS75" s="1031" t="s">
        <v>1386</v>
      </c>
      <c r="AT75" s="1041" cm="1">
        <f t="array" ref="AT75">AC75</f>
        <v>0</v>
      </c>
      <c r="AU75" s="1032"/>
      <c r="AV75" s="1032" t="b">
        <v>1</v>
      </c>
    </row>
    <row r="76" spans="1:48" s="1229" customFormat="1" ht="13.5" customHeight="1">
      <c r="A76" s="178"/>
      <c r="B76" s="783"/>
      <c r="C76" s="178"/>
      <c r="D76" s="178"/>
      <c r="E76" s="676">
        <v>14.1</v>
      </c>
      <c r="F76" s="779" t="str" cm="1">
        <f t="array" aca="1" ref="F76" ca="1">OFFSET(G76,-1,-1)</f>
        <v>1</v>
      </c>
      <c r="G76" s="180"/>
      <c r="H76" s="180"/>
      <c r="I76" s="180"/>
      <c r="J76" s="180"/>
      <c r="K76" s="180"/>
      <c r="L76" s="180"/>
      <c r="M76" s="180"/>
      <c r="N76" s="180"/>
      <c r="O76" s="180"/>
      <c r="P76" s="180"/>
      <c r="Q76" s="143"/>
      <c r="R76" s="143"/>
      <c r="S76" s="180"/>
      <c r="T76" s="687" t="b">
        <f ca="1">F76&gt;0</f>
        <v>1</v>
      </c>
      <c r="U76" s="1153"/>
      <c r="V76" s="1153"/>
      <c r="W76" s="318" t="s">
        <v>1387</v>
      </c>
      <c r="X76" s="1726"/>
      <c r="Y76" s="1153"/>
      <c r="Z76" s="1726"/>
      <c r="AA76" s="180"/>
      <c r="AB76" s="612"/>
      <c r="AC76" s="616" t="s">
        <v>238</v>
      </c>
      <c r="AD76" s="613"/>
      <c r="AE76" s="615"/>
      <c r="AF76" s="615"/>
      <c r="AG76" s="615"/>
      <c r="AH76" s="615"/>
      <c r="AI76" s="615"/>
      <c r="AJ76" s="615"/>
      <c r="AK76" s="615"/>
      <c r="AL76" s="615"/>
      <c r="AM76" s="615"/>
      <c r="AN76" s="615"/>
      <c r="AO76" s="615"/>
      <c r="AP76" s="180"/>
      <c r="AQ76" s="180"/>
      <c r="AR76" s="1031"/>
      <c r="AS76" s="1031"/>
      <c r="AT76" s="1031"/>
      <c r="AU76" s="1032" t="s">
        <v>1386</v>
      </c>
      <c r="AV76" s="1032"/>
    </row>
    <row r="77" spans="1:48" s="1382" customFormat="1" ht="13.5" customHeight="1">
      <c r="A77" s="170"/>
      <c r="B77" s="170"/>
      <c r="C77" s="170"/>
      <c r="D77" s="170"/>
      <c r="E77" s="676">
        <v>14.1</v>
      </c>
      <c r="F77" s="779" t="str" cm="1">
        <f t="array" ref="F77">X77</f>
        <v>2</v>
      </c>
      <c r="G77" s="143" t="str" cm="1">
        <f t="array" ref="G77">INDEX('Общие сведения'!$AK$187:$AK$236,MATCH($F77,'Общие сведения'!$Z$187:$Z$236,0))</f>
        <v>одноставочный</v>
      </c>
      <c r="H77" s="170"/>
      <c r="I77" s="163" t="str" cm="1">
        <f t="array" ref="I77">INDEX('Общие сведения'!$AE$187:$AE$236,MATCH($F77,'Общие сведения'!$Z$187:$Z$236,0))</f>
        <v>Теплоснабжение</v>
      </c>
      <c r="J77" s="170"/>
      <c r="K77" s="170"/>
      <c r="L77" s="170"/>
      <c r="M77" s="170"/>
      <c r="N77" s="170"/>
      <c r="O77" s="170"/>
      <c r="P77" s="170"/>
      <c r="Q77" s="170"/>
      <c r="R77" s="170"/>
      <c r="S77" s="170"/>
      <c r="T77" s="698" t="b">
        <f>X77&gt;0</f>
        <v>1</v>
      </c>
      <c r="U77" s="170"/>
      <c r="V77" s="126" t="str" cm="1">
        <f t="array" ref="V77">Экономия_корр!$AB$43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7" s="170"/>
      <c r="X77" s="1726" t="s">
        <v>348</v>
      </c>
      <c r="Y77" s="170"/>
      <c r="Z77" s="1724"/>
      <c r="AA77" s="170"/>
      <c r="AB77" s="275" t="str" cm="1">
        <f t="array" ref="AB77">IF(ISBLANK(Экономия_корр!$AB$43),"",Экономия_корр!$AB$43)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7" s="276"/>
      <c r="AD77" s="276"/>
      <c r="AE77" s="276"/>
      <c r="AF77" s="276"/>
      <c r="AG77" s="276"/>
      <c r="AH77" s="276"/>
      <c r="AI77" s="276"/>
      <c r="AJ77" s="276"/>
      <c r="AK77" s="276"/>
      <c r="AL77" s="276"/>
      <c r="AM77" s="276"/>
      <c r="AN77" s="276"/>
      <c r="AO77" s="276"/>
      <c r="AP77" s="170"/>
      <c r="AQ77" s="170"/>
      <c r="AR77" s="981"/>
      <c r="AS77" s="981"/>
      <c r="AT77" s="981"/>
      <c r="AU77" s="984"/>
      <c r="AV77" s="984"/>
    </row>
    <row r="78" spans="1:48" s="1383" customFormat="1" ht="13.5" customHeight="1">
      <c r="A78" s="184"/>
      <c r="B78" s="184"/>
      <c r="C78" s="184"/>
      <c r="D78" s="184"/>
      <c r="E78" s="682">
        <v>14.1</v>
      </c>
      <c r="F78" s="779" t="str" cm="1">
        <f t="array" aca="1" ref="F78" ca="1">OFFSET(G78,-1,-1)</f>
        <v>2</v>
      </c>
      <c r="G78" s="788" t="s">
        <v>1350</v>
      </c>
      <c r="H78" s="184"/>
      <c r="I78" s="184"/>
      <c r="J78" s="184"/>
      <c r="K78" s="184"/>
      <c r="L78" s="184"/>
      <c r="M78" s="184"/>
      <c r="N78" s="184"/>
      <c r="O78" s="184"/>
      <c r="P78" s="184"/>
      <c r="Q78" s="184"/>
      <c r="R78" s="184"/>
      <c r="S78" s="184"/>
      <c r="T78" s="687" t="b" cm="1">
        <f t="array" ref="T78">T77</f>
        <v>1</v>
      </c>
      <c r="U78" s="184"/>
      <c r="V78" s="184"/>
      <c r="W78" s="184"/>
      <c r="X78" s="1821"/>
      <c r="Y78" s="184"/>
      <c r="Z78" s="1821"/>
      <c r="AA78" s="184"/>
      <c r="AB78" s="1824" t="s">
        <v>1351</v>
      </c>
      <c r="AC78" s="1825"/>
      <c r="AD78" s="252" t="s">
        <v>839</v>
      </c>
      <c r="AE78" s="1374">
        <f ca="1">SUM(AE79:AE83)+SUM(AE89:AE93)+AE99</f>
        <v>0</v>
      </c>
      <c r="AF78" s="1374">
        <f ca="1">SUM(AF79:AF83)+SUM(AF89:AF93)+AF99</f>
        <v>0</v>
      </c>
      <c r="AG78" s="1374">
        <f ca="1">SUM(AG79:AG83)+SUM(AG89:AG93)+AG99</f>
        <v>0</v>
      </c>
      <c r="AH78" s="1374">
        <f t="shared" ref="AH78:AH93" ca="1" si="5">AG78-AF78</f>
        <v>0</v>
      </c>
      <c r="AI78" s="1374">
        <f ca="1">SUM(AI79:AI83)+SUM(AI89:AI93)+AI99</f>
        <v>191538</v>
      </c>
      <c r="AJ78" s="1374">
        <f ca="1">SUM(AJ79:AJ83)+SUM(AJ89:AJ93)+AJ99</f>
        <v>0</v>
      </c>
      <c r="AK78" s="1374">
        <f ca="1">SUM(AK79:AK83)+SUM(AK89:AK93)+AK99</f>
        <v>197839.57920799998</v>
      </c>
      <c r="AL78" s="255">
        <f t="shared" ref="AL78:AL93" ca="1" si="6">IF(AI78=0,0,(AK78-AI78)/AI78*100)</f>
        <v>3.2899890402948664</v>
      </c>
      <c r="AM78" s="1290"/>
      <c r="AN78" s="1290"/>
      <c r="AO78" s="1290"/>
      <c r="AP78" s="184"/>
      <c r="AQ78" s="184"/>
      <c r="AR78" s="1031" t="s">
        <v>1352</v>
      </c>
      <c r="AS78" s="1037"/>
      <c r="AT78" s="1037"/>
      <c r="AU78" s="1038"/>
      <c r="AV78" s="1038"/>
    </row>
    <row r="79" spans="1:48" s="1229" customFormat="1" ht="29.25" customHeight="1">
      <c r="A79" s="178"/>
      <c r="B79" s="783"/>
      <c r="C79" s="178"/>
      <c r="D79" s="178"/>
      <c r="E79" s="676">
        <v>30</v>
      </c>
      <c r="F79" s="779" t="str" cm="1">
        <f t="array" aca="1" ref="F79" ca="1">OFFSET(G79,-1,-1)</f>
        <v>2</v>
      </c>
      <c r="G79" s="180"/>
      <c r="H79" s="180"/>
      <c r="I79" s="180"/>
      <c r="J79" s="180"/>
      <c r="K79" s="180"/>
      <c r="L79" s="180"/>
      <c r="M79" s="180"/>
      <c r="N79" s="180"/>
      <c r="O79" s="180"/>
      <c r="P79" s="180"/>
      <c r="Q79" s="143"/>
      <c r="R79" s="143"/>
      <c r="S79" s="180"/>
      <c r="T79" s="687" t="b" cm="1">
        <f t="array" ref="T79">T78</f>
        <v>1</v>
      </c>
      <c r="U79" s="1153"/>
      <c r="V79" s="1153"/>
      <c r="W79" s="1153"/>
      <c r="X79" s="1726"/>
      <c r="Y79" s="1153"/>
      <c r="Z79" s="1726"/>
      <c r="AA79" s="180"/>
      <c r="AB79" s="111">
        <v>1</v>
      </c>
      <c r="AC79" s="119" t="s">
        <v>1353</v>
      </c>
      <c r="AD79" s="468" t="s">
        <v>1077</v>
      </c>
      <c r="AE79" s="1375"/>
      <c r="AF79" s="1375"/>
      <c r="AG79" s="1375"/>
      <c r="AH79" s="323">
        <f t="shared" si="5"/>
        <v>0</v>
      </c>
      <c r="AI79" s="1375">
        <v>380</v>
      </c>
      <c r="AJ79" s="1375"/>
      <c r="AK79" s="1375">
        <v>414.66</v>
      </c>
      <c r="AL79" s="256">
        <f t="shared" si="6"/>
        <v>9.1210526315789533</v>
      </c>
      <c r="AM79" s="1290"/>
      <c r="AN79" s="1290"/>
      <c r="AO79" s="1290"/>
      <c r="AP79" s="180"/>
      <c r="AQ79" s="180"/>
      <c r="AR79" s="1031" t="s">
        <v>1354</v>
      </c>
      <c r="AS79" s="1031"/>
      <c r="AT79" s="1031"/>
      <c r="AU79" s="1032"/>
      <c r="AV79" s="1032"/>
    </row>
    <row r="80" spans="1:48" s="1384" customFormat="1" ht="14.25" customHeight="1">
      <c r="A80" s="183"/>
      <c r="B80" s="183"/>
      <c r="C80" s="183"/>
      <c r="D80" s="183"/>
      <c r="E80" s="682">
        <v>15</v>
      </c>
      <c r="F80" s="779" t="str" cm="1">
        <f t="array" aca="1" ref="F80" ca="1">OFFSET(G80,-1,-1)</f>
        <v>2</v>
      </c>
      <c r="G80" s="183"/>
      <c r="H80" s="183"/>
      <c r="I80" s="183"/>
      <c r="J80" s="183"/>
      <c r="K80" s="183"/>
      <c r="L80" s="183"/>
      <c r="M80" s="183"/>
      <c r="N80" s="183"/>
      <c r="O80" s="183"/>
      <c r="P80" s="183"/>
      <c r="Q80" s="183"/>
      <c r="R80" s="183"/>
      <c r="S80" s="183"/>
      <c r="T80" s="687" t="b" cm="1">
        <f t="array" ref="T80">T79</f>
        <v>1</v>
      </c>
      <c r="U80" s="183"/>
      <c r="V80" s="183"/>
      <c r="W80" s="183"/>
      <c r="X80" s="1822"/>
      <c r="Y80" s="183"/>
      <c r="Z80" s="1822"/>
      <c r="AA80" s="183"/>
      <c r="AB80" s="111">
        <v>2</v>
      </c>
      <c r="AC80" s="119" t="s">
        <v>1355</v>
      </c>
      <c r="AD80" s="468" t="s">
        <v>1077</v>
      </c>
      <c r="AE80" s="1375"/>
      <c r="AF80" s="1375"/>
      <c r="AG80" s="1375"/>
      <c r="AH80" s="256">
        <f t="shared" si="5"/>
        <v>0</v>
      </c>
      <c r="AI80" s="1375">
        <v>61875.6</v>
      </c>
      <c r="AJ80" s="1375"/>
      <c r="AK80" s="1375">
        <v>67519.520000000004</v>
      </c>
      <c r="AL80" s="256">
        <f t="shared" si="6"/>
        <v>9.1213984187628174</v>
      </c>
      <c r="AM80" s="1290"/>
      <c r="AN80" s="1290"/>
      <c r="AO80" s="1290"/>
      <c r="AP80" s="183"/>
      <c r="AQ80" s="183"/>
      <c r="AR80" s="1031" t="s">
        <v>1356</v>
      </c>
      <c r="AS80" s="1037"/>
      <c r="AT80" s="1037"/>
      <c r="AU80" s="1038"/>
      <c r="AV80" s="1038"/>
    </row>
    <row r="81" spans="1:48" s="1229" customFormat="1" ht="14.25" customHeight="1">
      <c r="A81" s="178"/>
      <c r="B81" s="783"/>
      <c r="C81" s="178"/>
      <c r="D81" s="178"/>
      <c r="E81" s="676">
        <v>15</v>
      </c>
      <c r="F81" s="779" t="str" cm="1">
        <f t="array" aca="1" ref="F81" ca="1">OFFSET(G81,-1,-1)</f>
        <v>2</v>
      </c>
      <c r="G81" s="143" t="s">
        <v>48</v>
      </c>
      <c r="H81" s="180"/>
      <c r="I81" s="180"/>
      <c r="J81" s="180"/>
      <c r="K81" s="180"/>
      <c r="L81" s="180"/>
      <c r="M81" s="180"/>
      <c r="N81" s="180"/>
      <c r="O81" s="180"/>
      <c r="P81" s="180"/>
      <c r="Q81" s="143"/>
      <c r="R81" s="143"/>
      <c r="S81" s="180"/>
      <c r="T81" s="687" t="b" cm="1">
        <f t="array" ref="T81">T80</f>
        <v>1</v>
      </c>
      <c r="U81" s="1153"/>
      <c r="V81" s="1153"/>
      <c r="W81" s="1153"/>
      <c r="X81" s="1726"/>
      <c r="Y81" s="1153"/>
      <c r="Z81" s="1726"/>
      <c r="AA81" s="180"/>
      <c r="AB81" s="111">
        <v>3</v>
      </c>
      <c r="AC81" s="118" t="s">
        <v>49</v>
      </c>
      <c r="AD81" s="419" t="s">
        <v>1077</v>
      </c>
      <c r="AE81" s="1314">
        <f ca="1">SUMIFS(ФОТ!AE$26:AE$114,ФОТ!$F$26:$F$114,$F81,ФОТ!$G$26:$G$114,$G81)</f>
        <v>0</v>
      </c>
      <c r="AF81" s="1314">
        <f ca="1">SUMIFS(ФОТ!AF$26:AF$114,ФОТ!$F$26:$F$114,$F81,ФОТ!$G$26:$G$114,$G81)</f>
        <v>0</v>
      </c>
      <c r="AG81" s="1314">
        <f ca="1">SUMIFS(ФОТ!AG$26:AG$114,ФОТ!$F$26:$F$114,$F81,ФОТ!$G$26:$G$114,$G81)</f>
        <v>0</v>
      </c>
      <c r="AH81" s="256">
        <f t="shared" ca="1" si="5"/>
        <v>0</v>
      </c>
      <c r="AI81" s="1314">
        <f ca="1">SUMIFS(ФОТ!AH$26:AH$114,ФОТ!$F$26:$F$114,$F81,ФОТ!$G$26:$G$114,$G81)</f>
        <v>8448.25</v>
      </c>
      <c r="AJ81" s="256">
        <f ca="1">SUMIFS(ФОТ!AI$26:AI$114,ФОТ!$F$26:$F$114,$F81,ФОТ!$G$26:$G$114,$G81)</f>
        <v>0</v>
      </c>
      <c r="AK81" s="256">
        <f ca="1">SUMIFS(ФОТ!AJ$26:AJ$114,ФОТ!$F$26:$F$114,$F81,ФОТ!$G$26:$G$114,$G81)</f>
        <v>9218.8492079999978</v>
      </c>
      <c r="AL81" s="256">
        <f t="shared" ca="1" si="6"/>
        <v>9.1214063030804944</v>
      </c>
      <c r="AM81" s="1290"/>
      <c r="AN81" s="1290"/>
      <c r="AO81" s="1290"/>
      <c r="AP81" s="180"/>
      <c r="AQ81" s="180"/>
      <c r="AR81" s="1031" t="s">
        <v>1357</v>
      </c>
      <c r="AS81" s="1031"/>
      <c r="AT81" s="1031"/>
      <c r="AU81" s="1032"/>
      <c r="AV81" s="1032"/>
    </row>
    <row r="82" spans="1:48" s="1229" customFormat="1" ht="52.5" customHeight="1">
      <c r="A82" s="178"/>
      <c r="B82" s="783"/>
      <c r="C82" s="178"/>
      <c r="D82" s="178"/>
      <c r="E82" s="676">
        <v>54</v>
      </c>
      <c r="F82" s="779" t="str" cm="1">
        <f t="array" aca="1" ref="F82" ca="1">OFFSET(G82,-1,-1)</f>
        <v>2</v>
      </c>
      <c r="G82" s="180"/>
      <c r="H82" s="180"/>
      <c r="I82" s="180"/>
      <c r="J82" s="180"/>
      <c r="K82" s="180"/>
      <c r="L82" s="180"/>
      <c r="M82" s="180"/>
      <c r="N82" s="180"/>
      <c r="O82" s="180"/>
      <c r="P82" s="180"/>
      <c r="Q82" s="143"/>
      <c r="R82" s="143"/>
      <c r="S82" s="180"/>
      <c r="T82" s="687" t="b" cm="1">
        <f t="array" ref="T82">T81</f>
        <v>1</v>
      </c>
      <c r="U82" s="1153"/>
      <c r="V82" s="1153"/>
      <c r="W82" s="1153"/>
      <c r="X82" s="1726"/>
      <c r="Y82" s="1153"/>
      <c r="Z82" s="1726"/>
      <c r="AA82" s="180"/>
      <c r="AB82" s="111">
        <v>4</v>
      </c>
      <c r="AC82" s="119" t="s">
        <v>1358</v>
      </c>
      <c r="AD82" s="419" t="s">
        <v>1077</v>
      </c>
      <c r="AE82" s="1314"/>
      <c r="AF82" s="1314"/>
      <c r="AG82" s="1314"/>
      <c r="AH82" s="256">
        <f t="shared" si="5"/>
        <v>0</v>
      </c>
      <c r="AI82" s="1314">
        <v>114990.88</v>
      </c>
      <c r="AJ82" s="1314"/>
      <c r="AK82" s="1314">
        <v>114310.54</v>
      </c>
      <c r="AL82" s="256">
        <f t="shared" si="6"/>
        <v>-0.59164692017315723</v>
      </c>
      <c r="AM82" s="1290"/>
      <c r="AN82" s="1290"/>
      <c r="AO82" s="1290"/>
      <c r="AP82" s="180"/>
      <c r="AQ82" s="180"/>
      <c r="AR82" s="1031" t="s">
        <v>1359</v>
      </c>
      <c r="AS82" s="1031"/>
      <c r="AT82" s="1031"/>
      <c r="AU82" s="1032"/>
      <c r="AV82" s="1032"/>
    </row>
    <row r="83" spans="1:48" s="1229" customFormat="1" ht="30" customHeight="1">
      <c r="A83" s="178"/>
      <c r="B83" s="783"/>
      <c r="C83" s="178"/>
      <c r="D83" s="178"/>
      <c r="E83" s="676">
        <v>31.5</v>
      </c>
      <c r="F83" s="779" t="str" cm="1">
        <f t="array" aca="1" ref="F83" ca="1">OFFSET(G83,-1,-1)</f>
        <v>2</v>
      </c>
      <c r="G83" s="180"/>
      <c r="H83" s="180"/>
      <c r="I83" s="180"/>
      <c r="J83" s="180"/>
      <c r="K83" s="180"/>
      <c r="L83" s="180"/>
      <c r="M83" s="180"/>
      <c r="N83" s="180"/>
      <c r="O83" s="180"/>
      <c r="P83" s="180"/>
      <c r="Q83" s="143"/>
      <c r="R83" s="143"/>
      <c r="S83" s="180"/>
      <c r="T83" s="687" t="b" cm="1">
        <f t="array" ref="T83">T82</f>
        <v>1</v>
      </c>
      <c r="U83" s="1153"/>
      <c r="V83" s="1153"/>
      <c r="W83" s="1153"/>
      <c r="X83" s="1726"/>
      <c r="Y83" s="1153"/>
      <c r="Z83" s="1726"/>
      <c r="AA83" s="180"/>
      <c r="AB83" s="111">
        <v>5</v>
      </c>
      <c r="AC83" s="119" t="s">
        <v>1360</v>
      </c>
      <c r="AD83" s="419" t="s">
        <v>1077</v>
      </c>
      <c r="AE83" s="256">
        <f>SUM(AE84:AE88)</f>
        <v>0</v>
      </c>
      <c r="AF83" s="256">
        <f>SUM(AF84:AF88)</f>
        <v>0</v>
      </c>
      <c r="AG83" s="1314">
        <f>SUM(AG84:AG88)</f>
        <v>0</v>
      </c>
      <c r="AH83" s="256">
        <f t="shared" si="5"/>
        <v>0</v>
      </c>
      <c r="AI83" s="256">
        <f>SUM(AI84:AI88)</f>
        <v>2377.59</v>
      </c>
      <c r="AJ83" s="256">
        <f>SUM(AJ84:AJ88)</f>
        <v>0</v>
      </c>
      <c r="AK83" s="256">
        <f>SUM(AK84:AK88)</f>
        <v>2594.46</v>
      </c>
      <c r="AL83" s="256">
        <f t="shared" si="6"/>
        <v>9.1214212711190701</v>
      </c>
      <c r="AM83" s="1290"/>
      <c r="AN83" s="1290"/>
      <c r="AO83" s="1290"/>
      <c r="AP83" s="180"/>
      <c r="AQ83" s="180"/>
      <c r="AR83" s="1031" t="s">
        <v>1361</v>
      </c>
      <c r="AS83" s="1031"/>
      <c r="AT83" s="1031"/>
      <c r="AU83" s="1032"/>
      <c r="AV83" s="1032"/>
    </row>
    <row r="84" spans="1:48" s="1229" customFormat="1" ht="14.25" customHeight="1">
      <c r="A84" s="178"/>
      <c r="B84" s="783"/>
      <c r="C84" s="178"/>
      <c r="D84" s="178"/>
      <c r="E84" s="676">
        <v>15</v>
      </c>
      <c r="F84" s="779" t="str" cm="1">
        <f t="array" aca="1" ref="F84" ca="1">OFFSET(G84,-1,-1)</f>
        <v>2</v>
      </c>
      <c r="G84" s="180"/>
      <c r="H84" s="180"/>
      <c r="I84" s="180"/>
      <c r="J84" s="180"/>
      <c r="K84" s="180"/>
      <c r="L84" s="180"/>
      <c r="M84" s="180"/>
      <c r="N84" s="180"/>
      <c r="O84" s="180"/>
      <c r="P84" s="180"/>
      <c r="Q84" s="143"/>
      <c r="R84" s="143"/>
      <c r="S84" s="180"/>
      <c r="T84" s="687" t="b" cm="1">
        <f t="array" ref="T84">T83</f>
        <v>1</v>
      </c>
      <c r="U84" s="1153"/>
      <c r="V84" s="1153"/>
      <c r="W84" s="1153"/>
      <c r="X84" s="1726"/>
      <c r="Y84" s="1153"/>
      <c r="Z84" s="1726"/>
      <c r="AA84" s="180"/>
      <c r="AB84" s="111" t="s">
        <v>785</v>
      </c>
      <c r="AC84" s="119" t="s">
        <v>1362</v>
      </c>
      <c r="AD84" s="419" t="s">
        <v>1077</v>
      </c>
      <c r="AE84" s="1314"/>
      <c r="AF84" s="1314"/>
      <c r="AG84" s="1314"/>
      <c r="AH84" s="256">
        <f t="shared" si="5"/>
        <v>0</v>
      </c>
      <c r="AI84" s="1314"/>
      <c r="AJ84" s="1314"/>
      <c r="AK84" s="1314"/>
      <c r="AL84" s="256">
        <f t="shared" si="6"/>
        <v>0</v>
      </c>
      <c r="AM84" s="1290"/>
      <c r="AN84" s="1290"/>
      <c r="AO84" s="1290"/>
      <c r="AP84" s="180"/>
      <c r="AQ84" s="180"/>
      <c r="AR84" s="1031" t="s">
        <v>1363</v>
      </c>
      <c r="AS84" s="1031"/>
      <c r="AT84" s="1031"/>
      <c r="AU84" s="1032"/>
      <c r="AV84" s="1032"/>
    </row>
    <row r="85" spans="1:48" s="1229" customFormat="1" ht="14.25" customHeight="1">
      <c r="A85" s="178"/>
      <c r="B85" s="783"/>
      <c r="C85" s="178"/>
      <c r="D85" s="178"/>
      <c r="E85" s="676">
        <v>15</v>
      </c>
      <c r="F85" s="779" t="str" cm="1">
        <f t="array" aca="1" ref="F85" ca="1">OFFSET(G85,-1,-1)</f>
        <v>2</v>
      </c>
      <c r="G85" s="180"/>
      <c r="H85" s="180"/>
      <c r="I85" s="180"/>
      <c r="J85" s="180"/>
      <c r="K85" s="180"/>
      <c r="L85" s="180"/>
      <c r="M85" s="180"/>
      <c r="N85" s="180"/>
      <c r="O85" s="180"/>
      <c r="P85" s="180"/>
      <c r="Q85" s="143"/>
      <c r="R85" s="143"/>
      <c r="S85" s="180"/>
      <c r="T85" s="687" t="b" cm="1">
        <f t="array" ref="T85">T84</f>
        <v>1</v>
      </c>
      <c r="U85" s="1153"/>
      <c r="V85" s="1153"/>
      <c r="W85" s="1153"/>
      <c r="X85" s="1726"/>
      <c r="Y85" s="1153"/>
      <c r="Z85" s="1726"/>
      <c r="AA85" s="180"/>
      <c r="AB85" s="111" t="s">
        <v>1364</v>
      </c>
      <c r="AC85" s="119" t="s">
        <v>1365</v>
      </c>
      <c r="AD85" s="419" t="s">
        <v>1077</v>
      </c>
      <c r="AE85" s="1314"/>
      <c r="AF85" s="1314"/>
      <c r="AG85" s="1314"/>
      <c r="AH85" s="256">
        <f t="shared" si="5"/>
        <v>0</v>
      </c>
      <c r="AI85" s="1314"/>
      <c r="AJ85" s="1314"/>
      <c r="AK85" s="1314"/>
      <c r="AL85" s="256">
        <f t="shared" si="6"/>
        <v>0</v>
      </c>
      <c r="AM85" s="1290"/>
      <c r="AN85" s="1290"/>
      <c r="AO85" s="1290"/>
      <c r="AP85" s="180"/>
      <c r="AQ85" s="180"/>
      <c r="AR85" s="1031" t="s">
        <v>1366</v>
      </c>
      <c r="AS85" s="1031"/>
      <c r="AT85" s="1031"/>
      <c r="AU85" s="1032"/>
      <c r="AV85" s="1032"/>
    </row>
    <row r="86" spans="1:48" s="1229" customFormat="1" ht="14.25" customHeight="1">
      <c r="A86" s="178"/>
      <c r="B86" s="783"/>
      <c r="C86" s="178"/>
      <c r="D86" s="178"/>
      <c r="E86" s="676">
        <v>15</v>
      </c>
      <c r="F86" s="779" t="str" cm="1">
        <f t="array" aca="1" ref="F86" ca="1">OFFSET(G86,-1,-1)</f>
        <v>2</v>
      </c>
      <c r="G86" s="180"/>
      <c r="H86" s="180"/>
      <c r="I86" s="180"/>
      <c r="J86" s="180"/>
      <c r="K86" s="180"/>
      <c r="L86" s="180"/>
      <c r="M86" s="180"/>
      <c r="N86" s="180"/>
      <c r="O86" s="180"/>
      <c r="P86" s="180"/>
      <c r="Q86" s="143"/>
      <c r="R86" s="143"/>
      <c r="S86" s="180"/>
      <c r="T86" s="687" t="b" cm="1">
        <f t="array" ref="T86">T85</f>
        <v>1</v>
      </c>
      <c r="U86" s="1153"/>
      <c r="V86" s="1153"/>
      <c r="W86" s="1153"/>
      <c r="X86" s="1726"/>
      <c r="Y86" s="1153"/>
      <c r="Z86" s="1726"/>
      <c r="AA86" s="180"/>
      <c r="AB86" s="111" t="s">
        <v>1367</v>
      </c>
      <c r="AC86" s="119" t="s">
        <v>1368</v>
      </c>
      <c r="AD86" s="419" t="s">
        <v>1077</v>
      </c>
      <c r="AE86" s="1314"/>
      <c r="AF86" s="1314"/>
      <c r="AG86" s="1314"/>
      <c r="AH86" s="256">
        <f t="shared" si="5"/>
        <v>0</v>
      </c>
      <c r="AI86" s="1314"/>
      <c r="AJ86" s="1314"/>
      <c r="AK86" s="1314"/>
      <c r="AL86" s="256">
        <f t="shared" si="6"/>
        <v>0</v>
      </c>
      <c r="AM86" s="1290"/>
      <c r="AN86" s="1290"/>
      <c r="AO86" s="1290"/>
      <c r="AP86" s="180"/>
      <c r="AQ86" s="180"/>
      <c r="AR86" s="1031" t="s">
        <v>1369</v>
      </c>
      <c r="AS86" s="1031"/>
      <c r="AT86" s="1031"/>
      <c r="AU86" s="1032"/>
      <c r="AV86" s="1032"/>
    </row>
    <row r="87" spans="1:48" s="1229" customFormat="1" ht="23.25" customHeight="1">
      <c r="A87" s="178"/>
      <c r="B87" s="783"/>
      <c r="C87" s="178"/>
      <c r="D87" s="178"/>
      <c r="E87" s="676">
        <v>24</v>
      </c>
      <c r="F87" s="779" t="str" cm="1">
        <f t="array" aca="1" ref="F87" ca="1">OFFSET(G87,-1,-1)</f>
        <v>2</v>
      </c>
      <c r="G87" s="180"/>
      <c r="H87" s="180"/>
      <c r="I87" s="180"/>
      <c r="J87" s="180"/>
      <c r="K87" s="180"/>
      <c r="L87" s="180"/>
      <c r="M87" s="180"/>
      <c r="N87" s="180"/>
      <c r="O87" s="180"/>
      <c r="P87" s="180"/>
      <c r="Q87" s="143"/>
      <c r="R87" s="143"/>
      <c r="S87" s="180"/>
      <c r="T87" s="687" t="b" cm="1">
        <f t="array" ref="T87">T86</f>
        <v>1</v>
      </c>
      <c r="U87" s="1153"/>
      <c r="V87" s="1153"/>
      <c r="W87" s="1153"/>
      <c r="X87" s="1726"/>
      <c r="Y87" s="1153"/>
      <c r="Z87" s="1726"/>
      <c r="AA87" s="180"/>
      <c r="AB87" s="111" t="s">
        <v>1370</v>
      </c>
      <c r="AC87" s="119" t="s">
        <v>1371</v>
      </c>
      <c r="AD87" s="419" t="s">
        <v>1077</v>
      </c>
      <c r="AE87" s="1314"/>
      <c r="AF87" s="1314"/>
      <c r="AG87" s="1314"/>
      <c r="AH87" s="256">
        <f t="shared" si="5"/>
        <v>0</v>
      </c>
      <c r="AI87" s="1314"/>
      <c r="AJ87" s="1314"/>
      <c r="AK87" s="1314"/>
      <c r="AL87" s="256">
        <f t="shared" si="6"/>
        <v>0</v>
      </c>
      <c r="AM87" s="1290"/>
      <c r="AN87" s="1290"/>
      <c r="AO87" s="1290"/>
      <c r="AP87" s="180"/>
      <c r="AQ87" s="180"/>
      <c r="AR87" s="1031" t="s">
        <v>1372</v>
      </c>
      <c r="AS87" s="1031"/>
      <c r="AT87" s="1031"/>
      <c r="AU87" s="1032"/>
      <c r="AV87" s="1032"/>
    </row>
    <row r="88" spans="1:48" s="1229" customFormat="1" ht="14.25" customHeight="1">
      <c r="A88" s="178"/>
      <c r="B88" s="783"/>
      <c r="C88" s="178"/>
      <c r="D88" s="178"/>
      <c r="E88" s="676">
        <v>15</v>
      </c>
      <c r="F88" s="779" t="str" cm="1">
        <f t="array" aca="1" ref="F88" ca="1">OFFSET(G88,-1,-1)</f>
        <v>2</v>
      </c>
      <c r="G88" s="180"/>
      <c r="H88" s="180"/>
      <c r="I88" s="180"/>
      <c r="J88" s="180"/>
      <c r="K88" s="180"/>
      <c r="L88" s="180"/>
      <c r="M88" s="180"/>
      <c r="N88" s="180"/>
      <c r="O88" s="180"/>
      <c r="P88" s="180"/>
      <c r="Q88" s="143"/>
      <c r="R88" s="143"/>
      <c r="S88" s="180"/>
      <c r="T88" s="687" t="b" cm="1">
        <f t="array" ref="T88">T87</f>
        <v>1</v>
      </c>
      <c r="U88" s="1153"/>
      <c r="V88" s="1153"/>
      <c r="W88" s="1153"/>
      <c r="X88" s="1726"/>
      <c r="Y88" s="1153"/>
      <c r="Z88" s="1726"/>
      <c r="AA88" s="180"/>
      <c r="AB88" s="111" t="s">
        <v>1373</v>
      </c>
      <c r="AC88" s="119" t="s">
        <v>1374</v>
      </c>
      <c r="AD88" s="419" t="s">
        <v>1077</v>
      </c>
      <c r="AE88" s="1314"/>
      <c r="AF88" s="1314"/>
      <c r="AG88" s="1314"/>
      <c r="AH88" s="256">
        <f t="shared" si="5"/>
        <v>0</v>
      </c>
      <c r="AI88" s="1314">
        <v>2377.59</v>
      </c>
      <c r="AJ88" s="1314"/>
      <c r="AK88" s="1314">
        <v>2594.46</v>
      </c>
      <c r="AL88" s="256">
        <f t="shared" si="6"/>
        <v>9.1214212711190701</v>
      </c>
      <c r="AM88" s="1290"/>
      <c r="AN88" s="1290"/>
      <c r="AO88" s="1290"/>
      <c r="AP88" s="180"/>
      <c r="AQ88" s="180"/>
      <c r="AR88" s="1031" t="s">
        <v>1375</v>
      </c>
      <c r="AS88" s="1031"/>
      <c r="AT88" s="1031"/>
      <c r="AU88" s="1032"/>
      <c r="AV88" s="1032"/>
    </row>
    <row r="89" spans="1:48" s="1385" customFormat="1" ht="14.25" customHeight="1">
      <c r="A89" s="185"/>
      <c r="B89" s="185"/>
      <c r="C89" s="185"/>
      <c r="D89" s="185"/>
      <c r="E89" s="676">
        <v>15</v>
      </c>
      <c r="F89" s="779" t="str" cm="1">
        <f t="array" aca="1" ref="F89" ca="1">OFFSET(G89,-1,-1)</f>
        <v>2</v>
      </c>
      <c r="G89" s="185"/>
      <c r="H89" s="185"/>
      <c r="I89" s="185"/>
      <c r="J89" s="185"/>
      <c r="K89" s="185"/>
      <c r="L89" s="185"/>
      <c r="M89" s="185"/>
      <c r="N89" s="185"/>
      <c r="O89" s="185"/>
      <c r="P89" s="185"/>
      <c r="Q89" s="185"/>
      <c r="R89" s="185"/>
      <c r="S89" s="185"/>
      <c r="T89" s="687" t="b" cm="1">
        <f t="array" ref="T89">T88</f>
        <v>1</v>
      </c>
      <c r="U89" s="185"/>
      <c r="V89" s="185"/>
      <c r="W89" s="185"/>
      <c r="X89" s="1823"/>
      <c r="Y89" s="185"/>
      <c r="Z89" s="1823"/>
      <c r="AA89" s="185"/>
      <c r="AB89" s="111" t="s">
        <v>448</v>
      </c>
      <c r="AC89" s="119" t="s">
        <v>1376</v>
      </c>
      <c r="AD89" s="419" t="s">
        <v>1077</v>
      </c>
      <c r="AE89" s="1314"/>
      <c r="AF89" s="1314"/>
      <c r="AG89" s="1314"/>
      <c r="AH89" s="256">
        <f t="shared" si="5"/>
        <v>0</v>
      </c>
      <c r="AI89" s="1314">
        <v>28.03</v>
      </c>
      <c r="AJ89" s="1314"/>
      <c r="AK89" s="1314">
        <v>30.59</v>
      </c>
      <c r="AL89" s="256">
        <f t="shared" si="6"/>
        <v>9.1330717088833353</v>
      </c>
      <c r="AM89" s="1290"/>
      <c r="AN89" s="1290"/>
      <c r="AO89" s="1290"/>
      <c r="AP89" s="185"/>
      <c r="AQ89" s="185"/>
      <c r="AR89" s="1031" t="s">
        <v>1377</v>
      </c>
      <c r="AS89" s="1039"/>
      <c r="AT89" s="1039"/>
      <c r="AU89" s="1040"/>
      <c r="AV89" s="1040"/>
    </row>
    <row r="90" spans="1:48" s="1229" customFormat="1" ht="14.25" customHeight="1">
      <c r="A90" s="178"/>
      <c r="B90" s="783"/>
      <c r="C90" s="178"/>
      <c r="D90" s="178"/>
      <c r="E90" s="676">
        <v>15</v>
      </c>
      <c r="F90" s="779" t="str" cm="1">
        <f t="array" aca="1" ref="F90" ca="1">OFFSET(G90,-1,-1)</f>
        <v>2</v>
      </c>
      <c r="G90" s="180"/>
      <c r="H90" s="180"/>
      <c r="I90" s="180"/>
      <c r="J90" s="180"/>
      <c r="K90" s="180"/>
      <c r="L90" s="180"/>
      <c r="M90" s="180"/>
      <c r="N90" s="180"/>
      <c r="O90" s="180"/>
      <c r="P90" s="180"/>
      <c r="Q90" s="143"/>
      <c r="R90" s="143"/>
      <c r="S90" s="180"/>
      <c r="T90" s="687" t="b" cm="1">
        <f t="array" ref="T90">T89</f>
        <v>1</v>
      </c>
      <c r="U90" s="1153"/>
      <c r="V90" s="1153"/>
      <c r="W90" s="1153"/>
      <c r="X90" s="1726"/>
      <c r="Y90" s="1153"/>
      <c r="Z90" s="1726"/>
      <c r="AA90" s="180"/>
      <c r="AB90" s="111" t="s">
        <v>451</v>
      </c>
      <c r="AC90" s="119" t="s">
        <v>1378</v>
      </c>
      <c r="AD90" s="419" t="s">
        <v>1077</v>
      </c>
      <c r="AE90" s="1314"/>
      <c r="AF90" s="1314"/>
      <c r="AG90" s="1314"/>
      <c r="AH90" s="256">
        <f t="shared" si="5"/>
        <v>0</v>
      </c>
      <c r="AI90" s="1314">
        <v>80.98</v>
      </c>
      <c r="AJ90" s="1314"/>
      <c r="AK90" s="1314">
        <v>88.24</v>
      </c>
      <c r="AL90" s="256">
        <f t="shared" si="6"/>
        <v>8.9651765868115465</v>
      </c>
      <c r="AM90" s="1290"/>
      <c r="AN90" s="1290"/>
      <c r="AO90" s="1290"/>
      <c r="AP90" s="180"/>
      <c r="AQ90" s="180"/>
      <c r="AR90" s="1031" t="s">
        <v>1379</v>
      </c>
      <c r="AS90" s="1031"/>
      <c r="AT90" s="1031"/>
      <c r="AU90" s="1032"/>
      <c r="AV90" s="1032"/>
    </row>
    <row r="91" spans="1:48" s="1229" customFormat="1" ht="14.25" customHeight="1">
      <c r="A91" s="178"/>
      <c r="B91" s="783"/>
      <c r="C91" s="178"/>
      <c r="D91" s="178"/>
      <c r="E91" s="676">
        <v>15</v>
      </c>
      <c r="F91" s="779" t="str" cm="1">
        <f t="array" aca="1" ref="F91" ca="1">OFFSET(G91,-1,-1)</f>
        <v>2</v>
      </c>
      <c r="G91" s="143" t="s">
        <v>1222</v>
      </c>
      <c r="H91" s="180"/>
      <c r="I91" s="180"/>
      <c r="J91" s="180"/>
      <c r="K91" s="180"/>
      <c r="L91" s="180"/>
      <c r="M91" s="180"/>
      <c r="N91" s="180"/>
      <c r="O91" s="180"/>
      <c r="P91" s="180"/>
      <c r="Q91" s="143"/>
      <c r="R91" s="143"/>
      <c r="S91" s="180"/>
      <c r="T91" s="687" t="b" cm="1">
        <f t="array" ref="T91">T90</f>
        <v>1</v>
      </c>
      <c r="U91" s="1153"/>
      <c r="V91" s="1153"/>
      <c r="W91" s="1153"/>
      <c r="X91" s="1726"/>
      <c r="Y91" s="1153"/>
      <c r="Z91" s="1726"/>
      <c r="AA91" s="180"/>
      <c r="AB91" s="111" t="s">
        <v>454</v>
      </c>
      <c r="AC91" s="118" t="s">
        <v>1380</v>
      </c>
      <c r="AD91" s="419" t="s">
        <v>1077</v>
      </c>
      <c r="AE91" s="256">
        <f ca="1">SUMIFS(Аренда!AE$26:AE$63,Аренда!$F$26:$F$63,$F91,Аренда!$G$26:$G$63,$G91)</f>
        <v>0</v>
      </c>
      <c r="AF91" s="256">
        <f ca="1">SUMIFS(Аренда!AF$26:AF$63,Аренда!$F$26:$F$63,$F91,Аренда!$G$26:$G$63,$G91)</f>
        <v>0</v>
      </c>
      <c r="AG91" s="1314">
        <f ca="1">SUMIFS(Аренда!AG$26:AG$63,Аренда!$F$26:$F$63,$F91,Аренда!$G$26:$G$63,$G91)</f>
        <v>0</v>
      </c>
      <c r="AH91" s="256">
        <f t="shared" ca="1" si="5"/>
        <v>0</v>
      </c>
      <c r="AI91" s="256">
        <f ca="1">SUMIFS(Аренда!AH$26:AH$63,Аренда!$F$26:$F$63,$F91,Аренда!$G$26:$G$63,$G91)</f>
        <v>0</v>
      </c>
      <c r="AJ91" s="256">
        <f ca="1">SUMIFS(Аренда!AI$26:AI$63,Аренда!$F$26:$F$63,$F91,Аренда!$G$26:$G$63,$G91)</f>
        <v>0</v>
      </c>
      <c r="AK91" s="256">
        <f ca="1">SUMIFS(Аренда!AS$26:AS$63,Аренда!$F$26:$F$63,$F91,Аренда!$G$26:$G$63,$G91)</f>
        <v>0</v>
      </c>
      <c r="AL91" s="256">
        <f t="shared" ca="1" si="6"/>
        <v>0</v>
      </c>
      <c r="AM91" s="1290"/>
      <c r="AN91" s="1290"/>
      <c r="AO91" s="1290"/>
      <c r="AP91" s="180"/>
      <c r="AQ91" s="180"/>
      <c r="AR91" s="1031" t="s">
        <v>1381</v>
      </c>
      <c r="AS91" s="1031"/>
      <c r="AT91" s="1031"/>
      <c r="AU91" s="1032"/>
      <c r="AV91" s="1032"/>
    </row>
    <row r="92" spans="1:48" s="1386" customFormat="1" ht="14.25" customHeight="1">
      <c r="A92" s="185"/>
      <c r="B92" s="185"/>
      <c r="C92" s="185"/>
      <c r="D92" s="185"/>
      <c r="E92" s="676">
        <v>15</v>
      </c>
      <c r="F92" s="779" t="str" cm="1">
        <f t="array" aca="1" ref="F92" ca="1">OFFSET(G92,-1,-1)</f>
        <v>2</v>
      </c>
      <c r="G92" s="143" t="s">
        <v>1209</v>
      </c>
      <c r="H92" s="185"/>
      <c r="I92" s="185"/>
      <c r="J92" s="185"/>
      <c r="K92" s="185"/>
      <c r="L92" s="185"/>
      <c r="M92" s="185"/>
      <c r="N92" s="185"/>
      <c r="O92" s="185"/>
      <c r="P92" s="185"/>
      <c r="Q92" s="185"/>
      <c r="R92" s="185"/>
      <c r="S92" s="185"/>
      <c r="T92" s="687" t="b" cm="1">
        <f t="array" ref="T92">T91</f>
        <v>1</v>
      </c>
      <c r="U92" s="185"/>
      <c r="V92" s="185"/>
      <c r="W92" s="185"/>
      <c r="X92" s="1823"/>
      <c r="Y92" s="185"/>
      <c r="Z92" s="1823"/>
      <c r="AA92" s="185"/>
      <c r="AB92" s="111" t="s">
        <v>457</v>
      </c>
      <c r="AC92" s="118" t="s">
        <v>1382</v>
      </c>
      <c r="AD92" s="419" t="s">
        <v>1077</v>
      </c>
      <c r="AE92" s="256">
        <f ca="1">SUMIFS(Аренда!AE$26:AE$63,Аренда!$F$26:$F$63,$F92,Аренда!$G$26:$G$63,$G92)</f>
        <v>0</v>
      </c>
      <c r="AF92" s="256">
        <f ca="1">SUMIFS(Аренда!AF$26:AF$63,Аренда!$F$26:$F$63,$F92,Аренда!$G$26:$G$63,$G92)</f>
        <v>0</v>
      </c>
      <c r="AG92" s="1314">
        <f ca="1">SUMIFS(Аренда!AG$26:AG$63,Аренда!$F$26:$F$63,$F92,Аренда!$G$26:$G$63,$G92)</f>
        <v>0</v>
      </c>
      <c r="AH92" s="256">
        <f t="shared" ca="1" si="5"/>
        <v>0</v>
      </c>
      <c r="AI92" s="256">
        <f ca="1">SUMIFS(Аренда!AH$26:AH$63,Аренда!$F$26:$F$63,$F92,Аренда!$G$26:$G$63,$G92)</f>
        <v>150.55000000000001</v>
      </c>
      <c r="AJ92" s="256">
        <f ca="1">SUMIFS(Аренда!AI$26:AI$63,Аренда!$F$26:$F$63,$F92,Аренда!$G$26:$G$63,$G92)</f>
        <v>0</v>
      </c>
      <c r="AK92" s="256">
        <f ca="1">SUMIFS(Аренда!AS$26:AS$63,Аренда!$F$26:$F$63,$F92,Аренда!$G$26:$G$63,$G92)</f>
        <v>164.27</v>
      </c>
      <c r="AL92" s="256">
        <f t="shared" ca="1" si="6"/>
        <v>9.1132514114911984</v>
      </c>
      <c r="AM92" s="1290"/>
      <c r="AN92" s="1290"/>
      <c r="AO92" s="1290"/>
      <c r="AP92" s="185"/>
      <c r="AQ92" s="185"/>
      <c r="AR92" s="1031" t="s">
        <v>1212</v>
      </c>
      <c r="AS92" s="1039"/>
      <c r="AT92" s="1039"/>
      <c r="AU92" s="1040"/>
      <c r="AV92" s="1040"/>
    </row>
    <row r="93" spans="1:48" s="1229" customFormat="1" ht="29.25" customHeight="1">
      <c r="A93" s="178"/>
      <c r="B93" s="783"/>
      <c r="C93" s="178"/>
      <c r="D93" s="178"/>
      <c r="E93" s="676">
        <v>30</v>
      </c>
      <c r="F93" s="779" t="str" cm="1">
        <f t="array" aca="1" ref="F93" ca="1">OFFSET(G93,-1,-1)</f>
        <v>2</v>
      </c>
      <c r="G93" s="180"/>
      <c r="H93" s="180"/>
      <c r="I93" s="180"/>
      <c r="J93" s="180"/>
      <c r="K93" s="180"/>
      <c r="L93" s="180"/>
      <c r="M93" s="180"/>
      <c r="N93" s="180"/>
      <c r="O93" s="180"/>
      <c r="P93" s="180"/>
      <c r="Q93" s="143"/>
      <c r="R93" s="143"/>
      <c r="S93" s="180"/>
      <c r="T93" s="687" t="b" cm="1">
        <f t="array" ref="T93">T92</f>
        <v>1</v>
      </c>
      <c r="U93" s="1153"/>
      <c r="V93" s="1153"/>
      <c r="W93" s="1153"/>
      <c r="X93" s="1726"/>
      <c r="Y93" s="1153"/>
      <c r="Z93" s="1726"/>
      <c r="AA93" s="180"/>
      <c r="AB93" s="111" t="s">
        <v>460</v>
      </c>
      <c r="AC93" s="119" t="s">
        <v>1383</v>
      </c>
      <c r="AD93" s="419" t="s">
        <v>1077</v>
      </c>
      <c r="AE93" s="256">
        <f>SUM(AE94:AE98)</f>
        <v>0</v>
      </c>
      <c r="AF93" s="256">
        <f>SUM(AF94:AF98)</f>
        <v>0</v>
      </c>
      <c r="AG93" s="1314">
        <f>SUM(AG94:AG98)</f>
        <v>0</v>
      </c>
      <c r="AH93" s="256">
        <f t="shared" si="5"/>
        <v>0</v>
      </c>
      <c r="AI93" s="256">
        <f>SUM(AI94:AI98)</f>
        <v>3206.12</v>
      </c>
      <c r="AJ93" s="256">
        <f>SUM(AJ94:AJ98)</f>
        <v>0</v>
      </c>
      <c r="AK93" s="256">
        <f>SUM(AK94:AK98)</f>
        <v>3498.45</v>
      </c>
      <c r="AL93" s="256">
        <f t="shared" si="6"/>
        <v>9.1178745648946382</v>
      </c>
      <c r="AM93" s="1290"/>
      <c r="AN93" s="1290"/>
      <c r="AO93" s="1290"/>
      <c r="AP93" s="180"/>
      <c r="AQ93" s="180"/>
      <c r="AR93" s="1031" t="s">
        <v>1326</v>
      </c>
      <c r="AS93" s="1031"/>
      <c r="AT93" s="1031"/>
      <c r="AU93" s="1032"/>
      <c r="AV93" s="1032"/>
    </row>
    <row r="94" spans="1:48" s="1229" customFormat="1" ht="11.25" hidden="1" customHeight="1">
      <c r="A94" s="178"/>
      <c r="B94" s="783"/>
      <c r="C94" s="178"/>
      <c r="D94" s="178"/>
      <c r="E94" s="676">
        <v>0</v>
      </c>
      <c r="F94" s="779" t="str" cm="1">
        <f t="array" aca="1" ref="F94" ca="1">OFFSET(G94,-1,-1)</f>
        <v>2</v>
      </c>
      <c r="G94" s="180"/>
      <c r="H94" s="180"/>
      <c r="I94" s="180"/>
      <c r="J94" s="180"/>
      <c r="K94" s="180"/>
      <c r="L94" s="180"/>
      <c r="M94" s="180"/>
      <c r="N94" s="180"/>
      <c r="O94" s="180"/>
      <c r="P94" s="180"/>
      <c r="Q94" s="143"/>
      <c r="R94" s="143"/>
      <c r="S94" s="180"/>
      <c r="T94" s="687" t="b" cm="1">
        <f t="array" ref="T94">T93</f>
        <v>1</v>
      </c>
      <c r="U94" s="1153"/>
      <c r="V94" s="1153"/>
      <c r="W94" s="1153"/>
      <c r="X94" s="1726"/>
      <c r="Y94" s="1153"/>
      <c r="Z94" s="1726"/>
      <c r="AA94" s="180"/>
      <c r="AB94" s="111"/>
      <c r="AC94" s="116"/>
      <c r="AD94" s="419"/>
      <c r="AE94" s="419"/>
      <c r="AF94" s="419"/>
      <c r="AG94" s="419"/>
      <c r="AH94" s="419"/>
      <c r="AI94" s="419"/>
      <c r="AJ94" s="419"/>
      <c r="AK94" s="419"/>
      <c r="AL94" s="419"/>
      <c r="AM94" s="123"/>
      <c r="AN94" s="123"/>
      <c r="AO94" s="123"/>
      <c r="AP94" s="180"/>
      <c r="AQ94" s="180"/>
      <c r="AR94" s="1031" t="str">
        <f>IF(AND(ISNUMBER(VALUE(TRIM(SUBSTITUTE(AB94,".","")))),TRIM(SUBSTITUTE(AB94,".",""))&lt;&gt;""),"P"&amp;SUBSTITUTE(AB94,".",""),"")</f>
        <v/>
      </c>
      <c r="AS94" s="1031"/>
      <c r="AT94" s="1031"/>
      <c r="AU94" s="1032"/>
      <c r="AV94" s="1032"/>
    </row>
    <row r="95" spans="1:48" s="1229" customFormat="1" ht="14.25" hidden="1" customHeight="1">
      <c r="E95" s="676">
        <v>15</v>
      </c>
      <c r="F95" s="779" t="str" cm="1">
        <f t="array" aca="1" ref="F95" ca="1">OFFSET(G95,-1,-1)</f>
        <v>2</v>
      </c>
      <c r="T95" s="687" t="b">
        <f ca="1">AND(F95&gt;0,Y95&gt;0)</f>
        <v>0</v>
      </c>
      <c r="W95" s="126" t="s">
        <v>236</v>
      </c>
      <c r="X95" s="1722"/>
      <c r="Y95" s="126">
        <v>0</v>
      </c>
      <c r="Z95" s="1722"/>
      <c r="AA95" s="69" t="s">
        <v>218</v>
      </c>
      <c r="AB95" s="539" t="str">
        <f>"10."&amp;Y95</f>
        <v>10.0</v>
      </c>
      <c r="AC95" s="70"/>
      <c r="AD95" s="424" t="s">
        <v>1077</v>
      </c>
      <c r="AE95" s="71"/>
      <c r="AF95" s="71"/>
      <c r="AG95" s="71"/>
      <c r="AH95" s="464">
        <f>AG95-AF95</f>
        <v>0</v>
      </c>
      <c r="AI95" s="71"/>
      <c r="AJ95" s="71"/>
      <c r="AK95" s="71"/>
      <c r="AL95" s="464">
        <f>IF(AI95=0,0,(AK95-AI95)/AI95*100)</f>
        <v>0</v>
      </c>
      <c r="AM95" s="24"/>
      <c r="AN95" s="24"/>
      <c r="AO95" s="24"/>
      <c r="AR95" s="1031" t="s">
        <v>1326</v>
      </c>
      <c r="AS95" s="1031" t="s">
        <v>1254</v>
      </c>
      <c r="AT95" s="1041" cm="1">
        <f t="array" ref="AT95">AC95</f>
        <v>0</v>
      </c>
      <c r="AU95" s="1032"/>
      <c r="AV95" s="1032" t="b">
        <v>1</v>
      </c>
    </row>
    <row r="96" spans="1:48" s="1229" customFormat="1" ht="14.25" customHeight="1">
      <c r="E96" s="676">
        <v>15</v>
      </c>
      <c r="F96" s="779" t="str" cm="1">
        <f t="array" aca="1" ref="F96" ca="1">OFFSET(G96,-1,-1)</f>
        <v>2</v>
      </c>
      <c r="T96" s="687" t="b">
        <f ca="1">AND(F96&gt;0,Y96&gt;0)</f>
        <v>1</v>
      </c>
      <c r="W96" s="126"/>
      <c r="X96" s="1722"/>
      <c r="Y96" s="126" t="s">
        <v>341</v>
      </c>
      <c r="Z96" s="1722"/>
      <c r="AA96" s="69" t="s">
        <v>218</v>
      </c>
      <c r="AB96" s="539" t="str">
        <f>"10."&amp;Y96</f>
        <v>10.1</v>
      </c>
      <c r="AC96" s="1379" t="s">
        <v>1325</v>
      </c>
      <c r="AD96" s="424" t="s">
        <v>1077</v>
      </c>
      <c r="AE96" s="1380"/>
      <c r="AF96" s="1380"/>
      <c r="AG96" s="1380"/>
      <c r="AH96" s="464">
        <f>AG96-AF96</f>
        <v>0</v>
      </c>
      <c r="AI96" s="1380">
        <v>3122.02</v>
      </c>
      <c r="AJ96" s="1380"/>
      <c r="AK96" s="1380">
        <f>3406.79-0.11</f>
        <v>3406.68</v>
      </c>
      <c r="AL96" s="464">
        <f>IF(AI96=0,0,(AK96-AI96)/AI96*100)</f>
        <v>9.1178147481438252</v>
      </c>
      <c r="AM96" s="1296"/>
      <c r="AN96" s="1296"/>
      <c r="AO96" s="1296"/>
      <c r="AR96" s="1031" t="s">
        <v>1326</v>
      </c>
      <c r="AS96" s="1031" t="s">
        <v>1254</v>
      </c>
      <c r="AT96" s="1041" t="str" cm="1">
        <f t="array" ref="AT96">AC96</f>
        <v>прочие расходы</v>
      </c>
      <c r="AU96" s="1032"/>
      <c r="AV96" s="1032" t="b">
        <v>1</v>
      </c>
    </row>
    <row r="97" spans="1:48" s="1229" customFormat="1" ht="14.25" customHeight="1">
      <c r="E97" s="676">
        <v>15</v>
      </c>
      <c r="F97" s="779" t="str" cm="1">
        <f t="array" aca="1" ref="F97" ca="1">OFFSET(G97,-1,-1)</f>
        <v>2</v>
      </c>
      <c r="T97" s="687" t="b">
        <f ca="1">AND(F97&gt;0,Y97&gt;0)</f>
        <v>1</v>
      </c>
      <c r="W97" s="126"/>
      <c r="X97" s="1722"/>
      <c r="Y97" s="126" t="s">
        <v>348</v>
      </c>
      <c r="Z97" s="1722"/>
      <c r="AA97" s="69" t="s">
        <v>218</v>
      </c>
      <c r="AB97" s="539" t="str">
        <f>"10."&amp;Y97</f>
        <v>10.2</v>
      </c>
      <c r="AC97" s="1379" t="s">
        <v>1389</v>
      </c>
      <c r="AD97" s="424" t="s">
        <v>1077</v>
      </c>
      <c r="AE97" s="1380"/>
      <c r="AF97" s="1380"/>
      <c r="AG97" s="1380"/>
      <c r="AH97" s="464">
        <f>AG97-AF97</f>
        <v>0</v>
      </c>
      <c r="AI97" s="1380">
        <v>84.1</v>
      </c>
      <c r="AJ97" s="1380"/>
      <c r="AK97" s="1380">
        <v>91.77</v>
      </c>
      <c r="AL97" s="464">
        <f>IF(AI97=0,0,(AK97-AI97)/AI97*100)</f>
        <v>9.1200951248513693</v>
      </c>
      <c r="AM97" s="1296"/>
      <c r="AN97" s="1296"/>
      <c r="AO97" s="1296"/>
      <c r="AR97" s="1031" t="s">
        <v>1326</v>
      </c>
      <c r="AS97" s="1031" t="s">
        <v>1254</v>
      </c>
      <c r="AT97" s="1041" t="str" cm="1">
        <f t="array" ref="AT97">AC97</f>
        <v>услуги банка</v>
      </c>
      <c r="AU97" s="1032"/>
      <c r="AV97" s="1032" t="b">
        <v>1</v>
      </c>
    </row>
    <row r="98" spans="1:48" s="1229" customFormat="1" ht="13.5" customHeight="1">
      <c r="A98" s="178"/>
      <c r="B98" s="783"/>
      <c r="C98" s="178"/>
      <c r="D98" s="178"/>
      <c r="E98" s="676">
        <v>14.1</v>
      </c>
      <c r="F98" s="779" t="str" cm="1">
        <f t="array" aca="1" ref="F98" ca="1">OFFSET(G98,-1,-1)</f>
        <v>2</v>
      </c>
      <c r="G98" s="180"/>
      <c r="H98" s="180"/>
      <c r="I98" s="180"/>
      <c r="J98" s="180"/>
      <c r="K98" s="180"/>
      <c r="L98" s="180"/>
      <c r="M98" s="180"/>
      <c r="N98" s="180"/>
      <c r="O98" s="180"/>
      <c r="P98" s="180"/>
      <c r="Q98" s="143"/>
      <c r="R98" s="143"/>
      <c r="S98" s="180"/>
      <c r="T98" s="687" t="b">
        <f ca="1">F98&gt;0</f>
        <v>1</v>
      </c>
      <c r="U98" s="1153"/>
      <c r="V98" s="1153"/>
      <c r="W98" s="318" t="s">
        <v>544</v>
      </c>
      <c r="X98" s="1726"/>
      <c r="Y98" s="1153"/>
      <c r="Z98" s="1726"/>
      <c r="AA98" s="180"/>
      <c r="AB98" s="612"/>
      <c r="AC98" s="616" t="s">
        <v>238</v>
      </c>
      <c r="AD98" s="613"/>
      <c r="AE98" s="614"/>
      <c r="AF98" s="614"/>
      <c r="AG98" s="614"/>
      <c r="AH98" s="614"/>
      <c r="AI98" s="614"/>
      <c r="AJ98" s="614"/>
      <c r="AK98" s="614"/>
      <c r="AL98" s="614"/>
      <c r="AM98" s="910"/>
      <c r="AN98" s="910"/>
      <c r="AO98" s="911"/>
      <c r="AP98" s="180"/>
      <c r="AQ98" s="180"/>
      <c r="AR98" s="1031" t="str">
        <f>IF(AND(ISNUMBER(VALUE(TRIM(SUBSTITUTE(AB98,".","")))),TRIM(SUBSTITUTE(AB98,".",""))&lt;&gt;""),"P"&amp;SUBSTITUTE(AB98,".",""),"")</f>
        <v/>
      </c>
      <c r="AS98" s="1031"/>
      <c r="AT98" s="1031"/>
      <c r="AU98" s="1032" t="s">
        <v>1254</v>
      </c>
      <c r="AV98" s="1032"/>
    </row>
    <row r="99" spans="1:48" s="1229" customFormat="1" ht="13.5" customHeight="1">
      <c r="A99" s="178"/>
      <c r="B99" s="783"/>
      <c r="C99" s="178"/>
      <c r="D99" s="178"/>
      <c r="E99" s="676">
        <v>14.1</v>
      </c>
      <c r="F99" s="779" t="str" cm="1">
        <f t="array" aca="1" ref="F99" ca="1">OFFSET(G99,-1,-1)</f>
        <v>2</v>
      </c>
      <c r="G99" s="180"/>
      <c r="H99" s="180"/>
      <c r="I99" s="180"/>
      <c r="J99" s="180"/>
      <c r="K99" s="180"/>
      <c r="L99" s="180"/>
      <c r="M99" s="180"/>
      <c r="N99" s="180"/>
      <c r="O99" s="180"/>
      <c r="P99" s="180"/>
      <c r="Q99" s="143"/>
      <c r="R99" s="143"/>
      <c r="S99" s="180"/>
      <c r="T99" s="687" t="b">
        <f ca="1">F99&gt;0</f>
        <v>1</v>
      </c>
      <c r="U99" s="1153"/>
      <c r="V99" s="1153"/>
      <c r="W99" s="1153"/>
      <c r="X99" s="1726"/>
      <c r="Y99" s="1153"/>
      <c r="Z99" s="1726"/>
      <c r="AA99" s="180"/>
      <c r="AB99" s="540" t="s">
        <v>463</v>
      </c>
      <c r="AC99" s="611" t="s">
        <v>1384</v>
      </c>
      <c r="AD99" s="468" t="s">
        <v>1077</v>
      </c>
      <c r="AE99" s="542">
        <f>SUM(AE100:AE102)</f>
        <v>0</v>
      </c>
      <c r="AF99" s="542">
        <f>SUM(AF100:AF102)</f>
        <v>0</v>
      </c>
      <c r="AG99" s="1381">
        <f>SUM(AG100:AG102)</f>
        <v>0</v>
      </c>
      <c r="AH99" s="542">
        <f>AG99-AF99</f>
        <v>0</v>
      </c>
      <c r="AI99" s="542">
        <f>SUM(AI100:AI102)</f>
        <v>0</v>
      </c>
      <c r="AJ99" s="542">
        <f>SUM(AJ100:AJ102)</f>
        <v>0</v>
      </c>
      <c r="AK99" s="542">
        <f>SUM(AK100:AK102)</f>
        <v>0</v>
      </c>
      <c r="AL99" s="542">
        <f>IF(AI99=0,0,(AK99-AI99)/AI99*100)</f>
        <v>0</v>
      </c>
      <c r="AM99" s="1298"/>
      <c r="AN99" s="1298"/>
      <c r="AO99" s="1298"/>
      <c r="AP99" s="180"/>
      <c r="AQ99" s="180"/>
      <c r="AR99" s="1031" t="s">
        <v>1385</v>
      </c>
      <c r="AS99" s="1031"/>
      <c r="AT99" s="1031"/>
      <c r="AU99" s="1032"/>
      <c r="AV99" s="1032"/>
    </row>
    <row r="100" spans="1:48" s="1229" customFormat="1" ht="11.25" hidden="1" customHeight="1">
      <c r="A100" s="178"/>
      <c r="B100" s="783"/>
      <c r="C100" s="178"/>
      <c r="D100" s="178"/>
      <c r="E100" s="676">
        <v>0</v>
      </c>
      <c r="F100" s="779" t="str" cm="1">
        <f t="array" aca="1" ref="F100" ca="1">OFFSET(G100,-1,-1)</f>
        <v>2</v>
      </c>
      <c r="G100" s="180"/>
      <c r="H100" s="180"/>
      <c r="I100" s="180"/>
      <c r="J100" s="180"/>
      <c r="K100" s="180"/>
      <c r="L100" s="180"/>
      <c r="M100" s="180"/>
      <c r="N100" s="180"/>
      <c r="O100" s="180"/>
      <c r="P100" s="180"/>
      <c r="Q100" s="143"/>
      <c r="R100" s="143"/>
      <c r="S100" s="180"/>
      <c r="T100" s="687" t="b">
        <f ca="1">F100&gt;0</f>
        <v>1</v>
      </c>
      <c r="U100" s="1153"/>
      <c r="V100" s="1153"/>
      <c r="W100" s="1153"/>
      <c r="X100" s="1726"/>
      <c r="Y100" s="1153"/>
      <c r="Z100" s="1726"/>
      <c r="AA100" s="180"/>
      <c r="AB100" s="539"/>
      <c r="AC100" s="561"/>
      <c r="AD100" s="562"/>
      <c r="AE100" s="419"/>
      <c r="AF100" s="419"/>
      <c r="AG100" s="419"/>
      <c r="AH100" s="180"/>
      <c r="AI100" s="419"/>
      <c r="AJ100" s="419"/>
      <c r="AK100" s="419"/>
      <c r="AL100" s="180"/>
      <c r="AM100" s="180"/>
      <c r="AN100" s="180"/>
      <c r="AO100" s="180"/>
      <c r="AP100" s="180"/>
      <c r="AQ100" s="180"/>
      <c r="AR100" s="1031" t="str">
        <f>IF(AND(ISNUMBER(VALUE(TRIM(SUBSTITUTE(AB100,".","")))),TRIM(SUBSTITUTE(AB100,".",""))&lt;&gt;""),"P"&amp;SUBSTITUTE(AB100,".",""),"")</f>
        <v/>
      </c>
      <c r="AS100" s="1031"/>
      <c r="AT100" s="1031"/>
      <c r="AU100" s="1032"/>
      <c r="AV100" s="1032"/>
    </row>
    <row r="101" spans="1:48" s="1229" customFormat="1" ht="13.5" hidden="1" customHeight="1">
      <c r="A101" s="178"/>
      <c r="B101" s="783"/>
      <c r="C101" s="178"/>
      <c r="D101" s="178"/>
      <c r="E101" s="676">
        <v>14.1</v>
      </c>
      <c r="F101" s="779" t="str" cm="1">
        <f t="array" aca="1" ref="F101" ca="1">OFFSET(G101,-1,-1)</f>
        <v>2</v>
      </c>
      <c r="G101" s="180"/>
      <c r="H101" s="180"/>
      <c r="I101" s="180"/>
      <c r="J101" s="180"/>
      <c r="K101" s="180"/>
      <c r="L101" s="180"/>
      <c r="M101" s="180"/>
      <c r="N101" s="180"/>
      <c r="O101" s="180"/>
      <c r="P101" s="180"/>
      <c r="Q101" s="143"/>
      <c r="R101" s="143"/>
      <c r="S101" s="180"/>
      <c r="T101" s="687" t="b">
        <f ca="1">AND(F101&gt;0,Y101&gt;0)</f>
        <v>0</v>
      </c>
      <c r="U101" s="1153"/>
      <c r="V101" s="1153"/>
      <c r="W101" s="126" t="s">
        <v>236</v>
      </c>
      <c r="X101" s="1726"/>
      <c r="Y101" s="126">
        <v>0</v>
      </c>
      <c r="Z101" s="1726"/>
      <c r="AA101" s="69" t="s">
        <v>218</v>
      </c>
      <c r="AB101" s="539" t="str">
        <f>"11."&amp;Y101</f>
        <v>11.0</v>
      </c>
      <c r="AC101" s="64"/>
      <c r="AD101" s="124" t="s">
        <v>1077</v>
      </c>
      <c r="AE101" s="53"/>
      <c r="AF101" s="53"/>
      <c r="AG101" s="53"/>
      <c r="AH101" s="256">
        <f>AG101-AF101</f>
        <v>0</v>
      </c>
      <c r="AI101" s="53"/>
      <c r="AJ101" s="53"/>
      <c r="AK101" s="53"/>
      <c r="AL101" s="256">
        <f>IF(AI101=0,0,(AK101-AI101)/AI101*100)</f>
        <v>0</v>
      </c>
      <c r="AM101" s="28"/>
      <c r="AN101" s="28"/>
      <c r="AO101" s="28"/>
      <c r="AP101" s="180"/>
      <c r="AQ101" s="180"/>
      <c r="AR101" s="1031" t="s">
        <v>1385</v>
      </c>
      <c r="AS101" s="1031" t="s">
        <v>1386</v>
      </c>
      <c r="AT101" s="1041" cm="1">
        <f t="array" ref="AT101">AC101</f>
        <v>0</v>
      </c>
      <c r="AU101" s="1032"/>
      <c r="AV101" s="1032" t="b">
        <v>1</v>
      </c>
    </row>
    <row r="102" spans="1:48" s="1229" customFormat="1" ht="13.5" customHeight="1">
      <c r="A102" s="178"/>
      <c r="B102" s="783"/>
      <c r="C102" s="178"/>
      <c r="D102" s="178"/>
      <c r="E102" s="676">
        <v>14.1</v>
      </c>
      <c r="F102" s="779" t="str" cm="1">
        <f t="array" aca="1" ref="F102" ca="1">OFFSET(G102,-1,-1)</f>
        <v>2</v>
      </c>
      <c r="G102" s="180"/>
      <c r="H102" s="180"/>
      <c r="I102" s="180"/>
      <c r="J102" s="180"/>
      <c r="K102" s="180"/>
      <c r="L102" s="180"/>
      <c r="M102" s="180"/>
      <c r="N102" s="180"/>
      <c r="O102" s="180"/>
      <c r="P102" s="180"/>
      <c r="Q102" s="143"/>
      <c r="R102" s="143"/>
      <c r="S102" s="180"/>
      <c r="T102" s="687" t="b">
        <f ca="1">F102&gt;0</f>
        <v>1</v>
      </c>
      <c r="U102" s="1153"/>
      <c r="V102" s="1153"/>
      <c r="W102" s="318" t="s">
        <v>1387</v>
      </c>
      <c r="X102" s="1726"/>
      <c r="Y102" s="1153"/>
      <c r="Z102" s="1726"/>
      <c r="AA102" s="180"/>
      <c r="AB102" s="612"/>
      <c r="AC102" s="616" t="s">
        <v>238</v>
      </c>
      <c r="AD102" s="613"/>
      <c r="AE102" s="615"/>
      <c r="AF102" s="615"/>
      <c r="AG102" s="615"/>
      <c r="AH102" s="615"/>
      <c r="AI102" s="615"/>
      <c r="AJ102" s="615"/>
      <c r="AK102" s="615"/>
      <c r="AL102" s="615"/>
      <c r="AM102" s="615"/>
      <c r="AN102" s="615"/>
      <c r="AO102" s="615"/>
      <c r="AP102" s="180"/>
      <c r="AQ102" s="180"/>
      <c r="AR102" s="1031"/>
      <c r="AS102" s="1031"/>
      <c r="AT102" s="1031"/>
      <c r="AU102" s="1032" t="s">
        <v>1386</v>
      </c>
      <c r="AV102" s="1032"/>
    </row>
    <row r="103" spans="1:48" ht="9.9499999999999993" customHeight="1">
      <c r="E103" s="676">
        <v>10.199999999999999</v>
      </c>
      <c r="U103" s="129" t="s">
        <v>238</v>
      </c>
      <c r="V103" s="122" t="s">
        <v>1390</v>
      </c>
    </row>
    <row r="104" spans="1:48" ht="11.25" hidden="1" customHeight="1">
      <c r="E104" s="676">
        <v>0</v>
      </c>
    </row>
    <row r="105" spans="1:48" ht="14.65" customHeight="1">
      <c r="E105" s="676">
        <v>15</v>
      </c>
      <c r="AB105" s="1802" t="s">
        <v>734</v>
      </c>
      <c r="AC105" s="1802"/>
      <c r="AD105" s="1802"/>
      <c r="AE105" s="1802"/>
      <c r="AF105" s="1802"/>
      <c r="AG105" s="1802"/>
      <c r="AH105" s="1802"/>
      <c r="AI105" s="1802"/>
      <c r="AJ105" s="1802"/>
      <c r="AK105" s="1802"/>
      <c r="AL105" s="1802"/>
      <c r="AM105" s="1802"/>
      <c r="AN105" s="1802"/>
      <c r="AO105" s="1802"/>
    </row>
    <row r="106" spans="1:48" ht="14.65" customHeight="1">
      <c r="E106" s="676">
        <v>15</v>
      </c>
      <c r="AA106" s="778"/>
      <c r="AB106" s="1817"/>
      <c r="AC106" s="1818"/>
      <c r="AD106" s="1818"/>
      <c r="AE106" s="1818"/>
      <c r="AF106" s="1818"/>
      <c r="AG106" s="1818"/>
      <c r="AH106" s="1818"/>
      <c r="AI106" s="1818"/>
      <c r="AJ106" s="1818"/>
      <c r="AK106" s="1818"/>
      <c r="AL106" s="1818"/>
      <c r="AM106" s="1818"/>
      <c r="AN106" s="1818"/>
      <c r="AO106" s="1818"/>
    </row>
    <row r="107" spans="1:48" ht="14.65" hidden="1" customHeight="1">
      <c r="E107" s="676">
        <v>15</v>
      </c>
      <c r="T107" s="687" t="b">
        <f>ROW(W107)&gt;ROW(W$107)</f>
        <v>0</v>
      </c>
      <c r="W107" s="126" t="s">
        <v>236</v>
      </c>
      <c r="AA107" s="774" t="s">
        <v>218</v>
      </c>
      <c r="AB107" s="1820"/>
      <c r="AC107" s="1818"/>
      <c r="AD107" s="1818"/>
      <c r="AE107" s="1818"/>
      <c r="AF107" s="1818"/>
      <c r="AG107" s="1818"/>
      <c r="AH107" s="1818"/>
      <c r="AI107" s="1818"/>
      <c r="AJ107" s="1818"/>
      <c r="AK107" s="1818"/>
      <c r="AL107" s="1818"/>
      <c r="AM107" s="1818"/>
      <c r="AN107" s="1818"/>
      <c r="AO107" s="1818"/>
    </row>
    <row r="108" spans="1:48" ht="14.65" customHeight="1">
      <c r="E108" s="676">
        <v>15</v>
      </c>
      <c r="W108" s="122" t="s">
        <v>237</v>
      </c>
      <c r="AA108" s="163"/>
      <c r="AB108" s="1736" t="s">
        <v>735</v>
      </c>
      <c r="AC108" s="1737"/>
      <c r="AD108" s="324"/>
      <c r="AE108" s="324"/>
      <c r="AF108" s="324"/>
      <c r="AG108" s="324"/>
      <c r="AH108" s="324"/>
      <c r="AI108" s="324"/>
      <c r="AJ108" s="324"/>
      <c r="AK108" s="324"/>
      <c r="AL108" s="324"/>
      <c r="AM108" s="324"/>
      <c r="AN108" s="324"/>
      <c r="AO108" s="294"/>
    </row>
  </sheetData>
  <sheetProtection formatColumns="0" formatRows="0" insertRows="0" deleteColumns="0" deleteRows="0" sort="0" autoFilter="0"/>
  <mergeCells count="19">
    <mergeCell ref="AO24:AO25"/>
    <mergeCell ref="AB107:AO107"/>
    <mergeCell ref="AB24:AB25"/>
    <mergeCell ref="AC24:AC25"/>
    <mergeCell ref="AD24:AD25"/>
    <mergeCell ref="AM24:AM25"/>
    <mergeCell ref="AN24:AN25"/>
    <mergeCell ref="AB52:AC52"/>
    <mergeCell ref="AB78:AC78"/>
    <mergeCell ref="X27:X50"/>
    <mergeCell ref="Z27:Z50"/>
    <mergeCell ref="AB105:AO105"/>
    <mergeCell ref="AB106:AO106"/>
    <mergeCell ref="AB108:AC108"/>
    <mergeCell ref="AB28:AC28"/>
    <mergeCell ref="X51:X76"/>
    <mergeCell ref="Z51:Z76"/>
    <mergeCell ref="X77:X102"/>
    <mergeCell ref="Z77:Z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AA13-E138-B063-0775-EAE047FF1A09}">
  <sheetPr>
    <tabColor rgb="FF92D050"/>
    <outlinePr summaryBelow="0" summaryRight="0"/>
    <pageSetUpPr fitToPage="1"/>
  </sheetPr>
  <dimension ref="A1:BS59"/>
  <sheetViews>
    <sheetView showGridLines="0" workbookViewId="0">
      <pane xSplit="34" ySplit="25" topLeftCell="AI48" activePane="bottomRight" state="frozen"/>
      <selection pane="topRight" activeCell="AI1" sqref="AI1"/>
      <selection pane="bottomLeft" activeCell="A26" sqref="A26"/>
      <selection pane="bottomRight" activeCell="AI52" sqref="AI52"/>
    </sheetView>
  </sheetViews>
  <sheetFormatPr defaultColWidth="9.140625" defaultRowHeight="11.25" customHeight="1"/>
  <cols>
    <col min="1" max="1" width="3.5703125" style="178" hidden="1" customWidth="1"/>
    <col min="2" max="2" width="8.5703125" style="783" hidden="1" customWidth="1"/>
    <col min="3" max="4" width="3.5703125" style="178" hidden="1" customWidth="1"/>
    <col min="5" max="5" width="8.42578125" style="782"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3" width="13.28515625" style="180" hidden="1" customWidth="1"/>
    <col min="34" max="34" width="26.28515625" style="180" hidden="1" customWidth="1"/>
    <col min="35" max="40" width="12.5703125" style="180" customWidth="1"/>
    <col min="41" max="45" width="12.5703125" style="180" hidden="1" customWidth="1"/>
    <col min="46" max="50" width="12.5703125" style="180" customWidth="1"/>
    <col min="51" max="55" width="12.5703125" style="180" hidden="1" customWidth="1"/>
    <col min="56" max="60" width="12.5703125" style="180" customWidth="1"/>
    <col min="61"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29" hidden="1"/>
  </cols>
  <sheetData>
    <row r="1" spans="1:71" s="178" customFormat="1" ht="12" hidden="1" customHeight="1">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C1" s="182"/>
      <c r="BS1" s="1029" t="s">
        <v>383</v>
      </c>
    </row>
    <row r="2" spans="1:71" s="783" customFormat="1" ht="12" hidden="1" customHeight="1">
      <c r="B2" s="768" t="s">
        <v>15</v>
      </c>
      <c r="G2" s="786"/>
      <c r="H2" s="786"/>
      <c r="I2" s="786"/>
      <c r="J2" s="786"/>
      <c r="K2" s="786"/>
      <c r="L2" s="786"/>
      <c r="M2" s="786"/>
      <c r="N2" s="786"/>
      <c r="O2" s="786"/>
      <c r="P2" s="786"/>
      <c r="Q2" s="786"/>
      <c r="R2" s="786"/>
      <c r="S2" s="786"/>
      <c r="AC2" s="671"/>
      <c r="AJ2" s="688" t="b">
        <f t="shared" ref="AJ2:BM2" si="0">AJ6&lt;=last_year_vis</f>
        <v>1</v>
      </c>
      <c r="AK2" s="688" t="b">
        <f t="shared" si="0"/>
        <v>1</v>
      </c>
      <c r="AL2" s="688" t="b">
        <f t="shared" si="0"/>
        <v>1</v>
      </c>
      <c r="AM2" s="688" t="b">
        <f t="shared" si="0"/>
        <v>1</v>
      </c>
      <c r="AN2" s="688" t="b">
        <f t="shared" si="0"/>
        <v>1</v>
      </c>
      <c r="AO2" s="688" t="b">
        <f t="shared" si="0"/>
        <v>0</v>
      </c>
      <c r="AP2" s="688" t="b">
        <f t="shared" si="0"/>
        <v>0</v>
      </c>
      <c r="AQ2" s="688" t="b">
        <f t="shared" si="0"/>
        <v>0</v>
      </c>
      <c r="AR2" s="688" t="b">
        <f t="shared" si="0"/>
        <v>0</v>
      </c>
      <c r="AS2" s="688" t="b">
        <f t="shared" si="0"/>
        <v>0</v>
      </c>
      <c r="AT2" s="688" t="b">
        <f t="shared" si="0"/>
        <v>1</v>
      </c>
      <c r="AU2" s="688" t="b">
        <f t="shared" si="0"/>
        <v>1</v>
      </c>
      <c r="AV2" s="688" t="b">
        <f t="shared" si="0"/>
        <v>1</v>
      </c>
      <c r="AW2" s="688" t="b">
        <f t="shared" si="0"/>
        <v>1</v>
      </c>
      <c r="AX2" s="688" t="b">
        <f t="shared" si="0"/>
        <v>1</v>
      </c>
      <c r="AY2" s="688" t="b">
        <f t="shared" si="0"/>
        <v>0</v>
      </c>
      <c r="AZ2" s="688" t="b">
        <f t="shared" si="0"/>
        <v>0</v>
      </c>
      <c r="BA2" s="688" t="b">
        <f t="shared" si="0"/>
        <v>0</v>
      </c>
      <c r="BB2" s="688" t="b">
        <f t="shared" si="0"/>
        <v>0</v>
      </c>
      <c r="BC2" s="688" t="b">
        <f t="shared" si="0"/>
        <v>0</v>
      </c>
      <c r="BD2" s="688" t="b">
        <f t="shared" si="0"/>
        <v>1</v>
      </c>
      <c r="BE2" s="688" t="b">
        <f t="shared" si="0"/>
        <v>1</v>
      </c>
      <c r="BF2" s="688" t="b">
        <f t="shared" si="0"/>
        <v>1</v>
      </c>
      <c r="BG2" s="688" t="b">
        <f t="shared" si="0"/>
        <v>1</v>
      </c>
      <c r="BH2" s="688" t="b">
        <f t="shared" si="0"/>
        <v>1</v>
      </c>
      <c r="BI2" s="688" t="b">
        <f t="shared" si="0"/>
        <v>0</v>
      </c>
      <c r="BJ2" s="688" t="b">
        <f t="shared" si="0"/>
        <v>0</v>
      </c>
      <c r="BK2" s="688" t="b">
        <f t="shared" si="0"/>
        <v>0</v>
      </c>
      <c r="BL2" s="688" t="b">
        <f t="shared" si="0"/>
        <v>0</v>
      </c>
      <c r="BM2" s="688" t="b">
        <f t="shared" si="0"/>
        <v>0</v>
      </c>
      <c r="BS2" s="957"/>
    </row>
    <row r="3" spans="1:71" s="178" customFormat="1" ht="12" hidden="1" customHeight="1">
      <c r="B3" s="667"/>
      <c r="E3" s="667"/>
      <c r="G3" s="180"/>
      <c r="H3" s="180"/>
      <c r="I3" s="180"/>
      <c r="J3" s="180"/>
      <c r="K3" s="180"/>
      <c r="L3" s="180"/>
      <c r="M3" s="180"/>
      <c r="N3" s="180"/>
      <c r="O3" s="180"/>
      <c r="P3" s="180"/>
      <c r="Q3" s="143"/>
      <c r="R3" s="143"/>
      <c r="S3" s="180"/>
      <c r="T3" s="126"/>
      <c r="U3" s="126"/>
      <c r="V3" s="126"/>
      <c r="W3" s="126"/>
      <c r="X3" s="126"/>
      <c r="Y3" s="126"/>
      <c r="Z3" s="126"/>
      <c r="AC3" s="182"/>
      <c r="BS3" s="1029"/>
    </row>
    <row r="4" spans="1:71" s="178" customFormat="1" ht="12" hidden="1" customHeight="1">
      <c r="B4" s="667"/>
      <c r="E4" s="667"/>
      <c r="G4" s="180"/>
      <c r="H4" s="180"/>
      <c r="I4" s="180"/>
      <c r="J4" s="180"/>
      <c r="K4" s="180"/>
      <c r="L4" s="180"/>
      <c r="M4" s="180"/>
      <c r="N4" s="180"/>
      <c r="O4" s="180"/>
      <c r="P4" s="180"/>
      <c r="Q4" s="143"/>
      <c r="R4" s="143"/>
      <c r="S4" s="180"/>
      <c r="T4" s="126"/>
      <c r="U4" s="126"/>
      <c r="V4" s="126"/>
      <c r="W4" s="126"/>
      <c r="X4" s="126"/>
      <c r="Y4" s="126"/>
      <c r="Z4" s="126"/>
      <c r="AC4" s="182"/>
      <c r="BS4" s="1029"/>
    </row>
    <row r="5" spans="1:71"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0</v>
      </c>
      <c r="AF5" s="676">
        <v>0</v>
      </c>
      <c r="AG5" s="676">
        <v>0</v>
      </c>
      <c r="AH5" s="676">
        <v>0</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57"/>
    </row>
    <row r="6" spans="1:71" s="178" customFormat="1" ht="12" hidden="1" customHeight="1">
      <c r="B6" s="667"/>
      <c r="E6" s="676"/>
      <c r="G6" s="180"/>
      <c r="H6" s="180"/>
      <c r="I6" s="180"/>
      <c r="J6" s="180"/>
      <c r="K6" s="180"/>
      <c r="L6" s="180"/>
      <c r="M6" s="180"/>
      <c r="N6" s="180"/>
      <c r="O6" s="180"/>
      <c r="P6" s="180"/>
      <c r="Q6" s="143"/>
      <c r="R6" s="143"/>
      <c r="S6" s="180"/>
      <c r="T6" s="126"/>
      <c r="U6" s="126"/>
      <c r="V6" s="126"/>
      <c r="W6" s="126"/>
      <c r="X6" s="126"/>
      <c r="Y6" s="126"/>
      <c r="Z6" s="126"/>
      <c r="AC6" s="182"/>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29"/>
    </row>
    <row r="7" spans="1:71" ht="12" hidden="1" customHeight="1">
      <c r="F7" s="180"/>
      <c r="T7" s="163"/>
      <c r="U7" s="163"/>
      <c r="V7" s="163"/>
      <c r="W7" s="163"/>
      <c r="X7" s="163"/>
      <c r="Y7" s="163"/>
      <c r="Z7" s="163"/>
      <c r="AB7" s="180"/>
      <c r="AD7" s="180"/>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row>
    <row r="8" spans="1:71" ht="12" hidden="1" customHeight="1">
      <c r="F8" s="180"/>
      <c r="T8" s="163"/>
      <c r="U8" s="163"/>
      <c r="V8" s="163"/>
      <c r="W8" s="163"/>
      <c r="X8" s="163"/>
      <c r="Y8" s="163"/>
      <c r="Z8" s="163"/>
      <c r="AB8" s="180"/>
      <c r="AD8" s="180"/>
      <c r="AI8" s="163" t="str">
        <f t="shared" ref="AI8:BC8" si="1">AI6&amp;AI7</f>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row>
    <row r="9" spans="1:71" s="1030" customFormat="1" ht="12" hidden="1" customHeight="1">
      <c r="A9" s="958" t="s">
        <v>472</v>
      </c>
      <c r="B9" s="951"/>
      <c r="E9" s="951"/>
      <c r="Q9" s="1008"/>
      <c r="R9" s="1008"/>
      <c r="T9" s="959"/>
      <c r="U9" s="959"/>
      <c r="V9" s="959"/>
      <c r="W9" s="959"/>
      <c r="X9" s="959"/>
      <c r="Y9" s="959"/>
      <c r="Z9" s="959"/>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29"/>
    </row>
    <row r="10" spans="1:71" s="1030" customFormat="1" ht="12" hidden="1" customHeight="1">
      <c r="A10" s="958" t="s">
        <v>473</v>
      </c>
      <c r="B10" s="951"/>
      <c r="E10" s="951"/>
      <c r="Q10" s="1008"/>
      <c r="R10" s="1008"/>
      <c r="T10" s="959"/>
      <c r="U10" s="959"/>
      <c r="V10" s="959"/>
      <c r="W10" s="959"/>
      <c r="X10" s="959"/>
      <c r="Y10" s="959"/>
      <c r="Z10" s="959"/>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S10" s="1029"/>
    </row>
    <row r="11" spans="1:71" s="1030" customFormat="1" ht="12" hidden="1" customHeight="1">
      <c r="A11" s="958" t="s">
        <v>474</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9"/>
    </row>
    <row r="12" spans="1:71" s="178" customFormat="1" ht="12" hidden="1" customHeight="1">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AE12" s="178">
        <f>god-2</f>
        <v>2024</v>
      </c>
      <c r="AF12" s="178">
        <f>god-2</f>
        <v>2024</v>
      </c>
      <c r="AG12" s="178">
        <f>god-2</f>
        <v>2024</v>
      </c>
      <c r="AH12" s="178">
        <f>god-2</f>
        <v>2024</v>
      </c>
      <c r="BS12" s="1029"/>
    </row>
    <row r="13" spans="1:71" s="178" customFormat="1" ht="12" hidden="1" customHeight="1">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E13" s="126" t="str" cm="1">
        <f t="array" ref="AE13">AE25</f>
        <v>Принято органом регулирования</v>
      </c>
      <c r="AF13" s="126" t="str" cm="1">
        <f t="array" ref="AF13">AF25</f>
        <v>Факт по данным организации</v>
      </c>
      <c r="AG13" s="126" t="str" cm="1">
        <f t="array" ref="AG13">AG25</f>
        <v>Факт, принятый органом регулирования</v>
      </c>
      <c r="AH13" s="126" t="str" cm="1">
        <f t="array" ref="AH13">AH25</f>
        <v>отклонение факта по данным организации к факту принятому органом регулирования</v>
      </c>
      <c r="BI13" s="126"/>
      <c r="BJ13" s="126"/>
      <c r="BK13" s="126"/>
      <c r="BL13" s="126"/>
      <c r="BM13" s="126"/>
      <c r="BS13" s="1029"/>
    </row>
    <row r="14" spans="1:71" s="178" customFormat="1" ht="12" hidden="1" customHeight="1">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E14" s="126" t="str">
        <f>AE12&amp;AE13</f>
        <v>2024Принято органом регулирования</v>
      </c>
      <c r="AF14" s="126" t="str">
        <f>AF12&amp;AF13</f>
        <v>2024Факт по данным организации</v>
      </c>
      <c r="AG14" s="126" t="str">
        <f>AG12&amp;AG13</f>
        <v>2024Факт, принятый органом регулирования</v>
      </c>
      <c r="AH14" s="126" t="str">
        <f>AH12&amp;AH13</f>
        <v>2024отклонение факта по данным организации к факту принятому органом регулирования</v>
      </c>
      <c r="BI14" s="126"/>
      <c r="BJ14" s="126"/>
      <c r="BK14" s="126"/>
      <c r="BL14" s="126"/>
      <c r="BM14" s="126"/>
      <c r="BS14" s="1029"/>
    </row>
    <row r="15" spans="1:71" s="178" customFormat="1" ht="12" hidden="1" customHeight="1">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29"/>
    </row>
    <row r="16" spans="1:71" s="178" customFormat="1" ht="12" hidden="1" customHeight="1">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29"/>
    </row>
    <row r="17" spans="1:71" s="178" customFormat="1" ht="12" hidden="1" customHeight="1">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S17" s="1029"/>
    </row>
    <row r="18" spans="1:71" s="178" customFormat="1" ht="12" hidden="1" customHeight="1">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BI18" s="126"/>
      <c r="BJ18" s="126"/>
      <c r="BK18" s="126"/>
      <c r="BL18" s="126"/>
      <c r="BM18" s="126"/>
      <c r="BS18" s="1029"/>
    </row>
    <row r="19" spans="1:71" s="178" customFormat="1" ht="12" hidden="1" customHeight="1">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BS19" s="1029"/>
    </row>
    <row r="20" spans="1:71" s="178" customFormat="1" ht="11.1" hidden="1" customHeight="1">
      <c r="B20" s="667"/>
      <c r="E20" s="676">
        <v>11.4</v>
      </c>
      <c r="G20" s="180"/>
      <c r="H20" s="180"/>
      <c r="I20" s="180"/>
      <c r="J20" s="180"/>
      <c r="K20" s="180"/>
      <c r="L20" s="180"/>
      <c r="M20" s="180"/>
      <c r="N20" s="180"/>
      <c r="O20" s="180"/>
      <c r="P20" s="180"/>
      <c r="Q20" s="143"/>
      <c r="R20" s="143"/>
      <c r="S20" s="180"/>
      <c r="T20" s="126"/>
      <c r="U20" s="126"/>
      <c r="V20" s="126"/>
      <c r="W20" s="126"/>
      <c r="X20" s="126"/>
      <c r="Y20" s="126"/>
      <c r="Z20" s="126"/>
      <c r="AC20" s="182"/>
      <c r="BS20" s="1029"/>
    </row>
    <row r="21" spans="1:71" ht="14.65" customHeight="1">
      <c r="E21" s="676">
        <v>15</v>
      </c>
      <c r="AA21" s="699"/>
      <c r="AB21" s="180"/>
      <c r="AC21" s="343" t="str" cm="1">
        <f t="array" ref="AC21">tpl_title</f>
        <v>Кемеровская область / 2026 / ОАО «СКЭК» (ИНН:4205153492, КПП:420501001) / ДПР: 2021-2030</v>
      </c>
      <c r="AD21" s="180"/>
    </row>
    <row r="22" spans="1:71" s="1156" customFormat="1" ht="19.5" customHeight="1">
      <c r="A22" s="133"/>
      <c r="B22" s="667"/>
      <c r="C22" s="133"/>
      <c r="D22" s="133"/>
      <c r="E22" s="676">
        <v>20.100000000000001</v>
      </c>
      <c r="F22" s="133"/>
      <c r="Q22" s="143"/>
      <c r="R22" s="143"/>
      <c r="T22" s="129"/>
      <c r="U22" s="129"/>
      <c r="V22" s="129"/>
      <c r="W22" s="129"/>
      <c r="X22" s="129"/>
      <c r="Y22" s="129"/>
      <c r="Z22" s="129"/>
      <c r="AB22" s="333" t="s">
        <v>57</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S22" s="1019"/>
    </row>
    <row r="23" spans="1:71" s="1156" customFormat="1" ht="9.9499999999999993" customHeight="1">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1019"/>
    </row>
    <row r="24" spans="1:71" s="179" customFormat="1" ht="24.2" customHeight="1">
      <c r="A24" s="182"/>
      <c r="B24" s="671"/>
      <c r="C24" s="182"/>
      <c r="D24" s="182"/>
      <c r="E24" s="682">
        <v>24.8</v>
      </c>
      <c r="F24" s="182"/>
      <c r="Q24" s="788"/>
      <c r="R24" s="788"/>
      <c r="T24" s="122"/>
      <c r="U24" s="122"/>
      <c r="V24" s="122"/>
      <c r="W24" s="122"/>
      <c r="X24" s="122"/>
      <c r="Y24" s="122"/>
      <c r="Z24" s="122"/>
      <c r="AB24" s="1829" t="s">
        <v>396</v>
      </c>
      <c r="AC24" s="1829" t="s">
        <v>475</v>
      </c>
      <c r="AD24" s="1829" t="s">
        <v>476</v>
      </c>
      <c r="AE24" s="120" t="str">
        <f>god-2&amp;" год"</f>
        <v>2024 год</v>
      </c>
      <c r="AF24" s="120" t="str">
        <f>god-2&amp;" год"</f>
        <v>2024 год</v>
      </c>
      <c r="AG24" s="120" t="str">
        <f>god-2&amp;" год"</f>
        <v>2024 год</v>
      </c>
      <c r="AH24" s="120" t="str">
        <f>god-2&amp;" год"</f>
        <v>2024 год</v>
      </c>
      <c r="AI24" s="120" t="str">
        <f>god-1&amp;" год"</f>
        <v>2025 год</v>
      </c>
      <c r="AJ24" s="1141" t="str">
        <f>god&amp;" год"</f>
        <v>2026 год</v>
      </c>
      <c r="AK24" s="1141" t="str">
        <f>god+1&amp;" год"</f>
        <v>2027 год</v>
      </c>
      <c r="AL24" s="1141" t="str">
        <f>god+2&amp;" год"</f>
        <v>2028 год</v>
      </c>
      <c r="AM24" s="1141" t="str">
        <f>god+3&amp;" год"</f>
        <v>2029 год</v>
      </c>
      <c r="AN24" s="1141" t="str">
        <f>god+4&amp;" год"</f>
        <v>2030 год</v>
      </c>
      <c r="AO24" s="1141" t="str">
        <f>god+5&amp;" год"</f>
        <v>2031 год</v>
      </c>
      <c r="AP24" s="1141" t="str">
        <f>god+6&amp;" год"</f>
        <v>2032 год</v>
      </c>
      <c r="AQ24" s="1141" t="str">
        <f>god+7&amp;" год"</f>
        <v>2033 год</v>
      </c>
      <c r="AR24" s="1141" t="str">
        <f>god+8&amp;" год"</f>
        <v>2034 год</v>
      </c>
      <c r="AS24" s="1141"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826" t="s">
        <v>1346</v>
      </c>
      <c r="BO24" s="1826" t="s">
        <v>630</v>
      </c>
      <c r="BP24" s="1826" t="s">
        <v>1347</v>
      </c>
      <c r="BQ24" s="182"/>
      <c r="BS24" s="1029"/>
    </row>
    <row r="25" spans="1:71" s="179" customFormat="1" ht="44.65" customHeight="1">
      <c r="A25" s="182"/>
      <c r="B25" s="671"/>
      <c r="C25" s="182"/>
      <c r="D25" s="182"/>
      <c r="E25" s="682">
        <v>45.8</v>
      </c>
      <c r="F25" s="182"/>
      <c r="Q25" s="788"/>
      <c r="R25" s="788"/>
      <c r="T25" s="122"/>
      <c r="U25" s="122"/>
      <c r="V25" s="122"/>
      <c r="W25" s="122"/>
      <c r="X25" s="122"/>
      <c r="Y25" s="122"/>
      <c r="Z25" s="122"/>
      <c r="AB25" s="1829"/>
      <c r="AC25" s="1829"/>
      <c r="AD25" s="1829"/>
      <c r="AE25" s="120" t="s">
        <v>412</v>
      </c>
      <c r="AF25" s="120" t="s">
        <v>631</v>
      </c>
      <c r="AG25" s="120" t="s">
        <v>632</v>
      </c>
      <c r="AH25" s="120" t="s">
        <v>1348</v>
      </c>
      <c r="AI25" s="120" t="s">
        <v>412</v>
      </c>
      <c r="AJ25" s="1142" t="s">
        <v>413</v>
      </c>
      <c r="AK25" s="1142" t="s">
        <v>413</v>
      </c>
      <c r="AL25" s="1142" t="s">
        <v>413</v>
      </c>
      <c r="AM25" s="1142" t="s">
        <v>413</v>
      </c>
      <c r="AN25" s="1142" t="s">
        <v>413</v>
      </c>
      <c r="AO25" s="1142" t="s">
        <v>413</v>
      </c>
      <c r="AP25" s="1142" t="s">
        <v>413</v>
      </c>
      <c r="AQ25" s="1142" t="s">
        <v>413</v>
      </c>
      <c r="AR25" s="1142" t="s">
        <v>413</v>
      </c>
      <c r="AS25" s="1142" t="s">
        <v>413</v>
      </c>
      <c r="AT25" s="351" t="s">
        <v>412</v>
      </c>
      <c r="AU25" s="351" t="s">
        <v>412</v>
      </c>
      <c r="AV25" s="351" t="s">
        <v>412</v>
      </c>
      <c r="AW25" s="351" t="s">
        <v>412</v>
      </c>
      <c r="AX25" s="351" t="s">
        <v>412</v>
      </c>
      <c r="AY25" s="351" t="s">
        <v>412</v>
      </c>
      <c r="AZ25" s="351" t="s">
        <v>412</v>
      </c>
      <c r="BA25" s="351" t="s">
        <v>412</v>
      </c>
      <c r="BB25" s="351" t="s">
        <v>412</v>
      </c>
      <c r="BC25" s="351" t="s">
        <v>412</v>
      </c>
      <c r="BD25" s="1826" t="s">
        <v>1349</v>
      </c>
      <c r="BE25" s="1826"/>
      <c r="BF25" s="1826"/>
      <c r="BG25" s="1826"/>
      <c r="BH25" s="1826"/>
      <c r="BI25" s="1826"/>
      <c r="BJ25" s="1826"/>
      <c r="BK25" s="1826"/>
      <c r="BL25" s="1826"/>
      <c r="BM25" s="1826"/>
      <c r="BN25" s="1826"/>
      <c r="BO25" s="1826"/>
      <c r="BP25" s="1826"/>
      <c r="BQ25" s="182"/>
      <c r="BS25" s="1029"/>
    </row>
    <row r="26" spans="1:71" s="179" customFormat="1" ht="16.5" hidden="1" customHeight="1">
      <c r="A26" s="182"/>
      <c r="B26" s="671"/>
      <c r="C26" s="182"/>
      <c r="D26" s="182"/>
      <c r="E26" s="682">
        <v>0</v>
      </c>
      <c r="F26" s="182"/>
      <c r="Q26" s="788"/>
      <c r="R26" s="788"/>
      <c r="T26" s="122"/>
      <c r="U26" s="122"/>
      <c r="V26" s="122"/>
      <c r="W26" s="122"/>
      <c r="X26" s="122"/>
      <c r="Y26" s="122"/>
      <c r="Z26" s="122"/>
      <c r="AB26" s="446"/>
      <c r="AC26" s="446"/>
      <c r="AD26" s="446"/>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Q26" s="182"/>
      <c r="BS26" s="1029"/>
    </row>
    <row r="27" spans="1:71" s="170" customFormat="1" ht="16.7" hidden="1" customHeight="1">
      <c r="E27" s="676">
        <v>17.100000000000001</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T27" s="687" t="b">
        <f>X27&gt;0</f>
        <v>0</v>
      </c>
      <c r="V27" s="126" t="s">
        <v>315</v>
      </c>
      <c r="X27" s="1726">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S27" s="1002"/>
    </row>
    <row r="28" spans="1:71" ht="16.7" hidden="1" customHeight="1">
      <c r="E28" s="676">
        <v>17.100000000000001</v>
      </c>
      <c r="F28" s="779" cm="1">
        <f t="array" aca="1" ref="F28" ca="1">OFFSET(G28,-1,-1)</f>
        <v>0</v>
      </c>
      <c r="G28" s="143" t="s">
        <v>545</v>
      </c>
      <c r="T28" s="687" t="b" cm="1">
        <f t="array" ref="T28">T27</f>
        <v>0</v>
      </c>
      <c r="X28" s="1726"/>
      <c r="Z28" s="1726"/>
      <c r="AB28" s="111" t="s">
        <v>341</v>
      </c>
      <c r="AC28" s="623" t="s">
        <v>1391</v>
      </c>
      <c r="AD28" s="111" t="s">
        <v>533</v>
      </c>
      <c r="AE28" s="516"/>
      <c r="AF28" s="514"/>
      <c r="AG28" s="514"/>
      <c r="AH28" s="514"/>
      <c r="AI28" s="73"/>
      <c r="AJ28" s="754">
        <f ca="1">SUMIFS(Сценарии!AE$27:AE$109,Сценарии!$F$27:$F$109,$F28,Сценарии!$G$27:$G$109,$G28)</f>
        <v>0</v>
      </c>
      <c r="AK28" s="754">
        <f ca="1">SUMIFS(Сценарии!AF$27:AF$109,Сценарии!$F$27:$F$109,$F28,Сценарии!$G$27:$G$109,$G28)</f>
        <v>0</v>
      </c>
      <c r="AL28" s="754">
        <f ca="1">SUMIFS(Сценарии!AG$27:AG$109,Сценарии!$F$27:$F$109,$F28,Сценарии!$G$27:$G$109,$G28)</f>
        <v>0</v>
      </c>
      <c r="AM28" s="754">
        <f ca="1">SUMIFS(Сценарии!AH$27:AH$109,Сценарии!$F$27:$F$109,$F28,Сценарии!$G$27:$G$109,$G28)</f>
        <v>0</v>
      </c>
      <c r="AN28" s="754">
        <f ca="1">SUMIFS(Сценарии!AI$27:AI$109,Сценарии!$F$27:$F$109,$F28,Сценарии!$G$27:$G$109,$G28)</f>
        <v>0</v>
      </c>
      <c r="AO28" s="754">
        <f ca="1">SUMIFS(Сценарии!AJ$27:AJ$109,Сценарии!$F$27:$F$109,$F28,Сценарии!$G$27:$G$109,$G28)</f>
        <v>0</v>
      </c>
      <c r="AP28" s="754">
        <f ca="1">SUMIFS(Сценарии!AK$27:AK$109,Сценарии!$F$27:$F$109,$F28,Сценарии!$G$27:$G$109,$G28)</f>
        <v>0</v>
      </c>
      <c r="AQ28" s="754">
        <f ca="1">SUMIFS(Сценарии!AL$27:AL$109,Сценарии!$F$27:$F$109,$F28,Сценарии!$G$27:$G$109,$G28)</f>
        <v>0</v>
      </c>
      <c r="AR28" s="754">
        <f ca="1">SUMIFS(Сценарии!AM$27:AM$109,Сценарии!$F$27:$F$109,$F28,Сценарии!$G$27:$G$109,$G28)</f>
        <v>0</v>
      </c>
      <c r="AS28" s="754">
        <f ca="1">SUMIFS(Сценарии!AN$27:AN$109,Сценарии!$F$27:$F$109,$F28,Сценарии!$G$27:$G$109,$G28)</f>
        <v>0</v>
      </c>
      <c r="AT28" s="754">
        <f ca="1">SUMIFS(Сценарии!AO$27:AO$109,Сценарии!$F$27:$F$109,$F28,Сценарии!$G$27:$G$109,$G28)</f>
        <v>0</v>
      </c>
      <c r="AU28" s="754">
        <f ca="1">SUMIFS(Сценарии!AP$27:AP$109,Сценарии!$F$27:$F$109,$F28,Сценарии!$G$27:$G$109,$G28)</f>
        <v>0</v>
      </c>
      <c r="AV28" s="754">
        <f ca="1">SUMIFS(Сценарии!AQ$27:AQ$109,Сценарии!$F$27:$F$109,$F28,Сценарии!$G$27:$G$109,$G28)</f>
        <v>0</v>
      </c>
      <c r="AW28" s="754">
        <f ca="1">SUMIFS(Сценарии!AR$27:AR$109,Сценарии!$F$27:$F$109,$F28,Сценарии!$G$27:$G$109,$G28)</f>
        <v>0</v>
      </c>
      <c r="AX28" s="754">
        <f ca="1">SUMIFS(Сценарии!AS$27:AS$109,Сценарии!$F$27:$F$109,$F28,Сценарии!$G$27:$G$109,$G28)</f>
        <v>0</v>
      </c>
      <c r="AY28" s="754">
        <f ca="1">SUMIFS(Сценарии!AT$27:AT$109,Сценарии!$F$27:$F$109,$F28,Сценарии!$G$27:$G$109,$G28)</f>
        <v>0</v>
      </c>
      <c r="AZ28" s="754">
        <f ca="1">SUMIFS(Сценарии!AU$27:AU$109,Сценарии!$F$27:$F$109,$F28,Сценарии!$G$27:$G$109,$G28)</f>
        <v>0</v>
      </c>
      <c r="BA28" s="754">
        <f ca="1">SUMIFS(Сценарии!AV$27:AV$109,Сценарии!$F$27:$F$109,$F28,Сценарии!$G$27:$G$109,$G28)</f>
        <v>0</v>
      </c>
      <c r="BB28" s="754">
        <f ca="1">SUMIFS(Сценарии!AW$27:AW$109,Сценарии!$F$27:$F$109,$F28,Сценарии!$G$27:$G$109,$G28)</f>
        <v>0</v>
      </c>
      <c r="BC28" s="754">
        <f ca="1">SUMIFS(Сценарии!AX$27:AX$109,Сценарии!$F$27:$F$109,$F28,Сценарии!$G$27:$G$109,$G28)</f>
        <v>0</v>
      </c>
      <c r="BD28" s="935"/>
      <c r="BE28" s="935"/>
      <c r="BF28" s="935"/>
      <c r="BG28" s="935"/>
      <c r="BH28" s="935"/>
      <c r="BI28" s="935"/>
      <c r="BJ28" s="935"/>
      <c r="BK28" s="935"/>
      <c r="BL28" s="935"/>
      <c r="BM28" s="935"/>
      <c r="BN28" s="28"/>
      <c r="BO28" s="28"/>
      <c r="BP28" s="28"/>
      <c r="BS28" s="1029" t="s">
        <v>1392</v>
      </c>
    </row>
    <row r="29" spans="1:71" s="183" customFormat="1" ht="16.7" hidden="1" customHeight="1">
      <c r="E29" s="676">
        <v>17.100000000000001</v>
      </c>
      <c r="F29" s="779" cm="1">
        <f t="array" aca="1" ref="F29" ca="1">OFFSET(G29,-1,-1)</f>
        <v>0</v>
      </c>
      <c r="G29" s="788" t="s">
        <v>535</v>
      </c>
      <c r="T29" s="687" t="b" cm="1">
        <f t="array" ref="T29">T28</f>
        <v>0</v>
      </c>
      <c r="X29" s="1822"/>
      <c r="Z29" s="1822"/>
      <c r="AB29" s="111" t="s">
        <v>348</v>
      </c>
      <c r="AC29" s="119" t="s">
        <v>1393</v>
      </c>
      <c r="AD29" s="111" t="s">
        <v>533</v>
      </c>
      <c r="AE29" s="516"/>
      <c r="AF29" s="514"/>
      <c r="AG29" s="514"/>
      <c r="AH29" s="514"/>
      <c r="AI29" s="73"/>
      <c r="AJ29" s="754">
        <f ca="1">SUMIFS(Сценарии!AE$27:AE$109,Сценарии!$F$27:$F$109,$F29,Сценарии!$G$27:$G$109,$G29)</f>
        <v>1</v>
      </c>
      <c r="AK29" s="754">
        <f ca="1">SUMIFS(Сценарии!AF$27:AF$109,Сценарии!$F$27:$F$109,$F29,Сценарии!$G$27:$G$109,$G29)</f>
        <v>1</v>
      </c>
      <c r="AL29" s="754">
        <f ca="1">SUMIFS(Сценарии!AG$27:AG$109,Сценарии!$F$27:$F$109,$F29,Сценарии!$G$27:$G$109,$G29)</f>
        <v>1</v>
      </c>
      <c r="AM29" s="754">
        <f ca="1">SUMIFS(Сценарии!AH$27:AH$109,Сценарии!$F$27:$F$109,$F29,Сценарии!$G$27:$G$109,$G29)</f>
        <v>1</v>
      </c>
      <c r="AN29" s="754">
        <f ca="1">SUMIFS(Сценарии!AI$27:AI$109,Сценарии!$F$27:$F$109,$F29,Сценарии!$G$27:$G$109,$G29)</f>
        <v>1</v>
      </c>
      <c r="AO29" s="754">
        <f ca="1">SUMIFS(Сценарии!AJ$27:AJ$109,Сценарии!$F$27:$F$109,$F29,Сценарии!$G$27:$G$109,$G29)</f>
        <v>1</v>
      </c>
      <c r="AP29" s="754">
        <f ca="1">SUMIFS(Сценарии!AK$27:AK$109,Сценарии!$F$27:$F$109,$F29,Сценарии!$G$27:$G$109,$G29)</f>
        <v>1</v>
      </c>
      <c r="AQ29" s="754">
        <f ca="1">SUMIFS(Сценарии!AL$27:AL$109,Сценарии!$F$27:$F$109,$F29,Сценарии!$G$27:$G$109,$G29)</f>
        <v>1</v>
      </c>
      <c r="AR29" s="754">
        <f ca="1">SUMIFS(Сценарии!AM$27:AM$109,Сценарии!$F$27:$F$109,$F29,Сценарии!$G$27:$G$109,$G29)</f>
        <v>1</v>
      </c>
      <c r="AS29" s="754">
        <f ca="1">SUMIFS(Сценарии!AN$27:AN$109,Сценарии!$F$27:$F$109,$F29,Сценарии!$G$27:$G$109,$G29)</f>
        <v>1</v>
      </c>
      <c r="AT29" s="934">
        <v>1</v>
      </c>
      <c r="AU29" s="934">
        <v>1</v>
      </c>
      <c r="AV29" s="934">
        <v>1</v>
      </c>
      <c r="AW29" s="934">
        <v>1</v>
      </c>
      <c r="AX29" s="934">
        <v>1</v>
      </c>
      <c r="AY29" s="73">
        <v>1</v>
      </c>
      <c r="AZ29" s="73">
        <v>1</v>
      </c>
      <c r="BA29" s="73">
        <v>1</v>
      </c>
      <c r="BB29" s="73">
        <v>1</v>
      </c>
      <c r="BC29" s="73">
        <v>1</v>
      </c>
      <c r="BD29" s="935"/>
      <c r="BE29" s="935"/>
      <c r="BF29" s="935"/>
      <c r="BG29" s="935"/>
      <c r="BH29" s="935"/>
      <c r="BI29" s="935"/>
      <c r="BJ29" s="935"/>
      <c r="BK29" s="935"/>
      <c r="BL29" s="935"/>
      <c r="BM29" s="935"/>
      <c r="BN29" s="28"/>
      <c r="BO29" s="28"/>
      <c r="BP29" s="28"/>
      <c r="BS29" s="1029" t="s">
        <v>1394</v>
      </c>
    </row>
    <row r="30" spans="1:71" ht="16.7" hidden="1" customHeight="1">
      <c r="E30" s="676">
        <v>17.100000000000001</v>
      </c>
      <c r="F30" s="779" cm="1">
        <f t="array" aca="1" ref="F30" ca="1">OFFSET(G30,-1,-1)</f>
        <v>0</v>
      </c>
      <c r="G30" s="143" t="s">
        <v>588</v>
      </c>
      <c r="T30" s="687" t="b" cm="1">
        <f t="array" ref="T30">T29</f>
        <v>0</v>
      </c>
      <c r="X30" s="1726"/>
      <c r="Z30" s="1726"/>
      <c r="AB30" s="111" t="s">
        <v>437</v>
      </c>
      <c r="AC30" s="119" t="s">
        <v>1395</v>
      </c>
      <c r="AD30" s="111"/>
      <c r="AE30" s="516"/>
      <c r="AF30" s="514"/>
      <c r="AG30" s="514"/>
      <c r="AH30" s="514"/>
      <c r="AI30" s="73"/>
      <c r="AJ30" s="754">
        <f ca="1">SUMIFS(Сценарии!AE$27:AE$109,Сценарии!$F$27:$F$109,$F30,Сценарии!$G$27:$G$109,$G30)</f>
        <v>0</v>
      </c>
      <c r="AK30" s="754">
        <f ca="1">SUMIFS(Сценарии!AF$27:AF$109,Сценарии!$F$27:$F$109,$F30,Сценарии!$G$27:$G$109,$G30)</f>
        <v>0</v>
      </c>
      <c r="AL30" s="754">
        <f ca="1">SUMIFS(Сценарии!AG$27:AG$109,Сценарии!$F$27:$F$109,$F30,Сценарии!$G$27:$G$109,$G30)</f>
        <v>0</v>
      </c>
      <c r="AM30" s="754">
        <f ca="1">SUMIFS(Сценарии!AH$27:AH$109,Сценарии!$F$27:$F$109,$F30,Сценарии!$G$27:$G$109,$G30)</f>
        <v>0</v>
      </c>
      <c r="AN30" s="754">
        <f ca="1">SUMIFS(Сценарии!AI$27:AI$109,Сценарии!$F$27:$F$109,$F30,Сценарии!$G$27:$G$109,$G30)</f>
        <v>0</v>
      </c>
      <c r="AO30" s="754">
        <f ca="1">SUMIFS(Сценарии!AJ$27:AJ$109,Сценарии!$F$27:$F$109,$F30,Сценарии!$G$27:$G$109,$G30)</f>
        <v>0</v>
      </c>
      <c r="AP30" s="754">
        <f ca="1">SUMIFS(Сценарии!AK$27:AK$109,Сценарии!$F$27:$F$109,$F30,Сценарии!$G$27:$G$109,$G30)</f>
        <v>0</v>
      </c>
      <c r="AQ30" s="754">
        <f ca="1">SUMIFS(Сценарии!AL$27:AL$109,Сценарии!$F$27:$F$109,$F30,Сценарии!$G$27:$G$109,$G30)</f>
        <v>0</v>
      </c>
      <c r="AR30" s="754">
        <f ca="1">SUMIFS(Сценарии!AM$27:AM$109,Сценарии!$F$27:$F$109,$F30,Сценарии!$G$27:$G$109,$G30)</f>
        <v>0</v>
      </c>
      <c r="AS30" s="754">
        <f ca="1">SUMIFS(Сценарии!AN$27:AN$109,Сценарии!$F$27:$F$109,$F30,Сценарии!$G$27:$G$109,$G30)</f>
        <v>0</v>
      </c>
      <c r="AT30" s="754">
        <f ca="1">SUMIFS(Сценарии!AO$27:AO$109,Сценарии!$F$27:$F$109,$F30,Сценарии!$G$27:$G$109,$G30)</f>
        <v>0</v>
      </c>
      <c r="AU30" s="754">
        <f ca="1">SUMIFS(Сценарии!AP$27:AP$109,Сценарии!$F$27:$F$109,$F30,Сценарии!$G$27:$G$109,$G30)</f>
        <v>0</v>
      </c>
      <c r="AV30" s="754">
        <f ca="1">SUMIFS(Сценарии!AQ$27:AQ$109,Сценарии!$F$27:$F$109,$F30,Сценарии!$G$27:$G$109,$G30)</f>
        <v>0</v>
      </c>
      <c r="AW30" s="754">
        <f ca="1">SUMIFS(Сценарии!AR$27:AR$109,Сценарии!$F$27:$F$109,$F30,Сценарии!$G$27:$G$109,$G30)</f>
        <v>0</v>
      </c>
      <c r="AX30" s="754">
        <f ca="1">SUMIFS(Сценарии!AS$27:AS$109,Сценарии!$F$27:$F$109,$F30,Сценарии!$G$27:$G$109,$G30)</f>
        <v>0</v>
      </c>
      <c r="AY30" s="754">
        <f ca="1">SUMIFS(Сценарии!AT$27:AT$109,Сценарии!$F$27:$F$109,$F30,Сценарии!$G$27:$G$109,$G30)</f>
        <v>0</v>
      </c>
      <c r="AZ30" s="754">
        <f ca="1">SUMIFS(Сценарии!AU$27:AU$109,Сценарии!$F$27:$F$109,$F30,Сценарии!$G$27:$G$109,$G30)</f>
        <v>0</v>
      </c>
      <c r="BA30" s="754">
        <f ca="1">SUMIFS(Сценарии!AV$27:AV$109,Сценарии!$F$27:$F$109,$F30,Сценарии!$G$27:$G$109,$G30)</f>
        <v>0</v>
      </c>
      <c r="BB30" s="754">
        <f ca="1">SUMIFS(Сценарии!AW$27:AW$109,Сценарии!$F$27:$F$109,$F30,Сценарии!$G$27:$G$109,$G30)</f>
        <v>0</v>
      </c>
      <c r="BC30" s="754">
        <f ca="1">SUMIFS(Сценарии!AX$27:AX$109,Сценарии!$F$27:$F$109,$F30,Сценарии!$G$27:$G$109,$G30)</f>
        <v>0</v>
      </c>
      <c r="BD30" s="935"/>
      <c r="BE30" s="935"/>
      <c r="BF30" s="935"/>
      <c r="BG30" s="935"/>
      <c r="BH30" s="935"/>
      <c r="BI30" s="935"/>
      <c r="BJ30" s="935"/>
      <c r="BK30" s="935"/>
      <c r="BL30" s="935"/>
      <c r="BM30" s="935"/>
      <c r="BN30" s="28"/>
      <c r="BO30" s="28"/>
      <c r="BP30" s="28"/>
      <c r="BS30" s="1029" t="s">
        <v>1396</v>
      </c>
    </row>
    <row r="31" spans="1:71" ht="29.25" hidden="1" customHeight="1">
      <c r="E31" s="676">
        <v>30</v>
      </c>
      <c r="F31" s="779" cm="1">
        <f t="array" aca="1" ref="F31" ca="1">OFFSET(G31,-1,-1)</f>
        <v>0</v>
      </c>
      <c r="G31" s="143" t="s">
        <v>488</v>
      </c>
      <c r="T31" s="687" t="b" cm="1">
        <f t="array" ref="T31">T30</f>
        <v>0</v>
      </c>
      <c r="X31" s="1726"/>
      <c r="Z31" s="1726"/>
      <c r="AB31" s="111" t="s">
        <v>744</v>
      </c>
      <c r="AC31" s="116" t="s">
        <v>1397</v>
      </c>
      <c r="AD31" s="111" t="s">
        <v>1398</v>
      </c>
      <c r="AE31" s="516"/>
      <c r="AF31" s="514"/>
      <c r="AG31" s="514"/>
      <c r="AH31" s="514"/>
      <c r="AI31" s="74">
        <f ca="1">SUMIFS('Расчет УЕ'!AE$26:AE$88,'Расчет УЕ'!$F$26:$F$88,$F31,'Расчет УЕ'!$G$26:$G$88,$G31)</f>
        <v>0</v>
      </c>
      <c r="AJ31" s="899">
        <f ca="1">SUMIFS('Расчет УЕ'!AF$26:AF$88,'Расчет УЕ'!$F$26:$F$88,$F31,'Расчет УЕ'!$G$26:$G$88,$G31)</f>
        <v>0</v>
      </c>
      <c r="AK31" s="899">
        <f ca="1">SUMIFS('Расчет УЕ'!AG$26:AG$88,'Расчет УЕ'!$F$26:$F$88,$F31,'Расчет УЕ'!$G$26:$G$88,$G31)</f>
        <v>0</v>
      </c>
      <c r="AL31" s="754">
        <f ca="1">SUMIFS('Расчет УЕ'!AH$26:AH$88,'Расчет УЕ'!$F$26:$F$88,$F31,'Расчет УЕ'!$G$26:$G$88,$G31)</f>
        <v>0</v>
      </c>
      <c r="AM31" s="754">
        <f ca="1">SUMIFS('Расчет УЕ'!AI$26:AI$88,'Расчет УЕ'!$F$26:$F$88,$F31,'Расчет УЕ'!$G$26:$G$88,$G31)</f>
        <v>0</v>
      </c>
      <c r="AN31" s="754">
        <f ca="1">SUMIFS('Расчет УЕ'!AJ$26:AJ$88,'Расчет УЕ'!$F$26:$F$88,$F31,'Расчет УЕ'!$G$26:$G$88,$G31)</f>
        <v>0</v>
      </c>
      <c r="AO31" s="754">
        <f ca="1">SUMIFS('Расчет УЕ'!AK$26:AK$88,'Расчет УЕ'!$F$26:$F$88,$F31,'Расчет УЕ'!$G$26:$G$88,$G31)</f>
        <v>0</v>
      </c>
      <c r="AP31" s="754">
        <f ca="1">SUMIFS('Расчет УЕ'!AL$26:AL$88,'Расчет УЕ'!$F$26:$F$88,$F31,'Расчет УЕ'!$G$26:$G$88,$G31)</f>
        <v>0</v>
      </c>
      <c r="AQ31" s="754">
        <f ca="1">SUMIFS('Расчет УЕ'!AM$26:AM$88,'Расчет УЕ'!$F$26:$F$88,$F31,'Расчет УЕ'!$G$26:$G$88,$G31)</f>
        <v>0</v>
      </c>
      <c r="AR31" s="754">
        <f ca="1">SUMIFS('Расчет УЕ'!AN$26:AN$88,'Расчет УЕ'!$F$26:$F$88,$F31,'Расчет УЕ'!$G$26:$G$88,$G31)</f>
        <v>0</v>
      </c>
      <c r="AS31" s="754">
        <f ca="1">SUMIFS('Расчет УЕ'!AO$26:AO$88,'Расчет УЕ'!$F$26:$F$88,$F31,'Расчет УЕ'!$G$26:$G$88,$G31)</f>
        <v>0</v>
      </c>
      <c r="AT31" s="754">
        <f ca="1">SUMIFS('Расчет УЕ'!AP$26:AP$88,'Расчет УЕ'!$F$26:$F$88,$F31,'Расчет УЕ'!$G$26:$G$88,$G31)</f>
        <v>0</v>
      </c>
      <c r="AU31" s="754">
        <f ca="1">SUMIFS('Расчет УЕ'!AQ$26:AQ$88,'Расчет УЕ'!$F$26:$F$88,$F31,'Расчет УЕ'!$G$26:$G$88,$G31)</f>
        <v>0</v>
      </c>
      <c r="AV31" s="754">
        <f ca="1">SUMIFS('Расчет УЕ'!AR$26:AR$88,'Расчет УЕ'!$F$26:$F$88,$F31,'Расчет УЕ'!$G$26:$G$88,$G31)</f>
        <v>0</v>
      </c>
      <c r="AW31" s="754">
        <f ca="1">SUMIFS('Расчет УЕ'!AS$26:AS$88,'Расчет УЕ'!$F$26:$F$88,$F31,'Расчет УЕ'!$G$26:$G$88,$G31)</f>
        <v>0</v>
      </c>
      <c r="AX31" s="754">
        <f ca="1">SUMIFS('Расчет УЕ'!AT$26:AT$88,'Расчет УЕ'!$F$26:$F$88,$F31,'Расчет УЕ'!$G$26:$G$88,$G31)</f>
        <v>0</v>
      </c>
      <c r="AY31" s="754">
        <f ca="1">SUMIFS('Расчет УЕ'!AU$26:AU$88,'Расчет УЕ'!$F$26:$F$88,$F31,'Расчет УЕ'!$G$26:$G$88,$G31)</f>
        <v>0</v>
      </c>
      <c r="AZ31" s="754">
        <f ca="1">SUMIFS('Расчет УЕ'!AV$26:AV$88,'Расчет УЕ'!$F$26:$F$88,$F31,'Расчет УЕ'!$G$26:$G$88,$G31)</f>
        <v>0</v>
      </c>
      <c r="BA31" s="754">
        <f ca="1">SUMIFS('Расчет УЕ'!AW$26:AW$88,'Расчет УЕ'!$F$26:$F$88,$F31,'Расчет УЕ'!$G$26:$G$88,$G31)</f>
        <v>0</v>
      </c>
      <c r="BB31" s="754">
        <f ca="1">SUMIFS('Расчет УЕ'!AX$26:AX$88,'Расчет УЕ'!$F$26:$F$88,$F31,'Расчет УЕ'!$G$26:$G$88,$G31)</f>
        <v>0</v>
      </c>
      <c r="BC31" s="754">
        <f ca="1">SUMIFS('Расчет УЕ'!AY$26:AY$88,'Расчет УЕ'!$F$26:$F$88,$F31,'Расчет УЕ'!$G$26:$G$88,$G31)</f>
        <v>0</v>
      </c>
      <c r="BD31" s="935"/>
      <c r="BE31" s="935"/>
      <c r="BF31" s="935"/>
      <c r="BG31" s="935"/>
      <c r="BH31" s="935"/>
      <c r="BI31" s="935"/>
      <c r="BJ31" s="935"/>
      <c r="BK31" s="935"/>
      <c r="BL31" s="935"/>
      <c r="BM31" s="935"/>
      <c r="BN31" s="28"/>
      <c r="BO31" s="28"/>
      <c r="BP31" s="28"/>
      <c r="BS31" s="1029" t="s">
        <v>1399</v>
      </c>
    </row>
    <row r="32" spans="1:71" ht="16.7" hidden="1" customHeight="1">
      <c r="E32" s="676">
        <v>17.100000000000001</v>
      </c>
      <c r="F32" s="779" cm="1">
        <f t="array" aca="1" ref="F32" ca="1">OFFSET(G32,-1,-1)</f>
        <v>0</v>
      </c>
      <c r="G32" s="143" t="s">
        <v>483</v>
      </c>
      <c r="T32" s="687" t="b" cm="1">
        <f t="array" ref="T32">T31</f>
        <v>0</v>
      </c>
      <c r="X32" s="1726"/>
      <c r="Z32" s="1726"/>
      <c r="AB32" s="111" t="s">
        <v>747</v>
      </c>
      <c r="AC32" s="116" t="s">
        <v>1400</v>
      </c>
      <c r="AD32" s="111" t="s">
        <v>725</v>
      </c>
      <c r="AE32" s="516"/>
      <c r="AF32" s="514"/>
      <c r="AG32" s="514"/>
      <c r="AH32" s="896"/>
      <c r="AI32" s="935"/>
      <c r="AJ32" s="754">
        <f ca="1">SUMIFS('Расчет УЕ'!AF$26:AF$88,'Расчет УЕ'!$F$26:$F$88,$F32,'Расчет УЕ'!$G$26:$G$88,$G32)</f>
        <v>0</v>
      </c>
      <c r="AK32" s="754">
        <f ca="1">SUMIFS('Расчет УЕ'!AG$26:AG$88,'Расчет УЕ'!$F$26:$F$88,$F32,'Расчет УЕ'!$G$26:$G$88,$G32)</f>
        <v>0</v>
      </c>
      <c r="AL32" s="898">
        <f ca="1">SUMIFS('Расчет УЕ'!AH$26:AH$88,'Расчет УЕ'!$F$26:$F$88,$F32,'Расчет УЕ'!$G$26:$G$88,$G32)</f>
        <v>0</v>
      </c>
      <c r="AM32" s="754">
        <f ca="1">SUMIFS('Расчет УЕ'!AI$26:AI$88,'Расчет УЕ'!$F$26:$F$88,$F32,'Расчет УЕ'!$G$26:$G$88,$G32)</f>
        <v>0</v>
      </c>
      <c r="AN32" s="754">
        <f ca="1">SUMIFS('Расчет УЕ'!AJ$26:AJ$88,'Расчет УЕ'!$F$26:$F$88,$F32,'Расчет УЕ'!$G$26:$G$88,$G32)</f>
        <v>0</v>
      </c>
      <c r="AO32" s="754">
        <f ca="1">SUMIFS('Расчет УЕ'!AK$26:AK$88,'Расчет УЕ'!$F$26:$F$88,$F32,'Расчет УЕ'!$G$26:$G$88,$G32)</f>
        <v>0</v>
      </c>
      <c r="AP32" s="754">
        <f ca="1">SUMIFS('Расчет УЕ'!AL$26:AL$88,'Расчет УЕ'!$F$26:$F$88,$F32,'Расчет УЕ'!$G$26:$G$88,$G32)</f>
        <v>0</v>
      </c>
      <c r="AQ32" s="754">
        <f ca="1">SUMIFS('Расчет УЕ'!AM$26:AM$88,'Расчет УЕ'!$F$26:$F$88,$F32,'Расчет УЕ'!$G$26:$G$88,$G32)</f>
        <v>0</v>
      </c>
      <c r="AR32" s="754">
        <f ca="1">SUMIFS('Расчет УЕ'!AN$26:AN$88,'Расчет УЕ'!$F$26:$F$88,$F32,'Расчет УЕ'!$G$26:$G$88,$G32)</f>
        <v>0</v>
      </c>
      <c r="AS32" s="754">
        <f ca="1">SUMIFS('Расчет УЕ'!AO$26:AO$88,'Расчет УЕ'!$F$26:$F$88,$F32,'Расчет УЕ'!$G$26:$G$88,$G32)</f>
        <v>0</v>
      </c>
      <c r="AT32" s="754">
        <f ca="1">SUMIFS('Расчет УЕ'!AP$26:AP$88,'Расчет УЕ'!$F$26:$F$88,$F32,'Расчет УЕ'!$G$26:$G$88,$G32)</f>
        <v>0</v>
      </c>
      <c r="AU32" s="754">
        <f ca="1">SUMIFS('Расчет УЕ'!AQ$26:AQ$88,'Расчет УЕ'!$F$26:$F$88,$F32,'Расчет УЕ'!$G$26:$G$88,$G32)</f>
        <v>0</v>
      </c>
      <c r="AV32" s="754">
        <f ca="1">SUMIFS('Расчет УЕ'!AR$26:AR$88,'Расчет УЕ'!$F$26:$F$88,$F32,'Расчет УЕ'!$G$26:$G$88,$G32)</f>
        <v>0</v>
      </c>
      <c r="AW32" s="754">
        <f ca="1">SUMIFS('Расчет УЕ'!AS$26:AS$88,'Расчет УЕ'!$F$26:$F$88,$F32,'Расчет УЕ'!$G$26:$G$88,$G32)</f>
        <v>0</v>
      </c>
      <c r="AX32" s="754">
        <f ca="1">SUMIFS('Расчет УЕ'!AT$26:AT$88,'Расчет УЕ'!$F$26:$F$88,$F32,'Расчет УЕ'!$G$26:$G$88,$G32)</f>
        <v>0</v>
      </c>
      <c r="AY32" s="754">
        <f ca="1">SUMIFS('Расчет УЕ'!AU$26:AU$88,'Расчет УЕ'!$F$26:$F$88,$F32,'Расчет УЕ'!$G$26:$G$88,$G32)</f>
        <v>0</v>
      </c>
      <c r="AZ32" s="754">
        <f ca="1">SUMIFS('Расчет УЕ'!AV$26:AV$88,'Расчет УЕ'!$F$26:$F$88,$F32,'Расчет УЕ'!$G$26:$G$88,$G32)</f>
        <v>0</v>
      </c>
      <c r="BA32" s="754">
        <f ca="1">SUMIFS('Расчет УЕ'!AW$26:AW$88,'Расчет УЕ'!$F$26:$F$88,$F32,'Расчет УЕ'!$G$26:$G$88,$G32)</f>
        <v>0</v>
      </c>
      <c r="BB32" s="754">
        <f ca="1">SUMIFS('Расчет УЕ'!AX$26:AX$88,'Расчет УЕ'!$F$26:$F$88,$F32,'Расчет УЕ'!$G$26:$G$88,$G32)</f>
        <v>0</v>
      </c>
      <c r="BC32" s="754">
        <f ca="1">SUMIFS('Расчет УЕ'!AY$26:AY$88,'Расчет УЕ'!$F$26:$F$88,$F32,'Расчет УЕ'!$G$26:$G$88,$G32)</f>
        <v>0</v>
      </c>
      <c r="BD32" s="935"/>
      <c r="BE32" s="935"/>
      <c r="BF32" s="935"/>
      <c r="BG32" s="935"/>
      <c r="BH32" s="935"/>
      <c r="BI32" s="935"/>
      <c r="BJ32" s="935"/>
      <c r="BK32" s="935"/>
      <c r="BL32" s="935"/>
      <c r="BM32" s="935"/>
      <c r="BN32" s="28"/>
      <c r="BO32" s="28"/>
      <c r="BP32" s="28"/>
      <c r="BS32" s="1029" t="s">
        <v>1401</v>
      </c>
    </row>
    <row r="33" spans="1:71" ht="16.7" hidden="1" customHeight="1">
      <c r="E33" s="676">
        <v>17.100000000000001</v>
      </c>
      <c r="F33" s="779" cm="1">
        <f t="array" aca="1" ref="F33" ca="1">OFFSET(G33,-1,-1)</f>
        <v>0</v>
      </c>
      <c r="G33" s="620" t="s">
        <v>592</v>
      </c>
      <c r="T33" s="687" t="b" cm="1">
        <f t="array" ref="T33">T32</f>
        <v>0</v>
      </c>
      <c r="X33" s="1726"/>
      <c r="Z33" s="1726"/>
      <c r="AB33" s="111" t="s">
        <v>440</v>
      </c>
      <c r="AC33" s="119" t="s">
        <v>1402</v>
      </c>
      <c r="AD33" s="111"/>
      <c r="AE33" s="619"/>
      <c r="AF33" s="536"/>
      <c r="AG33" s="536"/>
      <c r="AH33" s="537"/>
      <c r="AI33" s="935"/>
      <c r="AJ33" s="754">
        <f ca="1">SUMIFS(Сценарии!AE$27:AE$109,Сценарии!$F$27:$F$109,$F33,Сценарии!$G$27:$G$109,$G33)</f>
        <v>0.75</v>
      </c>
      <c r="AK33" s="754">
        <f ca="1">SUMIFS(Сценарии!AF$27:AF$109,Сценарии!$F$27:$F$109,$F33,Сценарии!$G$27:$G$109,$G33)</f>
        <v>0.75</v>
      </c>
      <c r="AL33" s="754">
        <f ca="1">SUMIFS(Сценарии!AG$27:AG$109,Сценарии!$F$27:$F$109,$F33,Сценарии!$G$27:$G$109,$G33)</f>
        <v>0.75</v>
      </c>
      <c r="AM33" s="754">
        <f ca="1">SUMIFS(Сценарии!AH$27:AH$109,Сценарии!$F$27:$F$109,$F33,Сценарии!$G$27:$G$109,$G33)</f>
        <v>0.75</v>
      </c>
      <c r="AN33" s="754">
        <f ca="1">SUMIFS(Сценарии!AI$27:AI$109,Сценарии!$F$27:$F$109,$F33,Сценарии!$G$27:$G$109,$G33)</f>
        <v>0.75</v>
      </c>
      <c r="AO33" s="754">
        <f ca="1">SUMIFS(Сценарии!AJ$27:AJ$109,Сценарии!$F$27:$F$109,$F33,Сценарии!$G$27:$G$109,$G33)</f>
        <v>0.75</v>
      </c>
      <c r="AP33" s="754">
        <f ca="1">SUMIFS(Сценарии!AK$27:AK$109,Сценарии!$F$27:$F$109,$F33,Сценарии!$G$27:$G$109,$G33)</f>
        <v>0.75</v>
      </c>
      <c r="AQ33" s="754">
        <f ca="1">SUMIFS(Сценарии!AL$27:AL$109,Сценарии!$F$27:$F$109,$F33,Сценарии!$G$27:$G$109,$G33)</f>
        <v>0.75</v>
      </c>
      <c r="AR33" s="754">
        <f ca="1">SUMIFS(Сценарии!AM$27:AM$109,Сценарии!$F$27:$F$109,$F33,Сценарии!$G$27:$G$109,$G33)</f>
        <v>0.75</v>
      </c>
      <c r="AS33" s="754">
        <f ca="1">SUMIFS(Сценарии!AN$27:AN$109,Сценарии!$F$27:$F$109,$F33,Сценарии!$G$27:$G$109,$G33)</f>
        <v>0.75</v>
      </c>
      <c r="AT33" s="754">
        <f ca="1">SUMIFS(Сценарии!AO$27:AO$109,Сценарии!$F$27:$F$109,$F33,Сценарии!$G$27:$G$109,$G33)</f>
        <v>0.75</v>
      </c>
      <c r="AU33" s="754">
        <f ca="1">SUMIFS(Сценарии!AP$27:AP$109,Сценарии!$F$27:$F$109,$F33,Сценарии!$G$27:$G$109,$G33)</f>
        <v>0.75</v>
      </c>
      <c r="AV33" s="754">
        <f ca="1">SUMIFS(Сценарии!AQ$27:AQ$109,Сценарии!$F$27:$F$109,$F33,Сценарии!$G$27:$G$109,$G33)</f>
        <v>0.75</v>
      </c>
      <c r="AW33" s="754">
        <f ca="1">SUMIFS(Сценарии!AR$27:AR$109,Сценарии!$F$27:$F$109,$F33,Сценарии!$G$27:$G$109,$G33)</f>
        <v>0.75</v>
      </c>
      <c r="AX33" s="754">
        <f ca="1">SUMIFS(Сценарии!AS$27:AS$109,Сценарии!$F$27:$F$109,$F33,Сценарии!$G$27:$G$109,$G33)</f>
        <v>0.75</v>
      </c>
      <c r="AY33" s="754">
        <f ca="1">SUMIFS(Сценарии!AT$27:AT$109,Сценарии!$F$27:$F$109,$F33,Сценарии!$G$27:$G$109,$G33)</f>
        <v>0.75</v>
      </c>
      <c r="AZ33" s="754">
        <f ca="1">SUMIFS(Сценарии!AU$27:AU$109,Сценарии!$F$27:$F$109,$F33,Сценарии!$G$27:$G$109,$G33)</f>
        <v>0.75</v>
      </c>
      <c r="BA33" s="754">
        <f ca="1">SUMIFS(Сценарии!AV$27:AV$109,Сценарии!$F$27:$F$109,$F33,Сценарии!$G$27:$G$109,$G33)</f>
        <v>0.75</v>
      </c>
      <c r="BB33" s="754">
        <f ca="1">SUMIFS(Сценарии!AW$27:AW$109,Сценарии!$F$27:$F$109,$F33,Сценарии!$G$27:$G$109,$G33)</f>
        <v>0.75</v>
      </c>
      <c r="BC33" s="754">
        <f ca="1">SUMIFS(Сценарии!AX$27:AX$109,Сценарии!$F$27:$F$109,$F33,Сценарии!$G$27:$G$109,$G33)</f>
        <v>0.75</v>
      </c>
      <c r="BD33" s="936"/>
      <c r="BE33" s="936"/>
      <c r="BF33" s="936"/>
      <c r="BG33" s="936"/>
      <c r="BH33" s="936"/>
      <c r="BI33" s="935"/>
      <c r="BJ33" s="935"/>
      <c r="BK33" s="935"/>
      <c r="BL33" s="935"/>
      <c r="BM33" s="935"/>
      <c r="BN33" s="28"/>
      <c r="BO33" s="28"/>
      <c r="BP33" s="28"/>
      <c r="BS33" s="1029" t="s">
        <v>1403</v>
      </c>
    </row>
    <row r="34" spans="1:71" ht="16.7" hidden="1" customHeight="1">
      <c r="E34" s="676">
        <v>17.100000000000001</v>
      </c>
      <c r="F34" s="779" cm="1">
        <f t="array" aca="1" ref="F34" ca="1">OFFSET(G34,-1,-1)</f>
        <v>0</v>
      </c>
      <c r="G34" s="620" t="s">
        <v>1350</v>
      </c>
      <c r="K34" s="180" t="str">
        <f ca="1">F34&amp;"komm"</f>
        <v>0komm</v>
      </c>
      <c r="L34" s="179" cm="1">
        <f t="array" ref="L34">BO34</f>
        <v>0</v>
      </c>
      <c r="T34" s="687" t="b" cm="1">
        <f t="array" ref="T34">T33</f>
        <v>0</v>
      </c>
      <c r="X34" s="1726"/>
      <c r="Z34" s="1726"/>
      <c r="AB34" s="535" t="s">
        <v>443</v>
      </c>
      <c r="AC34" s="624" t="s">
        <v>1404</v>
      </c>
      <c r="AD34" s="564" t="s">
        <v>839</v>
      </c>
      <c r="AE34" s="518" cm="1">
        <f t="array" aca="1" ref="AE34" ca="1">'Операционные (5.1)'!AE28</f>
        <v>0</v>
      </c>
      <c r="AF34" s="518" cm="1">
        <f t="array" aca="1" ref="AF34" ca="1">'Операционные (5.1)'!AF28</f>
        <v>0</v>
      </c>
      <c r="AG34" s="518" cm="1">
        <f t="array" aca="1" ref="AG34" ca="1">'Операционные (5.1)'!AG28</f>
        <v>0</v>
      </c>
      <c r="AH34" s="751" cm="1">
        <f t="array" aca="1" ref="AH34" ca="1">'Операционные (5.1)'!AH28</f>
        <v>0</v>
      </c>
      <c r="AI34" s="518">
        <f ca="1">SUMIFS('Операционные (5.1)'!AI$26:AI$103,'Операционные (5.1)'!$F$26:$F$103,$F34,'Операционные (5.1)'!$G$26:$G$103,$G34)</f>
        <v>0</v>
      </c>
      <c r="AJ34" s="625">
        <f ca="1">IF(god=first_year,SUMIFS('Операционные (5.1)'!AJ$26:AJ$103,'Операционные (5.1)'!$F$26:$F$103,$F34,'Операционные (5.1)'!$G$26:$G$103,$G34),AI34*AJ35)</f>
        <v>0</v>
      </c>
      <c r="AK34" s="255">
        <f t="shared" ref="AK34:AS34" ca="1" si="2">AJ34*AK35</f>
        <v>0</v>
      </c>
      <c r="AL34" s="1128">
        <f t="shared" ca="1" si="2"/>
        <v>0</v>
      </c>
      <c r="AM34" s="255">
        <f t="shared" ca="1" si="2"/>
        <v>0</v>
      </c>
      <c r="AN34" s="255">
        <f t="shared" ca="1" si="2"/>
        <v>0</v>
      </c>
      <c r="AO34" s="255">
        <f t="shared" ca="1" si="2"/>
        <v>0</v>
      </c>
      <c r="AP34" s="255">
        <f t="shared" ca="1" si="2"/>
        <v>0</v>
      </c>
      <c r="AQ34" s="255">
        <f t="shared" ca="1" si="2"/>
        <v>0</v>
      </c>
      <c r="AR34" s="255">
        <f t="shared" ca="1" si="2"/>
        <v>0</v>
      </c>
      <c r="AS34" s="255">
        <f t="shared" ca="1" si="2"/>
        <v>0</v>
      </c>
      <c r="AT34" s="1129">
        <f ca="1">IF(god=first_year,SUMIFS('Операционные (5.1)'!AK$26:AK$103,'Операционные (5.1)'!$F$26:$F$103,$F34,'Операционные (5.1)'!$G$26:$G$103,$G34),AI34*AT35)</f>
        <v>0</v>
      </c>
      <c r="AU34" s="255">
        <f t="shared" ref="AU34:BC34" ca="1" si="3">AT34*AU35</f>
        <v>0</v>
      </c>
      <c r="AV34" s="255">
        <f t="shared" ca="1" si="3"/>
        <v>0</v>
      </c>
      <c r="AW34" s="255">
        <f t="shared" ca="1" si="3"/>
        <v>0</v>
      </c>
      <c r="AX34" s="255">
        <f t="shared" ca="1" si="3"/>
        <v>0</v>
      </c>
      <c r="AY34" s="255">
        <f t="shared" ca="1" si="3"/>
        <v>0</v>
      </c>
      <c r="AZ34" s="255">
        <f t="shared" ca="1" si="3"/>
        <v>0</v>
      </c>
      <c r="BA34" s="255">
        <f t="shared" ca="1" si="3"/>
        <v>0</v>
      </c>
      <c r="BB34" s="255">
        <f t="shared" ca="1" si="3"/>
        <v>0</v>
      </c>
      <c r="BC34" s="1130">
        <f t="shared" ca="1" si="3"/>
        <v>0</v>
      </c>
      <c r="BD34" s="938"/>
      <c r="BE34" s="937">
        <f t="shared" ref="BE34:BM34" ca="1" si="4">IF(AT34=0,0,(AU34-AT34)/AT34*100)</f>
        <v>0</v>
      </c>
      <c r="BF34" s="937">
        <f t="shared" ca="1" si="4"/>
        <v>0</v>
      </c>
      <c r="BG34" s="937">
        <f t="shared" ca="1" si="4"/>
        <v>0</v>
      </c>
      <c r="BH34" s="937">
        <f t="shared" ca="1" si="4"/>
        <v>0</v>
      </c>
      <c r="BI34" s="937">
        <f t="shared" ca="1" si="4"/>
        <v>0</v>
      </c>
      <c r="BJ34" s="937">
        <f t="shared" ca="1" si="4"/>
        <v>0</v>
      </c>
      <c r="BK34" s="937">
        <f t="shared" ca="1" si="4"/>
        <v>0</v>
      </c>
      <c r="BL34" s="937">
        <f t="shared" ca="1" si="4"/>
        <v>0</v>
      </c>
      <c r="BM34" s="937">
        <f t="shared" ca="1" si="4"/>
        <v>0</v>
      </c>
      <c r="BN34" s="28"/>
      <c r="BO34" s="28"/>
      <c r="BP34" s="28"/>
      <c r="BS34" s="1029" t="s">
        <v>1405</v>
      </c>
    </row>
    <row r="35" spans="1:71" s="465" customFormat="1" ht="16.7" hidden="1" customHeight="1">
      <c r="A35" s="810"/>
      <c r="B35" s="789"/>
      <c r="C35" s="810"/>
      <c r="D35" s="810"/>
      <c r="E35" s="676">
        <v>17.100000000000001</v>
      </c>
      <c r="F35" s="779" cm="1">
        <f t="array" aca="1" ref="F35" ca="1">OFFSET(G35,-1,-1)</f>
        <v>0</v>
      </c>
      <c r="G35" s="790"/>
      <c r="T35" s="687" t="b" cm="1">
        <f t="array" ref="T35">T34</f>
        <v>0</v>
      </c>
      <c r="U35" s="810"/>
      <c r="V35" s="810"/>
      <c r="W35" s="811"/>
      <c r="X35" s="1828"/>
      <c r="Y35" s="811"/>
      <c r="Z35" s="1828"/>
      <c r="AB35" s="752" t="s">
        <v>785</v>
      </c>
      <c r="AC35" s="885" t="s">
        <v>1406</v>
      </c>
      <c r="AD35" s="618"/>
      <c r="AE35" s="75"/>
      <c r="AF35" s="75"/>
      <c r="AG35" s="75"/>
      <c r="AH35" s="897"/>
      <c r="AI35" s="940"/>
      <c r="AJ35" s="939">
        <f t="shared" ref="AJ35:BC35" ca="1" si="5">(1+AJ28%)*(1-AJ29%)*(1+AJ30*AJ33)</f>
        <v>0.99</v>
      </c>
      <c r="AK35" s="939">
        <f t="shared" ca="1" si="5"/>
        <v>0.99</v>
      </c>
      <c r="AL35" s="939">
        <f t="shared" ca="1" si="5"/>
        <v>0.99</v>
      </c>
      <c r="AM35" s="939">
        <f t="shared" ca="1" si="5"/>
        <v>0.99</v>
      </c>
      <c r="AN35" s="939">
        <f t="shared" ca="1" si="5"/>
        <v>0.99</v>
      </c>
      <c r="AO35" s="76">
        <f t="shared" ca="1" si="5"/>
        <v>0.99</v>
      </c>
      <c r="AP35" s="76">
        <f t="shared" ca="1" si="5"/>
        <v>0.99</v>
      </c>
      <c r="AQ35" s="76">
        <f t="shared" ca="1" si="5"/>
        <v>0.99</v>
      </c>
      <c r="AR35" s="76">
        <f t="shared" ca="1" si="5"/>
        <v>0.99</v>
      </c>
      <c r="AS35" s="76">
        <f t="shared" ca="1" si="5"/>
        <v>0.99</v>
      </c>
      <c r="AT35" s="939">
        <f t="shared" ca="1" si="5"/>
        <v>0.99</v>
      </c>
      <c r="AU35" s="939">
        <f t="shared" ca="1" si="5"/>
        <v>0.99</v>
      </c>
      <c r="AV35" s="939">
        <f t="shared" ca="1" si="5"/>
        <v>0.99</v>
      </c>
      <c r="AW35" s="939">
        <f t="shared" ca="1" si="5"/>
        <v>0.99</v>
      </c>
      <c r="AX35" s="939">
        <f t="shared" ca="1" si="5"/>
        <v>0.99</v>
      </c>
      <c r="AY35" s="76">
        <f t="shared" ca="1" si="5"/>
        <v>0.99</v>
      </c>
      <c r="AZ35" s="76">
        <f t="shared" ca="1" si="5"/>
        <v>0.99</v>
      </c>
      <c r="BA35" s="76">
        <f t="shared" ca="1" si="5"/>
        <v>0.99</v>
      </c>
      <c r="BB35" s="76">
        <f t="shared" ca="1" si="5"/>
        <v>0.99</v>
      </c>
      <c r="BC35" s="76">
        <f t="shared" ca="1" si="5"/>
        <v>0.99</v>
      </c>
      <c r="BD35" s="940"/>
      <c r="BE35" s="940"/>
      <c r="BF35" s="940"/>
      <c r="BG35" s="940"/>
      <c r="BH35" s="940"/>
      <c r="BI35" s="940"/>
      <c r="BJ35" s="940"/>
      <c r="BK35" s="940"/>
      <c r="BL35" s="940"/>
      <c r="BM35" s="940"/>
      <c r="BN35" s="28"/>
      <c r="BO35" s="28"/>
      <c r="BP35" s="28"/>
      <c r="BS35" s="1029" t="s">
        <v>1407</v>
      </c>
    </row>
    <row r="36" spans="1:71" s="1387" customFormat="1" ht="16.5" customHeight="1">
      <c r="A36" s="170"/>
      <c r="B36" s="170"/>
      <c r="C36" s="170"/>
      <c r="D36" s="170"/>
      <c r="E36" s="676">
        <v>17.100000000000001</v>
      </c>
      <c r="F36" s="779" t="str" cm="1">
        <f t="array" ref="F36">X36</f>
        <v>1</v>
      </c>
      <c r="G36" s="620" t="str" cm="1">
        <f t="array" ref="G36">INDEX('Общие сведения'!$AK$187:$AK$236,MATCH($F36,'Общие сведения'!$Z$187:$Z$236,0))</f>
        <v>одноставочный</v>
      </c>
      <c r="H36" s="170"/>
      <c r="I36" s="163" t="str" cm="1">
        <f t="array" ref="I36">INDEX('Общие сведения'!$AE$187:$AE$236,MATCH($F36,'Общие сведения'!$Z$187:$Z$236,0))</f>
        <v>Теплоснабжение</v>
      </c>
      <c r="J36" s="170"/>
      <c r="K36" s="170"/>
      <c r="L36" s="170"/>
      <c r="M36" s="170"/>
      <c r="N36" s="170"/>
      <c r="O36" s="170"/>
      <c r="P36" s="170"/>
      <c r="Q36" s="170"/>
      <c r="R36" s="170"/>
      <c r="S36" s="170"/>
      <c r="T36" s="687" t="b">
        <f>X36&gt;0</f>
        <v>1</v>
      </c>
      <c r="U36" s="170"/>
      <c r="V36" s="126" t="str" cm="1">
        <f t="array" ref="V36">'Операционные (5.1)'!$AB$51</f>
        <v>Тариф 1 (Теплоснабжение) - Тариф на тепловую энергию (мощность), поставляемую потребителям (Не определено)</v>
      </c>
      <c r="W36" s="170"/>
      <c r="X36" s="1726" t="s">
        <v>341</v>
      </c>
      <c r="Y36" s="170"/>
      <c r="Z36" s="1724"/>
      <c r="AA36" s="170"/>
      <c r="AB36" s="275"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170"/>
      <c r="BR36" s="170"/>
      <c r="BS36" s="1002"/>
    </row>
    <row r="37" spans="1:71" s="1229" customFormat="1" ht="16.5" customHeight="1">
      <c r="A37" s="178"/>
      <c r="B37" s="783"/>
      <c r="C37" s="178"/>
      <c r="D37" s="178"/>
      <c r="E37" s="676">
        <v>17.100000000000001</v>
      </c>
      <c r="F37" s="779" t="str" cm="1">
        <f t="array" aca="1" ref="F37" ca="1">OFFSET(G37,-1,-1)</f>
        <v>1</v>
      </c>
      <c r="G37" s="143" t="s">
        <v>545</v>
      </c>
      <c r="H37" s="180"/>
      <c r="I37" s="180"/>
      <c r="J37" s="180"/>
      <c r="K37" s="180"/>
      <c r="L37" s="180"/>
      <c r="M37" s="180"/>
      <c r="N37" s="180"/>
      <c r="O37" s="180"/>
      <c r="P37" s="180"/>
      <c r="Q37" s="143"/>
      <c r="R37" s="143"/>
      <c r="S37" s="180"/>
      <c r="T37" s="687" t="b" cm="1">
        <f t="array" ref="T37">T36</f>
        <v>1</v>
      </c>
      <c r="U37" s="1153"/>
      <c r="V37" s="1153"/>
      <c r="W37" s="1153"/>
      <c r="X37" s="1726"/>
      <c r="Y37" s="1153"/>
      <c r="Z37" s="1726"/>
      <c r="AA37" s="180"/>
      <c r="AB37" s="111" t="s">
        <v>341</v>
      </c>
      <c r="AC37" s="623" t="s">
        <v>1391</v>
      </c>
      <c r="AD37" s="111" t="s">
        <v>533</v>
      </c>
      <c r="AE37" s="516"/>
      <c r="AF37" s="514"/>
      <c r="AG37" s="514"/>
      <c r="AH37" s="514"/>
      <c r="AI37" s="1388"/>
      <c r="AJ37" s="754">
        <f ca="1">SUMIFS(Сценарии!AE$27:AE$109,Сценарии!$F$27:$F$109,$F37,Сценарии!$G$27:$G$109,$G37)</f>
        <v>0</v>
      </c>
      <c r="AK37" s="754">
        <f ca="1">SUMIFS(Сценарии!AF$27:AF$109,Сценарии!$F$27:$F$109,$F37,Сценарии!$G$27:$G$109,$G37)</f>
        <v>0</v>
      </c>
      <c r="AL37" s="754">
        <f ca="1">SUMIFS(Сценарии!AG$27:AG$109,Сценарии!$F$27:$F$109,$F37,Сценарии!$G$27:$G$109,$G37)</f>
        <v>0</v>
      </c>
      <c r="AM37" s="754">
        <f ca="1">SUMIFS(Сценарии!AH$27:AH$109,Сценарии!$F$27:$F$109,$F37,Сценарии!$G$27:$G$109,$G37)</f>
        <v>0</v>
      </c>
      <c r="AN37" s="754">
        <f ca="1">SUMIFS(Сценарии!AI$27:AI$109,Сценарии!$F$27:$F$109,$F37,Сценарии!$G$27:$G$109,$G37)</f>
        <v>0</v>
      </c>
      <c r="AO37" s="754">
        <f ca="1">SUMIFS(Сценарии!AJ$27:AJ$109,Сценарии!$F$27:$F$109,$F37,Сценарии!$G$27:$G$109,$G37)</f>
        <v>0</v>
      </c>
      <c r="AP37" s="754">
        <f ca="1">SUMIFS(Сценарии!AK$27:AK$109,Сценарии!$F$27:$F$109,$F37,Сценарии!$G$27:$G$109,$G37)</f>
        <v>0</v>
      </c>
      <c r="AQ37" s="754">
        <f ca="1">SUMIFS(Сценарии!AL$27:AL$109,Сценарии!$F$27:$F$109,$F37,Сценарии!$G$27:$G$109,$G37)</f>
        <v>0</v>
      </c>
      <c r="AR37" s="754">
        <f ca="1">SUMIFS(Сценарии!AM$27:AM$109,Сценарии!$F$27:$F$109,$F37,Сценарии!$G$27:$G$109,$G37)</f>
        <v>0</v>
      </c>
      <c r="AS37" s="754">
        <f ca="1">SUMIFS(Сценарии!AN$27:AN$109,Сценарии!$F$27:$F$109,$F37,Сценарии!$G$27:$G$109,$G37)</f>
        <v>0</v>
      </c>
      <c r="AT37" s="754">
        <f ca="1">SUMIFS(Сценарии!AO$27:AO$109,Сценарии!$F$27:$F$109,$F37,Сценарии!$G$27:$G$109,$G37)</f>
        <v>5.0999999999999996</v>
      </c>
      <c r="AU37" s="754">
        <f ca="1">SUMIFS(Сценарии!AP$27:AP$109,Сценарии!$F$27:$F$109,$F37,Сценарии!$G$27:$G$109,$G37)</f>
        <v>0</v>
      </c>
      <c r="AV37" s="754">
        <f ca="1">SUMIFS(Сценарии!AQ$27:AQ$109,Сценарии!$F$27:$F$109,$F37,Сценарии!$G$27:$G$109,$G37)</f>
        <v>0</v>
      </c>
      <c r="AW37" s="754">
        <f ca="1">SUMIFS(Сценарии!AR$27:AR$109,Сценарии!$F$27:$F$109,$F37,Сценарии!$G$27:$G$109,$G37)</f>
        <v>0</v>
      </c>
      <c r="AX37" s="754">
        <f ca="1">SUMIFS(Сценарии!AS$27:AS$109,Сценарии!$F$27:$F$109,$F37,Сценарии!$G$27:$G$109,$G37)</f>
        <v>0</v>
      </c>
      <c r="AY37" s="754">
        <f ca="1">SUMIFS(Сценарии!AT$27:AT$109,Сценарии!$F$27:$F$109,$F37,Сценарии!$G$27:$G$109,$G37)</f>
        <v>0</v>
      </c>
      <c r="AZ37" s="754">
        <f ca="1">SUMIFS(Сценарии!AU$27:AU$109,Сценарии!$F$27:$F$109,$F37,Сценарии!$G$27:$G$109,$G37)</f>
        <v>0</v>
      </c>
      <c r="BA37" s="754">
        <f ca="1">SUMIFS(Сценарии!AV$27:AV$109,Сценарии!$F$27:$F$109,$F37,Сценарии!$G$27:$G$109,$G37)</f>
        <v>0</v>
      </c>
      <c r="BB37" s="754">
        <f ca="1">SUMIFS(Сценарии!AW$27:AW$109,Сценарии!$F$27:$F$109,$F37,Сценарии!$G$27:$G$109,$G37)</f>
        <v>0</v>
      </c>
      <c r="BC37" s="754">
        <f ca="1">SUMIFS(Сценарии!AX$27:AX$109,Сценарии!$F$27:$F$109,$F37,Сценарии!$G$27:$G$109,$G37)</f>
        <v>0</v>
      </c>
      <c r="BD37" s="935"/>
      <c r="BE37" s="935"/>
      <c r="BF37" s="935"/>
      <c r="BG37" s="935"/>
      <c r="BH37" s="935"/>
      <c r="BI37" s="935"/>
      <c r="BJ37" s="935"/>
      <c r="BK37" s="935"/>
      <c r="BL37" s="935"/>
      <c r="BM37" s="935"/>
      <c r="BN37" s="1290"/>
      <c r="BO37" s="1290"/>
      <c r="BP37" s="1290"/>
      <c r="BQ37" s="180"/>
      <c r="BR37" s="180"/>
      <c r="BS37" s="1029" t="s">
        <v>1392</v>
      </c>
    </row>
    <row r="38" spans="1:71" s="1389" customFormat="1" ht="16.5" customHeight="1">
      <c r="A38" s="183"/>
      <c r="B38" s="183"/>
      <c r="C38" s="183"/>
      <c r="D38" s="183"/>
      <c r="E38" s="676">
        <v>17.100000000000001</v>
      </c>
      <c r="F38" s="779" t="str" cm="1">
        <f t="array" aca="1" ref="F38" ca="1">OFFSET(G38,-1,-1)</f>
        <v>1</v>
      </c>
      <c r="G38" s="788" t="s">
        <v>535</v>
      </c>
      <c r="H38" s="183"/>
      <c r="I38" s="183"/>
      <c r="J38" s="183"/>
      <c r="K38" s="183"/>
      <c r="L38" s="183"/>
      <c r="M38" s="183"/>
      <c r="N38" s="183"/>
      <c r="O38" s="183"/>
      <c r="P38" s="183"/>
      <c r="Q38" s="183"/>
      <c r="R38" s="183"/>
      <c r="S38" s="183"/>
      <c r="T38" s="687" t="b" cm="1">
        <f t="array" ref="T38">T37</f>
        <v>1</v>
      </c>
      <c r="U38" s="183"/>
      <c r="V38" s="183"/>
      <c r="W38" s="183"/>
      <c r="X38" s="1822"/>
      <c r="Y38" s="183"/>
      <c r="Z38" s="1822"/>
      <c r="AA38" s="183"/>
      <c r="AB38" s="111" t="s">
        <v>348</v>
      </c>
      <c r="AC38" s="119" t="s">
        <v>1393</v>
      </c>
      <c r="AD38" s="111" t="s">
        <v>533</v>
      </c>
      <c r="AE38" s="516"/>
      <c r="AF38" s="514"/>
      <c r="AG38" s="514"/>
      <c r="AH38" s="514"/>
      <c r="AI38" s="1388"/>
      <c r="AJ38" s="754">
        <f ca="1">SUMIFS(Сценарии!AE$27:AE$109,Сценарии!$F$27:$F$109,$F38,Сценарии!$G$27:$G$109,$G38)</f>
        <v>1</v>
      </c>
      <c r="AK38" s="754">
        <f ca="1">SUMIFS(Сценарии!AF$27:AF$109,Сценарии!$F$27:$F$109,$F38,Сценарии!$G$27:$G$109,$G38)</f>
        <v>1</v>
      </c>
      <c r="AL38" s="754">
        <f ca="1">SUMIFS(Сценарии!AG$27:AG$109,Сценарии!$F$27:$F$109,$F38,Сценарии!$G$27:$G$109,$G38)</f>
        <v>1</v>
      </c>
      <c r="AM38" s="754">
        <f ca="1">SUMIFS(Сценарии!AH$27:AH$109,Сценарии!$F$27:$F$109,$F38,Сценарии!$G$27:$G$109,$G38)</f>
        <v>1</v>
      </c>
      <c r="AN38" s="754">
        <f ca="1">SUMIFS(Сценарии!AI$27:AI$109,Сценарии!$F$27:$F$109,$F38,Сценарии!$G$27:$G$109,$G38)</f>
        <v>1</v>
      </c>
      <c r="AO38" s="754">
        <f ca="1">SUMIFS(Сценарии!AJ$27:AJ$109,Сценарии!$F$27:$F$109,$F38,Сценарии!$G$27:$G$109,$G38)</f>
        <v>1</v>
      </c>
      <c r="AP38" s="754">
        <f ca="1">SUMIFS(Сценарии!AK$27:AK$109,Сценарии!$F$27:$F$109,$F38,Сценарии!$G$27:$G$109,$G38)</f>
        <v>1</v>
      </c>
      <c r="AQ38" s="754">
        <f ca="1">SUMIFS(Сценарии!AL$27:AL$109,Сценарии!$F$27:$F$109,$F38,Сценарии!$G$27:$G$109,$G38)</f>
        <v>1</v>
      </c>
      <c r="AR38" s="754">
        <f ca="1">SUMIFS(Сценарии!AM$27:AM$109,Сценарии!$F$27:$F$109,$F38,Сценарии!$G$27:$G$109,$G38)</f>
        <v>1</v>
      </c>
      <c r="AS38" s="754">
        <f ca="1">SUMIFS(Сценарии!AN$27:AN$109,Сценарии!$F$27:$F$109,$F38,Сценарии!$G$27:$G$109,$G38)</f>
        <v>1</v>
      </c>
      <c r="AT38" s="934">
        <v>1</v>
      </c>
      <c r="AU38" s="934">
        <v>1</v>
      </c>
      <c r="AV38" s="934">
        <v>1</v>
      </c>
      <c r="AW38" s="934">
        <v>1</v>
      </c>
      <c r="AX38" s="934">
        <v>1</v>
      </c>
      <c r="AY38" s="1388">
        <v>1</v>
      </c>
      <c r="AZ38" s="1388">
        <v>1</v>
      </c>
      <c r="BA38" s="1388">
        <v>1</v>
      </c>
      <c r="BB38" s="1388">
        <v>1</v>
      </c>
      <c r="BC38" s="1388">
        <v>1</v>
      </c>
      <c r="BD38" s="935"/>
      <c r="BE38" s="935"/>
      <c r="BF38" s="935"/>
      <c r="BG38" s="935"/>
      <c r="BH38" s="935"/>
      <c r="BI38" s="935"/>
      <c r="BJ38" s="935"/>
      <c r="BK38" s="935"/>
      <c r="BL38" s="935"/>
      <c r="BM38" s="935"/>
      <c r="BN38" s="1290"/>
      <c r="BO38" s="1290"/>
      <c r="BP38" s="1290"/>
      <c r="BQ38" s="183"/>
      <c r="BR38" s="183"/>
      <c r="BS38" s="1029" t="s">
        <v>1394</v>
      </c>
    </row>
    <row r="39" spans="1:71" s="1229" customFormat="1" ht="16.5" customHeight="1">
      <c r="A39" s="178"/>
      <c r="B39" s="783"/>
      <c r="C39" s="178"/>
      <c r="D39" s="178"/>
      <c r="E39" s="676">
        <v>17.100000000000001</v>
      </c>
      <c r="F39" s="779" t="str" cm="1">
        <f t="array" aca="1" ref="F39" ca="1">OFFSET(G39,-1,-1)</f>
        <v>1</v>
      </c>
      <c r="G39" s="143" t="s">
        <v>588</v>
      </c>
      <c r="H39" s="180"/>
      <c r="I39" s="180"/>
      <c r="J39" s="180"/>
      <c r="K39" s="180"/>
      <c r="L39" s="180"/>
      <c r="M39" s="180"/>
      <c r="N39" s="180"/>
      <c r="O39" s="180"/>
      <c r="P39" s="180"/>
      <c r="Q39" s="143"/>
      <c r="R39" s="143"/>
      <c r="S39" s="180"/>
      <c r="T39" s="687" t="b" cm="1">
        <f t="array" ref="T39">T38</f>
        <v>1</v>
      </c>
      <c r="U39" s="1153"/>
      <c r="V39" s="1153"/>
      <c r="W39" s="1153"/>
      <c r="X39" s="1726"/>
      <c r="Y39" s="1153"/>
      <c r="Z39" s="1726"/>
      <c r="AA39" s="180"/>
      <c r="AB39" s="111" t="s">
        <v>437</v>
      </c>
      <c r="AC39" s="119" t="s">
        <v>1395</v>
      </c>
      <c r="AD39" s="111"/>
      <c r="AE39" s="516"/>
      <c r="AF39" s="514"/>
      <c r="AG39" s="514"/>
      <c r="AH39" s="514"/>
      <c r="AI39" s="1388"/>
      <c r="AJ39" s="754">
        <f ca="1">SUMIFS(Сценарии!AE$27:AE$109,Сценарии!$F$27:$F$109,$F39,Сценарии!$G$27:$G$109,$G39)</f>
        <v>0</v>
      </c>
      <c r="AK39" s="754">
        <f ca="1">SUMIFS(Сценарии!AF$27:AF$109,Сценарии!$F$27:$F$109,$F39,Сценарии!$G$27:$G$109,$G39)</f>
        <v>0</v>
      </c>
      <c r="AL39" s="754">
        <f ca="1">SUMIFS(Сценарии!AG$27:AG$109,Сценарии!$F$27:$F$109,$F39,Сценарии!$G$27:$G$109,$G39)</f>
        <v>0</v>
      </c>
      <c r="AM39" s="754">
        <f ca="1">SUMIFS(Сценарии!AH$27:AH$109,Сценарии!$F$27:$F$109,$F39,Сценарии!$G$27:$G$109,$G39)</f>
        <v>0</v>
      </c>
      <c r="AN39" s="754">
        <f ca="1">SUMIFS(Сценарии!AI$27:AI$109,Сценарии!$F$27:$F$109,$F39,Сценарии!$G$27:$G$109,$G39)</f>
        <v>0</v>
      </c>
      <c r="AO39" s="754">
        <f ca="1">SUMIFS(Сценарии!AJ$27:AJ$109,Сценарии!$F$27:$F$109,$F39,Сценарии!$G$27:$G$109,$G39)</f>
        <v>0</v>
      </c>
      <c r="AP39" s="754">
        <f ca="1">SUMIFS(Сценарии!AK$27:AK$109,Сценарии!$F$27:$F$109,$F39,Сценарии!$G$27:$G$109,$G39)</f>
        <v>0</v>
      </c>
      <c r="AQ39" s="754">
        <f ca="1">SUMIFS(Сценарии!AL$27:AL$109,Сценарии!$F$27:$F$109,$F39,Сценарии!$G$27:$G$109,$G39)</f>
        <v>0</v>
      </c>
      <c r="AR39" s="754">
        <f ca="1">SUMIFS(Сценарии!AM$27:AM$109,Сценарии!$F$27:$F$109,$F39,Сценарии!$G$27:$G$109,$G39)</f>
        <v>0</v>
      </c>
      <c r="AS39" s="754">
        <f ca="1">SUMIFS(Сценарии!AN$27:AN$109,Сценарии!$F$27:$F$109,$F39,Сценарии!$G$27:$G$109,$G39)</f>
        <v>0</v>
      </c>
      <c r="AT39" s="754">
        <f ca="1">SUMIFS(Сценарии!AO$27:AO$109,Сценарии!$F$27:$F$109,$F39,Сценарии!$G$27:$G$109,$G39)</f>
        <v>0</v>
      </c>
      <c r="AU39" s="754">
        <f ca="1">SUMIFS(Сценарии!AP$27:AP$109,Сценарии!$F$27:$F$109,$F39,Сценарии!$G$27:$G$109,$G39)</f>
        <v>0</v>
      </c>
      <c r="AV39" s="754">
        <f ca="1">SUMIFS(Сценарии!AQ$27:AQ$109,Сценарии!$F$27:$F$109,$F39,Сценарии!$G$27:$G$109,$G39)</f>
        <v>0</v>
      </c>
      <c r="AW39" s="754">
        <f ca="1">SUMIFS(Сценарии!AR$27:AR$109,Сценарии!$F$27:$F$109,$F39,Сценарии!$G$27:$G$109,$G39)</f>
        <v>0</v>
      </c>
      <c r="AX39" s="754">
        <f ca="1">SUMIFS(Сценарии!AS$27:AS$109,Сценарии!$F$27:$F$109,$F39,Сценарии!$G$27:$G$109,$G39)</f>
        <v>0</v>
      </c>
      <c r="AY39" s="754">
        <f ca="1">SUMIFS(Сценарии!AT$27:AT$109,Сценарии!$F$27:$F$109,$F39,Сценарии!$G$27:$G$109,$G39)</f>
        <v>0</v>
      </c>
      <c r="AZ39" s="754">
        <f ca="1">SUMIFS(Сценарии!AU$27:AU$109,Сценарии!$F$27:$F$109,$F39,Сценарии!$G$27:$G$109,$G39)</f>
        <v>0</v>
      </c>
      <c r="BA39" s="754">
        <f ca="1">SUMIFS(Сценарии!AV$27:AV$109,Сценарии!$F$27:$F$109,$F39,Сценарии!$G$27:$G$109,$G39)</f>
        <v>0</v>
      </c>
      <c r="BB39" s="754">
        <f ca="1">SUMIFS(Сценарии!AW$27:AW$109,Сценарии!$F$27:$F$109,$F39,Сценарии!$G$27:$G$109,$G39)</f>
        <v>0</v>
      </c>
      <c r="BC39" s="754">
        <f ca="1">SUMIFS(Сценарии!AX$27:AX$109,Сценарии!$F$27:$F$109,$F39,Сценарии!$G$27:$G$109,$G39)</f>
        <v>0</v>
      </c>
      <c r="BD39" s="935"/>
      <c r="BE39" s="935"/>
      <c r="BF39" s="935"/>
      <c r="BG39" s="935"/>
      <c r="BH39" s="935"/>
      <c r="BI39" s="935"/>
      <c r="BJ39" s="935"/>
      <c r="BK39" s="935"/>
      <c r="BL39" s="935"/>
      <c r="BM39" s="935"/>
      <c r="BN39" s="1290"/>
      <c r="BO39" s="1290"/>
      <c r="BP39" s="1290"/>
      <c r="BQ39" s="180"/>
      <c r="BR39" s="180"/>
      <c r="BS39" s="1029" t="s">
        <v>1396</v>
      </c>
    </row>
    <row r="40" spans="1:71" s="1229" customFormat="1" ht="29.25" customHeight="1">
      <c r="A40" s="178"/>
      <c r="B40" s="783"/>
      <c r="C40" s="178"/>
      <c r="D40" s="178"/>
      <c r="E40" s="676">
        <v>30</v>
      </c>
      <c r="F40" s="779" t="str" cm="1">
        <f t="array" aca="1" ref="F40" ca="1">OFFSET(G40,-1,-1)</f>
        <v>1</v>
      </c>
      <c r="G40" s="143" t="s">
        <v>488</v>
      </c>
      <c r="H40" s="180"/>
      <c r="I40" s="180"/>
      <c r="J40" s="180"/>
      <c r="K40" s="180"/>
      <c r="L40" s="180"/>
      <c r="M40" s="180"/>
      <c r="N40" s="180"/>
      <c r="O40" s="180"/>
      <c r="P40" s="180"/>
      <c r="Q40" s="143"/>
      <c r="R40" s="143"/>
      <c r="S40" s="180"/>
      <c r="T40" s="687" t="b" cm="1">
        <f t="array" ref="T40">T39</f>
        <v>1</v>
      </c>
      <c r="U40" s="1153"/>
      <c r="V40" s="1153"/>
      <c r="W40" s="1153"/>
      <c r="X40" s="1726"/>
      <c r="Y40" s="1153"/>
      <c r="Z40" s="1726"/>
      <c r="AA40" s="180"/>
      <c r="AB40" s="111" t="s">
        <v>744</v>
      </c>
      <c r="AC40" s="116" t="s">
        <v>1397</v>
      </c>
      <c r="AD40" s="111" t="s">
        <v>1398</v>
      </c>
      <c r="AE40" s="516"/>
      <c r="AF40" s="514"/>
      <c r="AG40" s="514"/>
      <c r="AH40" s="514"/>
      <c r="AI40" s="1390">
        <f ca="1">SUMIFS('Расчет УЕ'!AE$26:AE$88,'Расчет УЕ'!$F$26:$F$88,$F40,'Расчет УЕ'!$G$26:$G$88,$G40)</f>
        <v>550.96</v>
      </c>
      <c r="AJ40" s="899">
        <f ca="1">SUMIFS('Расчет УЕ'!AF$26:AF$88,'Расчет УЕ'!$F$26:$F$88,$F40,'Расчет УЕ'!$G$26:$G$88,$G40)</f>
        <v>0</v>
      </c>
      <c r="AK40" s="899">
        <f ca="1">SUMIFS('Расчет УЕ'!AG$26:AG$88,'Расчет УЕ'!$F$26:$F$88,$F40,'Расчет УЕ'!$G$26:$G$88,$G40)</f>
        <v>0</v>
      </c>
      <c r="AL40" s="754">
        <f ca="1">SUMIFS('Расчет УЕ'!AH$26:AH$88,'Расчет УЕ'!$F$26:$F$88,$F40,'Расчет УЕ'!$G$26:$G$88,$G40)</f>
        <v>0</v>
      </c>
      <c r="AM40" s="754">
        <f ca="1">SUMIFS('Расчет УЕ'!AI$26:AI$88,'Расчет УЕ'!$F$26:$F$88,$F40,'Расчет УЕ'!$G$26:$G$88,$G40)</f>
        <v>0</v>
      </c>
      <c r="AN40" s="754">
        <f ca="1">SUMIFS('Расчет УЕ'!AJ$26:AJ$88,'Расчет УЕ'!$F$26:$F$88,$F40,'Расчет УЕ'!$G$26:$G$88,$G40)</f>
        <v>0</v>
      </c>
      <c r="AO40" s="754">
        <f ca="1">SUMIFS('Расчет УЕ'!AK$26:AK$88,'Расчет УЕ'!$F$26:$F$88,$F40,'Расчет УЕ'!$G$26:$G$88,$G40)</f>
        <v>0</v>
      </c>
      <c r="AP40" s="754">
        <f ca="1">SUMIFS('Расчет УЕ'!AL$26:AL$88,'Расчет УЕ'!$F$26:$F$88,$F40,'Расчет УЕ'!$G$26:$G$88,$G40)</f>
        <v>0</v>
      </c>
      <c r="AQ40" s="754">
        <f ca="1">SUMIFS('Расчет УЕ'!AM$26:AM$88,'Расчет УЕ'!$F$26:$F$88,$F40,'Расчет УЕ'!$G$26:$G$88,$G40)</f>
        <v>0</v>
      </c>
      <c r="AR40" s="754">
        <f ca="1">SUMIFS('Расчет УЕ'!AN$26:AN$88,'Расчет УЕ'!$F$26:$F$88,$F40,'Расчет УЕ'!$G$26:$G$88,$G40)</f>
        <v>0</v>
      </c>
      <c r="AS40" s="754">
        <f ca="1">SUMIFS('Расчет УЕ'!AO$26:AO$88,'Расчет УЕ'!$F$26:$F$88,$F40,'Расчет УЕ'!$G$26:$G$88,$G40)</f>
        <v>0</v>
      </c>
      <c r="AT40" s="754">
        <f ca="1">SUMIFS('Расчет УЕ'!AP$26:AP$88,'Расчет УЕ'!$F$26:$F$88,$F40,'Расчет УЕ'!$G$26:$G$88,$G40)</f>
        <v>553.44000000000005</v>
      </c>
      <c r="AU40" s="754">
        <f ca="1">SUMIFS('Расчет УЕ'!AQ$26:AQ$88,'Расчет УЕ'!$F$26:$F$88,$F40,'Расчет УЕ'!$G$26:$G$88,$G40)</f>
        <v>0</v>
      </c>
      <c r="AV40" s="754">
        <f ca="1">SUMIFS('Расчет УЕ'!AR$26:AR$88,'Расчет УЕ'!$F$26:$F$88,$F40,'Расчет УЕ'!$G$26:$G$88,$G40)</f>
        <v>0</v>
      </c>
      <c r="AW40" s="754">
        <f ca="1">SUMIFS('Расчет УЕ'!AS$26:AS$88,'Расчет УЕ'!$F$26:$F$88,$F40,'Расчет УЕ'!$G$26:$G$88,$G40)</f>
        <v>0</v>
      </c>
      <c r="AX40" s="754">
        <f ca="1">SUMIFS('Расчет УЕ'!AT$26:AT$88,'Расчет УЕ'!$F$26:$F$88,$F40,'Расчет УЕ'!$G$26:$G$88,$G40)</f>
        <v>0</v>
      </c>
      <c r="AY40" s="754">
        <f ca="1">SUMIFS('Расчет УЕ'!AU$26:AU$88,'Расчет УЕ'!$F$26:$F$88,$F40,'Расчет УЕ'!$G$26:$G$88,$G40)</f>
        <v>0</v>
      </c>
      <c r="AZ40" s="754">
        <f ca="1">SUMIFS('Расчет УЕ'!AV$26:AV$88,'Расчет УЕ'!$F$26:$F$88,$F40,'Расчет УЕ'!$G$26:$G$88,$G40)</f>
        <v>0</v>
      </c>
      <c r="BA40" s="754">
        <f ca="1">SUMIFS('Расчет УЕ'!AW$26:AW$88,'Расчет УЕ'!$F$26:$F$88,$F40,'Расчет УЕ'!$G$26:$G$88,$G40)</f>
        <v>0</v>
      </c>
      <c r="BB40" s="754">
        <f ca="1">SUMIFS('Расчет УЕ'!AX$26:AX$88,'Расчет УЕ'!$F$26:$F$88,$F40,'Расчет УЕ'!$G$26:$G$88,$G40)</f>
        <v>0</v>
      </c>
      <c r="BC40" s="754">
        <f ca="1">SUMIFS('Расчет УЕ'!AY$26:AY$88,'Расчет УЕ'!$F$26:$F$88,$F40,'Расчет УЕ'!$G$26:$G$88,$G40)</f>
        <v>0</v>
      </c>
      <c r="BD40" s="935"/>
      <c r="BE40" s="935"/>
      <c r="BF40" s="935"/>
      <c r="BG40" s="935"/>
      <c r="BH40" s="935"/>
      <c r="BI40" s="935"/>
      <c r="BJ40" s="935"/>
      <c r="BK40" s="935"/>
      <c r="BL40" s="935"/>
      <c r="BM40" s="935"/>
      <c r="BN40" s="1290"/>
      <c r="BO40" s="1290"/>
      <c r="BP40" s="1290"/>
      <c r="BQ40" s="180"/>
      <c r="BR40" s="180"/>
      <c r="BS40" s="1029" t="s">
        <v>1399</v>
      </c>
    </row>
    <row r="41" spans="1:71" s="1229" customFormat="1" ht="16.5" customHeight="1">
      <c r="A41" s="178"/>
      <c r="B41" s="783"/>
      <c r="C41" s="178"/>
      <c r="D41" s="178"/>
      <c r="E41" s="676">
        <v>17.100000000000001</v>
      </c>
      <c r="F41" s="779" t="str" cm="1">
        <f t="array" aca="1" ref="F41" ca="1">OFFSET(G41,-1,-1)</f>
        <v>1</v>
      </c>
      <c r="G41" s="143" t="s">
        <v>483</v>
      </c>
      <c r="H41" s="180"/>
      <c r="I41" s="180"/>
      <c r="J41" s="180"/>
      <c r="K41" s="180"/>
      <c r="L41" s="180"/>
      <c r="M41" s="180"/>
      <c r="N41" s="180"/>
      <c r="O41" s="180"/>
      <c r="P41" s="180"/>
      <c r="Q41" s="143"/>
      <c r="R41" s="143"/>
      <c r="S41" s="180"/>
      <c r="T41" s="687" t="b" cm="1">
        <f t="array" ref="T41">T40</f>
        <v>1</v>
      </c>
      <c r="U41" s="1153"/>
      <c r="V41" s="1153"/>
      <c r="W41" s="1153"/>
      <c r="X41" s="1726"/>
      <c r="Y41" s="1153"/>
      <c r="Z41" s="1726"/>
      <c r="AA41" s="180"/>
      <c r="AB41" s="111" t="s">
        <v>747</v>
      </c>
      <c r="AC41" s="116" t="s">
        <v>1400</v>
      </c>
      <c r="AD41" s="111" t="s">
        <v>725</v>
      </c>
      <c r="AE41" s="516"/>
      <c r="AF41" s="514"/>
      <c r="AG41" s="514"/>
      <c r="AH41" s="896"/>
      <c r="AI41" s="935"/>
      <c r="AJ41" s="754">
        <f ca="1">SUMIFS('Расчет УЕ'!AF$26:AF$88,'Расчет УЕ'!$F$26:$F$88,$F41,'Расчет УЕ'!$G$26:$G$88,$G41)</f>
        <v>0</v>
      </c>
      <c r="AK41" s="754">
        <f ca="1">SUMIFS('Расчет УЕ'!AG$26:AG$88,'Расчет УЕ'!$F$26:$F$88,$F41,'Расчет УЕ'!$G$26:$G$88,$G41)</f>
        <v>0</v>
      </c>
      <c r="AL41" s="898">
        <f ca="1">SUMIFS('Расчет УЕ'!AH$26:AH$88,'Расчет УЕ'!$F$26:$F$88,$F41,'Расчет УЕ'!$G$26:$G$88,$G41)</f>
        <v>0</v>
      </c>
      <c r="AM41" s="754">
        <f ca="1">SUMIFS('Расчет УЕ'!AI$26:AI$88,'Расчет УЕ'!$F$26:$F$88,$F41,'Расчет УЕ'!$G$26:$G$88,$G41)</f>
        <v>0</v>
      </c>
      <c r="AN41" s="754">
        <f ca="1">SUMIFS('Расчет УЕ'!AJ$26:AJ$88,'Расчет УЕ'!$F$26:$F$88,$F41,'Расчет УЕ'!$G$26:$G$88,$G41)</f>
        <v>0</v>
      </c>
      <c r="AO41" s="754">
        <f ca="1">SUMIFS('Расчет УЕ'!AK$26:AK$88,'Расчет УЕ'!$F$26:$F$88,$F41,'Расчет УЕ'!$G$26:$G$88,$G41)</f>
        <v>0</v>
      </c>
      <c r="AP41" s="754">
        <f ca="1">SUMIFS('Расчет УЕ'!AL$26:AL$88,'Расчет УЕ'!$F$26:$F$88,$F41,'Расчет УЕ'!$G$26:$G$88,$G41)</f>
        <v>0</v>
      </c>
      <c r="AQ41" s="754">
        <f ca="1">SUMIFS('Расчет УЕ'!AM$26:AM$88,'Расчет УЕ'!$F$26:$F$88,$F41,'Расчет УЕ'!$G$26:$G$88,$G41)</f>
        <v>0</v>
      </c>
      <c r="AR41" s="754">
        <f ca="1">SUMIFS('Расчет УЕ'!AN$26:AN$88,'Расчет УЕ'!$F$26:$F$88,$F41,'Расчет УЕ'!$G$26:$G$88,$G41)</f>
        <v>0</v>
      </c>
      <c r="AS41" s="754">
        <f ca="1">SUMIFS('Расчет УЕ'!AO$26:AO$88,'Расчет УЕ'!$F$26:$F$88,$F41,'Расчет УЕ'!$G$26:$G$88,$G41)</f>
        <v>0</v>
      </c>
      <c r="AT41" s="754">
        <f ca="1">SUMIFS('Расчет УЕ'!AP$26:AP$88,'Расчет УЕ'!$F$26:$F$88,$F41,'Расчет УЕ'!$G$26:$G$88,$G41)</f>
        <v>103.42</v>
      </c>
      <c r="AU41" s="754">
        <f ca="1">SUMIFS('Расчет УЕ'!AQ$26:AQ$88,'Расчет УЕ'!$F$26:$F$88,$F41,'Расчет УЕ'!$G$26:$G$88,$G41)</f>
        <v>0</v>
      </c>
      <c r="AV41" s="754">
        <f ca="1">SUMIFS('Расчет УЕ'!AR$26:AR$88,'Расчет УЕ'!$F$26:$F$88,$F41,'Расчет УЕ'!$G$26:$G$88,$G41)</f>
        <v>0</v>
      </c>
      <c r="AW41" s="754">
        <f ca="1">SUMIFS('Расчет УЕ'!AS$26:AS$88,'Расчет УЕ'!$F$26:$F$88,$F41,'Расчет УЕ'!$G$26:$G$88,$G41)</f>
        <v>0</v>
      </c>
      <c r="AX41" s="754">
        <f ca="1">SUMIFS('Расчет УЕ'!AT$26:AT$88,'Расчет УЕ'!$F$26:$F$88,$F41,'Расчет УЕ'!$G$26:$G$88,$G41)</f>
        <v>0</v>
      </c>
      <c r="AY41" s="754">
        <f ca="1">SUMIFS('Расчет УЕ'!AU$26:AU$88,'Расчет УЕ'!$F$26:$F$88,$F41,'Расчет УЕ'!$G$26:$G$88,$G41)</f>
        <v>0</v>
      </c>
      <c r="AZ41" s="754">
        <f ca="1">SUMIFS('Расчет УЕ'!AV$26:AV$88,'Расчет УЕ'!$F$26:$F$88,$F41,'Расчет УЕ'!$G$26:$G$88,$G41)</f>
        <v>0</v>
      </c>
      <c r="BA41" s="754">
        <f ca="1">SUMIFS('Расчет УЕ'!AW$26:AW$88,'Расчет УЕ'!$F$26:$F$88,$F41,'Расчет УЕ'!$G$26:$G$88,$G41)</f>
        <v>0</v>
      </c>
      <c r="BB41" s="754">
        <f ca="1">SUMIFS('Расчет УЕ'!AX$26:AX$88,'Расчет УЕ'!$F$26:$F$88,$F41,'Расчет УЕ'!$G$26:$G$88,$G41)</f>
        <v>0</v>
      </c>
      <c r="BC41" s="754">
        <f ca="1">SUMIFS('Расчет УЕ'!AY$26:AY$88,'Расчет УЕ'!$F$26:$F$88,$F41,'Расчет УЕ'!$G$26:$G$88,$G41)</f>
        <v>0</v>
      </c>
      <c r="BD41" s="935"/>
      <c r="BE41" s="935"/>
      <c r="BF41" s="935"/>
      <c r="BG41" s="935"/>
      <c r="BH41" s="935"/>
      <c r="BI41" s="935"/>
      <c r="BJ41" s="935"/>
      <c r="BK41" s="935"/>
      <c r="BL41" s="935"/>
      <c r="BM41" s="935"/>
      <c r="BN41" s="1290"/>
      <c r="BO41" s="1290"/>
      <c r="BP41" s="1290"/>
      <c r="BQ41" s="180"/>
      <c r="BR41" s="180"/>
      <c r="BS41" s="1029" t="s">
        <v>1401</v>
      </c>
    </row>
    <row r="42" spans="1:71" s="1229" customFormat="1" ht="16.5" customHeight="1">
      <c r="A42" s="178"/>
      <c r="B42" s="783"/>
      <c r="C42" s="178"/>
      <c r="D42" s="178"/>
      <c r="E42" s="676">
        <v>17.100000000000001</v>
      </c>
      <c r="F42" s="779" t="str" cm="1">
        <f t="array" aca="1" ref="F42" ca="1">OFFSET(G42,-1,-1)</f>
        <v>1</v>
      </c>
      <c r="G42" s="620" t="s">
        <v>592</v>
      </c>
      <c r="H42" s="180"/>
      <c r="I42" s="180"/>
      <c r="J42" s="180"/>
      <c r="K42" s="180"/>
      <c r="L42" s="180"/>
      <c r="M42" s="180"/>
      <c r="N42" s="180"/>
      <c r="O42" s="180"/>
      <c r="P42" s="180"/>
      <c r="Q42" s="143"/>
      <c r="R42" s="143"/>
      <c r="S42" s="180"/>
      <c r="T42" s="687" t="b" cm="1">
        <f t="array" ref="T42">T41</f>
        <v>1</v>
      </c>
      <c r="U42" s="1153"/>
      <c r="V42" s="1153"/>
      <c r="W42" s="1153"/>
      <c r="X42" s="1726"/>
      <c r="Y42" s="1153"/>
      <c r="Z42" s="1726"/>
      <c r="AA42" s="180"/>
      <c r="AB42" s="111" t="s">
        <v>440</v>
      </c>
      <c r="AC42" s="119" t="s">
        <v>1408</v>
      </c>
      <c r="AD42" s="111"/>
      <c r="AE42" s="619"/>
      <c r="AF42" s="536"/>
      <c r="AG42" s="536"/>
      <c r="AH42" s="537"/>
      <c r="AI42" s="935"/>
      <c r="AJ42" s="754">
        <f ca="1">SUMIFS(Сценарии!AE$27:AE$109,Сценарии!$F$27:$F$109,$F42,Сценарии!$G$27:$G$109,$G42)</f>
        <v>0.75</v>
      </c>
      <c r="AK42" s="754">
        <f ca="1">SUMIFS(Сценарии!AF$27:AF$109,Сценарии!$F$27:$F$109,$F42,Сценарии!$G$27:$G$109,$G42)</f>
        <v>0.75</v>
      </c>
      <c r="AL42" s="754">
        <f ca="1">SUMIFS(Сценарии!AG$27:AG$109,Сценарии!$F$27:$F$109,$F42,Сценарии!$G$27:$G$109,$G42)</f>
        <v>0.75</v>
      </c>
      <c r="AM42" s="754">
        <f ca="1">SUMIFS(Сценарии!AH$27:AH$109,Сценарии!$F$27:$F$109,$F42,Сценарии!$G$27:$G$109,$G42)</f>
        <v>0.75</v>
      </c>
      <c r="AN42" s="754">
        <f ca="1">SUMIFS(Сценарии!AI$27:AI$109,Сценарии!$F$27:$F$109,$F42,Сценарии!$G$27:$G$109,$G42)</f>
        <v>0.75</v>
      </c>
      <c r="AO42" s="754">
        <f ca="1">SUMIFS(Сценарии!AJ$27:AJ$109,Сценарии!$F$27:$F$109,$F42,Сценарии!$G$27:$G$109,$G42)</f>
        <v>0.75</v>
      </c>
      <c r="AP42" s="754">
        <f ca="1">SUMIFS(Сценарии!AK$27:AK$109,Сценарии!$F$27:$F$109,$F42,Сценарии!$G$27:$G$109,$G42)</f>
        <v>0.75</v>
      </c>
      <c r="AQ42" s="754">
        <f ca="1">SUMIFS(Сценарии!AL$27:AL$109,Сценарии!$F$27:$F$109,$F42,Сценарии!$G$27:$G$109,$G42)</f>
        <v>0.75</v>
      </c>
      <c r="AR42" s="754">
        <f ca="1">SUMIFS(Сценарии!AM$27:AM$109,Сценарии!$F$27:$F$109,$F42,Сценарии!$G$27:$G$109,$G42)</f>
        <v>0.75</v>
      </c>
      <c r="AS42" s="754">
        <f ca="1">SUMIFS(Сценарии!AN$27:AN$109,Сценарии!$F$27:$F$109,$F42,Сценарии!$G$27:$G$109,$G42)</f>
        <v>0.75</v>
      </c>
      <c r="AT42" s="754">
        <f ca="1">SUMIFS(Сценарии!AO$27:AO$109,Сценарии!$F$27:$F$109,$F42,Сценарии!$G$27:$G$109,$G42)</f>
        <v>0.75</v>
      </c>
      <c r="AU42" s="754">
        <f ca="1">SUMIFS(Сценарии!AP$27:AP$109,Сценарии!$F$27:$F$109,$F42,Сценарии!$G$27:$G$109,$G42)</f>
        <v>0.75</v>
      </c>
      <c r="AV42" s="754">
        <f ca="1">SUMIFS(Сценарии!AQ$27:AQ$109,Сценарии!$F$27:$F$109,$F42,Сценарии!$G$27:$G$109,$G42)</f>
        <v>0.75</v>
      </c>
      <c r="AW42" s="754">
        <f ca="1">SUMIFS(Сценарии!AR$27:AR$109,Сценарии!$F$27:$F$109,$F42,Сценарии!$G$27:$G$109,$G42)</f>
        <v>0.75</v>
      </c>
      <c r="AX42" s="754">
        <f ca="1">SUMIFS(Сценарии!AS$27:AS$109,Сценарии!$F$27:$F$109,$F42,Сценарии!$G$27:$G$109,$G42)</f>
        <v>0.75</v>
      </c>
      <c r="AY42" s="754">
        <f ca="1">SUMIFS(Сценарии!AT$27:AT$109,Сценарии!$F$27:$F$109,$F42,Сценарии!$G$27:$G$109,$G42)</f>
        <v>0.75</v>
      </c>
      <c r="AZ42" s="754">
        <f ca="1">SUMIFS(Сценарии!AU$27:AU$109,Сценарии!$F$27:$F$109,$F42,Сценарии!$G$27:$G$109,$G42)</f>
        <v>0.75</v>
      </c>
      <c r="BA42" s="754">
        <f ca="1">SUMIFS(Сценарии!AV$27:AV$109,Сценарии!$F$27:$F$109,$F42,Сценарии!$G$27:$G$109,$G42)</f>
        <v>0.75</v>
      </c>
      <c r="BB42" s="754">
        <f ca="1">SUMIFS(Сценарии!AW$27:AW$109,Сценарии!$F$27:$F$109,$F42,Сценарии!$G$27:$G$109,$G42)</f>
        <v>0.75</v>
      </c>
      <c r="BC42" s="754">
        <f ca="1">SUMIFS(Сценарии!AX$27:AX$109,Сценарии!$F$27:$F$109,$F42,Сценарии!$G$27:$G$109,$G42)</f>
        <v>0.75</v>
      </c>
      <c r="BD42" s="936"/>
      <c r="BE42" s="936"/>
      <c r="BF42" s="936"/>
      <c r="BG42" s="936"/>
      <c r="BH42" s="936"/>
      <c r="BI42" s="935"/>
      <c r="BJ42" s="935"/>
      <c r="BK42" s="935"/>
      <c r="BL42" s="935"/>
      <c r="BM42" s="935"/>
      <c r="BN42" s="1290"/>
      <c r="BO42" s="1290"/>
      <c r="BP42" s="1290"/>
      <c r="BQ42" s="180"/>
      <c r="BR42" s="180"/>
      <c r="BS42" s="1029" t="s">
        <v>1403</v>
      </c>
    </row>
    <row r="43" spans="1:71" s="1229" customFormat="1" ht="16.5" customHeight="1">
      <c r="A43" s="178"/>
      <c r="B43" s="783"/>
      <c r="C43" s="178"/>
      <c r="D43" s="178"/>
      <c r="E43" s="676">
        <v>17.100000000000001</v>
      </c>
      <c r="F43" s="779" t="str" cm="1">
        <f t="array" aca="1" ref="F43" ca="1">OFFSET(G43,-1,-1)</f>
        <v>1</v>
      </c>
      <c r="G43" s="620" t="s">
        <v>1350</v>
      </c>
      <c r="H43" s="180"/>
      <c r="I43" s="180"/>
      <c r="J43" s="180"/>
      <c r="K43" s="180" t="str">
        <f ca="1">F43&amp;"komm"</f>
        <v>1komm</v>
      </c>
      <c r="L43" s="179" cm="1">
        <f t="array" ref="L43">BO43</f>
        <v>0</v>
      </c>
      <c r="M43" s="180"/>
      <c r="N43" s="180"/>
      <c r="O43" s="180"/>
      <c r="P43" s="180"/>
      <c r="Q43" s="143"/>
      <c r="R43" s="143"/>
      <c r="S43" s="180"/>
      <c r="T43" s="687" t="b" cm="1">
        <f t="array" ref="T43">T42</f>
        <v>1</v>
      </c>
      <c r="U43" s="1153"/>
      <c r="V43" s="1153"/>
      <c r="W43" s="1153"/>
      <c r="X43" s="1726"/>
      <c r="Y43" s="1153"/>
      <c r="Z43" s="1726"/>
      <c r="AA43" s="180"/>
      <c r="AB43" s="535" t="s">
        <v>443</v>
      </c>
      <c r="AC43" s="624" t="s">
        <v>1404</v>
      </c>
      <c r="AD43" s="564" t="s">
        <v>839</v>
      </c>
      <c r="AE43" s="518" cm="1">
        <f t="array" ref="AE43">'Операционные (5.1)'!AE37</f>
        <v>0</v>
      </c>
      <c r="AF43" s="518" cm="1">
        <f t="array" ref="AF43">'Операционные (5.1)'!AF37</f>
        <v>0</v>
      </c>
      <c r="AG43" s="518" cm="1">
        <f t="array" ref="AG43">'Операционные (5.1)'!AG37</f>
        <v>0</v>
      </c>
      <c r="AH43" s="751" cm="1">
        <f t="array" ref="AH43">'Операционные (5.1)'!AH37</f>
        <v>0</v>
      </c>
      <c r="AI43" s="518">
        <f ca="1">SUMIFS('Операционные (5.1)'!AI$26:AI$103,'Операционные (5.1)'!$F$26:$F$103,$F43,'Операционные (5.1)'!$G$26:$G$103,$G43)</f>
        <v>243303.35</v>
      </c>
      <c r="AJ43" s="625">
        <f ca="1">IF(god=first_year,SUMIFS('Операционные (5.1)'!AJ$26:AJ$103,'Операционные (5.1)'!$F$26:$F$103,$F43,'Операционные (5.1)'!$G$26:$G$103,$G43),AI43*AJ44)</f>
        <v>240870.31650000002</v>
      </c>
      <c r="AK43" s="255">
        <f t="shared" ref="AK43:AS43" ca="1" si="6">AJ43*AK44</f>
        <v>238461.613335</v>
      </c>
      <c r="AL43" s="1128">
        <f t="shared" ca="1" si="6"/>
        <v>236076.99720165</v>
      </c>
      <c r="AM43" s="255">
        <f t="shared" ca="1" si="6"/>
        <v>233716.22722963348</v>
      </c>
      <c r="AN43" s="255">
        <f t="shared" ca="1" si="6"/>
        <v>231379.06495733713</v>
      </c>
      <c r="AO43" s="255">
        <f t="shared" ca="1" si="6"/>
        <v>229065.27430776376</v>
      </c>
      <c r="AP43" s="255">
        <f t="shared" ca="1" si="6"/>
        <v>226774.62156468612</v>
      </c>
      <c r="AQ43" s="255">
        <f t="shared" ca="1" si="6"/>
        <v>224506.87534903927</v>
      </c>
      <c r="AR43" s="255">
        <f t="shared" ca="1" si="6"/>
        <v>222261.80659554887</v>
      </c>
      <c r="AS43" s="255">
        <f t="shared" ca="1" si="6"/>
        <v>220039.18852959338</v>
      </c>
      <c r="AT43" s="1129">
        <v>237576.5</v>
      </c>
      <c r="AU43" s="255">
        <f t="shared" ref="AU43:BC43" ca="1" si="7">AT43*AU44</f>
        <v>235200.73499999999</v>
      </c>
      <c r="AV43" s="255">
        <f t="shared" ca="1" si="7"/>
        <v>232848.72764999999</v>
      </c>
      <c r="AW43" s="255">
        <f t="shared" ca="1" si="7"/>
        <v>230520.24037349998</v>
      </c>
      <c r="AX43" s="255">
        <f t="shared" ca="1" si="7"/>
        <v>228215.03796976499</v>
      </c>
      <c r="AY43" s="255">
        <f t="shared" ca="1" si="7"/>
        <v>225932.88759006734</v>
      </c>
      <c r="AZ43" s="255">
        <f t="shared" ca="1" si="7"/>
        <v>223673.55871416666</v>
      </c>
      <c r="BA43" s="255">
        <f t="shared" ca="1" si="7"/>
        <v>221436.82312702498</v>
      </c>
      <c r="BB43" s="255">
        <f t="shared" ca="1" si="7"/>
        <v>219222.45489575472</v>
      </c>
      <c r="BC43" s="1130">
        <f t="shared" ca="1" si="7"/>
        <v>217030.23034679718</v>
      </c>
      <c r="BD43" s="938"/>
      <c r="BE43" s="937">
        <f t="shared" ref="BE43:BM43" ca="1" si="8">IF(AT43=0,0,(AU43-AT43)/AT43*100)</f>
        <v>-1.000000000000006</v>
      </c>
      <c r="BF43" s="937">
        <f t="shared" ca="1" si="8"/>
        <v>-1</v>
      </c>
      <c r="BG43" s="937">
        <f t="shared" ca="1" si="8"/>
        <v>-1.0000000000000016</v>
      </c>
      <c r="BH43" s="937">
        <f t="shared" ca="1" si="8"/>
        <v>-0.99999999999999623</v>
      </c>
      <c r="BI43" s="937">
        <f t="shared" ca="1" si="8"/>
        <v>-0.99999999999999867</v>
      </c>
      <c r="BJ43" s="937">
        <f t="shared" ca="1" si="8"/>
        <v>-1.0000000000000042</v>
      </c>
      <c r="BK43" s="937">
        <f t="shared" ca="1" si="8"/>
        <v>-1.000000000000006</v>
      </c>
      <c r="BL43" s="937">
        <f t="shared" ca="1" si="8"/>
        <v>-1.000000000000004</v>
      </c>
      <c r="BM43" s="937">
        <f t="shared" ca="1" si="8"/>
        <v>-0.99999999999999833</v>
      </c>
      <c r="BN43" s="1290"/>
      <c r="BO43" s="1290"/>
      <c r="BP43" s="1290"/>
      <c r="BQ43" s="180"/>
      <c r="BR43" s="180"/>
      <c r="BS43" s="1029" t="s">
        <v>1405</v>
      </c>
    </row>
    <row r="44" spans="1:71" s="1391" customFormat="1" ht="16.5" customHeight="1">
      <c r="A44" s="810"/>
      <c r="B44" s="789"/>
      <c r="C44" s="810"/>
      <c r="D44" s="810"/>
      <c r="E44" s="676">
        <v>17.100000000000001</v>
      </c>
      <c r="F44" s="779" t="str" cm="1">
        <f t="array" aca="1" ref="F44" ca="1">OFFSET(G44,-1,-1)</f>
        <v>1</v>
      </c>
      <c r="G44" s="790"/>
      <c r="H44" s="465"/>
      <c r="I44" s="465"/>
      <c r="J44" s="465"/>
      <c r="K44" s="465"/>
      <c r="L44" s="465"/>
      <c r="M44" s="465"/>
      <c r="N44" s="465"/>
      <c r="O44" s="465"/>
      <c r="P44" s="465"/>
      <c r="Q44" s="465"/>
      <c r="R44" s="465"/>
      <c r="S44" s="465"/>
      <c r="T44" s="687" t="b" cm="1">
        <f t="array" ref="T44">T43</f>
        <v>1</v>
      </c>
      <c r="U44" s="810"/>
      <c r="V44" s="810"/>
      <c r="W44" s="811"/>
      <c r="X44" s="1828"/>
      <c r="Y44" s="811"/>
      <c r="Z44" s="1828"/>
      <c r="AA44" s="465"/>
      <c r="AB44" s="752" t="s">
        <v>785</v>
      </c>
      <c r="AC44" s="885" t="s">
        <v>1406</v>
      </c>
      <c r="AD44" s="618"/>
      <c r="AE44" s="75"/>
      <c r="AF44" s="75"/>
      <c r="AG44" s="75"/>
      <c r="AH44" s="897"/>
      <c r="AI44" s="940"/>
      <c r="AJ44" s="939">
        <f t="shared" ref="AJ44:BC44" ca="1" si="9">(1+AJ37%)*(1-AJ38%)*(1+AJ39*AJ42)</f>
        <v>0.99</v>
      </c>
      <c r="AK44" s="939">
        <f t="shared" ca="1" si="9"/>
        <v>0.99</v>
      </c>
      <c r="AL44" s="939">
        <f t="shared" ca="1" si="9"/>
        <v>0.99</v>
      </c>
      <c r="AM44" s="939">
        <f t="shared" ca="1" si="9"/>
        <v>0.99</v>
      </c>
      <c r="AN44" s="939">
        <f t="shared" ca="1" si="9"/>
        <v>0.99</v>
      </c>
      <c r="AO44" s="1392">
        <f t="shared" ca="1" si="9"/>
        <v>0.99</v>
      </c>
      <c r="AP44" s="1392">
        <f t="shared" ca="1" si="9"/>
        <v>0.99</v>
      </c>
      <c r="AQ44" s="1392">
        <f t="shared" ca="1" si="9"/>
        <v>0.99</v>
      </c>
      <c r="AR44" s="1392">
        <f t="shared" ca="1" si="9"/>
        <v>0.99</v>
      </c>
      <c r="AS44" s="1392">
        <f t="shared" ca="1" si="9"/>
        <v>0.99</v>
      </c>
      <c r="AT44" s="939">
        <f t="shared" ca="1" si="9"/>
        <v>1.0404899999999999</v>
      </c>
      <c r="AU44" s="939">
        <f t="shared" ca="1" si="9"/>
        <v>0.99</v>
      </c>
      <c r="AV44" s="939">
        <f t="shared" ca="1" si="9"/>
        <v>0.99</v>
      </c>
      <c r="AW44" s="939">
        <f t="shared" ca="1" si="9"/>
        <v>0.99</v>
      </c>
      <c r="AX44" s="939">
        <f t="shared" ca="1" si="9"/>
        <v>0.99</v>
      </c>
      <c r="AY44" s="1392">
        <f t="shared" ca="1" si="9"/>
        <v>0.99</v>
      </c>
      <c r="AZ44" s="1392">
        <f t="shared" ca="1" si="9"/>
        <v>0.99</v>
      </c>
      <c r="BA44" s="1392">
        <f t="shared" ca="1" si="9"/>
        <v>0.99</v>
      </c>
      <c r="BB44" s="1392">
        <f t="shared" ca="1" si="9"/>
        <v>0.99</v>
      </c>
      <c r="BC44" s="1392">
        <f t="shared" ca="1" si="9"/>
        <v>0.99</v>
      </c>
      <c r="BD44" s="940"/>
      <c r="BE44" s="940"/>
      <c r="BF44" s="940"/>
      <c r="BG44" s="940"/>
      <c r="BH44" s="940"/>
      <c r="BI44" s="940"/>
      <c r="BJ44" s="940"/>
      <c r="BK44" s="940"/>
      <c r="BL44" s="940"/>
      <c r="BM44" s="940"/>
      <c r="BN44" s="1290"/>
      <c r="BO44" s="1290"/>
      <c r="BP44" s="1290"/>
      <c r="BQ44" s="465"/>
      <c r="BR44" s="465"/>
      <c r="BS44" s="1029" t="s">
        <v>1407</v>
      </c>
    </row>
    <row r="45" spans="1:71" s="1393" customFormat="1" ht="16.5" customHeight="1">
      <c r="A45" s="170"/>
      <c r="B45" s="170"/>
      <c r="C45" s="170"/>
      <c r="D45" s="170"/>
      <c r="E45" s="676">
        <v>17.100000000000001</v>
      </c>
      <c r="F45" s="779" t="str" cm="1">
        <f t="array" ref="F45">X45</f>
        <v>2</v>
      </c>
      <c r="G45" s="620" t="str" cm="1">
        <f t="array" ref="G45">INDEX('Общие сведения'!$AK$187:$AK$236,MATCH($F45,'Общие сведения'!$Z$187:$Z$236,0))</f>
        <v>одноставочный</v>
      </c>
      <c r="H45" s="170"/>
      <c r="I45" s="163" t="str" cm="1">
        <f t="array" ref="I45">INDEX('Общие сведения'!$AE$187:$AE$236,MATCH($F45,'Общие сведения'!$Z$187:$Z$236,0))</f>
        <v>Теплоснабжение</v>
      </c>
      <c r="J45" s="170"/>
      <c r="K45" s="170"/>
      <c r="L45" s="170"/>
      <c r="M45" s="170"/>
      <c r="N45" s="170"/>
      <c r="O45" s="170"/>
      <c r="P45" s="170"/>
      <c r="Q45" s="170"/>
      <c r="R45" s="170"/>
      <c r="S45" s="170"/>
      <c r="T45" s="687" t="b">
        <f>X45&gt;0</f>
        <v>1</v>
      </c>
      <c r="U45" s="170"/>
      <c r="V45" s="126" t="str" cm="1">
        <f t="array" ref="V45">'Операционные (5.1)'!$AB$77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5" s="170"/>
      <c r="X45" s="1726" t="s">
        <v>348</v>
      </c>
      <c r="Y45" s="170"/>
      <c r="Z45" s="1724"/>
      <c r="AA45" s="170"/>
      <c r="AB45" s="275" t="str" cm="1">
        <f t="array" ref="AB45">IF(ISBLANK('Операционные (5.1)'!$AB$77),"",'Операционные (5.1)'!$AB$77)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5" s="276"/>
      <c r="AD45" s="276"/>
      <c r="AE45" s="276"/>
      <c r="AF45" s="276"/>
      <c r="AG45" s="276"/>
      <c r="AH45" s="276"/>
      <c r="AI45" s="276"/>
      <c r="AJ45" s="276"/>
      <c r="AK45" s="276"/>
      <c r="AL45" s="276"/>
      <c r="AM45" s="276"/>
      <c r="AN45" s="276"/>
      <c r="AO45" s="276"/>
      <c r="AP45" s="276"/>
      <c r="AQ45" s="276"/>
      <c r="AR45" s="276"/>
      <c r="AS45" s="276"/>
      <c r="AT45" s="276"/>
      <c r="AU45" s="276"/>
      <c r="AV45" s="276"/>
      <c r="AW45" s="276"/>
      <c r="AX45" s="276"/>
      <c r="AY45" s="276"/>
      <c r="AZ45" s="276"/>
      <c r="BA45" s="276"/>
      <c r="BB45" s="276"/>
      <c r="BC45" s="276"/>
      <c r="BD45" s="276"/>
      <c r="BE45" s="276"/>
      <c r="BF45" s="276"/>
      <c r="BG45" s="276"/>
      <c r="BH45" s="276"/>
      <c r="BI45" s="276"/>
      <c r="BJ45" s="276"/>
      <c r="BK45" s="276"/>
      <c r="BL45" s="276"/>
      <c r="BM45" s="276"/>
      <c r="BN45" s="276"/>
      <c r="BO45" s="276"/>
      <c r="BP45" s="276"/>
      <c r="BQ45" s="170"/>
      <c r="BR45" s="170"/>
      <c r="BS45" s="1002"/>
    </row>
    <row r="46" spans="1:71" s="1229" customFormat="1" ht="16.5" customHeight="1">
      <c r="A46" s="178"/>
      <c r="B46" s="783"/>
      <c r="C46" s="178"/>
      <c r="D46" s="178"/>
      <c r="E46" s="676">
        <v>17.100000000000001</v>
      </c>
      <c r="F46" s="779" t="str" cm="1">
        <f t="array" aca="1" ref="F46" ca="1">OFFSET(G46,-1,-1)</f>
        <v>2</v>
      </c>
      <c r="G46" s="143" t="s">
        <v>545</v>
      </c>
      <c r="H46" s="180"/>
      <c r="I46" s="180"/>
      <c r="J46" s="180"/>
      <c r="K46" s="180"/>
      <c r="L46" s="180"/>
      <c r="M46" s="180"/>
      <c r="N46" s="180"/>
      <c r="O46" s="180"/>
      <c r="P46" s="180"/>
      <c r="Q46" s="143"/>
      <c r="R46" s="143"/>
      <c r="S46" s="180"/>
      <c r="T46" s="687" t="b" cm="1">
        <f t="array" ref="T46">T45</f>
        <v>1</v>
      </c>
      <c r="U46" s="1153"/>
      <c r="V46" s="1153"/>
      <c r="W46" s="1153"/>
      <c r="X46" s="1726"/>
      <c r="Y46" s="1153"/>
      <c r="Z46" s="1726"/>
      <c r="AA46" s="180"/>
      <c r="AB46" s="111" t="s">
        <v>341</v>
      </c>
      <c r="AC46" s="623" t="s">
        <v>1391</v>
      </c>
      <c r="AD46" s="111" t="s">
        <v>533</v>
      </c>
      <c r="AE46" s="516"/>
      <c r="AF46" s="514"/>
      <c r="AG46" s="514"/>
      <c r="AH46" s="514"/>
      <c r="AI46" s="1388"/>
      <c r="AJ46" s="754">
        <f ca="1">SUMIFS(Сценарии!AE$27:AE$109,Сценарии!$F$27:$F$109,$F46,Сценарии!$G$27:$G$109,$G46)</f>
        <v>0</v>
      </c>
      <c r="AK46" s="754">
        <f ca="1">SUMIFS(Сценарии!AF$27:AF$109,Сценарии!$F$27:$F$109,$F46,Сценарии!$G$27:$G$109,$G46)</f>
        <v>0</v>
      </c>
      <c r="AL46" s="754">
        <f ca="1">SUMIFS(Сценарии!AG$27:AG$109,Сценарии!$F$27:$F$109,$F46,Сценарии!$G$27:$G$109,$G46)</f>
        <v>0</v>
      </c>
      <c r="AM46" s="754">
        <f ca="1">SUMIFS(Сценарии!AH$27:AH$109,Сценарии!$F$27:$F$109,$F46,Сценарии!$G$27:$G$109,$G46)</f>
        <v>0</v>
      </c>
      <c r="AN46" s="754">
        <f ca="1">SUMIFS(Сценарии!AI$27:AI$109,Сценарии!$F$27:$F$109,$F46,Сценарии!$G$27:$G$109,$G46)</f>
        <v>0</v>
      </c>
      <c r="AO46" s="754">
        <f ca="1">SUMIFS(Сценарии!AJ$27:AJ$109,Сценарии!$F$27:$F$109,$F46,Сценарии!$G$27:$G$109,$G46)</f>
        <v>0</v>
      </c>
      <c r="AP46" s="754">
        <f ca="1">SUMIFS(Сценарии!AK$27:AK$109,Сценарии!$F$27:$F$109,$F46,Сценарии!$G$27:$G$109,$G46)</f>
        <v>0</v>
      </c>
      <c r="AQ46" s="754">
        <f ca="1">SUMIFS(Сценарии!AL$27:AL$109,Сценарии!$F$27:$F$109,$F46,Сценарии!$G$27:$G$109,$G46)</f>
        <v>0</v>
      </c>
      <c r="AR46" s="754">
        <f ca="1">SUMIFS(Сценарии!AM$27:AM$109,Сценарии!$F$27:$F$109,$F46,Сценарии!$G$27:$G$109,$G46)</f>
        <v>0</v>
      </c>
      <c r="AS46" s="754">
        <f ca="1">SUMIFS(Сценарии!AN$27:AN$109,Сценарии!$F$27:$F$109,$F46,Сценарии!$G$27:$G$109,$G46)</f>
        <v>0</v>
      </c>
      <c r="AT46" s="754">
        <f ca="1">SUMIFS(Сценарии!AO$27:AO$109,Сценарии!$F$27:$F$109,$F46,Сценарии!$G$27:$G$109,$G46)</f>
        <v>0</v>
      </c>
      <c r="AU46" s="754">
        <f ca="1">SUMIFS(Сценарии!AP$27:AP$109,Сценарии!$F$27:$F$109,$F46,Сценарии!$G$27:$G$109,$G46)</f>
        <v>0</v>
      </c>
      <c r="AV46" s="754">
        <f ca="1">SUMIFS(Сценарии!AQ$27:AQ$109,Сценарии!$F$27:$F$109,$F46,Сценарии!$G$27:$G$109,$G46)</f>
        <v>0</v>
      </c>
      <c r="AW46" s="754">
        <f ca="1">SUMIFS(Сценарии!AR$27:AR$109,Сценарии!$F$27:$F$109,$F46,Сценарии!$G$27:$G$109,$G46)</f>
        <v>0</v>
      </c>
      <c r="AX46" s="754">
        <f ca="1">SUMIFS(Сценарии!AS$27:AS$109,Сценарии!$F$27:$F$109,$F46,Сценарии!$G$27:$G$109,$G46)</f>
        <v>0</v>
      </c>
      <c r="AY46" s="754">
        <f ca="1">SUMIFS(Сценарии!AT$27:AT$109,Сценарии!$F$27:$F$109,$F46,Сценарии!$G$27:$G$109,$G46)</f>
        <v>0</v>
      </c>
      <c r="AZ46" s="754">
        <f ca="1">SUMIFS(Сценарии!AU$27:AU$109,Сценарии!$F$27:$F$109,$F46,Сценарии!$G$27:$G$109,$G46)</f>
        <v>0</v>
      </c>
      <c r="BA46" s="754">
        <f ca="1">SUMIFS(Сценарии!AV$27:AV$109,Сценарии!$F$27:$F$109,$F46,Сценарии!$G$27:$G$109,$G46)</f>
        <v>0</v>
      </c>
      <c r="BB46" s="754">
        <f ca="1">SUMIFS(Сценарии!AW$27:AW$109,Сценарии!$F$27:$F$109,$F46,Сценарии!$G$27:$G$109,$G46)</f>
        <v>0</v>
      </c>
      <c r="BC46" s="754">
        <f ca="1">SUMIFS(Сценарии!AX$27:AX$109,Сценарии!$F$27:$F$109,$F46,Сценарии!$G$27:$G$109,$G46)</f>
        <v>0</v>
      </c>
      <c r="BD46" s="935"/>
      <c r="BE46" s="935"/>
      <c r="BF46" s="935"/>
      <c r="BG46" s="935"/>
      <c r="BH46" s="935"/>
      <c r="BI46" s="935"/>
      <c r="BJ46" s="935"/>
      <c r="BK46" s="935"/>
      <c r="BL46" s="935"/>
      <c r="BM46" s="935"/>
      <c r="BN46" s="1290"/>
      <c r="BO46" s="1290"/>
      <c r="BP46" s="1290"/>
      <c r="BQ46" s="180"/>
      <c r="BR46" s="180"/>
      <c r="BS46" s="1029" t="s">
        <v>1392</v>
      </c>
    </row>
    <row r="47" spans="1:71" s="1394" customFormat="1" ht="16.5" customHeight="1">
      <c r="A47" s="183"/>
      <c r="B47" s="183"/>
      <c r="C47" s="183"/>
      <c r="D47" s="183"/>
      <c r="E47" s="676">
        <v>17.100000000000001</v>
      </c>
      <c r="F47" s="779" t="str" cm="1">
        <f t="array" aca="1" ref="F47" ca="1">OFFSET(G47,-1,-1)</f>
        <v>2</v>
      </c>
      <c r="G47" s="788" t="s">
        <v>535</v>
      </c>
      <c r="H47" s="183"/>
      <c r="I47" s="183"/>
      <c r="J47" s="183"/>
      <c r="K47" s="183"/>
      <c r="L47" s="183"/>
      <c r="M47" s="183"/>
      <c r="N47" s="183"/>
      <c r="O47" s="183"/>
      <c r="P47" s="183"/>
      <c r="Q47" s="183"/>
      <c r="R47" s="183"/>
      <c r="S47" s="183"/>
      <c r="T47" s="687" t="b" cm="1">
        <f t="array" ref="T47">T46</f>
        <v>1</v>
      </c>
      <c r="U47" s="183"/>
      <c r="V47" s="183"/>
      <c r="W47" s="183"/>
      <c r="X47" s="1822"/>
      <c r="Y47" s="183"/>
      <c r="Z47" s="1822"/>
      <c r="AA47" s="183"/>
      <c r="AB47" s="111" t="s">
        <v>348</v>
      </c>
      <c r="AC47" s="119" t="s">
        <v>1393</v>
      </c>
      <c r="AD47" s="111" t="s">
        <v>533</v>
      </c>
      <c r="AE47" s="516"/>
      <c r="AF47" s="514"/>
      <c r="AG47" s="514"/>
      <c r="AH47" s="514"/>
      <c r="AI47" s="1388"/>
      <c r="AJ47" s="754">
        <f ca="1">SUMIFS(Сценарии!AE$27:AE$109,Сценарии!$F$27:$F$109,$F47,Сценарии!$G$27:$G$109,$G47)</f>
        <v>1</v>
      </c>
      <c r="AK47" s="754">
        <f ca="1">SUMIFS(Сценарии!AF$27:AF$109,Сценарии!$F$27:$F$109,$F47,Сценарии!$G$27:$G$109,$G47)</f>
        <v>1</v>
      </c>
      <c r="AL47" s="754">
        <f ca="1">SUMIFS(Сценарии!AG$27:AG$109,Сценарии!$F$27:$F$109,$F47,Сценарии!$G$27:$G$109,$G47)</f>
        <v>1</v>
      </c>
      <c r="AM47" s="754">
        <f ca="1">SUMIFS(Сценарии!AH$27:AH$109,Сценарии!$F$27:$F$109,$F47,Сценарии!$G$27:$G$109,$G47)</f>
        <v>1</v>
      </c>
      <c r="AN47" s="754">
        <f ca="1">SUMIFS(Сценарии!AI$27:AI$109,Сценарии!$F$27:$F$109,$F47,Сценарии!$G$27:$G$109,$G47)</f>
        <v>1</v>
      </c>
      <c r="AO47" s="754">
        <f ca="1">SUMIFS(Сценарии!AJ$27:AJ$109,Сценарии!$F$27:$F$109,$F47,Сценарии!$G$27:$G$109,$G47)</f>
        <v>1</v>
      </c>
      <c r="AP47" s="754">
        <f ca="1">SUMIFS(Сценарии!AK$27:AK$109,Сценарии!$F$27:$F$109,$F47,Сценарии!$G$27:$G$109,$G47)</f>
        <v>1</v>
      </c>
      <c r="AQ47" s="754">
        <f ca="1">SUMIFS(Сценарии!AL$27:AL$109,Сценарии!$F$27:$F$109,$F47,Сценарии!$G$27:$G$109,$G47)</f>
        <v>1</v>
      </c>
      <c r="AR47" s="754">
        <f ca="1">SUMIFS(Сценарии!AM$27:AM$109,Сценарии!$F$27:$F$109,$F47,Сценарии!$G$27:$G$109,$G47)</f>
        <v>1</v>
      </c>
      <c r="AS47" s="754">
        <f ca="1">SUMIFS(Сценарии!AN$27:AN$109,Сценарии!$F$27:$F$109,$F47,Сценарии!$G$27:$G$109,$G47)</f>
        <v>1</v>
      </c>
      <c r="AT47" s="934">
        <v>1</v>
      </c>
      <c r="AU47" s="934">
        <v>1</v>
      </c>
      <c r="AV47" s="934">
        <v>1</v>
      </c>
      <c r="AW47" s="934">
        <v>1</v>
      </c>
      <c r="AX47" s="934">
        <v>1</v>
      </c>
      <c r="AY47" s="1388">
        <v>1</v>
      </c>
      <c r="AZ47" s="1388">
        <v>1</v>
      </c>
      <c r="BA47" s="1388">
        <v>1</v>
      </c>
      <c r="BB47" s="1388">
        <v>1</v>
      </c>
      <c r="BC47" s="1388">
        <v>1</v>
      </c>
      <c r="BD47" s="935"/>
      <c r="BE47" s="935"/>
      <c r="BF47" s="935"/>
      <c r="BG47" s="935"/>
      <c r="BH47" s="935"/>
      <c r="BI47" s="935"/>
      <c r="BJ47" s="935"/>
      <c r="BK47" s="935"/>
      <c r="BL47" s="935"/>
      <c r="BM47" s="935"/>
      <c r="BN47" s="1290"/>
      <c r="BO47" s="1290"/>
      <c r="BP47" s="1290"/>
      <c r="BQ47" s="183"/>
      <c r="BR47" s="183"/>
      <c r="BS47" s="1029" t="s">
        <v>1394</v>
      </c>
    </row>
    <row r="48" spans="1:71" s="1229" customFormat="1" ht="16.5" customHeight="1">
      <c r="A48" s="178"/>
      <c r="B48" s="783"/>
      <c r="C48" s="178"/>
      <c r="D48" s="178"/>
      <c r="E48" s="676">
        <v>17.100000000000001</v>
      </c>
      <c r="F48" s="779" t="str" cm="1">
        <f t="array" aca="1" ref="F48" ca="1">OFFSET(G48,-1,-1)</f>
        <v>2</v>
      </c>
      <c r="G48" s="143" t="s">
        <v>588</v>
      </c>
      <c r="H48" s="180"/>
      <c r="I48" s="180"/>
      <c r="J48" s="180"/>
      <c r="K48" s="180"/>
      <c r="L48" s="180"/>
      <c r="M48" s="180"/>
      <c r="N48" s="180"/>
      <c r="O48" s="180"/>
      <c r="P48" s="180"/>
      <c r="Q48" s="143"/>
      <c r="R48" s="143"/>
      <c r="S48" s="180"/>
      <c r="T48" s="687" t="b" cm="1">
        <f t="array" ref="T48">T47</f>
        <v>1</v>
      </c>
      <c r="U48" s="1153"/>
      <c r="V48" s="1153"/>
      <c r="W48" s="1153"/>
      <c r="X48" s="1726"/>
      <c r="Y48" s="1153"/>
      <c r="Z48" s="1726"/>
      <c r="AA48" s="180"/>
      <c r="AB48" s="111" t="s">
        <v>437</v>
      </c>
      <c r="AC48" s="119" t="s">
        <v>1395</v>
      </c>
      <c r="AD48" s="111"/>
      <c r="AE48" s="516"/>
      <c r="AF48" s="514"/>
      <c r="AG48" s="514"/>
      <c r="AH48" s="514"/>
      <c r="AI48" s="1388"/>
      <c r="AJ48" s="754">
        <f ca="1">SUMIFS(Сценарии!AE$27:AE$109,Сценарии!$F$27:$F$109,$F48,Сценарии!$G$27:$G$109,$G48)</f>
        <v>0</v>
      </c>
      <c r="AK48" s="754">
        <f ca="1">SUMIFS(Сценарии!AF$27:AF$109,Сценарии!$F$27:$F$109,$F48,Сценарии!$G$27:$G$109,$G48)</f>
        <v>0</v>
      </c>
      <c r="AL48" s="754">
        <f ca="1">SUMIFS(Сценарии!AG$27:AG$109,Сценарии!$F$27:$F$109,$F48,Сценарии!$G$27:$G$109,$G48)</f>
        <v>0</v>
      </c>
      <c r="AM48" s="754">
        <f ca="1">SUMIFS(Сценарии!AH$27:AH$109,Сценарии!$F$27:$F$109,$F48,Сценарии!$G$27:$G$109,$G48)</f>
        <v>0</v>
      </c>
      <c r="AN48" s="754">
        <f ca="1">SUMIFS(Сценарии!AI$27:AI$109,Сценарии!$F$27:$F$109,$F48,Сценарии!$G$27:$G$109,$G48)</f>
        <v>0</v>
      </c>
      <c r="AO48" s="754">
        <f ca="1">SUMIFS(Сценарии!AJ$27:AJ$109,Сценарии!$F$27:$F$109,$F48,Сценарии!$G$27:$G$109,$G48)</f>
        <v>0</v>
      </c>
      <c r="AP48" s="754">
        <f ca="1">SUMIFS(Сценарии!AK$27:AK$109,Сценарии!$F$27:$F$109,$F48,Сценарии!$G$27:$G$109,$G48)</f>
        <v>0</v>
      </c>
      <c r="AQ48" s="754">
        <f ca="1">SUMIFS(Сценарии!AL$27:AL$109,Сценарии!$F$27:$F$109,$F48,Сценарии!$G$27:$G$109,$G48)</f>
        <v>0</v>
      </c>
      <c r="AR48" s="754">
        <f ca="1">SUMIFS(Сценарии!AM$27:AM$109,Сценарии!$F$27:$F$109,$F48,Сценарии!$G$27:$G$109,$G48)</f>
        <v>0</v>
      </c>
      <c r="AS48" s="754">
        <f ca="1">SUMIFS(Сценарии!AN$27:AN$109,Сценарии!$F$27:$F$109,$F48,Сценарии!$G$27:$G$109,$G48)</f>
        <v>0</v>
      </c>
      <c r="AT48" s="754">
        <f ca="1">SUMIFS(Сценарии!AO$27:AO$109,Сценарии!$F$27:$F$109,$F48,Сценарии!$G$27:$G$109,$G48)</f>
        <v>0</v>
      </c>
      <c r="AU48" s="754">
        <f ca="1">SUMIFS(Сценарии!AP$27:AP$109,Сценарии!$F$27:$F$109,$F48,Сценарии!$G$27:$G$109,$G48)</f>
        <v>0</v>
      </c>
      <c r="AV48" s="754">
        <f ca="1">SUMIFS(Сценарии!AQ$27:AQ$109,Сценарии!$F$27:$F$109,$F48,Сценарии!$G$27:$G$109,$G48)</f>
        <v>0</v>
      </c>
      <c r="AW48" s="754">
        <f ca="1">SUMIFS(Сценарии!AR$27:AR$109,Сценарии!$F$27:$F$109,$F48,Сценарии!$G$27:$G$109,$G48)</f>
        <v>0</v>
      </c>
      <c r="AX48" s="754">
        <f ca="1">SUMIFS(Сценарии!AS$27:AS$109,Сценарии!$F$27:$F$109,$F48,Сценарии!$G$27:$G$109,$G48)</f>
        <v>0</v>
      </c>
      <c r="AY48" s="754">
        <f ca="1">SUMIFS(Сценарии!AT$27:AT$109,Сценарии!$F$27:$F$109,$F48,Сценарии!$G$27:$G$109,$G48)</f>
        <v>0</v>
      </c>
      <c r="AZ48" s="754">
        <f ca="1">SUMIFS(Сценарии!AU$27:AU$109,Сценарии!$F$27:$F$109,$F48,Сценарии!$G$27:$G$109,$G48)</f>
        <v>0</v>
      </c>
      <c r="BA48" s="754">
        <f ca="1">SUMIFS(Сценарии!AV$27:AV$109,Сценарии!$F$27:$F$109,$F48,Сценарии!$G$27:$G$109,$G48)</f>
        <v>0</v>
      </c>
      <c r="BB48" s="754">
        <f ca="1">SUMIFS(Сценарии!AW$27:AW$109,Сценарии!$F$27:$F$109,$F48,Сценарии!$G$27:$G$109,$G48)</f>
        <v>0</v>
      </c>
      <c r="BC48" s="754">
        <f ca="1">SUMIFS(Сценарии!AX$27:AX$109,Сценарии!$F$27:$F$109,$F48,Сценарии!$G$27:$G$109,$G48)</f>
        <v>0</v>
      </c>
      <c r="BD48" s="935"/>
      <c r="BE48" s="935"/>
      <c r="BF48" s="935"/>
      <c r="BG48" s="935"/>
      <c r="BH48" s="935"/>
      <c r="BI48" s="935"/>
      <c r="BJ48" s="935"/>
      <c r="BK48" s="935"/>
      <c r="BL48" s="935"/>
      <c r="BM48" s="935"/>
      <c r="BN48" s="1290"/>
      <c r="BO48" s="1290"/>
      <c r="BP48" s="1290"/>
      <c r="BQ48" s="180"/>
      <c r="BR48" s="180"/>
      <c r="BS48" s="1029" t="s">
        <v>1396</v>
      </c>
    </row>
    <row r="49" spans="1:71" s="1229" customFormat="1" ht="29.25" customHeight="1">
      <c r="A49" s="178"/>
      <c r="B49" s="783"/>
      <c r="C49" s="178"/>
      <c r="D49" s="178"/>
      <c r="E49" s="676">
        <v>30</v>
      </c>
      <c r="F49" s="779" t="str" cm="1">
        <f t="array" aca="1" ref="F49" ca="1">OFFSET(G49,-1,-1)</f>
        <v>2</v>
      </c>
      <c r="G49" s="143" t="s">
        <v>488</v>
      </c>
      <c r="H49" s="180"/>
      <c r="I49" s="180"/>
      <c r="J49" s="180"/>
      <c r="K49" s="180"/>
      <c r="L49" s="180"/>
      <c r="M49" s="180"/>
      <c r="N49" s="180"/>
      <c r="O49" s="180"/>
      <c r="P49" s="180"/>
      <c r="Q49" s="143"/>
      <c r="R49" s="143"/>
      <c r="S49" s="180"/>
      <c r="T49" s="687" t="b" cm="1">
        <f t="array" ref="T49">T48</f>
        <v>1</v>
      </c>
      <c r="U49" s="1153"/>
      <c r="V49" s="1153"/>
      <c r="W49" s="1153"/>
      <c r="X49" s="1726"/>
      <c r="Y49" s="1153"/>
      <c r="Z49" s="1726"/>
      <c r="AA49" s="180"/>
      <c r="AB49" s="111" t="s">
        <v>744</v>
      </c>
      <c r="AC49" s="116" t="s">
        <v>1397</v>
      </c>
      <c r="AD49" s="111" t="s">
        <v>1398</v>
      </c>
      <c r="AE49" s="516"/>
      <c r="AF49" s="514"/>
      <c r="AG49" s="514"/>
      <c r="AH49" s="514"/>
      <c r="AI49" s="1390">
        <f ca="1">SUMIFS('Расчет УЕ'!AE$26:AE$88,'Расчет УЕ'!$F$26:$F$88,$F49,'Расчет УЕ'!$G$26:$G$88,$G49)</f>
        <v>488.37459199999995</v>
      </c>
      <c r="AJ49" s="899">
        <f ca="1">SUMIFS('Расчет УЕ'!AF$26:AF$88,'Расчет УЕ'!$F$26:$F$88,$F49,'Расчет УЕ'!$G$26:$G$88,$G49)</f>
        <v>0</v>
      </c>
      <c r="AK49" s="899">
        <f ca="1">SUMIFS('Расчет УЕ'!AG$26:AG$88,'Расчет УЕ'!$F$26:$F$88,$F49,'Расчет УЕ'!$G$26:$G$88,$G49)</f>
        <v>0</v>
      </c>
      <c r="AL49" s="754">
        <f ca="1">SUMIFS('Расчет УЕ'!AH$26:AH$88,'Расчет УЕ'!$F$26:$F$88,$F49,'Расчет УЕ'!$G$26:$G$88,$G49)</f>
        <v>0</v>
      </c>
      <c r="AM49" s="754">
        <f ca="1">SUMIFS('Расчет УЕ'!AI$26:AI$88,'Расчет УЕ'!$F$26:$F$88,$F49,'Расчет УЕ'!$G$26:$G$88,$G49)</f>
        <v>0</v>
      </c>
      <c r="AN49" s="754">
        <f ca="1">SUMIFS('Расчет УЕ'!AJ$26:AJ$88,'Расчет УЕ'!$F$26:$F$88,$F49,'Расчет УЕ'!$G$26:$G$88,$G49)</f>
        <v>0</v>
      </c>
      <c r="AO49" s="754">
        <f ca="1">SUMIFS('Расчет УЕ'!AK$26:AK$88,'Расчет УЕ'!$F$26:$F$88,$F49,'Расчет УЕ'!$G$26:$G$88,$G49)</f>
        <v>0</v>
      </c>
      <c r="AP49" s="754">
        <f ca="1">SUMIFS('Расчет УЕ'!AL$26:AL$88,'Расчет УЕ'!$F$26:$F$88,$F49,'Расчет УЕ'!$G$26:$G$88,$G49)</f>
        <v>0</v>
      </c>
      <c r="AQ49" s="754">
        <f ca="1">SUMIFS('Расчет УЕ'!AM$26:AM$88,'Расчет УЕ'!$F$26:$F$88,$F49,'Расчет УЕ'!$G$26:$G$88,$G49)</f>
        <v>0</v>
      </c>
      <c r="AR49" s="754">
        <f ca="1">SUMIFS('Расчет УЕ'!AN$26:AN$88,'Расчет УЕ'!$F$26:$F$88,$F49,'Расчет УЕ'!$G$26:$G$88,$G49)</f>
        <v>0</v>
      </c>
      <c r="AS49" s="754">
        <f ca="1">SUMIFS('Расчет УЕ'!AO$26:AO$88,'Расчет УЕ'!$F$26:$F$88,$F49,'Расчет УЕ'!$G$26:$G$88,$G49)</f>
        <v>0</v>
      </c>
      <c r="AT49" s="754">
        <f ca="1">SUMIFS('Расчет УЕ'!AP$26:AP$88,'Расчет УЕ'!$F$26:$F$88,$F49,'Расчет УЕ'!$G$26:$G$88,$G49)</f>
        <v>490.14803029119992</v>
      </c>
      <c r="AU49" s="754">
        <f ca="1">SUMIFS('Расчет УЕ'!AQ$26:AQ$88,'Расчет УЕ'!$F$26:$F$88,$F49,'Расчет УЕ'!$G$26:$G$88,$G49)</f>
        <v>0</v>
      </c>
      <c r="AV49" s="754">
        <f ca="1">SUMIFS('Расчет УЕ'!AR$26:AR$88,'Расчет УЕ'!$F$26:$F$88,$F49,'Расчет УЕ'!$G$26:$G$88,$G49)</f>
        <v>0</v>
      </c>
      <c r="AW49" s="754">
        <f ca="1">SUMIFS('Расчет УЕ'!AS$26:AS$88,'Расчет УЕ'!$F$26:$F$88,$F49,'Расчет УЕ'!$G$26:$G$88,$G49)</f>
        <v>0</v>
      </c>
      <c r="AX49" s="754">
        <f ca="1">SUMIFS('Расчет УЕ'!AT$26:AT$88,'Расчет УЕ'!$F$26:$F$88,$F49,'Расчет УЕ'!$G$26:$G$88,$G49)</f>
        <v>0</v>
      </c>
      <c r="AY49" s="754">
        <f ca="1">SUMIFS('Расчет УЕ'!AU$26:AU$88,'Расчет УЕ'!$F$26:$F$88,$F49,'Расчет УЕ'!$G$26:$G$88,$G49)</f>
        <v>0</v>
      </c>
      <c r="AZ49" s="754">
        <f ca="1">SUMIFS('Расчет УЕ'!AV$26:AV$88,'Расчет УЕ'!$F$26:$F$88,$F49,'Расчет УЕ'!$G$26:$G$88,$G49)</f>
        <v>0</v>
      </c>
      <c r="BA49" s="754">
        <f ca="1">SUMIFS('Расчет УЕ'!AW$26:AW$88,'Расчет УЕ'!$F$26:$F$88,$F49,'Расчет УЕ'!$G$26:$G$88,$G49)</f>
        <v>0</v>
      </c>
      <c r="BB49" s="754">
        <f ca="1">SUMIFS('Расчет УЕ'!AX$26:AX$88,'Расчет УЕ'!$F$26:$F$88,$F49,'Расчет УЕ'!$G$26:$G$88,$G49)</f>
        <v>0</v>
      </c>
      <c r="BC49" s="754">
        <f ca="1">SUMIFS('Расчет УЕ'!AY$26:AY$88,'Расчет УЕ'!$F$26:$F$88,$F49,'Расчет УЕ'!$G$26:$G$88,$G49)</f>
        <v>0</v>
      </c>
      <c r="BD49" s="935"/>
      <c r="BE49" s="935"/>
      <c r="BF49" s="935"/>
      <c r="BG49" s="935"/>
      <c r="BH49" s="935"/>
      <c r="BI49" s="935"/>
      <c r="BJ49" s="935"/>
      <c r="BK49" s="935"/>
      <c r="BL49" s="935"/>
      <c r="BM49" s="935"/>
      <c r="BN49" s="1290"/>
      <c r="BO49" s="1290"/>
      <c r="BP49" s="1290"/>
      <c r="BQ49" s="180"/>
      <c r="BR49" s="180"/>
      <c r="BS49" s="1029" t="s">
        <v>1399</v>
      </c>
    </row>
    <row r="50" spans="1:71" s="1229" customFormat="1" ht="16.5" customHeight="1">
      <c r="A50" s="178"/>
      <c r="B50" s="783"/>
      <c r="C50" s="178"/>
      <c r="D50" s="178"/>
      <c r="E50" s="676">
        <v>17.100000000000001</v>
      </c>
      <c r="F50" s="779" t="str" cm="1">
        <f t="array" aca="1" ref="F50" ca="1">OFFSET(G50,-1,-1)</f>
        <v>2</v>
      </c>
      <c r="G50" s="143" t="s">
        <v>483</v>
      </c>
      <c r="H50" s="180"/>
      <c r="I50" s="180"/>
      <c r="J50" s="180"/>
      <c r="K50" s="180"/>
      <c r="L50" s="180"/>
      <c r="M50" s="180"/>
      <c r="N50" s="180"/>
      <c r="O50" s="180"/>
      <c r="P50" s="180"/>
      <c r="Q50" s="143"/>
      <c r="R50" s="143"/>
      <c r="S50" s="180"/>
      <c r="T50" s="687" t="b" cm="1">
        <f t="array" ref="T50">T49</f>
        <v>1</v>
      </c>
      <c r="U50" s="1153"/>
      <c r="V50" s="1153"/>
      <c r="W50" s="1153"/>
      <c r="X50" s="1726"/>
      <c r="Y50" s="1153"/>
      <c r="Z50" s="1726"/>
      <c r="AA50" s="180"/>
      <c r="AB50" s="111" t="s">
        <v>747</v>
      </c>
      <c r="AC50" s="116" t="s">
        <v>1400</v>
      </c>
      <c r="AD50" s="111" t="s">
        <v>725</v>
      </c>
      <c r="AE50" s="516"/>
      <c r="AF50" s="514"/>
      <c r="AG50" s="514"/>
      <c r="AH50" s="896"/>
      <c r="AI50" s="935"/>
      <c r="AJ50" s="754">
        <f ca="1">SUMIFS('Расчет УЕ'!AF$26:AF$88,'Расчет УЕ'!$F$26:$F$88,$F50,'Расчет УЕ'!$G$26:$G$88,$G50)</f>
        <v>0</v>
      </c>
      <c r="AK50" s="754">
        <f ca="1">SUMIFS('Расчет УЕ'!AG$26:AG$88,'Расчет УЕ'!$F$26:$F$88,$F50,'Расчет УЕ'!$G$26:$G$88,$G50)</f>
        <v>0</v>
      </c>
      <c r="AL50" s="898">
        <f ca="1">SUMIFS('Расчет УЕ'!AH$26:AH$88,'Расчет УЕ'!$F$26:$F$88,$F50,'Расчет УЕ'!$G$26:$G$88,$G50)</f>
        <v>0</v>
      </c>
      <c r="AM50" s="754">
        <f ca="1">SUMIFS('Расчет УЕ'!AI$26:AI$88,'Расчет УЕ'!$F$26:$F$88,$F50,'Расчет УЕ'!$G$26:$G$88,$G50)</f>
        <v>0</v>
      </c>
      <c r="AN50" s="754">
        <f ca="1">SUMIFS('Расчет УЕ'!AJ$26:AJ$88,'Расчет УЕ'!$F$26:$F$88,$F50,'Расчет УЕ'!$G$26:$G$88,$G50)</f>
        <v>0</v>
      </c>
      <c r="AO50" s="754">
        <f ca="1">SUMIFS('Расчет УЕ'!AK$26:AK$88,'Расчет УЕ'!$F$26:$F$88,$F50,'Расчет УЕ'!$G$26:$G$88,$G50)</f>
        <v>0</v>
      </c>
      <c r="AP50" s="754">
        <f ca="1">SUMIFS('Расчет УЕ'!AL$26:AL$88,'Расчет УЕ'!$F$26:$F$88,$F50,'Расчет УЕ'!$G$26:$G$88,$G50)</f>
        <v>0</v>
      </c>
      <c r="AQ50" s="754">
        <f ca="1">SUMIFS('Расчет УЕ'!AM$26:AM$88,'Расчет УЕ'!$F$26:$F$88,$F50,'Расчет УЕ'!$G$26:$G$88,$G50)</f>
        <v>0</v>
      </c>
      <c r="AR50" s="754">
        <f ca="1">SUMIFS('Расчет УЕ'!AN$26:AN$88,'Расчет УЕ'!$F$26:$F$88,$F50,'Расчет УЕ'!$G$26:$G$88,$G50)</f>
        <v>0</v>
      </c>
      <c r="AS50" s="754">
        <f ca="1">SUMIFS('Расчет УЕ'!AO$26:AO$88,'Расчет УЕ'!$F$26:$F$88,$F50,'Расчет УЕ'!$G$26:$G$88,$G50)</f>
        <v>0</v>
      </c>
      <c r="AT50" s="754">
        <f ca="1">SUMIFS('Расчет УЕ'!AP$26:AP$88,'Расчет УЕ'!$F$26:$F$88,$F50,'Расчет УЕ'!$G$26:$G$88,$G50)</f>
        <v>84</v>
      </c>
      <c r="AU50" s="754">
        <f ca="1">SUMIFS('Расчет УЕ'!AQ$26:AQ$88,'Расчет УЕ'!$F$26:$F$88,$F50,'Расчет УЕ'!$G$26:$G$88,$G50)</f>
        <v>0</v>
      </c>
      <c r="AV50" s="754">
        <f ca="1">SUMIFS('Расчет УЕ'!AR$26:AR$88,'Расчет УЕ'!$F$26:$F$88,$F50,'Расчет УЕ'!$G$26:$G$88,$G50)</f>
        <v>0</v>
      </c>
      <c r="AW50" s="754">
        <f ca="1">SUMIFS('Расчет УЕ'!AS$26:AS$88,'Расчет УЕ'!$F$26:$F$88,$F50,'Расчет УЕ'!$G$26:$G$88,$G50)</f>
        <v>0</v>
      </c>
      <c r="AX50" s="754">
        <f ca="1">SUMIFS('Расчет УЕ'!AT$26:AT$88,'Расчет УЕ'!$F$26:$F$88,$F50,'Расчет УЕ'!$G$26:$G$88,$G50)</f>
        <v>0</v>
      </c>
      <c r="AY50" s="754">
        <f ca="1">SUMIFS('Расчет УЕ'!AU$26:AU$88,'Расчет УЕ'!$F$26:$F$88,$F50,'Расчет УЕ'!$G$26:$G$88,$G50)</f>
        <v>0</v>
      </c>
      <c r="AZ50" s="754">
        <f ca="1">SUMIFS('Расчет УЕ'!AV$26:AV$88,'Расчет УЕ'!$F$26:$F$88,$F50,'Расчет УЕ'!$G$26:$G$88,$G50)</f>
        <v>0</v>
      </c>
      <c r="BA50" s="754">
        <f ca="1">SUMIFS('Расчет УЕ'!AW$26:AW$88,'Расчет УЕ'!$F$26:$F$88,$F50,'Расчет УЕ'!$G$26:$G$88,$G50)</f>
        <v>0</v>
      </c>
      <c r="BB50" s="754">
        <f ca="1">SUMIFS('Расчет УЕ'!AX$26:AX$88,'Расчет УЕ'!$F$26:$F$88,$F50,'Расчет УЕ'!$G$26:$G$88,$G50)</f>
        <v>0</v>
      </c>
      <c r="BC50" s="754">
        <f ca="1">SUMIFS('Расчет УЕ'!AY$26:AY$88,'Расчет УЕ'!$F$26:$F$88,$F50,'Расчет УЕ'!$G$26:$G$88,$G50)</f>
        <v>0</v>
      </c>
      <c r="BD50" s="935"/>
      <c r="BE50" s="935"/>
      <c r="BF50" s="935"/>
      <c r="BG50" s="935"/>
      <c r="BH50" s="935"/>
      <c r="BI50" s="935"/>
      <c r="BJ50" s="935"/>
      <c r="BK50" s="935"/>
      <c r="BL50" s="935"/>
      <c r="BM50" s="935"/>
      <c r="BN50" s="1290"/>
      <c r="BO50" s="1290"/>
      <c r="BP50" s="1290"/>
      <c r="BQ50" s="180"/>
      <c r="BR50" s="180"/>
      <c r="BS50" s="1029" t="s">
        <v>1401</v>
      </c>
    </row>
    <row r="51" spans="1:71" s="1229" customFormat="1" ht="16.5" customHeight="1">
      <c r="A51" s="178"/>
      <c r="B51" s="783"/>
      <c r="C51" s="178"/>
      <c r="D51" s="178"/>
      <c r="E51" s="676">
        <v>17.100000000000001</v>
      </c>
      <c r="F51" s="779" t="str" cm="1">
        <f t="array" aca="1" ref="F51" ca="1">OFFSET(G51,-1,-1)</f>
        <v>2</v>
      </c>
      <c r="G51" s="620" t="s">
        <v>592</v>
      </c>
      <c r="H51" s="180"/>
      <c r="I51" s="180"/>
      <c r="J51" s="180"/>
      <c r="K51" s="180"/>
      <c r="L51" s="180"/>
      <c r="M51" s="180"/>
      <c r="N51" s="180"/>
      <c r="O51" s="180"/>
      <c r="P51" s="180"/>
      <c r="Q51" s="143"/>
      <c r="R51" s="143"/>
      <c r="S51" s="180"/>
      <c r="T51" s="687" t="b" cm="1">
        <f t="array" ref="T51">T50</f>
        <v>1</v>
      </c>
      <c r="U51" s="1153"/>
      <c r="V51" s="1153"/>
      <c r="W51" s="1153"/>
      <c r="X51" s="1726"/>
      <c r="Y51" s="1153"/>
      <c r="Z51" s="1726"/>
      <c r="AA51" s="180"/>
      <c r="AB51" s="111" t="s">
        <v>440</v>
      </c>
      <c r="AC51" s="119" t="s">
        <v>1408</v>
      </c>
      <c r="AD51" s="111"/>
      <c r="AE51" s="619"/>
      <c r="AF51" s="536"/>
      <c r="AG51" s="536"/>
      <c r="AH51" s="537"/>
      <c r="AI51" s="935"/>
      <c r="AJ51" s="754">
        <f ca="1">SUMIFS(Сценарии!AE$27:AE$109,Сценарии!$F$27:$F$109,$F51,Сценарии!$G$27:$G$109,$G51)</f>
        <v>0.75</v>
      </c>
      <c r="AK51" s="754">
        <f ca="1">SUMIFS(Сценарии!AF$27:AF$109,Сценарии!$F$27:$F$109,$F51,Сценарии!$G$27:$G$109,$G51)</f>
        <v>0.75</v>
      </c>
      <c r="AL51" s="754">
        <f ca="1">SUMIFS(Сценарии!AG$27:AG$109,Сценарии!$F$27:$F$109,$F51,Сценарии!$G$27:$G$109,$G51)</f>
        <v>0.75</v>
      </c>
      <c r="AM51" s="754">
        <f ca="1">SUMIFS(Сценарии!AH$27:AH$109,Сценарии!$F$27:$F$109,$F51,Сценарии!$G$27:$G$109,$G51)</f>
        <v>0.75</v>
      </c>
      <c r="AN51" s="754">
        <f ca="1">SUMIFS(Сценарии!AI$27:AI$109,Сценарии!$F$27:$F$109,$F51,Сценарии!$G$27:$G$109,$G51)</f>
        <v>0.75</v>
      </c>
      <c r="AO51" s="754">
        <f ca="1">SUMIFS(Сценарии!AJ$27:AJ$109,Сценарии!$F$27:$F$109,$F51,Сценарии!$G$27:$G$109,$G51)</f>
        <v>0.75</v>
      </c>
      <c r="AP51" s="754">
        <f ca="1">SUMIFS(Сценарии!AK$27:AK$109,Сценарии!$F$27:$F$109,$F51,Сценарии!$G$27:$G$109,$G51)</f>
        <v>0.75</v>
      </c>
      <c r="AQ51" s="754">
        <f ca="1">SUMIFS(Сценарии!AL$27:AL$109,Сценарии!$F$27:$F$109,$F51,Сценарии!$G$27:$G$109,$G51)</f>
        <v>0.75</v>
      </c>
      <c r="AR51" s="754">
        <f ca="1">SUMIFS(Сценарии!AM$27:AM$109,Сценарии!$F$27:$F$109,$F51,Сценарии!$G$27:$G$109,$G51)</f>
        <v>0.75</v>
      </c>
      <c r="AS51" s="754">
        <f ca="1">SUMIFS(Сценарии!AN$27:AN$109,Сценарии!$F$27:$F$109,$F51,Сценарии!$G$27:$G$109,$G51)</f>
        <v>0.75</v>
      </c>
      <c r="AT51" s="754">
        <f ca="1">SUMIFS(Сценарии!AO$27:AO$109,Сценарии!$F$27:$F$109,$F51,Сценарии!$G$27:$G$109,$G51)</f>
        <v>0.75</v>
      </c>
      <c r="AU51" s="754">
        <f ca="1">SUMIFS(Сценарии!AP$27:AP$109,Сценарии!$F$27:$F$109,$F51,Сценарии!$G$27:$G$109,$G51)</f>
        <v>0.75</v>
      </c>
      <c r="AV51" s="754">
        <f ca="1">SUMIFS(Сценарии!AQ$27:AQ$109,Сценарии!$F$27:$F$109,$F51,Сценарии!$G$27:$G$109,$G51)</f>
        <v>0.75</v>
      </c>
      <c r="AW51" s="754">
        <f ca="1">SUMIFS(Сценарии!AR$27:AR$109,Сценарии!$F$27:$F$109,$F51,Сценарии!$G$27:$G$109,$G51)</f>
        <v>0.75</v>
      </c>
      <c r="AX51" s="754">
        <f ca="1">SUMIFS(Сценарии!AS$27:AS$109,Сценарии!$F$27:$F$109,$F51,Сценарии!$G$27:$G$109,$G51)</f>
        <v>0.75</v>
      </c>
      <c r="AY51" s="754">
        <f ca="1">SUMIFS(Сценарии!AT$27:AT$109,Сценарии!$F$27:$F$109,$F51,Сценарии!$G$27:$G$109,$G51)</f>
        <v>0.75</v>
      </c>
      <c r="AZ51" s="754">
        <f ca="1">SUMIFS(Сценарии!AU$27:AU$109,Сценарии!$F$27:$F$109,$F51,Сценарии!$G$27:$G$109,$G51)</f>
        <v>0.75</v>
      </c>
      <c r="BA51" s="754">
        <f ca="1">SUMIFS(Сценарии!AV$27:AV$109,Сценарии!$F$27:$F$109,$F51,Сценарии!$G$27:$G$109,$G51)</f>
        <v>0.75</v>
      </c>
      <c r="BB51" s="754">
        <f ca="1">SUMIFS(Сценарии!AW$27:AW$109,Сценарии!$F$27:$F$109,$F51,Сценарии!$G$27:$G$109,$G51)</f>
        <v>0.75</v>
      </c>
      <c r="BC51" s="754">
        <f ca="1">SUMIFS(Сценарии!AX$27:AX$109,Сценарии!$F$27:$F$109,$F51,Сценарии!$G$27:$G$109,$G51)</f>
        <v>0.75</v>
      </c>
      <c r="BD51" s="936"/>
      <c r="BE51" s="936"/>
      <c r="BF51" s="936"/>
      <c r="BG51" s="936"/>
      <c r="BH51" s="936"/>
      <c r="BI51" s="935"/>
      <c r="BJ51" s="935"/>
      <c r="BK51" s="935"/>
      <c r="BL51" s="935"/>
      <c r="BM51" s="935"/>
      <c r="BN51" s="1290"/>
      <c r="BO51" s="1290"/>
      <c r="BP51" s="1290"/>
      <c r="BQ51" s="180"/>
      <c r="BR51" s="180"/>
      <c r="BS51" s="1029" t="s">
        <v>1403</v>
      </c>
    </row>
    <row r="52" spans="1:71" s="1229" customFormat="1" ht="16.5" customHeight="1">
      <c r="A52" s="178"/>
      <c r="B52" s="783"/>
      <c r="C52" s="178"/>
      <c r="D52" s="178"/>
      <c r="E52" s="676">
        <v>17.100000000000001</v>
      </c>
      <c r="F52" s="779" t="str" cm="1">
        <f t="array" aca="1" ref="F52" ca="1">OFFSET(G52,-1,-1)</f>
        <v>2</v>
      </c>
      <c r="G52" s="620" t="s">
        <v>1350</v>
      </c>
      <c r="H52" s="180"/>
      <c r="I52" s="180"/>
      <c r="J52" s="180"/>
      <c r="K52" s="180" t="str">
        <f ca="1">F52&amp;"komm"</f>
        <v>2komm</v>
      </c>
      <c r="L52" s="179" cm="1">
        <f t="array" ref="L52">BO52</f>
        <v>0</v>
      </c>
      <c r="M52" s="180"/>
      <c r="N52" s="180"/>
      <c r="O52" s="180"/>
      <c r="P52" s="180"/>
      <c r="Q52" s="143"/>
      <c r="R52" s="143"/>
      <c r="S52" s="180"/>
      <c r="T52" s="687" t="b" cm="1">
        <f t="array" ref="T52">T51</f>
        <v>1</v>
      </c>
      <c r="U52" s="1153"/>
      <c r="V52" s="1153"/>
      <c r="W52" s="1153"/>
      <c r="X52" s="1726"/>
      <c r="Y52" s="1153"/>
      <c r="Z52" s="1726"/>
      <c r="AA52" s="180"/>
      <c r="AB52" s="535" t="s">
        <v>443</v>
      </c>
      <c r="AC52" s="624" t="s">
        <v>1404</v>
      </c>
      <c r="AD52" s="564" t="s">
        <v>839</v>
      </c>
      <c r="AE52" s="518" cm="1">
        <f t="array" ref="AE52">'Операционные (5.1)'!AE46</f>
        <v>0</v>
      </c>
      <c r="AF52" s="518" cm="1">
        <f t="array" ref="AF52">'Операционные (5.1)'!AF46</f>
        <v>0</v>
      </c>
      <c r="AG52" s="518" cm="1">
        <f t="array" ref="AG52">'Операционные (5.1)'!AG46</f>
        <v>0</v>
      </c>
      <c r="AH52" s="751" cm="1">
        <f t="array" ref="AH52">'Операционные (5.1)'!AH46</f>
        <v>0</v>
      </c>
      <c r="AI52" s="518">
        <f ca="1">SUMIFS('Операционные (5.1)'!AI$26:AI$103,'Операционные (5.1)'!$F$26:$F$103,$F52,'Операционные (5.1)'!$G$26:$G$103,$G52)</f>
        <v>191538</v>
      </c>
      <c r="AJ52" s="625">
        <f ca="1">IF(god=first_year,SUMIFS('Операционные (5.1)'!AJ$26:AJ$103,'Операционные (5.1)'!$F$26:$F$103,$F52,'Операционные (5.1)'!$G$26:$G$103,$G52),AI52*AJ53)</f>
        <v>189622.62</v>
      </c>
      <c r="AK52" s="255">
        <f t="shared" ref="AK52:AS52" ca="1" si="10">AJ52*AK53</f>
        <v>187726.39379999999</v>
      </c>
      <c r="AL52" s="1128">
        <f t="shared" ca="1" si="10"/>
        <v>185849.129862</v>
      </c>
      <c r="AM52" s="255">
        <f t="shared" ca="1" si="10"/>
        <v>183990.63856337999</v>
      </c>
      <c r="AN52" s="255">
        <f t="shared" ca="1" si="10"/>
        <v>182150.73217774619</v>
      </c>
      <c r="AO52" s="255">
        <f t="shared" ca="1" si="10"/>
        <v>180329.22485596873</v>
      </c>
      <c r="AP52" s="255">
        <f t="shared" ca="1" si="10"/>
        <v>178525.93260740905</v>
      </c>
      <c r="AQ52" s="255">
        <f t="shared" ca="1" si="10"/>
        <v>176740.67328133495</v>
      </c>
      <c r="AR52" s="255">
        <f t="shared" ca="1" si="10"/>
        <v>174973.26654852161</v>
      </c>
      <c r="AS52" s="255">
        <f t="shared" ca="1" si="10"/>
        <v>173223.53388303641</v>
      </c>
      <c r="AT52" s="1129">
        <v>197839.58</v>
      </c>
      <c r="AU52" s="255">
        <f t="shared" ref="AU52:BC52" ca="1" si="11">AT52*AU53</f>
        <v>195861.18419999999</v>
      </c>
      <c r="AV52" s="255">
        <f t="shared" ca="1" si="11"/>
        <v>193902.57235799998</v>
      </c>
      <c r="AW52" s="255">
        <f t="shared" ca="1" si="11"/>
        <v>191963.54663441997</v>
      </c>
      <c r="AX52" s="255">
        <f t="shared" ca="1" si="11"/>
        <v>190043.91116807578</v>
      </c>
      <c r="AY52" s="255">
        <f t="shared" ca="1" si="11"/>
        <v>188143.47205639502</v>
      </c>
      <c r="AZ52" s="255">
        <f t="shared" ca="1" si="11"/>
        <v>186262.03733583106</v>
      </c>
      <c r="BA52" s="255">
        <f t="shared" ca="1" si="11"/>
        <v>184399.41696247275</v>
      </c>
      <c r="BB52" s="255">
        <f t="shared" ca="1" si="11"/>
        <v>182555.42279284802</v>
      </c>
      <c r="BC52" s="1130">
        <f t="shared" ca="1" si="11"/>
        <v>180729.86856491954</v>
      </c>
      <c r="BD52" s="938"/>
      <c r="BE52" s="937">
        <f t="shared" ref="BE52:BM52" ca="1" si="12">IF(AT52=0,0,(AU52-AT52)/AT52*100)</f>
        <v>-0.99999999999999933</v>
      </c>
      <c r="BF52" s="937">
        <f t="shared" ca="1" si="12"/>
        <v>-1.0000000000000067</v>
      </c>
      <c r="BG52" s="937">
        <f t="shared" ca="1" si="12"/>
        <v>-1.0000000000000049</v>
      </c>
      <c r="BH52" s="937">
        <f t="shared" ca="1" si="12"/>
        <v>-0.99999999999999445</v>
      </c>
      <c r="BI52" s="937">
        <f t="shared" ca="1" si="12"/>
        <v>-0.99999999999999745</v>
      </c>
      <c r="BJ52" s="937">
        <f t="shared" ca="1" si="12"/>
        <v>-1.0000000000000075</v>
      </c>
      <c r="BK52" s="937">
        <f t="shared" ca="1" si="12"/>
        <v>-0.99999999999999956</v>
      </c>
      <c r="BL52" s="937">
        <f t="shared" ca="1" si="12"/>
        <v>-0.99999999999999911</v>
      </c>
      <c r="BM52" s="937">
        <f t="shared" ca="1" si="12"/>
        <v>-1.0000000000000029</v>
      </c>
      <c r="BN52" s="1290"/>
      <c r="BO52" s="1290"/>
      <c r="BP52" s="1290"/>
      <c r="BQ52" s="180"/>
      <c r="BR52" s="180"/>
      <c r="BS52" s="1029" t="s">
        <v>1405</v>
      </c>
    </row>
    <row r="53" spans="1:71" s="1395" customFormat="1" ht="16.5" customHeight="1">
      <c r="A53" s="810"/>
      <c r="B53" s="789"/>
      <c r="C53" s="810"/>
      <c r="D53" s="810"/>
      <c r="E53" s="676">
        <v>17.100000000000001</v>
      </c>
      <c r="F53" s="779" t="str" cm="1">
        <f t="array" aca="1" ref="F53" ca="1">OFFSET(G53,-1,-1)</f>
        <v>2</v>
      </c>
      <c r="G53" s="790"/>
      <c r="H53" s="465"/>
      <c r="I53" s="465"/>
      <c r="J53" s="465"/>
      <c r="K53" s="465"/>
      <c r="L53" s="465"/>
      <c r="M53" s="465"/>
      <c r="N53" s="465"/>
      <c r="O53" s="465"/>
      <c r="P53" s="465"/>
      <c r="Q53" s="465"/>
      <c r="R53" s="465"/>
      <c r="S53" s="465"/>
      <c r="T53" s="687" t="b" cm="1">
        <f t="array" ref="T53">T52</f>
        <v>1</v>
      </c>
      <c r="U53" s="810"/>
      <c r="V53" s="810"/>
      <c r="W53" s="811"/>
      <c r="X53" s="1828"/>
      <c r="Y53" s="811"/>
      <c r="Z53" s="1828"/>
      <c r="AA53" s="465"/>
      <c r="AB53" s="752" t="s">
        <v>785</v>
      </c>
      <c r="AC53" s="885" t="s">
        <v>1406</v>
      </c>
      <c r="AD53" s="618"/>
      <c r="AE53" s="75"/>
      <c r="AF53" s="75"/>
      <c r="AG53" s="75"/>
      <c r="AH53" s="897"/>
      <c r="AI53" s="940"/>
      <c r="AJ53" s="939">
        <f t="shared" ref="AJ53:BC53" ca="1" si="13">(1+AJ46%)*(1-AJ47%)*(1+AJ48*AJ51)</f>
        <v>0.99</v>
      </c>
      <c r="AK53" s="939">
        <f t="shared" ca="1" si="13"/>
        <v>0.99</v>
      </c>
      <c r="AL53" s="939">
        <f t="shared" ca="1" si="13"/>
        <v>0.99</v>
      </c>
      <c r="AM53" s="939">
        <f t="shared" ca="1" si="13"/>
        <v>0.99</v>
      </c>
      <c r="AN53" s="939">
        <f t="shared" ca="1" si="13"/>
        <v>0.99</v>
      </c>
      <c r="AO53" s="1392">
        <f t="shared" ca="1" si="13"/>
        <v>0.99</v>
      </c>
      <c r="AP53" s="1392">
        <f t="shared" ca="1" si="13"/>
        <v>0.99</v>
      </c>
      <c r="AQ53" s="1392">
        <f t="shared" ca="1" si="13"/>
        <v>0.99</v>
      </c>
      <c r="AR53" s="1392">
        <f t="shared" ca="1" si="13"/>
        <v>0.99</v>
      </c>
      <c r="AS53" s="1392">
        <f t="shared" ca="1" si="13"/>
        <v>0.99</v>
      </c>
      <c r="AT53" s="939">
        <f t="shared" ca="1" si="13"/>
        <v>0.99</v>
      </c>
      <c r="AU53" s="939">
        <f t="shared" ca="1" si="13"/>
        <v>0.99</v>
      </c>
      <c r="AV53" s="939">
        <f t="shared" ca="1" si="13"/>
        <v>0.99</v>
      </c>
      <c r="AW53" s="939">
        <f t="shared" ca="1" si="13"/>
        <v>0.99</v>
      </c>
      <c r="AX53" s="939">
        <f t="shared" ca="1" si="13"/>
        <v>0.99</v>
      </c>
      <c r="AY53" s="1392">
        <f t="shared" ca="1" si="13"/>
        <v>0.99</v>
      </c>
      <c r="AZ53" s="1392">
        <f t="shared" ca="1" si="13"/>
        <v>0.99</v>
      </c>
      <c r="BA53" s="1392">
        <f t="shared" ca="1" si="13"/>
        <v>0.99</v>
      </c>
      <c r="BB53" s="1392">
        <f t="shared" ca="1" si="13"/>
        <v>0.99</v>
      </c>
      <c r="BC53" s="1392">
        <f t="shared" ca="1" si="13"/>
        <v>0.99</v>
      </c>
      <c r="BD53" s="940"/>
      <c r="BE53" s="940"/>
      <c r="BF53" s="940"/>
      <c r="BG53" s="940"/>
      <c r="BH53" s="940"/>
      <c r="BI53" s="940"/>
      <c r="BJ53" s="940"/>
      <c r="BK53" s="940"/>
      <c r="BL53" s="940"/>
      <c r="BM53" s="940"/>
      <c r="BN53" s="1290"/>
      <c r="BO53" s="1290"/>
      <c r="BP53" s="1290"/>
      <c r="BQ53" s="465"/>
      <c r="BR53" s="465"/>
      <c r="BS53" s="1029" t="s">
        <v>1407</v>
      </c>
    </row>
    <row r="54" spans="1:71" ht="9.9499999999999993" customHeight="1">
      <c r="E54" s="676">
        <v>10.199999999999999</v>
      </c>
      <c r="U54" s="129" t="s">
        <v>238</v>
      </c>
      <c r="V54" s="122" t="s">
        <v>1409</v>
      </c>
    </row>
    <row r="55" spans="1:71" ht="11.25" hidden="1" customHeight="1">
      <c r="E55" s="676">
        <v>0</v>
      </c>
    </row>
    <row r="56" spans="1:71" ht="14.65" customHeight="1">
      <c r="E56" s="676">
        <v>15</v>
      </c>
      <c r="AB56" s="1802" t="s">
        <v>734</v>
      </c>
      <c r="AC56" s="1802"/>
      <c r="AD56" s="1802"/>
      <c r="AE56" s="1802"/>
      <c r="AF56" s="1802"/>
      <c r="AG56" s="1802"/>
      <c r="AH56" s="1802"/>
      <c r="AI56" s="1802"/>
      <c r="AJ56" s="1802"/>
      <c r="AK56" s="1802"/>
      <c r="AL56" s="1802"/>
      <c r="AM56" s="1802"/>
      <c r="AN56" s="1802"/>
      <c r="AO56" s="1802"/>
      <c r="AP56" s="1802"/>
      <c r="AQ56" s="1802"/>
      <c r="AR56" s="1802"/>
      <c r="AS56" s="1802"/>
      <c r="AT56" s="1802"/>
      <c r="AU56" s="1802"/>
      <c r="AV56" s="1802"/>
      <c r="AW56" s="1802"/>
      <c r="AX56" s="1802"/>
      <c r="AY56" s="1802"/>
      <c r="AZ56" s="1802"/>
      <c r="BA56" s="1802"/>
      <c r="BB56" s="1802"/>
      <c r="BC56" s="1802"/>
      <c r="BD56" s="1802"/>
      <c r="BE56" s="1802"/>
      <c r="BF56" s="1802"/>
      <c r="BG56" s="1802"/>
      <c r="BH56" s="1802"/>
      <c r="BI56" s="1802"/>
      <c r="BJ56" s="1802"/>
      <c r="BK56" s="1802"/>
      <c r="BL56" s="1802"/>
      <c r="BM56" s="1802"/>
      <c r="BN56" s="1802"/>
      <c r="BO56" s="1802"/>
      <c r="BP56" s="1802"/>
    </row>
    <row r="57" spans="1:71" ht="14.65" customHeight="1">
      <c r="E57" s="676">
        <v>15</v>
      </c>
      <c r="AA57" s="778"/>
      <c r="AB57" s="1817"/>
      <c r="AC57" s="1818"/>
      <c r="AD57" s="1818"/>
      <c r="AE57" s="1818"/>
      <c r="AF57" s="1818"/>
      <c r="AG57" s="1818"/>
      <c r="AH57" s="1818"/>
      <c r="AI57" s="1818"/>
      <c r="AJ57" s="1818"/>
      <c r="AK57" s="1818"/>
      <c r="AL57" s="1818"/>
      <c r="AM57" s="1818"/>
      <c r="AN57" s="1818"/>
      <c r="AO57" s="1818"/>
      <c r="AP57" s="1818"/>
      <c r="AQ57" s="1818"/>
      <c r="AR57" s="1818"/>
      <c r="AS57" s="1818"/>
      <c r="AT57" s="1818"/>
      <c r="AU57" s="1818"/>
      <c r="AV57" s="1818"/>
      <c r="AW57" s="1818"/>
      <c r="AX57" s="1818"/>
      <c r="AY57" s="1818"/>
      <c r="AZ57" s="1818"/>
      <c r="BA57" s="1818"/>
      <c r="BB57" s="1818"/>
      <c r="BC57" s="1818"/>
      <c r="BD57" s="1818"/>
      <c r="BE57" s="1818"/>
      <c r="BF57" s="1818"/>
      <c r="BG57" s="1818"/>
      <c r="BH57" s="1818"/>
      <c r="BI57" s="1818"/>
      <c r="BJ57" s="1818"/>
      <c r="BK57" s="1818"/>
      <c r="BL57" s="1818"/>
      <c r="BM57" s="1818"/>
      <c r="BN57" s="1818"/>
      <c r="BO57" s="1818"/>
      <c r="BP57" s="1818"/>
    </row>
    <row r="58" spans="1:71" ht="14.65" hidden="1" customHeight="1">
      <c r="E58" s="676">
        <v>15</v>
      </c>
      <c r="T58" s="687" t="b">
        <f>ROW(W58)&gt;ROW(W$58)</f>
        <v>0</v>
      </c>
      <c r="W58" s="126" t="s">
        <v>236</v>
      </c>
      <c r="AA58" s="774" t="s">
        <v>218</v>
      </c>
      <c r="AB58" s="1820"/>
      <c r="AC58" s="1818"/>
      <c r="AD58" s="1818"/>
      <c r="AE58" s="1818"/>
      <c r="AF58" s="1818"/>
      <c r="AG58" s="1818"/>
      <c r="AH58" s="1818"/>
      <c r="AI58" s="1818"/>
      <c r="AJ58" s="1818"/>
      <c r="AK58" s="1818"/>
      <c r="AL58" s="1818"/>
      <c r="AM58" s="1818"/>
      <c r="AN58" s="1818"/>
      <c r="AO58" s="1818"/>
      <c r="AP58" s="1818"/>
      <c r="AQ58" s="1818"/>
      <c r="AR58" s="1818"/>
      <c r="AS58" s="1818"/>
      <c r="AT58" s="1818"/>
      <c r="AU58" s="1818"/>
      <c r="AV58" s="1818"/>
      <c r="AW58" s="1818"/>
      <c r="AX58" s="1818"/>
      <c r="AY58" s="1818"/>
      <c r="AZ58" s="1818"/>
      <c r="BA58" s="1818"/>
      <c r="BB58" s="1818"/>
      <c r="BC58" s="1818"/>
      <c r="BD58" s="1818"/>
      <c r="BE58" s="1818"/>
      <c r="BF58" s="1818"/>
      <c r="BG58" s="1818"/>
      <c r="BH58" s="1818"/>
      <c r="BI58" s="1818"/>
      <c r="BJ58" s="1818"/>
      <c r="BK58" s="1818"/>
      <c r="BL58" s="1818"/>
      <c r="BM58" s="1818"/>
      <c r="BN58" s="1818"/>
      <c r="BO58" s="1818"/>
      <c r="BP58" s="1818"/>
    </row>
    <row r="59" spans="1:71" ht="14.65" customHeight="1">
      <c r="E59" s="676">
        <v>15</v>
      </c>
      <c r="W59" s="122" t="s">
        <v>237</v>
      </c>
      <c r="AA59" s="163"/>
      <c r="AB59" s="1736" t="s">
        <v>735</v>
      </c>
      <c r="AC59" s="1737"/>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294"/>
    </row>
  </sheetData>
  <sheetProtection formatColumns="0" formatRows="0" insertRows="0" deleteColumns="0" deleteRows="0" sort="0" autoFilter="0"/>
  <mergeCells count="17">
    <mergeCell ref="BP24:BP25"/>
    <mergeCell ref="BD25:BM25"/>
    <mergeCell ref="AB58:BP58"/>
    <mergeCell ref="AB24:AB25"/>
    <mergeCell ref="AC24:AC25"/>
    <mergeCell ref="AD24:AD25"/>
    <mergeCell ref="BN24:BN25"/>
    <mergeCell ref="BO24:BO25"/>
    <mergeCell ref="X27:X35"/>
    <mergeCell ref="Z27:Z35"/>
    <mergeCell ref="AB56:BP56"/>
    <mergeCell ref="AB57:BP57"/>
    <mergeCell ref="AB59:AC59"/>
    <mergeCell ref="X36:X44"/>
    <mergeCell ref="Z36:Z44"/>
    <mergeCell ref="X45:X53"/>
    <mergeCell ref="Z45:Z53"/>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A2A41-3E3C-8B38-9CD8-CF218AD75826}">
  <sheetPr>
    <tabColor rgb="FF92D050"/>
    <outlinePr summaryBelow="0" summaryRight="0"/>
    <pageSetUpPr fitToPage="1"/>
  </sheetPr>
  <dimension ref="A1:BS92"/>
  <sheetViews>
    <sheetView showGridLines="0" workbookViewId="0">
      <pane xSplit="30" ySplit="25" topLeftCell="AH47" activePane="bottomRight" state="frozen"/>
      <selection pane="topRight" activeCell="AE1" sqref="AE1"/>
      <selection pane="bottomLeft" activeCell="A26" sqref="A26"/>
      <selection pane="bottomRight" activeCell="AT55" sqref="AT55"/>
    </sheetView>
  </sheetViews>
  <sheetFormatPr defaultColWidth="9.140625" defaultRowHeight="11.25" customHeight="1"/>
  <cols>
    <col min="1" max="1" width="3.5703125" style="178" hidden="1" customWidth="1"/>
    <col min="2" max="2" width="8.5703125" style="783" hidden="1" customWidth="1"/>
    <col min="3" max="4" width="3.5703125" style="178" hidden="1" customWidth="1"/>
    <col min="5" max="5" width="8.42578125" style="782"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8"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40" width="12.5703125" style="180" customWidth="1"/>
    <col min="41" max="45" width="12.5703125" style="180" hidden="1" customWidth="1"/>
    <col min="46" max="50" width="12.5703125" style="180" customWidth="1"/>
    <col min="51" max="55" width="12.5703125" style="180" hidden="1" customWidth="1"/>
    <col min="56" max="60" width="12.5703125" style="180" customWidth="1"/>
    <col min="61"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31" hidden="1"/>
  </cols>
  <sheetData>
    <row r="1" spans="1:71" s="178" customFormat="1" ht="12" hidden="1" customHeight="1">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C1" s="182"/>
      <c r="BS1" s="981" t="s">
        <v>383</v>
      </c>
    </row>
    <row r="2" spans="1:71" s="783" customFormat="1" ht="12" hidden="1" customHeight="1">
      <c r="B2" s="768" t="s">
        <v>15</v>
      </c>
      <c r="G2" s="786"/>
      <c r="H2" s="786"/>
      <c r="I2" s="786"/>
      <c r="J2" s="786"/>
      <c r="K2" s="786"/>
      <c r="L2" s="786"/>
      <c r="M2" s="786"/>
      <c r="N2" s="786"/>
      <c r="O2" s="786"/>
      <c r="P2" s="786"/>
      <c r="Q2" s="786"/>
      <c r="R2" s="786"/>
      <c r="S2" s="786"/>
      <c r="AC2" s="671"/>
      <c r="AJ2" s="688" t="b">
        <f t="shared" ref="AJ2:BM2" si="0">AJ6&lt;=last_year_vis</f>
        <v>1</v>
      </c>
      <c r="AK2" s="688" t="b">
        <f t="shared" si="0"/>
        <v>1</v>
      </c>
      <c r="AL2" s="688" t="b">
        <f t="shared" si="0"/>
        <v>1</v>
      </c>
      <c r="AM2" s="688" t="b">
        <f t="shared" si="0"/>
        <v>1</v>
      </c>
      <c r="AN2" s="688" t="b">
        <f t="shared" si="0"/>
        <v>1</v>
      </c>
      <c r="AO2" s="688" t="b">
        <f t="shared" si="0"/>
        <v>0</v>
      </c>
      <c r="AP2" s="688" t="b">
        <f t="shared" si="0"/>
        <v>0</v>
      </c>
      <c r="AQ2" s="688" t="b">
        <f t="shared" si="0"/>
        <v>0</v>
      </c>
      <c r="AR2" s="688" t="b">
        <f t="shared" si="0"/>
        <v>0</v>
      </c>
      <c r="AS2" s="688" t="b">
        <f t="shared" si="0"/>
        <v>0</v>
      </c>
      <c r="AT2" s="688" t="b">
        <f t="shared" si="0"/>
        <v>1</v>
      </c>
      <c r="AU2" s="688" t="b">
        <f t="shared" si="0"/>
        <v>1</v>
      </c>
      <c r="AV2" s="688" t="b">
        <f t="shared" si="0"/>
        <v>1</v>
      </c>
      <c r="AW2" s="688" t="b">
        <f t="shared" si="0"/>
        <v>1</v>
      </c>
      <c r="AX2" s="688" t="b">
        <f t="shared" si="0"/>
        <v>1</v>
      </c>
      <c r="AY2" s="688" t="b">
        <f t="shared" si="0"/>
        <v>0</v>
      </c>
      <c r="AZ2" s="688" t="b">
        <f t="shared" si="0"/>
        <v>0</v>
      </c>
      <c r="BA2" s="688" t="b">
        <f t="shared" si="0"/>
        <v>0</v>
      </c>
      <c r="BB2" s="688" t="b">
        <f t="shared" si="0"/>
        <v>0</v>
      </c>
      <c r="BC2" s="688" t="b">
        <f t="shared" si="0"/>
        <v>0</v>
      </c>
      <c r="BD2" s="688" t="b">
        <f t="shared" si="0"/>
        <v>1</v>
      </c>
      <c r="BE2" s="688" t="b">
        <f t="shared" si="0"/>
        <v>1</v>
      </c>
      <c r="BF2" s="688" t="b">
        <f t="shared" si="0"/>
        <v>1</v>
      </c>
      <c r="BG2" s="688" t="b">
        <f t="shared" si="0"/>
        <v>1</v>
      </c>
      <c r="BH2" s="688" t="b">
        <f t="shared" si="0"/>
        <v>1</v>
      </c>
      <c r="BI2" s="688" t="b">
        <f t="shared" si="0"/>
        <v>0</v>
      </c>
      <c r="BJ2" s="688" t="b">
        <f t="shared" si="0"/>
        <v>0</v>
      </c>
      <c r="BK2" s="688" t="b">
        <f t="shared" si="0"/>
        <v>0</v>
      </c>
      <c r="BL2" s="688" t="b">
        <f t="shared" si="0"/>
        <v>0</v>
      </c>
      <c r="BM2" s="688" t="b">
        <f t="shared" si="0"/>
        <v>0</v>
      </c>
      <c r="BS2" s="973"/>
    </row>
    <row r="3" spans="1:71" s="178" customFormat="1" ht="12" hidden="1" customHeight="1">
      <c r="B3" s="667"/>
      <c r="E3" s="667"/>
      <c r="G3" s="180"/>
      <c r="H3" s="180"/>
      <c r="I3" s="180"/>
      <c r="J3" s="180"/>
      <c r="K3" s="180"/>
      <c r="L3" s="180"/>
      <c r="M3" s="180"/>
      <c r="N3" s="180"/>
      <c r="O3" s="180"/>
      <c r="P3" s="180"/>
      <c r="Q3" s="143"/>
      <c r="R3" s="143"/>
      <c r="S3" s="180"/>
      <c r="T3" s="126"/>
      <c r="U3" s="126"/>
      <c r="V3" s="126"/>
      <c r="W3" s="126"/>
      <c r="X3" s="126"/>
      <c r="Y3" s="126"/>
      <c r="Z3" s="126"/>
      <c r="AC3" s="182"/>
      <c r="BS3" s="1031"/>
    </row>
    <row r="4" spans="1:71" s="178" customFormat="1" ht="12" hidden="1" customHeight="1">
      <c r="B4" s="667"/>
      <c r="E4" s="667"/>
      <c r="G4" s="180"/>
      <c r="H4" s="180"/>
      <c r="I4" s="180"/>
      <c r="J4" s="180"/>
      <c r="K4" s="180"/>
      <c r="L4" s="180"/>
      <c r="M4" s="180"/>
      <c r="N4" s="180"/>
      <c r="O4" s="180"/>
      <c r="P4" s="180"/>
      <c r="Q4" s="143"/>
      <c r="R4" s="143"/>
      <c r="S4" s="180"/>
      <c r="T4" s="126"/>
      <c r="U4" s="126"/>
      <c r="V4" s="126"/>
      <c r="W4" s="126"/>
      <c r="X4" s="126"/>
      <c r="Y4" s="126"/>
      <c r="Z4" s="126"/>
      <c r="AC4" s="182"/>
      <c r="BS4" s="1031"/>
    </row>
    <row r="5" spans="1:71"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73"/>
    </row>
    <row r="6" spans="1:71" s="178" customFormat="1" ht="12" hidden="1" customHeight="1">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31"/>
    </row>
    <row r="7" spans="1:71" ht="12" hidden="1" customHeight="1">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c r="BI7" s="163"/>
      <c r="BJ7" s="163"/>
      <c r="BK7" s="163"/>
      <c r="BL7" s="163"/>
      <c r="BM7" s="163"/>
    </row>
    <row r="8" spans="1:71" ht="12" hidden="1" customHeight="1">
      <c r="F8" s="180"/>
      <c r="T8" s="163"/>
      <c r="U8" s="163"/>
      <c r="V8" s="163"/>
      <c r="W8" s="163"/>
      <c r="X8" s="163"/>
      <c r="Y8" s="163"/>
      <c r="Z8" s="163"/>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c r="BI8" s="163"/>
      <c r="BJ8" s="163"/>
      <c r="BK8" s="163"/>
      <c r="BL8" s="163"/>
      <c r="BM8" s="163"/>
    </row>
    <row r="9" spans="1:71" s="1030" customFormat="1" ht="12" hidden="1" customHeight="1">
      <c r="A9" s="958" t="s">
        <v>472</v>
      </c>
      <c r="B9" s="951"/>
      <c r="E9" s="951"/>
      <c r="Q9" s="1008"/>
      <c r="R9" s="1008"/>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31"/>
    </row>
    <row r="10" spans="1:71" s="1030" customFormat="1" ht="12" hidden="1" customHeight="1">
      <c r="A10" s="958" t="s">
        <v>473</v>
      </c>
      <c r="B10" s="951"/>
      <c r="E10" s="951"/>
      <c r="Q10" s="1008"/>
      <c r="R10" s="1008"/>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31"/>
    </row>
    <row r="11" spans="1:71" s="1030" customFormat="1" ht="12" hidden="1" customHeight="1">
      <c r="A11" s="958" t="s">
        <v>474</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31"/>
    </row>
    <row r="12" spans="1:71" s="178" customFormat="1" ht="12" hidden="1" customHeight="1">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BS12" s="1031"/>
    </row>
    <row r="13" spans="1:71" s="178" customFormat="1" ht="12" hidden="1" customHeight="1">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BS13" s="1031"/>
    </row>
    <row r="14" spans="1:71" s="178" customFormat="1" ht="12" hidden="1" customHeight="1">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S14" s="1031"/>
    </row>
    <row r="15" spans="1:71" s="178" customFormat="1" ht="12" hidden="1" customHeight="1">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31"/>
    </row>
    <row r="16" spans="1:71" s="178" customFormat="1" ht="12" hidden="1" customHeight="1">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31"/>
    </row>
    <row r="17" spans="1:71" s="178" customFormat="1" ht="12" hidden="1" customHeight="1">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BS17" s="1031"/>
    </row>
    <row r="18" spans="1:71" s="178" customFormat="1" ht="12" hidden="1" customHeight="1">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BS18" s="1031"/>
    </row>
    <row r="19" spans="1:71" s="178" customFormat="1" ht="12" hidden="1" customHeight="1">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BS19" s="1031"/>
    </row>
    <row r="20" spans="1:71" s="178" customFormat="1" ht="12" hidden="1" customHeight="1">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BS20" s="1031"/>
    </row>
    <row r="21" spans="1:71" ht="14.65" customHeight="1">
      <c r="E21" s="676">
        <v>15</v>
      </c>
      <c r="AA21" s="699"/>
      <c r="AB21" s="180"/>
      <c r="AC21" s="343" t="str" cm="1">
        <f t="array" ref="AC21">tpl_title</f>
        <v>Кемеровская область / 2026 / ОАО «СКЭК» (ИНН:4205153492, КПП:420501001) / ДПР: 2021-2030</v>
      </c>
      <c r="AD21" s="180"/>
    </row>
    <row r="22" spans="1:71" s="1156" customFormat="1" ht="19.5" customHeight="1">
      <c r="A22" s="133"/>
      <c r="B22" s="667"/>
      <c r="C22" s="133"/>
      <c r="D22" s="133"/>
      <c r="E22" s="676">
        <v>20.100000000000001</v>
      </c>
      <c r="F22" s="133"/>
      <c r="Q22" s="143"/>
      <c r="R22" s="143"/>
      <c r="T22" s="129"/>
      <c r="U22" s="129"/>
      <c r="V22" s="129"/>
      <c r="W22" s="129"/>
      <c r="X22" s="129"/>
      <c r="Y22" s="129"/>
      <c r="Z22" s="129"/>
      <c r="AB22" s="333" t="s">
        <v>59</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S22" s="989"/>
    </row>
    <row r="23" spans="1:71" s="1156" customFormat="1" ht="9.9499999999999993" customHeight="1">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989"/>
    </row>
    <row r="24" spans="1:71" s="179" customFormat="1" ht="24.2" customHeight="1">
      <c r="A24" s="182"/>
      <c r="B24" s="671"/>
      <c r="C24" s="182"/>
      <c r="D24" s="182"/>
      <c r="E24" s="682">
        <v>24.8</v>
      </c>
      <c r="F24" s="182"/>
      <c r="Q24" s="788"/>
      <c r="R24" s="788"/>
      <c r="T24" s="122"/>
      <c r="U24" s="122"/>
      <c r="V24" s="122"/>
      <c r="W24" s="122"/>
      <c r="X24" s="122"/>
      <c r="Y24" s="122"/>
      <c r="Z24" s="122"/>
      <c r="AB24" s="1827" t="s">
        <v>396</v>
      </c>
      <c r="AC24" s="1827" t="s">
        <v>475</v>
      </c>
      <c r="AD24" s="1827" t="s">
        <v>476</v>
      </c>
      <c r="AE24" s="211" t="str">
        <f>god-2&amp;" год"</f>
        <v>2024 год</v>
      </c>
      <c r="AF24" s="1147" t="str">
        <f>god-2&amp;" год"</f>
        <v>2024 год</v>
      </c>
      <c r="AG24" s="211" t="str">
        <f>god-2&amp;" год"</f>
        <v>2024 год</v>
      </c>
      <c r="AH24" s="211" t="str">
        <f>god-2&amp;" год"</f>
        <v>2024 год</v>
      </c>
      <c r="AI24" s="120" t="str">
        <f>god-1&amp;" год"</f>
        <v>2025 год</v>
      </c>
      <c r="AJ24" s="1141" t="str">
        <f>god&amp;" год"</f>
        <v>2026 год</v>
      </c>
      <c r="AK24" s="1141" t="str">
        <f>god+1&amp;" год"</f>
        <v>2027 год</v>
      </c>
      <c r="AL24" s="1141" t="str">
        <f>god+2&amp;" год"</f>
        <v>2028 год</v>
      </c>
      <c r="AM24" s="1141" t="str">
        <f>god+3&amp;" год"</f>
        <v>2029 год</v>
      </c>
      <c r="AN24" s="1141" t="str">
        <f>god+4&amp;" год"</f>
        <v>2030 год</v>
      </c>
      <c r="AO24" s="1141" t="str">
        <f>god+5&amp;" год"</f>
        <v>2031 год</v>
      </c>
      <c r="AP24" s="1141" t="str">
        <f>god+6&amp;" год"</f>
        <v>2032 год</v>
      </c>
      <c r="AQ24" s="1141" t="str">
        <f>god+7&amp;" год"</f>
        <v>2033 год</v>
      </c>
      <c r="AR24" s="1141" t="str">
        <f>god+8&amp;" год"</f>
        <v>2034 год</v>
      </c>
      <c r="AS24" s="1141"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826" t="s">
        <v>1346</v>
      </c>
      <c r="BO24" s="1826" t="s">
        <v>630</v>
      </c>
      <c r="BP24" s="1826" t="s">
        <v>1347</v>
      </c>
      <c r="BS24" s="1031"/>
    </row>
    <row r="25" spans="1:71" s="179" customFormat="1" ht="46.15" customHeight="1">
      <c r="A25" s="182"/>
      <c r="B25" s="671"/>
      <c r="C25" s="182"/>
      <c r="D25" s="182"/>
      <c r="E25" s="682">
        <v>47.3</v>
      </c>
      <c r="F25" s="182"/>
      <c r="Q25" s="788"/>
      <c r="R25" s="788"/>
      <c r="T25" s="122"/>
      <c r="U25" s="122"/>
      <c r="V25" s="122"/>
      <c r="W25" s="122"/>
      <c r="X25" s="122"/>
      <c r="Y25" s="122"/>
      <c r="Z25" s="122"/>
      <c r="AB25" s="1827"/>
      <c r="AC25" s="1827"/>
      <c r="AD25" s="1827"/>
      <c r="AE25" s="120" t="s">
        <v>412</v>
      </c>
      <c r="AF25" s="1143" t="s">
        <v>631</v>
      </c>
      <c r="AG25" s="120" t="s">
        <v>632</v>
      </c>
      <c r="AH25" s="211" t="s">
        <v>1348</v>
      </c>
      <c r="AI25" s="120" t="s">
        <v>412</v>
      </c>
      <c r="AJ25" s="1142" t="s">
        <v>413</v>
      </c>
      <c r="AK25" s="1142" t="s">
        <v>413</v>
      </c>
      <c r="AL25" s="1142" t="s">
        <v>413</v>
      </c>
      <c r="AM25" s="1142" t="s">
        <v>413</v>
      </c>
      <c r="AN25" s="1142" t="s">
        <v>413</v>
      </c>
      <c r="AO25" s="1142" t="s">
        <v>413</v>
      </c>
      <c r="AP25" s="1142" t="s">
        <v>413</v>
      </c>
      <c r="AQ25" s="1142" t="s">
        <v>413</v>
      </c>
      <c r="AR25" s="1142" t="s">
        <v>413</v>
      </c>
      <c r="AS25" s="1142" t="s">
        <v>413</v>
      </c>
      <c r="AT25" s="351" t="s">
        <v>412</v>
      </c>
      <c r="AU25" s="351" t="s">
        <v>412</v>
      </c>
      <c r="AV25" s="351" t="s">
        <v>412</v>
      </c>
      <c r="AW25" s="351" t="s">
        <v>412</v>
      </c>
      <c r="AX25" s="351" t="s">
        <v>412</v>
      </c>
      <c r="AY25" s="351" t="s">
        <v>412</v>
      </c>
      <c r="AZ25" s="351" t="s">
        <v>412</v>
      </c>
      <c r="BA25" s="351" t="s">
        <v>412</v>
      </c>
      <c r="BB25" s="351" t="s">
        <v>412</v>
      </c>
      <c r="BC25" s="351" t="s">
        <v>412</v>
      </c>
      <c r="BD25" s="1826" t="s">
        <v>1349</v>
      </c>
      <c r="BE25" s="1826"/>
      <c r="BF25" s="1826"/>
      <c r="BG25" s="1826"/>
      <c r="BH25" s="1826"/>
      <c r="BI25" s="1826"/>
      <c r="BJ25" s="1826"/>
      <c r="BK25" s="1826"/>
      <c r="BL25" s="1826"/>
      <c r="BM25" s="1826"/>
      <c r="BN25" s="1826"/>
      <c r="BO25" s="1826"/>
      <c r="BP25" s="1826"/>
      <c r="BS25" s="1031"/>
    </row>
    <row r="26" spans="1:71" s="179" customFormat="1" ht="18.75" hidden="1" customHeight="1">
      <c r="A26" s="182"/>
      <c r="B26" s="671"/>
      <c r="C26" s="182"/>
      <c r="D26" s="182"/>
      <c r="E26" s="682">
        <v>0</v>
      </c>
      <c r="F26" s="182"/>
      <c r="Q26" s="788"/>
      <c r="R26" s="788"/>
      <c r="T26" s="122"/>
      <c r="U26" s="122"/>
      <c r="V26" s="122"/>
      <c r="W26" s="122"/>
      <c r="X26" s="122"/>
      <c r="Y26" s="122"/>
      <c r="Z26" s="12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31"/>
    </row>
    <row r="27" spans="1:71" s="170" customFormat="1" ht="18.399999999999999" hidden="1" customHeight="1">
      <c r="E27" s="676">
        <v>18.8</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T27" s="687" t="b">
        <f>X27&gt;0</f>
        <v>0</v>
      </c>
      <c r="V27" s="126" t="s">
        <v>315</v>
      </c>
      <c r="X27" s="1726">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S27" s="981"/>
    </row>
    <row r="28" spans="1:71" s="170" customFormat="1" ht="13.7" hidden="1" customHeight="1">
      <c r="E28" s="676">
        <v>14.1</v>
      </c>
      <c r="F28" s="779" cm="1">
        <f t="array" aca="1" ref="F28" ca="1">OFFSET(G28,-1,-1)</f>
        <v>0</v>
      </c>
      <c r="G28" s="620" t="s">
        <v>1410</v>
      </c>
      <c r="K28" s="180" t="str">
        <f ca="1">F28&amp;"komm"</f>
        <v>0komm</v>
      </c>
      <c r="L28" s="179" cm="1">
        <f t="array" ref="L28">BO28</f>
        <v>0</v>
      </c>
      <c r="T28" s="687" t="b" cm="1">
        <f t="array" ref="T28">T27</f>
        <v>0</v>
      </c>
      <c r="X28" s="1724"/>
      <c r="Z28" s="1724"/>
      <c r="AB28" s="1824" t="s">
        <v>1411</v>
      </c>
      <c r="AC28" s="1825"/>
      <c r="AD28" s="252" t="s">
        <v>839</v>
      </c>
      <c r="AE28" s="255" cm="1">
        <f t="array" aca="1" ref="AE28" ca="1">AE46</f>
        <v>0</v>
      </c>
      <c r="AF28" s="255" cm="1">
        <f t="array" aca="1" ref="AF28" ca="1">AF46</f>
        <v>0</v>
      </c>
      <c r="AG28" s="255" cm="1">
        <f t="array" aca="1" ref="AG28" ca="1">AG46</f>
        <v>0</v>
      </c>
      <c r="AH28" s="255" cm="1">
        <f t="array" aca="1" ref="AH28" ca="1">AH46</f>
        <v>0</v>
      </c>
      <c r="AI28" s="255" cm="1">
        <f t="array" aca="1" ref="AI28" ca="1">AI46</f>
        <v>0</v>
      </c>
      <c r="AJ28" s="255" cm="1">
        <f t="array" aca="1" ref="AJ28" ca="1">AJ46</f>
        <v>0</v>
      </c>
      <c r="AK28" s="255" cm="1">
        <f t="array" aca="1" ref="AK28" ca="1">AK46</f>
        <v>0</v>
      </c>
      <c r="AL28" s="255" cm="1">
        <f t="array" aca="1" ref="AL28" ca="1">AL46</f>
        <v>0</v>
      </c>
      <c r="AM28" s="255" cm="1">
        <f t="array" aca="1" ref="AM28" ca="1">AM46</f>
        <v>0</v>
      </c>
      <c r="AN28" s="255" cm="1">
        <f t="array" aca="1" ref="AN28" ca="1">AN46</f>
        <v>0</v>
      </c>
      <c r="AO28" s="255" cm="1">
        <f t="array" aca="1" ref="AO28" ca="1">AO46</f>
        <v>0</v>
      </c>
      <c r="AP28" s="255" cm="1">
        <f t="array" aca="1" ref="AP28" ca="1">AP46</f>
        <v>0</v>
      </c>
      <c r="AQ28" s="255" cm="1">
        <f t="array" aca="1" ref="AQ28" ca="1">AQ46</f>
        <v>0</v>
      </c>
      <c r="AR28" s="255" cm="1">
        <f t="array" aca="1" ref="AR28" ca="1">AR46</f>
        <v>0</v>
      </c>
      <c r="AS28" s="255" cm="1">
        <f t="array" aca="1" ref="AS28" ca="1">AS46</f>
        <v>0</v>
      </c>
      <c r="AT28" s="255" cm="1">
        <f t="array" aca="1" ref="AT28" ca="1">AT46</f>
        <v>0</v>
      </c>
      <c r="AU28" s="255" cm="1">
        <f t="array" aca="1" ref="AU28" ca="1">AU46</f>
        <v>0</v>
      </c>
      <c r="AV28" s="255" cm="1">
        <f t="array" aca="1" ref="AV28" ca="1">AV46</f>
        <v>0</v>
      </c>
      <c r="AW28" s="255" cm="1">
        <f t="array" aca="1" ref="AW28" ca="1">AW46</f>
        <v>0</v>
      </c>
      <c r="AX28" s="255" cm="1">
        <f t="array" aca="1" ref="AX28" ca="1">AX46</f>
        <v>0</v>
      </c>
      <c r="AY28" s="255" cm="1">
        <f t="array" aca="1" ref="AY28" ca="1">AY46</f>
        <v>0</v>
      </c>
      <c r="AZ28" s="255" cm="1">
        <f t="array" aca="1" ref="AZ28" ca="1">AZ46</f>
        <v>0</v>
      </c>
      <c r="BA28" s="255" cm="1">
        <f t="array" aca="1" ref="BA28" ca="1">BA46</f>
        <v>0</v>
      </c>
      <c r="BB28" s="255" cm="1">
        <f t="array" aca="1" ref="BB28" ca="1">BB46</f>
        <v>0</v>
      </c>
      <c r="BC28" s="255" cm="1">
        <f t="array" aca="1" ref="BC28" ca="1">BC46</f>
        <v>0</v>
      </c>
      <c r="BD28" s="255" cm="1">
        <f t="array" aca="1" ref="BD28" ca="1">BD46</f>
        <v>0</v>
      </c>
      <c r="BE28" s="255" cm="1">
        <f t="array" aca="1" ref="BE28" ca="1">BE46</f>
        <v>0</v>
      </c>
      <c r="BF28" s="255" cm="1">
        <f t="array" aca="1" ref="BF28" ca="1">BF46</f>
        <v>0</v>
      </c>
      <c r="BG28" s="255" cm="1">
        <f t="array" aca="1" ref="BG28" ca="1">BG46</f>
        <v>0</v>
      </c>
      <c r="BH28" s="255" cm="1">
        <f t="array" aca="1" ref="BH28" ca="1">BH46</f>
        <v>0</v>
      </c>
      <c r="BI28" s="255" cm="1">
        <f t="array" aca="1" ref="BI28" ca="1">BI46</f>
        <v>0</v>
      </c>
      <c r="BJ28" s="255" cm="1">
        <f t="array" aca="1" ref="BJ28" ca="1">BJ46</f>
        <v>0</v>
      </c>
      <c r="BK28" s="255" cm="1">
        <f t="array" aca="1" ref="BK28" ca="1">BK46</f>
        <v>0</v>
      </c>
      <c r="BL28" s="255" cm="1">
        <f t="array" aca="1" ref="BL28" ca="1">BL46</f>
        <v>0</v>
      </c>
      <c r="BM28" s="255" cm="1">
        <f t="array" aca="1" ref="BM28" ca="1">BM46</f>
        <v>0</v>
      </c>
      <c r="BN28" s="28"/>
      <c r="BO28" s="28"/>
      <c r="BP28" s="28"/>
      <c r="BS28" s="981" t="s">
        <v>1412</v>
      </c>
    </row>
    <row r="29" spans="1:71" ht="27.2" hidden="1" customHeight="1">
      <c r="E29" s="676">
        <v>27.8</v>
      </c>
      <c r="F29" s="779" cm="1">
        <f t="array" aca="1" ref="F29" ca="1">OFFSET(G29,-1,-1)</f>
        <v>0</v>
      </c>
      <c r="G29" s="143" t="s">
        <v>1237</v>
      </c>
      <c r="T29" s="687" t="b" cm="1">
        <f t="array" ref="T29">T28</f>
        <v>0</v>
      </c>
      <c r="X29" s="1726"/>
      <c r="Z29" s="1726"/>
      <c r="AB29" s="111" t="s">
        <v>484</v>
      </c>
      <c r="AC29" s="118" t="s">
        <v>47</v>
      </c>
      <c r="AD29" s="111" t="s">
        <v>839</v>
      </c>
      <c r="AE29" s="515">
        <f ca="1">SUMIFS('Покупка услуг'!AE$26:AE$96,'Покупка услуг'!$F$26:$F$96,$F29,'Покупка услуг'!$G$26:$G$96,$G29)</f>
        <v>0</v>
      </c>
      <c r="AF29" s="515">
        <f ca="1">SUMIFS('Покупка услуг'!AF$26:AF$96,'Покупка услуг'!$F$26:$F$96,$F29,'Покупка услуг'!$G$26:$G$96,$G29)</f>
        <v>0</v>
      </c>
      <c r="AG29" s="77">
        <f ca="1">SUMIFS('Покупка услуг'!AG$26:AG$96,'Покупка услуг'!$F$26:$F$96,$F29,'Покупка услуг'!$G$26:$G$96,$G29)</f>
        <v>0</v>
      </c>
      <c r="AH29" s="256">
        <f t="shared" ref="AH29:AH46" ca="1" si="2">AG29-AF29</f>
        <v>0</v>
      </c>
      <c r="AI29" s="515">
        <f ca="1">SUMIFS('Покупка услуг'!AH$26:AH$96,'Покупка услуг'!$F$26:$F$96,$F29,'Покупка услуг'!$G$26:$G$96,$G29)</f>
        <v>0</v>
      </c>
      <c r="AJ29" s="515">
        <f ca="1">SUMIFS('Покупка услуг'!AI$26:AI$96,'Покупка услуг'!$F$26:$F$96,$F29,'Покупка услуг'!$G$26:$G$96,$G29)</f>
        <v>0</v>
      </c>
      <c r="AK29" s="515">
        <f ca="1">SUMIFS('Покупка услуг'!AJ$26:AJ$96,'Покупка услуг'!$F$26:$F$96,$F29,'Покупка услуг'!$G$26:$G$96,$G29)</f>
        <v>0</v>
      </c>
      <c r="AL29" s="515">
        <f ca="1">SUMIFS('Покупка услуг'!AK$26:AK$96,'Покупка услуг'!$F$26:$F$96,$F29,'Покупка услуг'!$G$26:$G$96,$G29)</f>
        <v>0</v>
      </c>
      <c r="AM29" s="515">
        <f ca="1">SUMIFS('Покупка услуг'!AL$26:AL$96,'Покупка услуг'!$F$26:$F$96,$F29,'Покупка услуг'!$G$26:$G$96,$G29)</f>
        <v>0</v>
      </c>
      <c r="AN29" s="515">
        <f ca="1">SUMIFS('Покупка услуг'!AM$26:AM$96,'Покупка услуг'!$F$26:$F$96,$F29,'Покупка услуг'!$G$26:$G$96,$G29)</f>
        <v>0</v>
      </c>
      <c r="AO29" s="515">
        <f ca="1">SUMIFS('Покупка услуг'!AN$26:AN$96,'Покупка услуг'!$F$26:$F$96,$F29,'Покупка услуг'!$G$26:$G$96,$G29)</f>
        <v>0</v>
      </c>
      <c r="AP29" s="515">
        <f ca="1">SUMIFS('Покупка услуг'!AO$26:AO$96,'Покупка услуг'!$F$26:$F$96,$F29,'Покупка услуг'!$G$26:$G$96,$G29)</f>
        <v>0</v>
      </c>
      <c r="AQ29" s="515">
        <f ca="1">SUMIFS('Покупка услуг'!AP$26:AP$96,'Покупка услуг'!$F$26:$F$96,$F29,'Покупка услуг'!$G$26:$G$96,$G29)</f>
        <v>0</v>
      </c>
      <c r="AR29" s="515">
        <f ca="1">SUMIFS('Покупка услуг'!AQ$26:AQ$96,'Покупка услуг'!$F$26:$F$96,$F29,'Покупка услуг'!$G$26:$G$96,$G29)</f>
        <v>0</v>
      </c>
      <c r="AS29" s="515">
        <f ca="1">SUMIFS('Покупка услуг'!AR$26:AR$96,'Покупка услуг'!$F$26:$F$96,$F29,'Покупка услуг'!$G$26:$G$96,$G29)</f>
        <v>0</v>
      </c>
      <c r="AT29" s="515">
        <f ca="1">SUMIFS('Покупка услуг'!AS$26:AS$96,'Покупка услуг'!$F$26:$F$96,$F29,'Покупка услуг'!$G$26:$G$96,$G29)</f>
        <v>0</v>
      </c>
      <c r="AU29" s="515">
        <f ca="1">SUMIFS('Покупка услуг'!AT$26:AT$96,'Покупка услуг'!$F$26:$F$96,$F29,'Покупка услуг'!$G$26:$G$96,$G29)</f>
        <v>0</v>
      </c>
      <c r="AV29" s="515">
        <f ca="1">SUMIFS('Покупка услуг'!AU$26:AU$96,'Покупка услуг'!$F$26:$F$96,$F29,'Покупка услуг'!$G$26:$G$96,$G29)</f>
        <v>0</v>
      </c>
      <c r="AW29" s="515">
        <f ca="1">SUMIFS('Покупка услуг'!AV$26:AV$96,'Покупка услуг'!$F$26:$F$96,$F29,'Покупка услуг'!$G$26:$G$96,$G29)</f>
        <v>0</v>
      </c>
      <c r="AX29" s="515">
        <f ca="1">SUMIFS('Покупка услуг'!AW$26:AW$96,'Покупка услуг'!$F$26:$F$96,$F29,'Покупка услуг'!$G$26:$G$96,$G29)</f>
        <v>0</v>
      </c>
      <c r="AY29" s="515">
        <f ca="1">SUMIFS('Покупка услуг'!AX$26:AX$96,'Покупка услуг'!$F$26:$F$96,$F29,'Покупка услуг'!$G$26:$G$96,$G29)</f>
        <v>0</v>
      </c>
      <c r="AZ29" s="515">
        <f ca="1">SUMIFS('Покупка услуг'!AY$26:AY$96,'Покупка услуг'!$F$26:$F$96,$F29,'Покупка услуг'!$G$26:$G$96,$G29)</f>
        <v>0</v>
      </c>
      <c r="BA29" s="515">
        <f ca="1">SUMIFS('Покупка услуг'!AZ$26:AZ$96,'Покупка услуг'!$F$26:$F$96,$F29,'Покупка услуг'!$G$26:$G$96,$G29)</f>
        <v>0</v>
      </c>
      <c r="BB29" s="515">
        <f ca="1">SUMIFS('Покупка услуг'!BA$26:BA$96,'Покупка услуг'!$F$26:$F$96,$F29,'Покупка услуг'!$G$26:$G$96,$G29)</f>
        <v>0</v>
      </c>
      <c r="BC29" s="515">
        <f ca="1">SUMIFS('Покупка услуг'!BB$26:BB$96,'Покупка услуг'!$F$26:$F$96,$F29,'Покупка услуг'!$G$26:$G$96,$G29)</f>
        <v>0</v>
      </c>
      <c r="BD29" s="256">
        <f t="shared" ref="BD29:BD46" ca="1" si="3">IF(AI29=0,0,(AT29-AI29)/AI29*100)</f>
        <v>0</v>
      </c>
      <c r="BE29" s="256">
        <f t="shared" ref="BE29:BE46" ca="1" si="4">IF(AT29=0,0,(AU29-AT29)/AT29*100)</f>
        <v>0</v>
      </c>
      <c r="BF29" s="256">
        <f t="shared" ref="BF29:BF46" ca="1" si="5">IF(AU29=0,0,(AV29-AU29)/AU29*100)</f>
        <v>0</v>
      </c>
      <c r="BG29" s="256">
        <f t="shared" ref="BG29:BG46" ca="1" si="6">IF(AV29=0,0,(AW29-AV29)/AV29*100)</f>
        <v>0</v>
      </c>
      <c r="BH29" s="256">
        <f t="shared" ref="BH29:BH46" ca="1" si="7">IF(AW29=0,0,(AX29-AW29)/AW29*100)</f>
        <v>0</v>
      </c>
      <c r="BI29" s="256">
        <f t="shared" ref="BI29:BI46" ca="1" si="8">IF(AX29=0,0,(AY29-AX29)/AX29*100)</f>
        <v>0</v>
      </c>
      <c r="BJ29" s="256">
        <f t="shared" ref="BJ29:BJ46" ca="1" si="9">IF(AY29=0,0,(AZ29-AY29)/AY29*100)</f>
        <v>0</v>
      </c>
      <c r="BK29" s="256">
        <f t="shared" ref="BK29:BK46" ca="1" si="10">IF(AZ29=0,0,(BA29-AZ29)/AZ29*100)</f>
        <v>0</v>
      </c>
      <c r="BL29" s="256">
        <f t="shared" ref="BL29:BL46" ca="1" si="11">IF(BA29=0,0,(BB29-BA29)/BA29*100)</f>
        <v>0</v>
      </c>
      <c r="BM29" s="256">
        <f t="shared" ref="BM29:BM46" ca="1" si="12">IF(BB29=0,0,(BC29-BB29)/BB29*100)</f>
        <v>0</v>
      </c>
      <c r="BN29" s="28"/>
      <c r="BO29" s="28"/>
      <c r="BP29" s="28"/>
      <c r="BS29" s="981" t="s">
        <v>1413</v>
      </c>
    </row>
    <row r="30" spans="1:71" ht="14.65" hidden="1" customHeight="1">
      <c r="E30" s="676">
        <v>15</v>
      </c>
      <c r="F30" s="779" cm="1">
        <f t="array" aca="1" ref="F30" ca="1">OFFSET(G30,-1,-1)</f>
        <v>0</v>
      </c>
      <c r="G30" s="620" t="s">
        <v>1213</v>
      </c>
      <c r="T30" s="687" t="b" cm="1">
        <f t="array" ref="T30">T29</f>
        <v>0</v>
      </c>
      <c r="X30" s="1726"/>
      <c r="Z30" s="1726"/>
      <c r="AB30" s="111" t="s">
        <v>989</v>
      </c>
      <c r="AC30" s="118" t="s">
        <v>1414</v>
      </c>
      <c r="AD30" s="111" t="s">
        <v>839</v>
      </c>
      <c r="AE30" s="256">
        <f ca="1">SUMIFS(Аренда!AE$26:AE$63,Аренда!$F$26:$F$63,$F30,Аренда!$G$26:$G$63,$G30)</f>
        <v>0</v>
      </c>
      <c r="AF30" s="256">
        <f ca="1">SUMIFS(Аренда!AF$26:AF$63,Аренда!$F$26:$F$63,$F30,Аренда!$G$26:$G$63,$G30)</f>
        <v>0</v>
      </c>
      <c r="AG30" s="53">
        <f ca="1">SUMIFS(Аренда!AG$26:AG$63,Аренда!$F$26:$F$63,$F30,Аренда!$G$26:$G$63,$G30)</f>
        <v>0</v>
      </c>
      <c r="AH30" s="256">
        <f t="shared" ca="1" si="2"/>
        <v>0</v>
      </c>
      <c r="AI30" s="256">
        <f ca="1">SUMIFS(Аренда!AH$26:AH$63,Аренда!$F$26:$F$63,$F30,Аренда!$G$26:$G$63,$G30)</f>
        <v>0</v>
      </c>
      <c r="AJ30" s="256">
        <f ca="1">SUMIFS(Аренда!AI$26:AI$63,Аренда!$F$26:$F$63,$F30,Аренда!$G$26:$G$63,$G30)</f>
        <v>0</v>
      </c>
      <c r="AK30" s="256">
        <f ca="1">SUMIFS(Аренда!AJ$26:AJ$63,Аренда!$F$26:$F$63,$F30,Аренда!$G$26:$G$63,$G30)</f>
        <v>0</v>
      </c>
      <c r="AL30" s="256">
        <f ca="1">SUMIFS(Аренда!AK$26:AK$63,Аренда!$F$26:$F$63,$F30,Аренда!$G$26:$G$63,$G30)</f>
        <v>0</v>
      </c>
      <c r="AM30" s="256">
        <f ca="1">SUMIFS(Аренда!AL$26:AL$63,Аренда!$F$26:$F$63,$F30,Аренда!$G$26:$G$63,$G30)</f>
        <v>0</v>
      </c>
      <c r="AN30" s="256">
        <f ca="1">SUMIFS(Аренда!AM$26:AM$63,Аренда!$F$26:$F$63,$F30,Аренда!$G$26:$G$63,$G30)</f>
        <v>0</v>
      </c>
      <c r="AO30" s="256">
        <f ca="1">SUMIFS(Аренда!AN$26:AN$63,Аренда!$F$26:$F$63,$F30,Аренда!$G$26:$G$63,$G30)</f>
        <v>0</v>
      </c>
      <c r="AP30" s="256">
        <f ca="1">SUMIFS(Аренда!AO$26:AO$63,Аренда!$F$26:$F$63,$F30,Аренда!$G$26:$G$63,$G30)</f>
        <v>0</v>
      </c>
      <c r="AQ30" s="256">
        <f ca="1">SUMIFS(Аренда!AP$26:AP$63,Аренда!$F$26:$F$63,$F30,Аренда!$G$26:$G$63,$G30)</f>
        <v>0</v>
      </c>
      <c r="AR30" s="256">
        <f ca="1">SUMIFS(Аренда!AQ$26:AQ$63,Аренда!$F$26:$F$63,$F30,Аренда!$G$26:$G$63,$G30)</f>
        <v>0</v>
      </c>
      <c r="AS30" s="256">
        <f ca="1">SUMIFS(Аренда!AR$26:AR$63,Аренда!$F$26:$F$63,$F30,Аренда!$G$26:$G$63,$G30)</f>
        <v>0</v>
      </c>
      <c r="AT30" s="256">
        <f ca="1">SUMIFS(Аренда!AS$26:AS$63,Аренда!$F$26:$F$63,$F30,Аренда!$G$26:$G$63,$G30)</f>
        <v>0</v>
      </c>
      <c r="AU30" s="256">
        <f ca="1">SUMIFS(Аренда!AT$26:AT$63,Аренда!$F$26:$F$63,$F30,Аренда!$G$26:$G$63,$G30)</f>
        <v>0</v>
      </c>
      <c r="AV30" s="256">
        <f ca="1">SUMIFS(Аренда!AU$26:AU$63,Аренда!$F$26:$F$63,$F30,Аренда!$G$26:$G$63,$G30)</f>
        <v>0</v>
      </c>
      <c r="AW30" s="256">
        <f ca="1">SUMIFS(Аренда!AV$26:AV$63,Аренда!$F$26:$F$63,$F30,Аренда!$G$26:$G$63,$G30)</f>
        <v>0</v>
      </c>
      <c r="AX30" s="256">
        <f ca="1">SUMIFS(Аренда!AW$26:AW$63,Аренда!$F$26:$F$63,$F30,Аренда!$G$26:$G$63,$G30)</f>
        <v>0</v>
      </c>
      <c r="AY30" s="256">
        <f ca="1">SUMIFS(Аренда!AX$26:AX$63,Аренда!$F$26:$F$63,$F30,Аренда!$G$26:$G$63,$G30)</f>
        <v>0</v>
      </c>
      <c r="AZ30" s="256">
        <f ca="1">SUMIFS(Аренда!AY$26:AY$63,Аренда!$F$26:$F$63,$F30,Аренда!$G$26:$G$63,$G30)</f>
        <v>0</v>
      </c>
      <c r="BA30" s="256">
        <f ca="1">SUMIFS(Аренда!AZ$26:AZ$63,Аренда!$F$26:$F$63,$F30,Аренда!$G$26:$G$63,$G30)</f>
        <v>0</v>
      </c>
      <c r="BB30" s="256">
        <f ca="1">SUMIFS(Аренда!BA$26:BA$63,Аренда!$F$26:$F$63,$F30,Аренда!$G$26:$G$63,$G30)</f>
        <v>0</v>
      </c>
      <c r="BC30" s="256">
        <f ca="1">SUMIFS(Аренда!BB$26:BB$63,Аренда!$F$26:$F$63,$F30,Аренда!$G$26:$G$63,$G30)</f>
        <v>0</v>
      </c>
      <c r="BD30" s="256">
        <f t="shared" ca="1" si="3"/>
        <v>0</v>
      </c>
      <c r="BE30" s="256">
        <f t="shared" ca="1" si="4"/>
        <v>0</v>
      </c>
      <c r="BF30" s="256">
        <f t="shared" ca="1" si="5"/>
        <v>0</v>
      </c>
      <c r="BG30" s="256">
        <f t="shared" ca="1" si="6"/>
        <v>0</v>
      </c>
      <c r="BH30" s="256">
        <f t="shared" ca="1" si="7"/>
        <v>0</v>
      </c>
      <c r="BI30" s="256">
        <f t="shared" ca="1" si="8"/>
        <v>0</v>
      </c>
      <c r="BJ30" s="256">
        <f t="shared" ca="1" si="9"/>
        <v>0</v>
      </c>
      <c r="BK30" s="256">
        <f t="shared" ca="1" si="10"/>
        <v>0</v>
      </c>
      <c r="BL30" s="256">
        <f t="shared" ca="1" si="11"/>
        <v>0</v>
      </c>
      <c r="BM30" s="256">
        <f t="shared" ca="1" si="12"/>
        <v>0</v>
      </c>
      <c r="BN30" s="28"/>
      <c r="BO30" s="28"/>
      <c r="BP30" s="28"/>
      <c r="BS30" s="981" t="s">
        <v>1216</v>
      </c>
    </row>
    <row r="31" spans="1:71" ht="14.65" hidden="1" customHeight="1">
      <c r="E31" s="676">
        <v>15</v>
      </c>
      <c r="F31" s="779" cm="1">
        <f t="array" aca="1" ref="F31" ca="1">OFFSET(G31,-1,-1)</f>
        <v>0</v>
      </c>
      <c r="G31" s="143" t="s">
        <v>1217</v>
      </c>
      <c r="T31" s="687" t="b" cm="1">
        <f t="array" ref="T31">T30</f>
        <v>0</v>
      </c>
      <c r="X31" s="1726"/>
      <c r="Z31" s="1726"/>
      <c r="AB31" s="111" t="s">
        <v>991</v>
      </c>
      <c r="AC31" s="118" t="s">
        <v>1218</v>
      </c>
      <c r="AD31" s="111" t="s">
        <v>839</v>
      </c>
      <c r="AE31" s="256">
        <f ca="1">SUMIFS(Аренда!AE$26:AE$63,Аренда!$F$26:$F$63,$F31,Аренда!$G$26:$G$63,$G31)</f>
        <v>0</v>
      </c>
      <c r="AF31" s="256">
        <f ca="1">SUMIFS(Аренда!AF$26:AF$63,Аренда!$F$26:$F$63,$F31,Аренда!$G$26:$G$63,$G31)</f>
        <v>0</v>
      </c>
      <c r="AG31" s="53">
        <f ca="1">SUMIFS(Аренда!AG$26:AG$63,Аренда!$F$26:$F$63,$F31,Аренда!$G$26:$G$63,$G31)</f>
        <v>0</v>
      </c>
      <c r="AH31" s="256">
        <f t="shared" ca="1" si="2"/>
        <v>0</v>
      </c>
      <c r="AI31" s="256">
        <f ca="1">SUMIFS(Аренда!AH$26:AH$63,Аренда!$F$26:$F$63,$F31,Аренда!$G$26:$G$63,$G31)</f>
        <v>0</v>
      </c>
      <c r="AJ31" s="256">
        <f ca="1">SUMIFS(Аренда!AI$26:AI$63,Аренда!$F$26:$F$63,$F31,Аренда!$G$26:$G$63,$G31)</f>
        <v>0</v>
      </c>
      <c r="AK31" s="256">
        <f ca="1">SUMIFS(Аренда!AJ$26:AJ$63,Аренда!$F$26:$F$63,$F31,Аренда!$G$26:$G$63,$G31)</f>
        <v>0</v>
      </c>
      <c r="AL31" s="256">
        <f ca="1">SUMIFS(Аренда!AK$26:AK$63,Аренда!$F$26:$F$63,$F31,Аренда!$G$26:$G$63,$G31)</f>
        <v>0</v>
      </c>
      <c r="AM31" s="256">
        <f ca="1">SUMIFS(Аренда!AL$26:AL$63,Аренда!$F$26:$F$63,$F31,Аренда!$G$26:$G$63,$G31)</f>
        <v>0</v>
      </c>
      <c r="AN31" s="256">
        <f ca="1">SUMIFS(Аренда!AM$26:AM$63,Аренда!$F$26:$F$63,$F31,Аренда!$G$26:$G$63,$G31)</f>
        <v>0</v>
      </c>
      <c r="AO31" s="256">
        <f ca="1">SUMIFS(Аренда!AN$26:AN$63,Аренда!$F$26:$F$63,$F31,Аренда!$G$26:$G$63,$G31)</f>
        <v>0</v>
      </c>
      <c r="AP31" s="256">
        <f ca="1">SUMIFS(Аренда!AO$26:AO$63,Аренда!$F$26:$F$63,$F31,Аренда!$G$26:$G$63,$G31)</f>
        <v>0</v>
      </c>
      <c r="AQ31" s="256">
        <f ca="1">SUMIFS(Аренда!AP$26:AP$63,Аренда!$F$26:$F$63,$F31,Аренда!$G$26:$G$63,$G31)</f>
        <v>0</v>
      </c>
      <c r="AR31" s="256">
        <f ca="1">SUMIFS(Аренда!AQ$26:AQ$63,Аренда!$F$26:$F$63,$F31,Аренда!$G$26:$G$63,$G31)</f>
        <v>0</v>
      </c>
      <c r="AS31" s="256">
        <f ca="1">SUMIFS(Аренда!AR$26:AR$63,Аренда!$F$26:$F$63,$F31,Аренда!$G$26:$G$63,$G31)</f>
        <v>0</v>
      </c>
      <c r="AT31" s="256">
        <f ca="1">SUMIFS(Аренда!AS$26:AS$63,Аренда!$F$26:$F$63,$F31,Аренда!$G$26:$G$63,$G31)</f>
        <v>0</v>
      </c>
      <c r="AU31" s="256">
        <f ca="1">SUMIFS(Аренда!AT$26:AT$63,Аренда!$F$26:$F$63,$F31,Аренда!$G$26:$G$63,$G31)</f>
        <v>0</v>
      </c>
      <c r="AV31" s="256">
        <f ca="1">SUMIFS(Аренда!AU$26:AU$63,Аренда!$F$26:$F$63,$F31,Аренда!$G$26:$G$63,$G31)</f>
        <v>0</v>
      </c>
      <c r="AW31" s="256">
        <f ca="1">SUMIFS(Аренда!AV$26:AV$63,Аренда!$F$26:$F$63,$F31,Аренда!$G$26:$G$63,$G31)</f>
        <v>0</v>
      </c>
      <c r="AX31" s="256">
        <f ca="1">SUMIFS(Аренда!AW$26:AW$63,Аренда!$F$26:$F$63,$F31,Аренда!$G$26:$G$63,$G31)</f>
        <v>0</v>
      </c>
      <c r="AY31" s="256">
        <f ca="1">SUMIFS(Аренда!AX$26:AX$63,Аренда!$F$26:$F$63,$F31,Аренда!$G$26:$G$63,$G31)</f>
        <v>0</v>
      </c>
      <c r="AZ31" s="256">
        <f ca="1">SUMIFS(Аренда!AY$26:AY$63,Аренда!$F$26:$F$63,$F31,Аренда!$G$26:$G$63,$G31)</f>
        <v>0</v>
      </c>
      <c r="BA31" s="256">
        <f ca="1">SUMIFS(Аренда!AZ$26:AZ$63,Аренда!$F$26:$F$63,$F31,Аренда!$G$26:$G$63,$G31)</f>
        <v>0</v>
      </c>
      <c r="BB31" s="256">
        <f ca="1">SUMIFS(Аренда!BA$26:BA$63,Аренда!$F$26:$F$63,$F31,Аренда!$G$26:$G$63,$G31)</f>
        <v>0</v>
      </c>
      <c r="BC31" s="256">
        <f ca="1">SUMIFS(Аренда!BB$26:BB$63,Аренда!$F$26:$F$63,$F31,Аренда!$G$26:$G$63,$G31)</f>
        <v>0</v>
      </c>
      <c r="BD31" s="256">
        <f t="shared" ca="1" si="3"/>
        <v>0</v>
      </c>
      <c r="BE31" s="256">
        <f t="shared" ca="1" si="4"/>
        <v>0</v>
      </c>
      <c r="BF31" s="256">
        <f t="shared" ca="1" si="5"/>
        <v>0</v>
      </c>
      <c r="BG31" s="256">
        <f t="shared" ca="1" si="6"/>
        <v>0</v>
      </c>
      <c r="BH31" s="256">
        <f t="shared" ca="1" si="7"/>
        <v>0</v>
      </c>
      <c r="BI31" s="256">
        <f t="shared" ca="1" si="8"/>
        <v>0</v>
      </c>
      <c r="BJ31" s="256">
        <f t="shared" ca="1" si="9"/>
        <v>0</v>
      </c>
      <c r="BK31" s="256">
        <f t="shared" ca="1" si="10"/>
        <v>0</v>
      </c>
      <c r="BL31" s="256">
        <f t="shared" ca="1" si="11"/>
        <v>0</v>
      </c>
      <c r="BM31" s="256">
        <f t="shared" ca="1" si="12"/>
        <v>0</v>
      </c>
      <c r="BN31" s="28"/>
      <c r="BO31" s="28"/>
      <c r="BP31" s="28"/>
      <c r="BS31" s="981" t="s">
        <v>1415</v>
      </c>
    </row>
    <row r="32" spans="1:71" ht="14.65" hidden="1" customHeight="1">
      <c r="E32" s="676">
        <v>15</v>
      </c>
      <c r="F32" s="779" cm="1">
        <f t="array" aca="1" ref="F32" ca="1">OFFSET(G32,-1,-1)</f>
        <v>0</v>
      </c>
      <c r="T32" s="687" t="b" cm="1">
        <f t="array" ref="T32">T31</f>
        <v>0</v>
      </c>
      <c r="X32" s="1726"/>
      <c r="Z32" s="1726"/>
      <c r="AB32" s="111" t="s">
        <v>995</v>
      </c>
      <c r="AC32" s="118" t="s">
        <v>1416</v>
      </c>
      <c r="AD32" s="111" t="s">
        <v>839</v>
      </c>
      <c r="AE32" s="515">
        <f ca="1">SUM(AE33:AE35)</f>
        <v>0</v>
      </c>
      <c r="AF32" s="515">
        <f ca="1">SUM(AF33:AF35)</f>
        <v>0</v>
      </c>
      <c r="AG32" s="77">
        <f ca="1">SUM(AG33:AG35)</f>
        <v>0</v>
      </c>
      <c r="AH32" s="256">
        <f t="shared" ca="1" si="2"/>
        <v>0</v>
      </c>
      <c r="AI32" s="515">
        <f t="shared" ref="AI32:BC32" ca="1" si="13">SUM(AI33:AI35)</f>
        <v>0</v>
      </c>
      <c r="AJ32" s="515">
        <f t="shared" ca="1" si="13"/>
        <v>0</v>
      </c>
      <c r="AK32" s="515">
        <f t="shared" ca="1" si="13"/>
        <v>0</v>
      </c>
      <c r="AL32" s="515">
        <f t="shared" ca="1" si="13"/>
        <v>0</v>
      </c>
      <c r="AM32" s="515">
        <f t="shared" ca="1" si="13"/>
        <v>0</v>
      </c>
      <c r="AN32" s="515">
        <f t="shared" ca="1" si="13"/>
        <v>0</v>
      </c>
      <c r="AO32" s="515">
        <f t="shared" ca="1" si="13"/>
        <v>0</v>
      </c>
      <c r="AP32" s="515">
        <f t="shared" ca="1" si="13"/>
        <v>0</v>
      </c>
      <c r="AQ32" s="515">
        <f t="shared" ca="1" si="13"/>
        <v>0</v>
      </c>
      <c r="AR32" s="515">
        <f t="shared" ca="1" si="13"/>
        <v>0</v>
      </c>
      <c r="AS32" s="515">
        <f t="shared" ca="1" si="13"/>
        <v>0</v>
      </c>
      <c r="AT32" s="515">
        <f t="shared" ca="1" si="13"/>
        <v>0</v>
      </c>
      <c r="AU32" s="515">
        <f t="shared" ca="1" si="13"/>
        <v>0</v>
      </c>
      <c r="AV32" s="515">
        <f t="shared" ca="1" si="13"/>
        <v>0</v>
      </c>
      <c r="AW32" s="515">
        <f t="shared" ca="1" si="13"/>
        <v>0</v>
      </c>
      <c r="AX32" s="515">
        <f t="shared" ca="1" si="13"/>
        <v>0</v>
      </c>
      <c r="AY32" s="515">
        <f t="shared" ca="1" si="13"/>
        <v>0</v>
      </c>
      <c r="AZ32" s="515">
        <f t="shared" ca="1" si="13"/>
        <v>0</v>
      </c>
      <c r="BA32" s="515">
        <f t="shared" ca="1" si="13"/>
        <v>0</v>
      </c>
      <c r="BB32" s="515">
        <f t="shared" ca="1" si="13"/>
        <v>0</v>
      </c>
      <c r="BC32" s="515">
        <f t="shared" ca="1" si="13"/>
        <v>0</v>
      </c>
      <c r="BD32" s="256">
        <f t="shared" ca="1" si="3"/>
        <v>0</v>
      </c>
      <c r="BE32" s="256">
        <f t="shared" ca="1" si="4"/>
        <v>0</v>
      </c>
      <c r="BF32" s="256">
        <f t="shared" ca="1" si="5"/>
        <v>0</v>
      </c>
      <c r="BG32" s="256">
        <f t="shared" ca="1" si="6"/>
        <v>0</v>
      </c>
      <c r="BH32" s="256">
        <f t="shared" ca="1" si="7"/>
        <v>0</v>
      </c>
      <c r="BI32" s="256">
        <f t="shared" ca="1" si="8"/>
        <v>0</v>
      </c>
      <c r="BJ32" s="256">
        <f t="shared" ca="1" si="9"/>
        <v>0</v>
      </c>
      <c r="BK32" s="256">
        <f t="shared" ca="1" si="10"/>
        <v>0</v>
      </c>
      <c r="BL32" s="256">
        <f t="shared" ca="1" si="11"/>
        <v>0</v>
      </c>
      <c r="BM32" s="256">
        <f t="shared" ca="1" si="12"/>
        <v>0</v>
      </c>
      <c r="BN32" s="28"/>
      <c r="BO32" s="28"/>
      <c r="BP32" s="28"/>
      <c r="BS32" s="981" t="s">
        <v>1417</v>
      </c>
    </row>
    <row r="33" spans="1:71" ht="39.4" hidden="1" customHeight="1">
      <c r="E33" s="676">
        <v>40.5</v>
      </c>
      <c r="F33" s="779" cm="1">
        <f t="array" aca="1" ref="F33" ca="1">OFFSET(G33,-1,-1)</f>
        <v>0</v>
      </c>
      <c r="G33" s="143" t="s">
        <v>1303</v>
      </c>
      <c r="T33" s="687" t="b" cm="1">
        <f t="array" ref="T33">T32</f>
        <v>0</v>
      </c>
      <c r="X33" s="1726"/>
      <c r="Z33" s="1726"/>
      <c r="AB33" s="111" t="s">
        <v>1085</v>
      </c>
      <c r="AC33" s="118" t="s">
        <v>1304</v>
      </c>
      <c r="AD33" s="111" t="s">
        <v>839</v>
      </c>
      <c r="AE33" s="515">
        <f ca="1">SUMIFS(Налоги!AE$26:AE$69,Налоги!$F$26:$F$69,$F33,Налоги!$G$26:$G$69,$G33)</f>
        <v>0</v>
      </c>
      <c r="AF33" s="515">
        <f ca="1">SUMIFS(Налоги!AF$26:AF$69,Налоги!$F$26:$F$69,$F33,Налоги!$G$26:$G$69,$G33)</f>
        <v>0</v>
      </c>
      <c r="AG33" s="77">
        <f ca="1">SUMIFS(Налоги!AG$26:AG$69,Налоги!$F$26:$F$69,$F33,Налоги!$G$26:$G$69,$G33)</f>
        <v>0</v>
      </c>
      <c r="AH33" s="256">
        <f t="shared" ca="1" si="2"/>
        <v>0</v>
      </c>
      <c r="AI33" s="515">
        <f ca="1">SUMIFS(Налоги!AH$26:AH$69,Налоги!$F$26:$F$69,$F33,Налоги!$G$26:$G$69,$G33)</f>
        <v>0</v>
      </c>
      <c r="AJ33" s="515">
        <f ca="1">SUMIFS(Налоги!AI$26:AI$69,Налоги!$F$26:$F$69,$F33,Налоги!$G$26:$G$69,$G33)</f>
        <v>0</v>
      </c>
      <c r="AK33" s="515">
        <f ca="1">SUMIFS(Налоги!AJ$26:AJ$69,Налоги!$F$26:$F$69,$F33,Налоги!$G$26:$G$69,$G33)</f>
        <v>0</v>
      </c>
      <c r="AL33" s="515">
        <f ca="1">SUMIFS(Налоги!AK$26:AK$69,Налоги!$F$26:$F$69,$F33,Налоги!$G$26:$G$69,$G33)</f>
        <v>0</v>
      </c>
      <c r="AM33" s="515">
        <f ca="1">SUMIFS(Налоги!AL$26:AL$69,Налоги!$F$26:$F$69,$F33,Налоги!$G$26:$G$69,$G33)</f>
        <v>0</v>
      </c>
      <c r="AN33" s="515">
        <f ca="1">SUMIFS(Налоги!AM$26:AM$69,Налоги!$F$26:$F$69,$F33,Налоги!$G$26:$G$69,$G33)</f>
        <v>0</v>
      </c>
      <c r="AO33" s="515">
        <f ca="1">SUMIFS(Налоги!AN$26:AN$69,Налоги!$F$26:$F$69,$F33,Налоги!$G$26:$G$69,$G33)</f>
        <v>0</v>
      </c>
      <c r="AP33" s="515">
        <f ca="1">SUMIFS(Налоги!AO$26:AO$69,Налоги!$F$26:$F$69,$F33,Налоги!$G$26:$G$69,$G33)</f>
        <v>0</v>
      </c>
      <c r="AQ33" s="515">
        <f ca="1">SUMIFS(Налоги!AP$26:AP$69,Налоги!$F$26:$F$69,$F33,Налоги!$G$26:$G$69,$G33)</f>
        <v>0</v>
      </c>
      <c r="AR33" s="515">
        <f ca="1">SUMIFS(Налоги!AQ$26:AQ$69,Налоги!$F$26:$F$69,$F33,Налоги!$G$26:$G$69,$G33)</f>
        <v>0</v>
      </c>
      <c r="AS33" s="515">
        <f ca="1">SUMIFS(Налоги!AR$26:AR$69,Налоги!$F$26:$F$69,$F33,Налоги!$G$26:$G$69,$G33)</f>
        <v>0</v>
      </c>
      <c r="AT33" s="515">
        <f ca="1">SUMIFS(Налоги!AS$26:AS$69,Налоги!$F$26:$F$69,$F33,Налоги!$G$26:$G$69,$G33)</f>
        <v>0</v>
      </c>
      <c r="AU33" s="515">
        <f ca="1">SUMIFS(Налоги!AT$26:AT$69,Налоги!$F$26:$F$69,$F33,Налоги!$G$26:$G$69,$G33)</f>
        <v>0</v>
      </c>
      <c r="AV33" s="515">
        <f ca="1">SUMIFS(Налоги!AU$26:AU$69,Налоги!$F$26:$F$69,$F33,Налоги!$G$26:$G$69,$G33)</f>
        <v>0</v>
      </c>
      <c r="AW33" s="515">
        <f ca="1">SUMIFS(Налоги!AV$26:AV$69,Налоги!$F$26:$F$69,$F33,Налоги!$G$26:$G$69,$G33)</f>
        <v>0</v>
      </c>
      <c r="AX33" s="515">
        <f ca="1">SUMIFS(Налоги!AW$26:AW$69,Налоги!$F$26:$F$69,$F33,Налоги!$G$26:$G$69,$G33)</f>
        <v>0</v>
      </c>
      <c r="AY33" s="515">
        <f ca="1">SUMIFS(Налоги!AX$26:AX$69,Налоги!$F$26:$F$69,$F33,Налоги!$G$26:$G$69,$G33)</f>
        <v>0</v>
      </c>
      <c r="AZ33" s="515">
        <f ca="1">SUMIFS(Налоги!AY$26:AY$69,Налоги!$F$26:$F$69,$F33,Налоги!$G$26:$G$69,$G33)</f>
        <v>0</v>
      </c>
      <c r="BA33" s="515">
        <f ca="1">SUMIFS(Налоги!AZ$26:AZ$69,Налоги!$F$26:$F$69,$F33,Налоги!$G$26:$G$69,$G33)</f>
        <v>0</v>
      </c>
      <c r="BB33" s="515">
        <f ca="1">SUMIFS(Налоги!BA$26:BA$69,Налоги!$F$26:$F$69,$F33,Налоги!$G$26:$G$69,$G33)</f>
        <v>0</v>
      </c>
      <c r="BC33" s="515">
        <f ca="1">SUMIFS(Налоги!BB$26:BB$69,Налоги!$F$26:$F$69,$F33,Налоги!$G$26:$G$69,$G33)</f>
        <v>0</v>
      </c>
      <c r="BD33" s="256">
        <f t="shared" ca="1" si="3"/>
        <v>0</v>
      </c>
      <c r="BE33" s="256">
        <f t="shared" ca="1" si="4"/>
        <v>0</v>
      </c>
      <c r="BF33" s="256">
        <f t="shared" ca="1" si="5"/>
        <v>0</v>
      </c>
      <c r="BG33" s="256">
        <f t="shared" ca="1" si="6"/>
        <v>0</v>
      </c>
      <c r="BH33" s="256">
        <f t="shared" ca="1" si="7"/>
        <v>0</v>
      </c>
      <c r="BI33" s="256">
        <f t="shared" ca="1" si="8"/>
        <v>0</v>
      </c>
      <c r="BJ33" s="256">
        <f t="shared" ca="1" si="9"/>
        <v>0</v>
      </c>
      <c r="BK33" s="256">
        <f t="shared" ca="1" si="10"/>
        <v>0</v>
      </c>
      <c r="BL33" s="256">
        <f t="shared" ca="1" si="11"/>
        <v>0</v>
      </c>
      <c r="BM33" s="256">
        <f t="shared" ca="1" si="12"/>
        <v>0</v>
      </c>
      <c r="BN33" s="28"/>
      <c r="BO33" s="28"/>
      <c r="BP33" s="28"/>
      <c r="BS33" s="981" t="s">
        <v>1418</v>
      </c>
    </row>
    <row r="34" spans="1:71" s="185" customFormat="1" ht="14.65" hidden="1" customHeight="1">
      <c r="E34" s="676">
        <v>15</v>
      </c>
      <c r="F34" s="779" cm="1">
        <f t="array" aca="1" ref="F34" ca="1">OFFSET(G34,-1,-1)</f>
        <v>0</v>
      </c>
      <c r="G34" s="143" t="s">
        <v>1310</v>
      </c>
      <c r="T34" s="687" t="b" cm="1">
        <f t="array" ref="T34">T33</f>
        <v>0</v>
      </c>
      <c r="X34" s="1823"/>
      <c r="Z34" s="1823"/>
      <c r="AB34" s="111" t="s">
        <v>1088</v>
      </c>
      <c r="AC34" s="118" t="s">
        <v>1419</v>
      </c>
      <c r="AD34" s="111" t="s">
        <v>839</v>
      </c>
      <c r="AE34" s="515">
        <f ca="1">SUMIFS(Налоги!AE$26:AE$69,Налоги!$F$26:$F$69,$F34,Налоги!$G$26:$G$69,$G34)</f>
        <v>0</v>
      </c>
      <c r="AF34" s="515">
        <f ca="1">SUMIFS(Налоги!AF$26:AF$69,Налоги!$F$26:$F$69,$F34,Налоги!$G$26:$G$69,$G34)</f>
        <v>0</v>
      </c>
      <c r="AG34" s="77">
        <f ca="1">SUMIFS(Налоги!AG$26:AG$69,Налоги!$F$26:$F$69,$F34,Налоги!$G$26:$G$69,$G34)</f>
        <v>0</v>
      </c>
      <c r="AH34" s="256">
        <f t="shared" ca="1" si="2"/>
        <v>0</v>
      </c>
      <c r="AI34" s="515">
        <f ca="1">SUMIFS(Налоги!AH$26:AH$69,Налоги!$F$26:$F$69,$F34,Налоги!$G$26:$G$69,$G34)</f>
        <v>0</v>
      </c>
      <c r="AJ34" s="515">
        <f ca="1">SUMIFS(Налоги!AI$26:AI$69,Налоги!$F$26:$F$69,$F34,Налоги!$G$26:$G$69,$G34)</f>
        <v>0</v>
      </c>
      <c r="AK34" s="515">
        <f ca="1">SUMIFS(Налоги!AJ$26:AJ$69,Налоги!$F$26:$F$69,$F34,Налоги!$G$26:$G$69,$G34)</f>
        <v>0</v>
      </c>
      <c r="AL34" s="515">
        <f ca="1">SUMIFS(Налоги!AK$26:AK$69,Налоги!$F$26:$F$69,$F34,Налоги!$G$26:$G$69,$G34)</f>
        <v>0</v>
      </c>
      <c r="AM34" s="515">
        <f ca="1">SUMIFS(Налоги!AL$26:AL$69,Налоги!$F$26:$F$69,$F34,Налоги!$G$26:$G$69,$G34)</f>
        <v>0</v>
      </c>
      <c r="AN34" s="515">
        <f ca="1">SUMIFS(Налоги!AM$26:AM$69,Налоги!$F$26:$F$69,$F34,Налоги!$G$26:$G$69,$G34)</f>
        <v>0</v>
      </c>
      <c r="AO34" s="515">
        <f ca="1">SUMIFS(Налоги!AN$26:AN$69,Налоги!$F$26:$F$69,$F34,Налоги!$G$26:$G$69,$G34)</f>
        <v>0</v>
      </c>
      <c r="AP34" s="515">
        <f ca="1">SUMIFS(Налоги!AO$26:AO$69,Налоги!$F$26:$F$69,$F34,Налоги!$G$26:$G$69,$G34)</f>
        <v>0</v>
      </c>
      <c r="AQ34" s="515">
        <f ca="1">SUMIFS(Налоги!AP$26:AP$69,Налоги!$F$26:$F$69,$F34,Налоги!$G$26:$G$69,$G34)</f>
        <v>0</v>
      </c>
      <c r="AR34" s="515">
        <f ca="1">SUMIFS(Налоги!AQ$26:AQ$69,Налоги!$F$26:$F$69,$F34,Налоги!$G$26:$G$69,$G34)</f>
        <v>0</v>
      </c>
      <c r="AS34" s="515">
        <f ca="1">SUMIFS(Налоги!AR$26:AR$69,Налоги!$F$26:$F$69,$F34,Налоги!$G$26:$G$69,$G34)</f>
        <v>0</v>
      </c>
      <c r="AT34" s="515">
        <f ca="1">SUMIFS(Налоги!AS$26:AS$69,Налоги!$F$26:$F$69,$F34,Налоги!$G$26:$G$69,$G34)</f>
        <v>0</v>
      </c>
      <c r="AU34" s="515">
        <f ca="1">SUMIFS(Налоги!AT$26:AT$69,Налоги!$F$26:$F$69,$F34,Налоги!$G$26:$G$69,$G34)</f>
        <v>0</v>
      </c>
      <c r="AV34" s="515">
        <f ca="1">SUMIFS(Налоги!AU$26:AU$69,Налоги!$F$26:$F$69,$F34,Налоги!$G$26:$G$69,$G34)</f>
        <v>0</v>
      </c>
      <c r="AW34" s="515">
        <f ca="1">SUMIFS(Налоги!AV$26:AV$69,Налоги!$F$26:$F$69,$F34,Налоги!$G$26:$G$69,$G34)</f>
        <v>0</v>
      </c>
      <c r="AX34" s="515">
        <f ca="1">SUMIFS(Налоги!AW$26:AW$69,Налоги!$F$26:$F$69,$F34,Налоги!$G$26:$G$69,$G34)</f>
        <v>0</v>
      </c>
      <c r="AY34" s="515">
        <f ca="1">SUMIFS(Налоги!AX$26:AX$69,Налоги!$F$26:$F$69,$F34,Налоги!$G$26:$G$69,$G34)</f>
        <v>0</v>
      </c>
      <c r="AZ34" s="515">
        <f ca="1">SUMIFS(Налоги!AY$26:AY$69,Налоги!$F$26:$F$69,$F34,Налоги!$G$26:$G$69,$G34)</f>
        <v>0</v>
      </c>
      <c r="BA34" s="515">
        <f ca="1">SUMIFS(Налоги!AZ$26:AZ$69,Налоги!$F$26:$F$69,$F34,Налоги!$G$26:$G$69,$G34)</f>
        <v>0</v>
      </c>
      <c r="BB34" s="515">
        <f ca="1">SUMIFS(Налоги!BA$26:BA$69,Налоги!$F$26:$F$69,$F34,Налоги!$G$26:$G$69,$G34)</f>
        <v>0</v>
      </c>
      <c r="BC34" s="515">
        <f ca="1">SUMIFS(Налоги!BB$26:BB$69,Налоги!$F$26:$F$69,$F34,Налоги!$G$26:$G$69,$G34)</f>
        <v>0</v>
      </c>
      <c r="BD34" s="256">
        <f t="shared" ca="1" si="3"/>
        <v>0</v>
      </c>
      <c r="BE34" s="256">
        <f t="shared" ca="1" si="4"/>
        <v>0</v>
      </c>
      <c r="BF34" s="256">
        <f t="shared" ca="1" si="5"/>
        <v>0</v>
      </c>
      <c r="BG34" s="256">
        <f t="shared" ca="1" si="6"/>
        <v>0</v>
      </c>
      <c r="BH34" s="256">
        <f t="shared" ca="1" si="7"/>
        <v>0</v>
      </c>
      <c r="BI34" s="256">
        <f t="shared" ca="1" si="8"/>
        <v>0</v>
      </c>
      <c r="BJ34" s="256">
        <f t="shared" ca="1" si="9"/>
        <v>0</v>
      </c>
      <c r="BK34" s="256">
        <f t="shared" ca="1" si="10"/>
        <v>0</v>
      </c>
      <c r="BL34" s="256">
        <f t="shared" ca="1" si="11"/>
        <v>0</v>
      </c>
      <c r="BM34" s="256">
        <f t="shared" ca="1" si="12"/>
        <v>0</v>
      </c>
      <c r="BN34" s="28"/>
      <c r="BO34" s="28"/>
      <c r="BP34" s="28"/>
      <c r="BS34" s="981" t="s">
        <v>1420</v>
      </c>
    </row>
    <row r="35" spans="1:71" s="185" customFormat="1" ht="14.65" hidden="1" customHeight="1">
      <c r="E35" s="676">
        <v>15</v>
      </c>
      <c r="F35" s="779" cm="1">
        <f t="array" aca="1" ref="F35" ca="1">OFFSET(G35,-1,-1)</f>
        <v>0</v>
      </c>
      <c r="G35" s="143" t="s">
        <v>1306</v>
      </c>
      <c r="T35" s="687" t="b" cm="1">
        <f t="array" ref="T35">T34</f>
        <v>0</v>
      </c>
      <c r="X35" s="1823"/>
      <c r="Z35" s="1823"/>
      <c r="AB35" s="111" t="s">
        <v>1091</v>
      </c>
      <c r="AC35" s="118" t="s">
        <v>1421</v>
      </c>
      <c r="AD35" s="111" t="s">
        <v>839</v>
      </c>
      <c r="AE35" s="515">
        <f ca="1">SUMIFS(Налоги!AE$26:AE$69,Налоги!$F$26:$F$69,$F35,Налоги!$G$26:$G$69,$G35)</f>
        <v>0</v>
      </c>
      <c r="AF35" s="515">
        <f ca="1">SUMIFS(Налоги!AF$26:AF$69,Налоги!$F$26:$F$69,$F35,Налоги!$G$26:$G$69,$G35)</f>
        <v>0</v>
      </c>
      <c r="AG35" s="77">
        <f ca="1">SUMIFS(Налоги!AG$26:AG$69,Налоги!$F$26:$F$69,$F35,Налоги!$G$26:$G$69,$G35)</f>
        <v>0</v>
      </c>
      <c r="AH35" s="256">
        <f t="shared" ca="1" si="2"/>
        <v>0</v>
      </c>
      <c r="AI35" s="515">
        <f ca="1">SUMIFS(Налоги!AH$26:AH$69,Налоги!$F$26:$F$69,$F35,Налоги!$G$26:$G$69,$G35)</f>
        <v>0</v>
      </c>
      <c r="AJ35" s="515">
        <f ca="1">SUMIFS(Налоги!AI$26:AI$69,Налоги!$F$26:$F$69,$F35,Налоги!$G$26:$G$69,$G35)</f>
        <v>0</v>
      </c>
      <c r="AK35" s="515">
        <f ca="1">SUMIFS(Налоги!AJ$26:AJ$69,Налоги!$F$26:$F$69,$F35,Налоги!$G$26:$G$69,$G35)</f>
        <v>0</v>
      </c>
      <c r="AL35" s="515">
        <f ca="1">SUMIFS(Налоги!AK$26:AK$69,Налоги!$F$26:$F$69,$F35,Налоги!$G$26:$G$69,$G35)</f>
        <v>0</v>
      </c>
      <c r="AM35" s="515">
        <f ca="1">SUMIFS(Налоги!AL$26:AL$69,Налоги!$F$26:$F$69,$F35,Налоги!$G$26:$G$69,$G35)</f>
        <v>0</v>
      </c>
      <c r="AN35" s="515">
        <f ca="1">SUMIFS(Налоги!AM$26:AM$69,Налоги!$F$26:$F$69,$F35,Налоги!$G$26:$G$69,$G35)</f>
        <v>0</v>
      </c>
      <c r="AO35" s="515">
        <f ca="1">SUMIFS(Налоги!AN$26:AN$69,Налоги!$F$26:$F$69,$F35,Налоги!$G$26:$G$69,$G35)</f>
        <v>0</v>
      </c>
      <c r="AP35" s="515">
        <f ca="1">SUMIFS(Налоги!AO$26:AO$69,Налоги!$F$26:$F$69,$F35,Налоги!$G$26:$G$69,$G35)</f>
        <v>0</v>
      </c>
      <c r="AQ35" s="515">
        <f ca="1">SUMIFS(Налоги!AP$26:AP$69,Налоги!$F$26:$F$69,$F35,Налоги!$G$26:$G$69,$G35)</f>
        <v>0</v>
      </c>
      <c r="AR35" s="515">
        <f ca="1">SUMIFS(Налоги!AQ$26:AQ$69,Налоги!$F$26:$F$69,$F35,Налоги!$G$26:$G$69,$G35)</f>
        <v>0</v>
      </c>
      <c r="AS35" s="515">
        <f ca="1">SUMIFS(Налоги!AR$26:AR$69,Налоги!$F$26:$F$69,$F35,Налоги!$G$26:$G$69,$G35)</f>
        <v>0</v>
      </c>
      <c r="AT35" s="515">
        <f ca="1">SUMIFS(Налоги!AS$26:AS$69,Налоги!$F$26:$F$69,$F35,Налоги!$G$26:$G$69,$G35)</f>
        <v>0</v>
      </c>
      <c r="AU35" s="515">
        <f ca="1">SUMIFS(Налоги!AT$26:AT$69,Налоги!$F$26:$F$69,$F35,Налоги!$G$26:$G$69,$G35)</f>
        <v>0</v>
      </c>
      <c r="AV35" s="515">
        <f ca="1">SUMIFS(Налоги!AU$26:AU$69,Налоги!$F$26:$F$69,$F35,Налоги!$G$26:$G$69,$G35)</f>
        <v>0</v>
      </c>
      <c r="AW35" s="515">
        <f ca="1">SUMIFS(Налоги!AV$26:AV$69,Налоги!$F$26:$F$69,$F35,Налоги!$G$26:$G$69,$G35)</f>
        <v>0</v>
      </c>
      <c r="AX35" s="515">
        <f ca="1">SUMIFS(Налоги!AW$26:AW$69,Налоги!$F$26:$F$69,$F35,Налоги!$G$26:$G$69,$G35)</f>
        <v>0</v>
      </c>
      <c r="AY35" s="515">
        <f ca="1">SUMIFS(Налоги!AX$26:AX$69,Налоги!$F$26:$F$69,$F35,Налоги!$G$26:$G$69,$G35)</f>
        <v>0</v>
      </c>
      <c r="AZ35" s="515">
        <f ca="1">SUMIFS(Налоги!AY$26:AY$69,Налоги!$F$26:$F$69,$F35,Налоги!$G$26:$G$69,$G35)</f>
        <v>0</v>
      </c>
      <c r="BA35" s="515">
        <f ca="1">SUMIFS(Налоги!AZ$26:AZ$69,Налоги!$F$26:$F$69,$F35,Налоги!$G$26:$G$69,$G35)</f>
        <v>0</v>
      </c>
      <c r="BB35" s="515">
        <f ca="1">SUMIFS(Налоги!BA$26:BA$69,Налоги!$F$26:$F$69,$F35,Налоги!$G$26:$G$69,$G35)</f>
        <v>0</v>
      </c>
      <c r="BC35" s="515">
        <f ca="1">SUMIFS(Налоги!BB$26:BB$69,Налоги!$F$26:$F$69,$F35,Налоги!$G$26:$G$69,$G35)</f>
        <v>0</v>
      </c>
      <c r="BD35" s="256">
        <f t="shared" ca="1" si="3"/>
        <v>0</v>
      </c>
      <c r="BE35" s="256">
        <f t="shared" ca="1" si="4"/>
        <v>0</v>
      </c>
      <c r="BF35" s="256">
        <f t="shared" ca="1" si="5"/>
        <v>0</v>
      </c>
      <c r="BG35" s="256">
        <f t="shared" ca="1" si="6"/>
        <v>0</v>
      </c>
      <c r="BH35" s="256">
        <f t="shared" ca="1" si="7"/>
        <v>0</v>
      </c>
      <c r="BI35" s="256">
        <f t="shared" ca="1" si="8"/>
        <v>0</v>
      </c>
      <c r="BJ35" s="256">
        <f t="shared" ca="1" si="9"/>
        <v>0</v>
      </c>
      <c r="BK35" s="256">
        <f t="shared" ca="1" si="10"/>
        <v>0</v>
      </c>
      <c r="BL35" s="256">
        <f t="shared" ca="1" si="11"/>
        <v>0</v>
      </c>
      <c r="BM35" s="256">
        <f t="shared" ca="1" si="12"/>
        <v>0</v>
      </c>
      <c r="BN35" s="28"/>
      <c r="BO35" s="28"/>
      <c r="BP35" s="28"/>
      <c r="BS35" s="981" t="s">
        <v>1326</v>
      </c>
    </row>
    <row r="36" spans="1:71" ht="14.65" hidden="1" customHeight="1">
      <c r="E36" s="676">
        <v>15</v>
      </c>
      <c r="F36" s="779" cm="1">
        <f t="array" aca="1" ref="F36" ca="1">OFFSET(G36,-1,-1)</f>
        <v>0</v>
      </c>
      <c r="T36" s="687" t="b" cm="1">
        <f t="array" ref="T36">T35</f>
        <v>0</v>
      </c>
      <c r="X36" s="1726"/>
      <c r="Z36" s="1726"/>
      <c r="AB36" s="111" t="s">
        <v>1100</v>
      </c>
      <c r="AC36" s="118" t="s">
        <v>1422</v>
      </c>
      <c r="AD36" s="111" t="s">
        <v>839</v>
      </c>
      <c r="AE36" s="77"/>
      <c r="AF36" s="77"/>
      <c r="AG36" s="77"/>
      <c r="AH36" s="256">
        <f t="shared" si="2"/>
        <v>0</v>
      </c>
      <c r="AI36" s="77"/>
      <c r="AJ36" s="517"/>
      <c r="AK36" s="517"/>
      <c r="AL36" s="517"/>
      <c r="AM36" s="517"/>
      <c r="AN36" s="517"/>
      <c r="AO36" s="77"/>
      <c r="AP36" s="77"/>
      <c r="AQ36" s="77"/>
      <c r="AR36" s="77"/>
      <c r="AS36" s="77"/>
      <c r="AT36" s="517"/>
      <c r="AU36" s="517"/>
      <c r="AV36" s="517"/>
      <c r="AW36" s="517"/>
      <c r="AX36" s="517"/>
      <c r="AY36" s="77"/>
      <c r="AZ36" s="77"/>
      <c r="BA36" s="77"/>
      <c r="BB36" s="77"/>
      <c r="BC36" s="77"/>
      <c r="BD36" s="256">
        <f t="shared" si="3"/>
        <v>0</v>
      </c>
      <c r="BE36" s="256">
        <f t="shared" si="4"/>
        <v>0</v>
      </c>
      <c r="BF36" s="256">
        <f t="shared" si="5"/>
        <v>0</v>
      </c>
      <c r="BG36" s="256">
        <f t="shared" si="6"/>
        <v>0</v>
      </c>
      <c r="BH36" s="256">
        <f t="shared" si="7"/>
        <v>0</v>
      </c>
      <c r="BI36" s="256">
        <f t="shared" si="8"/>
        <v>0</v>
      </c>
      <c r="BJ36" s="256">
        <f t="shared" si="9"/>
        <v>0</v>
      </c>
      <c r="BK36" s="256">
        <f t="shared" si="10"/>
        <v>0</v>
      </c>
      <c r="BL36" s="256">
        <f t="shared" si="11"/>
        <v>0</v>
      </c>
      <c r="BM36" s="256">
        <f t="shared" si="12"/>
        <v>0</v>
      </c>
      <c r="BN36" s="28"/>
      <c r="BO36" s="28"/>
      <c r="BP36" s="28"/>
      <c r="BS36" s="981" t="s">
        <v>1423</v>
      </c>
    </row>
    <row r="37" spans="1:71" ht="14.65" hidden="1" customHeight="1">
      <c r="E37" s="676">
        <v>15</v>
      </c>
      <c r="F37" s="779" cm="1">
        <f t="array" aca="1" ref="F37" ca="1">OFFSET(G37,-1,-1)</f>
        <v>0</v>
      </c>
      <c r="T37" s="687" t="b" cm="1">
        <f t="array" ref="T37">T36</f>
        <v>0</v>
      </c>
      <c r="X37" s="1726"/>
      <c r="Z37" s="1726"/>
      <c r="AB37" s="111" t="s">
        <v>1424</v>
      </c>
      <c r="AC37" s="745" t="s">
        <v>1425</v>
      </c>
      <c r="AD37" s="111" t="s">
        <v>533</v>
      </c>
      <c r="AE37" s="73"/>
      <c r="AF37" s="73"/>
      <c r="AG37" s="73"/>
      <c r="AH37" s="256">
        <f t="shared" si="2"/>
        <v>0</v>
      </c>
      <c r="AI37" s="73"/>
      <c r="AJ37" s="934"/>
      <c r="AK37" s="934"/>
      <c r="AL37" s="934"/>
      <c r="AM37" s="934"/>
      <c r="AN37" s="934"/>
      <c r="AO37" s="73"/>
      <c r="AP37" s="73"/>
      <c r="AQ37" s="73"/>
      <c r="AR37" s="73"/>
      <c r="AS37" s="73"/>
      <c r="AT37" s="934"/>
      <c r="AU37" s="934"/>
      <c r="AV37" s="934"/>
      <c r="AW37" s="934"/>
      <c r="AX37" s="934"/>
      <c r="AY37" s="73"/>
      <c r="AZ37" s="73"/>
      <c r="BA37" s="73"/>
      <c r="BB37" s="73"/>
      <c r="BC37" s="73"/>
      <c r="BD37" s="256">
        <f t="shared" si="3"/>
        <v>0</v>
      </c>
      <c r="BE37" s="256">
        <f t="shared" si="4"/>
        <v>0</v>
      </c>
      <c r="BF37" s="256">
        <f t="shared" si="5"/>
        <v>0</v>
      </c>
      <c r="BG37" s="256">
        <f t="shared" si="6"/>
        <v>0</v>
      </c>
      <c r="BH37" s="256">
        <f t="shared" si="7"/>
        <v>0</v>
      </c>
      <c r="BI37" s="256">
        <f t="shared" si="8"/>
        <v>0</v>
      </c>
      <c r="BJ37" s="256">
        <f t="shared" si="9"/>
        <v>0</v>
      </c>
      <c r="BK37" s="256">
        <f t="shared" si="10"/>
        <v>0</v>
      </c>
      <c r="BL37" s="256">
        <f t="shared" si="11"/>
        <v>0</v>
      </c>
      <c r="BM37" s="256">
        <f t="shared" si="12"/>
        <v>0</v>
      </c>
      <c r="BN37" s="28"/>
      <c r="BO37" s="28"/>
      <c r="BP37" s="28"/>
      <c r="BS37" s="981" t="s">
        <v>1426</v>
      </c>
    </row>
    <row r="38" spans="1:71" ht="14.65" hidden="1" customHeight="1">
      <c r="E38" s="676">
        <v>15</v>
      </c>
      <c r="F38" s="779" cm="1">
        <f t="array" aca="1" ref="F38" ca="1">OFFSET(G38,-1,-1)</f>
        <v>0</v>
      </c>
      <c r="T38" s="687" t="b" cm="1">
        <f t="array" ref="T38">T36</f>
        <v>0</v>
      </c>
      <c r="X38" s="1726"/>
      <c r="Z38" s="1726"/>
      <c r="AB38" s="111" t="s">
        <v>1103</v>
      </c>
      <c r="AC38" s="118" t="s">
        <v>1427</v>
      </c>
      <c r="AD38" s="111" t="s">
        <v>839</v>
      </c>
      <c r="AE38" s="77"/>
      <c r="AF38" s="77"/>
      <c r="AG38" s="77"/>
      <c r="AH38" s="256">
        <f t="shared" si="2"/>
        <v>0</v>
      </c>
      <c r="AI38" s="77"/>
      <c r="AJ38" s="517"/>
      <c r="AK38" s="517"/>
      <c r="AL38" s="517"/>
      <c r="AM38" s="517"/>
      <c r="AN38" s="517"/>
      <c r="AO38" s="77"/>
      <c r="AP38" s="77"/>
      <c r="AQ38" s="77"/>
      <c r="AR38" s="77"/>
      <c r="AS38" s="77"/>
      <c r="AT38" s="517"/>
      <c r="AU38" s="517"/>
      <c r="AV38" s="517"/>
      <c r="AW38" s="517"/>
      <c r="AX38" s="517"/>
      <c r="AY38" s="77"/>
      <c r="AZ38" s="77"/>
      <c r="BA38" s="77"/>
      <c r="BB38" s="77"/>
      <c r="BC38" s="77"/>
      <c r="BD38" s="256">
        <f t="shared" si="3"/>
        <v>0</v>
      </c>
      <c r="BE38" s="256">
        <f t="shared" si="4"/>
        <v>0</v>
      </c>
      <c r="BF38" s="256">
        <f t="shared" si="5"/>
        <v>0</v>
      </c>
      <c r="BG38" s="256">
        <f t="shared" si="6"/>
        <v>0</v>
      </c>
      <c r="BH38" s="256">
        <f t="shared" si="7"/>
        <v>0</v>
      </c>
      <c r="BI38" s="256">
        <f t="shared" si="8"/>
        <v>0</v>
      </c>
      <c r="BJ38" s="256">
        <f t="shared" si="9"/>
        <v>0</v>
      </c>
      <c r="BK38" s="256">
        <f t="shared" si="10"/>
        <v>0</v>
      </c>
      <c r="BL38" s="256">
        <f t="shared" si="11"/>
        <v>0</v>
      </c>
      <c r="BM38" s="256">
        <f t="shared" si="12"/>
        <v>0</v>
      </c>
      <c r="BN38" s="28"/>
      <c r="BO38" s="28"/>
      <c r="BP38" s="28"/>
      <c r="BS38" s="981" t="s">
        <v>1428</v>
      </c>
    </row>
    <row r="39" spans="1:71" ht="14.65" hidden="1" customHeight="1">
      <c r="E39" s="676">
        <v>15</v>
      </c>
      <c r="F39" s="779" cm="1">
        <f t="array" aca="1" ref="F39" ca="1">OFFSET(G39,-1,-1)</f>
        <v>0</v>
      </c>
      <c r="G39" s="143" t="s">
        <v>1187</v>
      </c>
      <c r="T39" s="687" t="b" cm="1">
        <f t="array" ref="T39">T38</f>
        <v>0</v>
      </c>
      <c r="X39" s="1726"/>
      <c r="Z39" s="1726"/>
      <c r="AB39" s="111" t="s">
        <v>1106</v>
      </c>
      <c r="AC39" s="118" t="s">
        <v>1429</v>
      </c>
      <c r="AD39" s="111" t="s">
        <v>839</v>
      </c>
      <c r="AE39" s="515">
        <f ca="1">SUMIFS(Амортизация!AE$26:AE$324,Амортизация!$F$26:$F$324,$F39,Амортизация!$G$26:$G$324,$G39)</f>
        <v>0</v>
      </c>
      <c r="AF39" s="515">
        <f ca="1">SUMIFS(Амортизация!AF$26:AF$324,Амортизация!$F$26:$F$324,$F39,Амортизация!$G$26:$G$324,$G39)</f>
        <v>0</v>
      </c>
      <c r="AG39" s="77">
        <f ca="1">SUMIFS(Амортизация!AG$26:AG$324,Амортизация!$F$26:$F$324,$F39,Амортизация!$G$26:$G$324,$G39)</f>
        <v>0</v>
      </c>
      <c r="AH39" s="256">
        <f t="shared" ca="1" si="2"/>
        <v>0</v>
      </c>
      <c r="AI39" s="515">
        <f ca="1">SUMIFS(Амортизация!AH$26:AH$324,Амортизация!$F$26:$F$324,$F39,Амортизация!$G$26:$G$324,$G39)</f>
        <v>0</v>
      </c>
      <c r="AJ39" s="515">
        <f ca="1">SUMIFS(Амортизация!AI$26:AI$324,Амортизация!$F$26:$F$324,$F39,Амортизация!$G$26:$G$324,$G39)</f>
        <v>0</v>
      </c>
      <c r="AK39" s="515">
        <f ca="1">SUMIFS(Амортизация!AJ$26:AJ$324,Амортизация!$F$26:$F$324,$F39,Амортизация!$G$26:$G$324,$G39)</f>
        <v>0</v>
      </c>
      <c r="AL39" s="515">
        <f ca="1">SUMIFS(Амортизация!AK$26:AK$324,Амортизация!$F$26:$F$324,$F39,Амортизация!$G$26:$G$324,$G39)</f>
        <v>0</v>
      </c>
      <c r="AM39" s="515">
        <f ca="1">SUMIFS(Амортизация!AL$26:AL$324,Амортизация!$F$26:$F$324,$F39,Амортизация!$G$26:$G$324,$G39)</f>
        <v>0</v>
      </c>
      <c r="AN39" s="515">
        <f ca="1">SUMIFS(Амортизация!AM$26:AM$324,Амортизация!$F$26:$F$324,$F39,Амортизация!$G$26:$G$324,$G39)</f>
        <v>0</v>
      </c>
      <c r="AO39" s="515">
        <f ca="1">SUMIFS(Амортизация!AN$26:AN$324,Амортизация!$F$26:$F$324,$F39,Амортизация!$G$26:$G$324,$G39)</f>
        <v>0</v>
      </c>
      <c r="AP39" s="515">
        <f ca="1">SUMIFS(Амортизация!AO$26:AO$324,Амортизация!$F$26:$F$324,$F39,Амортизация!$G$26:$G$324,$G39)</f>
        <v>0</v>
      </c>
      <c r="AQ39" s="515">
        <f ca="1">SUMIFS(Амортизация!AP$26:AP$324,Амортизация!$F$26:$F$324,$F39,Амортизация!$G$26:$G$324,$G39)</f>
        <v>0</v>
      </c>
      <c r="AR39" s="515">
        <f ca="1">SUMIFS(Амортизация!AQ$26:AQ$324,Амортизация!$F$26:$F$324,$F39,Амортизация!$G$26:$G$324,$G39)</f>
        <v>0</v>
      </c>
      <c r="AS39" s="515">
        <f ca="1">SUMIFS(Амортизация!AR$26:AR$324,Амортизация!$F$26:$F$324,$F39,Амортизация!$G$26:$G$324,$G39)</f>
        <v>0</v>
      </c>
      <c r="AT39" s="515">
        <f ca="1">SUMIFS(Амортизация!AS$26:AS$324,Амортизация!$F$26:$F$324,$F39,Амортизация!$G$26:$G$324,$G39)</f>
        <v>0</v>
      </c>
      <c r="AU39" s="515">
        <f ca="1">SUMIFS(Амортизация!AT$26:AT$324,Амортизация!$F$26:$F$324,$F39,Амортизация!$G$26:$G$324,$G39)</f>
        <v>0</v>
      </c>
      <c r="AV39" s="515">
        <f ca="1">SUMIFS(Амортизация!AU$26:AU$324,Амортизация!$F$26:$F$324,$F39,Амортизация!$G$26:$G$324,$G39)</f>
        <v>0</v>
      </c>
      <c r="AW39" s="515">
        <f ca="1">SUMIFS(Амортизация!AV$26:AV$324,Амортизация!$F$26:$F$324,$F39,Амортизация!$G$26:$G$324,$G39)</f>
        <v>0</v>
      </c>
      <c r="AX39" s="515">
        <f ca="1">SUMIFS(Амортизация!AW$26:AW$324,Амортизация!$F$26:$F$324,$F39,Амортизация!$G$26:$G$324,$G39)</f>
        <v>0</v>
      </c>
      <c r="AY39" s="515">
        <f ca="1">SUMIFS(Амортизация!AX$26:AX$324,Амортизация!$F$26:$F$324,$F39,Амортизация!$G$26:$G$324,$G39)</f>
        <v>0</v>
      </c>
      <c r="AZ39" s="515">
        <f ca="1">SUMIFS(Амортизация!AY$26:AY$324,Амортизация!$F$26:$F$324,$F39,Амортизация!$G$26:$G$324,$G39)</f>
        <v>0</v>
      </c>
      <c r="BA39" s="515">
        <f ca="1">SUMIFS(Амортизация!AZ$26:AZ$324,Амортизация!$F$26:$F$324,$F39,Амортизация!$G$26:$G$324,$G39)</f>
        <v>0</v>
      </c>
      <c r="BB39" s="515">
        <f ca="1">SUMIFS(Амортизация!BA$26:BA$324,Амортизация!$F$26:$F$324,$F39,Амортизация!$G$26:$G$324,$G39)</f>
        <v>0</v>
      </c>
      <c r="BC39" s="515">
        <f ca="1">SUMIFS(Амортизация!BB$26:BB$324,Амортизация!$F$26:$F$324,$F39,Амортизация!$G$26:$G$324,$G39)</f>
        <v>0</v>
      </c>
      <c r="BD39" s="256">
        <f t="shared" ca="1" si="3"/>
        <v>0</v>
      </c>
      <c r="BE39" s="256">
        <f t="shared" ca="1" si="4"/>
        <v>0</v>
      </c>
      <c r="BF39" s="256">
        <f t="shared" ca="1" si="5"/>
        <v>0</v>
      </c>
      <c r="BG39" s="256">
        <f t="shared" ca="1" si="6"/>
        <v>0</v>
      </c>
      <c r="BH39" s="256">
        <f t="shared" ca="1" si="7"/>
        <v>0</v>
      </c>
      <c r="BI39" s="256">
        <f t="shared" ca="1" si="8"/>
        <v>0</v>
      </c>
      <c r="BJ39" s="256">
        <f t="shared" ca="1" si="9"/>
        <v>0</v>
      </c>
      <c r="BK39" s="256">
        <f t="shared" ca="1" si="10"/>
        <v>0</v>
      </c>
      <c r="BL39" s="256">
        <f t="shared" ca="1" si="11"/>
        <v>0</v>
      </c>
      <c r="BM39" s="256">
        <f t="shared" ca="1" si="12"/>
        <v>0</v>
      </c>
      <c r="BN39" s="28"/>
      <c r="BO39" s="28"/>
      <c r="BP39" s="28"/>
      <c r="BS39" s="981" t="s">
        <v>1430</v>
      </c>
    </row>
    <row r="40" spans="1:71" ht="24.95" hidden="1" customHeight="1">
      <c r="E40" s="676">
        <v>25.5</v>
      </c>
      <c r="F40" s="779" cm="1">
        <f t="array" aca="1" ref="F40" ca="1">OFFSET(G40,-1,-1)</f>
        <v>0</v>
      </c>
      <c r="T40" s="687" t="b" cm="1">
        <f t="array" ref="T40">T39</f>
        <v>0</v>
      </c>
      <c r="X40" s="1726"/>
      <c r="Z40" s="1726"/>
      <c r="AB40" s="111" t="s">
        <v>1109</v>
      </c>
      <c r="AC40" s="118" t="s">
        <v>1431</v>
      </c>
      <c r="AD40" s="111" t="s">
        <v>839</v>
      </c>
      <c r="AE40" s="77"/>
      <c r="AF40" s="77"/>
      <c r="AG40" s="77"/>
      <c r="AH40" s="256">
        <f t="shared" si="2"/>
        <v>0</v>
      </c>
      <c r="AI40" s="77"/>
      <c r="AJ40" s="517"/>
      <c r="AK40" s="517"/>
      <c r="AL40" s="517"/>
      <c r="AM40" s="517"/>
      <c r="AN40" s="517"/>
      <c r="AO40" s="77"/>
      <c r="AP40" s="77"/>
      <c r="AQ40" s="77"/>
      <c r="AR40" s="77"/>
      <c r="AS40" s="77"/>
      <c r="AT40" s="517"/>
      <c r="AU40" s="517"/>
      <c r="AV40" s="517"/>
      <c r="AW40" s="517"/>
      <c r="AX40" s="517"/>
      <c r="AY40" s="77"/>
      <c r="AZ40" s="77"/>
      <c r="BA40" s="77"/>
      <c r="BB40" s="77"/>
      <c r="BC40" s="77"/>
      <c r="BD40" s="256">
        <f t="shared" si="3"/>
        <v>0</v>
      </c>
      <c r="BE40" s="256">
        <f t="shared" si="4"/>
        <v>0</v>
      </c>
      <c r="BF40" s="256">
        <f t="shared" si="5"/>
        <v>0</v>
      </c>
      <c r="BG40" s="256">
        <f t="shared" si="6"/>
        <v>0</v>
      </c>
      <c r="BH40" s="256">
        <f t="shared" si="7"/>
        <v>0</v>
      </c>
      <c r="BI40" s="256">
        <f t="shared" si="8"/>
        <v>0</v>
      </c>
      <c r="BJ40" s="256">
        <f t="shared" si="9"/>
        <v>0</v>
      </c>
      <c r="BK40" s="256">
        <f t="shared" si="10"/>
        <v>0</v>
      </c>
      <c r="BL40" s="256">
        <f t="shared" si="11"/>
        <v>0</v>
      </c>
      <c r="BM40" s="256">
        <f t="shared" si="12"/>
        <v>0</v>
      </c>
      <c r="BN40" s="28"/>
      <c r="BO40" s="28"/>
      <c r="BP40" s="28"/>
      <c r="BS40" s="981" t="s">
        <v>1432</v>
      </c>
    </row>
    <row r="41" spans="1:71" ht="24.95" hidden="1" customHeight="1">
      <c r="E41" s="676">
        <v>25.5</v>
      </c>
      <c r="F41" s="779" cm="1">
        <f t="array" aca="1" ref="F41" ca="1">OFFSET(G41,-1,-1)</f>
        <v>0</v>
      </c>
      <c r="T41" s="687" t="b" cm="1">
        <f t="array" ref="T41">T40</f>
        <v>0</v>
      </c>
      <c r="X41" s="1726"/>
      <c r="Z41" s="1726"/>
      <c r="AB41" s="111" t="s">
        <v>1324</v>
      </c>
      <c r="AC41" s="118" t="s">
        <v>1433</v>
      </c>
      <c r="AD41" s="111" t="s">
        <v>839</v>
      </c>
      <c r="AE41" s="77"/>
      <c r="AF41" s="77"/>
      <c r="AG41" s="77"/>
      <c r="AH41" s="256">
        <f t="shared" si="2"/>
        <v>0</v>
      </c>
      <c r="AI41" s="77"/>
      <c r="AJ41" s="517"/>
      <c r="AK41" s="517"/>
      <c r="AL41" s="517"/>
      <c r="AM41" s="517"/>
      <c r="AN41" s="517"/>
      <c r="AO41" s="77"/>
      <c r="AP41" s="77"/>
      <c r="AQ41" s="77"/>
      <c r="AR41" s="77"/>
      <c r="AS41" s="77"/>
      <c r="AT41" s="517"/>
      <c r="AU41" s="517"/>
      <c r="AV41" s="517"/>
      <c r="AW41" s="517"/>
      <c r="AX41" s="517"/>
      <c r="AY41" s="77"/>
      <c r="AZ41" s="77"/>
      <c r="BA41" s="77"/>
      <c r="BB41" s="77"/>
      <c r="BC41" s="77"/>
      <c r="BD41" s="256">
        <f t="shared" si="3"/>
        <v>0</v>
      </c>
      <c r="BE41" s="256">
        <f t="shared" si="4"/>
        <v>0</v>
      </c>
      <c r="BF41" s="256">
        <f t="shared" si="5"/>
        <v>0</v>
      </c>
      <c r="BG41" s="256">
        <f t="shared" si="6"/>
        <v>0</v>
      </c>
      <c r="BH41" s="256">
        <f t="shared" si="7"/>
        <v>0</v>
      </c>
      <c r="BI41" s="256">
        <f t="shared" si="8"/>
        <v>0</v>
      </c>
      <c r="BJ41" s="256">
        <f t="shared" si="9"/>
        <v>0</v>
      </c>
      <c r="BK41" s="256">
        <f t="shared" si="10"/>
        <v>0</v>
      </c>
      <c r="BL41" s="256">
        <f t="shared" si="11"/>
        <v>0</v>
      </c>
      <c r="BM41" s="256">
        <f t="shared" si="12"/>
        <v>0</v>
      </c>
      <c r="BN41" s="28"/>
      <c r="BO41" s="28"/>
      <c r="BP41" s="28"/>
      <c r="BS41" s="981" t="s">
        <v>1434</v>
      </c>
    </row>
    <row r="42" spans="1:71" ht="14.65" hidden="1" customHeight="1">
      <c r="E42" s="676">
        <v>15</v>
      </c>
      <c r="F42" s="779" cm="1">
        <f t="array" aca="1" ref="F42" ca="1">OFFSET(G42,-1,-1)</f>
        <v>0</v>
      </c>
      <c r="T42" s="687" t="b" cm="1">
        <f t="array" ref="T42">T41</f>
        <v>0</v>
      </c>
      <c r="X42" s="1726"/>
      <c r="Z42" s="1726"/>
      <c r="AB42" s="111"/>
      <c r="AC42" s="118" t="s">
        <v>1435</v>
      </c>
      <c r="AD42" s="111" t="s">
        <v>839</v>
      </c>
      <c r="AE42" s="515">
        <f ca="1">AE29+AE30+AE31+AE32+AE36+AE38+AE39+AE40+AE41</f>
        <v>0</v>
      </c>
      <c r="AF42" s="515">
        <f ca="1">AF29+AF30+AF31+AF32+AF36+AF38+AF39+AF40+AF41</f>
        <v>0</v>
      </c>
      <c r="AG42" s="77">
        <f ca="1">AG29+AG30+AG31+AG32+AG36+AG38+AG39+AG40+AG41</f>
        <v>0</v>
      </c>
      <c r="AH42" s="256">
        <f t="shared" ca="1" si="2"/>
        <v>0</v>
      </c>
      <c r="AI42" s="515">
        <f t="shared" ref="AI42:BC42" ca="1" si="14">AI29+AI30+AI31+AI32+AI36+AI38+AI39+AI40+AI41</f>
        <v>0</v>
      </c>
      <c r="AJ42" s="515">
        <f t="shared" ca="1" si="14"/>
        <v>0</v>
      </c>
      <c r="AK42" s="515">
        <f t="shared" ca="1" si="14"/>
        <v>0</v>
      </c>
      <c r="AL42" s="515">
        <f t="shared" ca="1" si="14"/>
        <v>0</v>
      </c>
      <c r="AM42" s="515">
        <f t="shared" ca="1" si="14"/>
        <v>0</v>
      </c>
      <c r="AN42" s="515">
        <f t="shared" ca="1" si="14"/>
        <v>0</v>
      </c>
      <c r="AO42" s="515">
        <f t="shared" ca="1" si="14"/>
        <v>0</v>
      </c>
      <c r="AP42" s="515">
        <f t="shared" ca="1" si="14"/>
        <v>0</v>
      </c>
      <c r="AQ42" s="515">
        <f t="shared" ca="1" si="14"/>
        <v>0</v>
      </c>
      <c r="AR42" s="515">
        <f t="shared" ca="1" si="14"/>
        <v>0</v>
      </c>
      <c r="AS42" s="515">
        <f t="shared" ca="1" si="14"/>
        <v>0</v>
      </c>
      <c r="AT42" s="515">
        <f t="shared" ca="1" si="14"/>
        <v>0</v>
      </c>
      <c r="AU42" s="515">
        <f t="shared" ca="1" si="14"/>
        <v>0</v>
      </c>
      <c r="AV42" s="515">
        <f t="shared" ca="1" si="14"/>
        <v>0</v>
      </c>
      <c r="AW42" s="515">
        <f t="shared" ca="1" si="14"/>
        <v>0</v>
      </c>
      <c r="AX42" s="515">
        <f t="shared" ca="1" si="14"/>
        <v>0</v>
      </c>
      <c r="AY42" s="515">
        <f t="shared" ca="1" si="14"/>
        <v>0</v>
      </c>
      <c r="AZ42" s="515">
        <f t="shared" ca="1" si="14"/>
        <v>0</v>
      </c>
      <c r="BA42" s="515">
        <f t="shared" ca="1" si="14"/>
        <v>0</v>
      </c>
      <c r="BB42" s="515">
        <f t="shared" ca="1" si="14"/>
        <v>0</v>
      </c>
      <c r="BC42" s="515">
        <f t="shared" ca="1" si="14"/>
        <v>0</v>
      </c>
      <c r="BD42" s="256">
        <f t="shared" ca="1" si="3"/>
        <v>0</v>
      </c>
      <c r="BE42" s="256">
        <f t="shared" ca="1" si="4"/>
        <v>0</v>
      </c>
      <c r="BF42" s="256">
        <f t="shared" ca="1" si="5"/>
        <v>0</v>
      </c>
      <c r="BG42" s="256">
        <f t="shared" ca="1" si="6"/>
        <v>0</v>
      </c>
      <c r="BH42" s="256">
        <f t="shared" ca="1" si="7"/>
        <v>0</v>
      </c>
      <c r="BI42" s="256">
        <f t="shared" ca="1" si="8"/>
        <v>0</v>
      </c>
      <c r="BJ42" s="256">
        <f t="shared" ca="1" si="9"/>
        <v>0</v>
      </c>
      <c r="BK42" s="256">
        <f t="shared" ca="1" si="10"/>
        <v>0</v>
      </c>
      <c r="BL42" s="256">
        <f t="shared" ca="1" si="11"/>
        <v>0</v>
      </c>
      <c r="BM42" s="256">
        <f t="shared" ca="1" si="12"/>
        <v>0</v>
      </c>
      <c r="BN42" s="28"/>
      <c r="BO42" s="28"/>
      <c r="BP42" s="28"/>
      <c r="BS42" s="981" t="s">
        <v>635</v>
      </c>
    </row>
    <row r="43" spans="1:71" ht="14.65" hidden="1" customHeight="1">
      <c r="E43" s="676">
        <v>15</v>
      </c>
      <c r="F43" s="779" cm="1">
        <f t="array" aca="1" ref="F43" ca="1">OFFSET(G43,-1,-1)</f>
        <v>0</v>
      </c>
      <c r="G43" s="143" t="s">
        <v>1319</v>
      </c>
      <c r="T43" s="687" t="b" cm="1">
        <f t="array" ref="T43">T42</f>
        <v>0</v>
      </c>
      <c r="X43" s="1726"/>
      <c r="Z43" s="1726"/>
      <c r="AB43" s="111" t="s">
        <v>348</v>
      </c>
      <c r="AC43" s="118" t="s">
        <v>1436</v>
      </c>
      <c r="AD43" s="111" t="s">
        <v>839</v>
      </c>
      <c r="AE43" s="515">
        <f ca="1">SUMIFS(Налоги!AE$26:AE$69,Налоги!$F$26:$F$69,$F43,Налоги!$G$26:$G$69,$G43)</f>
        <v>0</v>
      </c>
      <c r="AF43" s="515">
        <f ca="1">SUMIFS(Налоги!AF$26:AF$69,Налоги!$F$26:$F$69,$F43,Налоги!$G$26:$G$69,$G43)</f>
        <v>0</v>
      </c>
      <c r="AG43" s="77">
        <f ca="1">SUMIFS(Налоги!AG$26:AG$69,Налоги!$F$26:$F$69,$F43,Налоги!$G$26:$G$69,$G43)</f>
        <v>0</v>
      </c>
      <c r="AH43" s="256">
        <f t="shared" ca="1" si="2"/>
        <v>0</v>
      </c>
      <c r="AI43" s="515">
        <f ca="1">SUMIFS(Налоги!AH$26:AH$69,Налоги!$F$26:$F$69,$F43,Налоги!$G$26:$G$69,$G43)</f>
        <v>0</v>
      </c>
      <c r="AJ43" s="515">
        <f ca="1">SUMIFS(Налоги!AI$26:AI$69,Налоги!$F$26:$F$69,$F43,Налоги!$G$26:$G$69,$G43)</f>
        <v>0</v>
      </c>
      <c r="AK43" s="515">
        <f ca="1">SUMIFS(Налоги!AJ$26:AJ$69,Налоги!$F$26:$F$69,$F43,Налоги!$G$26:$G$69,$G43)</f>
        <v>0</v>
      </c>
      <c r="AL43" s="515">
        <f ca="1">SUMIFS(Налоги!AK$26:AK$69,Налоги!$F$26:$F$69,$F43,Налоги!$G$26:$G$69,$G43)</f>
        <v>0</v>
      </c>
      <c r="AM43" s="515">
        <f ca="1">SUMIFS(Налоги!AL$26:AL$69,Налоги!$F$26:$F$69,$F43,Налоги!$G$26:$G$69,$G43)</f>
        <v>0</v>
      </c>
      <c r="AN43" s="515">
        <f ca="1">SUMIFS(Налоги!AM$26:AM$69,Налоги!$F$26:$F$69,$F43,Налоги!$G$26:$G$69,$G43)</f>
        <v>0</v>
      </c>
      <c r="AO43" s="515">
        <f ca="1">SUMIFS(Налоги!AN$26:AN$69,Налоги!$F$26:$F$69,$F43,Налоги!$G$26:$G$69,$G43)</f>
        <v>0</v>
      </c>
      <c r="AP43" s="515">
        <f ca="1">SUMIFS(Налоги!AO$26:AO$69,Налоги!$F$26:$F$69,$F43,Налоги!$G$26:$G$69,$G43)</f>
        <v>0</v>
      </c>
      <c r="AQ43" s="515">
        <f ca="1">SUMIFS(Налоги!AP$26:AP$69,Налоги!$F$26:$F$69,$F43,Налоги!$G$26:$G$69,$G43)</f>
        <v>0</v>
      </c>
      <c r="AR43" s="515">
        <f ca="1">SUMIFS(Налоги!AQ$26:AQ$69,Налоги!$F$26:$F$69,$F43,Налоги!$G$26:$G$69,$G43)</f>
        <v>0</v>
      </c>
      <c r="AS43" s="515">
        <f ca="1">SUMIFS(Налоги!AR$26:AR$69,Налоги!$F$26:$F$69,$F43,Налоги!$G$26:$G$69,$G43)</f>
        <v>0</v>
      </c>
      <c r="AT43" s="515">
        <f ca="1">SUMIFS(Налоги!AS$26:AS$69,Налоги!$F$26:$F$69,$F43,Налоги!$G$26:$G$69,$G43)</f>
        <v>0</v>
      </c>
      <c r="AU43" s="515">
        <f ca="1">SUMIFS(Налоги!AT$26:AT$69,Налоги!$F$26:$F$69,$F43,Налоги!$G$26:$G$69,$G43)</f>
        <v>0</v>
      </c>
      <c r="AV43" s="515">
        <f ca="1">SUMIFS(Налоги!AU$26:AU$69,Налоги!$F$26:$F$69,$F43,Налоги!$G$26:$G$69,$G43)</f>
        <v>0</v>
      </c>
      <c r="AW43" s="515">
        <f ca="1">SUMIFS(Налоги!AV$26:AV$69,Налоги!$F$26:$F$69,$F43,Налоги!$G$26:$G$69,$G43)</f>
        <v>0</v>
      </c>
      <c r="AX43" s="515">
        <f ca="1">SUMIFS(Налоги!AW$26:AW$69,Налоги!$F$26:$F$69,$F43,Налоги!$G$26:$G$69,$G43)</f>
        <v>0</v>
      </c>
      <c r="AY43" s="515">
        <f ca="1">SUMIFS(Налоги!AX$26:AX$69,Налоги!$F$26:$F$69,$F43,Налоги!$G$26:$G$69,$G43)</f>
        <v>0</v>
      </c>
      <c r="AZ43" s="515">
        <f ca="1">SUMIFS(Налоги!AY$26:AY$69,Налоги!$F$26:$F$69,$F43,Налоги!$G$26:$G$69,$G43)</f>
        <v>0</v>
      </c>
      <c r="BA43" s="515">
        <f ca="1">SUMIFS(Налоги!AZ$26:AZ$69,Налоги!$F$26:$F$69,$F43,Налоги!$G$26:$G$69,$G43)</f>
        <v>0</v>
      </c>
      <c r="BB43" s="515">
        <f ca="1">SUMIFS(Налоги!BA$26:BA$69,Налоги!$F$26:$F$69,$F43,Налоги!$G$26:$G$69,$G43)</f>
        <v>0</v>
      </c>
      <c r="BC43" s="515">
        <f ca="1">SUMIFS(Налоги!BB$26:BB$69,Налоги!$F$26:$F$69,$F43,Налоги!$G$26:$G$69,$G43)</f>
        <v>0</v>
      </c>
      <c r="BD43" s="256">
        <f t="shared" ca="1" si="3"/>
        <v>0</v>
      </c>
      <c r="BE43" s="256">
        <f t="shared" ca="1" si="4"/>
        <v>0</v>
      </c>
      <c r="BF43" s="256">
        <f t="shared" ca="1" si="5"/>
        <v>0</v>
      </c>
      <c r="BG43" s="256">
        <f t="shared" ca="1" si="6"/>
        <v>0</v>
      </c>
      <c r="BH43" s="256">
        <f t="shared" ca="1" si="7"/>
        <v>0</v>
      </c>
      <c r="BI43" s="256">
        <f t="shared" ca="1" si="8"/>
        <v>0</v>
      </c>
      <c r="BJ43" s="256">
        <f t="shared" ca="1" si="9"/>
        <v>0</v>
      </c>
      <c r="BK43" s="256">
        <f t="shared" ca="1" si="10"/>
        <v>0</v>
      </c>
      <c r="BL43" s="256">
        <f t="shared" ca="1" si="11"/>
        <v>0</v>
      </c>
      <c r="BM43" s="256">
        <f t="shared" ca="1" si="12"/>
        <v>0</v>
      </c>
      <c r="BN43" s="28"/>
      <c r="BO43" s="28"/>
      <c r="BP43" s="28"/>
      <c r="BS43" s="981" t="s">
        <v>614</v>
      </c>
    </row>
    <row r="44" spans="1:71" ht="27.2" hidden="1" customHeight="1">
      <c r="E44" s="676">
        <v>27.8</v>
      </c>
      <c r="F44" s="779" cm="1">
        <f t="array" aca="1" ref="F44" ca="1">OFFSET(G44,-1,-1)</f>
        <v>0</v>
      </c>
      <c r="G44" s="143" t="s">
        <v>1342</v>
      </c>
      <c r="T44" s="687" t="b" cm="1">
        <f t="array" ref="T44">T43</f>
        <v>0</v>
      </c>
      <c r="X44" s="1726"/>
      <c r="Z44" s="1726"/>
      <c r="AB44" s="111" t="s">
        <v>437</v>
      </c>
      <c r="AC44" s="118" t="s">
        <v>1437</v>
      </c>
      <c r="AD44" s="111" t="s">
        <v>839</v>
      </c>
      <c r="AE44" s="77"/>
      <c r="AF44" s="77"/>
      <c r="AG44" s="77"/>
      <c r="AH44" s="256">
        <f t="shared" si="2"/>
        <v>0</v>
      </c>
      <c r="AI44" s="77"/>
      <c r="AJ44" s="515">
        <f ca="1">SUMIFS(Экономия_корр!AE$26:AE$51,Экономия_корр!$F$26:$F$51,$F44,Экономия_корр!$G$26:$G$51,$G44)</f>
        <v>0</v>
      </c>
      <c r="AK44" s="515">
        <f ca="1">SUMIFS(Экономия_корр!AF$26:AF$51,Экономия_корр!$F$26:$F$51,$F44,Экономия_корр!$G$26:$G$51,$G44)</f>
        <v>0</v>
      </c>
      <c r="AL44" s="515">
        <f ca="1">SUMIFS(Экономия_корр!AG$26:AG$51,Экономия_корр!$F$26:$F$51,$F44,Экономия_корр!$G$26:$G$51,$G44)</f>
        <v>0</v>
      </c>
      <c r="AM44" s="515">
        <f ca="1">SUMIFS(Экономия_корр!AH$26:AH$51,Экономия_корр!$F$26:$F$51,$F44,Экономия_корр!$G$26:$G$51,$G44)</f>
        <v>0</v>
      </c>
      <c r="AN44" s="515">
        <f ca="1">SUMIFS(Экономия_корр!AI$26:AI$51,Экономия_корр!$F$26:$F$51,$F44,Экономия_корр!$G$26:$G$51,$G44)</f>
        <v>0</v>
      </c>
      <c r="AO44" s="515">
        <f ca="1">SUMIFS(Экономия_корр!AJ$26:AJ$51,Экономия_корр!$F$26:$F$51,$F44,Экономия_корр!$G$26:$G$51,$G44)</f>
        <v>0</v>
      </c>
      <c r="AP44" s="515">
        <f ca="1">SUMIFS(Экономия_корр!AK$26:AK$51,Экономия_корр!$F$26:$F$51,$F44,Экономия_корр!$G$26:$G$51,$G44)</f>
        <v>0</v>
      </c>
      <c r="AQ44" s="515">
        <f ca="1">SUMIFS(Экономия_корр!AL$26:AL$51,Экономия_корр!$F$26:$F$51,$F44,Экономия_корр!$G$26:$G$51,$G44)</f>
        <v>0</v>
      </c>
      <c r="AR44" s="515">
        <f ca="1">SUMIFS(Экономия_корр!AM$26:AM$51,Экономия_корр!$F$26:$F$51,$F44,Экономия_корр!$G$26:$G$51,$G44)</f>
        <v>0</v>
      </c>
      <c r="AS44" s="515">
        <f ca="1">SUMIFS(Экономия_корр!AN$26:AN$51,Экономия_корр!$F$26:$F$51,$F44,Экономия_корр!$G$26:$G$51,$G44)</f>
        <v>0</v>
      </c>
      <c r="AT44" s="515">
        <f ca="1">SUMIFS(Экономия_корр!AO$26:AO$51,Экономия_корр!$F$26:$F$51,$F44,Экономия_корр!$G$26:$G$51,$G44)</f>
        <v>0</v>
      </c>
      <c r="AU44" s="515">
        <f ca="1">SUMIFS(Экономия_корр!AP$26:AP$51,Экономия_корр!$F$26:$F$51,$F44,Экономия_корр!$G$26:$G$51,$G44)</f>
        <v>0</v>
      </c>
      <c r="AV44" s="515">
        <f ca="1">SUMIFS(Экономия_корр!AQ$26:AQ$51,Экономия_корр!$F$26:$F$51,$F44,Экономия_корр!$G$26:$G$51,$G44)</f>
        <v>0</v>
      </c>
      <c r="AW44" s="515">
        <f ca="1">SUMIFS(Экономия_корр!AR$26:AR$51,Экономия_корр!$F$26:$F$51,$F44,Экономия_корр!$G$26:$G$51,$G44)</f>
        <v>0</v>
      </c>
      <c r="AX44" s="515">
        <f ca="1">SUMIFS(Экономия_корр!AS$26:AS$51,Экономия_корр!$F$26:$F$51,$F44,Экономия_корр!$G$26:$G$51,$G44)</f>
        <v>0</v>
      </c>
      <c r="AY44" s="515">
        <f ca="1">SUMIFS(Экономия_корр!AT$26:AT$51,Экономия_корр!$F$26:$F$51,$F44,Экономия_корр!$G$26:$G$51,$G44)</f>
        <v>0</v>
      </c>
      <c r="AZ44" s="515">
        <f ca="1">SUMIFS(Экономия_корр!AU$26:AU$51,Экономия_корр!$F$26:$F$51,$F44,Экономия_корр!$G$26:$G$51,$G44)</f>
        <v>0</v>
      </c>
      <c r="BA44" s="515">
        <f ca="1">SUMIFS(Экономия_корр!AV$26:AV$51,Экономия_корр!$F$26:$F$51,$F44,Экономия_корр!$G$26:$G$51,$G44)</f>
        <v>0</v>
      </c>
      <c r="BB44" s="515">
        <f ca="1">SUMIFS(Экономия_корр!AW$26:AW$51,Экономия_корр!$F$26:$F$51,$F44,Экономия_корр!$G$26:$G$51,$G44)</f>
        <v>0</v>
      </c>
      <c r="BC44" s="515">
        <f ca="1">SUMIFS(Экономия_корр!AX$26:AX$51,Экономия_корр!$F$26:$F$51,$F44,Экономия_корр!$G$26:$G$51,$G44)</f>
        <v>0</v>
      </c>
      <c r="BD44" s="256">
        <f t="shared" si="3"/>
        <v>0</v>
      </c>
      <c r="BE44" s="256">
        <f t="shared" ca="1" si="4"/>
        <v>0</v>
      </c>
      <c r="BF44" s="256">
        <f t="shared" ca="1" si="5"/>
        <v>0</v>
      </c>
      <c r="BG44" s="256">
        <f t="shared" ca="1" si="6"/>
        <v>0</v>
      </c>
      <c r="BH44" s="256">
        <f t="shared" ca="1" si="7"/>
        <v>0</v>
      </c>
      <c r="BI44" s="256">
        <f t="shared" ca="1" si="8"/>
        <v>0</v>
      </c>
      <c r="BJ44" s="256">
        <f t="shared" ca="1" si="9"/>
        <v>0</v>
      </c>
      <c r="BK44" s="256">
        <f t="shared" ca="1" si="10"/>
        <v>0</v>
      </c>
      <c r="BL44" s="256">
        <f t="shared" ca="1" si="11"/>
        <v>0</v>
      </c>
      <c r="BM44" s="256">
        <f t="shared" ca="1" si="12"/>
        <v>0</v>
      </c>
      <c r="BN44" s="28"/>
      <c r="BO44" s="28"/>
      <c r="BP44" s="28"/>
      <c r="BS44" s="981" t="s">
        <v>1438</v>
      </c>
    </row>
    <row r="45" spans="1:71" ht="27.2" hidden="1" customHeight="1">
      <c r="E45" s="676">
        <v>27.8</v>
      </c>
      <c r="F45" s="779" cm="1">
        <f t="array" aca="1" ref="F45" ca="1">OFFSET(G45,-1,-1)</f>
        <v>0</v>
      </c>
      <c r="T45" s="687" t="b" cm="1">
        <f t="array" ref="T45">T44</f>
        <v>0</v>
      </c>
      <c r="X45" s="1726"/>
      <c r="Z45" s="1726"/>
      <c r="AB45" s="111" t="s">
        <v>440</v>
      </c>
      <c r="AC45" s="118" t="s">
        <v>1439</v>
      </c>
      <c r="AD45" s="111" t="s">
        <v>839</v>
      </c>
      <c r="AE45" s="77"/>
      <c r="AF45" s="77"/>
      <c r="AG45" s="77"/>
      <c r="AH45" s="256">
        <f t="shared" si="2"/>
        <v>0</v>
      </c>
      <c r="AI45" s="77"/>
      <c r="AJ45" s="517"/>
      <c r="AK45" s="517"/>
      <c r="AL45" s="517"/>
      <c r="AM45" s="517"/>
      <c r="AN45" s="517"/>
      <c r="AO45" s="77"/>
      <c r="AP45" s="77"/>
      <c r="AQ45" s="77"/>
      <c r="AR45" s="77"/>
      <c r="AS45" s="77"/>
      <c r="AT45" s="517"/>
      <c r="AU45" s="517"/>
      <c r="AV45" s="517"/>
      <c r="AW45" s="517"/>
      <c r="AX45" s="517"/>
      <c r="AY45" s="77"/>
      <c r="AZ45" s="77"/>
      <c r="BA45" s="77"/>
      <c r="BB45" s="77"/>
      <c r="BC45" s="77"/>
      <c r="BD45" s="256">
        <f t="shared" si="3"/>
        <v>0</v>
      </c>
      <c r="BE45" s="256">
        <f t="shared" si="4"/>
        <v>0</v>
      </c>
      <c r="BF45" s="256">
        <f t="shared" si="5"/>
        <v>0</v>
      </c>
      <c r="BG45" s="256">
        <f t="shared" si="6"/>
        <v>0</v>
      </c>
      <c r="BH45" s="256">
        <f t="shared" si="7"/>
        <v>0</v>
      </c>
      <c r="BI45" s="256">
        <f t="shared" si="8"/>
        <v>0</v>
      </c>
      <c r="BJ45" s="256">
        <f t="shared" si="9"/>
        <v>0</v>
      </c>
      <c r="BK45" s="256">
        <f t="shared" si="10"/>
        <v>0</v>
      </c>
      <c r="BL45" s="256">
        <f t="shared" si="11"/>
        <v>0</v>
      </c>
      <c r="BM45" s="256">
        <f t="shared" si="12"/>
        <v>0</v>
      </c>
      <c r="BN45" s="28"/>
      <c r="BO45" s="28"/>
      <c r="BP45" s="28"/>
      <c r="BS45" s="981" t="s">
        <v>1440</v>
      </c>
    </row>
    <row r="46" spans="1:71" s="185" customFormat="1" ht="14.65" hidden="1" customHeight="1">
      <c r="E46" s="676">
        <v>15</v>
      </c>
      <c r="F46" s="779" cm="1">
        <f t="array" aca="1" ref="F46" ca="1">OFFSET(G46,-1,-1)</f>
        <v>0</v>
      </c>
      <c r="T46" s="687" t="b" cm="1">
        <f t="array" ref="T46">T44</f>
        <v>0</v>
      </c>
      <c r="X46" s="1823"/>
      <c r="Z46" s="1823"/>
      <c r="AB46" s="112" t="s">
        <v>443</v>
      </c>
      <c r="AC46" s="113" t="s">
        <v>1411</v>
      </c>
      <c r="AD46" s="112" t="s">
        <v>839</v>
      </c>
      <c r="AE46" s="518">
        <f ca="1">AE42+AE43+AE44+AE45</f>
        <v>0</v>
      </c>
      <c r="AF46" s="518">
        <f ca="1">AF42+AF43+AF44+AF45</f>
        <v>0</v>
      </c>
      <c r="AG46" s="78">
        <f ca="1">AG42+AG43+AG44+AG45</f>
        <v>0</v>
      </c>
      <c r="AH46" s="256">
        <f t="shared" ca="1" si="2"/>
        <v>0</v>
      </c>
      <c r="AI46" s="518">
        <f t="shared" ref="AI46:BC46" ca="1" si="15">AI42+AI43+AI44+AI45</f>
        <v>0</v>
      </c>
      <c r="AJ46" s="518">
        <f t="shared" ca="1" si="15"/>
        <v>0</v>
      </c>
      <c r="AK46" s="518">
        <f t="shared" ca="1" si="15"/>
        <v>0</v>
      </c>
      <c r="AL46" s="518">
        <f t="shared" ca="1" si="15"/>
        <v>0</v>
      </c>
      <c r="AM46" s="518">
        <f t="shared" ca="1" si="15"/>
        <v>0</v>
      </c>
      <c r="AN46" s="518">
        <f t="shared" ca="1" si="15"/>
        <v>0</v>
      </c>
      <c r="AO46" s="518">
        <f t="shared" ca="1" si="15"/>
        <v>0</v>
      </c>
      <c r="AP46" s="518">
        <f t="shared" ca="1" si="15"/>
        <v>0</v>
      </c>
      <c r="AQ46" s="518">
        <f t="shared" ca="1" si="15"/>
        <v>0</v>
      </c>
      <c r="AR46" s="518">
        <f t="shared" ca="1" si="15"/>
        <v>0</v>
      </c>
      <c r="AS46" s="518">
        <f t="shared" ca="1" si="15"/>
        <v>0</v>
      </c>
      <c r="AT46" s="518">
        <f t="shared" ca="1" si="15"/>
        <v>0</v>
      </c>
      <c r="AU46" s="518">
        <f t="shared" ca="1" si="15"/>
        <v>0</v>
      </c>
      <c r="AV46" s="518">
        <f t="shared" ca="1" si="15"/>
        <v>0</v>
      </c>
      <c r="AW46" s="518">
        <f t="shared" ca="1" si="15"/>
        <v>0</v>
      </c>
      <c r="AX46" s="518">
        <f t="shared" ca="1" si="15"/>
        <v>0</v>
      </c>
      <c r="AY46" s="518">
        <f t="shared" ca="1" si="15"/>
        <v>0</v>
      </c>
      <c r="AZ46" s="518">
        <f t="shared" ca="1" si="15"/>
        <v>0</v>
      </c>
      <c r="BA46" s="518">
        <f t="shared" ca="1" si="15"/>
        <v>0</v>
      </c>
      <c r="BB46" s="518">
        <f t="shared" ca="1" si="15"/>
        <v>0</v>
      </c>
      <c r="BC46" s="518">
        <f t="shared" ca="1" si="15"/>
        <v>0</v>
      </c>
      <c r="BD46" s="255">
        <f t="shared" ca="1" si="3"/>
        <v>0</v>
      </c>
      <c r="BE46" s="255">
        <f t="shared" ca="1" si="4"/>
        <v>0</v>
      </c>
      <c r="BF46" s="255">
        <f t="shared" ca="1" si="5"/>
        <v>0</v>
      </c>
      <c r="BG46" s="255">
        <f t="shared" ca="1" si="6"/>
        <v>0</v>
      </c>
      <c r="BH46" s="255">
        <f t="shared" ca="1" si="7"/>
        <v>0</v>
      </c>
      <c r="BI46" s="255">
        <f t="shared" ca="1" si="8"/>
        <v>0</v>
      </c>
      <c r="BJ46" s="255">
        <f t="shared" ca="1" si="9"/>
        <v>0</v>
      </c>
      <c r="BK46" s="255">
        <f t="shared" ca="1" si="10"/>
        <v>0</v>
      </c>
      <c r="BL46" s="255">
        <f t="shared" ca="1" si="11"/>
        <v>0</v>
      </c>
      <c r="BM46" s="255">
        <f t="shared" ca="1" si="12"/>
        <v>0</v>
      </c>
      <c r="BN46" s="28"/>
      <c r="BO46" s="28"/>
      <c r="BP46" s="28"/>
      <c r="BS46" s="981" t="s">
        <v>1441</v>
      </c>
    </row>
    <row r="47" spans="1:71" s="1396" customFormat="1" ht="18" customHeight="1">
      <c r="A47" s="170"/>
      <c r="B47" s="170"/>
      <c r="C47" s="170"/>
      <c r="D47" s="170"/>
      <c r="E47" s="676">
        <v>18.8</v>
      </c>
      <c r="F47" s="779" t="str" cm="1">
        <f t="array" ref="F47">X47</f>
        <v>1</v>
      </c>
      <c r="G47" s="620" t="str" cm="1">
        <f t="array" ref="G47">INDEX('Общие сведения'!$AK$187:$AK$236,MATCH($F47,'Общие сведения'!$Z$187:$Z$236,0))</f>
        <v>одноставочный</v>
      </c>
      <c r="H47" s="170"/>
      <c r="I47" s="163" t="str" cm="1">
        <f t="array" ref="I47">INDEX('Общие сведения'!$AE$187:$AE$236,MATCH($F47,'Общие сведения'!$Z$187:$Z$236,0))</f>
        <v>Теплоснабжение</v>
      </c>
      <c r="J47" s="170"/>
      <c r="K47" s="170"/>
      <c r="L47" s="170"/>
      <c r="M47" s="170"/>
      <c r="N47" s="170"/>
      <c r="O47" s="170"/>
      <c r="P47" s="170"/>
      <c r="Q47" s="170"/>
      <c r="R47" s="170"/>
      <c r="S47" s="170"/>
      <c r="T47" s="687" t="b">
        <f>X47&gt;0</f>
        <v>1</v>
      </c>
      <c r="U47" s="170"/>
      <c r="V47" s="126" t="str" cm="1">
        <f t="array" ref="V47">'Операционные (5.2)'!$AB$36</f>
        <v>Тариф 1 (Теплоснабжение) - Тариф на тепловую энергию (мощность), поставляемую потребителям (Не определено)</v>
      </c>
      <c r="W47" s="170"/>
      <c r="X47" s="1726" t="s">
        <v>341</v>
      </c>
      <c r="Y47" s="170"/>
      <c r="Z47" s="1724"/>
      <c r="AA47" s="170"/>
      <c r="AB47" s="275"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170"/>
      <c r="BR47" s="170"/>
      <c r="BS47" s="981"/>
    </row>
    <row r="48" spans="1:71" s="1397" customFormat="1" ht="13.5" customHeight="1">
      <c r="A48" s="170"/>
      <c r="B48" s="170"/>
      <c r="C48" s="170"/>
      <c r="D48" s="170"/>
      <c r="E48" s="676">
        <v>14.1</v>
      </c>
      <c r="F48" s="779" t="str" cm="1">
        <f t="array" aca="1" ref="F48" ca="1">OFFSET(G48,-1,-1)</f>
        <v>1</v>
      </c>
      <c r="G48" s="620" t="s">
        <v>1410</v>
      </c>
      <c r="H48" s="170"/>
      <c r="I48" s="170"/>
      <c r="J48" s="170"/>
      <c r="K48" s="180" t="str">
        <f ca="1">F48&amp;"komm"</f>
        <v>1komm</v>
      </c>
      <c r="L48" s="179" cm="1">
        <f t="array" ref="L48">BO48</f>
        <v>0</v>
      </c>
      <c r="M48" s="170"/>
      <c r="N48" s="170"/>
      <c r="O48" s="170"/>
      <c r="P48" s="170"/>
      <c r="Q48" s="170"/>
      <c r="R48" s="170"/>
      <c r="S48" s="170"/>
      <c r="T48" s="687" t="b" cm="1">
        <f t="array" ref="T48">T47</f>
        <v>1</v>
      </c>
      <c r="U48" s="170"/>
      <c r="V48" s="170"/>
      <c r="W48" s="170"/>
      <c r="X48" s="1724"/>
      <c r="Y48" s="170"/>
      <c r="Z48" s="1724"/>
      <c r="AA48" s="170"/>
      <c r="AB48" s="1824" t="s">
        <v>1411</v>
      </c>
      <c r="AC48" s="1825"/>
      <c r="AD48" s="252" t="s">
        <v>839</v>
      </c>
      <c r="AE48" s="255" cm="1">
        <f t="array" aca="1" ref="AE48" ca="1">AE66</f>
        <v>0</v>
      </c>
      <c r="AF48" s="255" cm="1">
        <f t="array" aca="1" ref="AF48" ca="1">AF66</f>
        <v>0</v>
      </c>
      <c r="AG48" s="255" cm="1">
        <f t="array" aca="1" ref="AG48" ca="1">AG66</f>
        <v>0</v>
      </c>
      <c r="AH48" s="255" cm="1">
        <f t="array" aca="1" ref="AH48" ca="1">AH66</f>
        <v>0</v>
      </c>
      <c r="AI48" s="255" cm="1">
        <f t="array" aca="1" ref="AI48" ca="1">AI66</f>
        <v>22619.439997079993</v>
      </c>
      <c r="AJ48" s="255" cm="1">
        <f t="array" aca="1" ref="AJ48" ca="1">AJ66</f>
        <v>0</v>
      </c>
      <c r="AK48" s="255" cm="1">
        <f t="array" aca="1" ref="AK48" ca="1">AK66</f>
        <v>0</v>
      </c>
      <c r="AL48" s="255" cm="1">
        <f t="array" aca="1" ref="AL48" ca="1">AL66</f>
        <v>0</v>
      </c>
      <c r="AM48" s="255" cm="1">
        <f t="array" aca="1" ref="AM48" ca="1">AM66</f>
        <v>0</v>
      </c>
      <c r="AN48" s="255" cm="1">
        <f t="array" aca="1" ref="AN48" ca="1">AN66</f>
        <v>0</v>
      </c>
      <c r="AO48" s="255" cm="1">
        <f t="array" aca="1" ref="AO48" ca="1">AO66</f>
        <v>0</v>
      </c>
      <c r="AP48" s="255" cm="1">
        <f t="array" aca="1" ref="AP48" ca="1">AP66</f>
        <v>0</v>
      </c>
      <c r="AQ48" s="255" cm="1">
        <f t="array" aca="1" ref="AQ48" ca="1">AQ66</f>
        <v>0</v>
      </c>
      <c r="AR48" s="255" cm="1">
        <f t="array" aca="1" ref="AR48" ca="1">AR66</f>
        <v>0</v>
      </c>
      <c r="AS48" s="255" cm="1">
        <f t="array" aca="1" ref="AS48" ca="1">AS66</f>
        <v>0</v>
      </c>
      <c r="AT48" s="255" cm="1">
        <f t="array" aca="1" ref="AT48" ca="1">AT66</f>
        <v>38569.057403519997</v>
      </c>
      <c r="AU48" s="255" cm="1">
        <f t="array" aca="1" ref="AU48" ca="1">AU66</f>
        <v>0</v>
      </c>
      <c r="AV48" s="255" cm="1">
        <f t="array" aca="1" ref="AV48" ca="1">AV66</f>
        <v>0</v>
      </c>
      <c r="AW48" s="255" cm="1">
        <f t="array" aca="1" ref="AW48" ca="1">AW66</f>
        <v>0</v>
      </c>
      <c r="AX48" s="255" cm="1">
        <f t="array" aca="1" ref="AX48" ca="1">AX66</f>
        <v>0</v>
      </c>
      <c r="AY48" s="255" cm="1">
        <f t="array" aca="1" ref="AY48" ca="1">AY66</f>
        <v>0</v>
      </c>
      <c r="AZ48" s="255" cm="1">
        <f t="array" aca="1" ref="AZ48" ca="1">AZ66</f>
        <v>0</v>
      </c>
      <c r="BA48" s="255" cm="1">
        <f t="array" aca="1" ref="BA48" ca="1">BA66</f>
        <v>0</v>
      </c>
      <c r="BB48" s="255" cm="1">
        <f t="array" aca="1" ref="BB48" ca="1">BB66</f>
        <v>0</v>
      </c>
      <c r="BC48" s="255" cm="1">
        <f t="array" aca="1" ref="BC48" ca="1">BC66</f>
        <v>0</v>
      </c>
      <c r="BD48" s="255" cm="1">
        <f t="array" aca="1" ref="BD48" ca="1">BD66</f>
        <v>70.512874803704179</v>
      </c>
      <c r="BE48" s="255" cm="1">
        <f t="array" aca="1" ref="BE48" ca="1">BE66</f>
        <v>-100</v>
      </c>
      <c r="BF48" s="255" cm="1">
        <f t="array" aca="1" ref="BF48" ca="1">BF66</f>
        <v>0</v>
      </c>
      <c r="BG48" s="255" cm="1">
        <f t="array" aca="1" ref="BG48" ca="1">BG66</f>
        <v>0</v>
      </c>
      <c r="BH48" s="255" cm="1">
        <f t="array" aca="1" ref="BH48" ca="1">BH66</f>
        <v>0</v>
      </c>
      <c r="BI48" s="255" cm="1">
        <f t="array" aca="1" ref="BI48" ca="1">BI66</f>
        <v>0</v>
      </c>
      <c r="BJ48" s="255" cm="1">
        <f t="array" aca="1" ref="BJ48" ca="1">BJ66</f>
        <v>0</v>
      </c>
      <c r="BK48" s="255" cm="1">
        <f t="array" aca="1" ref="BK48" ca="1">BK66</f>
        <v>0</v>
      </c>
      <c r="BL48" s="255" cm="1">
        <f t="array" aca="1" ref="BL48" ca="1">BL66</f>
        <v>0</v>
      </c>
      <c r="BM48" s="255" cm="1">
        <f t="array" aca="1" ref="BM48" ca="1">BM66</f>
        <v>0</v>
      </c>
      <c r="BN48" s="1290"/>
      <c r="BO48" s="1290"/>
      <c r="BP48" s="1290"/>
      <c r="BQ48" s="170"/>
      <c r="BR48" s="170"/>
      <c r="BS48" s="981" t="s">
        <v>1412</v>
      </c>
    </row>
    <row r="49" spans="1:71" s="1229" customFormat="1" ht="27" customHeight="1">
      <c r="A49" s="178"/>
      <c r="B49" s="783"/>
      <c r="C49" s="178"/>
      <c r="D49" s="178"/>
      <c r="E49" s="676">
        <v>27.8</v>
      </c>
      <c r="F49" s="779" t="str" cm="1">
        <f t="array" aca="1" ref="F49" ca="1">OFFSET(G49,-1,-1)</f>
        <v>1</v>
      </c>
      <c r="G49" s="143" t="s">
        <v>1237</v>
      </c>
      <c r="H49" s="180"/>
      <c r="I49" s="180"/>
      <c r="J49" s="180"/>
      <c r="K49" s="180"/>
      <c r="L49" s="180"/>
      <c r="M49" s="180"/>
      <c r="N49" s="180"/>
      <c r="O49" s="180"/>
      <c r="P49" s="180"/>
      <c r="Q49" s="143"/>
      <c r="R49" s="143"/>
      <c r="S49" s="180"/>
      <c r="T49" s="687" t="b" cm="1">
        <f t="array" ref="T49">T48</f>
        <v>1</v>
      </c>
      <c r="U49" s="1153"/>
      <c r="V49" s="1153"/>
      <c r="W49" s="1153"/>
      <c r="X49" s="1726"/>
      <c r="Y49" s="1153"/>
      <c r="Z49" s="1726"/>
      <c r="AA49" s="180"/>
      <c r="AB49" s="111" t="s">
        <v>484</v>
      </c>
      <c r="AC49" s="118" t="s">
        <v>47</v>
      </c>
      <c r="AD49" s="111" t="s">
        <v>839</v>
      </c>
      <c r="AE49" s="515">
        <f ca="1">SUMIFS('Покупка услуг'!AE$26:AE$96,'Покупка услуг'!$F$26:$F$96,$F49,'Покупка услуг'!$G$26:$G$96,$G49)</f>
        <v>0</v>
      </c>
      <c r="AF49" s="515">
        <f ca="1">SUMIFS('Покупка услуг'!AF$26:AF$96,'Покупка услуг'!$F$26:$F$96,$F49,'Покупка услуг'!$G$26:$G$96,$G49)</f>
        <v>0</v>
      </c>
      <c r="AG49" s="1398">
        <f ca="1">SUMIFS('Покупка услуг'!AG$26:AG$96,'Покупка услуг'!$F$26:$F$96,$F49,'Покупка услуг'!$G$26:$G$96,$G49)</f>
        <v>0</v>
      </c>
      <c r="AH49" s="256">
        <f t="shared" ref="AH49:AH66" ca="1" si="16">AG49-AF49</f>
        <v>0</v>
      </c>
      <c r="AI49" s="515">
        <f ca="1">SUMIFS('Покупка услуг'!AH$26:AH$96,'Покупка услуг'!$F$26:$F$96,$F49,'Покупка услуг'!$G$26:$G$96,$G49)</f>
        <v>6776.9999970799954</v>
      </c>
      <c r="AJ49" s="515">
        <f ca="1">SUMIFS('Покупка услуг'!AI$26:AI$96,'Покупка услуг'!$F$26:$F$96,$F49,'Покупка услуг'!$G$26:$G$96,$G49)</f>
        <v>0</v>
      </c>
      <c r="AK49" s="515">
        <f ca="1">SUMIFS('Покупка услуг'!AJ$26:AJ$96,'Покупка услуг'!$F$26:$F$96,$F49,'Покупка услуг'!$G$26:$G$96,$G49)</f>
        <v>0</v>
      </c>
      <c r="AL49" s="515">
        <f ca="1">SUMIFS('Покупка услуг'!AK$26:AK$96,'Покупка услуг'!$F$26:$F$96,$F49,'Покупка услуг'!$G$26:$G$96,$G49)</f>
        <v>0</v>
      </c>
      <c r="AM49" s="515">
        <f ca="1">SUMIFS('Покупка услуг'!AL$26:AL$96,'Покупка услуг'!$F$26:$F$96,$F49,'Покупка услуг'!$G$26:$G$96,$G49)</f>
        <v>0</v>
      </c>
      <c r="AN49" s="515">
        <f ca="1">SUMIFS('Покупка услуг'!AM$26:AM$96,'Покупка услуг'!$F$26:$F$96,$F49,'Покупка услуг'!$G$26:$G$96,$G49)</f>
        <v>0</v>
      </c>
      <c r="AO49" s="515">
        <f ca="1">SUMIFS('Покупка услуг'!AN$26:AN$96,'Покупка услуг'!$F$26:$F$96,$F49,'Покупка услуг'!$G$26:$G$96,$G49)</f>
        <v>0</v>
      </c>
      <c r="AP49" s="515">
        <f ca="1">SUMIFS('Покупка услуг'!AO$26:AO$96,'Покупка услуг'!$F$26:$F$96,$F49,'Покупка услуг'!$G$26:$G$96,$G49)</f>
        <v>0</v>
      </c>
      <c r="AQ49" s="515">
        <f ca="1">SUMIFS('Покупка услуг'!AP$26:AP$96,'Покупка услуг'!$F$26:$F$96,$F49,'Покупка услуг'!$G$26:$G$96,$G49)</f>
        <v>0</v>
      </c>
      <c r="AR49" s="515">
        <f ca="1">SUMIFS('Покупка услуг'!AQ$26:AQ$96,'Покупка услуг'!$F$26:$F$96,$F49,'Покупка услуг'!$G$26:$G$96,$G49)</f>
        <v>0</v>
      </c>
      <c r="AS49" s="515">
        <f ca="1">SUMIFS('Покупка услуг'!AR$26:AR$96,'Покупка услуг'!$F$26:$F$96,$F49,'Покупка услуг'!$G$26:$G$96,$G49)</f>
        <v>0</v>
      </c>
      <c r="AT49" s="515">
        <f ca="1">SUMIFS('Покупка услуг'!AS$26:AS$96,'Покупка услуг'!$F$26:$F$96,$F49,'Покупка услуг'!$G$26:$G$96,$G49)</f>
        <v>9469.6144035199995</v>
      </c>
      <c r="AU49" s="515">
        <f ca="1">SUMIFS('Покупка услуг'!AT$26:AT$96,'Покупка услуг'!$F$26:$F$96,$F49,'Покупка услуг'!$G$26:$G$96,$G49)</f>
        <v>0</v>
      </c>
      <c r="AV49" s="515">
        <f ca="1">SUMIFS('Покупка услуг'!AU$26:AU$96,'Покупка услуг'!$F$26:$F$96,$F49,'Покупка услуг'!$G$26:$G$96,$G49)</f>
        <v>0</v>
      </c>
      <c r="AW49" s="515">
        <f ca="1">SUMIFS('Покупка услуг'!AV$26:AV$96,'Покупка услуг'!$F$26:$F$96,$F49,'Покупка услуг'!$G$26:$G$96,$G49)</f>
        <v>0</v>
      </c>
      <c r="AX49" s="515">
        <f ca="1">SUMIFS('Покупка услуг'!AW$26:AW$96,'Покупка услуг'!$F$26:$F$96,$F49,'Покупка услуг'!$G$26:$G$96,$G49)</f>
        <v>0</v>
      </c>
      <c r="AY49" s="515">
        <f ca="1">SUMIFS('Покупка услуг'!AX$26:AX$96,'Покупка услуг'!$F$26:$F$96,$F49,'Покупка услуг'!$G$26:$G$96,$G49)</f>
        <v>0</v>
      </c>
      <c r="AZ49" s="515">
        <f ca="1">SUMIFS('Покупка услуг'!AY$26:AY$96,'Покупка услуг'!$F$26:$F$96,$F49,'Покупка услуг'!$G$26:$G$96,$G49)</f>
        <v>0</v>
      </c>
      <c r="BA49" s="515">
        <f ca="1">SUMIFS('Покупка услуг'!AZ$26:AZ$96,'Покупка услуг'!$F$26:$F$96,$F49,'Покупка услуг'!$G$26:$G$96,$G49)</f>
        <v>0</v>
      </c>
      <c r="BB49" s="515">
        <f ca="1">SUMIFS('Покупка услуг'!BA$26:BA$96,'Покупка услуг'!$F$26:$F$96,$F49,'Покупка услуг'!$G$26:$G$96,$G49)</f>
        <v>0</v>
      </c>
      <c r="BC49" s="515">
        <f ca="1">SUMIFS('Покупка услуг'!BB$26:BB$96,'Покупка услуг'!$F$26:$F$96,$F49,'Покупка услуг'!$G$26:$G$96,$G49)</f>
        <v>0</v>
      </c>
      <c r="BD49" s="256">
        <f t="shared" ref="BD49:BD66" ca="1" si="17">IF(AI49=0,0,(AT49-AI49)/AI49*100)</f>
        <v>39.731657187548628</v>
      </c>
      <c r="BE49" s="256">
        <f t="shared" ref="BE49:BE66" ca="1" si="18">IF(AT49=0,0,(AU49-AT49)/AT49*100)</f>
        <v>-100</v>
      </c>
      <c r="BF49" s="256">
        <f t="shared" ref="BF49:BF66" ca="1" si="19">IF(AU49=0,0,(AV49-AU49)/AU49*100)</f>
        <v>0</v>
      </c>
      <c r="BG49" s="256">
        <f t="shared" ref="BG49:BG66" ca="1" si="20">IF(AV49=0,0,(AW49-AV49)/AV49*100)</f>
        <v>0</v>
      </c>
      <c r="BH49" s="256">
        <f t="shared" ref="BH49:BH66" ca="1" si="21">IF(AW49=0,0,(AX49-AW49)/AW49*100)</f>
        <v>0</v>
      </c>
      <c r="BI49" s="256">
        <f t="shared" ref="BI49:BI66" ca="1" si="22">IF(AX49=0,0,(AY49-AX49)/AX49*100)</f>
        <v>0</v>
      </c>
      <c r="BJ49" s="256">
        <f t="shared" ref="BJ49:BJ66" ca="1" si="23">IF(AY49=0,0,(AZ49-AY49)/AY49*100)</f>
        <v>0</v>
      </c>
      <c r="BK49" s="256">
        <f t="shared" ref="BK49:BK66" ca="1" si="24">IF(AZ49=0,0,(BA49-AZ49)/AZ49*100)</f>
        <v>0</v>
      </c>
      <c r="BL49" s="256">
        <f t="shared" ref="BL49:BL66" ca="1" si="25">IF(BA49=0,0,(BB49-BA49)/BA49*100)</f>
        <v>0</v>
      </c>
      <c r="BM49" s="256">
        <f t="shared" ref="BM49:BM66" ca="1" si="26">IF(BB49=0,0,(BC49-BB49)/BB49*100)</f>
        <v>0</v>
      </c>
      <c r="BN49" s="1290"/>
      <c r="BO49" s="1290"/>
      <c r="BP49" s="1290"/>
      <c r="BQ49" s="180"/>
      <c r="BR49" s="180"/>
      <c r="BS49" s="981" t="s">
        <v>1413</v>
      </c>
    </row>
    <row r="50" spans="1:71" s="1229" customFormat="1" ht="14.25" customHeight="1">
      <c r="A50" s="178"/>
      <c r="B50" s="783"/>
      <c r="C50" s="178"/>
      <c r="D50" s="178"/>
      <c r="E50" s="676">
        <v>15</v>
      </c>
      <c r="F50" s="779" t="str" cm="1">
        <f t="array" aca="1" ref="F50" ca="1">OFFSET(G50,-1,-1)</f>
        <v>1</v>
      </c>
      <c r="G50" s="620" t="s">
        <v>1213</v>
      </c>
      <c r="H50" s="180"/>
      <c r="I50" s="180"/>
      <c r="J50" s="180"/>
      <c r="K50" s="180"/>
      <c r="L50" s="180"/>
      <c r="M50" s="180"/>
      <c r="N50" s="180"/>
      <c r="O50" s="180"/>
      <c r="P50" s="180"/>
      <c r="Q50" s="143"/>
      <c r="R50" s="143"/>
      <c r="S50" s="180"/>
      <c r="T50" s="687" t="b" cm="1">
        <f t="array" ref="T50">T49</f>
        <v>1</v>
      </c>
      <c r="U50" s="1153"/>
      <c r="V50" s="1153"/>
      <c r="W50" s="1153"/>
      <c r="X50" s="1726"/>
      <c r="Y50" s="1153"/>
      <c r="Z50" s="1726"/>
      <c r="AA50" s="180"/>
      <c r="AB50" s="111" t="s">
        <v>989</v>
      </c>
      <c r="AC50" s="118" t="s">
        <v>1414</v>
      </c>
      <c r="AD50" s="111" t="s">
        <v>839</v>
      </c>
      <c r="AE50" s="256">
        <f ca="1">SUMIFS(Аренда!AE$26:AE$63,Аренда!$F$26:$F$63,$F50,Аренда!$G$26:$G$63,$G50)</f>
        <v>0</v>
      </c>
      <c r="AF50" s="256">
        <f ca="1">SUMIFS(Аренда!AF$26:AF$63,Аренда!$F$26:$F$63,$F50,Аренда!$G$26:$G$63,$G50)</f>
        <v>0</v>
      </c>
      <c r="AG50" s="1314">
        <f ca="1">SUMIFS(Аренда!AG$26:AG$63,Аренда!$F$26:$F$63,$F50,Аренда!$G$26:$G$63,$G50)</f>
        <v>0</v>
      </c>
      <c r="AH50" s="256">
        <f t="shared" ca="1" si="16"/>
        <v>0</v>
      </c>
      <c r="AI50" s="256">
        <f ca="1">SUMIFS(Аренда!AH$26:AH$63,Аренда!$F$26:$F$63,$F50,Аренда!$G$26:$G$63,$G50)</f>
        <v>202</v>
      </c>
      <c r="AJ50" s="256">
        <f ca="1">SUMIFS(Аренда!AI$26:AI$63,Аренда!$F$26:$F$63,$F50,Аренда!$G$26:$G$63,$G50)</f>
        <v>0</v>
      </c>
      <c r="AK50" s="256">
        <f ca="1">SUMIFS(Аренда!AJ$26:AJ$63,Аренда!$F$26:$F$63,$F50,Аренда!$G$26:$G$63,$G50)</f>
        <v>0</v>
      </c>
      <c r="AL50" s="256">
        <f ca="1">SUMIFS(Аренда!AK$26:AK$63,Аренда!$F$26:$F$63,$F50,Аренда!$G$26:$G$63,$G50)</f>
        <v>0</v>
      </c>
      <c r="AM50" s="256">
        <f ca="1">SUMIFS(Аренда!AL$26:AL$63,Аренда!$F$26:$F$63,$F50,Аренда!$G$26:$G$63,$G50)</f>
        <v>0</v>
      </c>
      <c r="AN50" s="256">
        <f ca="1">SUMIFS(Аренда!AM$26:AM$63,Аренда!$F$26:$F$63,$F50,Аренда!$G$26:$G$63,$G50)</f>
        <v>0</v>
      </c>
      <c r="AO50" s="256">
        <f ca="1">SUMIFS(Аренда!AN$26:AN$63,Аренда!$F$26:$F$63,$F50,Аренда!$G$26:$G$63,$G50)</f>
        <v>0</v>
      </c>
      <c r="AP50" s="256">
        <f ca="1">SUMIFS(Аренда!AO$26:AO$63,Аренда!$F$26:$F$63,$F50,Аренда!$G$26:$G$63,$G50)</f>
        <v>0</v>
      </c>
      <c r="AQ50" s="256">
        <f ca="1">SUMIFS(Аренда!AP$26:AP$63,Аренда!$F$26:$F$63,$F50,Аренда!$G$26:$G$63,$G50)</f>
        <v>0</v>
      </c>
      <c r="AR50" s="256">
        <f ca="1">SUMIFS(Аренда!AQ$26:AQ$63,Аренда!$F$26:$F$63,$F50,Аренда!$G$26:$G$63,$G50)</f>
        <v>0</v>
      </c>
      <c r="AS50" s="256">
        <f ca="1">SUMIFS(Аренда!AR$26:AR$63,Аренда!$F$26:$F$63,$F50,Аренда!$G$26:$G$63,$G50)</f>
        <v>0</v>
      </c>
      <c r="AT50" s="256">
        <f ca="1">SUMIFS(Аренда!AS$26:AS$63,Аренда!$F$26:$F$63,$F50,Аренда!$G$26:$G$63,$G50)</f>
        <v>216.52</v>
      </c>
      <c r="AU50" s="256">
        <f ca="1">SUMIFS(Аренда!AT$26:AT$63,Аренда!$F$26:$F$63,$F50,Аренда!$G$26:$G$63,$G50)</f>
        <v>0</v>
      </c>
      <c r="AV50" s="256">
        <f ca="1">SUMIFS(Аренда!AU$26:AU$63,Аренда!$F$26:$F$63,$F50,Аренда!$G$26:$G$63,$G50)</f>
        <v>0</v>
      </c>
      <c r="AW50" s="256">
        <f ca="1">SUMIFS(Аренда!AV$26:AV$63,Аренда!$F$26:$F$63,$F50,Аренда!$G$26:$G$63,$G50)</f>
        <v>0</v>
      </c>
      <c r="AX50" s="256">
        <f ca="1">SUMIFS(Аренда!AW$26:AW$63,Аренда!$F$26:$F$63,$F50,Аренда!$G$26:$G$63,$G50)</f>
        <v>0</v>
      </c>
      <c r="AY50" s="256">
        <f ca="1">SUMIFS(Аренда!AX$26:AX$63,Аренда!$F$26:$F$63,$F50,Аренда!$G$26:$G$63,$G50)</f>
        <v>0</v>
      </c>
      <c r="AZ50" s="256">
        <f ca="1">SUMIFS(Аренда!AY$26:AY$63,Аренда!$F$26:$F$63,$F50,Аренда!$G$26:$G$63,$G50)</f>
        <v>0</v>
      </c>
      <c r="BA50" s="256">
        <f ca="1">SUMIFS(Аренда!AZ$26:AZ$63,Аренда!$F$26:$F$63,$F50,Аренда!$G$26:$G$63,$G50)</f>
        <v>0</v>
      </c>
      <c r="BB50" s="256">
        <f ca="1">SUMIFS(Аренда!BA$26:BA$63,Аренда!$F$26:$F$63,$F50,Аренда!$G$26:$G$63,$G50)</f>
        <v>0</v>
      </c>
      <c r="BC50" s="256">
        <f ca="1">SUMIFS(Аренда!BB$26:BB$63,Аренда!$F$26:$F$63,$F50,Аренда!$G$26:$G$63,$G50)</f>
        <v>0</v>
      </c>
      <c r="BD50" s="256">
        <f t="shared" ca="1" si="17"/>
        <v>7.1881188118811927</v>
      </c>
      <c r="BE50" s="256">
        <f t="shared" ca="1" si="18"/>
        <v>-100</v>
      </c>
      <c r="BF50" s="256">
        <f t="shared" ca="1" si="19"/>
        <v>0</v>
      </c>
      <c r="BG50" s="256">
        <f t="shared" ca="1" si="20"/>
        <v>0</v>
      </c>
      <c r="BH50" s="256">
        <f t="shared" ca="1" si="21"/>
        <v>0</v>
      </c>
      <c r="BI50" s="256">
        <f t="shared" ca="1" si="22"/>
        <v>0</v>
      </c>
      <c r="BJ50" s="256">
        <f t="shared" ca="1" si="23"/>
        <v>0</v>
      </c>
      <c r="BK50" s="256">
        <f t="shared" ca="1" si="24"/>
        <v>0</v>
      </c>
      <c r="BL50" s="256">
        <f t="shared" ca="1" si="25"/>
        <v>0</v>
      </c>
      <c r="BM50" s="256">
        <f t="shared" ca="1" si="26"/>
        <v>0</v>
      </c>
      <c r="BN50" s="1290"/>
      <c r="BO50" s="1290"/>
      <c r="BP50" s="1290"/>
      <c r="BQ50" s="180"/>
      <c r="BR50" s="180"/>
      <c r="BS50" s="981" t="s">
        <v>1216</v>
      </c>
    </row>
    <row r="51" spans="1:71" s="1229" customFormat="1" ht="14.25" customHeight="1">
      <c r="A51" s="178"/>
      <c r="B51" s="783"/>
      <c r="C51" s="178"/>
      <c r="D51" s="178"/>
      <c r="E51" s="676">
        <v>15</v>
      </c>
      <c r="F51" s="779" t="str" cm="1">
        <f t="array" aca="1" ref="F51" ca="1">OFFSET(G51,-1,-1)</f>
        <v>1</v>
      </c>
      <c r="G51" s="143" t="s">
        <v>1217</v>
      </c>
      <c r="H51" s="180"/>
      <c r="I51" s="180"/>
      <c r="J51" s="180"/>
      <c r="K51" s="180"/>
      <c r="L51" s="180"/>
      <c r="M51" s="180"/>
      <c r="N51" s="180"/>
      <c r="O51" s="180"/>
      <c r="P51" s="180"/>
      <c r="Q51" s="143"/>
      <c r="R51" s="143"/>
      <c r="S51" s="180"/>
      <c r="T51" s="687" t="b" cm="1">
        <f t="array" ref="T51">T50</f>
        <v>1</v>
      </c>
      <c r="U51" s="1153"/>
      <c r="V51" s="1153"/>
      <c r="W51" s="1153"/>
      <c r="X51" s="1726"/>
      <c r="Y51" s="1153"/>
      <c r="Z51" s="1726"/>
      <c r="AA51" s="180"/>
      <c r="AB51" s="111" t="s">
        <v>991</v>
      </c>
      <c r="AC51" s="118" t="s">
        <v>1218</v>
      </c>
      <c r="AD51" s="111" t="s">
        <v>839</v>
      </c>
      <c r="AE51" s="256">
        <f ca="1">SUMIFS(Аренда!AE$26:AE$63,Аренда!$F$26:$F$63,$F51,Аренда!$G$26:$G$63,$G51)</f>
        <v>0</v>
      </c>
      <c r="AF51" s="256">
        <f ca="1">SUMIFS(Аренда!AF$26:AF$63,Аренда!$F$26:$F$63,$F51,Аренда!$G$26:$G$63,$G51)</f>
        <v>0</v>
      </c>
      <c r="AG51" s="1314">
        <f ca="1">SUMIFS(Аренда!AG$26:AG$63,Аренда!$F$26:$F$63,$F51,Аренда!$G$26:$G$63,$G51)</f>
        <v>0</v>
      </c>
      <c r="AH51" s="256">
        <f t="shared" ca="1" si="16"/>
        <v>0</v>
      </c>
      <c r="AI51" s="256">
        <f ca="1">SUMIFS(Аренда!AH$26:AH$63,Аренда!$F$26:$F$63,$F51,Аренда!$G$26:$G$63,$G51)</f>
        <v>0</v>
      </c>
      <c r="AJ51" s="256">
        <f ca="1">SUMIFS(Аренда!AI$26:AI$63,Аренда!$F$26:$F$63,$F51,Аренда!$G$26:$G$63,$G51)</f>
        <v>0</v>
      </c>
      <c r="AK51" s="256">
        <f ca="1">SUMIFS(Аренда!AJ$26:AJ$63,Аренда!$F$26:$F$63,$F51,Аренда!$G$26:$G$63,$G51)</f>
        <v>0</v>
      </c>
      <c r="AL51" s="256">
        <f ca="1">SUMIFS(Аренда!AK$26:AK$63,Аренда!$F$26:$F$63,$F51,Аренда!$G$26:$G$63,$G51)</f>
        <v>0</v>
      </c>
      <c r="AM51" s="256">
        <f ca="1">SUMIFS(Аренда!AL$26:AL$63,Аренда!$F$26:$F$63,$F51,Аренда!$G$26:$G$63,$G51)</f>
        <v>0</v>
      </c>
      <c r="AN51" s="256">
        <f ca="1">SUMIFS(Аренда!AM$26:AM$63,Аренда!$F$26:$F$63,$F51,Аренда!$G$26:$G$63,$G51)</f>
        <v>0</v>
      </c>
      <c r="AO51" s="256">
        <f ca="1">SUMIFS(Аренда!AN$26:AN$63,Аренда!$F$26:$F$63,$F51,Аренда!$G$26:$G$63,$G51)</f>
        <v>0</v>
      </c>
      <c r="AP51" s="256">
        <f ca="1">SUMIFS(Аренда!AO$26:AO$63,Аренда!$F$26:$F$63,$F51,Аренда!$G$26:$G$63,$G51)</f>
        <v>0</v>
      </c>
      <c r="AQ51" s="256">
        <f ca="1">SUMIFS(Аренда!AP$26:AP$63,Аренда!$F$26:$F$63,$F51,Аренда!$G$26:$G$63,$G51)</f>
        <v>0</v>
      </c>
      <c r="AR51" s="256">
        <f ca="1">SUMIFS(Аренда!AQ$26:AQ$63,Аренда!$F$26:$F$63,$F51,Аренда!$G$26:$G$63,$G51)</f>
        <v>0</v>
      </c>
      <c r="AS51" s="256">
        <f ca="1">SUMIFS(Аренда!AR$26:AR$63,Аренда!$F$26:$F$63,$F51,Аренда!$G$26:$G$63,$G51)</f>
        <v>0</v>
      </c>
      <c r="AT51" s="256">
        <f ca="1">SUMIFS(Аренда!AS$26:AS$63,Аренда!$F$26:$F$63,$F51,Аренда!$G$26:$G$63,$G51)</f>
        <v>0</v>
      </c>
      <c r="AU51" s="256">
        <f ca="1">SUMIFS(Аренда!AT$26:AT$63,Аренда!$F$26:$F$63,$F51,Аренда!$G$26:$G$63,$G51)</f>
        <v>0</v>
      </c>
      <c r="AV51" s="256">
        <f ca="1">SUMIFS(Аренда!AU$26:AU$63,Аренда!$F$26:$F$63,$F51,Аренда!$G$26:$G$63,$G51)</f>
        <v>0</v>
      </c>
      <c r="AW51" s="256">
        <f ca="1">SUMIFS(Аренда!AV$26:AV$63,Аренда!$F$26:$F$63,$F51,Аренда!$G$26:$G$63,$G51)</f>
        <v>0</v>
      </c>
      <c r="AX51" s="256">
        <f ca="1">SUMIFS(Аренда!AW$26:AW$63,Аренда!$F$26:$F$63,$F51,Аренда!$G$26:$G$63,$G51)</f>
        <v>0</v>
      </c>
      <c r="AY51" s="256">
        <f ca="1">SUMIFS(Аренда!AX$26:AX$63,Аренда!$F$26:$F$63,$F51,Аренда!$G$26:$G$63,$G51)</f>
        <v>0</v>
      </c>
      <c r="AZ51" s="256">
        <f ca="1">SUMIFS(Аренда!AY$26:AY$63,Аренда!$F$26:$F$63,$F51,Аренда!$G$26:$G$63,$G51)</f>
        <v>0</v>
      </c>
      <c r="BA51" s="256">
        <f ca="1">SUMIFS(Аренда!AZ$26:AZ$63,Аренда!$F$26:$F$63,$F51,Аренда!$G$26:$G$63,$G51)</f>
        <v>0</v>
      </c>
      <c r="BB51" s="256">
        <f ca="1">SUMIFS(Аренда!BA$26:BA$63,Аренда!$F$26:$F$63,$F51,Аренда!$G$26:$G$63,$G51)</f>
        <v>0</v>
      </c>
      <c r="BC51" s="256">
        <f ca="1">SUMIFS(Аренда!BB$26:BB$63,Аренда!$F$26:$F$63,$F51,Аренда!$G$26:$G$63,$G51)</f>
        <v>0</v>
      </c>
      <c r="BD51" s="256">
        <f t="shared" ca="1" si="17"/>
        <v>0</v>
      </c>
      <c r="BE51" s="256">
        <f t="shared" ca="1" si="18"/>
        <v>0</v>
      </c>
      <c r="BF51" s="256">
        <f t="shared" ca="1" si="19"/>
        <v>0</v>
      </c>
      <c r="BG51" s="256">
        <f t="shared" ca="1" si="20"/>
        <v>0</v>
      </c>
      <c r="BH51" s="256">
        <f t="shared" ca="1" si="21"/>
        <v>0</v>
      </c>
      <c r="BI51" s="256">
        <f t="shared" ca="1" si="22"/>
        <v>0</v>
      </c>
      <c r="BJ51" s="256">
        <f t="shared" ca="1" si="23"/>
        <v>0</v>
      </c>
      <c r="BK51" s="256">
        <f t="shared" ca="1" si="24"/>
        <v>0</v>
      </c>
      <c r="BL51" s="256">
        <f t="shared" ca="1" si="25"/>
        <v>0</v>
      </c>
      <c r="BM51" s="256">
        <f t="shared" ca="1" si="26"/>
        <v>0</v>
      </c>
      <c r="BN51" s="1290"/>
      <c r="BO51" s="1290"/>
      <c r="BP51" s="1290"/>
      <c r="BQ51" s="180"/>
      <c r="BR51" s="180"/>
      <c r="BS51" s="981" t="s">
        <v>1415</v>
      </c>
    </row>
    <row r="52" spans="1:71" s="1229" customFormat="1" ht="14.25" customHeight="1">
      <c r="A52" s="178"/>
      <c r="B52" s="783"/>
      <c r="C52" s="178"/>
      <c r="D52" s="178"/>
      <c r="E52" s="676">
        <v>15</v>
      </c>
      <c r="F52" s="779" t="str" cm="1">
        <f t="array" aca="1" ref="F52" ca="1">OFFSET(G52,-1,-1)</f>
        <v>1</v>
      </c>
      <c r="G52" s="180"/>
      <c r="H52" s="180"/>
      <c r="I52" s="180"/>
      <c r="J52" s="180"/>
      <c r="K52" s="180"/>
      <c r="L52" s="180"/>
      <c r="M52" s="180"/>
      <c r="N52" s="180"/>
      <c r="O52" s="180"/>
      <c r="P52" s="180"/>
      <c r="Q52" s="143"/>
      <c r="R52" s="143"/>
      <c r="S52" s="180"/>
      <c r="T52" s="687" t="b" cm="1">
        <f t="array" ref="T52">T51</f>
        <v>1</v>
      </c>
      <c r="U52" s="1153"/>
      <c r="V52" s="1153"/>
      <c r="W52" s="1153"/>
      <c r="X52" s="1726"/>
      <c r="Y52" s="1153"/>
      <c r="Z52" s="1726"/>
      <c r="AA52" s="180"/>
      <c r="AB52" s="111" t="s">
        <v>995</v>
      </c>
      <c r="AC52" s="118" t="s">
        <v>1416</v>
      </c>
      <c r="AD52" s="111" t="s">
        <v>839</v>
      </c>
      <c r="AE52" s="515">
        <f ca="1">SUM(AE53:AE55)</f>
        <v>0</v>
      </c>
      <c r="AF52" s="515">
        <f ca="1">SUM(AF53:AF55)</f>
        <v>0</v>
      </c>
      <c r="AG52" s="1398">
        <f ca="1">SUM(AG53:AG55)</f>
        <v>0</v>
      </c>
      <c r="AH52" s="256">
        <f t="shared" ca="1" si="16"/>
        <v>0</v>
      </c>
      <c r="AI52" s="515">
        <f t="shared" ref="AI52:BC52" ca="1" si="27">SUM(AI53:AI55)</f>
        <v>4109.4399999999996</v>
      </c>
      <c r="AJ52" s="515">
        <f t="shared" ca="1" si="27"/>
        <v>0</v>
      </c>
      <c r="AK52" s="515">
        <f t="shared" ca="1" si="27"/>
        <v>0</v>
      </c>
      <c r="AL52" s="515">
        <f t="shared" ca="1" si="27"/>
        <v>0</v>
      </c>
      <c r="AM52" s="515">
        <f t="shared" ca="1" si="27"/>
        <v>0</v>
      </c>
      <c r="AN52" s="515">
        <f t="shared" ca="1" si="27"/>
        <v>0</v>
      </c>
      <c r="AO52" s="515">
        <f t="shared" ca="1" si="27"/>
        <v>0</v>
      </c>
      <c r="AP52" s="515">
        <f t="shared" ca="1" si="27"/>
        <v>0</v>
      </c>
      <c r="AQ52" s="515">
        <f t="shared" ca="1" si="27"/>
        <v>0</v>
      </c>
      <c r="AR52" s="515">
        <f t="shared" ca="1" si="27"/>
        <v>0</v>
      </c>
      <c r="AS52" s="515">
        <f t="shared" ca="1" si="27"/>
        <v>0</v>
      </c>
      <c r="AT52" s="515">
        <f t="shared" ca="1" si="27"/>
        <v>7187.0429999999997</v>
      </c>
      <c r="AU52" s="515">
        <f t="shared" ca="1" si="27"/>
        <v>0</v>
      </c>
      <c r="AV52" s="515">
        <f t="shared" ca="1" si="27"/>
        <v>0</v>
      </c>
      <c r="AW52" s="515">
        <f t="shared" ca="1" si="27"/>
        <v>0</v>
      </c>
      <c r="AX52" s="515">
        <f t="shared" ca="1" si="27"/>
        <v>0</v>
      </c>
      <c r="AY52" s="515">
        <f t="shared" ca="1" si="27"/>
        <v>0</v>
      </c>
      <c r="AZ52" s="515">
        <f t="shared" ca="1" si="27"/>
        <v>0</v>
      </c>
      <c r="BA52" s="515">
        <f t="shared" ca="1" si="27"/>
        <v>0</v>
      </c>
      <c r="BB52" s="515">
        <f t="shared" ca="1" si="27"/>
        <v>0</v>
      </c>
      <c r="BC52" s="515">
        <f t="shared" ca="1" si="27"/>
        <v>0</v>
      </c>
      <c r="BD52" s="256">
        <f t="shared" ca="1" si="17"/>
        <v>74.891055715620624</v>
      </c>
      <c r="BE52" s="256">
        <f t="shared" ca="1" si="18"/>
        <v>-100</v>
      </c>
      <c r="BF52" s="256">
        <f t="shared" ca="1" si="19"/>
        <v>0</v>
      </c>
      <c r="BG52" s="256">
        <f t="shared" ca="1" si="20"/>
        <v>0</v>
      </c>
      <c r="BH52" s="256">
        <f t="shared" ca="1" si="21"/>
        <v>0</v>
      </c>
      <c r="BI52" s="256">
        <f t="shared" ca="1" si="22"/>
        <v>0</v>
      </c>
      <c r="BJ52" s="256">
        <f t="shared" ca="1" si="23"/>
        <v>0</v>
      </c>
      <c r="BK52" s="256">
        <f t="shared" ca="1" si="24"/>
        <v>0</v>
      </c>
      <c r="BL52" s="256">
        <f t="shared" ca="1" si="25"/>
        <v>0</v>
      </c>
      <c r="BM52" s="256">
        <f t="shared" ca="1" si="26"/>
        <v>0</v>
      </c>
      <c r="BN52" s="1290"/>
      <c r="BO52" s="1290"/>
      <c r="BP52" s="1290"/>
      <c r="BQ52" s="180"/>
      <c r="BR52" s="180"/>
      <c r="BS52" s="981" t="s">
        <v>1417</v>
      </c>
    </row>
    <row r="53" spans="1:71" s="1229" customFormat="1" ht="39" customHeight="1">
      <c r="A53" s="178"/>
      <c r="B53" s="783"/>
      <c r="C53" s="178"/>
      <c r="D53" s="178"/>
      <c r="E53" s="676">
        <v>40.5</v>
      </c>
      <c r="F53" s="779" t="str" cm="1">
        <f t="array" aca="1" ref="F53" ca="1">OFFSET(G53,-1,-1)</f>
        <v>1</v>
      </c>
      <c r="G53" s="143" t="s">
        <v>1303</v>
      </c>
      <c r="H53" s="180"/>
      <c r="I53" s="180"/>
      <c r="J53" s="180"/>
      <c r="K53" s="180"/>
      <c r="L53" s="180"/>
      <c r="M53" s="180"/>
      <c r="N53" s="180"/>
      <c r="O53" s="180"/>
      <c r="P53" s="180"/>
      <c r="Q53" s="143"/>
      <c r="R53" s="143"/>
      <c r="S53" s="180"/>
      <c r="T53" s="687" t="b" cm="1">
        <f t="array" ref="T53">T52</f>
        <v>1</v>
      </c>
      <c r="U53" s="1153"/>
      <c r="V53" s="1153"/>
      <c r="W53" s="1153"/>
      <c r="X53" s="1726"/>
      <c r="Y53" s="1153"/>
      <c r="Z53" s="1726"/>
      <c r="AA53" s="180"/>
      <c r="AB53" s="111" t="s">
        <v>1085</v>
      </c>
      <c r="AC53" s="118" t="s">
        <v>1304</v>
      </c>
      <c r="AD53" s="111" t="s">
        <v>839</v>
      </c>
      <c r="AE53" s="515">
        <f ca="1">SUMIFS(Налоги!AE$26:AE$69,Налоги!$F$26:$F$69,$F53,Налоги!$G$26:$G$69,$G53)</f>
        <v>0</v>
      </c>
      <c r="AF53" s="515">
        <f ca="1">SUMIFS(Налоги!AF$26:AF$69,Налоги!$F$26:$F$69,$F53,Налоги!$G$26:$G$69,$G53)</f>
        <v>0</v>
      </c>
      <c r="AG53" s="1398">
        <f ca="1">SUMIFS(Налоги!AG$26:AG$69,Налоги!$F$26:$F$69,$F53,Налоги!$G$26:$G$69,$G53)</f>
        <v>0</v>
      </c>
      <c r="AH53" s="256">
        <f t="shared" ca="1" si="16"/>
        <v>0</v>
      </c>
      <c r="AI53" s="515">
        <f ca="1">SUMIFS(Налоги!AH$26:AH$69,Налоги!$F$26:$F$69,$F53,Налоги!$G$26:$G$69,$G53)</f>
        <v>33.47</v>
      </c>
      <c r="AJ53" s="515">
        <f ca="1">SUMIFS(Налоги!AI$26:AI$69,Налоги!$F$26:$F$69,$F53,Налоги!$G$26:$G$69,$G53)</f>
        <v>0</v>
      </c>
      <c r="AK53" s="515">
        <f ca="1">SUMIFS(Налоги!AJ$26:AJ$69,Налоги!$F$26:$F$69,$F53,Налоги!$G$26:$G$69,$G53)</f>
        <v>0</v>
      </c>
      <c r="AL53" s="515">
        <f ca="1">SUMIFS(Налоги!AK$26:AK$69,Налоги!$F$26:$F$69,$F53,Налоги!$G$26:$G$69,$G53)</f>
        <v>0</v>
      </c>
      <c r="AM53" s="515">
        <f ca="1">SUMIFS(Налоги!AL$26:AL$69,Налоги!$F$26:$F$69,$F53,Налоги!$G$26:$G$69,$G53)</f>
        <v>0</v>
      </c>
      <c r="AN53" s="515">
        <f ca="1">SUMIFS(Налоги!AM$26:AM$69,Налоги!$F$26:$F$69,$F53,Налоги!$G$26:$G$69,$G53)</f>
        <v>0</v>
      </c>
      <c r="AO53" s="515">
        <f ca="1">SUMIFS(Налоги!AN$26:AN$69,Налоги!$F$26:$F$69,$F53,Налоги!$G$26:$G$69,$G53)</f>
        <v>0</v>
      </c>
      <c r="AP53" s="515">
        <f ca="1">SUMIFS(Налоги!AO$26:AO$69,Налоги!$F$26:$F$69,$F53,Налоги!$G$26:$G$69,$G53)</f>
        <v>0</v>
      </c>
      <c r="AQ53" s="515">
        <f ca="1">SUMIFS(Налоги!AP$26:AP$69,Налоги!$F$26:$F$69,$F53,Налоги!$G$26:$G$69,$G53)</f>
        <v>0</v>
      </c>
      <c r="AR53" s="515">
        <f ca="1">SUMIFS(Налоги!AQ$26:AQ$69,Налоги!$F$26:$F$69,$F53,Налоги!$G$26:$G$69,$G53)</f>
        <v>0</v>
      </c>
      <c r="AS53" s="515">
        <f ca="1">SUMIFS(Налоги!AR$26:AR$69,Налоги!$F$26:$F$69,$F53,Налоги!$G$26:$G$69,$G53)</f>
        <v>0</v>
      </c>
      <c r="AT53" s="515">
        <f ca="1">SUMIFS(Налоги!AS$26:AS$69,Налоги!$F$26:$F$69,$F53,Налоги!$G$26:$G$69,$G53)</f>
        <v>51.668999999999997</v>
      </c>
      <c r="AU53" s="515">
        <f ca="1">SUMIFS(Налоги!AT$26:AT$69,Налоги!$F$26:$F$69,$F53,Налоги!$G$26:$G$69,$G53)</f>
        <v>0</v>
      </c>
      <c r="AV53" s="515">
        <f ca="1">SUMIFS(Налоги!AU$26:AU$69,Налоги!$F$26:$F$69,$F53,Налоги!$G$26:$G$69,$G53)</f>
        <v>0</v>
      </c>
      <c r="AW53" s="515">
        <f ca="1">SUMIFS(Налоги!AV$26:AV$69,Налоги!$F$26:$F$69,$F53,Налоги!$G$26:$G$69,$G53)</f>
        <v>0</v>
      </c>
      <c r="AX53" s="515">
        <f ca="1">SUMIFS(Налоги!AW$26:AW$69,Налоги!$F$26:$F$69,$F53,Налоги!$G$26:$G$69,$G53)</f>
        <v>0</v>
      </c>
      <c r="AY53" s="515">
        <f ca="1">SUMIFS(Налоги!AX$26:AX$69,Налоги!$F$26:$F$69,$F53,Налоги!$G$26:$G$69,$G53)</f>
        <v>0</v>
      </c>
      <c r="AZ53" s="515">
        <f ca="1">SUMIFS(Налоги!AY$26:AY$69,Налоги!$F$26:$F$69,$F53,Налоги!$G$26:$G$69,$G53)</f>
        <v>0</v>
      </c>
      <c r="BA53" s="515">
        <f ca="1">SUMIFS(Налоги!AZ$26:AZ$69,Налоги!$F$26:$F$69,$F53,Налоги!$G$26:$G$69,$G53)</f>
        <v>0</v>
      </c>
      <c r="BB53" s="515">
        <f ca="1">SUMIFS(Налоги!BA$26:BA$69,Налоги!$F$26:$F$69,$F53,Налоги!$G$26:$G$69,$G53)</f>
        <v>0</v>
      </c>
      <c r="BC53" s="515">
        <f ca="1">SUMIFS(Налоги!BB$26:BB$69,Налоги!$F$26:$F$69,$F53,Налоги!$G$26:$G$69,$G53)</f>
        <v>0</v>
      </c>
      <c r="BD53" s="256">
        <f t="shared" ca="1" si="17"/>
        <v>54.374066328054973</v>
      </c>
      <c r="BE53" s="256">
        <f t="shared" ca="1" si="18"/>
        <v>-100</v>
      </c>
      <c r="BF53" s="256">
        <f t="shared" ca="1" si="19"/>
        <v>0</v>
      </c>
      <c r="BG53" s="256">
        <f t="shared" ca="1" si="20"/>
        <v>0</v>
      </c>
      <c r="BH53" s="256">
        <f t="shared" ca="1" si="21"/>
        <v>0</v>
      </c>
      <c r="BI53" s="256">
        <f t="shared" ca="1" si="22"/>
        <v>0</v>
      </c>
      <c r="BJ53" s="256">
        <f t="shared" ca="1" si="23"/>
        <v>0</v>
      </c>
      <c r="BK53" s="256">
        <f t="shared" ca="1" si="24"/>
        <v>0</v>
      </c>
      <c r="BL53" s="256">
        <f t="shared" ca="1" si="25"/>
        <v>0</v>
      </c>
      <c r="BM53" s="256">
        <f t="shared" ca="1" si="26"/>
        <v>0</v>
      </c>
      <c r="BN53" s="1290"/>
      <c r="BO53" s="1290"/>
      <c r="BP53" s="1290"/>
      <c r="BQ53" s="180"/>
      <c r="BR53" s="180"/>
      <c r="BS53" s="981" t="s">
        <v>1418</v>
      </c>
    </row>
    <row r="54" spans="1:71" s="1399" customFormat="1" ht="14.25" customHeight="1">
      <c r="A54" s="185"/>
      <c r="B54" s="185"/>
      <c r="C54" s="185"/>
      <c r="D54" s="185"/>
      <c r="E54" s="676">
        <v>15</v>
      </c>
      <c r="F54" s="779" t="str" cm="1">
        <f t="array" aca="1" ref="F54" ca="1">OFFSET(G54,-1,-1)</f>
        <v>1</v>
      </c>
      <c r="G54" s="143" t="s">
        <v>1310</v>
      </c>
      <c r="H54" s="185"/>
      <c r="I54" s="185"/>
      <c r="J54" s="185"/>
      <c r="K54" s="185"/>
      <c r="L54" s="185"/>
      <c r="M54" s="185"/>
      <c r="N54" s="185"/>
      <c r="O54" s="185"/>
      <c r="P54" s="185"/>
      <c r="Q54" s="185"/>
      <c r="R54" s="185"/>
      <c r="S54" s="185"/>
      <c r="T54" s="687" t="b" cm="1">
        <f t="array" ref="T54">T53</f>
        <v>1</v>
      </c>
      <c r="U54" s="185"/>
      <c r="V54" s="185"/>
      <c r="W54" s="185"/>
      <c r="X54" s="1823"/>
      <c r="Y54" s="185"/>
      <c r="Z54" s="1823"/>
      <c r="AA54" s="185"/>
      <c r="AB54" s="111" t="s">
        <v>1088</v>
      </c>
      <c r="AC54" s="118" t="s">
        <v>1419</v>
      </c>
      <c r="AD54" s="111" t="s">
        <v>839</v>
      </c>
      <c r="AE54" s="515">
        <f ca="1">SUMIFS(Налоги!AE$26:AE$69,Налоги!$F$26:$F$69,$F54,Налоги!$G$26:$G$69,$G54)</f>
        <v>0</v>
      </c>
      <c r="AF54" s="515">
        <f ca="1">SUMIFS(Налоги!AF$26:AF$69,Налоги!$F$26:$F$69,$F54,Налоги!$G$26:$G$69,$G54)</f>
        <v>0</v>
      </c>
      <c r="AG54" s="1398">
        <f ca="1">SUMIFS(Налоги!AG$26:AG$69,Налоги!$F$26:$F$69,$F54,Налоги!$G$26:$G$69,$G54)</f>
        <v>0</v>
      </c>
      <c r="AH54" s="256">
        <f t="shared" ca="1" si="16"/>
        <v>0</v>
      </c>
      <c r="AI54" s="515">
        <f ca="1">SUMIFS(Налоги!AH$26:AH$69,Налоги!$F$26:$F$69,$F54,Налоги!$G$26:$G$69,$G54)</f>
        <v>4.99</v>
      </c>
      <c r="AJ54" s="515">
        <f ca="1">SUMIFS(Налоги!AI$26:AI$69,Налоги!$F$26:$F$69,$F54,Налоги!$G$26:$G$69,$G54)</f>
        <v>0</v>
      </c>
      <c r="AK54" s="515">
        <f ca="1">SUMIFS(Налоги!AJ$26:AJ$69,Налоги!$F$26:$F$69,$F54,Налоги!$G$26:$G$69,$G54)</f>
        <v>0</v>
      </c>
      <c r="AL54" s="515">
        <f ca="1">SUMIFS(Налоги!AK$26:AK$69,Налоги!$F$26:$F$69,$F54,Налоги!$G$26:$G$69,$G54)</f>
        <v>0</v>
      </c>
      <c r="AM54" s="515">
        <f ca="1">SUMIFS(Налоги!AL$26:AL$69,Налоги!$F$26:$F$69,$F54,Налоги!$G$26:$G$69,$G54)</f>
        <v>0</v>
      </c>
      <c r="AN54" s="515">
        <f ca="1">SUMIFS(Налоги!AM$26:AM$69,Налоги!$F$26:$F$69,$F54,Налоги!$G$26:$G$69,$G54)</f>
        <v>0</v>
      </c>
      <c r="AO54" s="515">
        <f ca="1">SUMIFS(Налоги!AN$26:AN$69,Налоги!$F$26:$F$69,$F54,Налоги!$G$26:$G$69,$G54)</f>
        <v>0</v>
      </c>
      <c r="AP54" s="515">
        <f ca="1">SUMIFS(Налоги!AO$26:AO$69,Налоги!$F$26:$F$69,$F54,Налоги!$G$26:$G$69,$G54)</f>
        <v>0</v>
      </c>
      <c r="AQ54" s="515">
        <f ca="1">SUMIFS(Налоги!AP$26:AP$69,Налоги!$F$26:$F$69,$F54,Налоги!$G$26:$G$69,$G54)</f>
        <v>0</v>
      </c>
      <c r="AR54" s="515">
        <f ca="1">SUMIFS(Налоги!AQ$26:AQ$69,Налоги!$F$26:$F$69,$F54,Налоги!$G$26:$G$69,$G54)</f>
        <v>0</v>
      </c>
      <c r="AS54" s="515">
        <f ca="1">SUMIFS(Налоги!AR$26:AR$69,Налоги!$F$26:$F$69,$F54,Налоги!$G$26:$G$69,$G54)</f>
        <v>0</v>
      </c>
      <c r="AT54" s="515">
        <f ca="1">SUMIFS(Налоги!AS$26:AS$69,Налоги!$F$26:$F$69,$F54,Налоги!$G$26:$G$69,$G54)</f>
        <v>4.95</v>
      </c>
      <c r="AU54" s="515">
        <f ca="1">SUMIFS(Налоги!AT$26:AT$69,Налоги!$F$26:$F$69,$F54,Налоги!$G$26:$G$69,$G54)</f>
        <v>0</v>
      </c>
      <c r="AV54" s="515">
        <f ca="1">SUMIFS(Налоги!AU$26:AU$69,Налоги!$F$26:$F$69,$F54,Налоги!$G$26:$G$69,$G54)</f>
        <v>0</v>
      </c>
      <c r="AW54" s="515">
        <f ca="1">SUMIFS(Налоги!AV$26:AV$69,Налоги!$F$26:$F$69,$F54,Налоги!$G$26:$G$69,$G54)</f>
        <v>0</v>
      </c>
      <c r="AX54" s="515">
        <f ca="1">SUMIFS(Налоги!AW$26:AW$69,Налоги!$F$26:$F$69,$F54,Налоги!$G$26:$G$69,$G54)</f>
        <v>0</v>
      </c>
      <c r="AY54" s="515">
        <f ca="1">SUMIFS(Налоги!AX$26:AX$69,Налоги!$F$26:$F$69,$F54,Налоги!$G$26:$G$69,$G54)</f>
        <v>0</v>
      </c>
      <c r="AZ54" s="515">
        <f ca="1">SUMIFS(Налоги!AY$26:AY$69,Налоги!$F$26:$F$69,$F54,Налоги!$G$26:$G$69,$G54)</f>
        <v>0</v>
      </c>
      <c r="BA54" s="515">
        <f ca="1">SUMIFS(Налоги!AZ$26:AZ$69,Налоги!$F$26:$F$69,$F54,Налоги!$G$26:$G$69,$G54)</f>
        <v>0</v>
      </c>
      <c r="BB54" s="515">
        <f ca="1">SUMIFS(Налоги!BA$26:BA$69,Налоги!$F$26:$F$69,$F54,Налоги!$G$26:$G$69,$G54)</f>
        <v>0</v>
      </c>
      <c r="BC54" s="515">
        <f ca="1">SUMIFS(Налоги!BB$26:BB$69,Налоги!$F$26:$F$69,$F54,Налоги!$G$26:$G$69,$G54)</f>
        <v>0</v>
      </c>
      <c r="BD54" s="256">
        <f t="shared" ca="1" si="17"/>
        <v>-0.80160320641282623</v>
      </c>
      <c r="BE54" s="256">
        <f t="shared" ca="1" si="18"/>
        <v>-100</v>
      </c>
      <c r="BF54" s="256">
        <f t="shared" ca="1" si="19"/>
        <v>0</v>
      </c>
      <c r="BG54" s="256">
        <f t="shared" ca="1" si="20"/>
        <v>0</v>
      </c>
      <c r="BH54" s="256">
        <f t="shared" ca="1" si="21"/>
        <v>0</v>
      </c>
      <c r="BI54" s="256">
        <f t="shared" ca="1" si="22"/>
        <v>0</v>
      </c>
      <c r="BJ54" s="256">
        <f t="shared" ca="1" si="23"/>
        <v>0</v>
      </c>
      <c r="BK54" s="256">
        <f t="shared" ca="1" si="24"/>
        <v>0</v>
      </c>
      <c r="BL54" s="256">
        <f t="shared" ca="1" si="25"/>
        <v>0</v>
      </c>
      <c r="BM54" s="256">
        <f t="shared" ca="1" si="26"/>
        <v>0</v>
      </c>
      <c r="BN54" s="1290"/>
      <c r="BO54" s="1290"/>
      <c r="BP54" s="1290"/>
      <c r="BQ54" s="185"/>
      <c r="BR54" s="185"/>
      <c r="BS54" s="981" t="s">
        <v>1420</v>
      </c>
    </row>
    <row r="55" spans="1:71" s="1400" customFormat="1" ht="14.25" customHeight="1">
      <c r="A55" s="185"/>
      <c r="B55" s="185"/>
      <c r="C55" s="185"/>
      <c r="D55" s="185"/>
      <c r="E55" s="676">
        <v>15</v>
      </c>
      <c r="F55" s="779" t="str" cm="1">
        <f t="array" aca="1" ref="F55" ca="1">OFFSET(G55,-1,-1)</f>
        <v>1</v>
      </c>
      <c r="G55" s="143" t="s">
        <v>1306</v>
      </c>
      <c r="H55" s="185"/>
      <c r="I55" s="185"/>
      <c r="J55" s="185"/>
      <c r="K55" s="185"/>
      <c r="L55" s="185"/>
      <c r="M55" s="185"/>
      <c r="N55" s="185"/>
      <c r="O55" s="185"/>
      <c r="P55" s="185"/>
      <c r="Q55" s="185"/>
      <c r="R55" s="185"/>
      <c r="S55" s="185"/>
      <c r="T55" s="687" t="b" cm="1">
        <f t="array" ref="T55">T54</f>
        <v>1</v>
      </c>
      <c r="U55" s="185"/>
      <c r="V55" s="185"/>
      <c r="W55" s="185"/>
      <c r="X55" s="1823"/>
      <c r="Y55" s="185"/>
      <c r="Z55" s="1823"/>
      <c r="AA55" s="185"/>
      <c r="AB55" s="111" t="s">
        <v>1091</v>
      </c>
      <c r="AC55" s="118" t="s">
        <v>1421</v>
      </c>
      <c r="AD55" s="111" t="s">
        <v>839</v>
      </c>
      <c r="AE55" s="515">
        <f ca="1">SUMIFS(Налоги!AE$26:AE$69,Налоги!$F$26:$F$69,$F55,Налоги!$G$26:$G$69,$G55)</f>
        <v>0</v>
      </c>
      <c r="AF55" s="515">
        <f ca="1">SUMIFS(Налоги!AF$26:AF$69,Налоги!$F$26:$F$69,$F55,Налоги!$G$26:$G$69,$G55)</f>
        <v>0</v>
      </c>
      <c r="AG55" s="1398">
        <f ca="1">SUMIFS(Налоги!AG$26:AG$69,Налоги!$F$26:$F$69,$F55,Налоги!$G$26:$G$69,$G55)</f>
        <v>0</v>
      </c>
      <c r="AH55" s="256">
        <f t="shared" ca="1" si="16"/>
        <v>0</v>
      </c>
      <c r="AI55" s="515">
        <f ca="1">SUMIFS(Налоги!AH$26:AH$69,Налоги!$F$26:$F$69,$F55,Налоги!$G$26:$G$69,$G55)</f>
        <v>4070.98</v>
      </c>
      <c r="AJ55" s="515">
        <f ca="1">SUMIFS(Налоги!AI$26:AI$69,Налоги!$F$26:$F$69,$F55,Налоги!$G$26:$G$69,$G55)</f>
        <v>0</v>
      </c>
      <c r="AK55" s="515">
        <f ca="1">SUMIFS(Налоги!AJ$26:AJ$69,Налоги!$F$26:$F$69,$F55,Налоги!$G$26:$G$69,$G55)</f>
        <v>0</v>
      </c>
      <c r="AL55" s="515">
        <f ca="1">SUMIFS(Налоги!AK$26:AK$69,Налоги!$F$26:$F$69,$F55,Налоги!$G$26:$G$69,$G55)</f>
        <v>0</v>
      </c>
      <c r="AM55" s="515">
        <f ca="1">SUMIFS(Налоги!AL$26:AL$69,Налоги!$F$26:$F$69,$F55,Налоги!$G$26:$G$69,$G55)</f>
        <v>0</v>
      </c>
      <c r="AN55" s="515">
        <f ca="1">SUMIFS(Налоги!AM$26:AM$69,Налоги!$F$26:$F$69,$F55,Налоги!$G$26:$G$69,$G55)</f>
        <v>0</v>
      </c>
      <c r="AO55" s="515">
        <f ca="1">SUMIFS(Налоги!AN$26:AN$69,Налоги!$F$26:$F$69,$F55,Налоги!$G$26:$G$69,$G55)</f>
        <v>0</v>
      </c>
      <c r="AP55" s="515">
        <f ca="1">SUMIFS(Налоги!AO$26:AO$69,Налоги!$F$26:$F$69,$F55,Налоги!$G$26:$G$69,$G55)</f>
        <v>0</v>
      </c>
      <c r="AQ55" s="515">
        <f ca="1">SUMIFS(Налоги!AP$26:AP$69,Налоги!$F$26:$F$69,$F55,Налоги!$G$26:$G$69,$G55)</f>
        <v>0</v>
      </c>
      <c r="AR55" s="515">
        <f ca="1">SUMIFS(Налоги!AQ$26:AQ$69,Налоги!$F$26:$F$69,$F55,Налоги!$G$26:$G$69,$G55)</f>
        <v>0</v>
      </c>
      <c r="AS55" s="515">
        <f ca="1">SUMIFS(Налоги!AR$26:AR$69,Налоги!$F$26:$F$69,$F55,Налоги!$G$26:$G$69,$G55)</f>
        <v>0</v>
      </c>
      <c r="AT55" s="515">
        <f ca="1">SUMIFS(Налоги!AS$26:AS$69,Налоги!$F$26:$F$69,$F55,Налоги!$G$26:$G$69,$G55)</f>
        <v>7130.424</v>
      </c>
      <c r="AU55" s="515">
        <f ca="1">SUMIFS(Налоги!AT$26:AT$69,Налоги!$F$26:$F$69,$F55,Налоги!$G$26:$G$69,$G55)</f>
        <v>0</v>
      </c>
      <c r="AV55" s="515">
        <f ca="1">SUMIFS(Налоги!AU$26:AU$69,Налоги!$F$26:$F$69,$F55,Налоги!$G$26:$G$69,$G55)</f>
        <v>0</v>
      </c>
      <c r="AW55" s="515">
        <f ca="1">SUMIFS(Налоги!AV$26:AV$69,Налоги!$F$26:$F$69,$F55,Налоги!$G$26:$G$69,$G55)</f>
        <v>0</v>
      </c>
      <c r="AX55" s="515">
        <f ca="1">SUMIFS(Налоги!AW$26:AW$69,Налоги!$F$26:$F$69,$F55,Налоги!$G$26:$G$69,$G55)</f>
        <v>0</v>
      </c>
      <c r="AY55" s="515">
        <f ca="1">SUMIFS(Налоги!AX$26:AX$69,Налоги!$F$26:$F$69,$F55,Налоги!$G$26:$G$69,$G55)</f>
        <v>0</v>
      </c>
      <c r="AZ55" s="515">
        <f ca="1">SUMIFS(Налоги!AY$26:AY$69,Налоги!$F$26:$F$69,$F55,Налоги!$G$26:$G$69,$G55)</f>
        <v>0</v>
      </c>
      <c r="BA55" s="515">
        <f ca="1">SUMIFS(Налоги!AZ$26:AZ$69,Налоги!$F$26:$F$69,$F55,Налоги!$G$26:$G$69,$G55)</f>
        <v>0</v>
      </c>
      <c r="BB55" s="515">
        <f ca="1">SUMIFS(Налоги!BA$26:BA$69,Налоги!$F$26:$F$69,$F55,Налоги!$G$26:$G$69,$G55)</f>
        <v>0</v>
      </c>
      <c r="BC55" s="515">
        <f ca="1">SUMIFS(Налоги!BB$26:BB$69,Налоги!$F$26:$F$69,$F55,Налоги!$G$26:$G$69,$G55)</f>
        <v>0</v>
      </c>
      <c r="BD55" s="256">
        <f t="shared" ca="1" si="17"/>
        <v>75.152518558185008</v>
      </c>
      <c r="BE55" s="256">
        <f t="shared" ca="1" si="18"/>
        <v>-100</v>
      </c>
      <c r="BF55" s="256">
        <f t="shared" ca="1" si="19"/>
        <v>0</v>
      </c>
      <c r="BG55" s="256">
        <f t="shared" ca="1" si="20"/>
        <v>0</v>
      </c>
      <c r="BH55" s="256">
        <f t="shared" ca="1" si="21"/>
        <v>0</v>
      </c>
      <c r="BI55" s="256">
        <f t="shared" ca="1" si="22"/>
        <v>0</v>
      </c>
      <c r="BJ55" s="256">
        <f t="shared" ca="1" si="23"/>
        <v>0</v>
      </c>
      <c r="BK55" s="256">
        <f t="shared" ca="1" si="24"/>
        <v>0</v>
      </c>
      <c r="BL55" s="256">
        <f t="shared" ca="1" si="25"/>
        <v>0</v>
      </c>
      <c r="BM55" s="256">
        <f t="shared" ca="1" si="26"/>
        <v>0</v>
      </c>
      <c r="BN55" s="1290"/>
      <c r="BO55" s="1290"/>
      <c r="BP55" s="1290"/>
      <c r="BQ55" s="185"/>
      <c r="BR55" s="185"/>
      <c r="BS55" s="981" t="s">
        <v>1326</v>
      </c>
    </row>
    <row r="56" spans="1:71" s="1229" customFormat="1" ht="14.25" customHeight="1">
      <c r="A56" s="178"/>
      <c r="B56" s="783"/>
      <c r="C56" s="178"/>
      <c r="D56" s="178"/>
      <c r="E56" s="676">
        <v>15</v>
      </c>
      <c r="F56" s="779" t="str" cm="1">
        <f t="array" aca="1" ref="F56" ca="1">OFFSET(G56,-1,-1)</f>
        <v>1</v>
      </c>
      <c r="G56" s="180"/>
      <c r="H56" s="180"/>
      <c r="I56" s="180"/>
      <c r="J56" s="180"/>
      <c r="K56" s="180"/>
      <c r="L56" s="180"/>
      <c r="M56" s="180"/>
      <c r="N56" s="180"/>
      <c r="O56" s="180"/>
      <c r="P56" s="180"/>
      <c r="Q56" s="143"/>
      <c r="R56" s="143"/>
      <c r="S56" s="180"/>
      <c r="T56" s="687" t="b" cm="1">
        <f t="array" ref="T56">T55</f>
        <v>1</v>
      </c>
      <c r="U56" s="1153"/>
      <c r="V56" s="1153"/>
      <c r="W56" s="1153"/>
      <c r="X56" s="1726"/>
      <c r="Y56" s="1153"/>
      <c r="Z56" s="1726"/>
      <c r="AA56" s="180"/>
      <c r="AB56" s="111" t="s">
        <v>1100</v>
      </c>
      <c r="AC56" s="118" t="s">
        <v>1422</v>
      </c>
      <c r="AD56" s="111" t="s">
        <v>839</v>
      </c>
      <c r="AE56" s="1398"/>
      <c r="AF56" s="1398"/>
      <c r="AG56" s="1398"/>
      <c r="AH56" s="256">
        <f t="shared" si="16"/>
        <v>0</v>
      </c>
      <c r="AI56" s="1398">
        <v>2846</v>
      </c>
      <c r="AJ56" s="517"/>
      <c r="AK56" s="517"/>
      <c r="AL56" s="517"/>
      <c r="AM56" s="517"/>
      <c r="AN56" s="517"/>
      <c r="AO56" s="1398"/>
      <c r="AP56" s="1398"/>
      <c r="AQ56" s="1398"/>
      <c r="AR56" s="1398"/>
      <c r="AS56" s="1398"/>
      <c r="AT56" s="517">
        <v>2989.83</v>
      </c>
      <c r="AU56" s="517"/>
      <c r="AV56" s="517"/>
      <c r="AW56" s="517"/>
      <c r="AX56" s="517"/>
      <c r="AY56" s="1398"/>
      <c r="AZ56" s="1398"/>
      <c r="BA56" s="1398"/>
      <c r="BB56" s="1398"/>
      <c r="BC56" s="1398"/>
      <c r="BD56" s="256">
        <f t="shared" si="17"/>
        <v>5.0537596626844667</v>
      </c>
      <c r="BE56" s="256">
        <f t="shared" si="18"/>
        <v>-100</v>
      </c>
      <c r="BF56" s="256">
        <f t="shared" si="19"/>
        <v>0</v>
      </c>
      <c r="BG56" s="256">
        <f t="shared" si="20"/>
        <v>0</v>
      </c>
      <c r="BH56" s="256">
        <f t="shared" si="21"/>
        <v>0</v>
      </c>
      <c r="BI56" s="256">
        <f t="shared" si="22"/>
        <v>0</v>
      </c>
      <c r="BJ56" s="256">
        <f t="shared" si="23"/>
        <v>0</v>
      </c>
      <c r="BK56" s="256">
        <f t="shared" si="24"/>
        <v>0</v>
      </c>
      <c r="BL56" s="256">
        <f t="shared" si="25"/>
        <v>0</v>
      </c>
      <c r="BM56" s="256">
        <f t="shared" si="26"/>
        <v>0</v>
      </c>
      <c r="BN56" s="1290"/>
      <c r="BO56" s="1290"/>
      <c r="BP56" s="1290"/>
      <c r="BQ56" s="180"/>
      <c r="BR56" s="180"/>
      <c r="BS56" s="981" t="s">
        <v>1423</v>
      </c>
    </row>
    <row r="57" spans="1:71" s="1229" customFormat="1" ht="14.25" customHeight="1">
      <c r="A57" s="178"/>
      <c r="B57" s="783"/>
      <c r="C57" s="178"/>
      <c r="D57" s="178"/>
      <c r="E57" s="676">
        <v>15</v>
      </c>
      <c r="F57" s="779" t="str" cm="1">
        <f t="array" aca="1" ref="F57" ca="1">OFFSET(G57,-1,-1)</f>
        <v>1</v>
      </c>
      <c r="G57" s="180"/>
      <c r="H57" s="180"/>
      <c r="I57" s="180"/>
      <c r="J57" s="180"/>
      <c r="K57" s="180"/>
      <c r="L57" s="180"/>
      <c r="M57" s="180"/>
      <c r="N57" s="180"/>
      <c r="O57" s="180"/>
      <c r="P57" s="180"/>
      <c r="Q57" s="143"/>
      <c r="R57" s="143"/>
      <c r="S57" s="180"/>
      <c r="T57" s="687" t="b" cm="1">
        <f t="array" ref="T57">T56</f>
        <v>1</v>
      </c>
      <c r="U57" s="1153"/>
      <c r="V57" s="1153"/>
      <c r="W57" s="1153"/>
      <c r="X57" s="1726"/>
      <c r="Y57" s="1153"/>
      <c r="Z57" s="1726"/>
      <c r="AA57" s="180"/>
      <c r="AB57" s="111" t="s">
        <v>1424</v>
      </c>
      <c r="AC57" s="745" t="s">
        <v>1425</v>
      </c>
      <c r="AD57" s="111" t="s">
        <v>533</v>
      </c>
      <c r="AE57" s="1388"/>
      <c r="AF57" s="1388"/>
      <c r="AG57" s="1388"/>
      <c r="AH57" s="256">
        <f t="shared" si="16"/>
        <v>0</v>
      </c>
      <c r="AI57" s="1388"/>
      <c r="AJ57" s="934"/>
      <c r="AK57" s="934"/>
      <c r="AL57" s="934"/>
      <c r="AM57" s="934"/>
      <c r="AN57" s="934"/>
      <c r="AO57" s="1388"/>
      <c r="AP57" s="1388"/>
      <c r="AQ57" s="1388"/>
      <c r="AR57" s="1388"/>
      <c r="AS57" s="1388"/>
      <c r="AT57" s="934"/>
      <c r="AU57" s="934"/>
      <c r="AV57" s="934"/>
      <c r="AW57" s="934"/>
      <c r="AX57" s="934"/>
      <c r="AY57" s="1388"/>
      <c r="AZ57" s="1388"/>
      <c r="BA57" s="1388"/>
      <c r="BB57" s="1388"/>
      <c r="BC57" s="1388"/>
      <c r="BD57" s="256">
        <f t="shared" si="17"/>
        <v>0</v>
      </c>
      <c r="BE57" s="256">
        <f t="shared" si="18"/>
        <v>0</v>
      </c>
      <c r="BF57" s="256">
        <f t="shared" si="19"/>
        <v>0</v>
      </c>
      <c r="BG57" s="256">
        <f t="shared" si="20"/>
        <v>0</v>
      </c>
      <c r="BH57" s="256">
        <f t="shared" si="21"/>
        <v>0</v>
      </c>
      <c r="BI57" s="256">
        <f t="shared" si="22"/>
        <v>0</v>
      </c>
      <c r="BJ57" s="256">
        <f t="shared" si="23"/>
        <v>0</v>
      </c>
      <c r="BK57" s="256">
        <f t="shared" si="24"/>
        <v>0</v>
      </c>
      <c r="BL57" s="256">
        <f t="shared" si="25"/>
        <v>0</v>
      </c>
      <c r="BM57" s="256">
        <f t="shared" si="26"/>
        <v>0</v>
      </c>
      <c r="BN57" s="1290"/>
      <c r="BO57" s="1290"/>
      <c r="BP57" s="1290"/>
      <c r="BQ57" s="180"/>
      <c r="BR57" s="180"/>
      <c r="BS57" s="981" t="s">
        <v>1426</v>
      </c>
    </row>
    <row r="58" spans="1:71" s="1229" customFormat="1" ht="14.25" customHeight="1">
      <c r="A58" s="178"/>
      <c r="B58" s="783"/>
      <c r="C58" s="178"/>
      <c r="D58" s="178"/>
      <c r="E58" s="676">
        <v>15</v>
      </c>
      <c r="F58" s="779" t="str" cm="1">
        <f t="array" aca="1" ref="F58" ca="1">OFFSET(G58,-1,-1)</f>
        <v>1</v>
      </c>
      <c r="G58" s="180"/>
      <c r="H58" s="180"/>
      <c r="I58" s="180"/>
      <c r="J58" s="180"/>
      <c r="K58" s="180"/>
      <c r="L58" s="180"/>
      <c r="M58" s="180"/>
      <c r="N58" s="180"/>
      <c r="O58" s="180"/>
      <c r="P58" s="180"/>
      <c r="Q58" s="143"/>
      <c r="R58" s="143"/>
      <c r="S58" s="180"/>
      <c r="T58" s="687" t="b" cm="1">
        <f t="array" ref="T58">T56</f>
        <v>1</v>
      </c>
      <c r="U58" s="1153"/>
      <c r="V58" s="1153"/>
      <c r="W58" s="1153"/>
      <c r="X58" s="1726"/>
      <c r="Y58" s="1153"/>
      <c r="Z58" s="1726"/>
      <c r="AA58" s="180"/>
      <c r="AB58" s="111" t="s">
        <v>1103</v>
      </c>
      <c r="AC58" s="118" t="s">
        <v>1427</v>
      </c>
      <c r="AD58" s="111" t="s">
        <v>839</v>
      </c>
      <c r="AE58" s="1398"/>
      <c r="AF58" s="1398"/>
      <c r="AG58" s="1398"/>
      <c r="AH58" s="256">
        <f t="shared" si="16"/>
        <v>0</v>
      </c>
      <c r="AI58" s="1398"/>
      <c r="AJ58" s="517"/>
      <c r="AK58" s="517"/>
      <c r="AL58" s="517"/>
      <c r="AM58" s="517"/>
      <c r="AN58" s="517"/>
      <c r="AO58" s="1398"/>
      <c r="AP58" s="1398"/>
      <c r="AQ58" s="1398"/>
      <c r="AR58" s="1398"/>
      <c r="AS58" s="1398"/>
      <c r="AT58" s="517"/>
      <c r="AU58" s="517"/>
      <c r="AV58" s="517"/>
      <c r="AW58" s="517"/>
      <c r="AX58" s="517"/>
      <c r="AY58" s="1398"/>
      <c r="AZ58" s="1398"/>
      <c r="BA58" s="1398"/>
      <c r="BB58" s="1398"/>
      <c r="BC58" s="1398"/>
      <c r="BD58" s="256">
        <f t="shared" si="17"/>
        <v>0</v>
      </c>
      <c r="BE58" s="256">
        <f t="shared" si="18"/>
        <v>0</v>
      </c>
      <c r="BF58" s="256">
        <f t="shared" si="19"/>
        <v>0</v>
      </c>
      <c r="BG58" s="256">
        <f t="shared" si="20"/>
        <v>0</v>
      </c>
      <c r="BH58" s="256">
        <f t="shared" si="21"/>
        <v>0</v>
      </c>
      <c r="BI58" s="256">
        <f t="shared" si="22"/>
        <v>0</v>
      </c>
      <c r="BJ58" s="256">
        <f t="shared" si="23"/>
        <v>0</v>
      </c>
      <c r="BK58" s="256">
        <f t="shared" si="24"/>
        <v>0</v>
      </c>
      <c r="BL58" s="256">
        <f t="shared" si="25"/>
        <v>0</v>
      </c>
      <c r="BM58" s="256">
        <f t="shared" si="26"/>
        <v>0</v>
      </c>
      <c r="BN58" s="1290"/>
      <c r="BO58" s="1290"/>
      <c r="BP58" s="1290"/>
      <c r="BQ58" s="180"/>
      <c r="BR58" s="180"/>
      <c r="BS58" s="981" t="s">
        <v>1428</v>
      </c>
    </row>
    <row r="59" spans="1:71" s="1229" customFormat="1" ht="14.25" customHeight="1">
      <c r="A59" s="178"/>
      <c r="B59" s="783"/>
      <c r="C59" s="178"/>
      <c r="D59" s="178"/>
      <c r="E59" s="676">
        <v>15</v>
      </c>
      <c r="F59" s="779" t="str" cm="1">
        <f t="array" aca="1" ref="F59" ca="1">OFFSET(G59,-1,-1)</f>
        <v>1</v>
      </c>
      <c r="G59" s="143" t="s">
        <v>1187</v>
      </c>
      <c r="H59" s="180"/>
      <c r="I59" s="180"/>
      <c r="J59" s="180"/>
      <c r="K59" s="180"/>
      <c r="L59" s="180"/>
      <c r="M59" s="180"/>
      <c r="N59" s="180"/>
      <c r="O59" s="180"/>
      <c r="P59" s="180"/>
      <c r="Q59" s="143"/>
      <c r="R59" s="143"/>
      <c r="S59" s="180"/>
      <c r="T59" s="687" t="b" cm="1">
        <f t="array" ref="T59">T58</f>
        <v>1</v>
      </c>
      <c r="U59" s="1153"/>
      <c r="V59" s="1153"/>
      <c r="W59" s="1153"/>
      <c r="X59" s="1726"/>
      <c r="Y59" s="1153"/>
      <c r="Z59" s="1726"/>
      <c r="AA59" s="180"/>
      <c r="AB59" s="111" t="s">
        <v>1106</v>
      </c>
      <c r="AC59" s="118" t="s">
        <v>1429</v>
      </c>
      <c r="AD59" s="111" t="s">
        <v>839</v>
      </c>
      <c r="AE59" s="515">
        <f ca="1">SUMIFS(Амортизация!AE$26:AE$324,Амортизация!$F$26:$F$324,$F59,Амортизация!$G$26:$G$324,$G59)</f>
        <v>0</v>
      </c>
      <c r="AF59" s="515">
        <f ca="1">SUMIFS(Амортизация!AF$26:AF$324,Амортизация!$F$26:$F$324,$F59,Амортизация!$G$26:$G$324,$G59)</f>
        <v>0</v>
      </c>
      <c r="AG59" s="1398">
        <f ca="1">SUMIFS(Амортизация!AG$26:AG$324,Амортизация!$F$26:$F$324,$F59,Амортизация!$G$26:$G$324,$G59)</f>
        <v>0</v>
      </c>
      <c r="AH59" s="256">
        <f t="shared" ca="1" si="16"/>
        <v>0</v>
      </c>
      <c r="AI59" s="515">
        <f ca="1">SUMIFS(Амортизация!AH$26:AH$324,Амортизация!$F$26:$F$324,$F59,Амортизация!$G$26:$G$324,$G59)</f>
        <v>8685</v>
      </c>
      <c r="AJ59" s="515">
        <f ca="1">SUMIFS(Амортизация!AI$26:AI$324,Амортизация!$F$26:$F$324,$F59,Амортизация!$G$26:$G$324,$G59)</f>
        <v>0</v>
      </c>
      <c r="AK59" s="515">
        <f ca="1">SUMIFS(Амортизация!AJ$26:AJ$324,Амортизация!$F$26:$F$324,$F59,Амортизация!$G$26:$G$324,$G59)</f>
        <v>0</v>
      </c>
      <c r="AL59" s="515">
        <f ca="1">SUMIFS(Амортизация!AK$26:AK$324,Амортизация!$F$26:$F$324,$F59,Амортизация!$G$26:$G$324,$G59)</f>
        <v>0</v>
      </c>
      <c r="AM59" s="515">
        <f ca="1">SUMIFS(Амортизация!AL$26:AL$324,Амортизация!$F$26:$F$324,$F59,Амортизация!$G$26:$G$324,$G59)</f>
        <v>0</v>
      </c>
      <c r="AN59" s="515">
        <f ca="1">SUMIFS(Амортизация!AM$26:AM$324,Амортизация!$F$26:$F$324,$F59,Амортизация!$G$26:$G$324,$G59)</f>
        <v>0</v>
      </c>
      <c r="AO59" s="515">
        <f ca="1">SUMIFS(Амортизация!AN$26:AN$324,Амортизация!$F$26:$F$324,$F59,Амортизация!$G$26:$G$324,$G59)</f>
        <v>0</v>
      </c>
      <c r="AP59" s="515">
        <f ca="1">SUMIFS(Амортизация!AO$26:AO$324,Амортизация!$F$26:$F$324,$F59,Амортизация!$G$26:$G$324,$G59)</f>
        <v>0</v>
      </c>
      <c r="AQ59" s="515">
        <f ca="1">SUMIFS(Амортизация!AP$26:AP$324,Амортизация!$F$26:$F$324,$F59,Амортизация!$G$26:$G$324,$G59)</f>
        <v>0</v>
      </c>
      <c r="AR59" s="515">
        <f ca="1">SUMIFS(Амортизация!AQ$26:AQ$324,Амортизация!$F$26:$F$324,$F59,Амортизация!$G$26:$G$324,$G59)</f>
        <v>0</v>
      </c>
      <c r="AS59" s="515">
        <f ca="1">SUMIFS(Амортизация!AR$26:AR$324,Амортизация!$F$26:$F$324,$F59,Амортизация!$G$26:$G$324,$G59)</f>
        <v>0</v>
      </c>
      <c r="AT59" s="515">
        <f ca="1">SUMIFS(Амортизация!AS$26:AS$324,Амортизация!$F$26:$F$324,$F59,Амортизация!$G$26:$G$324,$G59)</f>
        <v>18706.05</v>
      </c>
      <c r="AU59" s="515">
        <f ca="1">SUMIFS(Амортизация!AT$26:AT$324,Амортизация!$F$26:$F$324,$F59,Амортизация!$G$26:$G$324,$G59)</f>
        <v>0</v>
      </c>
      <c r="AV59" s="515">
        <f ca="1">SUMIFS(Амортизация!AU$26:AU$324,Амортизация!$F$26:$F$324,$F59,Амортизация!$G$26:$G$324,$G59)</f>
        <v>0</v>
      </c>
      <c r="AW59" s="515">
        <f ca="1">SUMIFS(Амортизация!AV$26:AV$324,Амортизация!$F$26:$F$324,$F59,Амортизация!$G$26:$G$324,$G59)</f>
        <v>0</v>
      </c>
      <c r="AX59" s="515">
        <f ca="1">SUMIFS(Амортизация!AW$26:AW$324,Амортизация!$F$26:$F$324,$F59,Амортизация!$G$26:$G$324,$G59)</f>
        <v>0</v>
      </c>
      <c r="AY59" s="515">
        <f ca="1">SUMIFS(Амортизация!AX$26:AX$324,Амортизация!$F$26:$F$324,$F59,Амортизация!$G$26:$G$324,$G59)</f>
        <v>0</v>
      </c>
      <c r="AZ59" s="515">
        <f ca="1">SUMIFS(Амортизация!AY$26:AY$324,Амортизация!$F$26:$F$324,$F59,Амортизация!$G$26:$G$324,$G59)</f>
        <v>0</v>
      </c>
      <c r="BA59" s="515">
        <f ca="1">SUMIFS(Амортизация!AZ$26:AZ$324,Амортизация!$F$26:$F$324,$F59,Амортизация!$G$26:$G$324,$G59)</f>
        <v>0</v>
      </c>
      <c r="BB59" s="515">
        <f ca="1">SUMIFS(Амортизация!BA$26:BA$324,Амортизация!$F$26:$F$324,$F59,Амортизация!$G$26:$G$324,$G59)</f>
        <v>0</v>
      </c>
      <c r="BC59" s="515">
        <f ca="1">SUMIFS(Амортизация!BB$26:BB$324,Амортизация!$F$26:$F$324,$F59,Амортизация!$G$26:$G$324,$G59)</f>
        <v>0</v>
      </c>
      <c r="BD59" s="256">
        <f t="shared" ca="1" si="17"/>
        <v>115.38341968911917</v>
      </c>
      <c r="BE59" s="256">
        <f t="shared" ca="1" si="18"/>
        <v>-100</v>
      </c>
      <c r="BF59" s="256">
        <f t="shared" ca="1" si="19"/>
        <v>0</v>
      </c>
      <c r="BG59" s="256">
        <f t="shared" ca="1" si="20"/>
        <v>0</v>
      </c>
      <c r="BH59" s="256">
        <f t="shared" ca="1" si="21"/>
        <v>0</v>
      </c>
      <c r="BI59" s="256">
        <f t="shared" ca="1" si="22"/>
        <v>0</v>
      </c>
      <c r="BJ59" s="256">
        <f t="shared" ca="1" si="23"/>
        <v>0</v>
      </c>
      <c r="BK59" s="256">
        <f t="shared" ca="1" si="24"/>
        <v>0</v>
      </c>
      <c r="BL59" s="256">
        <f t="shared" ca="1" si="25"/>
        <v>0</v>
      </c>
      <c r="BM59" s="256">
        <f t="shared" ca="1" si="26"/>
        <v>0</v>
      </c>
      <c r="BN59" s="1290"/>
      <c r="BO59" s="1290"/>
      <c r="BP59" s="1290"/>
      <c r="BQ59" s="180"/>
      <c r="BR59" s="180"/>
      <c r="BS59" s="981" t="s">
        <v>1430</v>
      </c>
    </row>
    <row r="60" spans="1:71" s="1229" customFormat="1" ht="24.75" customHeight="1">
      <c r="A60" s="178"/>
      <c r="B60" s="783"/>
      <c r="C60" s="178"/>
      <c r="D60" s="178"/>
      <c r="E60" s="676">
        <v>25.5</v>
      </c>
      <c r="F60" s="779" t="str" cm="1">
        <f t="array" aca="1" ref="F60" ca="1">OFFSET(G60,-1,-1)</f>
        <v>1</v>
      </c>
      <c r="G60" s="180"/>
      <c r="H60" s="180"/>
      <c r="I60" s="180"/>
      <c r="J60" s="180"/>
      <c r="K60" s="180"/>
      <c r="L60" s="180"/>
      <c r="M60" s="180"/>
      <c r="N60" s="180"/>
      <c r="O60" s="180"/>
      <c r="P60" s="180"/>
      <c r="Q60" s="143"/>
      <c r="R60" s="143"/>
      <c r="S60" s="180"/>
      <c r="T60" s="687" t="b" cm="1">
        <f t="array" ref="T60">T59</f>
        <v>1</v>
      </c>
      <c r="U60" s="1153"/>
      <c r="V60" s="1153"/>
      <c r="W60" s="1153"/>
      <c r="X60" s="1726"/>
      <c r="Y60" s="1153"/>
      <c r="Z60" s="1726"/>
      <c r="AA60" s="180"/>
      <c r="AB60" s="111" t="s">
        <v>1109</v>
      </c>
      <c r="AC60" s="118" t="s">
        <v>1431</v>
      </c>
      <c r="AD60" s="111" t="s">
        <v>839</v>
      </c>
      <c r="AE60" s="1398"/>
      <c r="AF60" s="1398"/>
      <c r="AG60" s="1398"/>
      <c r="AH60" s="256">
        <f t="shared" si="16"/>
        <v>0</v>
      </c>
      <c r="AI60" s="1398"/>
      <c r="AJ60" s="517"/>
      <c r="AK60" s="517"/>
      <c r="AL60" s="517"/>
      <c r="AM60" s="517"/>
      <c r="AN60" s="517"/>
      <c r="AO60" s="1398"/>
      <c r="AP60" s="1398"/>
      <c r="AQ60" s="1398"/>
      <c r="AR60" s="1398"/>
      <c r="AS60" s="1398"/>
      <c r="AT60" s="517"/>
      <c r="AU60" s="517"/>
      <c r="AV60" s="517"/>
      <c r="AW60" s="517"/>
      <c r="AX60" s="517"/>
      <c r="AY60" s="1398"/>
      <c r="AZ60" s="1398"/>
      <c r="BA60" s="1398"/>
      <c r="BB60" s="1398"/>
      <c r="BC60" s="1398"/>
      <c r="BD60" s="256">
        <f t="shared" si="17"/>
        <v>0</v>
      </c>
      <c r="BE60" s="256">
        <f t="shared" si="18"/>
        <v>0</v>
      </c>
      <c r="BF60" s="256">
        <f t="shared" si="19"/>
        <v>0</v>
      </c>
      <c r="BG60" s="256">
        <f t="shared" si="20"/>
        <v>0</v>
      </c>
      <c r="BH60" s="256">
        <f t="shared" si="21"/>
        <v>0</v>
      </c>
      <c r="BI60" s="256">
        <f t="shared" si="22"/>
        <v>0</v>
      </c>
      <c r="BJ60" s="256">
        <f t="shared" si="23"/>
        <v>0</v>
      </c>
      <c r="BK60" s="256">
        <f t="shared" si="24"/>
        <v>0</v>
      </c>
      <c r="BL60" s="256">
        <f t="shared" si="25"/>
        <v>0</v>
      </c>
      <c r="BM60" s="256">
        <f t="shared" si="26"/>
        <v>0</v>
      </c>
      <c r="BN60" s="1290"/>
      <c r="BO60" s="1290"/>
      <c r="BP60" s="1290"/>
      <c r="BQ60" s="180"/>
      <c r="BR60" s="180"/>
      <c r="BS60" s="981" t="s">
        <v>1432</v>
      </c>
    </row>
    <row r="61" spans="1:71" s="1229" customFormat="1" ht="24.75" customHeight="1">
      <c r="A61" s="178"/>
      <c r="B61" s="783"/>
      <c r="C61" s="178"/>
      <c r="D61" s="178"/>
      <c r="E61" s="676">
        <v>25.5</v>
      </c>
      <c r="F61" s="779" t="str" cm="1">
        <f t="array" aca="1" ref="F61" ca="1">OFFSET(G61,-1,-1)</f>
        <v>1</v>
      </c>
      <c r="G61" s="180"/>
      <c r="H61" s="180"/>
      <c r="I61" s="180"/>
      <c r="J61" s="180"/>
      <c r="K61" s="180"/>
      <c r="L61" s="180"/>
      <c r="M61" s="180"/>
      <c r="N61" s="180"/>
      <c r="O61" s="180"/>
      <c r="P61" s="180"/>
      <c r="Q61" s="143"/>
      <c r="R61" s="143"/>
      <c r="S61" s="180"/>
      <c r="T61" s="687" t="b" cm="1">
        <f t="array" ref="T61">T60</f>
        <v>1</v>
      </c>
      <c r="U61" s="1153"/>
      <c r="V61" s="1153"/>
      <c r="W61" s="1153"/>
      <c r="X61" s="1726"/>
      <c r="Y61" s="1153"/>
      <c r="Z61" s="1726"/>
      <c r="AA61" s="180"/>
      <c r="AB61" s="111" t="s">
        <v>1324</v>
      </c>
      <c r="AC61" s="118" t="s">
        <v>1433</v>
      </c>
      <c r="AD61" s="111" t="s">
        <v>839</v>
      </c>
      <c r="AE61" s="1398"/>
      <c r="AF61" s="1398"/>
      <c r="AG61" s="1398"/>
      <c r="AH61" s="256">
        <f t="shared" si="16"/>
        <v>0</v>
      </c>
      <c r="AI61" s="1398"/>
      <c r="AJ61" s="517"/>
      <c r="AK61" s="517"/>
      <c r="AL61" s="517"/>
      <c r="AM61" s="517"/>
      <c r="AN61" s="517"/>
      <c r="AO61" s="1398"/>
      <c r="AP61" s="1398"/>
      <c r="AQ61" s="1398"/>
      <c r="AR61" s="1398"/>
      <c r="AS61" s="1398"/>
      <c r="AT61" s="517"/>
      <c r="AU61" s="517"/>
      <c r="AV61" s="517"/>
      <c r="AW61" s="517"/>
      <c r="AX61" s="517"/>
      <c r="AY61" s="1398"/>
      <c r="AZ61" s="1398"/>
      <c r="BA61" s="1398"/>
      <c r="BB61" s="1398"/>
      <c r="BC61" s="1398"/>
      <c r="BD61" s="256">
        <f t="shared" si="17"/>
        <v>0</v>
      </c>
      <c r="BE61" s="256">
        <f t="shared" si="18"/>
        <v>0</v>
      </c>
      <c r="BF61" s="256">
        <f t="shared" si="19"/>
        <v>0</v>
      </c>
      <c r="BG61" s="256">
        <f t="shared" si="20"/>
        <v>0</v>
      </c>
      <c r="BH61" s="256">
        <f t="shared" si="21"/>
        <v>0</v>
      </c>
      <c r="BI61" s="256">
        <f t="shared" si="22"/>
        <v>0</v>
      </c>
      <c r="BJ61" s="256">
        <f t="shared" si="23"/>
        <v>0</v>
      </c>
      <c r="BK61" s="256">
        <f t="shared" si="24"/>
        <v>0</v>
      </c>
      <c r="BL61" s="256">
        <f t="shared" si="25"/>
        <v>0</v>
      </c>
      <c r="BM61" s="256">
        <f t="shared" si="26"/>
        <v>0</v>
      </c>
      <c r="BN61" s="1290"/>
      <c r="BO61" s="1290"/>
      <c r="BP61" s="1290"/>
      <c r="BQ61" s="180"/>
      <c r="BR61" s="180"/>
      <c r="BS61" s="981" t="s">
        <v>1434</v>
      </c>
    </row>
    <row r="62" spans="1:71" s="1229" customFormat="1" ht="14.25" customHeight="1">
      <c r="A62" s="178"/>
      <c r="B62" s="783"/>
      <c r="C62" s="178"/>
      <c r="D62" s="178"/>
      <c r="E62" s="676">
        <v>15</v>
      </c>
      <c r="F62" s="779" t="str" cm="1">
        <f t="array" aca="1" ref="F62" ca="1">OFFSET(G62,-1,-1)</f>
        <v>1</v>
      </c>
      <c r="G62" s="180"/>
      <c r="H62" s="180"/>
      <c r="I62" s="180"/>
      <c r="J62" s="180"/>
      <c r="K62" s="180"/>
      <c r="L62" s="180"/>
      <c r="M62" s="180"/>
      <c r="N62" s="180"/>
      <c r="O62" s="180"/>
      <c r="P62" s="180"/>
      <c r="Q62" s="143"/>
      <c r="R62" s="143"/>
      <c r="S62" s="180"/>
      <c r="T62" s="687" t="b" cm="1">
        <f t="array" ref="T62">T61</f>
        <v>1</v>
      </c>
      <c r="U62" s="1153"/>
      <c r="V62" s="1153"/>
      <c r="W62" s="1153"/>
      <c r="X62" s="1726"/>
      <c r="Y62" s="1153"/>
      <c r="Z62" s="1726"/>
      <c r="AA62" s="180"/>
      <c r="AB62" s="111"/>
      <c r="AC62" s="118" t="s">
        <v>1435</v>
      </c>
      <c r="AD62" s="111" t="s">
        <v>839</v>
      </c>
      <c r="AE62" s="515">
        <f ca="1">AE49+AE50+AE51+AE52+AE56+AE58+AE59+AE60+AE61</f>
        <v>0</v>
      </c>
      <c r="AF62" s="515">
        <f ca="1">AF49+AF50+AF51+AF52+AF56+AF58+AF59+AF60+AF61</f>
        <v>0</v>
      </c>
      <c r="AG62" s="1398">
        <f ca="1">AG49+AG50+AG51+AG52+AG56+AG58+AG59+AG60+AG61</f>
        <v>0</v>
      </c>
      <c r="AH62" s="256">
        <f t="shared" ca="1" si="16"/>
        <v>0</v>
      </c>
      <c r="AI62" s="515">
        <f t="shared" ref="AI62:BC62" ca="1" si="28">AI49+AI50+AI51+AI52+AI56+AI58+AI59+AI60+AI61</f>
        <v>22619.439997079993</v>
      </c>
      <c r="AJ62" s="515">
        <f t="shared" ca="1" si="28"/>
        <v>0</v>
      </c>
      <c r="AK62" s="515">
        <f t="shared" ca="1" si="28"/>
        <v>0</v>
      </c>
      <c r="AL62" s="515">
        <f t="shared" ca="1" si="28"/>
        <v>0</v>
      </c>
      <c r="AM62" s="515">
        <f t="shared" ca="1" si="28"/>
        <v>0</v>
      </c>
      <c r="AN62" s="515">
        <f t="shared" ca="1" si="28"/>
        <v>0</v>
      </c>
      <c r="AO62" s="515">
        <f t="shared" ca="1" si="28"/>
        <v>0</v>
      </c>
      <c r="AP62" s="515">
        <f t="shared" ca="1" si="28"/>
        <v>0</v>
      </c>
      <c r="AQ62" s="515">
        <f t="shared" ca="1" si="28"/>
        <v>0</v>
      </c>
      <c r="AR62" s="515">
        <f t="shared" ca="1" si="28"/>
        <v>0</v>
      </c>
      <c r="AS62" s="515">
        <f t="shared" ca="1" si="28"/>
        <v>0</v>
      </c>
      <c r="AT62" s="515">
        <f t="shared" ca="1" si="28"/>
        <v>38569.057403519997</v>
      </c>
      <c r="AU62" s="515">
        <f t="shared" ca="1" si="28"/>
        <v>0</v>
      </c>
      <c r="AV62" s="515">
        <f t="shared" ca="1" si="28"/>
        <v>0</v>
      </c>
      <c r="AW62" s="515">
        <f t="shared" ca="1" si="28"/>
        <v>0</v>
      </c>
      <c r="AX62" s="515">
        <f t="shared" ca="1" si="28"/>
        <v>0</v>
      </c>
      <c r="AY62" s="515">
        <f t="shared" ca="1" si="28"/>
        <v>0</v>
      </c>
      <c r="AZ62" s="515">
        <f t="shared" ca="1" si="28"/>
        <v>0</v>
      </c>
      <c r="BA62" s="515">
        <f t="shared" ca="1" si="28"/>
        <v>0</v>
      </c>
      <c r="BB62" s="515">
        <f t="shared" ca="1" si="28"/>
        <v>0</v>
      </c>
      <c r="BC62" s="515">
        <f t="shared" ca="1" si="28"/>
        <v>0</v>
      </c>
      <c r="BD62" s="256">
        <f t="shared" ca="1" si="17"/>
        <v>70.512874803704179</v>
      </c>
      <c r="BE62" s="256">
        <f t="shared" ca="1" si="18"/>
        <v>-100</v>
      </c>
      <c r="BF62" s="256">
        <f t="shared" ca="1" si="19"/>
        <v>0</v>
      </c>
      <c r="BG62" s="256">
        <f t="shared" ca="1" si="20"/>
        <v>0</v>
      </c>
      <c r="BH62" s="256">
        <f t="shared" ca="1" si="21"/>
        <v>0</v>
      </c>
      <c r="BI62" s="256">
        <f t="shared" ca="1" si="22"/>
        <v>0</v>
      </c>
      <c r="BJ62" s="256">
        <f t="shared" ca="1" si="23"/>
        <v>0</v>
      </c>
      <c r="BK62" s="256">
        <f t="shared" ca="1" si="24"/>
        <v>0</v>
      </c>
      <c r="BL62" s="256">
        <f t="shared" ca="1" si="25"/>
        <v>0</v>
      </c>
      <c r="BM62" s="256">
        <f t="shared" ca="1" si="26"/>
        <v>0</v>
      </c>
      <c r="BN62" s="1290"/>
      <c r="BO62" s="1290"/>
      <c r="BP62" s="1290"/>
      <c r="BQ62" s="180"/>
      <c r="BR62" s="180"/>
      <c r="BS62" s="981" t="s">
        <v>635</v>
      </c>
    </row>
    <row r="63" spans="1:71" s="1229" customFormat="1" ht="14.25" customHeight="1">
      <c r="A63" s="178"/>
      <c r="B63" s="783"/>
      <c r="C63" s="178"/>
      <c r="D63" s="178"/>
      <c r="E63" s="676">
        <v>15</v>
      </c>
      <c r="F63" s="779" t="str" cm="1">
        <f t="array" aca="1" ref="F63" ca="1">OFFSET(G63,-1,-1)</f>
        <v>1</v>
      </c>
      <c r="G63" s="143" t="s">
        <v>1319</v>
      </c>
      <c r="H63" s="180"/>
      <c r="I63" s="180"/>
      <c r="J63" s="180"/>
      <c r="K63" s="180"/>
      <c r="L63" s="180"/>
      <c r="M63" s="180"/>
      <c r="N63" s="180"/>
      <c r="O63" s="180"/>
      <c r="P63" s="180"/>
      <c r="Q63" s="143"/>
      <c r="R63" s="143"/>
      <c r="S63" s="180"/>
      <c r="T63" s="687" t="b" cm="1">
        <f t="array" ref="T63">T62</f>
        <v>1</v>
      </c>
      <c r="U63" s="1153"/>
      <c r="V63" s="1153"/>
      <c r="W63" s="1153"/>
      <c r="X63" s="1726"/>
      <c r="Y63" s="1153"/>
      <c r="Z63" s="1726"/>
      <c r="AA63" s="180"/>
      <c r="AB63" s="111" t="s">
        <v>348</v>
      </c>
      <c r="AC63" s="118" t="s">
        <v>1436</v>
      </c>
      <c r="AD63" s="111" t="s">
        <v>839</v>
      </c>
      <c r="AE63" s="515">
        <f ca="1">SUMIFS(Налоги!AE$26:AE$69,Налоги!$F$26:$F$69,$F63,Налоги!$G$26:$G$69,$G63)</f>
        <v>0</v>
      </c>
      <c r="AF63" s="515">
        <f ca="1">SUMIFS(Налоги!AF$26:AF$69,Налоги!$F$26:$F$69,$F63,Налоги!$G$26:$G$69,$G63)</f>
        <v>0</v>
      </c>
      <c r="AG63" s="1398">
        <f ca="1">SUMIFS(Налоги!AG$26:AG$69,Налоги!$F$26:$F$69,$F63,Налоги!$G$26:$G$69,$G63)</f>
        <v>0</v>
      </c>
      <c r="AH63" s="256">
        <f t="shared" ca="1" si="16"/>
        <v>0</v>
      </c>
      <c r="AI63" s="515">
        <f ca="1">SUMIFS(Налоги!AH$26:AH$69,Налоги!$F$26:$F$69,$F63,Налоги!$G$26:$G$69,$G63)</f>
        <v>0</v>
      </c>
      <c r="AJ63" s="515">
        <f ca="1">SUMIFS(Налоги!AI$26:AI$69,Налоги!$F$26:$F$69,$F63,Налоги!$G$26:$G$69,$G63)</f>
        <v>0</v>
      </c>
      <c r="AK63" s="515">
        <f ca="1">SUMIFS(Налоги!AJ$26:AJ$69,Налоги!$F$26:$F$69,$F63,Налоги!$G$26:$G$69,$G63)</f>
        <v>0</v>
      </c>
      <c r="AL63" s="515">
        <f ca="1">SUMIFS(Налоги!AK$26:AK$69,Налоги!$F$26:$F$69,$F63,Налоги!$G$26:$G$69,$G63)</f>
        <v>0</v>
      </c>
      <c r="AM63" s="515">
        <f ca="1">SUMIFS(Налоги!AL$26:AL$69,Налоги!$F$26:$F$69,$F63,Налоги!$G$26:$G$69,$G63)</f>
        <v>0</v>
      </c>
      <c r="AN63" s="515">
        <f ca="1">SUMIFS(Налоги!AM$26:AM$69,Налоги!$F$26:$F$69,$F63,Налоги!$G$26:$G$69,$G63)</f>
        <v>0</v>
      </c>
      <c r="AO63" s="515">
        <f ca="1">SUMIFS(Налоги!AN$26:AN$69,Налоги!$F$26:$F$69,$F63,Налоги!$G$26:$G$69,$G63)</f>
        <v>0</v>
      </c>
      <c r="AP63" s="515">
        <f ca="1">SUMIFS(Налоги!AO$26:AO$69,Налоги!$F$26:$F$69,$F63,Налоги!$G$26:$G$69,$G63)</f>
        <v>0</v>
      </c>
      <c r="AQ63" s="515">
        <f ca="1">SUMIFS(Налоги!AP$26:AP$69,Налоги!$F$26:$F$69,$F63,Налоги!$G$26:$G$69,$G63)</f>
        <v>0</v>
      </c>
      <c r="AR63" s="515">
        <f ca="1">SUMIFS(Налоги!AQ$26:AQ$69,Налоги!$F$26:$F$69,$F63,Налоги!$G$26:$G$69,$G63)</f>
        <v>0</v>
      </c>
      <c r="AS63" s="515">
        <f ca="1">SUMIFS(Налоги!AR$26:AR$69,Налоги!$F$26:$F$69,$F63,Налоги!$G$26:$G$69,$G63)</f>
        <v>0</v>
      </c>
      <c r="AT63" s="515">
        <f ca="1">SUMIFS(Налоги!AS$26:AS$69,Налоги!$F$26:$F$69,$F63,Налоги!$G$26:$G$69,$G63)</f>
        <v>0</v>
      </c>
      <c r="AU63" s="515">
        <f ca="1">SUMIFS(Налоги!AT$26:AT$69,Налоги!$F$26:$F$69,$F63,Налоги!$G$26:$G$69,$G63)</f>
        <v>0</v>
      </c>
      <c r="AV63" s="515">
        <f ca="1">SUMIFS(Налоги!AU$26:AU$69,Налоги!$F$26:$F$69,$F63,Налоги!$G$26:$G$69,$G63)</f>
        <v>0</v>
      </c>
      <c r="AW63" s="515">
        <f ca="1">SUMIFS(Налоги!AV$26:AV$69,Налоги!$F$26:$F$69,$F63,Налоги!$G$26:$G$69,$G63)</f>
        <v>0</v>
      </c>
      <c r="AX63" s="515">
        <f ca="1">SUMIFS(Налоги!AW$26:AW$69,Налоги!$F$26:$F$69,$F63,Налоги!$G$26:$G$69,$G63)</f>
        <v>0</v>
      </c>
      <c r="AY63" s="515">
        <f ca="1">SUMIFS(Налоги!AX$26:AX$69,Налоги!$F$26:$F$69,$F63,Налоги!$G$26:$G$69,$G63)</f>
        <v>0</v>
      </c>
      <c r="AZ63" s="515">
        <f ca="1">SUMIFS(Налоги!AY$26:AY$69,Налоги!$F$26:$F$69,$F63,Налоги!$G$26:$G$69,$G63)</f>
        <v>0</v>
      </c>
      <c r="BA63" s="515">
        <f ca="1">SUMIFS(Налоги!AZ$26:AZ$69,Налоги!$F$26:$F$69,$F63,Налоги!$G$26:$G$69,$G63)</f>
        <v>0</v>
      </c>
      <c r="BB63" s="515">
        <f ca="1">SUMIFS(Налоги!BA$26:BA$69,Налоги!$F$26:$F$69,$F63,Налоги!$G$26:$G$69,$G63)</f>
        <v>0</v>
      </c>
      <c r="BC63" s="515">
        <f ca="1">SUMIFS(Налоги!BB$26:BB$69,Налоги!$F$26:$F$69,$F63,Налоги!$G$26:$G$69,$G63)</f>
        <v>0</v>
      </c>
      <c r="BD63" s="256">
        <f t="shared" ca="1" si="17"/>
        <v>0</v>
      </c>
      <c r="BE63" s="256">
        <f t="shared" ca="1" si="18"/>
        <v>0</v>
      </c>
      <c r="BF63" s="256">
        <f t="shared" ca="1" si="19"/>
        <v>0</v>
      </c>
      <c r="BG63" s="256">
        <f t="shared" ca="1" si="20"/>
        <v>0</v>
      </c>
      <c r="BH63" s="256">
        <f t="shared" ca="1" si="21"/>
        <v>0</v>
      </c>
      <c r="BI63" s="256">
        <f t="shared" ca="1" si="22"/>
        <v>0</v>
      </c>
      <c r="BJ63" s="256">
        <f t="shared" ca="1" si="23"/>
        <v>0</v>
      </c>
      <c r="BK63" s="256">
        <f t="shared" ca="1" si="24"/>
        <v>0</v>
      </c>
      <c r="BL63" s="256">
        <f t="shared" ca="1" si="25"/>
        <v>0</v>
      </c>
      <c r="BM63" s="256">
        <f t="shared" ca="1" si="26"/>
        <v>0</v>
      </c>
      <c r="BN63" s="1290"/>
      <c r="BO63" s="1290"/>
      <c r="BP63" s="1290"/>
      <c r="BQ63" s="180"/>
      <c r="BR63" s="180"/>
      <c r="BS63" s="981" t="s">
        <v>614</v>
      </c>
    </row>
    <row r="64" spans="1:71" s="1229" customFormat="1" ht="27" customHeight="1">
      <c r="A64" s="178"/>
      <c r="B64" s="783"/>
      <c r="C64" s="178"/>
      <c r="D64" s="178"/>
      <c r="E64" s="676">
        <v>27.8</v>
      </c>
      <c r="F64" s="779" t="str" cm="1">
        <f t="array" aca="1" ref="F64" ca="1">OFFSET(G64,-1,-1)</f>
        <v>1</v>
      </c>
      <c r="G64" s="143" t="s">
        <v>1342</v>
      </c>
      <c r="H64" s="180"/>
      <c r="I64" s="180"/>
      <c r="J64" s="180"/>
      <c r="K64" s="180"/>
      <c r="L64" s="180"/>
      <c r="M64" s="180"/>
      <c r="N64" s="180"/>
      <c r="O64" s="180"/>
      <c r="P64" s="180"/>
      <c r="Q64" s="143"/>
      <c r="R64" s="143"/>
      <c r="S64" s="180"/>
      <c r="T64" s="687" t="b" cm="1">
        <f t="array" ref="T64">T63</f>
        <v>1</v>
      </c>
      <c r="U64" s="1153"/>
      <c r="V64" s="1153"/>
      <c r="W64" s="1153"/>
      <c r="X64" s="1726"/>
      <c r="Y64" s="1153"/>
      <c r="Z64" s="1726"/>
      <c r="AA64" s="180"/>
      <c r="AB64" s="111" t="s">
        <v>437</v>
      </c>
      <c r="AC64" s="118" t="s">
        <v>1437</v>
      </c>
      <c r="AD64" s="111" t="s">
        <v>839</v>
      </c>
      <c r="AE64" s="1398"/>
      <c r="AF64" s="1398"/>
      <c r="AG64" s="1398"/>
      <c r="AH64" s="256">
        <f t="shared" si="16"/>
        <v>0</v>
      </c>
      <c r="AI64" s="1398"/>
      <c r="AJ64" s="515">
        <f ca="1">SUMIFS(Экономия_корр!AE$26:AE$51,Экономия_корр!$F$26:$F$51,$F64,Экономия_корр!$G$26:$G$51,$G64)</f>
        <v>0</v>
      </c>
      <c r="AK64" s="515">
        <f ca="1">SUMIFS(Экономия_корр!AF$26:AF$51,Экономия_корр!$F$26:$F$51,$F64,Экономия_корр!$G$26:$G$51,$G64)</f>
        <v>0</v>
      </c>
      <c r="AL64" s="515">
        <f ca="1">SUMIFS(Экономия_корр!AG$26:AG$51,Экономия_корр!$F$26:$F$51,$F64,Экономия_корр!$G$26:$G$51,$G64)</f>
        <v>0</v>
      </c>
      <c r="AM64" s="515">
        <f ca="1">SUMIFS(Экономия_корр!AH$26:AH$51,Экономия_корр!$F$26:$F$51,$F64,Экономия_корр!$G$26:$G$51,$G64)</f>
        <v>0</v>
      </c>
      <c r="AN64" s="515">
        <f ca="1">SUMIFS(Экономия_корр!AI$26:AI$51,Экономия_корр!$F$26:$F$51,$F64,Экономия_корр!$G$26:$G$51,$G64)</f>
        <v>0</v>
      </c>
      <c r="AO64" s="515">
        <f ca="1">SUMIFS(Экономия_корр!AJ$26:AJ$51,Экономия_корр!$F$26:$F$51,$F64,Экономия_корр!$G$26:$G$51,$G64)</f>
        <v>0</v>
      </c>
      <c r="AP64" s="515">
        <f ca="1">SUMIFS(Экономия_корр!AK$26:AK$51,Экономия_корр!$F$26:$F$51,$F64,Экономия_корр!$G$26:$G$51,$G64)</f>
        <v>0</v>
      </c>
      <c r="AQ64" s="515">
        <f ca="1">SUMIFS(Экономия_корр!AL$26:AL$51,Экономия_корр!$F$26:$F$51,$F64,Экономия_корр!$G$26:$G$51,$G64)</f>
        <v>0</v>
      </c>
      <c r="AR64" s="515">
        <f ca="1">SUMIFS(Экономия_корр!AM$26:AM$51,Экономия_корр!$F$26:$F$51,$F64,Экономия_корр!$G$26:$G$51,$G64)</f>
        <v>0</v>
      </c>
      <c r="AS64" s="515">
        <f ca="1">SUMIFS(Экономия_корр!AN$26:AN$51,Экономия_корр!$F$26:$F$51,$F64,Экономия_корр!$G$26:$G$51,$G64)</f>
        <v>0</v>
      </c>
      <c r="AT64" s="515">
        <f ca="1">SUMIFS(Экономия_корр!AO$26:AO$51,Экономия_корр!$F$26:$F$51,$F64,Экономия_корр!$G$26:$G$51,$G64)</f>
        <v>0</v>
      </c>
      <c r="AU64" s="515">
        <f ca="1">SUMIFS(Экономия_корр!AP$26:AP$51,Экономия_корр!$F$26:$F$51,$F64,Экономия_корр!$G$26:$G$51,$G64)</f>
        <v>0</v>
      </c>
      <c r="AV64" s="515">
        <f ca="1">SUMIFS(Экономия_корр!AQ$26:AQ$51,Экономия_корр!$F$26:$F$51,$F64,Экономия_корр!$G$26:$G$51,$G64)</f>
        <v>0</v>
      </c>
      <c r="AW64" s="515">
        <f ca="1">SUMIFS(Экономия_корр!AR$26:AR$51,Экономия_корр!$F$26:$F$51,$F64,Экономия_корр!$G$26:$G$51,$G64)</f>
        <v>0</v>
      </c>
      <c r="AX64" s="515">
        <f ca="1">SUMIFS(Экономия_корр!AS$26:AS$51,Экономия_корр!$F$26:$F$51,$F64,Экономия_корр!$G$26:$G$51,$G64)</f>
        <v>0</v>
      </c>
      <c r="AY64" s="515">
        <f ca="1">SUMIFS(Экономия_корр!AT$26:AT$51,Экономия_корр!$F$26:$F$51,$F64,Экономия_корр!$G$26:$G$51,$G64)</f>
        <v>0</v>
      </c>
      <c r="AZ64" s="515">
        <f ca="1">SUMIFS(Экономия_корр!AU$26:AU$51,Экономия_корр!$F$26:$F$51,$F64,Экономия_корр!$G$26:$G$51,$G64)</f>
        <v>0</v>
      </c>
      <c r="BA64" s="515">
        <f ca="1">SUMIFS(Экономия_корр!AV$26:AV$51,Экономия_корр!$F$26:$F$51,$F64,Экономия_корр!$G$26:$G$51,$G64)</f>
        <v>0</v>
      </c>
      <c r="BB64" s="515">
        <f ca="1">SUMIFS(Экономия_корр!AW$26:AW$51,Экономия_корр!$F$26:$F$51,$F64,Экономия_корр!$G$26:$G$51,$G64)</f>
        <v>0</v>
      </c>
      <c r="BC64" s="515">
        <f ca="1">SUMIFS(Экономия_корр!AX$26:AX$51,Экономия_корр!$F$26:$F$51,$F64,Экономия_корр!$G$26:$G$51,$G64)</f>
        <v>0</v>
      </c>
      <c r="BD64" s="256">
        <f t="shared" si="17"/>
        <v>0</v>
      </c>
      <c r="BE64" s="256">
        <f t="shared" ca="1" si="18"/>
        <v>0</v>
      </c>
      <c r="BF64" s="256">
        <f t="shared" ca="1" si="19"/>
        <v>0</v>
      </c>
      <c r="BG64" s="256">
        <f t="shared" ca="1" si="20"/>
        <v>0</v>
      </c>
      <c r="BH64" s="256">
        <f t="shared" ca="1" si="21"/>
        <v>0</v>
      </c>
      <c r="BI64" s="256">
        <f t="shared" ca="1" si="22"/>
        <v>0</v>
      </c>
      <c r="BJ64" s="256">
        <f t="shared" ca="1" si="23"/>
        <v>0</v>
      </c>
      <c r="BK64" s="256">
        <f t="shared" ca="1" si="24"/>
        <v>0</v>
      </c>
      <c r="BL64" s="256">
        <f t="shared" ca="1" si="25"/>
        <v>0</v>
      </c>
      <c r="BM64" s="256">
        <f t="shared" ca="1" si="26"/>
        <v>0</v>
      </c>
      <c r="BN64" s="1290"/>
      <c r="BO64" s="1290"/>
      <c r="BP64" s="1290"/>
      <c r="BQ64" s="180"/>
      <c r="BR64" s="180"/>
      <c r="BS64" s="981" t="s">
        <v>1438</v>
      </c>
    </row>
    <row r="65" spans="1:71" s="1229" customFormat="1" ht="27" customHeight="1">
      <c r="A65" s="178"/>
      <c r="B65" s="783"/>
      <c r="C65" s="178"/>
      <c r="D65" s="178"/>
      <c r="E65" s="676">
        <v>27.8</v>
      </c>
      <c r="F65" s="779" t="str" cm="1">
        <f t="array" aca="1" ref="F65" ca="1">OFFSET(G65,-1,-1)</f>
        <v>1</v>
      </c>
      <c r="G65" s="180"/>
      <c r="H65" s="180"/>
      <c r="I65" s="180"/>
      <c r="J65" s="180"/>
      <c r="K65" s="180"/>
      <c r="L65" s="180"/>
      <c r="M65" s="180"/>
      <c r="N65" s="180"/>
      <c r="O65" s="180"/>
      <c r="P65" s="180"/>
      <c r="Q65" s="143"/>
      <c r="R65" s="143"/>
      <c r="S65" s="180"/>
      <c r="T65" s="687" t="b" cm="1">
        <f t="array" ref="T65">T64</f>
        <v>1</v>
      </c>
      <c r="U65" s="1153"/>
      <c r="V65" s="1153"/>
      <c r="W65" s="1153"/>
      <c r="X65" s="1726"/>
      <c r="Y65" s="1153"/>
      <c r="Z65" s="1726"/>
      <c r="AA65" s="180"/>
      <c r="AB65" s="111" t="s">
        <v>440</v>
      </c>
      <c r="AC65" s="118" t="s">
        <v>1439</v>
      </c>
      <c r="AD65" s="111" t="s">
        <v>839</v>
      </c>
      <c r="AE65" s="1398"/>
      <c r="AF65" s="1398"/>
      <c r="AG65" s="1398"/>
      <c r="AH65" s="256">
        <f t="shared" si="16"/>
        <v>0</v>
      </c>
      <c r="AI65" s="1398"/>
      <c r="AJ65" s="517"/>
      <c r="AK65" s="517"/>
      <c r="AL65" s="517"/>
      <c r="AM65" s="517"/>
      <c r="AN65" s="517"/>
      <c r="AO65" s="1398"/>
      <c r="AP65" s="1398"/>
      <c r="AQ65" s="1398"/>
      <c r="AR65" s="1398"/>
      <c r="AS65" s="1398"/>
      <c r="AT65" s="517"/>
      <c r="AU65" s="517"/>
      <c r="AV65" s="517"/>
      <c r="AW65" s="517"/>
      <c r="AX65" s="517"/>
      <c r="AY65" s="1398"/>
      <c r="AZ65" s="1398"/>
      <c r="BA65" s="1398"/>
      <c r="BB65" s="1398"/>
      <c r="BC65" s="1398"/>
      <c r="BD65" s="256">
        <f t="shared" si="17"/>
        <v>0</v>
      </c>
      <c r="BE65" s="256">
        <f t="shared" si="18"/>
        <v>0</v>
      </c>
      <c r="BF65" s="256">
        <f t="shared" si="19"/>
        <v>0</v>
      </c>
      <c r="BG65" s="256">
        <f t="shared" si="20"/>
        <v>0</v>
      </c>
      <c r="BH65" s="256">
        <f t="shared" si="21"/>
        <v>0</v>
      </c>
      <c r="BI65" s="256">
        <f t="shared" si="22"/>
        <v>0</v>
      </c>
      <c r="BJ65" s="256">
        <f t="shared" si="23"/>
        <v>0</v>
      </c>
      <c r="BK65" s="256">
        <f t="shared" si="24"/>
        <v>0</v>
      </c>
      <c r="BL65" s="256">
        <f t="shared" si="25"/>
        <v>0</v>
      </c>
      <c r="BM65" s="256">
        <f t="shared" si="26"/>
        <v>0</v>
      </c>
      <c r="BN65" s="1290"/>
      <c r="BO65" s="1290"/>
      <c r="BP65" s="1290"/>
      <c r="BQ65" s="180"/>
      <c r="BR65" s="180"/>
      <c r="BS65" s="981" t="s">
        <v>1440</v>
      </c>
    </row>
    <row r="66" spans="1:71" s="1401" customFormat="1" ht="14.25" customHeight="1">
      <c r="A66" s="185"/>
      <c r="B66" s="185"/>
      <c r="C66" s="185"/>
      <c r="D66" s="185"/>
      <c r="E66" s="676">
        <v>15</v>
      </c>
      <c r="F66" s="779" t="str" cm="1">
        <f t="array" aca="1" ref="F66" ca="1">OFFSET(G66,-1,-1)</f>
        <v>1</v>
      </c>
      <c r="G66" s="185"/>
      <c r="H66" s="185"/>
      <c r="I66" s="185"/>
      <c r="J66" s="185"/>
      <c r="K66" s="185"/>
      <c r="L66" s="185"/>
      <c r="M66" s="185"/>
      <c r="N66" s="185"/>
      <c r="O66" s="185"/>
      <c r="P66" s="185"/>
      <c r="Q66" s="185"/>
      <c r="R66" s="185"/>
      <c r="S66" s="185"/>
      <c r="T66" s="687" t="b" cm="1">
        <f t="array" ref="T66">T64</f>
        <v>1</v>
      </c>
      <c r="U66" s="185"/>
      <c r="V66" s="185"/>
      <c r="W66" s="185"/>
      <c r="X66" s="1823"/>
      <c r="Y66" s="185"/>
      <c r="Z66" s="1823"/>
      <c r="AA66" s="185"/>
      <c r="AB66" s="112" t="s">
        <v>443</v>
      </c>
      <c r="AC66" s="113" t="s">
        <v>1411</v>
      </c>
      <c r="AD66" s="112" t="s">
        <v>839</v>
      </c>
      <c r="AE66" s="518">
        <f ca="1">AE62+AE63+AE64+AE65</f>
        <v>0</v>
      </c>
      <c r="AF66" s="518">
        <f ca="1">AF62+AF63+AF64+AF65</f>
        <v>0</v>
      </c>
      <c r="AG66" s="1402">
        <f ca="1">AG62+AG63+AG64+AG65</f>
        <v>0</v>
      </c>
      <c r="AH66" s="256">
        <f t="shared" ca="1" si="16"/>
        <v>0</v>
      </c>
      <c r="AI66" s="518">
        <f t="shared" ref="AI66:BC66" ca="1" si="29">AI62+AI63+AI64+AI65</f>
        <v>22619.439997079993</v>
      </c>
      <c r="AJ66" s="518">
        <f t="shared" ca="1" si="29"/>
        <v>0</v>
      </c>
      <c r="AK66" s="518">
        <f t="shared" ca="1" si="29"/>
        <v>0</v>
      </c>
      <c r="AL66" s="518">
        <f t="shared" ca="1" si="29"/>
        <v>0</v>
      </c>
      <c r="AM66" s="518">
        <f t="shared" ca="1" si="29"/>
        <v>0</v>
      </c>
      <c r="AN66" s="518">
        <f t="shared" ca="1" si="29"/>
        <v>0</v>
      </c>
      <c r="AO66" s="518">
        <f t="shared" ca="1" si="29"/>
        <v>0</v>
      </c>
      <c r="AP66" s="518">
        <f t="shared" ca="1" si="29"/>
        <v>0</v>
      </c>
      <c r="AQ66" s="518">
        <f t="shared" ca="1" si="29"/>
        <v>0</v>
      </c>
      <c r="AR66" s="518">
        <f t="shared" ca="1" si="29"/>
        <v>0</v>
      </c>
      <c r="AS66" s="518">
        <f t="shared" ca="1" si="29"/>
        <v>0</v>
      </c>
      <c r="AT66" s="518">
        <f t="shared" ca="1" si="29"/>
        <v>38569.057403519997</v>
      </c>
      <c r="AU66" s="518">
        <f t="shared" ca="1" si="29"/>
        <v>0</v>
      </c>
      <c r="AV66" s="518">
        <f t="shared" ca="1" si="29"/>
        <v>0</v>
      </c>
      <c r="AW66" s="518">
        <f t="shared" ca="1" si="29"/>
        <v>0</v>
      </c>
      <c r="AX66" s="518">
        <f t="shared" ca="1" si="29"/>
        <v>0</v>
      </c>
      <c r="AY66" s="518">
        <f t="shared" ca="1" si="29"/>
        <v>0</v>
      </c>
      <c r="AZ66" s="518">
        <f t="shared" ca="1" si="29"/>
        <v>0</v>
      </c>
      <c r="BA66" s="518">
        <f t="shared" ca="1" si="29"/>
        <v>0</v>
      </c>
      <c r="BB66" s="518">
        <f t="shared" ca="1" si="29"/>
        <v>0</v>
      </c>
      <c r="BC66" s="518">
        <f t="shared" ca="1" si="29"/>
        <v>0</v>
      </c>
      <c r="BD66" s="255">
        <f t="shared" ca="1" si="17"/>
        <v>70.512874803704179</v>
      </c>
      <c r="BE66" s="255">
        <f t="shared" ca="1" si="18"/>
        <v>-100</v>
      </c>
      <c r="BF66" s="255">
        <f t="shared" ca="1" si="19"/>
        <v>0</v>
      </c>
      <c r="BG66" s="255">
        <f t="shared" ca="1" si="20"/>
        <v>0</v>
      </c>
      <c r="BH66" s="255">
        <f t="shared" ca="1" si="21"/>
        <v>0</v>
      </c>
      <c r="BI66" s="255">
        <f t="shared" ca="1" si="22"/>
        <v>0</v>
      </c>
      <c r="BJ66" s="255">
        <f t="shared" ca="1" si="23"/>
        <v>0</v>
      </c>
      <c r="BK66" s="255">
        <f t="shared" ca="1" si="24"/>
        <v>0</v>
      </c>
      <c r="BL66" s="255">
        <f t="shared" ca="1" si="25"/>
        <v>0</v>
      </c>
      <c r="BM66" s="255">
        <f t="shared" ca="1" si="26"/>
        <v>0</v>
      </c>
      <c r="BN66" s="1290"/>
      <c r="BO66" s="1290"/>
      <c r="BP66" s="1290"/>
      <c r="BQ66" s="185"/>
      <c r="BR66" s="185"/>
      <c r="BS66" s="981" t="s">
        <v>1441</v>
      </c>
    </row>
    <row r="67" spans="1:71" s="1403" customFormat="1" ht="18" customHeight="1">
      <c r="A67" s="170"/>
      <c r="B67" s="170"/>
      <c r="C67" s="170"/>
      <c r="D67" s="170"/>
      <c r="E67" s="676">
        <v>18.8</v>
      </c>
      <c r="F67" s="779" t="str" cm="1">
        <f t="array" ref="F67">X67</f>
        <v>2</v>
      </c>
      <c r="G67" s="620" t="str" cm="1">
        <f t="array" ref="G67">INDEX('Общие сведения'!$AK$187:$AK$236,MATCH($F67,'Общие сведения'!$Z$187:$Z$236,0))</f>
        <v>одноставочный</v>
      </c>
      <c r="H67" s="170"/>
      <c r="I67" s="163" t="str" cm="1">
        <f t="array" ref="I67">INDEX('Общие сведения'!$AE$187:$AE$236,MATCH($F67,'Общие сведения'!$Z$187:$Z$236,0))</f>
        <v>Теплоснабжение</v>
      </c>
      <c r="J67" s="170"/>
      <c r="K67" s="170"/>
      <c r="L67" s="170"/>
      <c r="M67" s="170"/>
      <c r="N67" s="170"/>
      <c r="O67" s="170"/>
      <c r="P67" s="170"/>
      <c r="Q67" s="170"/>
      <c r="R67" s="170"/>
      <c r="S67" s="170"/>
      <c r="T67" s="687" t="b">
        <f>X67&gt;0</f>
        <v>1</v>
      </c>
      <c r="U67" s="170"/>
      <c r="V67" s="126" t="str" cm="1">
        <f t="array" ref="V67">'Операционные (5.2)'!$AB$45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7" s="170"/>
      <c r="X67" s="1726" t="s">
        <v>348</v>
      </c>
      <c r="Y67" s="170"/>
      <c r="Z67" s="1724"/>
      <c r="AA67" s="170"/>
      <c r="AB67" s="275" t="str" cm="1">
        <f t="array" ref="AB67">IF(ISBLANK('Операционные (5.2)'!$AB$45),"",'Операционные (5.2)'!$AB$45)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276"/>
      <c r="BC67" s="276"/>
      <c r="BD67" s="276"/>
      <c r="BE67" s="276"/>
      <c r="BF67" s="276"/>
      <c r="BG67" s="276"/>
      <c r="BH67" s="276"/>
      <c r="BI67" s="276"/>
      <c r="BJ67" s="276"/>
      <c r="BK67" s="276"/>
      <c r="BL67" s="276"/>
      <c r="BM67" s="276"/>
      <c r="BN67" s="276"/>
      <c r="BO67" s="276"/>
      <c r="BP67" s="276"/>
      <c r="BQ67" s="170"/>
      <c r="BR67" s="170"/>
      <c r="BS67" s="981"/>
    </row>
    <row r="68" spans="1:71" s="1404" customFormat="1" ht="13.5" customHeight="1">
      <c r="A68" s="170"/>
      <c r="B68" s="170"/>
      <c r="C68" s="170"/>
      <c r="D68" s="170"/>
      <c r="E68" s="676">
        <v>14.1</v>
      </c>
      <c r="F68" s="779" t="str" cm="1">
        <f t="array" aca="1" ref="F68" ca="1">OFFSET(G68,-1,-1)</f>
        <v>2</v>
      </c>
      <c r="G68" s="620" t="s">
        <v>1410</v>
      </c>
      <c r="H68" s="170"/>
      <c r="I68" s="170"/>
      <c r="J68" s="170"/>
      <c r="K68" s="180" t="str">
        <f ca="1">F68&amp;"komm"</f>
        <v>2komm</v>
      </c>
      <c r="L68" s="179" cm="1">
        <f t="array" ref="L68">BO68</f>
        <v>0</v>
      </c>
      <c r="M68" s="170"/>
      <c r="N68" s="170"/>
      <c r="O68" s="170"/>
      <c r="P68" s="170"/>
      <c r="Q68" s="170"/>
      <c r="R68" s="170"/>
      <c r="S68" s="170"/>
      <c r="T68" s="687" t="b" cm="1">
        <f t="array" ref="T68">T67</f>
        <v>1</v>
      </c>
      <c r="U68" s="170"/>
      <c r="V68" s="170"/>
      <c r="W68" s="170"/>
      <c r="X68" s="1724"/>
      <c r="Y68" s="170"/>
      <c r="Z68" s="1724"/>
      <c r="AA68" s="170"/>
      <c r="AB68" s="1824" t="s">
        <v>1411</v>
      </c>
      <c r="AC68" s="1825"/>
      <c r="AD68" s="252" t="s">
        <v>839</v>
      </c>
      <c r="AE68" s="255" cm="1">
        <f t="array" aca="1" ref="AE68" ca="1">AE86</f>
        <v>0</v>
      </c>
      <c r="AF68" s="255" cm="1">
        <f t="array" aca="1" ref="AF68" ca="1">AF86</f>
        <v>0</v>
      </c>
      <c r="AG68" s="255" cm="1">
        <f t="array" aca="1" ref="AG68" ca="1">AG86</f>
        <v>0</v>
      </c>
      <c r="AH68" s="255" cm="1">
        <f t="array" aca="1" ref="AH68" ca="1">AH86</f>
        <v>0</v>
      </c>
      <c r="AI68" s="255" cm="1">
        <f t="array" aca="1" ref="AI68" ca="1">AI86</f>
        <v>18898.999999999902</v>
      </c>
      <c r="AJ68" s="255" cm="1">
        <f t="array" aca="1" ref="AJ68" ca="1">AJ86</f>
        <v>0</v>
      </c>
      <c r="AK68" s="255" cm="1">
        <f t="array" aca="1" ref="AK68" ca="1">AK86</f>
        <v>0</v>
      </c>
      <c r="AL68" s="255" cm="1">
        <f t="array" aca="1" ref="AL68" ca="1">AL86</f>
        <v>0</v>
      </c>
      <c r="AM68" s="255" cm="1">
        <f t="array" aca="1" ref="AM68" ca="1">AM86</f>
        <v>0</v>
      </c>
      <c r="AN68" s="255" cm="1">
        <f t="array" aca="1" ref="AN68" ca="1">AN86</f>
        <v>0</v>
      </c>
      <c r="AO68" s="255" cm="1">
        <f t="array" aca="1" ref="AO68" ca="1">AO86</f>
        <v>0</v>
      </c>
      <c r="AP68" s="255" cm="1">
        <f t="array" aca="1" ref="AP68" ca="1">AP86</f>
        <v>0</v>
      </c>
      <c r="AQ68" s="255" cm="1">
        <f t="array" aca="1" ref="AQ68" ca="1">AQ86</f>
        <v>0</v>
      </c>
      <c r="AR68" s="255" cm="1">
        <f t="array" aca="1" ref="AR68" ca="1">AR86</f>
        <v>0</v>
      </c>
      <c r="AS68" s="255" cm="1">
        <f t="array" aca="1" ref="AS68" ca="1">AS86</f>
        <v>0</v>
      </c>
      <c r="AT68" s="255" cm="1">
        <f t="array" aca="1" ref="AT68" ca="1">AT86</f>
        <v>31994.365203519999</v>
      </c>
      <c r="AU68" s="255" cm="1">
        <f t="array" aca="1" ref="AU68" ca="1">AU86</f>
        <v>0</v>
      </c>
      <c r="AV68" s="255" cm="1">
        <f t="array" aca="1" ref="AV68" ca="1">AV86</f>
        <v>0</v>
      </c>
      <c r="AW68" s="255" cm="1">
        <f t="array" aca="1" ref="AW68" ca="1">AW86</f>
        <v>0</v>
      </c>
      <c r="AX68" s="255" cm="1">
        <f t="array" aca="1" ref="AX68" ca="1">AX86</f>
        <v>0</v>
      </c>
      <c r="AY68" s="255" cm="1">
        <f t="array" aca="1" ref="AY68" ca="1">AY86</f>
        <v>0</v>
      </c>
      <c r="AZ68" s="255" cm="1">
        <f t="array" aca="1" ref="AZ68" ca="1">AZ86</f>
        <v>0</v>
      </c>
      <c r="BA68" s="255" cm="1">
        <f t="array" aca="1" ref="BA68" ca="1">BA86</f>
        <v>0</v>
      </c>
      <c r="BB68" s="255" cm="1">
        <f t="array" aca="1" ref="BB68" ca="1">BB86</f>
        <v>0</v>
      </c>
      <c r="BC68" s="255" cm="1">
        <f t="array" aca="1" ref="BC68" ca="1">BC86</f>
        <v>0</v>
      </c>
      <c r="BD68" s="255" cm="1">
        <f t="array" aca="1" ref="BD68" ca="1">BD86</f>
        <v>69.291312786497514</v>
      </c>
      <c r="BE68" s="255" cm="1">
        <f t="array" aca="1" ref="BE68" ca="1">BE86</f>
        <v>-100</v>
      </c>
      <c r="BF68" s="255" cm="1">
        <f t="array" aca="1" ref="BF68" ca="1">BF86</f>
        <v>0</v>
      </c>
      <c r="BG68" s="255" cm="1">
        <f t="array" aca="1" ref="BG68" ca="1">BG86</f>
        <v>0</v>
      </c>
      <c r="BH68" s="255" cm="1">
        <f t="array" aca="1" ref="BH68" ca="1">BH86</f>
        <v>0</v>
      </c>
      <c r="BI68" s="255" cm="1">
        <f t="array" aca="1" ref="BI68" ca="1">BI86</f>
        <v>0</v>
      </c>
      <c r="BJ68" s="255" cm="1">
        <f t="array" aca="1" ref="BJ68" ca="1">BJ86</f>
        <v>0</v>
      </c>
      <c r="BK68" s="255" cm="1">
        <f t="array" aca="1" ref="BK68" ca="1">BK86</f>
        <v>0</v>
      </c>
      <c r="BL68" s="255" cm="1">
        <f t="array" aca="1" ref="BL68" ca="1">BL86</f>
        <v>0</v>
      </c>
      <c r="BM68" s="255" cm="1">
        <f t="array" aca="1" ref="BM68" ca="1">BM86</f>
        <v>0</v>
      </c>
      <c r="BN68" s="1290"/>
      <c r="BO68" s="1290"/>
      <c r="BP68" s="1290"/>
      <c r="BQ68" s="170"/>
      <c r="BR68" s="170"/>
      <c r="BS68" s="981" t="s">
        <v>1412</v>
      </c>
    </row>
    <row r="69" spans="1:71" s="1229" customFormat="1" ht="27" customHeight="1">
      <c r="A69" s="178"/>
      <c r="B69" s="783"/>
      <c r="C69" s="178"/>
      <c r="D69" s="178"/>
      <c r="E69" s="676">
        <v>27.8</v>
      </c>
      <c r="F69" s="779" t="str" cm="1">
        <f t="array" aca="1" ref="F69" ca="1">OFFSET(G69,-1,-1)</f>
        <v>2</v>
      </c>
      <c r="G69" s="143" t="s">
        <v>1237</v>
      </c>
      <c r="H69" s="180"/>
      <c r="I69" s="180"/>
      <c r="J69" s="180"/>
      <c r="K69" s="180"/>
      <c r="L69" s="180"/>
      <c r="M69" s="180"/>
      <c r="N69" s="180"/>
      <c r="O69" s="180"/>
      <c r="P69" s="180"/>
      <c r="Q69" s="143"/>
      <c r="R69" s="143"/>
      <c r="S69" s="180"/>
      <c r="T69" s="687" t="b" cm="1">
        <f t="array" ref="T69">T68</f>
        <v>1</v>
      </c>
      <c r="U69" s="1153"/>
      <c r="V69" s="1153"/>
      <c r="W69" s="1153"/>
      <c r="X69" s="1726"/>
      <c r="Y69" s="1153"/>
      <c r="Z69" s="1726"/>
      <c r="AA69" s="180"/>
      <c r="AB69" s="111" t="s">
        <v>484</v>
      </c>
      <c r="AC69" s="118" t="s">
        <v>47</v>
      </c>
      <c r="AD69" s="111" t="s">
        <v>839</v>
      </c>
      <c r="AE69" s="515">
        <f ca="1">SUMIFS('Покупка услуг'!AE$26:AE$96,'Покупка услуг'!$F$26:$F$96,$F69,'Покупка услуг'!$G$26:$G$96,$G69)</f>
        <v>0</v>
      </c>
      <c r="AF69" s="515">
        <f ca="1">SUMIFS('Покупка услуг'!AF$26:AF$96,'Покупка услуг'!$F$26:$F$96,$F69,'Покупка услуг'!$G$26:$G$96,$G69)</f>
        <v>0</v>
      </c>
      <c r="AG69" s="1398">
        <f ca="1">SUMIFS('Покупка услуг'!AG$26:AG$96,'Покупка услуг'!$F$26:$F$96,$F69,'Покупка услуг'!$G$26:$G$96,$G69)</f>
        <v>0</v>
      </c>
      <c r="AH69" s="256">
        <f t="shared" ref="AH69:AH86" ca="1" si="30">AG69-AF69</f>
        <v>0</v>
      </c>
      <c r="AI69" s="515">
        <f ca="1">SUMIFS('Покупка услуг'!AH$26:AH$96,'Покупка услуг'!$F$26:$F$96,$F69,'Покупка услуг'!$G$26:$G$96,$G69)</f>
        <v>5301.9999999999009</v>
      </c>
      <c r="AJ69" s="515">
        <f ca="1">SUMIFS('Покупка услуг'!AI$26:AI$96,'Покупка услуг'!$F$26:$F$96,$F69,'Покупка услуг'!$G$26:$G$96,$G69)</f>
        <v>0</v>
      </c>
      <c r="AK69" s="515">
        <f ca="1">SUMIFS('Покупка услуг'!AJ$26:AJ$96,'Покупка услуг'!$F$26:$F$96,$F69,'Покупка услуг'!$G$26:$G$96,$G69)</f>
        <v>0</v>
      </c>
      <c r="AL69" s="515">
        <f ca="1">SUMIFS('Покупка услуг'!AK$26:AK$96,'Покупка услуг'!$F$26:$F$96,$F69,'Покупка услуг'!$G$26:$G$96,$G69)</f>
        <v>0</v>
      </c>
      <c r="AM69" s="515">
        <f ca="1">SUMIFS('Покупка услуг'!AL$26:AL$96,'Покупка услуг'!$F$26:$F$96,$F69,'Покупка услуг'!$G$26:$G$96,$G69)</f>
        <v>0</v>
      </c>
      <c r="AN69" s="515">
        <f ca="1">SUMIFS('Покупка услуг'!AM$26:AM$96,'Покупка услуг'!$F$26:$F$96,$F69,'Покупка услуг'!$G$26:$G$96,$G69)</f>
        <v>0</v>
      </c>
      <c r="AO69" s="515">
        <f ca="1">SUMIFS('Покупка услуг'!AN$26:AN$96,'Покупка услуг'!$F$26:$F$96,$F69,'Покупка услуг'!$G$26:$G$96,$G69)</f>
        <v>0</v>
      </c>
      <c r="AP69" s="515">
        <f ca="1">SUMIFS('Покупка услуг'!AO$26:AO$96,'Покупка услуг'!$F$26:$F$96,$F69,'Покупка услуг'!$G$26:$G$96,$G69)</f>
        <v>0</v>
      </c>
      <c r="AQ69" s="515">
        <f ca="1">SUMIFS('Покупка услуг'!AP$26:AP$96,'Покупка услуг'!$F$26:$F$96,$F69,'Покупка услуг'!$G$26:$G$96,$G69)</f>
        <v>0</v>
      </c>
      <c r="AR69" s="515">
        <f ca="1">SUMIFS('Покупка услуг'!AQ$26:AQ$96,'Покупка услуг'!$F$26:$F$96,$F69,'Покупка услуг'!$G$26:$G$96,$G69)</f>
        <v>0</v>
      </c>
      <c r="AS69" s="515">
        <f ca="1">SUMIFS('Покупка услуг'!AR$26:AR$96,'Покупка услуг'!$F$26:$F$96,$F69,'Покупка услуг'!$G$26:$G$96,$G69)</f>
        <v>0</v>
      </c>
      <c r="AT69" s="515">
        <f ca="1">SUMIFS('Покупка услуг'!AS$26:AS$96,'Покупка услуг'!$F$26:$F$96,$F69,'Покупка услуг'!$G$26:$G$96,$G69)</f>
        <v>9235.5652035200001</v>
      </c>
      <c r="AU69" s="515">
        <f ca="1">SUMIFS('Покупка услуг'!AT$26:AT$96,'Покупка услуг'!$F$26:$F$96,$F69,'Покупка услуг'!$G$26:$G$96,$G69)</f>
        <v>0</v>
      </c>
      <c r="AV69" s="515">
        <f ca="1">SUMIFS('Покупка услуг'!AU$26:AU$96,'Покупка услуг'!$F$26:$F$96,$F69,'Покупка услуг'!$G$26:$G$96,$G69)</f>
        <v>0</v>
      </c>
      <c r="AW69" s="515">
        <f ca="1">SUMIFS('Покупка услуг'!AV$26:AV$96,'Покупка услуг'!$F$26:$F$96,$F69,'Покупка услуг'!$G$26:$G$96,$G69)</f>
        <v>0</v>
      </c>
      <c r="AX69" s="515">
        <f ca="1">SUMIFS('Покупка услуг'!AW$26:AW$96,'Покупка услуг'!$F$26:$F$96,$F69,'Покупка услуг'!$G$26:$G$96,$G69)</f>
        <v>0</v>
      </c>
      <c r="AY69" s="515">
        <f ca="1">SUMIFS('Покупка услуг'!AX$26:AX$96,'Покупка услуг'!$F$26:$F$96,$F69,'Покупка услуг'!$G$26:$G$96,$G69)</f>
        <v>0</v>
      </c>
      <c r="AZ69" s="515">
        <f ca="1">SUMIFS('Покупка услуг'!AY$26:AY$96,'Покупка услуг'!$F$26:$F$96,$F69,'Покупка услуг'!$G$26:$G$96,$G69)</f>
        <v>0</v>
      </c>
      <c r="BA69" s="515">
        <f ca="1">SUMIFS('Покупка услуг'!AZ$26:AZ$96,'Покупка услуг'!$F$26:$F$96,$F69,'Покупка услуг'!$G$26:$G$96,$G69)</f>
        <v>0</v>
      </c>
      <c r="BB69" s="515">
        <f ca="1">SUMIFS('Покупка услуг'!BA$26:BA$96,'Покупка услуг'!$F$26:$F$96,$F69,'Покупка услуг'!$G$26:$G$96,$G69)</f>
        <v>0</v>
      </c>
      <c r="BC69" s="515">
        <f ca="1">SUMIFS('Покупка услуг'!BB$26:BB$96,'Покупка услуг'!$F$26:$F$96,$F69,'Покупка услуг'!$G$26:$G$96,$G69)</f>
        <v>0</v>
      </c>
      <c r="BD69" s="256">
        <f t="shared" ref="BD69:BD86" ca="1" si="31">IF(AI69=0,0,(AT69-AI69)/AI69*100)</f>
        <v>74.190215079595873</v>
      </c>
      <c r="BE69" s="256">
        <f t="shared" ref="BE69:BE86" ca="1" si="32">IF(AT69=0,0,(AU69-AT69)/AT69*100)</f>
        <v>-100</v>
      </c>
      <c r="BF69" s="256">
        <f t="shared" ref="BF69:BF86" ca="1" si="33">IF(AU69=0,0,(AV69-AU69)/AU69*100)</f>
        <v>0</v>
      </c>
      <c r="BG69" s="256">
        <f t="shared" ref="BG69:BG86" ca="1" si="34">IF(AV69=0,0,(AW69-AV69)/AV69*100)</f>
        <v>0</v>
      </c>
      <c r="BH69" s="256">
        <f t="shared" ref="BH69:BH86" ca="1" si="35">IF(AW69=0,0,(AX69-AW69)/AW69*100)</f>
        <v>0</v>
      </c>
      <c r="BI69" s="256">
        <f t="shared" ref="BI69:BI86" ca="1" si="36">IF(AX69=0,0,(AY69-AX69)/AX69*100)</f>
        <v>0</v>
      </c>
      <c r="BJ69" s="256">
        <f t="shared" ref="BJ69:BJ86" ca="1" si="37">IF(AY69=0,0,(AZ69-AY69)/AY69*100)</f>
        <v>0</v>
      </c>
      <c r="BK69" s="256">
        <f t="shared" ref="BK69:BK86" ca="1" si="38">IF(AZ69=0,0,(BA69-AZ69)/AZ69*100)</f>
        <v>0</v>
      </c>
      <c r="BL69" s="256">
        <f t="shared" ref="BL69:BL86" ca="1" si="39">IF(BA69=0,0,(BB69-BA69)/BA69*100)</f>
        <v>0</v>
      </c>
      <c r="BM69" s="256">
        <f t="shared" ref="BM69:BM86" ca="1" si="40">IF(BB69=0,0,(BC69-BB69)/BB69*100)</f>
        <v>0</v>
      </c>
      <c r="BN69" s="1290"/>
      <c r="BO69" s="1290"/>
      <c r="BP69" s="1290"/>
      <c r="BQ69" s="180"/>
      <c r="BR69" s="180"/>
      <c r="BS69" s="981" t="s">
        <v>1413</v>
      </c>
    </row>
    <row r="70" spans="1:71" s="1229" customFormat="1" ht="14.25" customHeight="1">
      <c r="A70" s="178"/>
      <c r="B70" s="783"/>
      <c r="C70" s="178"/>
      <c r="D70" s="178"/>
      <c r="E70" s="676">
        <v>15</v>
      </c>
      <c r="F70" s="779" t="str" cm="1">
        <f t="array" aca="1" ref="F70" ca="1">OFFSET(G70,-1,-1)</f>
        <v>2</v>
      </c>
      <c r="G70" s="620" t="s">
        <v>1213</v>
      </c>
      <c r="H70" s="180"/>
      <c r="I70" s="180"/>
      <c r="J70" s="180"/>
      <c r="K70" s="180"/>
      <c r="L70" s="180"/>
      <c r="M70" s="180"/>
      <c r="N70" s="180"/>
      <c r="O70" s="180"/>
      <c r="P70" s="180"/>
      <c r="Q70" s="143"/>
      <c r="R70" s="143"/>
      <c r="S70" s="180"/>
      <c r="T70" s="687" t="b" cm="1">
        <f t="array" ref="T70">T69</f>
        <v>1</v>
      </c>
      <c r="U70" s="1153"/>
      <c r="V70" s="1153"/>
      <c r="W70" s="1153"/>
      <c r="X70" s="1726"/>
      <c r="Y70" s="1153"/>
      <c r="Z70" s="1726"/>
      <c r="AA70" s="180"/>
      <c r="AB70" s="111" t="s">
        <v>989</v>
      </c>
      <c r="AC70" s="118" t="s">
        <v>1414</v>
      </c>
      <c r="AD70" s="111" t="s">
        <v>839</v>
      </c>
      <c r="AE70" s="256">
        <f ca="1">SUMIFS(Аренда!AE$26:AE$63,Аренда!$F$26:$F$63,$F70,Аренда!$G$26:$G$63,$G70)</f>
        <v>0</v>
      </c>
      <c r="AF70" s="256">
        <f ca="1">SUMIFS(Аренда!AF$26:AF$63,Аренда!$F$26:$F$63,$F70,Аренда!$G$26:$G$63,$G70)</f>
        <v>0</v>
      </c>
      <c r="AG70" s="1314">
        <f ca="1">SUMIFS(Аренда!AG$26:AG$63,Аренда!$F$26:$F$63,$F70,Аренда!$G$26:$G$63,$G70)</f>
        <v>0</v>
      </c>
      <c r="AH70" s="256">
        <f t="shared" ca="1" si="30"/>
        <v>0</v>
      </c>
      <c r="AI70" s="256">
        <f ca="1">SUMIFS(Аренда!AH$26:AH$63,Аренда!$F$26:$F$63,$F70,Аренда!$G$26:$G$63,$G70)</f>
        <v>143</v>
      </c>
      <c r="AJ70" s="256">
        <f ca="1">SUMIFS(Аренда!AI$26:AI$63,Аренда!$F$26:$F$63,$F70,Аренда!$G$26:$G$63,$G70)</f>
        <v>0</v>
      </c>
      <c r="AK70" s="256">
        <f ca="1">SUMIFS(Аренда!AJ$26:AJ$63,Аренда!$F$26:$F$63,$F70,Аренда!$G$26:$G$63,$G70)</f>
        <v>0</v>
      </c>
      <c r="AL70" s="256">
        <f ca="1">SUMIFS(Аренда!AK$26:AK$63,Аренда!$F$26:$F$63,$F70,Аренда!$G$26:$G$63,$G70)</f>
        <v>0</v>
      </c>
      <c r="AM70" s="256">
        <f ca="1">SUMIFS(Аренда!AL$26:AL$63,Аренда!$F$26:$F$63,$F70,Аренда!$G$26:$G$63,$G70)</f>
        <v>0</v>
      </c>
      <c r="AN70" s="256">
        <f ca="1">SUMIFS(Аренда!AM$26:AM$63,Аренда!$F$26:$F$63,$F70,Аренда!$G$26:$G$63,$G70)</f>
        <v>0</v>
      </c>
      <c r="AO70" s="256">
        <f ca="1">SUMIFS(Аренда!AN$26:AN$63,Аренда!$F$26:$F$63,$F70,Аренда!$G$26:$G$63,$G70)</f>
        <v>0</v>
      </c>
      <c r="AP70" s="256">
        <f ca="1">SUMIFS(Аренда!AO$26:AO$63,Аренда!$F$26:$F$63,$F70,Аренда!$G$26:$G$63,$G70)</f>
        <v>0</v>
      </c>
      <c r="AQ70" s="256">
        <f ca="1">SUMIFS(Аренда!AP$26:AP$63,Аренда!$F$26:$F$63,$F70,Аренда!$G$26:$G$63,$G70)</f>
        <v>0</v>
      </c>
      <c r="AR70" s="256">
        <f ca="1">SUMIFS(Аренда!AQ$26:AQ$63,Аренда!$F$26:$F$63,$F70,Аренда!$G$26:$G$63,$G70)</f>
        <v>0</v>
      </c>
      <c r="AS70" s="256">
        <f ca="1">SUMIFS(Аренда!AR$26:AR$63,Аренда!$F$26:$F$63,$F70,Аренда!$G$26:$G$63,$G70)</f>
        <v>0</v>
      </c>
      <c r="AT70" s="256">
        <f ca="1">SUMIFS(Аренда!AS$26:AS$63,Аренда!$F$26:$F$63,$F70,Аренда!$G$26:$G$63,$G70)</f>
        <v>0</v>
      </c>
      <c r="AU70" s="256">
        <f ca="1">SUMIFS(Аренда!AT$26:AT$63,Аренда!$F$26:$F$63,$F70,Аренда!$G$26:$G$63,$G70)</f>
        <v>0</v>
      </c>
      <c r="AV70" s="256">
        <f ca="1">SUMIFS(Аренда!AU$26:AU$63,Аренда!$F$26:$F$63,$F70,Аренда!$G$26:$G$63,$G70)</f>
        <v>0</v>
      </c>
      <c r="AW70" s="256">
        <f ca="1">SUMIFS(Аренда!AV$26:AV$63,Аренда!$F$26:$F$63,$F70,Аренда!$G$26:$G$63,$G70)</f>
        <v>0</v>
      </c>
      <c r="AX70" s="256">
        <f ca="1">SUMIFS(Аренда!AW$26:AW$63,Аренда!$F$26:$F$63,$F70,Аренда!$G$26:$G$63,$G70)</f>
        <v>0</v>
      </c>
      <c r="AY70" s="256">
        <f ca="1">SUMIFS(Аренда!AX$26:AX$63,Аренда!$F$26:$F$63,$F70,Аренда!$G$26:$G$63,$G70)</f>
        <v>0</v>
      </c>
      <c r="AZ70" s="256">
        <f ca="1">SUMIFS(Аренда!AY$26:AY$63,Аренда!$F$26:$F$63,$F70,Аренда!$G$26:$G$63,$G70)</f>
        <v>0</v>
      </c>
      <c r="BA70" s="256">
        <f ca="1">SUMIFS(Аренда!AZ$26:AZ$63,Аренда!$F$26:$F$63,$F70,Аренда!$G$26:$G$63,$G70)</f>
        <v>0</v>
      </c>
      <c r="BB70" s="256">
        <f ca="1">SUMIFS(Аренда!BA$26:BA$63,Аренда!$F$26:$F$63,$F70,Аренда!$G$26:$G$63,$G70)</f>
        <v>0</v>
      </c>
      <c r="BC70" s="256">
        <f ca="1">SUMIFS(Аренда!BB$26:BB$63,Аренда!$F$26:$F$63,$F70,Аренда!$G$26:$G$63,$G70)</f>
        <v>0</v>
      </c>
      <c r="BD70" s="256">
        <f t="shared" ca="1" si="31"/>
        <v>-100</v>
      </c>
      <c r="BE70" s="256">
        <f t="shared" ca="1" si="32"/>
        <v>0</v>
      </c>
      <c r="BF70" s="256">
        <f t="shared" ca="1" si="33"/>
        <v>0</v>
      </c>
      <c r="BG70" s="256">
        <f t="shared" ca="1" si="34"/>
        <v>0</v>
      </c>
      <c r="BH70" s="256">
        <f t="shared" ca="1" si="35"/>
        <v>0</v>
      </c>
      <c r="BI70" s="256">
        <f t="shared" ca="1" si="36"/>
        <v>0</v>
      </c>
      <c r="BJ70" s="256">
        <f t="shared" ca="1" si="37"/>
        <v>0</v>
      </c>
      <c r="BK70" s="256">
        <f t="shared" ca="1" si="38"/>
        <v>0</v>
      </c>
      <c r="BL70" s="256">
        <f t="shared" ca="1" si="39"/>
        <v>0</v>
      </c>
      <c r="BM70" s="256">
        <f t="shared" ca="1" si="40"/>
        <v>0</v>
      </c>
      <c r="BN70" s="1290"/>
      <c r="BO70" s="1290"/>
      <c r="BP70" s="1290"/>
      <c r="BQ70" s="180"/>
      <c r="BR70" s="180"/>
      <c r="BS70" s="981" t="s">
        <v>1216</v>
      </c>
    </row>
    <row r="71" spans="1:71" s="1229" customFormat="1" ht="14.25" customHeight="1">
      <c r="A71" s="178"/>
      <c r="B71" s="783"/>
      <c r="C71" s="178"/>
      <c r="D71" s="178"/>
      <c r="E71" s="676">
        <v>15</v>
      </c>
      <c r="F71" s="779" t="str" cm="1">
        <f t="array" aca="1" ref="F71" ca="1">OFFSET(G71,-1,-1)</f>
        <v>2</v>
      </c>
      <c r="G71" s="143" t="s">
        <v>1217</v>
      </c>
      <c r="H71" s="180"/>
      <c r="I71" s="180"/>
      <c r="J71" s="180"/>
      <c r="K71" s="180"/>
      <c r="L71" s="180"/>
      <c r="M71" s="180"/>
      <c r="N71" s="180"/>
      <c r="O71" s="180"/>
      <c r="P71" s="180"/>
      <c r="Q71" s="143"/>
      <c r="R71" s="143"/>
      <c r="S71" s="180"/>
      <c r="T71" s="687" t="b" cm="1">
        <f t="array" ref="T71">T70</f>
        <v>1</v>
      </c>
      <c r="U71" s="1153"/>
      <c r="V71" s="1153"/>
      <c r="W71" s="1153"/>
      <c r="X71" s="1726"/>
      <c r="Y71" s="1153"/>
      <c r="Z71" s="1726"/>
      <c r="AA71" s="180"/>
      <c r="AB71" s="111" t="s">
        <v>991</v>
      </c>
      <c r="AC71" s="118" t="s">
        <v>1218</v>
      </c>
      <c r="AD71" s="111" t="s">
        <v>839</v>
      </c>
      <c r="AE71" s="256">
        <f ca="1">SUMIFS(Аренда!AE$26:AE$63,Аренда!$F$26:$F$63,$F71,Аренда!$G$26:$G$63,$G71)</f>
        <v>0</v>
      </c>
      <c r="AF71" s="256">
        <f ca="1">SUMIFS(Аренда!AF$26:AF$63,Аренда!$F$26:$F$63,$F71,Аренда!$G$26:$G$63,$G71)</f>
        <v>0</v>
      </c>
      <c r="AG71" s="1314">
        <f ca="1">SUMIFS(Аренда!AG$26:AG$63,Аренда!$F$26:$F$63,$F71,Аренда!$G$26:$G$63,$G71)</f>
        <v>0</v>
      </c>
      <c r="AH71" s="256">
        <f t="shared" ca="1" si="30"/>
        <v>0</v>
      </c>
      <c r="AI71" s="256">
        <f ca="1">SUMIFS(Аренда!AH$26:AH$63,Аренда!$F$26:$F$63,$F71,Аренда!$G$26:$G$63,$G71)</f>
        <v>0</v>
      </c>
      <c r="AJ71" s="256">
        <f ca="1">SUMIFS(Аренда!AI$26:AI$63,Аренда!$F$26:$F$63,$F71,Аренда!$G$26:$G$63,$G71)</f>
        <v>0</v>
      </c>
      <c r="AK71" s="256">
        <f ca="1">SUMIFS(Аренда!AJ$26:AJ$63,Аренда!$F$26:$F$63,$F71,Аренда!$G$26:$G$63,$G71)</f>
        <v>0</v>
      </c>
      <c r="AL71" s="256">
        <f ca="1">SUMIFS(Аренда!AK$26:AK$63,Аренда!$F$26:$F$63,$F71,Аренда!$G$26:$G$63,$G71)</f>
        <v>0</v>
      </c>
      <c r="AM71" s="256">
        <f ca="1">SUMIFS(Аренда!AL$26:AL$63,Аренда!$F$26:$F$63,$F71,Аренда!$G$26:$G$63,$G71)</f>
        <v>0</v>
      </c>
      <c r="AN71" s="256">
        <f ca="1">SUMIFS(Аренда!AM$26:AM$63,Аренда!$F$26:$F$63,$F71,Аренда!$G$26:$G$63,$G71)</f>
        <v>0</v>
      </c>
      <c r="AO71" s="256">
        <f ca="1">SUMIFS(Аренда!AN$26:AN$63,Аренда!$F$26:$F$63,$F71,Аренда!$G$26:$G$63,$G71)</f>
        <v>0</v>
      </c>
      <c r="AP71" s="256">
        <f ca="1">SUMIFS(Аренда!AO$26:AO$63,Аренда!$F$26:$F$63,$F71,Аренда!$G$26:$G$63,$G71)</f>
        <v>0</v>
      </c>
      <c r="AQ71" s="256">
        <f ca="1">SUMIFS(Аренда!AP$26:AP$63,Аренда!$F$26:$F$63,$F71,Аренда!$G$26:$G$63,$G71)</f>
        <v>0</v>
      </c>
      <c r="AR71" s="256">
        <f ca="1">SUMIFS(Аренда!AQ$26:AQ$63,Аренда!$F$26:$F$63,$F71,Аренда!$G$26:$G$63,$G71)</f>
        <v>0</v>
      </c>
      <c r="AS71" s="256">
        <f ca="1">SUMIFS(Аренда!AR$26:AR$63,Аренда!$F$26:$F$63,$F71,Аренда!$G$26:$G$63,$G71)</f>
        <v>0</v>
      </c>
      <c r="AT71" s="256">
        <f ca="1">SUMIFS(Аренда!AS$26:AS$63,Аренда!$F$26:$F$63,$F71,Аренда!$G$26:$G$63,$G71)</f>
        <v>0</v>
      </c>
      <c r="AU71" s="256">
        <f ca="1">SUMIFS(Аренда!AT$26:AT$63,Аренда!$F$26:$F$63,$F71,Аренда!$G$26:$G$63,$G71)</f>
        <v>0</v>
      </c>
      <c r="AV71" s="256">
        <f ca="1">SUMIFS(Аренда!AU$26:AU$63,Аренда!$F$26:$F$63,$F71,Аренда!$G$26:$G$63,$G71)</f>
        <v>0</v>
      </c>
      <c r="AW71" s="256">
        <f ca="1">SUMIFS(Аренда!AV$26:AV$63,Аренда!$F$26:$F$63,$F71,Аренда!$G$26:$G$63,$G71)</f>
        <v>0</v>
      </c>
      <c r="AX71" s="256">
        <f ca="1">SUMIFS(Аренда!AW$26:AW$63,Аренда!$F$26:$F$63,$F71,Аренда!$G$26:$G$63,$G71)</f>
        <v>0</v>
      </c>
      <c r="AY71" s="256">
        <f ca="1">SUMIFS(Аренда!AX$26:AX$63,Аренда!$F$26:$F$63,$F71,Аренда!$G$26:$G$63,$G71)</f>
        <v>0</v>
      </c>
      <c r="AZ71" s="256">
        <f ca="1">SUMIFS(Аренда!AY$26:AY$63,Аренда!$F$26:$F$63,$F71,Аренда!$G$26:$G$63,$G71)</f>
        <v>0</v>
      </c>
      <c r="BA71" s="256">
        <f ca="1">SUMIFS(Аренда!AZ$26:AZ$63,Аренда!$F$26:$F$63,$F71,Аренда!$G$26:$G$63,$G71)</f>
        <v>0</v>
      </c>
      <c r="BB71" s="256">
        <f ca="1">SUMIFS(Аренда!BA$26:BA$63,Аренда!$F$26:$F$63,$F71,Аренда!$G$26:$G$63,$G71)</f>
        <v>0</v>
      </c>
      <c r="BC71" s="256">
        <f ca="1">SUMIFS(Аренда!BB$26:BB$63,Аренда!$F$26:$F$63,$F71,Аренда!$G$26:$G$63,$G71)</f>
        <v>0</v>
      </c>
      <c r="BD71" s="256">
        <f t="shared" ca="1" si="31"/>
        <v>0</v>
      </c>
      <c r="BE71" s="256">
        <f t="shared" ca="1" si="32"/>
        <v>0</v>
      </c>
      <c r="BF71" s="256">
        <f t="shared" ca="1" si="33"/>
        <v>0</v>
      </c>
      <c r="BG71" s="256">
        <f t="shared" ca="1" si="34"/>
        <v>0</v>
      </c>
      <c r="BH71" s="256">
        <f t="shared" ca="1" si="35"/>
        <v>0</v>
      </c>
      <c r="BI71" s="256">
        <f t="shared" ca="1" si="36"/>
        <v>0</v>
      </c>
      <c r="BJ71" s="256">
        <f t="shared" ca="1" si="37"/>
        <v>0</v>
      </c>
      <c r="BK71" s="256">
        <f t="shared" ca="1" si="38"/>
        <v>0</v>
      </c>
      <c r="BL71" s="256">
        <f t="shared" ca="1" si="39"/>
        <v>0</v>
      </c>
      <c r="BM71" s="256">
        <f t="shared" ca="1" si="40"/>
        <v>0</v>
      </c>
      <c r="BN71" s="1290"/>
      <c r="BO71" s="1290"/>
      <c r="BP71" s="1290"/>
      <c r="BQ71" s="180"/>
      <c r="BR71" s="180"/>
      <c r="BS71" s="981" t="s">
        <v>1415</v>
      </c>
    </row>
    <row r="72" spans="1:71" s="1229" customFormat="1" ht="14.25" customHeight="1">
      <c r="A72" s="178"/>
      <c r="B72" s="783"/>
      <c r="C72" s="178"/>
      <c r="D72" s="178"/>
      <c r="E72" s="676">
        <v>15</v>
      </c>
      <c r="F72" s="779" t="str" cm="1">
        <f t="array" aca="1" ref="F72" ca="1">OFFSET(G72,-1,-1)</f>
        <v>2</v>
      </c>
      <c r="G72" s="180"/>
      <c r="H72" s="180"/>
      <c r="I72" s="180"/>
      <c r="J72" s="180"/>
      <c r="K72" s="180"/>
      <c r="L72" s="180"/>
      <c r="M72" s="180"/>
      <c r="N72" s="180"/>
      <c r="O72" s="180"/>
      <c r="P72" s="180"/>
      <c r="Q72" s="143"/>
      <c r="R72" s="143"/>
      <c r="S72" s="180"/>
      <c r="T72" s="687" t="b" cm="1">
        <f t="array" ref="T72">T71</f>
        <v>1</v>
      </c>
      <c r="U72" s="1153"/>
      <c r="V72" s="1153"/>
      <c r="W72" s="1153"/>
      <c r="X72" s="1726"/>
      <c r="Y72" s="1153"/>
      <c r="Z72" s="1726"/>
      <c r="AA72" s="180"/>
      <c r="AB72" s="111" t="s">
        <v>995</v>
      </c>
      <c r="AC72" s="118" t="s">
        <v>1416</v>
      </c>
      <c r="AD72" s="111" t="s">
        <v>839</v>
      </c>
      <c r="AE72" s="515">
        <f ca="1">SUM(AE73:AE75)</f>
        <v>0</v>
      </c>
      <c r="AF72" s="515">
        <f ca="1">SUM(AF73:AF75)</f>
        <v>0</v>
      </c>
      <c r="AG72" s="1398">
        <f ca="1">SUM(AG73:AG75)</f>
        <v>0</v>
      </c>
      <c r="AH72" s="256">
        <f t="shared" ca="1" si="30"/>
        <v>0</v>
      </c>
      <c r="AI72" s="515">
        <f t="shared" ref="AI72:BC72" ca="1" si="41">SUM(AI73:AI75)</f>
        <v>3558.1899999999996</v>
      </c>
      <c r="AJ72" s="515">
        <f t="shared" ca="1" si="41"/>
        <v>0</v>
      </c>
      <c r="AK72" s="515">
        <f t="shared" ca="1" si="41"/>
        <v>0</v>
      </c>
      <c r="AL72" s="515">
        <f t="shared" ca="1" si="41"/>
        <v>0</v>
      </c>
      <c r="AM72" s="515">
        <f t="shared" ca="1" si="41"/>
        <v>0</v>
      </c>
      <c r="AN72" s="515">
        <f t="shared" ca="1" si="41"/>
        <v>0</v>
      </c>
      <c r="AO72" s="515">
        <f t="shared" ca="1" si="41"/>
        <v>0</v>
      </c>
      <c r="AP72" s="515">
        <f t="shared" ca="1" si="41"/>
        <v>0</v>
      </c>
      <c r="AQ72" s="515">
        <f t="shared" ca="1" si="41"/>
        <v>0</v>
      </c>
      <c r="AR72" s="515">
        <f t="shared" ca="1" si="41"/>
        <v>0</v>
      </c>
      <c r="AS72" s="515">
        <f t="shared" ca="1" si="41"/>
        <v>0</v>
      </c>
      <c r="AT72" s="515">
        <f t="shared" ca="1" si="41"/>
        <v>4045.6600000000003</v>
      </c>
      <c r="AU72" s="515">
        <f t="shared" ca="1" si="41"/>
        <v>0</v>
      </c>
      <c r="AV72" s="515">
        <f t="shared" ca="1" si="41"/>
        <v>0</v>
      </c>
      <c r="AW72" s="515">
        <f t="shared" ca="1" si="41"/>
        <v>0</v>
      </c>
      <c r="AX72" s="515">
        <f t="shared" ca="1" si="41"/>
        <v>0</v>
      </c>
      <c r="AY72" s="515">
        <f t="shared" ca="1" si="41"/>
        <v>0</v>
      </c>
      <c r="AZ72" s="515">
        <f t="shared" ca="1" si="41"/>
        <v>0</v>
      </c>
      <c r="BA72" s="515">
        <f t="shared" ca="1" si="41"/>
        <v>0</v>
      </c>
      <c r="BB72" s="515">
        <f t="shared" ca="1" si="41"/>
        <v>0</v>
      </c>
      <c r="BC72" s="515">
        <f t="shared" ca="1" si="41"/>
        <v>0</v>
      </c>
      <c r="BD72" s="256">
        <f t="shared" ca="1" si="31"/>
        <v>13.699942948521601</v>
      </c>
      <c r="BE72" s="256">
        <f t="shared" ca="1" si="32"/>
        <v>-100</v>
      </c>
      <c r="BF72" s="256">
        <f t="shared" ca="1" si="33"/>
        <v>0</v>
      </c>
      <c r="BG72" s="256">
        <f t="shared" ca="1" si="34"/>
        <v>0</v>
      </c>
      <c r="BH72" s="256">
        <f t="shared" ca="1" si="35"/>
        <v>0</v>
      </c>
      <c r="BI72" s="256">
        <f t="shared" ca="1" si="36"/>
        <v>0</v>
      </c>
      <c r="BJ72" s="256">
        <f t="shared" ca="1" si="37"/>
        <v>0</v>
      </c>
      <c r="BK72" s="256">
        <f t="shared" ca="1" si="38"/>
        <v>0</v>
      </c>
      <c r="BL72" s="256">
        <f t="shared" ca="1" si="39"/>
        <v>0</v>
      </c>
      <c r="BM72" s="256">
        <f t="shared" ca="1" si="40"/>
        <v>0</v>
      </c>
      <c r="BN72" s="1290"/>
      <c r="BO72" s="1290"/>
      <c r="BP72" s="1290"/>
      <c r="BQ72" s="180"/>
      <c r="BR72" s="180"/>
      <c r="BS72" s="981" t="s">
        <v>1417</v>
      </c>
    </row>
    <row r="73" spans="1:71" s="1229" customFormat="1" ht="39" customHeight="1">
      <c r="A73" s="178"/>
      <c r="B73" s="783"/>
      <c r="C73" s="178"/>
      <c r="D73" s="178"/>
      <c r="E73" s="676">
        <v>40.5</v>
      </c>
      <c r="F73" s="779" t="str" cm="1">
        <f t="array" aca="1" ref="F73" ca="1">OFFSET(G73,-1,-1)</f>
        <v>2</v>
      </c>
      <c r="G73" s="143" t="s">
        <v>1303</v>
      </c>
      <c r="H73" s="180"/>
      <c r="I73" s="180"/>
      <c r="J73" s="180"/>
      <c r="K73" s="180"/>
      <c r="L73" s="180"/>
      <c r="M73" s="180"/>
      <c r="N73" s="180"/>
      <c r="O73" s="180"/>
      <c r="P73" s="180"/>
      <c r="Q73" s="143"/>
      <c r="R73" s="143"/>
      <c r="S73" s="180"/>
      <c r="T73" s="687" t="b" cm="1">
        <f t="array" ref="T73">T72</f>
        <v>1</v>
      </c>
      <c r="U73" s="1153"/>
      <c r="V73" s="1153"/>
      <c r="W73" s="1153"/>
      <c r="X73" s="1726"/>
      <c r="Y73" s="1153"/>
      <c r="Z73" s="1726"/>
      <c r="AA73" s="180"/>
      <c r="AB73" s="111" t="s">
        <v>1085</v>
      </c>
      <c r="AC73" s="118" t="s">
        <v>1304</v>
      </c>
      <c r="AD73" s="111" t="s">
        <v>839</v>
      </c>
      <c r="AE73" s="515">
        <f ca="1">SUMIFS(Налоги!AE$26:AE$69,Налоги!$F$26:$F$69,$F73,Налоги!$G$26:$G$69,$G73)</f>
        <v>0</v>
      </c>
      <c r="AF73" s="515">
        <f ca="1">SUMIFS(Налоги!AF$26:AF$69,Налоги!$F$26:$F$69,$F73,Налоги!$G$26:$G$69,$G73)</f>
        <v>0</v>
      </c>
      <c r="AG73" s="1398">
        <f ca="1">SUMIFS(Налоги!AG$26:AG$69,Налоги!$F$26:$F$69,$F73,Налоги!$G$26:$G$69,$G73)</f>
        <v>0</v>
      </c>
      <c r="AH73" s="256">
        <f t="shared" ca="1" si="30"/>
        <v>0</v>
      </c>
      <c r="AI73" s="515">
        <f ca="1">SUMIFS(Налоги!AH$26:AH$69,Налоги!$F$26:$F$69,$F73,Налоги!$G$26:$G$69,$G73)</f>
        <v>26.42</v>
      </c>
      <c r="AJ73" s="515">
        <f ca="1">SUMIFS(Налоги!AI$26:AI$69,Налоги!$F$26:$F$69,$F73,Налоги!$G$26:$G$69,$G73)</f>
        <v>0</v>
      </c>
      <c r="AK73" s="515">
        <f ca="1">SUMIFS(Налоги!AJ$26:AJ$69,Налоги!$F$26:$F$69,$F73,Налоги!$G$26:$G$69,$G73)</f>
        <v>0</v>
      </c>
      <c r="AL73" s="515">
        <f ca="1">SUMIFS(Налоги!AK$26:AK$69,Налоги!$F$26:$F$69,$F73,Налоги!$G$26:$G$69,$G73)</f>
        <v>0</v>
      </c>
      <c r="AM73" s="515">
        <f ca="1">SUMIFS(Налоги!AL$26:AL$69,Налоги!$F$26:$F$69,$F73,Налоги!$G$26:$G$69,$G73)</f>
        <v>0</v>
      </c>
      <c r="AN73" s="515">
        <f ca="1">SUMIFS(Налоги!AM$26:AM$69,Налоги!$F$26:$F$69,$F73,Налоги!$G$26:$G$69,$G73)</f>
        <v>0</v>
      </c>
      <c r="AO73" s="515">
        <f ca="1">SUMIFS(Налоги!AN$26:AN$69,Налоги!$F$26:$F$69,$F73,Налоги!$G$26:$G$69,$G73)</f>
        <v>0</v>
      </c>
      <c r="AP73" s="515">
        <f ca="1">SUMIFS(Налоги!AO$26:AO$69,Налоги!$F$26:$F$69,$F73,Налоги!$G$26:$G$69,$G73)</f>
        <v>0</v>
      </c>
      <c r="AQ73" s="515">
        <f ca="1">SUMIFS(Налоги!AP$26:AP$69,Налоги!$F$26:$F$69,$F73,Налоги!$G$26:$G$69,$G73)</f>
        <v>0</v>
      </c>
      <c r="AR73" s="515">
        <f ca="1">SUMIFS(Налоги!AQ$26:AQ$69,Налоги!$F$26:$F$69,$F73,Налоги!$G$26:$G$69,$G73)</f>
        <v>0</v>
      </c>
      <c r="AS73" s="515">
        <f ca="1">SUMIFS(Налоги!AR$26:AR$69,Налоги!$F$26:$F$69,$F73,Налоги!$G$26:$G$69,$G73)</f>
        <v>0</v>
      </c>
      <c r="AT73" s="515">
        <f ca="1">SUMIFS(Налоги!AS$26:AS$69,Налоги!$F$26:$F$69,$F73,Налоги!$G$26:$G$69,$G73)</f>
        <v>37.81</v>
      </c>
      <c r="AU73" s="515">
        <f ca="1">SUMIFS(Налоги!AT$26:AT$69,Налоги!$F$26:$F$69,$F73,Налоги!$G$26:$G$69,$G73)</f>
        <v>0</v>
      </c>
      <c r="AV73" s="515">
        <f ca="1">SUMIFS(Налоги!AU$26:AU$69,Налоги!$F$26:$F$69,$F73,Налоги!$G$26:$G$69,$G73)</f>
        <v>0</v>
      </c>
      <c r="AW73" s="515">
        <f ca="1">SUMIFS(Налоги!AV$26:AV$69,Налоги!$F$26:$F$69,$F73,Налоги!$G$26:$G$69,$G73)</f>
        <v>0</v>
      </c>
      <c r="AX73" s="515">
        <f ca="1">SUMIFS(Налоги!AW$26:AW$69,Налоги!$F$26:$F$69,$F73,Налоги!$G$26:$G$69,$G73)</f>
        <v>0</v>
      </c>
      <c r="AY73" s="515">
        <f ca="1">SUMIFS(Налоги!AX$26:AX$69,Налоги!$F$26:$F$69,$F73,Налоги!$G$26:$G$69,$G73)</f>
        <v>0</v>
      </c>
      <c r="AZ73" s="515">
        <f ca="1">SUMIFS(Налоги!AY$26:AY$69,Налоги!$F$26:$F$69,$F73,Налоги!$G$26:$G$69,$G73)</f>
        <v>0</v>
      </c>
      <c r="BA73" s="515">
        <f ca="1">SUMIFS(Налоги!AZ$26:AZ$69,Налоги!$F$26:$F$69,$F73,Налоги!$G$26:$G$69,$G73)</f>
        <v>0</v>
      </c>
      <c r="BB73" s="515">
        <f ca="1">SUMIFS(Налоги!BA$26:BA$69,Налоги!$F$26:$F$69,$F73,Налоги!$G$26:$G$69,$G73)</f>
        <v>0</v>
      </c>
      <c r="BC73" s="515">
        <f ca="1">SUMIFS(Налоги!BB$26:BB$69,Налоги!$F$26:$F$69,$F73,Налоги!$G$26:$G$69,$G73)</f>
        <v>0</v>
      </c>
      <c r="BD73" s="256">
        <f t="shared" ca="1" si="31"/>
        <v>43.111279333837999</v>
      </c>
      <c r="BE73" s="256">
        <f t="shared" ca="1" si="32"/>
        <v>-100</v>
      </c>
      <c r="BF73" s="256">
        <f t="shared" ca="1" si="33"/>
        <v>0</v>
      </c>
      <c r="BG73" s="256">
        <f t="shared" ca="1" si="34"/>
        <v>0</v>
      </c>
      <c r="BH73" s="256">
        <f t="shared" ca="1" si="35"/>
        <v>0</v>
      </c>
      <c r="BI73" s="256">
        <f t="shared" ca="1" si="36"/>
        <v>0</v>
      </c>
      <c r="BJ73" s="256">
        <f t="shared" ca="1" si="37"/>
        <v>0</v>
      </c>
      <c r="BK73" s="256">
        <f t="shared" ca="1" si="38"/>
        <v>0</v>
      </c>
      <c r="BL73" s="256">
        <f t="shared" ca="1" si="39"/>
        <v>0</v>
      </c>
      <c r="BM73" s="256">
        <f t="shared" ca="1" si="40"/>
        <v>0</v>
      </c>
      <c r="BN73" s="1290"/>
      <c r="BO73" s="1290"/>
      <c r="BP73" s="1290"/>
      <c r="BQ73" s="180"/>
      <c r="BR73" s="180"/>
      <c r="BS73" s="981" t="s">
        <v>1418</v>
      </c>
    </row>
    <row r="74" spans="1:71" s="1405" customFormat="1" ht="14.25" customHeight="1">
      <c r="A74" s="185"/>
      <c r="B74" s="185"/>
      <c r="C74" s="185"/>
      <c r="D74" s="185"/>
      <c r="E74" s="676">
        <v>15</v>
      </c>
      <c r="F74" s="779" t="str" cm="1">
        <f t="array" aca="1" ref="F74" ca="1">OFFSET(G74,-1,-1)</f>
        <v>2</v>
      </c>
      <c r="G74" s="143" t="s">
        <v>1310</v>
      </c>
      <c r="H74" s="185"/>
      <c r="I74" s="185"/>
      <c r="J74" s="185"/>
      <c r="K74" s="185"/>
      <c r="L74" s="185"/>
      <c r="M74" s="185"/>
      <c r="N74" s="185"/>
      <c r="O74" s="185"/>
      <c r="P74" s="185"/>
      <c r="Q74" s="185"/>
      <c r="R74" s="185"/>
      <c r="S74" s="185"/>
      <c r="T74" s="687" t="b" cm="1">
        <f t="array" ref="T74">T73</f>
        <v>1</v>
      </c>
      <c r="U74" s="185"/>
      <c r="V74" s="185"/>
      <c r="W74" s="185"/>
      <c r="X74" s="1823"/>
      <c r="Y74" s="185"/>
      <c r="Z74" s="1823"/>
      <c r="AA74" s="185"/>
      <c r="AB74" s="111" t="s">
        <v>1088</v>
      </c>
      <c r="AC74" s="118" t="s">
        <v>1419</v>
      </c>
      <c r="AD74" s="111" t="s">
        <v>839</v>
      </c>
      <c r="AE74" s="515">
        <f ca="1">SUMIFS(Налоги!AE$26:AE$69,Налоги!$F$26:$F$69,$F74,Налоги!$G$26:$G$69,$G74)</f>
        <v>0</v>
      </c>
      <c r="AF74" s="515">
        <f ca="1">SUMIFS(Налоги!AF$26:AF$69,Налоги!$F$26:$F$69,$F74,Налоги!$G$26:$G$69,$G74)</f>
        <v>0</v>
      </c>
      <c r="AG74" s="1398">
        <f ca="1">SUMIFS(Налоги!AG$26:AG$69,Налоги!$F$26:$F$69,$F74,Налоги!$G$26:$G$69,$G74)</f>
        <v>0</v>
      </c>
      <c r="AH74" s="256">
        <f t="shared" ca="1" si="30"/>
        <v>0</v>
      </c>
      <c r="AI74" s="515">
        <f ca="1">SUMIFS(Налоги!AH$26:AH$69,Налоги!$F$26:$F$69,$F74,Налоги!$G$26:$G$69,$G74)</f>
        <v>4.32</v>
      </c>
      <c r="AJ74" s="515">
        <f ca="1">SUMIFS(Налоги!AI$26:AI$69,Налоги!$F$26:$F$69,$F74,Налоги!$G$26:$G$69,$G74)</f>
        <v>0</v>
      </c>
      <c r="AK74" s="515">
        <f ca="1">SUMIFS(Налоги!AJ$26:AJ$69,Налоги!$F$26:$F$69,$F74,Налоги!$G$26:$G$69,$G74)</f>
        <v>0</v>
      </c>
      <c r="AL74" s="515">
        <f ca="1">SUMIFS(Налоги!AK$26:AK$69,Налоги!$F$26:$F$69,$F74,Налоги!$G$26:$G$69,$G74)</f>
        <v>0</v>
      </c>
      <c r="AM74" s="515">
        <f ca="1">SUMIFS(Налоги!AL$26:AL$69,Налоги!$F$26:$F$69,$F74,Налоги!$G$26:$G$69,$G74)</f>
        <v>0</v>
      </c>
      <c r="AN74" s="515">
        <f ca="1">SUMIFS(Налоги!AM$26:AM$69,Налоги!$F$26:$F$69,$F74,Налоги!$G$26:$G$69,$G74)</f>
        <v>0</v>
      </c>
      <c r="AO74" s="515">
        <f ca="1">SUMIFS(Налоги!AN$26:AN$69,Налоги!$F$26:$F$69,$F74,Налоги!$G$26:$G$69,$G74)</f>
        <v>0</v>
      </c>
      <c r="AP74" s="515">
        <f ca="1">SUMIFS(Налоги!AO$26:AO$69,Налоги!$F$26:$F$69,$F74,Налоги!$G$26:$G$69,$G74)</f>
        <v>0</v>
      </c>
      <c r="AQ74" s="515">
        <f ca="1">SUMIFS(Налоги!AP$26:AP$69,Налоги!$F$26:$F$69,$F74,Налоги!$G$26:$G$69,$G74)</f>
        <v>0</v>
      </c>
      <c r="AR74" s="515">
        <f ca="1">SUMIFS(Налоги!AQ$26:AQ$69,Налоги!$F$26:$F$69,$F74,Налоги!$G$26:$G$69,$G74)</f>
        <v>0</v>
      </c>
      <c r="AS74" s="515">
        <f ca="1">SUMIFS(Налоги!AR$26:AR$69,Налоги!$F$26:$F$69,$F74,Налоги!$G$26:$G$69,$G74)</f>
        <v>0</v>
      </c>
      <c r="AT74" s="515">
        <f ca="1">SUMIFS(Налоги!AS$26:AS$69,Налоги!$F$26:$F$69,$F74,Налоги!$G$26:$G$69,$G74)</f>
        <v>4.05</v>
      </c>
      <c r="AU74" s="515">
        <f ca="1">SUMIFS(Налоги!AT$26:AT$69,Налоги!$F$26:$F$69,$F74,Налоги!$G$26:$G$69,$G74)</f>
        <v>0</v>
      </c>
      <c r="AV74" s="515">
        <f ca="1">SUMIFS(Налоги!AU$26:AU$69,Налоги!$F$26:$F$69,$F74,Налоги!$G$26:$G$69,$G74)</f>
        <v>0</v>
      </c>
      <c r="AW74" s="515">
        <f ca="1">SUMIFS(Налоги!AV$26:AV$69,Налоги!$F$26:$F$69,$F74,Налоги!$G$26:$G$69,$G74)</f>
        <v>0</v>
      </c>
      <c r="AX74" s="515">
        <f ca="1">SUMIFS(Налоги!AW$26:AW$69,Налоги!$F$26:$F$69,$F74,Налоги!$G$26:$G$69,$G74)</f>
        <v>0</v>
      </c>
      <c r="AY74" s="515">
        <f ca="1">SUMIFS(Налоги!AX$26:AX$69,Налоги!$F$26:$F$69,$F74,Налоги!$G$26:$G$69,$G74)</f>
        <v>0</v>
      </c>
      <c r="AZ74" s="515">
        <f ca="1">SUMIFS(Налоги!AY$26:AY$69,Налоги!$F$26:$F$69,$F74,Налоги!$G$26:$G$69,$G74)</f>
        <v>0</v>
      </c>
      <c r="BA74" s="515">
        <f ca="1">SUMIFS(Налоги!AZ$26:AZ$69,Налоги!$F$26:$F$69,$F74,Налоги!$G$26:$G$69,$G74)</f>
        <v>0</v>
      </c>
      <c r="BB74" s="515">
        <f ca="1">SUMIFS(Налоги!BA$26:BA$69,Налоги!$F$26:$F$69,$F74,Налоги!$G$26:$G$69,$G74)</f>
        <v>0</v>
      </c>
      <c r="BC74" s="515">
        <f ca="1">SUMIFS(Налоги!BB$26:BB$69,Налоги!$F$26:$F$69,$F74,Налоги!$G$26:$G$69,$G74)</f>
        <v>0</v>
      </c>
      <c r="BD74" s="256">
        <f t="shared" ca="1" si="31"/>
        <v>-6.2500000000000098</v>
      </c>
      <c r="BE74" s="256">
        <f t="shared" ca="1" si="32"/>
        <v>-100</v>
      </c>
      <c r="BF74" s="256">
        <f t="shared" ca="1" si="33"/>
        <v>0</v>
      </c>
      <c r="BG74" s="256">
        <f t="shared" ca="1" si="34"/>
        <v>0</v>
      </c>
      <c r="BH74" s="256">
        <f t="shared" ca="1" si="35"/>
        <v>0</v>
      </c>
      <c r="BI74" s="256">
        <f t="shared" ca="1" si="36"/>
        <v>0</v>
      </c>
      <c r="BJ74" s="256">
        <f t="shared" ca="1" si="37"/>
        <v>0</v>
      </c>
      <c r="BK74" s="256">
        <f t="shared" ca="1" si="38"/>
        <v>0</v>
      </c>
      <c r="BL74" s="256">
        <f t="shared" ca="1" si="39"/>
        <v>0</v>
      </c>
      <c r="BM74" s="256">
        <f t="shared" ca="1" si="40"/>
        <v>0</v>
      </c>
      <c r="BN74" s="1290"/>
      <c r="BO74" s="1290"/>
      <c r="BP74" s="1290"/>
      <c r="BQ74" s="185"/>
      <c r="BR74" s="185"/>
      <c r="BS74" s="981" t="s">
        <v>1420</v>
      </c>
    </row>
    <row r="75" spans="1:71" s="1406" customFormat="1" ht="14.25" customHeight="1">
      <c r="A75" s="185"/>
      <c r="B75" s="185"/>
      <c r="C75" s="185"/>
      <c r="D75" s="185"/>
      <c r="E75" s="676">
        <v>15</v>
      </c>
      <c r="F75" s="779" t="str" cm="1">
        <f t="array" aca="1" ref="F75" ca="1">OFFSET(G75,-1,-1)</f>
        <v>2</v>
      </c>
      <c r="G75" s="143" t="s">
        <v>1306</v>
      </c>
      <c r="H75" s="185"/>
      <c r="I75" s="185"/>
      <c r="J75" s="185"/>
      <c r="K75" s="185"/>
      <c r="L75" s="185"/>
      <c r="M75" s="185"/>
      <c r="N75" s="185"/>
      <c r="O75" s="185"/>
      <c r="P75" s="185"/>
      <c r="Q75" s="185"/>
      <c r="R75" s="185"/>
      <c r="S75" s="185"/>
      <c r="T75" s="687" t="b" cm="1">
        <f t="array" ref="T75">T74</f>
        <v>1</v>
      </c>
      <c r="U75" s="185"/>
      <c r="V75" s="185"/>
      <c r="W75" s="185"/>
      <c r="X75" s="1823"/>
      <c r="Y75" s="185"/>
      <c r="Z75" s="1823"/>
      <c r="AA75" s="185"/>
      <c r="AB75" s="111" t="s">
        <v>1091</v>
      </c>
      <c r="AC75" s="118" t="s">
        <v>1421</v>
      </c>
      <c r="AD75" s="111" t="s">
        <v>839</v>
      </c>
      <c r="AE75" s="515">
        <f ca="1">SUMIFS(Налоги!AE$26:AE$69,Налоги!$F$26:$F$69,$F75,Налоги!$G$26:$G$69,$G75)</f>
        <v>0</v>
      </c>
      <c r="AF75" s="515">
        <f ca="1">SUMIFS(Налоги!AF$26:AF$69,Налоги!$F$26:$F$69,$F75,Налоги!$G$26:$G$69,$G75)</f>
        <v>0</v>
      </c>
      <c r="AG75" s="1398">
        <f ca="1">SUMIFS(Налоги!AG$26:AG$69,Налоги!$F$26:$F$69,$F75,Налоги!$G$26:$G$69,$G75)</f>
        <v>0</v>
      </c>
      <c r="AH75" s="256">
        <f t="shared" ca="1" si="30"/>
        <v>0</v>
      </c>
      <c r="AI75" s="515">
        <f ca="1">SUMIFS(Налоги!AH$26:AH$69,Налоги!$F$26:$F$69,$F75,Налоги!$G$26:$G$69,$G75)</f>
        <v>3527.45</v>
      </c>
      <c r="AJ75" s="515">
        <f ca="1">SUMIFS(Налоги!AI$26:AI$69,Налоги!$F$26:$F$69,$F75,Налоги!$G$26:$G$69,$G75)</f>
        <v>0</v>
      </c>
      <c r="AK75" s="515">
        <f ca="1">SUMIFS(Налоги!AJ$26:AJ$69,Налоги!$F$26:$F$69,$F75,Налоги!$G$26:$G$69,$G75)</f>
        <v>0</v>
      </c>
      <c r="AL75" s="515">
        <f ca="1">SUMIFS(Налоги!AK$26:AK$69,Налоги!$F$26:$F$69,$F75,Налоги!$G$26:$G$69,$G75)</f>
        <v>0</v>
      </c>
      <c r="AM75" s="515">
        <f ca="1">SUMIFS(Налоги!AL$26:AL$69,Налоги!$F$26:$F$69,$F75,Налоги!$G$26:$G$69,$G75)</f>
        <v>0</v>
      </c>
      <c r="AN75" s="515">
        <f ca="1">SUMIFS(Налоги!AM$26:AM$69,Налоги!$F$26:$F$69,$F75,Налоги!$G$26:$G$69,$G75)</f>
        <v>0</v>
      </c>
      <c r="AO75" s="515">
        <f ca="1">SUMIFS(Налоги!AN$26:AN$69,Налоги!$F$26:$F$69,$F75,Налоги!$G$26:$G$69,$G75)</f>
        <v>0</v>
      </c>
      <c r="AP75" s="515">
        <f ca="1">SUMIFS(Налоги!AO$26:AO$69,Налоги!$F$26:$F$69,$F75,Налоги!$G$26:$G$69,$G75)</f>
        <v>0</v>
      </c>
      <c r="AQ75" s="515">
        <f ca="1">SUMIFS(Налоги!AP$26:AP$69,Налоги!$F$26:$F$69,$F75,Налоги!$G$26:$G$69,$G75)</f>
        <v>0</v>
      </c>
      <c r="AR75" s="515">
        <f ca="1">SUMIFS(Налоги!AQ$26:AQ$69,Налоги!$F$26:$F$69,$F75,Налоги!$G$26:$G$69,$G75)</f>
        <v>0</v>
      </c>
      <c r="AS75" s="515">
        <f ca="1">SUMIFS(Налоги!AR$26:AR$69,Налоги!$F$26:$F$69,$F75,Налоги!$G$26:$G$69,$G75)</f>
        <v>0</v>
      </c>
      <c r="AT75" s="515">
        <f ca="1">SUMIFS(Налоги!AS$26:AS$69,Налоги!$F$26:$F$69,$F75,Налоги!$G$26:$G$69,$G75)</f>
        <v>4003.8</v>
      </c>
      <c r="AU75" s="515">
        <f ca="1">SUMIFS(Налоги!AT$26:AT$69,Налоги!$F$26:$F$69,$F75,Налоги!$G$26:$G$69,$G75)</f>
        <v>0</v>
      </c>
      <c r="AV75" s="515">
        <f ca="1">SUMIFS(Налоги!AU$26:AU$69,Налоги!$F$26:$F$69,$F75,Налоги!$G$26:$G$69,$G75)</f>
        <v>0</v>
      </c>
      <c r="AW75" s="515">
        <f ca="1">SUMIFS(Налоги!AV$26:AV$69,Налоги!$F$26:$F$69,$F75,Налоги!$G$26:$G$69,$G75)</f>
        <v>0</v>
      </c>
      <c r="AX75" s="515">
        <f ca="1">SUMIFS(Налоги!AW$26:AW$69,Налоги!$F$26:$F$69,$F75,Налоги!$G$26:$G$69,$G75)</f>
        <v>0</v>
      </c>
      <c r="AY75" s="515">
        <f ca="1">SUMIFS(Налоги!AX$26:AX$69,Налоги!$F$26:$F$69,$F75,Налоги!$G$26:$G$69,$G75)</f>
        <v>0</v>
      </c>
      <c r="AZ75" s="515">
        <f ca="1">SUMIFS(Налоги!AY$26:AY$69,Налоги!$F$26:$F$69,$F75,Налоги!$G$26:$G$69,$G75)</f>
        <v>0</v>
      </c>
      <c r="BA75" s="515">
        <f ca="1">SUMIFS(Налоги!AZ$26:AZ$69,Налоги!$F$26:$F$69,$F75,Налоги!$G$26:$G$69,$G75)</f>
        <v>0</v>
      </c>
      <c r="BB75" s="515">
        <f ca="1">SUMIFS(Налоги!BA$26:BA$69,Налоги!$F$26:$F$69,$F75,Налоги!$G$26:$G$69,$G75)</f>
        <v>0</v>
      </c>
      <c r="BC75" s="515">
        <f ca="1">SUMIFS(Налоги!BB$26:BB$69,Налоги!$F$26:$F$69,$F75,Налоги!$G$26:$G$69,$G75)</f>
        <v>0</v>
      </c>
      <c r="BD75" s="256">
        <f t="shared" ca="1" si="31"/>
        <v>13.504089356333907</v>
      </c>
      <c r="BE75" s="256">
        <f t="shared" ca="1" si="32"/>
        <v>-100</v>
      </c>
      <c r="BF75" s="256">
        <f t="shared" ca="1" si="33"/>
        <v>0</v>
      </c>
      <c r="BG75" s="256">
        <f t="shared" ca="1" si="34"/>
        <v>0</v>
      </c>
      <c r="BH75" s="256">
        <f t="shared" ca="1" si="35"/>
        <v>0</v>
      </c>
      <c r="BI75" s="256">
        <f t="shared" ca="1" si="36"/>
        <v>0</v>
      </c>
      <c r="BJ75" s="256">
        <f t="shared" ca="1" si="37"/>
        <v>0</v>
      </c>
      <c r="BK75" s="256">
        <f t="shared" ca="1" si="38"/>
        <v>0</v>
      </c>
      <c r="BL75" s="256">
        <f t="shared" ca="1" si="39"/>
        <v>0</v>
      </c>
      <c r="BM75" s="256">
        <f t="shared" ca="1" si="40"/>
        <v>0</v>
      </c>
      <c r="BN75" s="1290"/>
      <c r="BO75" s="1290"/>
      <c r="BP75" s="1290"/>
      <c r="BQ75" s="185"/>
      <c r="BR75" s="185"/>
      <c r="BS75" s="981" t="s">
        <v>1326</v>
      </c>
    </row>
    <row r="76" spans="1:71" s="1229" customFormat="1" ht="14.25" customHeight="1">
      <c r="A76" s="178"/>
      <c r="B76" s="783"/>
      <c r="C76" s="178"/>
      <c r="D76" s="178"/>
      <c r="E76" s="676">
        <v>15</v>
      </c>
      <c r="F76" s="779" t="str" cm="1">
        <f t="array" aca="1" ref="F76" ca="1">OFFSET(G76,-1,-1)</f>
        <v>2</v>
      </c>
      <c r="G76" s="180"/>
      <c r="H76" s="180"/>
      <c r="I76" s="180"/>
      <c r="J76" s="180"/>
      <c r="K76" s="180"/>
      <c r="L76" s="180"/>
      <c r="M76" s="180"/>
      <c r="N76" s="180"/>
      <c r="O76" s="180"/>
      <c r="P76" s="180"/>
      <c r="Q76" s="143"/>
      <c r="R76" s="143"/>
      <c r="S76" s="180"/>
      <c r="T76" s="687" t="b" cm="1">
        <f t="array" ref="T76">T75</f>
        <v>1</v>
      </c>
      <c r="U76" s="1153"/>
      <c r="V76" s="1153"/>
      <c r="W76" s="1153"/>
      <c r="X76" s="1726"/>
      <c r="Y76" s="1153"/>
      <c r="Z76" s="1726"/>
      <c r="AA76" s="180"/>
      <c r="AB76" s="111" t="s">
        <v>1100</v>
      </c>
      <c r="AC76" s="118" t="s">
        <v>1422</v>
      </c>
      <c r="AD76" s="111" t="s">
        <v>839</v>
      </c>
      <c r="AE76" s="1398"/>
      <c r="AF76" s="1398"/>
      <c r="AG76" s="1398"/>
      <c r="AH76" s="256">
        <f t="shared" si="30"/>
        <v>0</v>
      </c>
      <c r="AI76" s="1398">
        <v>2373.61</v>
      </c>
      <c r="AJ76" s="517"/>
      <c r="AK76" s="517"/>
      <c r="AL76" s="517"/>
      <c r="AM76" s="517"/>
      <c r="AN76" s="517"/>
      <c r="AO76" s="1398"/>
      <c r="AP76" s="1398"/>
      <c r="AQ76" s="1398"/>
      <c r="AR76" s="1398"/>
      <c r="AS76" s="1398"/>
      <c r="AT76" s="517">
        <v>2782.32</v>
      </c>
      <c r="AU76" s="517"/>
      <c r="AV76" s="517"/>
      <c r="AW76" s="517"/>
      <c r="AX76" s="517"/>
      <c r="AY76" s="1398"/>
      <c r="AZ76" s="1398"/>
      <c r="BA76" s="1398"/>
      <c r="BB76" s="1398"/>
      <c r="BC76" s="1398"/>
      <c r="BD76" s="256">
        <f t="shared" si="31"/>
        <v>17.218919704585002</v>
      </c>
      <c r="BE76" s="256">
        <f t="shared" si="32"/>
        <v>-100</v>
      </c>
      <c r="BF76" s="256">
        <f t="shared" si="33"/>
        <v>0</v>
      </c>
      <c r="BG76" s="256">
        <f t="shared" si="34"/>
        <v>0</v>
      </c>
      <c r="BH76" s="256">
        <f t="shared" si="35"/>
        <v>0</v>
      </c>
      <c r="BI76" s="256">
        <f t="shared" si="36"/>
        <v>0</v>
      </c>
      <c r="BJ76" s="256">
        <f t="shared" si="37"/>
        <v>0</v>
      </c>
      <c r="BK76" s="256">
        <f t="shared" si="38"/>
        <v>0</v>
      </c>
      <c r="BL76" s="256">
        <f t="shared" si="39"/>
        <v>0</v>
      </c>
      <c r="BM76" s="256">
        <f t="shared" si="40"/>
        <v>0</v>
      </c>
      <c r="BN76" s="1290"/>
      <c r="BO76" s="1290"/>
      <c r="BP76" s="1290"/>
      <c r="BQ76" s="180"/>
      <c r="BR76" s="180"/>
      <c r="BS76" s="981" t="s">
        <v>1423</v>
      </c>
    </row>
    <row r="77" spans="1:71" s="1229" customFormat="1" ht="14.25" customHeight="1">
      <c r="A77" s="178"/>
      <c r="B77" s="783"/>
      <c r="C77" s="178"/>
      <c r="D77" s="178"/>
      <c r="E77" s="676">
        <v>15</v>
      </c>
      <c r="F77" s="779" t="str" cm="1">
        <f t="array" aca="1" ref="F77" ca="1">OFFSET(G77,-1,-1)</f>
        <v>2</v>
      </c>
      <c r="G77" s="180"/>
      <c r="H77" s="180"/>
      <c r="I77" s="180"/>
      <c r="J77" s="180"/>
      <c r="K77" s="180"/>
      <c r="L77" s="180"/>
      <c r="M77" s="180"/>
      <c r="N77" s="180"/>
      <c r="O77" s="180"/>
      <c r="P77" s="180"/>
      <c r="Q77" s="143"/>
      <c r="R77" s="143"/>
      <c r="S77" s="180"/>
      <c r="T77" s="687" t="b" cm="1">
        <f t="array" ref="T77">T76</f>
        <v>1</v>
      </c>
      <c r="U77" s="1153"/>
      <c r="V77" s="1153"/>
      <c r="W77" s="1153"/>
      <c r="X77" s="1726"/>
      <c r="Y77" s="1153"/>
      <c r="Z77" s="1726"/>
      <c r="AA77" s="180"/>
      <c r="AB77" s="111" t="s">
        <v>1424</v>
      </c>
      <c r="AC77" s="745" t="s">
        <v>1425</v>
      </c>
      <c r="AD77" s="111" t="s">
        <v>533</v>
      </c>
      <c r="AE77" s="1388"/>
      <c r="AF77" s="1388"/>
      <c r="AG77" s="1388"/>
      <c r="AH77" s="256">
        <f t="shared" si="30"/>
        <v>0</v>
      </c>
      <c r="AI77" s="1388"/>
      <c r="AJ77" s="934"/>
      <c r="AK77" s="934"/>
      <c r="AL77" s="934"/>
      <c r="AM77" s="934"/>
      <c r="AN77" s="934"/>
      <c r="AO77" s="1388"/>
      <c r="AP77" s="1388"/>
      <c r="AQ77" s="1388"/>
      <c r="AR77" s="1388"/>
      <c r="AS77" s="1388"/>
      <c r="AT77" s="934"/>
      <c r="AU77" s="934"/>
      <c r="AV77" s="934"/>
      <c r="AW77" s="934"/>
      <c r="AX77" s="934"/>
      <c r="AY77" s="1388"/>
      <c r="AZ77" s="1388"/>
      <c r="BA77" s="1388"/>
      <c r="BB77" s="1388"/>
      <c r="BC77" s="1388"/>
      <c r="BD77" s="256">
        <f t="shared" si="31"/>
        <v>0</v>
      </c>
      <c r="BE77" s="256">
        <f t="shared" si="32"/>
        <v>0</v>
      </c>
      <c r="BF77" s="256">
        <f t="shared" si="33"/>
        <v>0</v>
      </c>
      <c r="BG77" s="256">
        <f t="shared" si="34"/>
        <v>0</v>
      </c>
      <c r="BH77" s="256">
        <f t="shared" si="35"/>
        <v>0</v>
      </c>
      <c r="BI77" s="256">
        <f t="shared" si="36"/>
        <v>0</v>
      </c>
      <c r="BJ77" s="256">
        <f t="shared" si="37"/>
        <v>0</v>
      </c>
      <c r="BK77" s="256">
        <f t="shared" si="38"/>
        <v>0</v>
      </c>
      <c r="BL77" s="256">
        <f t="shared" si="39"/>
        <v>0</v>
      </c>
      <c r="BM77" s="256">
        <f t="shared" si="40"/>
        <v>0</v>
      </c>
      <c r="BN77" s="1290"/>
      <c r="BO77" s="1290"/>
      <c r="BP77" s="1290"/>
      <c r="BQ77" s="180"/>
      <c r="BR77" s="180"/>
      <c r="BS77" s="981" t="s">
        <v>1426</v>
      </c>
    </row>
    <row r="78" spans="1:71" s="1229" customFormat="1" ht="14.25" customHeight="1">
      <c r="A78" s="178"/>
      <c r="B78" s="783"/>
      <c r="C78" s="178"/>
      <c r="D78" s="178"/>
      <c r="E78" s="676">
        <v>15</v>
      </c>
      <c r="F78" s="779" t="str" cm="1">
        <f t="array" aca="1" ref="F78" ca="1">OFFSET(G78,-1,-1)</f>
        <v>2</v>
      </c>
      <c r="G78" s="180"/>
      <c r="H78" s="180"/>
      <c r="I78" s="180"/>
      <c r="J78" s="180"/>
      <c r="K78" s="180"/>
      <c r="L78" s="180"/>
      <c r="M78" s="180"/>
      <c r="N78" s="180"/>
      <c r="O78" s="180"/>
      <c r="P78" s="180"/>
      <c r="Q78" s="143"/>
      <c r="R78" s="143"/>
      <c r="S78" s="180"/>
      <c r="T78" s="687" t="b" cm="1">
        <f t="array" ref="T78">T76</f>
        <v>1</v>
      </c>
      <c r="U78" s="1153"/>
      <c r="V78" s="1153"/>
      <c r="W78" s="1153"/>
      <c r="X78" s="1726"/>
      <c r="Y78" s="1153"/>
      <c r="Z78" s="1726"/>
      <c r="AA78" s="180"/>
      <c r="AB78" s="111" t="s">
        <v>1103</v>
      </c>
      <c r="AC78" s="118" t="s">
        <v>1427</v>
      </c>
      <c r="AD78" s="111" t="s">
        <v>839</v>
      </c>
      <c r="AE78" s="1398"/>
      <c r="AF78" s="1398"/>
      <c r="AG78" s="1398"/>
      <c r="AH78" s="256">
        <f t="shared" si="30"/>
        <v>0</v>
      </c>
      <c r="AI78" s="1398"/>
      <c r="AJ78" s="517"/>
      <c r="AK78" s="517"/>
      <c r="AL78" s="517"/>
      <c r="AM78" s="517"/>
      <c r="AN78" s="517"/>
      <c r="AO78" s="1398"/>
      <c r="AP78" s="1398"/>
      <c r="AQ78" s="1398"/>
      <c r="AR78" s="1398"/>
      <c r="AS78" s="1398"/>
      <c r="AT78" s="517"/>
      <c r="AU78" s="517"/>
      <c r="AV78" s="517"/>
      <c r="AW78" s="517"/>
      <c r="AX78" s="517"/>
      <c r="AY78" s="1398"/>
      <c r="AZ78" s="1398"/>
      <c r="BA78" s="1398"/>
      <c r="BB78" s="1398"/>
      <c r="BC78" s="1398"/>
      <c r="BD78" s="256">
        <f t="shared" si="31"/>
        <v>0</v>
      </c>
      <c r="BE78" s="256">
        <f t="shared" si="32"/>
        <v>0</v>
      </c>
      <c r="BF78" s="256">
        <f t="shared" si="33"/>
        <v>0</v>
      </c>
      <c r="BG78" s="256">
        <f t="shared" si="34"/>
        <v>0</v>
      </c>
      <c r="BH78" s="256">
        <f t="shared" si="35"/>
        <v>0</v>
      </c>
      <c r="BI78" s="256">
        <f t="shared" si="36"/>
        <v>0</v>
      </c>
      <c r="BJ78" s="256">
        <f t="shared" si="37"/>
        <v>0</v>
      </c>
      <c r="BK78" s="256">
        <f t="shared" si="38"/>
        <v>0</v>
      </c>
      <c r="BL78" s="256">
        <f t="shared" si="39"/>
        <v>0</v>
      </c>
      <c r="BM78" s="256">
        <f t="shared" si="40"/>
        <v>0</v>
      </c>
      <c r="BN78" s="1290"/>
      <c r="BO78" s="1290"/>
      <c r="BP78" s="1290"/>
      <c r="BQ78" s="180"/>
      <c r="BR78" s="180"/>
      <c r="BS78" s="981" t="s">
        <v>1428</v>
      </c>
    </row>
    <row r="79" spans="1:71" s="1229" customFormat="1" ht="14.25" customHeight="1">
      <c r="A79" s="178"/>
      <c r="B79" s="783"/>
      <c r="C79" s="178"/>
      <c r="D79" s="178"/>
      <c r="E79" s="676">
        <v>15</v>
      </c>
      <c r="F79" s="779" t="str" cm="1">
        <f t="array" aca="1" ref="F79" ca="1">OFFSET(G79,-1,-1)</f>
        <v>2</v>
      </c>
      <c r="G79" s="143" t="s">
        <v>1187</v>
      </c>
      <c r="H79" s="180"/>
      <c r="I79" s="180"/>
      <c r="J79" s="180"/>
      <c r="K79" s="180"/>
      <c r="L79" s="180"/>
      <c r="M79" s="180"/>
      <c r="N79" s="180"/>
      <c r="O79" s="180"/>
      <c r="P79" s="180"/>
      <c r="Q79" s="143"/>
      <c r="R79" s="143"/>
      <c r="S79" s="180"/>
      <c r="T79" s="687" t="b" cm="1">
        <f t="array" ref="T79">T78</f>
        <v>1</v>
      </c>
      <c r="U79" s="1153"/>
      <c r="V79" s="1153"/>
      <c r="W79" s="1153"/>
      <c r="X79" s="1726"/>
      <c r="Y79" s="1153"/>
      <c r="Z79" s="1726"/>
      <c r="AA79" s="180"/>
      <c r="AB79" s="111" t="s">
        <v>1106</v>
      </c>
      <c r="AC79" s="118" t="s">
        <v>1429</v>
      </c>
      <c r="AD79" s="111" t="s">
        <v>839</v>
      </c>
      <c r="AE79" s="515">
        <f ca="1">SUMIFS(Амортизация!AE$26:AE$324,Амортизация!$F$26:$F$324,$F79,Амортизация!$G$26:$G$324,$G79)</f>
        <v>0</v>
      </c>
      <c r="AF79" s="515">
        <f ca="1">SUMIFS(Амортизация!AF$26:AF$324,Амортизация!$F$26:$F$324,$F79,Амортизация!$G$26:$G$324,$G79)</f>
        <v>0</v>
      </c>
      <c r="AG79" s="1398">
        <f ca="1">SUMIFS(Амортизация!AG$26:AG$324,Амортизация!$F$26:$F$324,$F79,Амортизация!$G$26:$G$324,$G79)</f>
        <v>0</v>
      </c>
      <c r="AH79" s="256">
        <f t="shared" ca="1" si="30"/>
        <v>0</v>
      </c>
      <c r="AI79" s="515">
        <f ca="1">SUMIFS(Амортизация!AH$26:AH$324,Амортизация!$F$26:$F$324,$F79,Амортизация!$G$26:$G$324,$G79)</f>
        <v>7522.2</v>
      </c>
      <c r="AJ79" s="515">
        <f ca="1">SUMIFS(Амортизация!AI$26:AI$324,Амортизация!$F$26:$F$324,$F79,Амортизация!$G$26:$G$324,$G79)</f>
        <v>0</v>
      </c>
      <c r="AK79" s="515">
        <f ca="1">SUMIFS(Амортизация!AJ$26:AJ$324,Амортизация!$F$26:$F$324,$F79,Амортизация!$G$26:$G$324,$G79)</f>
        <v>0</v>
      </c>
      <c r="AL79" s="515">
        <f ca="1">SUMIFS(Амортизация!AK$26:AK$324,Амортизация!$F$26:$F$324,$F79,Амортизация!$G$26:$G$324,$G79)</f>
        <v>0</v>
      </c>
      <c r="AM79" s="515">
        <f ca="1">SUMIFS(Амортизация!AL$26:AL$324,Амортизация!$F$26:$F$324,$F79,Амортизация!$G$26:$G$324,$G79)</f>
        <v>0</v>
      </c>
      <c r="AN79" s="515">
        <f ca="1">SUMIFS(Амортизация!AM$26:AM$324,Амортизация!$F$26:$F$324,$F79,Амортизация!$G$26:$G$324,$G79)</f>
        <v>0</v>
      </c>
      <c r="AO79" s="515">
        <f ca="1">SUMIFS(Амортизация!AN$26:AN$324,Амортизация!$F$26:$F$324,$F79,Амортизация!$G$26:$G$324,$G79)</f>
        <v>0</v>
      </c>
      <c r="AP79" s="515">
        <f ca="1">SUMIFS(Амортизация!AO$26:AO$324,Амортизация!$F$26:$F$324,$F79,Амортизация!$G$26:$G$324,$G79)</f>
        <v>0</v>
      </c>
      <c r="AQ79" s="515">
        <f ca="1">SUMIFS(Амортизация!AP$26:AP$324,Амортизация!$F$26:$F$324,$F79,Амортизация!$G$26:$G$324,$G79)</f>
        <v>0</v>
      </c>
      <c r="AR79" s="515">
        <f ca="1">SUMIFS(Амортизация!AQ$26:AQ$324,Амортизация!$F$26:$F$324,$F79,Амортизация!$G$26:$G$324,$G79)</f>
        <v>0</v>
      </c>
      <c r="AS79" s="515">
        <f ca="1">SUMIFS(Амортизация!AR$26:AR$324,Амортизация!$F$26:$F$324,$F79,Амортизация!$G$26:$G$324,$G79)</f>
        <v>0</v>
      </c>
      <c r="AT79" s="515">
        <f ca="1">SUMIFS(Амортизация!AS$26:AS$324,Амортизация!$F$26:$F$324,$F79,Амортизация!$G$26:$G$324,$G79)</f>
        <v>15930.82</v>
      </c>
      <c r="AU79" s="515">
        <f ca="1">SUMIFS(Амортизация!AT$26:AT$324,Амортизация!$F$26:$F$324,$F79,Амортизация!$G$26:$G$324,$G79)</f>
        <v>0</v>
      </c>
      <c r="AV79" s="515">
        <f ca="1">SUMIFS(Амортизация!AU$26:AU$324,Амортизация!$F$26:$F$324,$F79,Амортизация!$G$26:$G$324,$G79)</f>
        <v>0</v>
      </c>
      <c r="AW79" s="515">
        <f ca="1">SUMIFS(Амортизация!AV$26:AV$324,Амортизация!$F$26:$F$324,$F79,Амортизация!$G$26:$G$324,$G79)</f>
        <v>0</v>
      </c>
      <c r="AX79" s="515">
        <f ca="1">SUMIFS(Амортизация!AW$26:AW$324,Амортизация!$F$26:$F$324,$F79,Амортизация!$G$26:$G$324,$G79)</f>
        <v>0</v>
      </c>
      <c r="AY79" s="515">
        <f ca="1">SUMIFS(Амортизация!AX$26:AX$324,Амортизация!$F$26:$F$324,$F79,Амортизация!$G$26:$G$324,$G79)</f>
        <v>0</v>
      </c>
      <c r="AZ79" s="515">
        <f ca="1">SUMIFS(Амортизация!AY$26:AY$324,Амортизация!$F$26:$F$324,$F79,Амортизация!$G$26:$G$324,$G79)</f>
        <v>0</v>
      </c>
      <c r="BA79" s="515">
        <f ca="1">SUMIFS(Амортизация!AZ$26:AZ$324,Амортизация!$F$26:$F$324,$F79,Амортизация!$G$26:$G$324,$G79)</f>
        <v>0</v>
      </c>
      <c r="BB79" s="515">
        <f ca="1">SUMIFS(Амортизация!BA$26:BA$324,Амортизация!$F$26:$F$324,$F79,Амортизация!$G$26:$G$324,$G79)</f>
        <v>0</v>
      </c>
      <c r="BC79" s="515">
        <f ca="1">SUMIFS(Амортизация!BB$26:BB$324,Амортизация!$F$26:$F$324,$F79,Амортизация!$G$26:$G$324,$G79)</f>
        <v>0</v>
      </c>
      <c r="BD79" s="256">
        <f t="shared" ca="1" si="31"/>
        <v>111.78405253782138</v>
      </c>
      <c r="BE79" s="256">
        <f t="shared" ca="1" si="32"/>
        <v>-100</v>
      </c>
      <c r="BF79" s="256">
        <f t="shared" ca="1" si="33"/>
        <v>0</v>
      </c>
      <c r="BG79" s="256">
        <f t="shared" ca="1" si="34"/>
        <v>0</v>
      </c>
      <c r="BH79" s="256">
        <f t="shared" ca="1" si="35"/>
        <v>0</v>
      </c>
      <c r="BI79" s="256">
        <f t="shared" ca="1" si="36"/>
        <v>0</v>
      </c>
      <c r="BJ79" s="256">
        <f t="shared" ca="1" si="37"/>
        <v>0</v>
      </c>
      <c r="BK79" s="256">
        <f t="shared" ca="1" si="38"/>
        <v>0</v>
      </c>
      <c r="BL79" s="256">
        <f t="shared" ca="1" si="39"/>
        <v>0</v>
      </c>
      <c r="BM79" s="256">
        <f t="shared" ca="1" si="40"/>
        <v>0</v>
      </c>
      <c r="BN79" s="1290"/>
      <c r="BO79" s="1290"/>
      <c r="BP79" s="1290"/>
      <c r="BQ79" s="180"/>
      <c r="BR79" s="180"/>
      <c r="BS79" s="981" t="s">
        <v>1430</v>
      </c>
    </row>
    <row r="80" spans="1:71" s="1229" customFormat="1" ht="24.75" customHeight="1">
      <c r="A80" s="178"/>
      <c r="B80" s="783"/>
      <c r="C80" s="178"/>
      <c r="D80" s="178"/>
      <c r="E80" s="676">
        <v>25.5</v>
      </c>
      <c r="F80" s="779" t="str" cm="1">
        <f t="array" aca="1" ref="F80" ca="1">OFFSET(G80,-1,-1)</f>
        <v>2</v>
      </c>
      <c r="G80" s="180"/>
      <c r="H80" s="180"/>
      <c r="I80" s="180"/>
      <c r="J80" s="180"/>
      <c r="K80" s="180"/>
      <c r="L80" s="180"/>
      <c r="M80" s="180"/>
      <c r="N80" s="180"/>
      <c r="O80" s="180"/>
      <c r="P80" s="180"/>
      <c r="Q80" s="143"/>
      <c r="R80" s="143"/>
      <c r="S80" s="180"/>
      <c r="T80" s="687" t="b" cm="1">
        <f t="array" ref="T80">T79</f>
        <v>1</v>
      </c>
      <c r="U80" s="1153"/>
      <c r="V80" s="1153"/>
      <c r="W80" s="1153"/>
      <c r="X80" s="1726"/>
      <c r="Y80" s="1153"/>
      <c r="Z80" s="1726"/>
      <c r="AA80" s="180"/>
      <c r="AB80" s="111" t="s">
        <v>1109</v>
      </c>
      <c r="AC80" s="118" t="s">
        <v>1431</v>
      </c>
      <c r="AD80" s="111" t="s">
        <v>839</v>
      </c>
      <c r="AE80" s="1398"/>
      <c r="AF80" s="1398"/>
      <c r="AG80" s="1398"/>
      <c r="AH80" s="256">
        <f t="shared" si="30"/>
        <v>0</v>
      </c>
      <c r="AI80" s="1398"/>
      <c r="AJ80" s="517"/>
      <c r="AK80" s="517"/>
      <c r="AL80" s="517"/>
      <c r="AM80" s="517"/>
      <c r="AN80" s="517"/>
      <c r="AO80" s="1398"/>
      <c r="AP80" s="1398"/>
      <c r="AQ80" s="1398"/>
      <c r="AR80" s="1398"/>
      <c r="AS80" s="1398"/>
      <c r="AT80" s="517"/>
      <c r="AU80" s="517"/>
      <c r="AV80" s="517"/>
      <c r="AW80" s="517"/>
      <c r="AX80" s="517"/>
      <c r="AY80" s="1398"/>
      <c r="AZ80" s="1398"/>
      <c r="BA80" s="1398"/>
      <c r="BB80" s="1398"/>
      <c r="BC80" s="1398"/>
      <c r="BD80" s="256">
        <f t="shared" si="31"/>
        <v>0</v>
      </c>
      <c r="BE80" s="256">
        <f t="shared" si="32"/>
        <v>0</v>
      </c>
      <c r="BF80" s="256">
        <f t="shared" si="33"/>
        <v>0</v>
      </c>
      <c r="BG80" s="256">
        <f t="shared" si="34"/>
        <v>0</v>
      </c>
      <c r="BH80" s="256">
        <f t="shared" si="35"/>
        <v>0</v>
      </c>
      <c r="BI80" s="256">
        <f t="shared" si="36"/>
        <v>0</v>
      </c>
      <c r="BJ80" s="256">
        <f t="shared" si="37"/>
        <v>0</v>
      </c>
      <c r="BK80" s="256">
        <f t="shared" si="38"/>
        <v>0</v>
      </c>
      <c r="BL80" s="256">
        <f t="shared" si="39"/>
        <v>0</v>
      </c>
      <c r="BM80" s="256">
        <f t="shared" si="40"/>
        <v>0</v>
      </c>
      <c r="BN80" s="1290"/>
      <c r="BO80" s="1290"/>
      <c r="BP80" s="1290"/>
      <c r="BQ80" s="180"/>
      <c r="BR80" s="180"/>
      <c r="BS80" s="981" t="s">
        <v>1432</v>
      </c>
    </row>
    <row r="81" spans="1:71" s="1229" customFormat="1" ht="24.75" customHeight="1">
      <c r="A81" s="178"/>
      <c r="B81" s="783"/>
      <c r="C81" s="178"/>
      <c r="D81" s="178"/>
      <c r="E81" s="676">
        <v>25.5</v>
      </c>
      <c r="F81" s="779" t="str" cm="1">
        <f t="array" aca="1" ref="F81" ca="1">OFFSET(G81,-1,-1)</f>
        <v>2</v>
      </c>
      <c r="G81" s="180"/>
      <c r="H81" s="180"/>
      <c r="I81" s="180"/>
      <c r="J81" s="180"/>
      <c r="K81" s="180"/>
      <c r="L81" s="180"/>
      <c r="M81" s="180"/>
      <c r="N81" s="180"/>
      <c r="O81" s="180"/>
      <c r="P81" s="180"/>
      <c r="Q81" s="143"/>
      <c r="R81" s="143"/>
      <c r="S81" s="180"/>
      <c r="T81" s="687" t="b" cm="1">
        <f t="array" ref="T81">T80</f>
        <v>1</v>
      </c>
      <c r="U81" s="1153"/>
      <c r="V81" s="1153"/>
      <c r="W81" s="1153"/>
      <c r="X81" s="1726"/>
      <c r="Y81" s="1153"/>
      <c r="Z81" s="1726"/>
      <c r="AA81" s="180"/>
      <c r="AB81" s="111" t="s">
        <v>1324</v>
      </c>
      <c r="AC81" s="118" t="s">
        <v>1433</v>
      </c>
      <c r="AD81" s="111" t="s">
        <v>839</v>
      </c>
      <c r="AE81" s="1398"/>
      <c r="AF81" s="1398"/>
      <c r="AG81" s="1398"/>
      <c r="AH81" s="256">
        <f t="shared" si="30"/>
        <v>0</v>
      </c>
      <c r="AI81" s="1398"/>
      <c r="AJ81" s="517"/>
      <c r="AK81" s="517"/>
      <c r="AL81" s="517"/>
      <c r="AM81" s="517"/>
      <c r="AN81" s="517"/>
      <c r="AO81" s="1398"/>
      <c r="AP81" s="1398"/>
      <c r="AQ81" s="1398"/>
      <c r="AR81" s="1398"/>
      <c r="AS81" s="1398"/>
      <c r="AT81" s="517"/>
      <c r="AU81" s="517"/>
      <c r="AV81" s="517"/>
      <c r="AW81" s="517"/>
      <c r="AX81" s="517"/>
      <c r="AY81" s="1398"/>
      <c r="AZ81" s="1398"/>
      <c r="BA81" s="1398"/>
      <c r="BB81" s="1398"/>
      <c r="BC81" s="1398"/>
      <c r="BD81" s="256">
        <f t="shared" si="31"/>
        <v>0</v>
      </c>
      <c r="BE81" s="256">
        <f t="shared" si="32"/>
        <v>0</v>
      </c>
      <c r="BF81" s="256">
        <f t="shared" si="33"/>
        <v>0</v>
      </c>
      <c r="BG81" s="256">
        <f t="shared" si="34"/>
        <v>0</v>
      </c>
      <c r="BH81" s="256">
        <f t="shared" si="35"/>
        <v>0</v>
      </c>
      <c r="BI81" s="256">
        <f t="shared" si="36"/>
        <v>0</v>
      </c>
      <c r="BJ81" s="256">
        <f t="shared" si="37"/>
        <v>0</v>
      </c>
      <c r="BK81" s="256">
        <f t="shared" si="38"/>
        <v>0</v>
      </c>
      <c r="BL81" s="256">
        <f t="shared" si="39"/>
        <v>0</v>
      </c>
      <c r="BM81" s="256">
        <f t="shared" si="40"/>
        <v>0</v>
      </c>
      <c r="BN81" s="1290"/>
      <c r="BO81" s="1290"/>
      <c r="BP81" s="1290"/>
      <c r="BQ81" s="180"/>
      <c r="BR81" s="180"/>
      <c r="BS81" s="981" t="s">
        <v>1434</v>
      </c>
    </row>
    <row r="82" spans="1:71" s="1229" customFormat="1" ht="14.25" customHeight="1">
      <c r="A82" s="178"/>
      <c r="B82" s="783"/>
      <c r="C82" s="178"/>
      <c r="D82" s="178"/>
      <c r="E82" s="676">
        <v>15</v>
      </c>
      <c r="F82" s="779" t="str" cm="1">
        <f t="array" aca="1" ref="F82" ca="1">OFFSET(G82,-1,-1)</f>
        <v>2</v>
      </c>
      <c r="G82" s="180"/>
      <c r="H82" s="180"/>
      <c r="I82" s="180"/>
      <c r="J82" s="180"/>
      <c r="K82" s="180"/>
      <c r="L82" s="180"/>
      <c r="M82" s="180"/>
      <c r="N82" s="180"/>
      <c r="O82" s="180"/>
      <c r="P82" s="180"/>
      <c r="Q82" s="143"/>
      <c r="R82" s="143"/>
      <c r="S82" s="180"/>
      <c r="T82" s="687" t="b" cm="1">
        <f t="array" ref="T82">T81</f>
        <v>1</v>
      </c>
      <c r="U82" s="1153"/>
      <c r="V82" s="1153"/>
      <c r="W82" s="1153"/>
      <c r="X82" s="1726"/>
      <c r="Y82" s="1153"/>
      <c r="Z82" s="1726"/>
      <c r="AA82" s="180"/>
      <c r="AB82" s="111"/>
      <c r="AC82" s="118" t="s">
        <v>1435</v>
      </c>
      <c r="AD82" s="111" t="s">
        <v>839</v>
      </c>
      <c r="AE82" s="515">
        <f ca="1">AE69+AE70+AE71+AE72+AE76+AE78+AE79+AE80+AE81</f>
        <v>0</v>
      </c>
      <c r="AF82" s="515">
        <f ca="1">AF69+AF70+AF71+AF72+AF76+AF78+AF79+AF80+AF81</f>
        <v>0</v>
      </c>
      <c r="AG82" s="1398">
        <f ca="1">AG69+AG70+AG71+AG72+AG76+AG78+AG79+AG80+AG81</f>
        <v>0</v>
      </c>
      <c r="AH82" s="256">
        <f t="shared" ca="1" si="30"/>
        <v>0</v>
      </c>
      <c r="AI82" s="515">
        <f t="shared" ref="AI82:BC82" ca="1" si="42">AI69+AI70+AI71+AI72+AI76+AI78+AI79+AI80+AI81</f>
        <v>18898.999999999902</v>
      </c>
      <c r="AJ82" s="515">
        <f t="shared" ca="1" si="42"/>
        <v>0</v>
      </c>
      <c r="AK82" s="515">
        <f t="shared" ca="1" si="42"/>
        <v>0</v>
      </c>
      <c r="AL82" s="515">
        <f t="shared" ca="1" si="42"/>
        <v>0</v>
      </c>
      <c r="AM82" s="515">
        <f t="shared" ca="1" si="42"/>
        <v>0</v>
      </c>
      <c r="AN82" s="515">
        <f t="shared" ca="1" si="42"/>
        <v>0</v>
      </c>
      <c r="AO82" s="515">
        <f t="shared" ca="1" si="42"/>
        <v>0</v>
      </c>
      <c r="AP82" s="515">
        <f t="shared" ca="1" si="42"/>
        <v>0</v>
      </c>
      <c r="AQ82" s="515">
        <f t="shared" ca="1" si="42"/>
        <v>0</v>
      </c>
      <c r="AR82" s="515">
        <f t="shared" ca="1" si="42"/>
        <v>0</v>
      </c>
      <c r="AS82" s="515">
        <f t="shared" ca="1" si="42"/>
        <v>0</v>
      </c>
      <c r="AT82" s="515">
        <f t="shared" ca="1" si="42"/>
        <v>31994.365203519999</v>
      </c>
      <c r="AU82" s="515">
        <f t="shared" ca="1" si="42"/>
        <v>0</v>
      </c>
      <c r="AV82" s="515">
        <f t="shared" ca="1" si="42"/>
        <v>0</v>
      </c>
      <c r="AW82" s="515">
        <f t="shared" ca="1" si="42"/>
        <v>0</v>
      </c>
      <c r="AX82" s="515">
        <f t="shared" ca="1" si="42"/>
        <v>0</v>
      </c>
      <c r="AY82" s="515">
        <f t="shared" ca="1" si="42"/>
        <v>0</v>
      </c>
      <c r="AZ82" s="515">
        <f t="shared" ca="1" si="42"/>
        <v>0</v>
      </c>
      <c r="BA82" s="515">
        <f t="shared" ca="1" si="42"/>
        <v>0</v>
      </c>
      <c r="BB82" s="515">
        <f t="shared" ca="1" si="42"/>
        <v>0</v>
      </c>
      <c r="BC82" s="515">
        <f t="shared" ca="1" si="42"/>
        <v>0</v>
      </c>
      <c r="BD82" s="256">
        <f t="shared" ca="1" si="31"/>
        <v>69.291312786497514</v>
      </c>
      <c r="BE82" s="256">
        <f t="shared" ca="1" si="32"/>
        <v>-100</v>
      </c>
      <c r="BF82" s="256">
        <f t="shared" ca="1" si="33"/>
        <v>0</v>
      </c>
      <c r="BG82" s="256">
        <f t="shared" ca="1" si="34"/>
        <v>0</v>
      </c>
      <c r="BH82" s="256">
        <f t="shared" ca="1" si="35"/>
        <v>0</v>
      </c>
      <c r="BI82" s="256">
        <f t="shared" ca="1" si="36"/>
        <v>0</v>
      </c>
      <c r="BJ82" s="256">
        <f t="shared" ca="1" si="37"/>
        <v>0</v>
      </c>
      <c r="BK82" s="256">
        <f t="shared" ca="1" si="38"/>
        <v>0</v>
      </c>
      <c r="BL82" s="256">
        <f t="shared" ca="1" si="39"/>
        <v>0</v>
      </c>
      <c r="BM82" s="256">
        <f t="shared" ca="1" si="40"/>
        <v>0</v>
      </c>
      <c r="BN82" s="1290"/>
      <c r="BO82" s="1290"/>
      <c r="BP82" s="1290"/>
      <c r="BQ82" s="180"/>
      <c r="BR82" s="180"/>
      <c r="BS82" s="981" t="s">
        <v>635</v>
      </c>
    </row>
    <row r="83" spans="1:71" s="1229" customFormat="1" ht="14.25" customHeight="1">
      <c r="A83" s="178"/>
      <c r="B83" s="783"/>
      <c r="C83" s="178"/>
      <c r="D83" s="178"/>
      <c r="E83" s="676">
        <v>15</v>
      </c>
      <c r="F83" s="779" t="str" cm="1">
        <f t="array" aca="1" ref="F83" ca="1">OFFSET(G83,-1,-1)</f>
        <v>2</v>
      </c>
      <c r="G83" s="143" t="s">
        <v>1319</v>
      </c>
      <c r="H83" s="180"/>
      <c r="I83" s="180"/>
      <c r="J83" s="180"/>
      <c r="K83" s="180"/>
      <c r="L83" s="180"/>
      <c r="M83" s="180"/>
      <c r="N83" s="180"/>
      <c r="O83" s="180"/>
      <c r="P83" s="180"/>
      <c r="Q83" s="143"/>
      <c r="R83" s="143"/>
      <c r="S83" s="180"/>
      <c r="T83" s="687" t="b" cm="1">
        <f t="array" ref="T83">T82</f>
        <v>1</v>
      </c>
      <c r="U83" s="1153"/>
      <c r="V83" s="1153"/>
      <c r="W83" s="1153"/>
      <c r="X83" s="1726"/>
      <c r="Y83" s="1153"/>
      <c r="Z83" s="1726"/>
      <c r="AA83" s="180"/>
      <c r="AB83" s="111" t="s">
        <v>348</v>
      </c>
      <c r="AC83" s="118" t="s">
        <v>1436</v>
      </c>
      <c r="AD83" s="111" t="s">
        <v>839</v>
      </c>
      <c r="AE83" s="515">
        <f ca="1">SUMIFS(Налоги!AE$26:AE$69,Налоги!$F$26:$F$69,$F83,Налоги!$G$26:$G$69,$G83)</f>
        <v>0</v>
      </c>
      <c r="AF83" s="515">
        <f ca="1">SUMIFS(Налоги!AF$26:AF$69,Налоги!$F$26:$F$69,$F83,Налоги!$G$26:$G$69,$G83)</f>
        <v>0</v>
      </c>
      <c r="AG83" s="1398">
        <f ca="1">SUMIFS(Налоги!AG$26:AG$69,Налоги!$F$26:$F$69,$F83,Налоги!$G$26:$G$69,$G83)</f>
        <v>0</v>
      </c>
      <c r="AH83" s="256">
        <f t="shared" ca="1" si="30"/>
        <v>0</v>
      </c>
      <c r="AI83" s="515">
        <f ca="1">SUMIFS(Налоги!AH$26:AH$69,Налоги!$F$26:$F$69,$F83,Налоги!$G$26:$G$69,$G83)</f>
        <v>0</v>
      </c>
      <c r="AJ83" s="515">
        <f ca="1">SUMIFS(Налоги!AI$26:AI$69,Налоги!$F$26:$F$69,$F83,Налоги!$G$26:$G$69,$G83)</f>
        <v>0</v>
      </c>
      <c r="AK83" s="515">
        <f ca="1">SUMIFS(Налоги!AJ$26:AJ$69,Налоги!$F$26:$F$69,$F83,Налоги!$G$26:$G$69,$G83)</f>
        <v>0</v>
      </c>
      <c r="AL83" s="515">
        <f ca="1">SUMIFS(Налоги!AK$26:AK$69,Налоги!$F$26:$F$69,$F83,Налоги!$G$26:$G$69,$G83)</f>
        <v>0</v>
      </c>
      <c r="AM83" s="515">
        <f ca="1">SUMIFS(Налоги!AL$26:AL$69,Налоги!$F$26:$F$69,$F83,Налоги!$G$26:$G$69,$G83)</f>
        <v>0</v>
      </c>
      <c r="AN83" s="515">
        <f ca="1">SUMIFS(Налоги!AM$26:AM$69,Налоги!$F$26:$F$69,$F83,Налоги!$G$26:$G$69,$G83)</f>
        <v>0</v>
      </c>
      <c r="AO83" s="515">
        <f ca="1">SUMIFS(Налоги!AN$26:AN$69,Налоги!$F$26:$F$69,$F83,Налоги!$G$26:$G$69,$G83)</f>
        <v>0</v>
      </c>
      <c r="AP83" s="515">
        <f ca="1">SUMIFS(Налоги!AO$26:AO$69,Налоги!$F$26:$F$69,$F83,Налоги!$G$26:$G$69,$G83)</f>
        <v>0</v>
      </c>
      <c r="AQ83" s="515">
        <f ca="1">SUMIFS(Налоги!AP$26:AP$69,Налоги!$F$26:$F$69,$F83,Налоги!$G$26:$G$69,$G83)</f>
        <v>0</v>
      </c>
      <c r="AR83" s="515">
        <f ca="1">SUMIFS(Налоги!AQ$26:AQ$69,Налоги!$F$26:$F$69,$F83,Налоги!$G$26:$G$69,$G83)</f>
        <v>0</v>
      </c>
      <c r="AS83" s="515">
        <f ca="1">SUMIFS(Налоги!AR$26:AR$69,Налоги!$F$26:$F$69,$F83,Налоги!$G$26:$G$69,$G83)</f>
        <v>0</v>
      </c>
      <c r="AT83" s="515">
        <f ca="1">SUMIFS(Налоги!AS$26:AS$69,Налоги!$F$26:$F$69,$F83,Налоги!$G$26:$G$69,$G83)</f>
        <v>0</v>
      </c>
      <c r="AU83" s="515">
        <f ca="1">SUMIFS(Налоги!AT$26:AT$69,Налоги!$F$26:$F$69,$F83,Налоги!$G$26:$G$69,$G83)</f>
        <v>0</v>
      </c>
      <c r="AV83" s="515">
        <f ca="1">SUMIFS(Налоги!AU$26:AU$69,Налоги!$F$26:$F$69,$F83,Налоги!$G$26:$G$69,$G83)</f>
        <v>0</v>
      </c>
      <c r="AW83" s="515">
        <f ca="1">SUMIFS(Налоги!AV$26:AV$69,Налоги!$F$26:$F$69,$F83,Налоги!$G$26:$G$69,$G83)</f>
        <v>0</v>
      </c>
      <c r="AX83" s="515">
        <f ca="1">SUMIFS(Налоги!AW$26:AW$69,Налоги!$F$26:$F$69,$F83,Налоги!$G$26:$G$69,$G83)</f>
        <v>0</v>
      </c>
      <c r="AY83" s="515">
        <f ca="1">SUMIFS(Налоги!AX$26:AX$69,Налоги!$F$26:$F$69,$F83,Налоги!$G$26:$G$69,$G83)</f>
        <v>0</v>
      </c>
      <c r="AZ83" s="515">
        <f ca="1">SUMIFS(Налоги!AY$26:AY$69,Налоги!$F$26:$F$69,$F83,Налоги!$G$26:$G$69,$G83)</f>
        <v>0</v>
      </c>
      <c r="BA83" s="515">
        <f ca="1">SUMIFS(Налоги!AZ$26:AZ$69,Налоги!$F$26:$F$69,$F83,Налоги!$G$26:$G$69,$G83)</f>
        <v>0</v>
      </c>
      <c r="BB83" s="515">
        <f ca="1">SUMIFS(Налоги!BA$26:BA$69,Налоги!$F$26:$F$69,$F83,Налоги!$G$26:$G$69,$G83)</f>
        <v>0</v>
      </c>
      <c r="BC83" s="515">
        <f ca="1">SUMIFS(Налоги!BB$26:BB$69,Налоги!$F$26:$F$69,$F83,Налоги!$G$26:$G$69,$G83)</f>
        <v>0</v>
      </c>
      <c r="BD83" s="256">
        <f t="shared" ca="1" si="31"/>
        <v>0</v>
      </c>
      <c r="BE83" s="256">
        <f t="shared" ca="1" si="32"/>
        <v>0</v>
      </c>
      <c r="BF83" s="256">
        <f t="shared" ca="1" si="33"/>
        <v>0</v>
      </c>
      <c r="BG83" s="256">
        <f t="shared" ca="1" si="34"/>
        <v>0</v>
      </c>
      <c r="BH83" s="256">
        <f t="shared" ca="1" si="35"/>
        <v>0</v>
      </c>
      <c r="BI83" s="256">
        <f t="shared" ca="1" si="36"/>
        <v>0</v>
      </c>
      <c r="BJ83" s="256">
        <f t="shared" ca="1" si="37"/>
        <v>0</v>
      </c>
      <c r="BK83" s="256">
        <f t="shared" ca="1" si="38"/>
        <v>0</v>
      </c>
      <c r="BL83" s="256">
        <f t="shared" ca="1" si="39"/>
        <v>0</v>
      </c>
      <c r="BM83" s="256">
        <f t="shared" ca="1" si="40"/>
        <v>0</v>
      </c>
      <c r="BN83" s="1290"/>
      <c r="BO83" s="1290"/>
      <c r="BP83" s="1290"/>
      <c r="BQ83" s="180"/>
      <c r="BR83" s="180"/>
      <c r="BS83" s="981" t="s">
        <v>614</v>
      </c>
    </row>
    <row r="84" spans="1:71" s="1229" customFormat="1" ht="27" customHeight="1">
      <c r="A84" s="178"/>
      <c r="B84" s="783"/>
      <c r="C84" s="178"/>
      <c r="D84" s="178"/>
      <c r="E84" s="676">
        <v>27.8</v>
      </c>
      <c r="F84" s="779" t="str" cm="1">
        <f t="array" aca="1" ref="F84" ca="1">OFFSET(G84,-1,-1)</f>
        <v>2</v>
      </c>
      <c r="G84" s="143" t="s">
        <v>1342</v>
      </c>
      <c r="H84" s="180"/>
      <c r="I84" s="180"/>
      <c r="J84" s="180"/>
      <c r="K84" s="180"/>
      <c r="L84" s="180"/>
      <c r="M84" s="180"/>
      <c r="N84" s="180"/>
      <c r="O84" s="180"/>
      <c r="P84" s="180"/>
      <c r="Q84" s="143"/>
      <c r="R84" s="143"/>
      <c r="S84" s="180"/>
      <c r="T84" s="687" t="b" cm="1">
        <f t="array" ref="T84">T83</f>
        <v>1</v>
      </c>
      <c r="U84" s="1153"/>
      <c r="V84" s="1153"/>
      <c r="W84" s="1153"/>
      <c r="X84" s="1726"/>
      <c r="Y84" s="1153"/>
      <c r="Z84" s="1726"/>
      <c r="AA84" s="180"/>
      <c r="AB84" s="111" t="s">
        <v>437</v>
      </c>
      <c r="AC84" s="118" t="s">
        <v>1437</v>
      </c>
      <c r="AD84" s="111" t="s">
        <v>839</v>
      </c>
      <c r="AE84" s="1398"/>
      <c r="AF84" s="1398"/>
      <c r="AG84" s="1398"/>
      <c r="AH84" s="256">
        <f t="shared" si="30"/>
        <v>0</v>
      </c>
      <c r="AI84" s="1398"/>
      <c r="AJ84" s="515">
        <f ca="1">SUMIFS(Экономия_корр!AE$26:AE$51,Экономия_корр!$F$26:$F$51,$F84,Экономия_корр!$G$26:$G$51,$G84)</f>
        <v>0</v>
      </c>
      <c r="AK84" s="515">
        <f ca="1">SUMIFS(Экономия_корр!AF$26:AF$51,Экономия_корр!$F$26:$F$51,$F84,Экономия_корр!$G$26:$G$51,$G84)</f>
        <v>0</v>
      </c>
      <c r="AL84" s="515">
        <f ca="1">SUMIFS(Экономия_корр!AG$26:AG$51,Экономия_корр!$F$26:$F$51,$F84,Экономия_корр!$G$26:$G$51,$G84)</f>
        <v>0</v>
      </c>
      <c r="AM84" s="515">
        <f ca="1">SUMIFS(Экономия_корр!AH$26:AH$51,Экономия_корр!$F$26:$F$51,$F84,Экономия_корр!$G$26:$G$51,$G84)</f>
        <v>0</v>
      </c>
      <c r="AN84" s="515">
        <f ca="1">SUMIFS(Экономия_корр!AI$26:AI$51,Экономия_корр!$F$26:$F$51,$F84,Экономия_корр!$G$26:$G$51,$G84)</f>
        <v>0</v>
      </c>
      <c r="AO84" s="515">
        <f ca="1">SUMIFS(Экономия_корр!AJ$26:AJ$51,Экономия_корр!$F$26:$F$51,$F84,Экономия_корр!$G$26:$G$51,$G84)</f>
        <v>0</v>
      </c>
      <c r="AP84" s="515">
        <f ca="1">SUMIFS(Экономия_корр!AK$26:AK$51,Экономия_корр!$F$26:$F$51,$F84,Экономия_корр!$G$26:$G$51,$G84)</f>
        <v>0</v>
      </c>
      <c r="AQ84" s="515">
        <f ca="1">SUMIFS(Экономия_корр!AL$26:AL$51,Экономия_корр!$F$26:$F$51,$F84,Экономия_корр!$G$26:$G$51,$G84)</f>
        <v>0</v>
      </c>
      <c r="AR84" s="515">
        <f ca="1">SUMIFS(Экономия_корр!AM$26:AM$51,Экономия_корр!$F$26:$F$51,$F84,Экономия_корр!$G$26:$G$51,$G84)</f>
        <v>0</v>
      </c>
      <c r="AS84" s="515">
        <f ca="1">SUMIFS(Экономия_корр!AN$26:AN$51,Экономия_корр!$F$26:$F$51,$F84,Экономия_корр!$G$26:$G$51,$G84)</f>
        <v>0</v>
      </c>
      <c r="AT84" s="515">
        <f ca="1">SUMIFS(Экономия_корр!AO$26:AO$51,Экономия_корр!$F$26:$F$51,$F84,Экономия_корр!$G$26:$G$51,$G84)</f>
        <v>0</v>
      </c>
      <c r="AU84" s="515">
        <f ca="1">SUMIFS(Экономия_корр!AP$26:AP$51,Экономия_корр!$F$26:$F$51,$F84,Экономия_корр!$G$26:$G$51,$G84)</f>
        <v>0</v>
      </c>
      <c r="AV84" s="515">
        <f ca="1">SUMIFS(Экономия_корр!AQ$26:AQ$51,Экономия_корр!$F$26:$F$51,$F84,Экономия_корр!$G$26:$G$51,$G84)</f>
        <v>0</v>
      </c>
      <c r="AW84" s="515">
        <f ca="1">SUMIFS(Экономия_корр!AR$26:AR$51,Экономия_корр!$F$26:$F$51,$F84,Экономия_корр!$G$26:$G$51,$G84)</f>
        <v>0</v>
      </c>
      <c r="AX84" s="515">
        <f ca="1">SUMIFS(Экономия_корр!AS$26:AS$51,Экономия_корр!$F$26:$F$51,$F84,Экономия_корр!$G$26:$G$51,$G84)</f>
        <v>0</v>
      </c>
      <c r="AY84" s="515">
        <f ca="1">SUMIFS(Экономия_корр!AT$26:AT$51,Экономия_корр!$F$26:$F$51,$F84,Экономия_корр!$G$26:$G$51,$G84)</f>
        <v>0</v>
      </c>
      <c r="AZ84" s="515">
        <f ca="1">SUMIFS(Экономия_корр!AU$26:AU$51,Экономия_корр!$F$26:$F$51,$F84,Экономия_корр!$G$26:$G$51,$G84)</f>
        <v>0</v>
      </c>
      <c r="BA84" s="515">
        <f ca="1">SUMIFS(Экономия_корр!AV$26:AV$51,Экономия_корр!$F$26:$F$51,$F84,Экономия_корр!$G$26:$G$51,$G84)</f>
        <v>0</v>
      </c>
      <c r="BB84" s="515">
        <f ca="1">SUMIFS(Экономия_корр!AW$26:AW$51,Экономия_корр!$F$26:$F$51,$F84,Экономия_корр!$G$26:$G$51,$G84)</f>
        <v>0</v>
      </c>
      <c r="BC84" s="515">
        <f ca="1">SUMIFS(Экономия_корр!AX$26:AX$51,Экономия_корр!$F$26:$F$51,$F84,Экономия_корр!$G$26:$G$51,$G84)</f>
        <v>0</v>
      </c>
      <c r="BD84" s="256">
        <f t="shared" si="31"/>
        <v>0</v>
      </c>
      <c r="BE84" s="256">
        <f t="shared" ca="1" si="32"/>
        <v>0</v>
      </c>
      <c r="BF84" s="256">
        <f t="shared" ca="1" si="33"/>
        <v>0</v>
      </c>
      <c r="BG84" s="256">
        <f t="shared" ca="1" si="34"/>
        <v>0</v>
      </c>
      <c r="BH84" s="256">
        <f t="shared" ca="1" si="35"/>
        <v>0</v>
      </c>
      <c r="BI84" s="256">
        <f t="shared" ca="1" si="36"/>
        <v>0</v>
      </c>
      <c r="BJ84" s="256">
        <f t="shared" ca="1" si="37"/>
        <v>0</v>
      </c>
      <c r="BK84" s="256">
        <f t="shared" ca="1" si="38"/>
        <v>0</v>
      </c>
      <c r="BL84" s="256">
        <f t="shared" ca="1" si="39"/>
        <v>0</v>
      </c>
      <c r="BM84" s="256">
        <f t="shared" ca="1" si="40"/>
        <v>0</v>
      </c>
      <c r="BN84" s="1290"/>
      <c r="BO84" s="1290"/>
      <c r="BP84" s="1290"/>
      <c r="BQ84" s="180"/>
      <c r="BR84" s="180"/>
      <c r="BS84" s="981" t="s">
        <v>1438</v>
      </c>
    </row>
    <row r="85" spans="1:71" s="1229" customFormat="1" ht="27" customHeight="1">
      <c r="A85" s="178"/>
      <c r="B85" s="783"/>
      <c r="C85" s="178"/>
      <c r="D85" s="178"/>
      <c r="E85" s="676">
        <v>27.8</v>
      </c>
      <c r="F85" s="779" t="str" cm="1">
        <f t="array" aca="1" ref="F85" ca="1">OFFSET(G85,-1,-1)</f>
        <v>2</v>
      </c>
      <c r="G85" s="180"/>
      <c r="H85" s="180"/>
      <c r="I85" s="180"/>
      <c r="J85" s="180"/>
      <c r="K85" s="180"/>
      <c r="L85" s="180"/>
      <c r="M85" s="180"/>
      <c r="N85" s="180"/>
      <c r="O85" s="180"/>
      <c r="P85" s="180"/>
      <c r="Q85" s="143"/>
      <c r="R85" s="143"/>
      <c r="S85" s="180"/>
      <c r="T85" s="687" t="b" cm="1">
        <f t="array" ref="T85">T84</f>
        <v>1</v>
      </c>
      <c r="U85" s="1153"/>
      <c r="V85" s="1153"/>
      <c r="W85" s="1153"/>
      <c r="X85" s="1726"/>
      <c r="Y85" s="1153"/>
      <c r="Z85" s="1726"/>
      <c r="AA85" s="180"/>
      <c r="AB85" s="111" t="s">
        <v>440</v>
      </c>
      <c r="AC85" s="118" t="s">
        <v>1439</v>
      </c>
      <c r="AD85" s="111" t="s">
        <v>839</v>
      </c>
      <c r="AE85" s="1398"/>
      <c r="AF85" s="1398"/>
      <c r="AG85" s="1398"/>
      <c r="AH85" s="256">
        <f t="shared" si="30"/>
        <v>0</v>
      </c>
      <c r="AI85" s="1398"/>
      <c r="AJ85" s="517"/>
      <c r="AK85" s="517"/>
      <c r="AL85" s="517"/>
      <c r="AM85" s="517"/>
      <c r="AN85" s="517"/>
      <c r="AO85" s="1398"/>
      <c r="AP85" s="1398"/>
      <c r="AQ85" s="1398"/>
      <c r="AR85" s="1398"/>
      <c r="AS85" s="1398"/>
      <c r="AT85" s="517"/>
      <c r="AU85" s="517"/>
      <c r="AV85" s="517"/>
      <c r="AW85" s="517"/>
      <c r="AX85" s="517"/>
      <c r="AY85" s="1398"/>
      <c r="AZ85" s="1398"/>
      <c r="BA85" s="1398"/>
      <c r="BB85" s="1398"/>
      <c r="BC85" s="1398"/>
      <c r="BD85" s="256">
        <f t="shared" si="31"/>
        <v>0</v>
      </c>
      <c r="BE85" s="256">
        <f t="shared" si="32"/>
        <v>0</v>
      </c>
      <c r="BF85" s="256">
        <f t="shared" si="33"/>
        <v>0</v>
      </c>
      <c r="BG85" s="256">
        <f t="shared" si="34"/>
        <v>0</v>
      </c>
      <c r="BH85" s="256">
        <f t="shared" si="35"/>
        <v>0</v>
      </c>
      <c r="BI85" s="256">
        <f t="shared" si="36"/>
        <v>0</v>
      </c>
      <c r="BJ85" s="256">
        <f t="shared" si="37"/>
        <v>0</v>
      </c>
      <c r="BK85" s="256">
        <f t="shared" si="38"/>
        <v>0</v>
      </c>
      <c r="BL85" s="256">
        <f t="shared" si="39"/>
        <v>0</v>
      </c>
      <c r="BM85" s="256">
        <f t="shared" si="40"/>
        <v>0</v>
      </c>
      <c r="BN85" s="1290"/>
      <c r="BO85" s="1290"/>
      <c r="BP85" s="1290"/>
      <c r="BQ85" s="180"/>
      <c r="BR85" s="180"/>
      <c r="BS85" s="981" t="s">
        <v>1440</v>
      </c>
    </row>
    <row r="86" spans="1:71" s="1407" customFormat="1" ht="14.25" customHeight="1">
      <c r="A86" s="185"/>
      <c r="B86" s="185"/>
      <c r="C86" s="185"/>
      <c r="D86" s="185"/>
      <c r="E86" s="676">
        <v>15</v>
      </c>
      <c r="F86" s="779" t="str" cm="1">
        <f t="array" aca="1" ref="F86" ca="1">OFFSET(G86,-1,-1)</f>
        <v>2</v>
      </c>
      <c r="G86" s="185"/>
      <c r="H86" s="185"/>
      <c r="I86" s="185"/>
      <c r="J86" s="185"/>
      <c r="K86" s="185"/>
      <c r="L86" s="185"/>
      <c r="M86" s="185"/>
      <c r="N86" s="185"/>
      <c r="O86" s="185"/>
      <c r="P86" s="185"/>
      <c r="Q86" s="185"/>
      <c r="R86" s="185"/>
      <c r="S86" s="185"/>
      <c r="T86" s="687" t="b" cm="1">
        <f t="array" ref="T86">T84</f>
        <v>1</v>
      </c>
      <c r="U86" s="185"/>
      <c r="V86" s="185"/>
      <c r="W86" s="185"/>
      <c r="X86" s="1823"/>
      <c r="Y86" s="185"/>
      <c r="Z86" s="1823"/>
      <c r="AA86" s="185"/>
      <c r="AB86" s="112" t="s">
        <v>443</v>
      </c>
      <c r="AC86" s="113" t="s">
        <v>1411</v>
      </c>
      <c r="AD86" s="112" t="s">
        <v>839</v>
      </c>
      <c r="AE86" s="518">
        <f ca="1">AE82+AE83+AE84+AE85</f>
        <v>0</v>
      </c>
      <c r="AF86" s="518">
        <f ca="1">AF82+AF83+AF84+AF85</f>
        <v>0</v>
      </c>
      <c r="AG86" s="1402">
        <f ca="1">AG82+AG83+AG84+AG85</f>
        <v>0</v>
      </c>
      <c r="AH86" s="256">
        <f t="shared" ca="1" si="30"/>
        <v>0</v>
      </c>
      <c r="AI86" s="518">
        <f t="shared" ref="AI86:BC86" ca="1" si="43">AI82+AI83+AI84+AI85</f>
        <v>18898.999999999902</v>
      </c>
      <c r="AJ86" s="518">
        <f t="shared" ca="1" si="43"/>
        <v>0</v>
      </c>
      <c r="AK86" s="518">
        <f t="shared" ca="1" si="43"/>
        <v>0</v>
      </c>
      <c r="AL86" s="518">
        <f t="shared" ca="1" si="43"/>
        <v>0</v>
      </c>
      <c r="AM86" s="518">
        <f t="shared" ca="1" si="43"/>
        <v>0</v>
      </c>
      <c r="AN86" s="518">
        <f t="shared" ca="1" si="43"/>
        <v>0</v>
      </c>
      <c r="AO86" s="518">
        <f t="shared" ca="1" si="43"/>
        <v>0</v>
      </c>
      <c r="AP86" s="518">
        <f t="shared" ca="1" si="43"/>
        <v>0</v>
      </c>
      <c r="AQ86" s="518">
        <f t="shared" ca="1" si="43"/>
        <v>0</v>
      </c>
      <c r="AR86" s="518">
        <f t="shared" ca="1" si="43"/>
        <v>0</v>
      </c>
      <c r="AS86" s="518">
        <f t="shared" ca="1" si="43"/>
        <v>0</v>
      </c>
      <c r="AT86" s="518">
        <f t="shared" ca="1" si="43"/>
        <v>31994.365203519999</v>
      </c>
      <c r="AU86" s="518">
        <f t="shared" ca="1" si="43"/>
        <v>0</v>
      </c>
      <c r="AV86" s="518">
        <f t="shared" ca="1" si="43"/>
        <v>0</v>
      </c>
      <c r="AW86" s="518">
        <f t="shared" ca="1" si="43"/>
        <v>0</v>
      </c>
      <c r="AX86" s="518">
        <f t="shared" ca="1" si="43"/>
        <v>0</v>
      </c>
      <c r="AY86" s="518">
        <f t="shared" ca="1" si="43"/>
        <v>0</v>
      </c>
      <c r="AZ86" s="518">
        <f t="shared" ca="1" si="43"/>
        <v>0</v>
      </c>
      <c r="BA86" s="518">
        <f t="shared" ca="1" si="43"/>
        <v>0</v>
      </c>
      <c r="BB86" s="518">
        <f t="shared" ca="1" si="43"/>
        <v>0</v>
      </c>
      <c r="BC86" s="518">
        <f t="shared" ca="1" si="43"/>
        <v>0</v>
      </c>
      <c r="BD86" s="255">
        <f t="shared" ca="1" si="31"/>
        <v>69.291312786497514</v>
      </c>
      <c r="BE86" s="255">
        <f t="shared" ca="1" si="32"/>
        <v>-100</v>
      </c>
      <c r="BF86" s="255">
        <f t="shared" ca="1" si="33"/>
        <v>0</v>
      </c>
      <c r="BG86" s="255">
        <f t="shared" ca="1" si="34"/>
        <v>0</v>
      </c>
      <c r="BH86" s="255">
        <f t="shared" ca="1" si="35"/>
        <v>0</v>
      </c>
      <c r="BI86" s="255">
        <f t="shared" ca="1" si="36"/>
        <v>0</v>
      </c>
      <c r="BJ86" s="255">
        <f t="shared" ca="1" si="37"/>
        <v>0</v>
      </c>
      <c r="BK86" s="255">
        <f t="shared" ca="1" si="38"/>
        <v>0</v>
      </c>
      <c r="BL86" s="255">
        <f t="shared" ca="1" si="39"/>
        <v>0</v>
      </c>
      <c r="BM86" s="255">
        <f t="shared" ca="1" si="40"/>
        <v>0</v>
      </c>
      <c r="BN86" s="1290"/>
      <c r="BO86" s="1290"/>
      <c r="BP86" s="1290"/>
      <c r="BQ86" s="185"/>
      <c r="BR86" s="185"/>
      <c r="BS86" s="981" t="s">
        <v>1441</v>
      </c>
    </row>
    <row r="87" spans="1:71" ht="9.9499999999999993" customHeight="1">
      <c r="E87" s="676">
        <v>10.199999999999999</v>
      </c>
      <c r="U87" s="129" t="s">
        <v>238</v>
      </c>
      <c r="V87" s="122" t="s">
        <v>1442</v>
      </c>
    </row>
    <row r="88" spans="1:71" ht="11.25" hidden="1" customHeight="1">
      <c r="E88" s="676">
        <v>0</v>
      </c>
    </row>
    <row r="89" spans="1:71" ht="14.65" customHeight="1">
      <c r="E89" s="676">
        <v>15</v>
      </c>
      <c r="AB89" s="1802" t="s">
        <v>734</v>
      </c>
      <c r="AC89" s="1802"/>
      <c r="AD89" s="1802"/>
      <c r="AE89" s="1802"/>
      <c r="AF89" s="1802"/>
      <c r="AG89" s="1802"/>
      <c r="AH89" s="1802"/>
      <c r="AI89" s="1802"/>
      <c r="AJ89" s="1802"/>
      <c r="AK89" s="1802"/>
      <c r="AL89" s="1802"/>
      <c r="AM89" s="1802"/>
      <c r="AN89" s="1802"/>
      <c r="AO89" s="1802"/>
      <c r="AP89" s="1802"/>
      <c r="AQ89" s="1802"/>
      <c r="AR89" s="1802"/>
      <c r="AS89" s="1802"/>
      <c r="AT89" s="1802"/>
      <c r="AU89" s="1802"/>
      <c r="AV89" s="1802"/>
      <c r="AW89" s="1802"/>
      <c r="AX89" s="1802"/>
      <c r="AY89" s="1802"/>
      <c r="AZ89" s="1802"/>
      <c r="BA89" s="1802"/>
      <c r="BB89" s="1802"/>
      <c r="BC89" s="1802"/>
      <c r="BD89" s="1802"/>
      <c r="BE89" s="1802"/>
      <c r="BF89" s="1802"/>
      <c r="BG89" s="1802"/>
      <c r="BH89" s="1802"/>
      <c r="BI89" s="1802"/>
      <c r="BJ89" s="1802"/>
      <c r="BK89" s="1802"/>
      <c r="BL89" s="1802"/>
      <c r="BM89" s="1802"/>
      <c r="BN89" s="1802"/>
      <c r="BO89" s="1802"/>
      <c r="BP89" s="1802"/>
    </row>
    <row r="90" spans="1:71" ht="14.65" customHeight="1">
      <c r="E90" s="676">
        <v>15</v>
      </c>
      <c r="AA90" s="778"/>
      <c r="AB90" s="1817"/>
      <c r="AC90" s="1818"/>
      <c r="AD90" s="1818"/>
      <c r="AE90" s="1818"/>
      <c r="AF90" s="1818"/>
      <c r="AG90" s="1818"/>
      <c r="AH90" s="1818"/>
      <c r="AI90" s="1818"/>
      <c r="AJ90" s="1818"/>
      <c r="AK90" s="1818"/>
      <c r="AL90" s="1818"/>
      <c r="AM90" s="1818"/>
      <c r="AN90" s="1818"/>
      <c r="AO90" s="1818"/>
      <c r="AP90" s="1818"/>
      <c r="AQ90" s="1818"/>
      <c r="AR90" s="1818"/>
      <c r="AS90" s="1818"/>
      <c r="AT90" s="1818"/>
      <c r="AU90" s="1818"/>
      <c r="AV90" s="1818"/>
      <c r="AW90" s="1818"/>
      <c r="AX90" s="1818"/>
      <c r="AY90" s="1818"/>
      <c r="AZ90" s="1818"/>
      <c r="BA90" s="1818"/>
      <c r="BB90" s="1818"/>
      <c r="BC90" s="1818"/>
      <c r="BD90" s="1818"/>
      <c r="BE90" s="1818"/>
      <c r="BF90" s="1818"/>
      <c r="BG90" s="1818"/>
      <c r="BH90" s="1818"/>
      <c r="BI90" s="1818"/>
      <c r="BJ90" s="1818"/>
      <c r="BK90" s="1818"/>
      <c r="BL90" s="1818"/>
      <c r="BM90" s="1818"/>
      <c r="BN90" s="1818"/>
      <c r="BO90" s="1818"/>
      <c r="BP90" s="1818"/>
    </row>
    <row r="91" spans="1:71" ht="14.65" hidden="1" customHeight="1">
      <c r="E91" s="676">
        <v>15</v>
      </c>
      <c r="T91" s="687" t="b">
        <f>ROW(W91)&gt;ROW(W$91)</f>
        <v>0</v>
      </c>
      <c r="W91" s="126" t="s">
        <v>236</v>
      </c>
      <c r="AA91" s="774" t="s">
        <v>218</v>
      </c>
      <c r="AB91" s="1820"/>
      <c r="AC91" s="1818"/>
      <c r="AD91" s="1818"/>
      <c r="AE91" s="1818"/>
      <c r="AF91" s="1818"/>
      <c r="AG91" s="1818"/>
      <c r="AH91" s="1818"/>
      <c r="AI91" s="1818"/>
      <c r="AJ91" s="1818"/>
      <c r="AK91" s="1818"/>
      <c r="AL91" s="1818"/>
      <c r="AM91" s="1818"/>
      <c r="AN91" s="1818"/>
      <c r="AO91" s="1818"/>
      <c r="AP91" s="1818"/>
      <c r="AQ91" s="1818"/>
      <c r="AR91" s="1818"/>
      <c r="AS91" s="1818"/>
      <c r="AT91" s="1818"/>
      <c r="AU91" s="1818"/>
      <c r="AV91" s="1818"/>
      <c r="AW91" s="1818"/>
      <c r="AX91" s="1818"/>
      <c r="AY91" s="1818"/>
      <c r="AZ91" s="1818"/>
      <c r="BA91" s="1818"/>
      <c r="BB91" s="1818"/>
      <c r="BC91" s="1818"/>
      <c r="BD91" s="1818"/>
      <c r="BE91" s="1818"/>
      <c r="BF91" s="1818"/>
      <c r="BG91" s="1818"/>
      <c r="BH91" s="1818"/>
      <c r="BI91" s="1818"/>
      <c r="BJ91" s="1818"/>
      <c r="BK91" s="1818"/>
      <c r="BL91" s="1818"/>
      <c r="BM91" s="1818"/>
      <c r="BN91" s="1818"/>
      <c r="BO91" s="1818"/>
      <c r="BP91" s="1818"/>
    </row>
    <row r="92" spans="1:71" ht="14.65" customHeight="1">
      <c r="E92" s="676">
        <v>15</v>
      </c>
      <c r="W92" s="122" t="s">
        <v>237</v>
      </c>
      <c r="AA92" s="163"/>
      <c r="AB92" s="1736" t="s">
        <v>735</v>
      </c>
      <c r="AC92" s="1737"/>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294"/>
    </row>
  </sheetData>
  <sheetProtection formatColumns="0" formatRows="0" insertRows="0" deleteColumns="0" deleteRows="0" sort="0" autoFilter="0"/>
  <mergeCells count="20">
    <mergeCell ref="BO24:BO25"/>
    <mergeCell ref="BP24:BP25"/>
    <mergeCell ref="BD25:BM25"/>
    <mergeCell ref="AB28:AC28"/>
    <mergeCell ref="AB92:AC92"/>
    <mergeCell ref="AB24:AB25"/>
    <mergeCell ref="AC24:AC25"/>
    <mergeCell ref="AD24:AD25"/>
    <mergeCell ref="BN24:BN25"/>
    <mergeCell ref="AB48:AC48"/>
    <mergeCell ref="AB68:AC68"/>
    <mergeCell ref="Z27:Z46"/>
    <mergeCell ref="X27:X46"/>
    <mergeCell ref="AB91:BP91"/>
    <mergeCell ref="AB89:BP89"/>
    <mergeCell ref="AB90:BP90"/>
    <mergeCell ref="Z47:Z66"/>
    <mergeCell ref="X47:X66"/>
    <mergeCell ref="Z67:Z86"/>
    <mergeCell ref="X67:X8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7ECA-5778-A5E2-1798-65F0CCFC303F}">
  <sheetPr>
    <tabColor rgb="FF92D050"/>
    <outlinePr summaryBelow="0" summaryRight="0"/>
    <pageSetUpPr fitToPage="1"/>
  </sheetPr>
  <dimension ref="A1:BS62"/>
  <sheetViews>
    <sheetView showGridLines="0" workbookViewId="0">
      <pane xSplit="30" ySplit="25" topLeftCell="AN44" activePane="bottomRight" state="frozen"/>
      <selection pane="topRight" activeCell="AE1" sqref="AE1"/>
      <selection pane="bottomLeft" activeCell="A26" sqref="A26"/>
      <selection pane="bottomRight" activeCell="BD45" sqref="BD45"/>
    </sheetView>
  </sheetViews>
  <sheetFormatPr defaultColWidth="9.140625" defaultRowHeight="11.25" customHeight="1"/>
  <cols>
    <col min="1" max="1" width="3.5703125" style="178" hidden="1" customWidth="1"/>
    <col min="2" max="2" width="8.5703125" style="783" hidden="1" customWidth="1"/>
    <col min="3" max="4" width="3.5703125" style="178" hidden="1" customWidth="1"/>
    <col min="5" max="5" width="8.42578125" style="782" hidden="1" customWidth="1"/>
    <col min="6" max="6" width="6.42578125" style="178" hidden="1" customWidth="1"/>
    <col min="7" max="11" width="3.5703125" style="180" hidden="1" customWidth="1"/>
    <col min="12" max="12" width="7" style="180" hidden="1" customWidth="1"/>
    <col min="13" max="16" width="3.5703125" style="180" hidden="1" customWidth="1"/>
    <col min="17" max="17" width="3.5703125" style="143" hidden="1" customWidth="1"/>
    <col min="18" max="18" width="12.7109375" style="143" hidden="1" customWidth="1"/>
    <col min="19" max="19" width="3.5703125" style="180" hidden="1" customWidth="1"/>
    <col min="20" max="20" width="8.7109375" style="178" hidden="1" customWidth="1"/>
    <col min="21" max="21" width="6" style="178" hidden="1" customWidth="1"/>
    <col min="22" max="23" width="6.28515625" style="178" hidden="1" customWidth="1"/>
    <col min="24" max="25" width="5.7109375" style="178" hidden="1" customWidth="1"/>
    <col min="26" max="26" width="5.42578125" style="178"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40" width="12.5703125" style="180" customWidth="1"/>
    <col min="41" max="45" width="12.5703125" style="180" hidden="1" customWidth="1"/>
    <col min="46" max="50" width="12.5703125" style="180" customWidth="1"/>
    <col min="51" max="55" width="12.5703125" style="180" hidden="1" customWidth="1"/>
    <col min="56" max="60" width="12.5703125" style="180" customWidth="1"/>
    <col min="61"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29" hidden="1"/>
  </cols>
  <sheetData>
    <row r="1" spans="1:71" s="178" customFormat="1" ht="12" hidden="1" customHeight="1">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C1" s="182"/>
      <c r="BS1" s="958" t="s">
        <v>383</v>
      </c>
    </row>
    <row r="2" spans="1:71" s="783" customFormat="1" ht="12" hidden="1" customHeight="1">
      <c r="B2" s="768" t="s">
        <v>15</v>
      </c>
      <c r="G2" s="786"/>
      <c r="H2" s="786"/>
      <c r="I2" s="786"/>
      <c r="J2" s="786"/>
      <c r="K2" s="786"/>
      <c r="L2" s="786"/>
      <c r="M2" s="786"/>
      <c r="N2" s="786"/>
      <c r="O2" s="786"/>
      <c r="P2" s="786"/>
      <c r="Q2" s="786"/>
      <c r="R2" s="786"/>
      <c r="S2" s="786"/>
      <c r="AC2" s="671"/>
      <c r="AJ2" s="688" t="b">
        <f t="shared" ref="AJ2:BM2" si="0">AJ6&lt;=last_year_vis</f>
        <v>1</v>
      </c>
      <c r="AK2" s="688" t="b">
        <f t="shared" si="0"/>
        <v>1</v>
      </c>
      <c r="AL2" s="688" t="b">
        <f t="shared" si="0"/>
        <v>1</v>
      </c>
      <c r="AM2" s="688" t="b">
        <f t="shared" si="0"/>
        <v>1</v>
      </c>
      <c r="AN2" s="688" t="b">
        <f t="shared" si="0"/>
        <v>1</v>
      </c>
      <c r="AO2" s="688" t="b">
        <f t="shared" si="0"/>
        <v>0</v>
      </c>
      <c r="AP2" s="688" t="b">
        <f t="shared" si="0"/>
        <v>0</v>
      </c>
      <c r="AQ2" s="688" t="b">
        <f t="shared" si="0"/>
        <v>0</v>
      </c>
      <c r="AR2" s="688" t="b">
        <f t="shared" si="0"/>
        <v>0</v>
      </c>
      <c r="AS2" s="688" t="b">
        <f t="shared" si="0"/>
        <v>0</v>
      </c>
      <c r="AT2" s="688" t="b">
        <f t="shared" si="0"/>
        <v>1</v>
      </c>
      <c r="AU2" s="688" t="b">
        <f t="shared" si="0"/>
        <v>1</v>
      </c>
      <c r="AV2" s="688" t="b">
        <f t="shared" si="0"/>
        <v>1</v>
      </c>
      <c r="AW2" s="688" t="b">
        <f t="shared" si="0"/>
        <v>1</v>
      </c>
      <c r="AX2" s="688" t="b">
        <f t="shared" si="0"/>
        <v>1</v>
      </c>
      <c r="AY2" s="688" t="b">
        <f t="shared" si="0"/>
        <v>0</v>
      </c>
      <c r="AZ2" s="688" t="b">
        <f t="shared" si="0"/>
        <v>0</v>
      </c>
      <c r="BA2" s="688" t="b">
        <f t="shared" si="0"/>
        <v>0</v>
      </c>
      <c r="BB2" s="688" t="b">
        <f t="shared" si="0"/>
        <v>0</v>
      </c>
      <c r="BC2" s="688" t="b">
        <f t="shared" si="0"/>
        <v>0</v>
      </c>
      <c r="BD2" s="688" t="b">
        <f t="shared" si="0"/>
        <v>1</v>
      </c>
      <c r="BE2" s="688" t="b">
        <f t="shared" si="0"/>
        <v>1</v>
      </c>
      <c r="BF2" s="688" t="b">
        <f t="shared" si="0"/>
        <v>1</v>
      </c>
      <c r="BG2" s="688" t="b">
        <f t="shared" si="0"/>
        <v>1</v>
      </c>
      <c r="BH2" s="688" t="b">
        <f t="shared" si="0"/>
        <v>1</v>
      </c>
      <c r="BI2" s="688" t="b">
        <f t="shared" si="0"/>
        <v>0</v>
      </c>
      <c r="BJ2" s="688" t="b">
        <f t="shared" si="0"/>
        <v>0</v>
      </c>
      <c r="BK2" s="688" t="b">
        <f t="shared" si="0"/>
        <v>0</v>
      </c>
      <c r="BL2" s="688" t="b">
        <f t="shared" si="0"/>
        <v>0</v>
      </c>
      <c r="BM2" s="688" t="b">
        <f t="shared" si="0"/>
        <v>0</v>
      </c>
      <c r="BS2" s="957"/>
    </row>
    <row r="3" spans="1:71" s="178" customFormat="1" ht="12" hidden="1" customHeight="1">
      <c r="B3" s="667"/>
      <c r="E3" s="667"/>
      <c r="G3" s="180"/>
      <c r="H3" s="180"/>
      <c r="I3" s="180"/>
      <c r="J3" s="180"/>
      <c r="K3" s="180"/>
      <c r="L3" s="180"/>
      <c r="M3" s="180"/>
      <c r="N3" s="180"/>
      <c r="O3" s="180"/>
      <c r="P3" s="180"/>
      <c r="Q3" s="143"/>
      <c r="R3" s="143"/>
      <c r="S3" s="180"/>
      <c r="AC3" s="182"/>
      <c r="BS3" s="1029"/>
    </row>
    <row r="4" spans="1:71" s="178" customFormat="1" ht="12" hidden="1" customHeight="1">
      <c r="B4" s="667"/>
      <c r="E4" s="667"/>
      <c r="G4" s="180"/>
      <c r="H4" s="180"/>
      <c r="I4" s="180"/>
      <c r="J4" s="180"/>
      <c r="K4" s="180"/>
      <c r="L4" s="180"/>
      <c r="M4" s="180"/>
      <c r="N4" s="180"/>
      <c r="O4" s="180"/>
      <c r="P4" s="180"/>
      <c r="Q4" s="143"/>
      <c r="R4" s="143"/>
      <c r="S4" s="180"/>
      <c r="AC4" s="182"/>
      <c r="BS4" s="1029"/>
    </row>
    <row r="5" spans="1:71"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57"/>
    </row>
    <row r="6" spans="1:71" s="178" customFormat="1" ht="12" hidden="1" customHeight="1">
      <c r="B6" s="667"/>
      <c r="E6" s="676"/>
      <c r="G6" s="180"/>
      <c r="H6" s="180"/>
      <c r="I6" s="180"/>
      <c r="J6" s="180"/>
      <c r="K6" s="180"/>
      <c r="L6" s="180"/>
      <c r="M6" s="180"/>
      <c r="N6" s="180"/>
      <c r="O6" s="180"/>
      <c r="P6" s="180"/>
      <c r="Q6" s="143"/>
      <c r="R6" s="143"/>
      <c r="S6" s="180"/>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29"/>
    </row>
    <row r="7" spans="1:71" ht="12" hidden="1" customHeight="1">
      <c r="F7" s="180"/>
      <c r="T7" s="180"/>
      <c r="U7" s="180"/>
      <c r="V7" s="180"/>
      <c r="W7" s="180"/>
      <c r="X7" s="180"/>
      <c r="Y7" s="180"/>
      <c r="Z7" s="180"/>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c r="BI7" s="163"/>
      <c r="BJ7" s="163"/>
      <c r="BK7" s="163"/>
      <c r="BL7" s="163"/>
      <c r="BM7" s="163"/>
    </row>
    <row r="8" spans="1:71" ht="12" hidden="1" customHeight="1">
      <c r="F8" s="180"/>
      <c r="T8" s="180"/>
      <c r="U8" s="180"/>
      <c r="V8" s="180"/>
      <c r="W8" s="180"/>
      <c r="X8" s="180"/>
      <c r="Y8" s="180"/>
      <c r="Z8" s="180"/>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c r="BI8" s="163"/>
      <c r="BJ8" s="163"/>
      <c r="BK8" s="163"/>
      <c r="BL8" s="163"/>
      <c r="BM8" s="163"/>
    </row>
    <row r="9" spans="1:71" s="1030" customFormat="1" ht="12" hidden="1" customHeight="1">
      <c r="A9" s="958" t="s">
        <v>472</v>
      </c>
      <c r="B9" s="951"/>
      <c r="E9" s="951"/>
      <c r="Q9" s="1008"/>
      <c r="R9" s="1008"/>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29"/>
    </row>
    <row r="10" spans="1:71" s="1030" customFormat="1" ht="12" hidden="1" customHeight="1">
      <c r="A10" s="958" t="s">
        <v>473</v>
      </c>
      <c r="B10" s="951"/>
      <c r="E10" s="951"/>
      <c r="Q10" s="1008"/>
      <c r="R10" s="1008"/>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9"/>
    </row>
    <row r="11" spans="1:71" s="1030" customFormat="1" ht="12" hidden="1" customHeight="1">
      <c r="A11" s="958" t="s">
        <v>474</v>
      </c>
      <c r="B11" s="951"/>
      <c r="E11" s="951"/>
      <c r="G11" s="1033"/>
      <c r="H11" s="1033"/>
      <c r="I11" s="1033"/>
      <c r="J11" s="1033"/>
      <c r="K11" s="1033"/>
      <c r="L11" s="1033"/>
      <c r="M11" s="1033"/>
      <c r="N11" s="1033"/>
      <c r="O11" s="1033"/>
      <c r="P11" s="1033"/>
      <c r="Q11" s="1010"/>
      <c r="R11" s="1010"/>
      <c r="S11" s="1033"/>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9"/>
    </row>
    <row r="12" spans="1:71" s="178" customFormat="1" ht="12" hidden="1" customHeight="1">
      <c r="B12" s="667"/>
      <c r="E12" s="676"/>
      <c r="G12" s="180"/>
      <c r="H12" s="180"/>
      <c r="I12" s="180"/>
      <c r="J12" s="180"/>
      <c r="K12" s="180"/>
      <c r="L12" s="180"/>
      <c r="M12" s="180"/>
      <c r="N12" s="180"/>
      <c r="O12" s="180"/>
      <c r="P12" s="180"/>
      <c r="Q12" s="143"/>
      <c r="R12" s="143"/>
      <c r="S12" s="180"/>
      <c r="AC12" s="182"/>
      <c r="BS12" s="1029"/>
    </row>
    <row r="13" spans="1:71" s="178" customFormat="1" ht="12" hidden="1" customHeight="1">
      <c r="B13" s="667"/>
      <c r="E13" s="676"/>
      <c r="G13" s="180"/>
      <c r="H13" s="180"/>
      <c r="I13" s="180"/>
      <c r="J13" s="180"/>
      <c r="K13" s="180"/>
      <c r="L13" s="180"/>
      <c r="M13" s="180"/>
      <c r="N13" s="180"/>
      <c r="O13" s="180"/>
      <c r="P13" s="180"/>
      <c r="Q13" s="143"/>
      <c r="R13" s="143"/>
      <c r="S13" s="180"/>
      <c r="AC13" s="182"/>
      <c r="BS13" s="1029"/>
    </row>
    <row r="14" spans="1:71" s="178" customFormat="1" ht="12" hidden="1" customHeight="1">
      <c r="B14" s="667"/>
      <c r="E14" s="676"/>
      <c r="G14" s="180"/>
      <c r="H14" s="180"/>
      <c r="I14" s="180"/>
      <c r="J14" s="180"/>
      <c r="K14" s="180"/>
      <c r="L14" s="180"/>
      <c r="M14" s="180"/>
      <c r="N14" s="180"/>
      <c r="O14" s="180"/>
      <c r="P14" s="180"/>
      <c r="Q14" s="143"/>
      <c r="R14" s="143"/>
      <c r="S14" s="180"/>
      <c r="AC14" s="182"/>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S14" s="1029"/>
    </row>
    <row r="15" spans="1:71" s="178" customFormat="1" ht="12" hidden="1" customHeight="1">
      <c r="B15" s="667"/>
      <c r="E15" s="676"/>
      <c r="G15" s="180"/>
      <c r="H15" s="180"/>
      <c r="I15" s="180"/>
      <c r="J15" s="180"/>
      <c r="K15" s="180"/>
      <c r="L15" s="180"/>
      <c r="M15" s="180"/>
      <c r="N15" s="180"/>
      <c r="O15" s="180"/>
      <c r="P15" s="180"/>
      <c r="Q15" s="143"/>
      <c r="R15" s="143"/>
      <c r="S15" s="180"/>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29"/>
    </row>
    <row r="16" spans="1:71" s="178" customFormat="1" ht="12" hidden="1" customHeight="1">
      <c r="B16" s="667"/>
      <c r="E16" s="676"/>
      <c r="G16" s="180"/>
      <c r="H16" s="180"/>
      <c r="I16" s="180"/>
      <c r="J16" s="180"/>
      <c r="K16" s="180"/>
      <c r="L16" s="180"/>
      <c r="M16" s="180"/>
      <c r="N16" s="180"/>
      <c r="O16" s="180"/>
      <c r="P16" s="180"/>
      <c r="Q16" s="143"/>
      <c r="R16" s="143"/>
      <c r="S16" s="180"/>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29"/>
    </row>
    <row r="17" spans="1:71" s="178" customFormat="1" ht="12" hidden="1" customHeight="1">
      <c r="B17" s="667"/>
      <c r="E17" s="676"/>
      <c r="G17" s="180"/>
      <c r="H17" s="180"/>
      <c r="I17" s="180"/>
      <c r="J17" s="180"/>
      <c r="K17" s="180"/>
      <c r="L17" s="180"/>
      <c r="M17" s="180"/>
      <c r="N17" s="180"/>
      <c r="O17" s="180"/>
      <c r="P17" s="180"/>
      <c r="Q17" s="143"/>
      <c r="R17" s="143"/>
      <c r="S17" s="180"/>
      <c r="AC17" s="182"/>
      <c r="BS17" s="1029"/>
    </row>
    <row r="18" spans="1:71" s="178" customFormat="1" ht="12" hidden="1" customHeight="1">
      <c r="B18" s="667"/>
      <c r="E18" s="676"/>
      <c r="G18" s="180"/>
      <c r="H18" s="180"/>
      <c r="I18" s="180"/>
      <c r="J18" s="180"/>
      <c r="K18" s="180"/>
      <c r="L18" s="180"/>
      <c r="M18" s="180"/>
      <c r="N18" s="180"/>
      <c r="O18" s="180"/>
      <c r="P18" s="180"/>
      <c r="Q18" s="143"/>
      <c r="R18" s="143"/>
      <c r="S18" s="180"/>
      <c r="AC18" s="182"/>
      <c r="BS18" s="1029"/>
    </row>
    <row r="19" spans="1:71" s="178" customFormat="1" ht="12" hidden="1" customHeight="1">
      <c r="B19" s="667"/>
      <c r="E19" s="676"/>
      <c r="G19" s="180"/>
      <c r="H19" s="180"/>
      <c r="I19" s="180"/>
      <c r="J19" s="180"/>
      <c r="K19" s="180"/>
      <c r="L19" s="180"/>
      <c r="M19" s="180"/>
      <c r="N19" s="180"/>
      <c r="O19" s="180"/>
      <c r="P19" s="180"/>
      <c r="Q19" s="143"/>
      <c r="R19" s="143"/>
      <c r="S19" s="180"/>
      <c r="AC19" s="182"/>
      <c r="BS19" s="1029"/>
    </row>
    <row r="20" spans="1:71" s="178" customFormat="1" ht="12" hidden="1" customHeight="1">
      <c r="B20" s="667"/>
      <c r="E20" s="676"/>
      <c r="G20" s="180"/>
      <c r="H20" s="180"/>
      <c r="I20" s="180"/>
      <c r="J20" s="180"/>
      <c r="K20" s="180"/>
      <c r="L20" s="180"/>
      <c r="M20" s="180"/>
      <c r="N20" s="180"/>
      <c r="O20" s="180"/>
      <c r="P20" s="180"/>
      <c r="Q20" s="143"/>
      <c r="R20" s="143"/>
      <c r="S20" s="180"/>
      <c r="AC20" s="182"/>
      <c r="BS20" s="1029"/>
    </row>
    <row r="21" spans="1:71" ht="14.65" customHeight="1">
      <c r="E21" s="676">
        <v>15</v>
      </c>
      <c r="AA21" s="699"/>
      <c r="AB21" s="180"/>
      <c r="AC21" s="343" t="str" cm="1">
        <f t="array" ref="AC21">tpl_title</f>
        <v>Кемеровская область / 2026 / ОАО «СКЭК» (ИНН:4205153492, КПП:420501001) / ДПР: 2021-2030</v>
      </c>
      <c r="AD21" s="180"/>
    </row>
    <row r="22" spans="1:71" s="1156" customFormat="1" ht="19.5" customHeight="1">
      <c r="A22" s="133"/>
      <c r="B22" s="667"/>
      <c r="C22" s="133"/>
      <c r="D22" s="133"/>
      <c r="E22" s="676">
        <v>20.100000000000001</v>
      </c>
      <c r="F22" s="133"/>
      <c r="Q22" s="143"/>
      <c r="R22" s="143"/>
      <c r="T22" s="133"/>
      <c r="U22" s="133"/>
      <c r="V22" s="133"/>
      <c r="W22" s="133"/>
      <c r="X22" s="133"/>
      <c r="Y22" s="133"/>
      <c r="Z22" s="133"/>
      <c r="AB22" s="333" t="s">
        <v>61</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S22" s="1019"/>
    </row>
    <row r="23" spans="1:71" s="1156" customFormat="1" ht="9.9499999999999993" customHeight="1">
      <c r="A23" s="133"/>
      <c r="B23" s="667"/>
      <c r="C23" s="133"/>
      <c r="D23" s="133"/>
      <c r="E23" s="676">
        <v>10.199999999999999</v>
      </c>
      <c r="F23" s="133"/>
      <c r="Q23" s="143"/>
      <c r="R23" s="143"/>
      <c r="T23" s="133"/>
      <c r="U23" s="133"/>
      <c r="V23" s="133"/>
      <c r="W23" s="133"/>
      <c r="X23" s="133"/>
      <c r="Y23" s="133"/>
      <c r="Z23" s="133"/>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1019"/>
    </row>
    <row r="24" spans="1:71" s="179" customFormat="1" ht="24.2" customHeight="1">
      <c r="A24" s="182"/>
      <c r="B24" s="671"/>
      <c r="C24" s="182"/>
      <c r="D24" s="182"/>
      <c r="E24" s="682">
        <v>24.8</v>
      </c>
      <c r="F24" s="182"/>
      <c r="Q24" s="788"/>
      <c r="R24" s="788"/>
      <c r="T24" s="182"/>
      <c r="U24" s="182"/>
      <c r="V24" s="182"/>
      <c r="W24" s="182"/>
      <c r="X24" s="182"/>
      <c r="Y24" s="182"/>
      <c r="Z24" s="182"/>
      <c r="AB24" s="1827" t="s">
        <v>396</v>
      </c>
      <c r="AC24" s="1827" t="s">
        <v>475</v>
      </c>
      <c r="AD24" s="1827" t="s">
        <v>476</v>
      </c>
      <c r="AE24" s="211" t="str">
        <f>god-2&amp;" год"</f>
        <v>2024 год</v>
      </c>
      <c r="AF24" s="1147" t="str">
        <f>god-2&amp;" год"</f>
        <v>2024 год</v>
      </c>
      <c r="AG24" s="211" t="str">
        <f>god-2&amp;" год"</f>
        <v>2024 год</v>
      </c>
      <c r="AH24" s="211" t="str">
        <f>god-2&amp;" год"</f>
        <v>2024 год</v>
      </c>
      <c r="AI24" s="120" t="str">
        <f>god-1&amp;" год"</f>
        <v>2025 год</v>
      </c>
      <c r="AJ24" s="1141" t="str">
        <f>god&amp;" год"</f>
        <v>2026 год</v>
      </c>
      <c r="AK24" s="1141" t="str">
        <f>god+1&amp;" год"</f>
        <v>2027 год</v>
      </c>
      <c r="AL24" s="1141" t="str">
        <f>god+2&amp;" год"</f>
        <v>2028 год</v>
      </c>
      <c r="AM24" s="1141" t="str">
        <f>god+3&amp;" год"</f>
        <v>2029 год</v>
      </c>
      <c r="AN24" s="1141" t="str">
        <f>god+4&amp;" год"</f>
        <v>2030 год</v>
      </c>
      <c r="AO24" s="1141" t="str">
        <f>god+5&amp;" год"</f>
        <v>2031 год</v>
      </c>
      <c r="AP24" s="1141" t="str">
        <f>god+6&amp;" год"</f>
        <v>2032 год</v>
      </c>
      <c r="AQ24" s="1141" t="str">
        <f>god+7&amp;" год"</f>
        <v>2033 год</v>
      </c>
      <c r="AR24" s="1141" t="str">
        <f>god+8&amp;" год"</f>
        <v>2034 год</v>
      </c>
      <c r="AS24" s="1141"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826" t="s">
        <v>1346</v>
      </c>
      <c r="BO24" s="1826" t="s">
        <v>630</v>
      </c>
      <c r="BP24" s="1826" t="s">
        <v>1347</v>
      </c>
      <c r="BS24" s="1029"/>
    </row>
    <row r="25" spans="1:71" s="179" customFormat="1" ht="44.65" customHeight="1">
      <c r="A25" s="182"/>
      <c r="B25" s="671"/>
      <c r="C25" s="182"/>
      <c r="D25" s="182"/>
      <c r="E25" s="682">
        <v>45.8</v>
      </c>
      <c r="F25" s="182"/>
      <c r="Q25" s="788"/>
      <c r="R25" s="788"/>
      <c r="T25" s="182"/>
      <c r="U25" s="182"/>
      <c r="V25" s="182"/>
      <c r="W25" s="182"/>
      <c r="X25" s="182"/>
      <c r="Y25" s="182"/>
      <c r="Z25" s="182"/>
      <c r="AB25" s="1827"/>
      <c r="AC25" s="1827"/>
      <c r="AD25" s="1827"/>
      <c r="AE25" s="120" t="s">
        <v>412</v>
      </c>
      <c r="AF25" s="1143" t="s">
        <v>631</v>
      </c>
      <c r="AG25" s="120" t="s">
        <v>632</v>
      </c>
      <c r="AH25" s="211" t="s">
        <v>1348</v>
      </c>
      <c r="AI25" s="120" t="s">
        <v>412</v>
      </c>
      <c r="AJ25" s="1142" t="s">
        <v>413</v>
      </c>
      <c r="AK25" s="1142" t="s">
        <v>413</v>
      </c>
      <c r="AL25" s="1142" t="s">
        <v>413</v>
      </c>
      <c r="AM25" s="1142" t="s">
        <v>413</v>
      </c>
      <c r="AN25" s="1142" t="s">
        <v>413</v>
      </c>
      <c r="AO25" s="1142" t="s">
        <v>413</v>
      </c>
      <c r="AP25" s="1142" t="s">
        <v>413</v>
      </c>
      <c r="AQ25" s="1142" t="s">
        <v>413</v>
      </c>
      <c r="AR25" s="1142" t="s">
        <v>413</v>
      </c>
      <c r="AS25" s="1142" t="s">
        <v>413</v>
      </c>
      <c r="AT25" s="351" t="s">
        <v>412</v>
      </c>
      <c r="AU25" s="351" t="s">
        <v>412</v>
      </c>
      <c r="AV25" s="351" t="s">
        <v>412</v>
      </c>
      <c r="AW25" s="351" t="s">
        <v>412</v>
      </c>
      <c r="AX25" s="351" t="s">
        <v>412</v>
      </c>
      <c r="AY25" s="351" t="s">
        <v>412</v>
      </c>
      <c r="AZ25" s="351" t="s">
        <v>412</v>
      </c>
      <c r="BA25" s="351" t="s">
        <v>412</v>
      </c>
      <c r="BB25" s="351" t="s">
        <v>412</v>
      </c>
      <c r="BC25" s="351" t="s">
        <v>412</v>
      </c>
      <c r="BD25" s="1826" t="s">
        <v>1349</v>
      </c>
      <c r="BE25" s="1826"/>
      <c r="BF25" s="1826"/>
      <c r="BG25" s="1826"/>
      <c r="BH25" s="1826"/>
      <c r="BI25" s="1826"/>
      <c r="BJ25" s="1826"/>
      <c r="BK25" s="1826"/>
      <c r="BL25" s="1826"/>
      <c r="BM25" s="1826"/>
      <c r="BN25" s="1826"/>
      <c r="BO25" s="1826"/>
      <c r="BP25" s="1826"/>
      <c r="BS25" s="1029"/>
    </row>
    <row r="26" spans="1:71" s="179" customFormat="1" ht="12" hidden="1" customHeight="1">
      <c r="A26" s="182"/>
      <c r="B26" s="671"/>
      <c r="C26" s="182"/>
      <c r="D26" s="182"/>
      <c r="E26" s="682">
        <v>0</v>
      </c>
      <c r="F26" s="182"/>
      <c r="Q26" s="788"/>
      <c r="R26" s="788"/>
      <c r="T26" s="182"/>
      <c r="U26" s="182"/>
      <c r="V26" s="182"/>
      <c r="W26" s="182"/>
      <c r="X26" s="182"/>
      <c r="Y26" s="182"/>
      <c r="Z26" s="18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29"/>
    </row>
    <row r="27" spans="1:71" s="170" customFormat="1" ht="16.5" hidden="1" customHeight="1">
      <c r="E27" s="676">
        <v>17</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J27" s="163" cm="1">
        <f t="array" ref="J27">INDEX('Общие сведения'!$AK$187:$AK$236,MATCH($F27,'Общие сведения'!$Z$187:$Z$236,0))</f>
        <v>0</v>
      </c>
      <c r="K27" s="163" cm="1">
        <f t="array" ref="K27">INDEX('Общие сведения'!$AH$187:$AH$236,MATCH($F27,'Общие сведения'!$Z$187:$Z$236,0))</f>
        <v>0</v>
      </c>
      <c r="L27" s="163" cm="1">
        <f t="array" ref="L27">INDEX('Общие сведения'!$AI$187:$AI$236,MATCH($F27,'Общие сведения'!$Z$187:$Z$236,0))</f>
        <v>0</v>
      </c>
      <c r="M27" s="163" cm="1">
        <f t="array" ref="M27">INDEX('Общие сведения'!$AJ$187:$AJ$236,MATCH($F27,'Общие сведения'!$Z$187:$Z$236,0))</f>
        <v>0</v>
      </c>
      <c r="T27" s="687" t="b">
        <f>X27&gt;0</f>
        <v>0</v>
      </c>
      <c r="V27" s="126" t="s">
        <v>315</v>
      </c>
      <c r="X27" s="1726">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S27" s="1002" t="str">
        <f>IF(AND(ISNUMBER(VALUE(TRIM(SUBSTITUTE(AB28,".","")))),TRIM(SUBSTITUTE(AB28,".",""))&lt;&gt;""),"P"&amp;SUBSTITUTE(AB28,".",""),"")</f>
        <v/>
      </c>
    </row>
    <row r="28" spans="1:71" s="170" customFormat="1" ht="16.5" hidden="1" customHeight="1">
      <c r="E28" s="676">
        <v>17</v>
      </c>
      <c r="F28" s="779" cm="1">
        <f t="array" aca="1" ref="F28" ca="1">OFFSET(G28,-1,-1)</f>
        <v>0</v>
      </c>
      <c r="K28" s="180" t="str">
        <f ca="1">F28&amp;"komm"</f>
        <v>0komm</v>
      </c>
      <c r="L28" s="179" cm="1">
        <f t="array" ref="L28">BO28</f>
        <v>0</v>
      </c>
      <c r="T28" s="687" t="b" cm="1">
        <f t="array" ref="T28">T27</f>
        <v>0</v>
      </c>
      <c r="X28" s="1724"/>
      <c r="Z28" s="1724"/>
      <c r="AB28" s="1824" t="s">
        <v>1443</v>
      </c>
      <c r="AC28" s="1825"/>
      <c r="AD28" s="252" t="s">
        <v>839</v>
      </c>
      <c r="AE28" s="255" cm="1">
        <f t="array" aca="1" ref="AE28" ca="1">AE35</f>
        <v>0</v>
      </c>
      <c r="AF28" s="255" cm="1">
        <f t="array" aca="1" ref="AF28" ca="1">AF35</f>
        <v>0</v>
      </c>
      <c r="AG28" s="255" cm="1">
        <f t="array" aca="1" ref="AG28" ca="1">AG35</f>
        <v>0</v>
      </c>
      <c r="AH28" s="255" cm="1">
        <f t="array" aca="1" ref="AH28" ca="1">AH35</f>
        <v>0</v>
      </c>
      <c r="AI28" s="255" cm="1">
        <f t="array" aca="1" ref="AI28" ca="1">AI35</f>
        <v>0</v>
      </c>
      <c r="AJ28" s="255" cm="1">
        <f t="array" aca="1" ref="AJ28" ca="1">AJ35</f>
        <v>0</v>
      </c>
      <c r="AK28" s="255" cm="1">
        <f t="array" aca="1" ref="AK28" ca="1">AK35</f>
        <v>0</v>
      </c>
      <c r="AL28" s="255" cm="1">
        <f t="array" aca="1" ref="AL28" ca="1">AL35</f>
        <v>0</v>
      </c>
      <c r="AM28" s="255" cm="1">
        <f t="array" aca="1" ref="AM28" ca="1">AM35</f>
        <v>0</v>
      </c>
      <c r="AN28" s="255" cm="1">
        <f t="array" aca="1" ref="AN28" ca="1">AN35</f>
        <v>0</v>
      </c>
      <c r="AO28" s="255" cm="1">
        <f t="array" aca="1" ref="AO28" ca="1">AO35</f>
        <v>0</v>
      </c>
      <c r="AP28" s="255" cm="1">
        <f t="array" aca="1" ref="AP28" ca="1">AP35</f>
        <v>0</v>
      </c>
      <c r="AQ28" s="255" cm="1">
        <f t="array" aca="1" ref="AQ28" ca="1">AQ35</f>
        <v>0</v>
      </c>
      <c r="AR28" s="255" cm="1">
        <f t="array" aca="1" ref="AR28" ca="1">AR35</f>
        <v>0</v>
      </c>
      <c r="AS28" s="255" cm="1">
        <f t="array" aca="1" ref="AS28" ca="1">AS35</f>
        <v>0</v>
      </c>
      <c r="AT28" s="255" cm="1">
        <f t="array" aca="1" ref="AT28" ca="1">AT35</f>
        <v>0</v>
      </c>
      <c r="AU28" s="255" cm="1">
        <f t="array" aca="1" ref="AU28" ca="1">AU35</f>
        <v>0</v>
      </c>
      <c r="AV28" s="255" cm="1">
        <f t="array" aca="1" ref="AV28" ca="1">AV35</f>
        <v>0</v>
      </c>
      <c r="AW28" s="255" cm="1">
        <f t="array" aca="1" ref="AW28" ca="1">AW35</f>
        <v>0</v>
      </c>
      <c r="AX28" s="255" cm="1">
        <f t="array" aca="1" ref="AX28" ca="1">AX35</f>
        <v>0</v>
      </c>
      <c r="AY28" s="255" cm="1">
        <f t="array" aca="1" ref="AY28" ca="1">AY35</f>
        <v>0</v>
      </c>
      <c r="AZ28" s="255" cm="1">
        <f t="array" aca="1" ref="AZ28" ca="1">AZ35</f>
        <v>0</v>
      </c>
      <c r="BA28" s="255" cm="1">
        <f t="array" aca="1" ref="BA28" ca="1">BA35</f>
        <v>0</v>
      </c>
      <c r="BB28" s="255" cm="1">
        <f t="array" aca="1" ref="BB28" ca="1">BB35</f>
        <v>0</v>
      </c>
      <c r="BC28" s="255" cm="1">
        <f t="array" aca="1" ref="BC28" ca="1">BC35</f>
        <v>0</v>
      </c>
      <c r="BD28" s="255" cm="1">
        <f t="array" aca="1" ref="BD28" ca="1">BD35</f>
        <v>0</v>
      </c>
      <c r="BE28" s="255" cm="1">
        <f t="array" aca="1" ref="BE28" ca="1">BE35</f>
        <v>0</v>
      </c>
      <c r="BF28" s="255" cm="1">
        <f t="array" aca="1" ref="BF28" ca="1">BF35</f>
        <v>0</v>
      </c>
      <c r="BG28" s="255" cm="1">
        <f t="array" aca="1" ref="BG28" ca="1">BG35</f>
        <v>0</v>
      </c>
      <c r="BH28" s="255" cm="1">
        <f t="array" aca="1" ref="BH28" ca="1">BH35</f>
        <v>0</v>
      </c>
      <c r="BI28" s="255" cm="1">
        <f t="array" aca="1" ref="BI28" ca="1">BI35</f>
        <v>0</v>
      </c>
      <c r="BJ28" s="255" cm="1">
        <f t="array" aca="1" ref="BJ28" ca="1">BJ35</f>
        <v>0</v>
      </c>
      <c r="BK28" s="255" cm="1">
        <f t="array" aca="1" ref="BK28" ca="1">BK35</f>
        <v>0</v>
      </c>
      <c r="BL28" s="255" cm="1">
        <f t="array" aca="1" ref="BL28" ca="1">BL35</f>
        <v>0</v>
      </c>
      <c r="BM28" s="255" cm="1">
        <f t="array" aca="1" ref="BM28" ca="1">BM35</f>
        <v>0</v>
      </c>
      <c r="BN28" s="28"/>
      <c r="BO28" s="28"/>
      <c r="BP28" s="28"/>
      <c r="BS28" s="1002" t="s">
        <v>1444</v>
      </c>
    </row>
    <row r="29" spans="1:71" ht="16.5" hidden="1" customHeight="1">
      <c r="E29" s="676">
        <v>17</v>
      </c>
      <c r="F29" s="779" cm="1">
        <f t="array" aca="1" ref="F29" ca="1">OFFSET(G29,-1,-1)</f>
        <v>0</v>
      </c>
      <c r="G29" s="143" t="s">
        <v>1445</v>
      </c>
      <c r="T29" s="687" t="b" cm="1">
        <f t="array" ref="T29">T28</f>
        <v>0</v>
      </c>
      <c r="X29" s="1830"/>
      <c r="Z29" s="1830"/>
      <c r="AB29" s="412" t="s">
        <v>341</v>
      </c>
      <c r="AC29" s="628" t="s">
        <v>1446</v>
      </c>
      <c r="AD29" s="419" t="s">
        <v>1077</v>
      </c>
      <c r="AE29" s="256">
        <f ca="1">SUMIFS('Топливо 4.4'!AH$27:AH$436,'Топливо 4.4'!$F$27:$F$436,$F29,'Топливо 4.4'!$G$27:$G$436,$G29)</f>
        <v>0</v>
      </c>
      <c r="AF29" s="256">
        <f ca="1">SUMIFS('Топливо 4.4'!AI$27:AI$436,'Топливо 4.4'!$F$27:$F$436,$F29,'Топливо 4.4'!$G$27:$G$436,$G29)</f>
        <v>0</v>
      </c>
      <c r="AG29" s="256">
        <f ca="1">SUMIFS('Топливо 4.4'!AJ$27:AJ$436,'Топливо 4.4'!$F$27:$F$436,$F29,'Топливо 4.4'!$G$27:$G$436,$G29)</f>
        <v>0</v>
      </c>
      <c r="AH29" s="256">
        <f t="shared" ref="AH29:AH36" ca="1" si="2">AG29-AF29</f>
        <v>0</v>
      </c>
      <c r="AI29" s="256">
        <f ca="1">SUMIFS('Топливо 4.4'!AK$27:AK$436,'Топливо 4.4'!$F$27:$F$436,$F29,'Топливо 4.4'!$G$27:$G$436,$G29)</f>
        <v>0</v>
      </c>
      <c r="AJ29" s="256">
        <f ca="1">SUMIFS('Топливо 4.4'!AL$27:AL$436,'Топливо 4.4'!$F$27:$F$436,$F29,'Топливо 4.4'!$G$27:$G$436,$G29)</f>
        <v>0</v>
      </c>
      <c r="AK29" s="256">
        <f ca="1">SUMIFS('Топливо 4.4'!AO$27:AO$436,'Топливо 4.4'!$F$27:$F$436,$F29,'Топливо 4.4'!$G$27:$G$436,$G29)</f>
        <v>0</v>
      </c>
      <c r="AL29" s="256">
        <f ca="1">SUMIFS('Топливо 4.4'!AR$27:AR$436,'Топливо 4.4'!$F$27:$F$436,$F29,'Топливо 4.4'!$G$27:$G$436,$G29)</f>
        <v>0</v>
      </c>
      <c r="AM29" s="256">
        <f ca="1">SUMIFS('Топливо 4.4'!AU$27:AU$436,'Топливо 4.4'!$F$27:$F$436,$F29,'Топливо 4.4'!$G$27:$G$436,$G29)</f>
        <v>0</v>
      </c>
      <c r="AN29" s="256">
        <f ca="1">SUMIFS('Топливо 4.4'!AX$27:AX$436,'Топливо 4.4'!$F$27:$F$436,$F29,'Топливо 4.4'!$G$27:$G$436,$G29)</f>
        <v>0</v>
      </c>
      <c r="AO29" s="256">
        <f ca="1">SUMIFS('Топливо 4.4'!BA$27:BA$436,'Топливо 4.4'!$F$27:$F$436,$F29,'Топливо 4.4'!$G$27:$G$436,$G29)</f>
        <v>0</v>
      </c>
      <c r="AP29" s="256">
        <f ca="1">SUMIFS('Топливо 4.4'!BD$27:BD$436,'Топливо 4.4'!$F$27:$F$436,$F29,'Топливо 4.4'!$G$27:$G$436,$G29)</f>
        <v>0</v>
      </c>
      <c r="AQ29" s="256">
        <f ca="1">SUMIFS('Топливо 4.4'!BG$27:BG$436,'Топливо 4.4'!$F$27:$F$436,$F29,'Топливо 4.4'!$G$27:$G$436,$G29)</f>
        <v>0</v>
      </c>
      <c r="AR29" s="256">
        <f ca="1">SUMIFS('Топливо 4.4'!BJ$27:BJ$436,'Топливо 4.4'!$F$27:$F$436,$F29,'Топливо 4.4'!$G$27:$G$436,$G29)</f>
        <v>0</v>
      </c>
      <c r="AS29" s="256">
        <f ca="1">SUMIFS('Топливо 4.4'!BM$27:BM$436,'Топливо 4.4'!$F$27:$F$436,$F29,'Топливо 4.4'!$G$27:$G$436,$G29)</f>
        <v>0</v>
      </c>
      <c r="AT29" s="256">
        <f ca="1">SUMIFS('Топливо 4.4'!BP$27:BP$436,'Топливо 4.4'!$F$27:$F$436,$F29,'Топливо 4.4'!$G$27:$G$436,$G29)</f>
        <v>0</v>
      </c>
      <c r="AU29" s="256">
        <f ca="1">SUMIFS('Топливо 4.4'!BS$27:BS$436,'Топливо 4.4'!$F$27:$F$436,$F29,'Топливо 4.4'!$G$27:$G$436,$G29)</f>
        <v>0</v>
      </c>
      <c r="AV29" s="256">
        <f ca="1">SUMIFS('Топливо 4.4'!BV$27:BV$436,'Топливо 4.4'!$F$27:$F$436,$F29,'Топливо 4.4'!$G$27:$G$436,$G29)</f>
        <v>0</v>
      </c>
      <c r="AW29" s="256">
        <f ca="1">SUMIFS('Топливо 4.4'!BY$27:BY$436,'Топливо 4.4'!$F$27:$F$436,$F29,'Топливо 4.4'!$G$27:$G$436,$G29)</f>
        <v>0</v>
      </c>
      <c r="AX29" s="256">
        <f ca="1">SUMIFS('Топливо 4.4'!CB$27:CB$436,'Топливо 4.4'!$F$27:$F$436,$F29,'Топливо 4.4'!$G$27:$G$436,$G29)</f>
        <v>0</v>
      </c>
      <c r="AY29" s="256">
        <f ca="1">SUMIFS('Топливо 4.4'!CE$27:CE$436,'Топливо 4.4'!$F$27:$F$436,$F29,'Топливо 4.4'!$G$27:$G$436,$G29)</f>
        <v>0</v>
      </c>
      <c r="AZ29" s="256">
        <f ca="1">SUMIFS('Топливо 4.4'!CH$27:CH$436,'Топливо 4.4'!$F$27:$F$436,$F29,'Топливо 4.4'!$G$27:$G$436,$G29)</f>
        <v>0</v>
      </c>
      <c r="BA29" s="256">
        <f ca="1">SUMIFS('Топливо 4.4'!CK$27:CK$436,'Топливо 4.4'!$F$27:$F$436,$F29,'Топливо 4.4'!$G$27:$G$436,$G29)</f>
        <v>0</v>
      </c>
      <c r="BB29" s="256">
        <f ca="1">SUMIFS('Топливо 4.4'!CN$27:CN$436,'Топливо 4.4'!$F$27:$F$436,$F29,'Топливо 4.4'!$G$27:$G$436,$G29)</f>
        <v>0</v>
      </c>
      <c r="BC29" s="256">
        <f ca="1">SUMIFS('Топливо 4.4'!CQ$27:CQ$436,'Топливо 4.4'!$F$27:$F$436,$F29,'Топливо 4.4'!$G$27:$G$436,$G29)</f>
        <v>0</v>
      </c>
      <c r="BD29" s="256">
        <f t="shared" ref="BD29:BD36" ca="1" si="3">IF(AI29=0,0,(AT29-AI29)/AI29*100)</f>
        <v>0</v>
      </c>
      <c r="BE29" s="256">
        <f t="shared" ref="BE29:BM36" ca="1" si="4">IF(AT29=0,0,(AU29-AT29)/AT29*100)</f>
        <v>0</v>
      </c>
      <c r="BF29" s="256">
        <f t="shared" ca="1" si="4"/>
        <v>0</v>
      </c>
      <c r="BG29" s="256">
        <f t="shared" ca="1" si="4"/>
        <v>0</v>
      </c>
      <c r="BH29" s="256">
        <f t="shared" ca="1" si="4"/>
        <v>0</v>
      </c>
      <c r="BI29" s="256">
        <f t="shared" ca="1" si="4"/>
        <v>0</v>
      </c>
      <c r="BJ29" s="256">
        <f t="shared" ca="1" si="4"/>
        <v>0</v>
      </c>
      <c r="BK29" s="256">
        <f t="shared" ca="1" si="4"/>
        <v>0</v>
      </c>
      <c r="BL29" s="256">
        <f t="shared" ca="1" si="4"/>
        <v>0</v>
      </c>
      <c r="BM29" s="256">
        <f t="shared" ca="1" si="4"/>
        <v>0</v>
      </c>
      <c r="BN29" s="28"/>
      <c r="BO29" s="28"/>
      <c r="BP29" s="28"/>
      <c r="BS29" s="1002" t="s">
        <v>1440</v>
      </c>
    </row>
    <row r="30" spans="1:71" ht="16.5" hidden="1" customHeight="1">
      <c r="E30" s="676">
        <v>17</v>
      </c>
      <c r="F30" s="779" cm="1">
        <f t="array" aca="1" ref="F30" ca="1">OFFSET(G30,-1,-1)</f>
        <v>0</v>
      </c>
      <c r="G30" s="143" t="s">
        <v>983</v>
      </c>
      <c r="T30" s="687" t="b" cm="1">
        <f t="array" ref="T30">T29</f>
        <v>0</v>
      </c>
      <c r="X30" s="1830"/>
      <c r="Z30" s="1830"/>
      <c r="AB30" s="438" t="s">
        <v>348</v>
      </c>
      <c r="AC30" s="626" t="s">
        <v>985</v>
      </c>
      <c r="AD30" s="424" t="s">
        <v>1077</v>
      </c>
      <c r="AE30" s="256">
        <f ca="1">SUMIFS(ЭнергоРесурсы!AE$26:AE$156,ЭнергоРесурсы!$F$26:$F$156,$F30,ЭнергоРесурсы!$G$26:$G$156,$G30)</f>
        <v>0</v>
      </c>
      <c r="AF30" s="256">
        <f ca="1">SUMIFS(ЭнергоРесурсы!AF$26:AF$156,ЭнергоРесурсы!$F$26:$F$156,$F30,ЭнергоРесурсы!$G$26:$G$156,$G30)</f>
        <v>0</v>
      </c>
      <c r="AG30" s="256">
        <f ca="1">SUMIFS(ЭнергоРесурсы!AG$26:AG$156,ЭнергоРесурсы!$F$26:$F$156,$F30,ЭнергоРесурсы!$G$26:$G$156,$G30)</f>
        <v>0</v>
      </c>
      <c r="AH30" s="256">
        <f t="shared" ca="1" si="2"/>
        <v>0</v>
      </c>
      <c r="AI30" s="256">
        <f ca="1">SUMIFS(ЭнергоРесурсы!AH$26:AH$156,ЭнергоРесурсы!$F$26:$F$156,$F30,ЭнергоРесурсы!$G$26:$G$156,$G30)</f>
        <v>0</v>
      </c>
      <c r="AJ30" s="256">
        <f ca="1">SUMIFS(ЭнергоРесурсы!AI$26:AI$156,ЭнергоРесурсы!$F$26:$F$156,$F30,ЭнергоРесурсы!$G$26:$G$156,$G30)</f>
        <v>0</v>
      </c>
      <c r="AK30" s="256">
        <f ca="1">SUMIFS(ЭнергоРесурсы!AJ$26:AJ$156,ЭнергоРесурсы!$F$26:$F$156,$F30,ЭнергоРесурсы!$G$26:$G$156,$G30)</f>
        <v>0</v>
      </c>
      <c r="AL30" s="256">
        <f ca="1">SUMIFS(ЭнергоРесурсы!AK$26:AK$156,ЭнергоРесурсы!$F$26:$F$156,$F30,ЭнергоРесурсы!$G$26:$G$156,$G30)</f>
        <v>0</v>
      </c>
      <c r="AM30" s="256">
        <f ca="1">SUMIFS(ЭнергоРесурсы!AL$26:AL$156,ЭнергоРесурсы!$F$26:$F$156,$F30,ЭнергоРесурсы!$G$26:$G$156,$G30)</f>
        <v>0</v>
      </c>
      <c r="AN30" s="256">
        <f ca="1">SUMIFS(ЭнергоРесурсы!AM$26:AM$156,ЭнергоРесурсы!$F$26:$F$156,$F30,ЭнергоРесурсы!$G$26:$G$156,$G30)</f>
        <v>0</v>
      </c>
      <c r="AO30" s="256">
        <f ca="1">SUMIFS(ЭнергоРесурсы!AN$26:AN$156,ЭнергоРесурсы!$F$26:$F$156,$F30,ЭнергоРесурсы!$G$26:$G$156,$G30)</f>
        <v>0</v>
      </c>
      <c r="AP30" s="256">
        <f ca="1">SUMIFS(ЭнергоРесурсы!AO$26:AO$156,ЭнергоРесурсы!$F$26:$F$156,$F30,ЭнергоРесурсы!$G$26:$G$156,$G30)</f>
        <v>0</v>
      </c>
      <c r="AQ30" s="256">
        <f ca="1">SUMIFS(ЭнергоРесурсы!AP$26:AP$156,ЭнергоРесурсы!$F$26:$F$156,$F30,ЭнергоРесурсы!$G$26:$G$156,$G30)</f>
        <v>0</v>
      </c>
      <c r="AR30" s="256">
        <f ca="1">SUMIFS(ЭнергоРесурсы!AQ$26:AQ$156,ЭнергоРесурсы!$F$26:$F$156,$F30,ЭнергоРесурсы!$G$26:$G$156,$G30)</f>
        <v>0</v>
      </c>
      <c r="AS30" s="256">
        <f ca="1">SUMIFS(ЭнергоРесурсы!AR$26:AR$156,ЭнергоРесурсы!$F$26:$F$156,$F30,ЭнергоРесурсы!$G$26:$G$156,$G30)</f>
        <v>0</v>
      </c>
      <c r="AT30" s="256">
        <f ca="1">SUMIFS(ЭнергоРесурсы!AS$26:AS$156,ЭнергоРесурсы!$F$26:$F$156,$F30,ЭнергоРесурсы!$G$26:$G$156,$G30)</f>
        <v>0</v>
      </c>
      <c r="AU30" s="256">
        <f ca="1">SUMIFS(ЭнергоРесурсы!AT$26:AT$156,ЭнергоРесурсы!$F$26:$F$156,$F30,ЭнергоРесурсы!$G$26:$G$156,$G30)</f>
        <v>0</v>
      </c>
      <c r="AV30" s="256">
        <f ca="1">SUMIFS(ЭнергоРесурсы!AU$26:AU$156,ЭнергоРесурсы!$F$26:$F$156,$F30,ЭнергоРесурсы!$G$26:$G$156,$G30)</f>
        <v>0</v>
      </c>
      <c r="AW30" s="256">
        <f ca="1">SUMIFS(ЭнергоРесурсы!AV$26:AV$156,ЭнергоРесурсы!$F$26:$F$156,$F30,ЭнергоРесурсы!$G$26:$G$156,$G30)</f>
        <v>0</v>
      </c>
      <c r="AX30" s="256">
        <f ca="1">SUMIFS(ЭнергоРесурсы!AW$26:AW$156,ЭнергоРесурсы!$F$26:$F$156,$F30,ЭнергоРесурсы!$G$26:$G$156,$G30)</f>
        <v>0</v>
      </c>
      <c r="AY30" s="256">
        <f ca="1">SUMIFS(ЭнергоРесурсы!AX$26:AX$156,ЭнергоРесурсы!$F$26:$F$156,$F30,ЭнергоРесурсы!$G$26:$G$156,$G30)</f>
        <v>0</v>
      </c>
      <c r="AZ30" s="256">
        <f ca="1">SUMIFS(ЭнергоРесурсы!AY$26:AY$156,ЭнергоРесурсы!$F$26:$F$156,$F30,ЭнергоРесурсы!$G$26:$G$156,$G30)</f>
        <v>0</v>
      </c>
      <c r="BA30" s="256">
        <f ca="1">SUMIFS(ЭнергоРесурсы!AZ$26:AZ$156,ЭнергоРесурсы!$F$26:$F$156,$F30,ЭнергоРесурсы!$G$26:$G$156,$G30)</f>
        <v>0</v>
      </c>
      <c r="BB30" s="256">
        <f ca="1">SUMIFS(ЭнергоРесурсы!BA$26:BA$156,ЭнергоРесурсы!$F$26:$F$156,$F30,ЭнергоРесурсы!$G$26:$G$156,$G30)</f>
        <v>0</v>
      </c>
      <c r="BC30" s="256">
        <f ca="1">SUMIFS(ЭнергоРесурсы!BB$26:BB$156,ЭнергоРесурсы!$F$26:$F$156,$F30,ЭнергоРесурсы!$G$26:$G$156,$G30)</f>
        <v>0</v>
      </c>
      <c r="BD30" s="256">
        <f t="shared" ca="1" si="3"/>
        <v>0</v>
      </c>
      <c r="BE30" s="256">
        <f t="shared" ca="1" si="4"/>
        <v>0</v>
      </c>
      <c r="BF30" s="256">
        <f t="shared" ca="1" si="4"/>
        <v>0</v>
      </c>
      <c r="BG30" s="256">
        <f t="shared" ca="1" si="4"/>
        <v>0</v>
      </c>
      <c r="BH30" s="256">
        <f t="shared" ca="1" si="4"/>
        <v>0</v>
      </c>
      <c r="BI30" s="256">
        <f t="shared" ca="1" si="4"/>
        <v>0</v>
      </c>
      <c r="BJ30" s="256">
        <f t="shared" ca="1" si="4"/>
        <v>0</v>
      </c>
      <c r="BK30" s="256">
        <f t="shared" ca="1" si="4"/>
        <v>0</v>
      </c>
      <c r="BL30" s="256">
        <f t="shared" ca="1" si="4"/>
        <v>0</v>
      </c>
      <c r="BM30" s="256">
        <f t="shared" ca="1" si="4"/>
        <v>0</v>
      </c>
      <c r="BN30" s="28"/>
      <c r="BO30" s="28"/>
      <c r="BP30" s="28"/>
      <c r="BS30" s="1002" t="s">
        <v>1447</v>
      </c>
    </row>
    <row r="31" spans="1:71" ht="16.5" hidden="1" customHeight="1">
      <c r="E31" s="676">
        <v>17</v>
      </c>
      <c r="F31" s="779" cm="1">
        <f t="array" aca="1" ref="F31" ca="1">OFFSET(G31,-1,-1)</f>
        <v>0</v>
      </c>
      <c r="G31" s="143" t="s">
        <v>1018</v>
      </c>
      <c r="T31" s="687" t="b" cm="1">
        <f t="array" ref="T31">T30</f>
        <v>0</v>
      </c>
      <c r="X31" s="1830"/>
      <c r="Z31" s="1830"/>
      <c r="AB31" s="235" t="s">
        <v>437</v>
      </c>
      <c r="AC31" s="627" t="s">
        <v>1038</v>
      </c>
      <c r="AD31" s="424" t="s">
        <v>1077</v>
      </c>
      <c r="AE31" s="256">
        <f ca="1">SUMIFS(ЭнергоРесурсы!AE$26:AE$156,ЭнергоРесурсы!$F$26:$F$156,$F31,ЭнергоРесурсы!$G$26:$G$156,$G31)</f>
        <v>0</v>
      </c>
      <c r="AF31" s="256">
        <f ca="1">SUMIFS(ЭнергоРесурсы!AF$26:AF$156,ЭнергоРесурсы!$F$26:$F$156,$F31,ЭнергоРесурсы!$G$26:$G$156,$G31)</f>
        <v>0</v>
      </c>
      <c r="AG31" s="256">
        <f ca="1">SUMIFS(ЭнергоРесурсы!AG$26:AG$156,ЭнергоРесурсы!$F$26:$F$156,$F31,ЭнергоРесурсы!$G$26:$G$156,$G31)</f>
        <v>0</v>
      </c>
      <c r="AH31" s="256">
        <f t="shared" ca="1" si="2"/>
        <v>0</v>
      </c>
      <c r="AI31" s="256">
        <f ca="1">SUMIFS(ЭнергоРесурсы!AH$26:AH$156,ЭнергоРесурсы!$F$26:$F$156,$F31,ЭнергоРесурсы!$G$26:$G$156,$G31)</f>
        <v>0</v>
      </c>
      <c r="AJ31" s="256">
        <f ca="1">SUMIFS(ЭнергоРесурсы!AI$26:AI$156,ЭнергоРесурсы!$F$26:$F$156,$F31,ЭнергоРесурсы!$G$26:$G$156,$G31)</f>
        <v>0</v>
      </c>
      <c r="AK31" s="256">
        <f ca="1">SUMIFS(ЭнергоРесурсы!AJ$26:AJ$156,ЭнергоРесурсы!$F$26:$F$156,$F31,ЭнергоРесурсы!$G$26:$G$156,$G31)</f>
        <v>0</v>
      </c>
      <c r="AL31" s="256">
        <f ca="1">SUMIFS(ЭнергоРесурсы!AK$26:AK$156,ЭнергоРесурсы!$F$26:$F$156,$F31,ЭнергоРесурсы!$G$26:$G$156,$G31)</f>
        <v>0</v>
      </c>
      <c r="AM31" s="256">
        <f ca="1">SUMIFS(ЭнергоРесурсы!AL$26:AL$156,ЭнергоРесурсы!$F$26:$F$156,$F31,ЭнергоРесурсы!$G$26:$G$156,$G31)</f>
        <v>0</v>
      </c>
      <c r="AN31" s="256">
        <f ca="1">SUMIFS(ЭнергоРесурсы!AM$26:AM$156,ЭнергоРесурсы!$F$26:$F$156,$F31,ЭнергоРесурсы!$G$26:$G$156,$G31)</f>
        <v>0</v>
      </c>
      <c r="AO31" s="256">
        <f ca="1">SUMIFS(ЭнергоРесурсы!AN$26:AN$156,ЭнергоРесурсы!$F$26:$F$156,$F31,ЭнергоРесурсы!$G$26:$G$156,$G31)</f>
        <v>0</v>
      </c>
      <c r="AP31" s="256">
        <f ca="1">SUMIFS(ЭнергоРесурсы!AO$26:AO$156,ЭнергоРесурсы!$F$26:$F$156,$F31,ЭнергоРесурсы!$G$26:$G$156,$G31)</f>
        <v>0</v>
      </c>
      <c r="AQ31" s="256">
        <f ca="1">SUMIFS(ЭнергоРесурсы!AP$26:AP$156,ЭнергоРесурсы!$F$26:$F$156,$F31,ЭнергоРесурсы!$G$26:$G$156,$G31)</f>
        <v>0</v>
      </c>
      <c r="AR31" s="256">
        <f ca="1">SUMIFS(ЭнергоРесурсы!AQ$26:AQ$156,ЭнергоРесурсы!$F$26:$F$156,$F31,ЭнергоРесурсы!$G$26:$G$156,$G31)</f>
        <v>0</v>
      </c>
      <c r="AS31" s="256">
        <f ca="1">SUMIFS(ЭнергоРесурсы!AR$26:AR$156,ЭнергоРесурсы!$F$26:$F$156,$F31,ЭнергоРесурсы!$G$26:$G$156,$G31)</f>
        <v>0</v>
      </c>
      <c r="AT31" s="256">
        <f ca="1">SUMIFS(ЭнергоРесурсы!AS$26:AS$156,ЭнергоРесурсы!$F$26:$F$156,$F31,ЭнергоРесурсы!$G$26:$G$156,$G31)</f>
        <v>0</v>
      </c>
      <c r="AU31" s="256">
        <f ca="1">SUMIFS(ЭнергоРесурсы!AT$26:AT$156,ЭнергоРесурсы!$F$26:$F$156,$F31,ЭнергоРесурсы!$G$26:$G$156,$G31)</f>
        <v>0</v>
      </c>
      <c r="AV31" s="256">
        <f ca="1">SUMIFS(ЭнергоРесурсы!AU$26:AU$156,ЭнергоРесурсы!$F$26:$F$156,$F31,ЭнергоРесурсы!$G$26:$G$156,$G31)</f>
        <v>0</v>
      </c>
      <c r="AW31" s="256">
        <f ca="1">SUMIFS(ЭнергоРесурсы!AV$26:AV$156,ЭнергоРесурсы!$F$26:$F$156,$F31,ЭнергоРесурсы!$G$26:$G$156,$G31)</f>
        <v>0</v>
      </c>
      <c r="AX31" s="256">
        <f ca="1">SUMIFS(ЭнергоРесурсы!AW$26:AW$156,ЭнергоРесурсы!$F$26:$F$156,$F31,ЭнергоРесурсы!$G$26:$G$156,$G31)</f>
        <v>0</v>
      </c>
      <c r="AY31" s="256">
        <f ca="1">SUMIFS(ЭнергоРесурсы!AX$26:AX$156,ЭнергоРесурсы!$F$26:$F$156,$F31,ЭнергоРесурсы!$G$26:$G$156,$G31)</f>
        <v>0</v>
      </c>
      <c r="AZ31" s="256">
        <f ca="1">SUMIFS(ЭнергоРесурсы!AY$26:AY$156,ЭнергоРесурсы!$F$26:$F$156,$F31,ЭнергоРесурсы!$G$26:$G$156,$G31)</f>
        <v>0</v>
      </c>
      <c r="BA31" s="256">
        <f ca="1">SUMIFS(ЭнергоРесурсы!AZ$26:AZ$156,ЭнергоРесурсы!$F$26:$F$156,$F31,ЭнергоРесурсы!$G$26:$G$156,$G31)</f>
        <v>0</v>
      </c>
      <c r="BB31" s="256">
        <f ca="1">SUMIFS(ЭнергоРесурсы!BA$26:BA$156,ЭнергоРесурсы!$F$26:$F$156,$F31,ЭнергоРесурсы!$G$26:$G$156,$G31)</f>
        <v>0</v>
      </c>
      <c r="BC31" s="256">
        <f ca="1">SUMIFS(ЭнергоРесурсы!BB$26:BB$156,ЭнергоРесурсы!$F$26:$F$156,$F31,ЭнергоРесурсы!$G$26:$G$156,$G31)</f>
        <v>0</v>
      </c>
      <c r="BD31" s="256">
        <f t="shared" ca="1" si="3"/>
        <v>0</v>
      </c>
      <c r="BE31" s="256">
        <f t="shared" ca="1" si="4"/>
        <v>0</v>
      </c>
      <c r="BF31" s="256">
        <f t="shared" ca="1" si="4"/>
        <v>0</v>
      </c>
      <c r="BG31" s="256">
        <f t="shared" ca="1" si="4"/>
        <v>0</v>
      </c>
      <c r="BH31" s="256">
        <f t="shared" ca="1" si="4"/>
        <v>0</v>
      </c>
      <c r="BI31" s="256">
        <f t="shared" ca="1" si="4"/>
        <v>0</v>
      </c>
      <c r="BJ31" s="256">
        <f t="shared" ca="1" si="4"/>
        <v>0</v>
      </c>
      <c r="BK31" s="256">
        <f t="shared" ca="1" si="4"/>
        <v>0</v>
      </c>
      <c r="BL31" s="256">
        <f t="shared" ca="1" si="4"/>
        <v>0</v>
      </c>
      <c r="BM31" s="256">
        <f t="shared" ca="1" si="4"/>
        <v>0</v>
      </c>
      <c r="BN31" s="28"/>
      <c r="BO31" s="28"/>
      <c r="BP31" s="28"/>
      <c r="BS31" s="1002" t="s">
        <v>1448</v>
      </c>
    </row>
    <row r="32" spans="1:71" ht="16.5" hidden="1" customHeight="1">
      <c r="E32" s="676">
        <v>17</v>
      </c>
      <c r="F32" s="779" cm="1">
        <f t="array" aca="1" ref="F32" ca="1">OFFSET(G32,-1,-1)</f>
        <v>0</v>
      </c>
      <c r="G32" s="143" t="s">
        <v>1020</v>
      </c>
      <c r="R32" s="143" t="s">
        <v>1021</v>
      </c>
      <c r="T32" s="687" t="b">
        <f>AND(T31,G27="двухставочный")</f>
        <v>0</v>
      </c>
      <c r="X32" s="1830"/>
      <c r="Z32" s="1830"/>
      <c r="AB32" s="235" t="s">
        <v>744</v>
      </c>
      <c r="AC32" s="902" t="s">
        <v>1023</v>
      </c>
      <c r="AD32" s="868" t="s">
        <v>839</v>
      </c>
      <c r="AE32" s="464">
        <f ca="1">SUMIFS(ЭнергоРесурсы!AE$26:AE$156,ЭнергоРесурсы!$F$26:$F$156,$F32,ЭнергоРесурсы!$G$26:$G$156,$G32)</f>
        <v>0</v>
      </c>
      <c r="AF32" s="464">
        <f ca="1">SUMIFS(ЭнергоРесурсы!AF$26:AF$156,ЭнергоРесурсы!$F$26:$F$156,$F32,ЭнергоРесурсы!$G$26:$G$156,$G32)</f>
        <v>0</v>
      </c>
      <c r="AG32" s="464">
        <f ca="1">SUMIFS(ЭнергоРесурсы!AG$26:AG$156,ЭнергоРесурсы!$F$26:$F$156,$F32,ЭнергоРесурсы!$G$26:$G$156,$G32)</f>
        <v>0</v>
      </c>
      <c r="AH32" s="464">
        <f t="shared" ca="1" si="2"/>
        <v>0</v>
      </c>
      <c r="AI32" s="440" cm="1">
        <f t="array" ref="AI32">ЭнергоРесурсы!AH48</f>
        <v>0</v>
      </c>
      <c r="AJ32" s="440" cm="1">
        <f t="array" ref="AJ32">ЭнергоРесурсы!AI48</f>
        <v>0</v>
      </c>
      <c r="AK32" s="440" cm="1">
        <f t="array" ref="AK32">ЭнергоРесурсы!AJ48</f>
        <v>0</v>
      </c>
      <c r="AL32" s="440" cm="1">
        <f t="array" ref="AL32">ЭнергоРесурсы!AK48</f>
        <v>0</v>
      </c>
      <c r="AM32" s="440" cm="1">
        <f t="array" ref="AM32">ЭнергоРесурсы!AL48</f>
        <v>0</v>
      </c>
      <c r="AN32" s="440" cm="1">
        <f t="array" ref="AN32">ЭнергоРесурсы!AM48</f>
        <v>0</v>
      </c>
      <c r="AO32" s="440" cm="1">
        <f t="array" ref="AO32">ЭнергоРесурсы!AN48</f>
        <v>0</v>
      </c>
      <c r="AP32" s="440" cm="1">
        <f t="array" ref="AP32">ЭнергоРесурсы!AO48</f>
        <v>0</v>
      </c>
      <c r="AQ32" s="440" cm="1">
        <f t="array" ref="AQ32">ЭнергоРесурсы!AP48</f>
        <v>0</v>
      </c>
      <c r="AR32" s="440" cm="1">
        <f t="array" ref="AR32">ЭнергоРесурсы!AQ48</f>
        <v>0</v>
      </c>
      <c r="AS32" s="440" cm="1">
        <f t="array" ref="AS32">ЭнергоРесурсы!AR48</f>
        <v>0</v>
      </c>
      <c r="AT32" s="440" cm="1">
        <f t="array" ref="AT32">ЭнергоРесурсы!AS48</f>
        <v>0</v>
      </c>
      <c r="AU32" s="440" cm="1">
        <f t="array" ref="AU32">ЭнергоРесурсы!AT48</f>
        <v>0</v>
      </c>
      <c r="AV32" s="440" cm="1">
        <f t="array" ref="AV32">ЭнергоРесурсы!AU48</f>
        <v>0</v>
      </c>
      <c r="AW32" s="440" cm="1">
        <f t="array" ref="AW32">ЭнергоРесурсы!AV48</f>
        <v>0</v>
      </c>
      <c r="AX32" s="440" cm="1">
        <f t="array" ref="AX32">ЭнергоРесурсы!AW48</f>
        <v>0</v>
      </c>
      <c r="AY32" s="440" cm="1">
        <f t="array" ref="AY32">ЭнергоРесурсы!AX48</f>
        <v>0</v>
      </c>
      <c r="AZ32" s="440" cm="1">
        <f t="array" ref="AZ32">ЭнергоРесурсы!AY48</f>
        <v>0</v>
      </c>
      <c r="BA32" s="440" cm="1">
        <f t="array" ref="BA32">ЭнергоРесурсы!AZ48</f>
        <v>0</v>
      </c>
      <c r="BB32" s="440" cm="1">
        <f t="array" ref="BB32">ЭнергоРесурсы!BA48</f>
        <v>0</v>
      </c>
      <c r="BC32" s="440" cm="1">
        <f t="array" ref="BC32">ЭнергоРесурсы!BB48</f>
        <v>0</v>
      </c>
      <c r="BD32" s="256">
        <f t="shared" si="3"/>
        <v>0</v>
      </c>
      <c r="BE32" s="256">
        <f t="shared" si="4"/>
        <v>0</v>
      </c>
      <c r="BF32" s="256">
        <f t="shared" si="4"/>
        <v>0</v>
      </c>
      <c r="BG32" s="256">
        <f t="shared" si="4"/>
        <v>0</v>
      </c>
      <c r="BH32" s="256">
        <f t="shared" si="4"/>
        <v>0</v>
      </c>
      <c r="BI32" s="256">
        <f t="shared" si="4"/>
        <v>0</v>
      </c>
      <c r="BJ32" s="256">
        <f t="shared" si="4"/>
        <v>0</v>
      </c>
      <c r="BK32" s="256">
        <f t="shared" si="4"/>
        <v>0</v>
      </c>
      <c r="BL32" s="256">
        <f t="shared" si="4"/>
        <v>0</v>
      </c>
      <c r="BM32" s="256">
        <f t="shared" si="4"/>
        <v>0</v>
      </c>
      <c r="BN32" s="28"/>
      <c r="BO32" s="28"/>
      <c r="BP32" s="28"/>
      <c r="BS32" s="1002" t="s">
        <v>1449</v>
      </c>
    </row>
    <row r="33" spans="1:71" ht="16.5" hidden="1" customHeight="1">
      <c r="E33" s="676">
        <v>17</v>
      </c>
      <c r="F33" s="779" cm="1">
        <f t="array" aca="1" ref="F33" ca="1">OFFSET(G33,-1,-1)</f>
        <v>0</v>
      </c>
      <c r="G33" s="143" t="s">
        <v>1050</v>
      </c>
      <c r="T33" s="687" t="b" cm="1">
        <f t="array" ref="T33">T31</f>
        <v>0</v>
      </c>
      <c r="X33" s="1830"/>
      <c r="Z33" s="1830"/>
      <c r="AB33" s="485" t="s">
        <v>440</v>
      </c>
      <c r="AC33" s="845" t="s">
        <v>1051</v>
      </c>
      <c r="AD33" s="124" t="s">
        <v>1077</v>
      </c>
      <c r="AE33" s="256">
        <f ca="1">SUMIFS('ХВС, ТН'!AE$26:AE$72,'ХВС, ТН'!$F$26:$F$72,$F33,'ХВС, ТН'!$G$26:$G$72,$G33)</f>
        <v>0</v>
      </c>
      <c r="AF33" s="256">
        <f ca="1">SUMIFS('ХВС, ТН'!AF$26:AF$72,'ХВС, ТН'!$F$26:$F$72,$F33,'ХВС, ТН'!$G$26:$G$72,$G33)</f>
        <v>0</v>
      </c>
      <c r="AG33" s="256">
        <f ca="1">SUMIFS('ХВС, ТН'!AG$26:AG$72,'ХВС, ТН'!$F$26:$F$72,$F33,'ХВС, ТН'!$G$26:$G$72,$G33)</f>
        <v>0</v>
      </c>
      <c r="AH33" s="256">
        <f t="shared" ca="1" si="2"/>
        <v>0</v>
      </c>
      <c r="AI33" s="463">
        <f ca="1">SUMIFS('ХВС, ТН'!AH$26:AH$72,'ХВС, ТН'!$F$26:$F$72,$F33,'ХВС, ТН'!$G$26:$G$72,$G33)</f>
        <v>0</v>
      </c>
      <c r="AJ33" s="463">
        <f ca="1">SUMIFS('ХВС, ТН'!AI$26:AI$72,'ХВС, ТН'!$F$26:$F$72,$F33,'ХВС, ТН'!$G$26:$G$72,$G33)</f>
        <v>0</v>
      </c>
      <c r="AK33" s="463">
        <f ca="1">SUMIFS('ХВС, ТН'!AJ$26:AJ$72,'ХВС, ТН'!$F$26:$F$72,$F33,'ХВС, ТН'!$G$26:$G$72,$G33)</f>
        <v>0</v>
      </c>
      <c r="AL33" s="463">
        <f ca="1">SUMIFS('ХВС, ТН'!AK$26:AK$72,'ХВС, ТН'!$F$26:$F$72,$F33,'ХВС, ТН'!$G$26:$G$72,$G33)</f>
        <v>0</v>
      </c>
      <c r="AM33" s="463">
        <f ca="1">SUMIFS('ХВС, ТН'!AL$26:AL$72,'ХВС, ТН'!$F$26:$F$72,$F33,'ХВС, ТН'!$G$26:$G$72,$G33)</f>
        <v>0</v>
      </c>
      <c r="AN33" s="463">
        <f ca="1">SUMIFS('ХВС, ТН'!AM$26:AM$72,'ХВС, ТН'!$F$26:$F$72,$F33,'ХВС, ТН'!$G$26:$G$72,$G33)</f>
        <v>0</v>
      </c>
      <c r="AO33" s="463">
        <f ca="1">SUMIFS('ХВС, ТН'!AN$26:AN$72,'ХВС, ТН'!$F$26:$F$72,$F33,'ХВС, ТН'!$G$26:$G$72,$G33)</f>
        <v>0</v>
      </c>
      <c r="AP33" s="463">
        <f ca="1">SUMIFS('ХВС, ТН'!AO$26:AO$72,'ХВС, ТН'!$F$26:$F$72,$F33,'ХВС, ТН'!$G$26:$G$72,$G33)</f>
        <v>0</v>
      </c>
      <c r="AQ33" s="463">
        <f ca="1">SUMIFS('ХВС, ТН'!AP$26:AP$72,'ХВС, ТН'!$F$26:$F$72,$F33,'ХВС, ТН'!$G$26:$G$72,$G33)</f>
        <v>0</v>
      </c>
      <c r="AR33" s="463">
        <f ca="1">SUMIFS('ХВС, ТН'!AQ$26:AQ$72,'ХВС, ТН'!$F$26:$F$72,$F33,'ХВС, ТН'!$G$26:$G$72,$G33)</f>
        <v>0</v>
      </c>
      <c r="AS33" s="463">
        <f ca="1">SUMIFS('ХВС, ТН'!AR$26:AR$72,'ХВС, ТН'!$F$26:$F$72,$F33,'ХВС, ТН'!$G$26:$G$72,$G33)</f>
        <v>0</v>
      </c>
      <c r="AT33" s="463">
        <f ca="1">SUMIFS('ХВС, ТН'!AS$26:AS$72,'ХВС, ТН'!$F$26:$F$72,$F33,'ХВС, ТН'!$G$26:$G$72,$G33)</f>
        <v>0</v>
      </c>
      <c r="AU33" s="463">
        <f ca="1">SUMIFS('ХВС, ТН'!AT$26:AT$72,'ХВС, ТН'!$F$26:$F$72,$F33,'ХВС, ТН'!$G$26:$G$72,$G33)</f>
        <v>0</v>
      </c>
      <c r="AV33" s="463">
        <f ca="1">SUMIFS('ХВС, ТН'!AU$26:AU$72,'ХВС, ТН'!$F$26:$F$72,$F33,'ХВС, ТН'!$G$26:$G$72,$G33)</f>
        <v>0</v>
      </c>
      <c r="AW33" s="463">
        <f ca="1">SUMIFS('ХВС, ТН'!AV$26:AV$72,'ХВС, ТН'!$F$26:$F$72,$F33,'ХВС, ТН'!$G$26:$G$72,$G33)</f>
        <v>0</v>
      </c>
      <c r="AX33" s="463">
        <f ca="1">SUMIFS('ХВС, ТН'!AW$26:AW$72,'ХВС, ТН'!$F$26:$F$72,$F33,'ХВС, ТН'!$G$26:$G$72,$G33)</f>
        <v>0</v>
      </c>
      <c r="AY33" s="463">
        <f ca="1">SUMIFS('ХВС, ТН'!AX$26:AX$72,'ХВС, ТН'!$F$26:$F$72,$F33,'ХВС, ТН'!$G$26:$G$72,$G33)</f>
        <v>0</v>
      </c>
      <c r="AZ33" s="463">
        <f ca="1">SUMIFS('ХВС, ТН'!AY$26:AY$72,'ХВС, ТН'!$F$26:$F$72,$F33,'ХВС, ТН'!$G$26:$G$72,$G33)</f>
        <v>0</v>
      </c>
      <c r="BA33" s="463">
        <f ca="1">SUMIFS('ХВС, ТН'!AZ$26:AZ$72,'ХВС, ТН'!$F$26:$F$72,$F33,'ХВС, ТН'!$G$26:$G$72,$G33)</f>
        <v>0</v>
      </c>
      <c r="BB33" s="463">
        <f ca="1">SUMIFS('ХВС, ТН'!BA$26:BA$72,'ХВС, ТН'!$F$26:$F$72,$F33,'ХВС, ТН'!$G$26:$G$72,$G33)</f>
        <v>0</v>
      </c>
      <c r="BC33" s="463">
        <f ca="1">SUMIFS('ХВС, ТН'!BB$26:BB$72,'ХВС, ТН'!$F$26:$F$72,$F33,'ХВС, ТН'!$G$26:$G$72,$G33)</f>
        <v>0</v>
      </c>
      <c r="BD33" s="256">
        <f t="shared" ca="1" si="3"/>
        <v>0</v>
      </c>
      <c r="BE33" s="256">
        <f t="shared" ca="1" si="4"/>
        <v>0</v>
      </c>
      <c r="BF33" s="256">
        <f t="shared" ca="1" si="4"/>
        <v>0</v>
      </c>
      <c r="BG33" s="256">
        <f t="shared" ca="1" si="4"/>
        <v>0</v>
      </c>
      <c r="BH33" s="256">
        <f t="shared" ca="1" si="4"/>
        <v>0</v>
      </c>
      <c r="BI33" s="256">
        <f t="shared" ca="1" si="4"/>
        <v>0</v>
      </c>
      <c r="BJ33" s="256">
        <f t="shared" ca="1" si="4"/>
        <v>0</v>
      </c>
      <c r="BK33" s="256">
        <f t="shared" ca="1" si="4"/>
        <v>0</v>
      </c>
      <c r="BL33" s="256">
        <f t="shared" ca="1" si="4"/>
        <v>0</v>
      </c>
      <c r="BM33" s="256">
        <f t="shared" ca="1" si="4"/>
        <v>0</v>
      </c>
      <c r="BN33" s="28"/>
      <c r="BO33" s="28"/>
      <c r="BP33" s="28"/>
      <c r="BS33" s="1002" t="s">
        <v>1450</v>
      </c>
    </row>
    <row r="34" spans="1:71" ht="16.5" hidden="1" customHeight="1">
      <c r="E34" s="676">
        <v>17</v>
      </c>
      <c r="F34" s="779" cm="1">
        <f t="array" aca="1" ref="F34" ca="1">OFFSET(G34,-1,-1)</f>
        <v>0</v>
      </c>
      <c r="G34" s="143" t="s">
        <v>1061</v>
      </c>
      <c r="T34" s="687" t="b" cm="1">
        <f t="array" ref="T34">T33</f>
        <v>0</v>
      </c>
      <c r="X34" s="1830"/>
      <c r="Z34" s="1830"/>
      <c r="AB34" s="485" t="s">
        <v>443</v>
      </c>
      <c r="AC34" s="845" t="s">
        <v>1062</v>
      </c>
      <c r="AD34" s="124" t="s">
        <v>1077</v>
      </c>
      <c r="AE34" s="256">
        <f ca="1">SUMIFS('ХВС, ТН'!AE$26:AE$72,'ХВС, ТН'!$F$26:$F$72,$F34,'ХВС, ТН'!$G$26:$G$72,$G34)</f>
        <v>0</v>
      </c>
      <c r="AF34" s="256">
        <f ca="1">SUMIFS('ХВС, ТН'!AF$26:AF$72,'ХВС, ТН'!$F$26:$F$72,$F34,'ХВС, ТН'!$G$26:$G$72,$G34)</f>
        <v>0</v>
      </c>
      <c r="AG34" s="256">
        <f ca="1">SUMIFS('ХВС, ТН'!AG$26:AG$72,'ХВС, ТН'!$F$26:$F$72,$F34,'ХВС, ТН'!$G$26:$G$72,$G34)</f>
        <v>0</v>
      </c>
      <c r="AH34" s="256">
        <f t="shared" ca="1" si="2"/>
        <v>0</v>
      </c>
      <c r="AI34" s="463">
        <f ca="1">SUMIFS('ХВС, ТН'!AH$26:AH$72,'ХВС, ТН'!$F$26:$F$72,$F34,'ХВС, ТН'!$G$26:$G$72,$G34)</f>
        <v>0</v>
      </c>
      <c r="AJ34" s="463">
        <f ca="1">SUMIFS('ХВС, ТН'!AI$26:AI$72,'ХВС, ТН'!$F$26:$F$72,$F34,'ХВС, ТН'!$G$26:$G$72,$G34)</f>
        <v>0</v>
      </c>
      <c r="AK34" s="463">
        <f ca="1">SUMIFS('ХВС, ТН'!AJ$26:AJ$72,'ХВС, ТН'!$F$26:$F$72,$F34,'ХВС, ТН'!$G$26:$G$72,$G34)</f>
        <v>0</v>
      </c>
      <c r="AL34" s="463">
        <f ca="1">SUMIFS('ХВС, ТН'!AK$26:AK$72,'ХВС, ТН'!$F$26:$F$72,$F34,'ХВС, ТН'!$G$26:$G$72,$G34)</f>
        <v>0</v>
      </c>
      <c r="AM34" s="463">
        <f ca="1">SUMIFS('ХВС, ТН'!AL$26:AL$72,'ХВС, ТН'!$F$26:$F$72,$F34,'ХВС, ТН'!$G$26:$G$72,$G34)</f>
        <v>0</v>
      </c>
      <c r="AN34" s="463">
        <f ca="1">SUMIFS('ХВС, ТН'!AM$26:AM$72,'ХВС, ТН'!$F$26:$F$72,$F34,'ХВС, ТН'!$G$26:$G$72,$G34)</f>
        <v>0</v>
      </c>
      <c r="AO34" s="463">
        <f ca="1">SUMIFS('ХВС, ТН'!AN$26:AN$72,'ХВС, ТН'!$F$26:$F$72,$F34,'ХВС, ТН'!$G$26:$G$72,$G34)</f>
        <v>0</v>
      </c>
      <c r="AP34" s="463">
        <f ca="1">SUMIFS('ХВС, ТН'!AO$26:AO$72,'ХВС, ТН'!$F$26:$F$72,$F34,'ХВС, ТН'!$G$26:$G$72,$G34)</f>
        <v>0</v>
      </c>
      <c r="AQ34" s="463">
        <f ca="1">SUMIFS('ХВС, ТН'!AP$26:AP$72,'ХВС, ТН'!$F$26:$F$72,$F34,'ХВС, ТН'!$G$26:$G$72,$G34)</f>
        <v>0</v>
      </c>
      <c r="AR34" s="463">
        <f ca="1">SUMIFS('ХВС, ТН'!AQ$26:AQ$72,'ХВС, ТН'!$F$26:$F$72,$F34,'ХВС, ТН'!$G$26:$G$72,$G34)</f>
        <v>0</v>
      </c>
      <c r="AS34" s="463">
        <f ca="1">SUMIFS('ХВС, ТН'!AR$26:AR$72,'ХВС, ТН'!$F$26:$F$72,$F34,'ХВС, ТН'!$G$26:$G$72,$G34)</f>
        <v>0</v>
      </c>
      <c r="AT34" s="463">
        <f ca="1">SUMIFS('ХВС, ТН'!AS$26:AS$72,'ХВС, ТН'!$F$26:$F$72,$F34,'ХВС, ТН'!$G$26:$G$72,$G34)</f>
        <v>0</v>
      </c>
      <c r="AU34" s="463">
        <f ca="1">SUMIFS('ХВС, ТН'!AT$26:AT$72,'ХВС, ТН'!$F$26:$F$72,$F34,'ХВС, ТН'!$G$26:$G$72,$G34)</f>
        <v>0</v>
      </c>
      <c r="AV34" s="463">
        <f ca="1">SUMIFS('ХВС, ТН'!AU$26:AU$72,'ХВС, ТН'!$F$26:$F$72,$F34,'ХВС, ТН'!$G$26:$G$72,$G34)</f>
        <v>0</v>
      </c>
      <c r="AW34" s="463">
        <f ca="1">SUMIFS('ХВС, ТН'!AV$26:AV$72,'ХВС, ТН'!$F$26:$F$72,$F34,'ХВС, ТН'!$G$26:$G$72,$G34)</f>
        <v>0</v>
      </c>
      <c r="AX34" s="463">
        <f ca="1">SUMIFS('ХВС, ТН'!AW$26:AW$72,'ХВС, ТН'!$F$26:$F$72,$F34,'ХВС, ТН'!$G$26:$G$72,$G34)</f>
        <v>0</v>
      </c>
      <c r="AY34" s="463">
        <f ca="1">SUMIFS('ХВС, ТН'!AX$26:AX$72,'ХВС, ТН'!$F$26:$F$72,$F34,'ХВС, ТН'!$G$26:$G$72,$G34)</f>
        <v>0</v>
      </c>
      <c r="AZ34" s="463">
        <f ca="1">SUMIFS('ХВС, ТН'!AY$26:AY$72,'ХВС, ТН'!$F$26:$F$72,$F34,'ХВС, ТН'!$G$26:$G$72,$G34)</f>
        <v>0</v>
      </c>
      <c r="BA34" s="463">
        <f ca="1">SUMIFS('ХВС, ТН'!AZ$26:AZ$72,'ХВС, ТН'!$F$26:$F$72,$F34,'ХВС, ТН'!$G$26:$G$72,$G34)</f>
        <v>0</v>
      </c>
      <c r="BB34" s="463">
        <f ca="1">SUMIFS('ХВС, ТН'!BA$26:BA$72,'ХВС, ТН'!$F$26:$F$72,$F34,'ХВС, ТН'!$G$26:$G$72,$G34)</f>
        <v>0</v>
      </c>
      <c r="BC34" s="463">
        <f ca="1">SUMIFS('ХВС, ТН'!BB$26:BB$72,'ХВС, ТН'!$F$26:$F$72,$F34,'ХВС, ТН'!$G$26:$G$72,$G34)</f>
        <v>0</v>
      </c>
      <c r="BD34" s="256">
        <f t="shared" ca="1" si="3"/>
        <v>0</v>
      </c>
      <c r="BE34" s="256">
        <f t="shared" ca="1" si="4"/>
        <v>0</v>
      </c>
      <c r="BF34" s="256">
        <f t="shared" ca="1" si="4"/>
        <v>0</v>
      </c>
      <c r="BG34" s="256">
        <f t="shared" ca="1" si="4"/>
        <v>0</v>
      </c>
      <c r="BH34" s="256">
        <f t="shared" ca="1" si="4"/>
        <v>0</v>
      </c>
      <c r="BI34" s="256">
        <f t="shared" ca="1" si="4"/>
        <v>0</v>
      </c>
      <c r="BJ34" s="256">
        <f t="shared" ca="1" si="4"/>
        <v>0</v>
      </c>
      <c r="BK34" s="256">
        <f t="shared" ca="1" si="4"/>
        <v>0</v>
      </c>
      <c r="BL34" s="256">
        <f t="shared" ca="1" si="4"/>
        <v>0</v>
      </c>
      <c r="BM34" s="256">
        <f t="shared" ca="1" si="4"/>
        <v>0</v>
      </c>
      <c r="BN34" s="28"/>
      <c r="BO34" s="28"/>
      <c r="BP34" s="28"/>
      <c r="BS34" s="1002" t="s">
        <v>1451</v>
      </c>
    </row>
    <row r="35" spans="1:71" ht="16.5" hidden="1" customHeight="1">
      <c r="E35" s="676">
        <v>17</v>
      </c>
      <c r="F35" s="779" cm="1">
        <f t="array" aca="1" ref="F35" ca="1">OFFSET(G35,-1,-1)</f>
        <v>0</v>
      </c>
      <c r="G35" s="143" t="s">
        <v>1452</v>
      </c>
      <c r="T35" s="687" t="b" cm="1">
        <f t="array" ref="T35">T34</f>
        <v>0</v>
      </c>
      <c r="X35" s="1830"/>
      <c r="Z35" s="1830"/>
      <c r="AB35" s="900" t="s">
        <v>448</v>
      </c>
      <c r="AC35" s="114" t="s">
        <v>1435</v>
      </c>
      <c r="AD35" s="271" t="s">
        <v>1077</v>
      </c>
      <c r="AE35" s="255">
        <f ca="1">AE29+AE30+AE31+AE33+AE34</f>
        <v>0</v>
      </c>
      <c r="AF35" s="255">
        <f ca="1">AF29+AF30+AF31+AF33+AF34</f>
        <v>0</v>
      </c>
      <c r="AG35" s="255">
        <f ca="1">AG29+AG30+AG31+AG33+AG34</f>
        <v>0</v>
      </c>
      <c r="AH35" s="255">
        <f t="shared" ca="1" si="2"/>
        <v>0</v>
      </c>
      <c r="AI35" s="901">
        <f t="shared" ref="AI35:BC35" ca="1" si="5">AI29+AI30+AI31+AI33+AI34</f>
        <v>0</v>
      </c>
      <c r="AJ35" s="560">
        <f t="shared" ca="1" si="5"/>
        <v>0</v>
      </c>
      <c r="AK35" s="560">
        <f t="shared" ca="1" si="5"/>
        <v>0</v>
      </c>
      <c r="AL35" s="560">
        <f t="shared" ca="1" si="5"/>
        <v>0</v>
      </c>
      <c r="AM35" s="560">
        <f t="shared" ca="1" si="5"/>
        <v>0</v>
      </c>
      <c r="AN35" s="560">
        <f t="shared" ca="1" si="5"/>
        <v>0</v>
      </c>
      <c r="AO35" s="560">
        <f t="shared" ca="1" si="5"/>
        <v>0</v>
      </c>
      <c r="AP35" s="560">
        <f t="shared" ca="1" si="5"/>
        <v>0</v>
      </c>
      <c r="AQ35" s="560">
        <f t="shared" ca="1" si="5"/>
        <v>0</v>
      </c>
      <c r="AR35" s="560">
        <f t="shared" ca="1" si="5"/>
        <v>0</v>
      </c>
      <c r="AS35" s="560">
        <f t="shared" ca="1" si="5"/>
        <v>0</v>
      </c>
      <c r="AT35" s="560">
        <f t="shared" ca="1" si="5"/>
        <v>0</v>
      </c>
      <c r="AU35" s="560">
        <f t="shared" ca="1" si="5"/>
        <v>0</v>
      </c>
      <c r="AV35" s="560">
        <f t="shared" ca="1" si="5"/>
        <v>0</v>
      </c>
      <c r="AW35" s="560">
        <f t="shared" ca="1" si="5"/>
        <v>0</v>
      </c>
      <c r="AX35" s="560">
        <f t="shared" ca="1" si="5"/>
        <v>0</v>
      </c>
      <c r="AY35" s="560">
        <f t="shared" ca="1" si="5"/>
        <v>0</v>
      </c>
      <c r="AZ35" s="560">
        <f t="shared" ca="1" si="5"/>
        <v>0</v>
      </c>
      <c r="BA35" s="560">
        <f t="shared" ca="1" si="5"/>
        <v>0</v>
      </c>
      <c r="BB35" s="560">
        <f t="shared" ca="1" si="5"/>
        <v>0</v>
      </c>
      <c r="BC35" s="560">
        <f t="shared" ca="1" si="5"/>
        <v>0</v>
      </c>
      <c r="BD35" s="560">
        <f t="shared" ca="1" si="3"/>
        <v>0</v>
      </c>
      <c r="BE35" s="560">
        <f t="shared" ca="1" si="4"/>
        <v>0</v>
      </c>
      <c r="BF35" s="560">
        <f t="shared" ca="1" si="4"/>
        <v>0</v>
      </c>
      <c r="BG35" s="560">
        <f t="shared" ca="1" si="4"/>
        <v>0</v>
      </c>
      <c r="BH35" s="560">
        <f t="shared" ca="1" si="4"/>
        <v>0</v>
      </c>
      <c r="BI35" s="560">
        <f t="shared" ca="1" si="4"/>
        <v>0</v>
      </c>
      <c r="BJ35" s="560">
        <f t="shared" ca="1" si="4"/>
        <v>0</v>
      </c>
      <c r="BK35" s="560">
        <f t="shared" ca="1" si="4"/>
        <v>0</v>
      </c>
      <c r="BL35" s="560">
        <f t="shared" ca="1" si="4"/>
        <v>0</v>
      </c>
      <c r="BM35" s="560">
        <f t="shared" ca="1" si="4"/>
        <v>0</v>
      </c>
      <c r="BN35" s="24"/>
      <c r="BO35" s="24"/>
      <c r="BP35" s="24"/>
      <c r="BS35" s="1002" t="s">
        <v>635</v>
      </c>
    </row>
    <row r="36" spans="1:71" ht="16.5" hidden="1" customHeight="1">
      <c r="E36" s="676">
        <v>17</v>
      </c>
      <c r="F36" s="779" cm="1">
        <f t="array" aca="1" ref="F36" ca="1">OFFSET(G36,-1,-1)</f>
        <v>0</v>
      </c>
      <c r="G36" s="143" t="s">
        <v>1020</v>
      </c>
      <c r="R36" s="143" t="s">
        <v>1021</v>
      </c>
      <c r="T36" s="687" t="b" cm="1">
        <f t="array" ref="T36">T32</f>
        <v>0</v>
      </c>
      <c r="X36" s="1830"/>
      <c r="Z36" s="1830"/>
      <c r="AB36" s="487" t="s">
        <v>1453</v>
      </c>
      <c r="AC36" s="241" t="s">
        <v>1023</v>
      </c>
      <c r="AD36" s="105" t="s">
        <v>839</v>
      </c>
      <c r="AE36" s="256">
        <f ca="1">SUM(AE29,AE32)</f>
        <v>0</v>
      </c>
      <c r="AF36" s="256">
        <f ca="1">SUM(AF29,AF32)</f>
        <v>0</v>
      </c>
      <c r="AG36" s="256">
        <f ca="1">SUM(AG29,AG32)</f>
        <v>0</v>
      </c>
      <c r="AH36" s="256">
        <f t="shared" ca="1" si="2"/>
        <v>0</v>
      </c>
      <c r="AI36" s="440">
        <f t="shared" ref="AI36:BC36" ca="1" si="6">SUM(AI29,AI32)</f>
        <v>0</v>
      </c>
      <c r="AJ36" s="256">
        <f t="shared" ca="1" si="6"/>
        <v>0</v>
      </c>
      <c r="AK36" s="256">
        <f t="shared" ca="1" si="6"/>
        <v>0</v>
      </c>
      <c r="AL36" s="256">
        <f t="shared" ca="1" si="6"/>
        <v>0</v>
      </c>
      <c r="AM36" s="256">
        <f t="shared" ca="1" si="6"/>
        <v>0</v>
      </c>
      <c r="AN36" s="256">
        <f t="shared" ca="1" si="6"/>
        <v>0</v>
      </c>
      <c r="AO36" s="256">
        <f t="shared" ca="1" si="6"/>
        <v>0</v>
      </c>
      <c r="AP36" s="256">
        <f t="shared" ca="1" si="6"/>
        <v>0</v>
      </c>
      <c r="AQ36" s="256">
        <f t="shared" ca="1" si="6"/>
        <v>0</v>
      </c>
      <c r="AR36" s="256">
        <f t="shared" ca="1" si="6"/>
        <v>0</v>
      </c>
      <c r="AS36" s="256">
        <f t="shared" ca="1" si="6"/>
        <v>0</v>
      </c>
      <c r="AT36" s="256">
        <f t="shared" ca="1" si="6"/>
        <v>0</v>
      </c>
      <c r="AU36" s="256">
        <f t="shared" ca="1" si="6"/>
        <v>0</v>
      </c>
      <c r="AV36" s="256">
        <f t="shared" ca="1" si="6"/>
        <v>0</v>
      </c>
      <c r="AW36" s="256">
        <f t="shared" ca="1" si="6"/>
        <v>0</v>
      </c>
      <c r="AX36" s="256">
        <f t="shared" ca="1" si="6"/>
        <v>0</v>
      </c>
      <c r="AY36" s="256">
        <f t="shared" ca="1" si="6"/>
        <v>0</v>
      </c>
      <c r="AZ36" s="256">
        <f t="shared" ca="1" si="6"/>
        <v>0</v>
      </c>
      <c r="BA36" s="256">
        <f t="shared" ca="1" si="6"/>
        <v>0</v>
      </c>
      <c r="BB36" s="256">
        <f t="shared" ca="1" si="6"/>
        <v>0</v>
      </c>
      <c r="BC36" s="256">
        <f t="shared" ca="1" si="6"/>
        <v>0</v>
      </c>
      <c r="BD36" s="256">
        <f t="shared" ca="1" si="3"/>
        <v>0</v>
      </c>
      <c r="BE36" s="256">
        <f t="shared" ca="1" si="4"/>
        <v>0</v>
      </c>
      <c r="BF36" s="256">
        <f t="shared" ca="1" si="4"/>
        <v>0</v>
      </c>
      <c r="BG36" s="256">
        <f t="shared" ca="1" si="4"/>
        <v>0</v>
      </c>
      <c r="BH36" s="256">
        <f t="shared" ca="1" si="4"/>
        <v>0</v>
      </c>
      <c r="BI36" s="256">
        <f t="shared" ca="1" si="4"/>
        <v>0</v>
      </c>
      <c r="BJ36" s="256">
        <f t="shared" ca="1" si="4"/>
        <v>0</v>
      </c>
      <c r="BK36" s="256">
        <f t="shared" ca="1" si="4"/>
        <v>0</v>
      </c>
      <c r="BL36" s="256">
        <f t="shared" ca="1" si="4"/>
        <v>0</v>
      </c>
      <c r="BM36" s="256">
        <f t="shared" ca="1" si="4"/>
        <v>0</v>
      </c>
      <c r="BN36" s="34"/>
      <c r="BO36" s="34"/>
      <c r="BP36" s="34"/>
      <c r="BS36" s="1002" t="s">
        <v>1454</v>
      </c>
    </row>
    <row r="37" spans="1:71" s="1408" customFormat="1" ht="16.5" customHeight="1">
      <c r="A37" s="170"/>
      <c r="B37" s="170"/>
      <c r="C37" s="170"/>
      <c r="D37" s="170"/>
      <c r="E37" s="676">
        <v>17</v>
      </c>
      <c r="F37" s="779" t="str" cm="1">
        <f t="array" ref="F37">X37</f>
        <v>1</v>
      </c>
      <c r="G37" s="620" t="str" cm="1">
        <f t="array" ref="G37">INDEX('Общие сведения'!$AK$187:$AK$236,MATCH($F37,'Общие сведения'!$Z$187:$Z$236,0))</f>
        <v>одноставочный</v>
      </c>
      <c r="H37" s="170"/>
      <c r="I37" s="163" t="str" cm="1">
        <f t="array" ref="I37">INDEX('Общие сведения'!$AE$187:$AE$236,MATCH($F37,'Общие сведения'!$Z$187:$Z$236,0))</f>
        <v>Теплоснабжение</v>
      </c>
      <c r="J37" s="163" t="str" cm="1">
        <f t="array" ref="J37">INDEX('Общие сведения'!$AK$187:$AK$236,MATCH($F37,'Общие сведения'!$Z$187:$Z$236,0))</f>
        <v>одноставочный</v>
      </c>
      <c r="K37" s="163" cm="1">
        <f t="array" ref="K37">INDEX('Общие сведения'!$AH$187:$AH$236,MATCH($F37,'Общие сведения'!$Z$187:$Z$236,0))</f>
        <v>0</v>
      </c>
      <c r="L37" s="163" t="str" cm="1">
        <f t="array" ref="L37">INDEX('Общие сведения'!$AI$187:$AI$236,MATCH($F37,'Общие сведения'!$Z$187:$Z$236,0))</f>
        <v>вода</v>
      </c>
      <c r="M37" s="163" t="str" cm="1">
        <f t="array" ref="M37">INDEX('Общие сведения'!$AJ$187:$AJ$236,MATCH($F37,'Общие сведения'!$Z$187:$Z$236,0))</f>
        <v>Не определено</v>
      </c>
      <c r="N37" s="170"/>
      <c r="O37" s="170"/>
      <c r="P37" s="170"/>
      <c r="Q37" s="170"/>
      <c r="R37" s="170"/>
      <c r="S37" s="170"/>
      <c r="T37" s="687" t="b">
        <f>X37&gt;0</f>
        <v>1</v>
      </c>
      <c r="U37" s="170"/>
      <c r="V37" s="126" t="str" cm="1">
        <f t="array" ref="V37">'Неподконтрольные (5.3)'!$AB$47</f>
        <v>Тариф 1 (Теплоснабжение) - Тариф на тепловую энергию (мощность), поставляемую потребителям (Не определено)</v>
      </c>
      <c r="W37" s="170"/>
      <c r="X37" s="1726" t="s">
        <v>341</v>
      </c>
      <c r="Y37" s="170"/>
      <c r="Z37" s="1724"/>
      <c r="AA37" s="170"/>
      <c r="AB37" s="275"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6"/>
      <c r="AD37" s="276"/>
      <c r="AE37" s="276"/>
      <c r="AF37" s="276"/>
      <c r="AG37" s="276"/>
      <c r="AH37" s="276"/>
      <c r="AI37" s="276"/>
      <c r="AJ37" s="276"/>
      <c r="AK37" s="276"/>
      <c r="AL37" s="276"/>
      <c r="AM37" s="276"/>
      <c r="AN37" s="276"/>
      <c r="AO37" s="276"/>
      <c r="AP37" s="276"/>
      <c r="AQ37" s="276"/>
      <c r="AR37" s="276"/>
      <c r="AS37" s="276"/>
      <c r="AT37" s="276"/>
      <c r="AU37" s="276"/>
      <c r="AV37" s="276"/>
      <c r="AW37" s="276"/>
      <c r="AX37" s="276"/>
      <c r="AY37" s="276"/>
      <c r="AZ37" s="276"/>
      <c r="BA37" s="276"/>
      <c r="BB37" s="276"/>
      <c r="BC37" s="276"/>
      <c r="BD37" s="276"/>
      <c r="BE37" s="276"/>
      <c r="BF37" s="276"/>
      <c r="BG37" s="276"/>
      <c r="BH37" s="276"/>
      <c r="BI37" s="276"/>
      <c r="BJ37" s="276"/>
      <c r="BK37" s="276"/>
      <c r="BL37" s="276"/>
      <c r="BM37" s="276"/>
      <c r="BN37" s="276"/>
      <c r="BO37" s="276"/>
      <c r="BP37" s="276"/>
      <c r="BQ37" s="170"/>
      <c r="BR37" s="170"/>
      <c r="BS37" s="1002" t="str">
        <f>IF(AND(ISNUMBER(VALUE(TRIM(SUBSTITUTE(AB38,".","")))),TRIM(SUBSTITUTE(AB38,".",""))&lt;&gt;""),"P"&amp;SUBSTITUTE(AB38,".",""),"")</f>
        <v/>
      </c>
    </row>
    <row r="38" spans="1:71" s="1409" customFormat="1" ht="16.5" customHeight="1">
      <c r="A38" s="170"/>
      <c r="B38" s="170"/>
      <c r="C38" s="170"/>
      <c r="D38" s="170"/>
      <c r="E38" s="676">
        <v>17</v>
      </c>
      <c r="F38" s="779" t="str" cm="1">
        <f t="array" aca="1" ref="F38" ca="1">OFFSET(G38,-1,-1)</f>
        <v>1</v>
      </c>
      <c r="G38" s="170"/>
      <c r="H38" s="170"/>
      <c r="I38" s="170"/>
      <c r="J38" s="170"/>
      <c r="K38" s="180" t="str">
        <f ca="1">F38&amp;"komm"</f>
        <v>1komm</v>
      </c>
      <c r="L38" s="179" cm="1">
        <f t="array" ref="L38">BO38</f>
        <v>0</v>
      </c>
      <c r="M38" s="170"/>
      <c r="N38" s="170"/>
      <c r="O38" s="170"/>
      <c r="P38" s="170"/>
      <c r="Q38" s="170"/>
      <c r="R38" s="170"/>
      <c r="S38" s="170"/>
      <c r="T38" s="687" t="b" cm="1">
        <f t="array" ref="T38">T37</f>
        <v>1</v>
      </c>
      <c r="U38" s="170"/>
      <c r="V38" s="170"/>
      <c r="W38" s="170"/>
      <c r="X38" s="1724"/>
      <c r="Y38" s="170"/>
      <c r="Z38" s="1724"/>
      <c r="AA38" s="170"/>
      <c r="AB38" s="1824" t="s">
        <v>1443</v>
      </c>
      <c r="AC38" s="1825"/>
      <c r="AD38" s="252" t="s">
        <v>839</v>
      </c>
      <c r="AE38" s="255" cm="1">
        <f t="array" aca="1" ref="AE38" ca="1">AE45</f>
        <v>0</v>
      </c>
      <c r="AF38" s="255" cm="1">
        <f t="array" aca="1" ref="AF38" ca="1">AF45</f>
        <v>0</v>
      </c>
      <c r="AG38" s="255" cm="1">
        <f t="array" aca="1" ref="AG38" ca="1">AG45</f>
        <v>0</v>
      </c>
      <c r="AH38" s="255" cm="1">
        <f t="array" aca="1" ref="AH38" ca="1">AH45</f>
        <v>0</v>
      </c>
      <c r="AI38" s="255" cm="1">
        <f t="array" aca="1" ref="AI38" ca="1">AI45</f>
        <v>173162.61624210744</v>
      </c>
      <c r="AJ38" s="255" cm="1">
        <f t="array" aca="1" ref="AJ38" ca="1">AJ45</f>
        <v>0</v>
      </c>
      <c r="AK38" s="255" cm="1">
        <f t="array" aca="1" ref="AK38" ca="1">AK45</f>
        <v>0</v>
      </c>
      <c r="AL38" s="255" cm="1">
        <f t="array" aca="1" ref="AL38" ca="1">AL45</f>
        <v>0</v>
      </c>
      <c r="AM38" s="255" cm="1">
        <f t="array" aca="1" ref="AM38" ca="1">AM45</f>
        <v>0</v>
      </c>
      <c r="AN38" s="255" cm="1">
        <f t="array" aca="1" ref="AN38" ca="1">AN45</f>
        <v>0</v>
      </c>
      <c r="AO38" s="255" cm="1">
        <f t="array" aca="1" ref="AO38" ca="1">AO45</f>
        <v>0</v>
      </c>
      <c r="AP38" s="255" cm="1">
        <f t="array" aca="1" ref="AP38" ca="1">AP45</f>
        <v>0</v>
      </c>
      <c r="AQ38" s="255" cm="1">
        <f t="array" aca="1" ref="AQ38" ca="1">AQ45</f>
        <v>0</v>
      </c>
      <c r="AR38" s="255" cm="1">
        <f t="array" aca="1" ref="AR38" ca="1">AR45</f>
        <v>0</v>
      </c>
      <c r="AS38" s="255" cm="1">
        <f t="array" aca="1" ref="AS38" ca="1">AS45</f>
        <v>0</v>
      </c>
      <c r="AT38" s="255" cm="1">
        <f t="array" aca="1" ref="AT38" ca="1">AT45</f>
        <v>214486.09971668664</v>
      </c>
      <c r="AU38" s="255" cm="1">
        <f t="array" aca="1" ref="AU38" ca="1">AU45</f>
        <v>0</v>
      </c>
      <c r="AV38" s="255" cm="1">
        <f t="array" aca="1" ref="AV38" ca="1">AV45</f>
        <v>0</v>
      </c>
      <c r="AW38" s="255" cm="1">
        <f t="array" aca="1" ref="AW38" ca="1">AW45</f>
        <v>0</v>
      </c>
      <c r="AX38" s="255" cm="1">
        <f t="array" aca="1" ref="AX38" ca="1">AX45</f>
        <v>0</v>
      </c>
      <c r="AY38" s="255" cm="1">
        <f t="array" aca="1" ref="AY38" ca="1">AY45</f>
        <v>0</v>
      </c>
      <c r="AZ38" s="255" cm="1">
        <f t="array" aca="1" ref="AZ38" ca="1">AZ45</f>
        <v>0</v>
      </c>
      <c r="BA38" s="255" cm="1">
        <f t="array" aca="1" ref="BA38" ca="1">BA45</f>
        <v>0</v>
      </c>
      <c r="BB38" s="255" cm="1">
        <f t="array" aca="1" ref="BB38" ca="1">BB45</f>
        <v>0</v>
      </c>
      <c r="BC38" s="255" cm="1">
        <f t="array" aca="1" ref="BC38" ca="1">BC45</f>
        <v>0</v>
      </c>
      <c r="BD38" s="255" cm="1">
        <f t="array" aca="1" ref="BD38" ca="1">BD45</f>
        <v>23.863975014562463</v>
      </c>
      <c r="BE38" s="255" cm="1">
        <f t="array" aca="1" ref="BE38" ca="1">BE45</f>
        <v>-100</v>
      </c>
      <c r="BF38" s="255" cm="1">
        <f t="array" aca="1" ref="BF38" ca="1">BF45</f>
        <v>0</v>
      </c>
      <c r="BG38" s="255" cm="1">
        <f t="array" aca="1" ref="BG38" ca="1">BG45</f>
        <v>0</v>
      </c>
      <c r="BH38" s="255" cm="1">
        <f t="array" aca="1" ref="BH38" ca="1">BH45</f>
        <v>0</v>
      </c>
      <c r="BI38" s="255" cm="1">
        <f t="array" aca="1" ref="BI38" ca="1">BI45</f>
        <v>0</v>
      </c>
      <c r="BJ38" s="255" cm="1">
        <f t="array" aca="1" ref="BJ38" ca="1">BJ45</f>
        <v>0</v>
      </c>
      <c r="BK38" s="255" cm="1">
        <f t="array" aca="1" ref="BK38" ca="1">BK45</f>
        <v>0</v>
      </c>
      <c r="BL38" s="255" cm="1">
        <f t="array" aca="1" ref="BL38" ca="1">BL45</f>
        <v>0</v>
      </c>
      <c r="BM38" s="255" cm="1">
        <f t="array" aca="1" ref="BM38" ca="1">BM45</f>
        <v>0</v>
      </c>
      <c r="BN38" s="1290"/>
      <c r="BO38" s="1290"/>
      <c r="BP38" s="1290"/>
      <c r="BQ38" s="170"/>
      <c r="BR38" s="170"/>
      <c r="BS38" s="1002" t="s">
        <v>1444</v>
      </c>
    </row>
    <row r="39" spans="1:71" s="1229" customFormat="1" ht="16.5" customHeight="1">
      <c r="A39" s="178"/>
      <c r="B39" s="783"/>
      <c r="C39" s="178"/>
      <c r="D39" s="178"/>
      <c r="E39" s="676">
        <v>17</v>
      </c>
      <c r="F39" s="779" t="str" cm="1">
        <f t="array" aca="1" ref="F39" ca="1">OFFSET(G39,-1,-1)</f>
        <v>1</v>
      </c>
      <c r="G39" s="143" t="s">
        <v>1445</v>
      </c>
      <c r="H39" s="180"/>
      <c r="I39" s="180"/>
      <c r="J39" s="180"/>
      <c r="K39" s="180"/>
      <c r="L39" s="180"/>
      <c r="M39" s="180"/>
      <c r="N39" s="180"/>
      <c r="O39" s="180"/>
      <c r="P39" s="180"/>
      <c r="Q39" s="143"/>
      <c r="R39" s="143"/>
      <c r="S39" s="180"/>
      <c r="T39" s="687" t="b" cm="1">
        <f t="array" ref="T39">T38</f>
        <v>1</v>
      </c>
      <c r="U39" s="178"/>
      <c r="V39" s="178"/>
      <c r="W39" s="178"/>
      <c r="X39" s="1830"/>
      <c r="Y39" s="178"/>
      <c r="Z39" s="1830"/>
      <c r="AA39" s="180"/>
      <c r="AB39" s="412" t="s">
        <v>341</v>
      </c>
      <c r="AC39" s="628" t="s">
        <v>1446</v>
      </c>
      <c r="AD39" s="419" t="s">
        <v>1077</v>
      </c>
      <c r="AE39" s="256">
        <f ca="1">SUMIFS('Топливо 4.4'!AH$27:AH$436,'Топливо 4.4'!$F$27:$F$436,$F39,'Топливо 4.4'!$G$27:$G$436,$G39)</f>
        <v>0</v>
      </c>
      <c r="AF39" s="256">
        <f ca="1">SUMIFS('Топливо 4.4'!AI$27:AI$436,'Топливо 4.4'!$F$27:$F$436,$F39,'Топливо 4.4'!$G$27:$G$436,$G39)</f>
        <v>0</v>
      </c>
      <c r="AG39" s="256">
        <f ca="1">SUMIFS('Топливо 4.4'!AJ$27:AJ$436,'Топливо 4.4'!$F$27:$F$436,$F39,'Топливо 4.4'!$G$27:$G$436,$G39)</f>
        <v>0</v>
      </c>
      <c r="AH39" s="256">
        <f t="shared" ref="AH39:AH46" ca="1" si="7">AG39-AF39</f>
        <v>0</v>
      </c>
      <c r="AI39" s="256">
        <f ca="1">SUMIFS('Топливо 4.4'!AK$27:AK$436,'Топливо 4.4'!$F$27:$F$436,$F39,'Топливо 4.4'!$G$27:$G$436,$G39)</f>
        <v>115427.62042996501</v>
      </c>
      <c r="AJ39" s="256">
        <f ca="1">SUMIFS('Топливо 4.4'!AL$27:AL$436,'Топливо 4.4'!$F$27:$F$436,$F39,'Топливо 4.4'!$G$27:$G$436,$G39)</f>
        <v>0</v>
      </c>
      <c r="AK39" s="256">
        <f ca="1">SUMIFS('Топливо 4.4'!AO$27:AO$436,'Топливо 4.4'!$F$27:$F$436,$F39,'Топливо 4.4'!$G$27:$G$436,$G39)</f>
        <v>0</v>
      </c>
      <c r="AL39" s="256">
        <f ca="1">SUMIFS('Топливо 4.4'!AR$27:AR$436,'Топливо 4.4'!$F$27:$F$436,$F39,'Топливо 4.4'!$G$27:$G$436,$G39)</f>
        <v>0</v>
      </c>
      <c r="AM39" s="256">
        <f ca="1">SUMIFS('Топливо 4.4'!AU$27:AU$436,'Топливо 4.4'!$F$27:$F$436,$F39,'Топливо 4.4'!$G$27:$G$436,$G39)</f>
        <v>0</v>
      </c>
      <c r="AN39" s="256">
        <f ca="1">SUMIFS('Топливо 4.4'!AX$27:AX$436,'Топливо 4.4'!$F$27:$F$436,$F39,'Топливо 4.4'!$G$27:$G$436,$G39)</f>
        <v>0</v>
      </c>
      <c r="AO39" s="256">
        <f ca="1">SUMIFS('Топливо 4.4'!BA$27:BA$436,'Топливо 4.4'!$F$27:$F$436,$F39,'Топливо 4.4'!$G$27:$G$436,$G39)</f>
        <v>0</v>
      </c>
      <c r="AP39" s="256">
        <f ca="1">SUMIFS('Топливо 4.4'!BD$27:BD$436,'Топливо 4.4'!$F$27:$F$436,$F39,'Топливо 4.4'!$G$27:$G$436,$G39)</f>
        <v>0</v>
      </c>
      <c r="AQ39" s="256">
        <f ca="1">SUMIFS('Топливо 4.4'!BG$27:BG$436,'Топливо 4.4'!$F$27:$F$436,$F39,'Топливо 4.4'!$G$27:$G$436,$G39)</f>
        <v>0</v>
      </c>
      <c r="AR39" s="256">
        <f ca="1">SUMIFS('Топливо 4.4'!BJ$27:BJ$436,'Топливо 4.4'!$F$27:$F$436,$F39,'Топливо 4.4'!$G$27:$G$436,$G39)</f>
        <v>0</v>
      </c>
      <c r="AS39" s="256">
        <f ca="1">SUMIFS('Топливо 4.4'!BM$27:BM$436,'Топливо 4.4'!$F$27:$F$436,$F39,'Топливо 4.4'!$G$27:$G$436,$G39)</f>
        <v>0</v>
      </c>
      <c r="AT39" s="256">
        <f ca="1">SUMIFS('Топливо 4.4'!BP$27:BP$436,'Топливо 4.4'!$F$27:$F$436,$F39,'Топливо 4.4'!$G$27:$G$436,$G39)</f>
        <v>140975.39763741643</v>
      </c>
      <c r="AU39" s="256">
        <f ca="1">SUMIFS('Топливо 4.4'!BS$27:BS$436,'Топливо 4.4'!$F$27:$F$436,$F39,'Топливо 4.4'!$G$27:$G$436,$G39)</f>
        <v>0</v>
      </c>
      <c r="AV39" s="256">
        <f ca="1">SUMIFS('Топливо 4.4'!BV$27:BV$436,'Топливо 4.4'!$F$27:$F$436,$F39,'Топливо 4.4'!$G$27:$G$436,$G39)</f>
        <v>0</v>
      </c>
      <c r="AW39" s="256">
        <f ca="1">SUMIFS('Топливо 4.4'!BY$27:BY$436,'Топливо 4.4'!$F$27:$F$436,$F39,'Топливо 4.4'!$G$27:$G$436,$G39)</f>
        <v>0</v>
      </c>
      <c r="AX39" s="256">
        <f ca="1">SUMIFS('Топливо 4.4'!CB$27:CB$436,'Топливо 4.4'!$F$27:$F$436,$F39,'Топливо 4.4'!$G$27:$G$436,$G39)</f>
        <v>0</v>
      </c>
      <c r="AY39" s="256">
        <f ca="1">SUMIFS('Топливо 4.4'!CE$27:CE$436,'Топливо 4.4'!$F$27:$F$436,$F39,'Топливо 4.4'!$G$27:$G$436,$G39)</f>
        <v>0</v>
      </c>
      <c r="AZ39" s="256">
        <f ca="1">SUMIFS('Топливо 4.4'!CH$27:CH$436,'Топливо 4.4'!$F$27:$F$436,$F39,'Топливо 4.4'!$G$27:$G$436,$G39)</f>
        <v>0</v>
      </c>
      <c r="BA39" s="256">
        <f ca="1">SUMIFS('Топливо 4.4'!CK$27:CK$436,'Топливо 4.4'!$F$27:$F$436,$F39,'Топливо 4.4'!$G$27:$G$436,$G39)</f>
        <v>0</v>
      </c>
      <c r="BB39" s="256">
        <f ca="1">SUMIFS('Топливо 4.4'!CN$27:CN$436,'Топливо 4.4'!$F$27:$F$436,$F39,'Топливо 4.4'!$G$27:$G$436,$G39)</f>
        <v>0</v>
      </c>
      <c r="BC39" s="256">
        <f ca="1">SUMIFS('Топливо 4.4'!CQ$27:CQ$436,'Топливо 4.4'!$F$27:$F$436,$F39,'Топливо 4.4'!$G$27:$G$436,$G39)</f>
        <v>0</v>
      </c>
      <c r="BD39" s="256">
        <f t="shared" ref="BD39:BD46" ca="1" si="8">IF(AI39=0,0,(AT39-AI39)/AI39*100)</f>
        <v>22.133157655235884</v>
      </c>
      <c r="BE39" s="256">
        <f t="shared" ref="BE39:BM46" ca="1" si="9">IF(AT39=0,0,(AU39-AT39)/AT39*100)</f>
        <v>-100</v>
      </c>
      <c r="BF39" s="256">
        <f t="shared" ca="1" si="9"/>
        <v>0</v>
      </c>
      <c r="BG39" s="256">
        <f t="shared" ca="1" si="9"/>
        <v>0</v>
      </c>
      <c r="BH39" s="256">
        <f t="shared" ca="1" si="9"/>
        <v>0</v>
      </c>
      <c r="BI39" s="256">
        <f t="shared" ca="1" si="9"/>
        <v>0</v>
      </c>
      <c r="BJ39" s="256">
        <f t="shared" ca="1" si="9"/>
        <v>0</v>
      </c>
      <c r="BK39" s="256">
        <f t="shared" ca="1" si="9"/>
        <v>0</v>
      </c>
      <c r="BL39" s="256">
        <f t="shared" ca="1" si="9"/>
        <v>0</v>
      </c>
      <c r="BM39" s="256">
        <f t="shared" ca="1" si="9"/>
        <v>0</v>
      </c>
      <c r="BN39" s="1290"/>
      <c r="BO39" s="1290"/>
      <c r="BP39" s="1290"/>
      <c r="BQ39" s="180"/>
      <c r="BR39" s="180"/>
      <c r="BS39" s="1002" t="s">
        <v>1440</v>
      </c>
    </row>
    <row r="40" spans="1:71" s="1229" customFormat="1" ht="16.5" customHeight="1">
      <c r="A40" s="178"/>
      <c r="B40" s="783"/>
      <c r="C40" s="178"/>
      <c r="D40" s="178"/>
      <c r="E40" s="676">
        <v>17</v>
      </c>
      <c r="F40" s="779" t="str" cm="1">
        <f t="array" aca="1" ref="F40" ca="1">OFFSET(G40,-1,-1)</f>
        <v>1</v>
      </c>
      <c r="G40" s="143" t="s">
        <v>983</v>
      </c>
      <c r="H40" s="180"/>
      <c r="I40" s="180"/>
      <c r="J40" s="180"/>
      <c r="K40" s="180"/>
      <c r="L40" s="180"/>
      <c r="M40" s="180"/>
      <c r="N40" s="180"/>
      <c r="O40" s="180"/>
      <c r="P40" s="180"/>
      <c r="Q40" s="143"/>
      <c r="R40" s="143"/>
      <c r="S40" s="180"/>
      <c r="T40" s="687" t="b" cm="1">
        <f t="array" ref="T40">T39</f>
        <v>1</v>
      </c>
      <c r="U40" s="178"/>
      <c r="V40" s="178"/>
      <c r="W40" s="178"/>
      <c r="X40" s="1830"/>
      <c r="Y40" s="178"/>
      <c r="Z40" s="1830"/>
      <c r="AA40" s="180"/>
      <c r="AB40" s="438" t="s">
        <v>348</v>
      </c>
      <c r="AC40" s="626" t="s">
        <v>985</v>
      </c>
      <c r="AD40" s="424" t="s">
        <v>1077</v>
      </c>
      <c r="AE40" s="256">
        <f ca="1">SUMIFS(ЭнергоРесурсы!AE$26:AE$156,ЭнергоРесурсы!$F$26:$F$156,$F40,ЭнергоРесурсы!$G$26:$G$156,$G40)</f>
        <v>0</v>
      </c>
      <c r="AF40" s="256">
        <f ca="1">SUMIFS(ЭнергоРесурсы!AF$26:AF$156,ЭнергоРесурсы!$F$26:$F$156,$F40,ЭнергоРесурсы!$G$26:$G$156,$G40)</f>
        <v>0</v>
      </c>
      <c r="AG40" s="256">
        <f ca="1">SUMIFS(ЭнергоРесурсы!AG$26:AG$156,ЭнергоРесурсы!$F$26:$F$156,$F40,ЭнергоРесурсы!$G$26:$G$156,$G40)</f>
        <v>0</v>
      </c>
      <c r="AH40" s="256">
        <f t="shared" ca="1" si="7"/>
        <v>0</v>
      </c>
      <c r="AI40" s="256">
        <f ca="1">SUMIFS(ЭнергоРесурсы!AH$26:AH$156,ЭнергоРесурсы!$F$26:$F$156,$F40,ЭнергоРесурсы!$G$26:$G$156,$G40)</f>
        <v>45966.000247734446</v>
      </c>
      <c r="AJ40" s="256">
        <f ca="1">SUMIFS(ЭнергоРесурсы!AI$26:AI$156,ЭнергоРесурсы!$F$26:$F$156,$F40,ЭнергоРесурсы!$G$26:$G$156,$G40)</f>
        <v>0</v>
      </c>
      <c r="AK40" s="256">
        <f ca="1">SUMIFS(ЭнергоРесурсы!AJ$26:AJ$156,ЭнергоРесурсы!$F$26:$F$156,$F40,ЭнергоРесурсы!$G$26:$G$156,$G40)</f>
        <v>0</v>
      </c>
      <c r="AL40" s="256">
        <f ca="1">SUMIFS(ЭнергоРесурсы!AK$26:AK$156,ЭнергоРесурсы!$F$26:$F$156,$F40,ЭнергоРесурсы!$G$26:$G$156,$G40)</f>
        <v>0</v>
      </c>
      <c r="AM40" s="256">
        <f ca="1">SUMIFS(ЭнергоРесурсы!AL$26:AL$156,ЭнергоРесурсы!$F$26:$F$156,$F40,ЭнергоРесурсы!$G$26:$G$156,$G40)</f>
        <v>0</v>
      </c>
      <c r="AN40" s="256">
        <f ca="1">SUMIFS(ЭнергоРесурсы!AM$26:AM$156,ЭнергоРесурсы!$F$26:$F$156,$F40,ЭнергоРесурсы!$G$26:$G$156,$G40)</f>
        <v>0</v>
      </c>
      <c r="AO40" s="256">
        <f ca="1">SUMIFS(ЭнергоРесурсы!AN$26:AN$156,ЭнергоРесурсы!$F$26:$F$156,$F40,ЭнергоРесурсы!$G$26:$G$156,$G40)</f>
        <v>0</v>
      </c>
      <c r="AP40" s="256">
        <f ca="1">SUMIFS(ЭнергоРесурсы!AO$26:AO$156,ЭнергоРесурсы!$F$26:$F$156,$F40,ЭнергоРесурсы!$G$26:$G$156,$G40)</f>
        <v>0</v>
      </c>
      <c r="AQ40" s="256">
        <f ca="1">SUMIFS(ЭнергоРесурсы!AP$26:AP$156,ЭнергоРесурсы!$F$26:$F$156,$F40,ЭнергоРесурсы!$G$26:$G$156,$G40)</f>
        <v>0</v>
      </c>
      <c r="AR40" s="256">
        <f ca="1">SUMIFS(ЭнергоРесурсы!AQ$26:AQ$156,ЭнергоРесурсы!$F$26:$F$156,$F40,ЭнергоРесурсы!$G$26:$G$156,$G40)</f>
        <v>0</v>
      </c>
      <c r="AS40" s="256">
        <f ca="1">SUMIFS(ЭнергоРесурсы!AR$26:AR$156,ЭнергоРесурсы!$F$26:$F$156,$F40,ЭнергоРесурсы!$G$26:$G$156,$G40)</f>
        <v>0</v>
      </c>
      <c r="AT40" s="256">
        <f ca="1">SUMIFS(ЭнергоРесурсы!AS$26:AS$156,ЭнергоРесурсы!$F$26:$F$156,$F40,ЭнергоРесурсы!$G$26:$G$156,$G40)</f>
        <v>57922.277725183892</v>
      </c>
      <c r="AU40" s="256">
        <f ca="1">SUMIFS(ЭнергоРесурсы!AT$26:AT$156,ЭнергоРесурсы!$F$26:$F$156,$F40,ЭнергоРесурсы!$G$26:$G$156,$G40)</f>
        <v>0</v>
      </c>
      <c r="AV40" s="256">
        <f ca="1">SUMIFS(ЭнергоРесурсы!AU$26:AU$156,ЭнергоРесурсы!$F$26:$F$156,$F40,ЭнергоРесурсы!$G$26:$G$156,$G40)</f>
        <v>0</v>
      </c>
      <c r="AW40" s="256">
        <f ca="1">SUMIFS(ЭнергоРесурсы!AV$26:AV$156,ЭнергоРесурсы!$F$26:$F$156,$F40,ЭнергоРесурсы!$G$26:$G$156,$G40)</f>
        <v>0</v>
      </c>
      <c r="AX40" s="256">
        <f ca="1">SUMIFS(ЭнергоРесурсы!AW$26:AW$156,ЭнергоРесурсы!$F$26:$F$156,$F40,ЭнергоРесурсы!$G$26:$G$156,$G40)</f>
        <v>0</v>
      </c>
      <c r="AY40" s="256">
        <f ca="1">SUMIFS(ЭнергоРесурсы!AX$26:AX$156,ЭнергоРесурсы!$F$26:$F$156,$F40,ЭнергоРесурсы!$G$26:$G$156,$G40)</f>
        <v>0</v>
      </c>
      <c r="AZ40" s="256">
        <f ca="1">SUMIFS(ЭнергоРесурсы!AY$26:AY$156,ЭнергоРесурсы!$F$26:$F$156,$F40,ЭнергоРесурсы!$G$26:$G$156,$G40)</f>
        <v>0</v>
      </c>
      <c r="BA40" s="256">
        <f ca="1">SUMIFS(ЭнергоРесурсы!AZ$26:AZ$156,ЭнергоРесурсы!$F$26:$F$156,$F40,ЭнергоРесурсы!$G$26:$G$156,$G40)</f>
        <v>0</v>
      </c>
      <c r="BB40" s="256">
        <f ca="1">SUMIFS(ЭнергоРесурсы!BA$26:BA$156,ЭнергоРесурсы!$F$26:$F$156,$F40,ЭнергоРесурсы!$G$26:$G$156,$G40)</f>
        <v>0</v>
      </c>
      <c r="BC40" s="256">
        <f ca="1">SUMIFS(ЭнергоРесурсы!BB$26:BB$156,ЭнергоРесурсы!$F$26:$F$156,$F40,ЭнергоРесурсы!$G$26:$G$156,$G40)</f>
        <v>0</v>
      </c>
      <c r="BD40" s="256">
        <f t="shared" ca="1" si="8"/>
        <v>26.011133039661726</v>
      </c>
      <c r="BE40" s="256">
        <f t="shared" ca="1" si="9"/>
        <v>-100</v>
      </c>
      <c r="BF40" s="256">
        <f t="shared" ca="1" si="9"/>
        <v>0</v>
      </c>
      <c r="BG40" s="256">
        <f t="shared" ca="1" si="9"/>
        <v>0</v>
      </c>
      <c r="BH40" s="256">
        <f t="shared" ca="1" si="9"/>
        <v>0</v>
      </c>
      <c r="BI40" s="256">
        <f t="shared" ca="1" si="9"/>
        <v>0</v>
      </c>
      <c r="BJ40" s="256">
        <f t="shared" ca="1" si="9"/>
        <v>0</v>
      </c>
      <c r="BK40" s="256">
        <f t="shared" ca="1" si="9"/>
        <v>0</v>
      </c>
      <c r="BL40" s="256">
        <f t="shared" ca="1" si="9"/>
        <v>0</v>
      </c>
      <c r="BM40" s="256">
        <f t="shared" ca="1" si="9"/>
        <v>0</v>
      </c>
      <c r="BN40" s="1290"/>
      <c r="BO40" s="1290"/>
      <c r="BP40" s="1290"/>
      <c r="BQ40" s="180"/>
      <c r="BR40" s="180"/>
      <c r="BS40" s="1002" t="s">
        <v>1447</v>
      </c>
    </row>
    <row r="41" spans="1:71" s="1229" customFormat="1" ht="16.5" customHeight="1">
      <c r="A41" s="178"/>
      <c r="B41" s="783"/>
      <c r="C41" s="178"/>
      <c r="D41" s="178"/>
      <c r="E41" s="676">
        <v>17</v>
      </c>
      <c r="F41" s="779" t="str" cm="1">
        <f t="array" aca="1" ref="F41" ca="1">OFFSET(G41,-1,-1)</f>
        <v>1</v>
      </c>
      <c r="G41" s="143" t="s">
        <v>1018</v>
      </c>
      <c r="H41" s="180"/>
      <c r="I41" s="180"/>
      <c r="J41" s="180"/>
      <c r="K41" s="180"/>
      <c r="L41" s="180"/>
      <c r="M41" s="180"/>
      <c r="N41" s="180"/>
      <c r="O41" s="180"/>
      <c r="P41" s="180"/>
      <c r="Q41" s="143"/>
      <c r="R41" s="143"/>
      <c r="S41" s="180"/>
      <c r="T41" s="687" t="b" cm="1">
        <f t="array" ref="T41">T40</f>
        <v>1</v>
      </c>
      <c r="U41" s="178"/>
      <c r="V41" s="178"/>
      <c r="W41" s="178"/>
      <c r="X41" s="1830"/>
      <c r="Y41" s="178"/>
      <c r="Z41" s="1830"/>
      <c r="AA41" s="180"/>
      <c r="AB41" s="235" t="s">
        <v>437</v>
      </c>
      <c r="AC41" s="627" t="s">
        <v>1038</v>
      </c>
      <c r="AD41" s="424" t="s">
        <v>1077</v>
      </c>
      <c r="AE41" s="256">
        <f ca="1">SUMIFS(ЭнергоРесурсы!AE$26:AE$156,ЭнергоРесурсы!$F$26:$F$156,$F41,ЭнергоРесурсы!$G$26:$G$156,$G41)</f>
        <v>0</v>
      </c>
      <c r="AF41" s="256">
        <f ca="1">SUMIFS(ЭнергоРесурсы!AF$26:AF$156,ЭнергоРесурсы!$F$26:$F$156,$F41,ЭнергоРесурсы!$G$26:$G$156,$G41)</f>
        <v>0</v>
      </c>
      <c r="AG41" s="256">
        <f ca="1">SUMIFS(ЭнергоРесурсы!AG$26:AG$156,ЭнергоРесурсы!$F$26:$F$156,$F41,ЭнергоРесурсы!$G$26:$G$156,$G41)</f>
        <v>0</v>
      </c>
      <c r="AH41" s="256">
        <f t="shared" ca="1" si="7"/>
        <v>0</v>
      </c>
      <c r="AI41" s="256">
        <f ca="1">SUMIFS(ЭнергоРесурсы!AH$26:AH$156,ЭнергоРесурсы!$F$26:$F$156,$F41,ЭнергоРесурсы!$G$26:$G$156,$G41)</f>
        <v>0</v>
      </c>
      <c r="AJ41" s="256">
        <f ca="1">SUMIFS(ЭнергоРесурсы!AI$26:AI$156,ЭнергоРесурсы!$F$26:$F$156,$F41,ЭнергоРесурсы!$G$26:$G$156,$G41)</f>
        <v>0</v>
      </c>
      <c r="AK41" s="256">
        <f ca="1">SUMIFS(ЭнергоРесурсы!AJ$26:AJ$156,ЭнергоРесурсы!$F$26:$F$156,$F41,ЭнергоРесурсы!$G$26:$G$156,$G41)</f>
        <v>0</v>
      </c>
      <c r="AL41" s="256">
        <f ca="1">SUMIFS(ЭнергоРесурсы!AK$26:AK$156,ЭнергоРесурсы!$F$26:$F$156,$F41,ЭнергоРесурсы!$G$26:$G$156,$G41)</f>
        <v>0</v>
      </c>
      <c r="AM41" s="256">
        <f ca="1">SUMIFS(ЭнергоРесурсы!AL$26:AL$156,ЭнергоРесурсы!$F$26:$F$156,$F41,ЭнергоРесурсы!$G$26:$G$156,$G41)</f>
        <v>0</v>
      </c>
      <c r="AN41" s="256">
        <f ca="1">SUMIFS(ЭнергоРесурсы!AM$26:AM$156,ЭнергоРесурсы!$F$26:$F$156,$F41,ЭнергоРесурсы!$G$26:$G$156,$G41)</f>
        <v>0</v>
      </c>
      <c r="AO41" s="256">
        <f ca="1">SUMIFS(ЭнергоРесурсы!AN$26:AN$156,ЭнергоРесурсы!$F$26:$F$156,$F41,ЭнергоРесурсы!$G$26:$G$156,$G41)</f>
        <v>0</v>
      </c>
      <c r="AP41" s="256">
        <f ca="1">SUMIFS(ЭнергоРесурсы!AO$26:AO$156,ЭнергоРесурсы!$F$26:$F$156,$F41,ЭнергоРесурсы!$G$26:$G$156,$G41)</f>
        <v>0</v>
      </c>
      <c r="AQ41" s="256">
        <f ca="1">SUMIFS(ЭнергоРесурсы!AP$26:AP$156,ЭнергоРесурсы!$F$26:$F$156,$F41,ЭнергоРесурсы!$G$26:$G$156,$G41)</f>
        <v>0</v>
      </c>
      <c r="AR41" s="256">
        <f ca="1">SUMIFS(ЭнергоРесурсы!AQ$26:AQ$156,ЭнергоРесурсы!$F$26:$F$156,$F41,ЭнергоРесурсы!$G$26:$G$156,$G41)</f>
        <v>0</v>
      </c>
      <c r="AS41" s="256">
        <f ca="1">SUMIFS(ЭнергоРесурсы!AR$26:AR$156,ЭнергоРесурсы!$F$26:$F$156,$F41,ЭнергоРесурсы!$G$26:$G$156,$G41)</f>
        <v>0</v>
      </c>
      <c r="AT41" s="256">
        <f ca="1">SUMIFS(ЭнергоРесурсы!AS$26:AS$156,ЭнергоРесурсы!$F$26:$F$156,$F41,ЭнергоРесурсы!$G$26:$G$156,$G41)</f>
        <v>0</v>
      </c>
      <c r="AU41" s="256">
        <f ca="1">SUMIFS(ЭнергоРесурсы!AT$26:AT$156,ЭнергоРесурсы!$F$26:$F$156,$F41,ЭнергоРесурсы!$G$26:$G$156,$G41)</f>
        <v>0</v>
      </c>
      <c r="AV41" s="256">
        <f ca="1">SUMIFS(ЭнергоРесурсы!AU$26:AU$156,ЭнергоРесурсы!$F$26:$F$156,$F41,ЭнергоРесурсы!$G$26:$G$156,$G41)</f>
        <v>0</v>
      </c>
      <c r="AW41" s="256">
        <f ca="1">SUMIFS(ЭнергоРесурсы!AV$26:AV$156,ЭнергоРесурсы!$F$26:$F$156,$F41,ЭнергоРесурсы!$G$26:$G$156,$G41)</f>
        <v>0</v>
      </c>
      <c r="AX41" s="256">
        <f ca="1">SUMIFS(ЭнергоРесурсы!AW$26:AW$156,ЭнергоРесурсы!$F$26:$F$156,$F41,ЭнергоРесурсы!$G$26:$G$156,$G41)</f>
        <v>0</v>
      </c>
      <c r="AY41" s="256">
        <f ca="1">SUMIFS(ЭнергоРесурсы!AX$26:AX$156,ЭнергоРесурсы!$F$26:$F$156,$F41,ЭнергоРесурсы!$G$26:$G$156,$G41)</f>
        <v>0</v>
      </c>
      <c r="AZ41" s="256">
        <f ca="1">SUMIFS(ЭнергоРесурсы!AY$26:AY$156,ЭнергоРесурсы!$F$26:$F$156,$F41,ЭнергоРесурсы!$G$26:$G$156,$G41)</f>
        <v>0</v>
      </c>
      <c r="BA41" s="256">
        <f ca="1">SUMIFS(ЭнергоРесурсы!AZ$26:AZ$156,ЭнергоРесурсы!$F$26:$F$156,$F41,ЭнергоРесурсы!$G$26:$G$156,$G41)</f>
        <v>0</v>
      </c>
      <c r="BB41" s="256">
        <f ca="1">SUMIFS(ЭнергоРесурсы!BA$26:BA$156,ЭнергоРесурсы!$F$26:$F$156,$F41,ЭнергоРесурсы!$G$26:$G$156,$G41)</f>
        <v>0</v>
      </c>
      <c r="BC41" s="256">
        <f ca="1">SUMIFS(ЭнергоРесурсы!BB$26:BB$156,ЭнергоРесурсы!$F$26:$F$156,$F41,ЭнергоРесурсы!$G$26:$G$156,$G41)</f>
        <v>0</v>
      </c>
      <c r="BD41" s="256">
        <f t="shared" ca="1" si="8"/>
        <v>0</v>
      </c>
      <c r="BE41" s="256">
        <f t="shared" ca="1" si="9"/>
        <v>0</v>
      </c>
      <c r="BF41" s="256">
        <f t="shared" ca="1" si="9"/>
        <v>0</v>
      </c>
      <c r="BG41" s="256">
        <f t="shared" ca="1" si="9"/>
        <v>0</v>
      </c>
      <c r="BH41" s="256">
        <f t="shared" ca="1" si="9"/>
        <v>0</v>
      </c>
      <c r="BI41" s="256">
        <f t="shared" ca="1" si="9"/>
        <v>0</v>
      </c>
      <c r="BJ41" s="256">
        <f t="shared" ca="1" si="9"/>
        <v>0</v>
      </c>
      <c r="BK41" s="256">
        <f t="shared" ca="1" si="9"/>
        <v>0</v>
      </c>
      <c r="BL41" s="256">
        <f t="shared" ca="1" si="9"/>
        <v>0</v>
      </c>
      <c r="BM41" s="256">
        <f t="shared" ca="1" si="9"/>
        <v>0</v>
      </c>
      <c r="BN41" s="1290"/>
      <c r="BO41" s="1290"/>
      <c r="BP41" s="1290"/>
      <c r="BQ41" s="180"/>
      <c r="BR41" s="180"/>
      <c r="BS41" s="1002" t="s">
        <v>1448</v>
      </c>
    </row>
    <row r="42" spans="1:71" s="1229" customFormat="1" ht="16.5" hidden="1" customHeight="1">
      <c r="A42" s="178"/>
      <c r="B42" s="783"/>
      <c r="C42" s="178"/>
      <c r="D42" s="178"/>
      <c r="E42" s="676">
        <v>17</v>
      </c>
      <c r="F42" s="779" t="str" cm="1">
        <f t="array" aca="1" ref="F42" ca="1">OFFSET(G42,-1,-1)</f>
        <v>1</v>
      </c>
      <c r="G42" s="143" t="s">
        <v>1020</v>
      </c>
      <c r="H42" s="180"/>
      <c r="I42" s="180"/>
      <c r="J42" s="180"/>
      <c r="K42" s="180"/>
      <c r="L42" s="180"/>
      <c r="M42" s="180"/>
      <c r="N42" s="180"/>
      <c r="O42" s="180"/>
      <c r="P42" s="180"/>
      <c r="Q42" s="143"/>
      <c r="R42" s="143" t="s">
        <v>1021</v>
      </c>
      <c r="S42" s="180"/>
      <c r="T42" s="687" t="b">
        <f>AND(T41,G37="двухставочный")</f>
        <v>0</v>
      </c>
      <c r="U42" s="178"/>
      <c r="V42" s="178"/>
      <c r="W42" s="178"/>
      <c r="X42" s="1830"/>
      <c r="Y42" s="178"/>
      <c r="Z42" s="1830"/>
      <c r="AA42" s="180"/>
      <c r="AB42" s="235" t="s">
        <v>744</v>
      </c>
      <c r="AC42" s="902" t="s">
        <v>1023</v>
      </c>
      <c r="AD42" s="868" t="s">
        <v>839</v>
      </c>
      <c r="AE42" s="464">
        <f ca="1">SUMIFS(ЭнергоРесурсы!AE$26:AE$156,ЭнергоРесурсы!$F$26:$F$156,$F42,ЭнергоРесурсы!$G$26:$G$156,$G42)</f>
        <v>0</v>
      </c>
      <c r="AF42" s="464">
        <f ca="1">SUMIFS(ЭнергоРесурсы!AF$26:AF$156,ЭнергоРесурсы!$F$26:$F$156,$F42,ЭнергоРесурсы!$G$26:$G$156,$G42)</f>
        <v>0</v>
      </c>
      <c r="AG42" s="464">
        <f ca="1">SUMIFS(ЭнергоРесурсы!AG$26:AG$156,ЭнергоРесурсы!$F$26:$F$156,$F42,ЭнергоРесурсы!$G$26:$G$156,$G42)</f>
        <v>0</v>
      </c>
      <c r="AH42" s="464">
        <f t="shared" ca="1" si="7"/>
        <v>0</v>
      </c>
      <c r="AI42" s="440" cm="1">
        <f t="array" ref="AI42">ЭнергоРесурсы!AH58</f>
        <v>0</v>
      </c>
      <c r="AJ42" s="440" cm="1">
        <f t="array" ref="AJ42">ЭнергоРесурсы!AI58</f>
        <v>0</v>
      </c>
      <c r="AK42" s="440" cm="1">
        <f t="array" ref="AK42">ЭнергоРесурсы!AJ58</f>
        <v>0</v>
      </c>
      <c r="AL42" s="440" cm="1">
        <f t="array" ref="AL42">ЭнергоРесурсы!AK58</f>
        <v>0</v>
      </c>
      <c r="AM42" s="440" cm="1">
        <f t="array" ref="AM42">ЭнергоРесурсы!AL58</f>
        <v>0</v>
      </c>
      <c r="AN42" s="440" cm="1">
        <f t="array" ref="AN42">ЭнергоРесурсы!AM58</f>
        <v>0</v>
      </c>
      <c r="AO42" s="440" cm="1">
        <f t="array" ref="AO42">ЭнергоРесурсы!AN58</f>
        <v>0</v>
      </c>
      <c r="AP42" s="440" cm="1">
        <f t="array" ref="AP42">ЭнергоРесурсы!AO58</f>
        <v>0</v>
      </c>
      <c r="AQ42" s="440" cm="1">
        <f t="array" ref="AQ42">ЭнергоРесурсы!AP58</f>
        <v>0</v>
      </c>
      <c r="AR42" s="440" cm="1">
        <f t="array" ref="AR42">ЭнергоРесурсы!AQ58</f>
        <v>0</v>
      </c>
      <c r="AS42" s="440" cm="1">
        <f t="array" ref="AS42">ЭнергоРесурсы!AR58</f>
        <v>0</v>
      </c>
      <c r="AT42" s="440" cm="1">
        <f t="array" ref="AT42">ЭнергоРесурсы!AS58</f>
        <v>0</v>
      </c>
      <c r="AU42" s="440" cm="1">
        <f t="array" ref="AU42">ЭнергоРесурсы!AT58</f>
        <v>0</v>
      </c>
      <c r="AV42" s="440" cm="1">
        <f t="array" ref="AV42">ЭнергоРесурсы!AU58</f>
        <v>0</v>
      </c>
      <c r="AW42" s="440" cm="1">
        <f t="array" ref="AW42">ЭнергоРесурсы!AV58</f>
        <v>0</v>
      </c>
      <c r="AX42" s="440" cm="1">
        <f t="array" ref="AX42">ЭнергоРесурсы!AW58</f>
        <v>0</v>
      </c>
      <c r="AY42" s="440" cm="1">
        <f t="array" ref="AY42">ЭнергоРесурсы!AX58</f>
        <v>0</v>
      </c>
      <c r="AZ42" s="440" cm="1">
        <f t="array" ref="AZ42">ЭнергоРесурсы!AY58</f>
        <v>0</v>
      </c>
      <c r="BA42" s="440" cm="1">
        <f t="array" ref="BA42">ЭнергоРесурсы!AZ58</f>
        <v>0</v>
      </c>
      <c r="BB42" s="440" cm="1">
        <f t="array" ref="BB42">ЭнергоРесурсы!BA58</f>
        <v>0</v>
      </c>
      <c r="BC42" s="440" cm="1">
        <f t="array" ref="BC42">ЭнергоРесурсы!BB58</f>
        <v>0</v>
      </c>
      <c r="BD42" s="256">
        <f t="shared" si="8"/>
        <v>0</v>
      </c>
      <c r="BE42" s="256">
        <f t="shared" si="9"/>
        <v>0</v>
      </c>
      <c r="BF42" s="256">
        <f t="shared" si="9"/>
        <v>0</v>
      </c>
      <c r="BG42" s="256">
        <f t="shared" si="9"/>
        <v>0</v>
      </c>
      <c r="BH42" s="256">
        <f t="shared" si="9"/>
        <v>0</v>
      </c>
      <c r="BI42" s="256">
        <f t="shared" si="9"/>
        <v>0</v>
      </c>
      <c r="BJ42" s="256">
        <f t="shared" si="9"/>
        <v>0</v>
      </c>
      <c r="BK42" s="256">
        <f t="shared" si="9"/>
        <v>0</v>
      </c>
      <c r="BL42" s="256">
        <f t="shared" si="9"/>
        <v>0</v>
      </c>
      <c r="BM42" s="256">
        <f t="shared" si="9"/>
        <v>0</v>
      </c>
      <c r="BN42" s="28"/>
      <c r="BO42" s="28"/>
      <c r="BP42" s="28"/>
      <c r="BQ42" s="180"/>
      <c r="BR42" s="180"/>
      <c r="BS42" s="1002" t="s">
        <v>1449</v>
      </c>
    </row>
    <row r="43" spans="1:71" s="1229" customFormat="1" ht="16.5" customHeight="1">
      <c r="A43" s="178"/>
      <c r="B43" s="783"/>
      <c r="C43" s="178"/>
      <c r="D43" s="178"/>
      <c r="E43" s="676">
        <v>17</v>
      </c>
      <c r="F43" s="779" t="str" cm="1">
        <f t="array" aca="1" ref="F43" ca="1">OFFSET(G43,-1,-1)</f>
        <v>1</v>
      </c>
      <c r="G43" s="143" t="s">
        <v>1050</v>
      </c>
      <c r="H43" s="180"/>
      <c r="I43" s="180"/>
      <c r="J43" s="180"/>
      <c r="K43" s="180"/>
      <c r="L43" s="180"/>
      <c r="M43" s="180"/>
      <c r="N43" s="180"/>
      <c r="O43" s="180"/>
      <c r="P43" s="180"/>
      <c r="Q43" s="143"/>
      <c r="R43" s="143"/>
      <c r="S43" s="180"/>
      <c r="T43" s="687" t="b" cm="1">
        <f t="array" ref="T43">T41</f>
        <v>1</v>
      </c>
      <c r="U43" s="178"/>
      <c r="V43" s="178"/>
      <c r="W43" s="178"/>
      <c r="X43" s="1830"/>
      <c r="Y43" s="178"/>
      <c r="Z43" s="1830"/>
      <c r="AA43" s="180"/>
      <c r="AB43" s="485" t="s">
        <v>440</v>
      </c>
      <c r="AC43" s="845" t="s">
        <v>1051</v>
      </c>
      <c r="AD43" s="124" t="s">
        <v>1077</v>
      </c>
      <c r="AE43" s="256">
        <f ca="1">SUMIFS('ХВС, ТН'!AE$26:AE$72,'ХВС, ТН'!$F$26:$F$72,$F43,'ХВС, ТН'!$G$26:$G$72,$G43)</f>
        <v>0</v>
      </c>
      <c r="AF43" s="256">
        <f ca="1">SUMIFS('ХВС, ТН'!AF$26:AF$72,'ХВС, ТН'!$F$26:$F$72,$F43,'ХВС, ТН'!$G$26:$G$72,$G43)</f>
        <v>0</v>
      </c>
      <c r="AG43" s="256">
        <f ca="1">SUMIFS('ХВС, ТН'!AG$26:AG$72,'ХВС, ТН'!$F$26:$F$72,$F43,'ХВС, ТН'!$G$26:$G$72,$G43)</f>
        <v>0</v>
      </c>
      <c r="AH43" s="256">
        <f t="shared" ca="1" si="7"/>
        <v>0</v>
      </c>
      <c r="AI43" s="463">
        <f ca="1">SUMIFS('ХВС, ТН'!AH$26:AH$72,'ХВС, ТН'!$F$26:$F$72,$F43,'ХВС, ТН'!$G$26:$G$72,$G43)</f>
        <v>11768.99556440798</v>
      </c>
      <c r="AJ43" s="463">
        <f ca="1">SUMIFS('ХВС, ТН'!AI$26:AI$72,'ХВС, ТН'!$F$26:$F$72,$F43,'ХВС, ТН'!$G$26:$G$72,$G43)</f>
        <v>0</v>
      </c>
      <c r="AK43" s="463">
        <f ca="1">SUMIFS('ХВС, ТН'!AJ$26:AJ$72,'ХВС, ТН'!$F$26:$F$72,$F43,'ХВС, ТН'!$G$26:$G$72,$G43)</f>
        <v>0</v>
      </c>
      <c r="AL43" s="463">
        <f ca="1">SUMIFS('ХВС, ТН'!AK$26:AK$72,'ХВС, ТН'!$F$26:$F$72,$F43,'ХВС, ТН'!$G$26:$G$72,$G43)</f>
        <v>0</v>
      </c>
      <c r="AM43" s="463">
        <f ca="1">SUMIFS('ХВС, ТН'!AL$26:AL$72,'ХВС, ТН'!$F$26:$F$72,$F43,'ХВС, ТН'!$G$26:$G$72,$G43)</f>
        <v>0</v>
      </c>
      <c r="AN43" s="463">
        <f ca="1">SUMIFS('ХВС, ТН'!AM$26:AM$72,'ХВС, ТН'!$F$26:$F$72,$F43,'ХВС, ТН'!$G$26:$G$72,$G43)</f>
        <v>0</v>
      </c>
      <c r="AO43" s="463">
        <f ca="1">SUMIFS('ХВС, ТН'!AN$26:AN$72,'ХВС, ТН'!$F$26:$F$72,$F43,'ХВС, ТН'!$G$26:$G$72,$G43)</f>
        <v>0</v>
      </c>
      <c r="AP43" s="463">
        <f ca="1">SUMIFS('ХВС, ТН'!AO$26:AO$72,'ХВС, ТН'!$F$26:$F$72,$F43,'ХВС, ТН'!$G$26:$G$72,$G43)</f>
        <v>0</v>
      </c>
      <c r="AQ43" s="463">
        <f ca="1">SUMIFS('ХВС, ТН'!AP$26:AP$72,'ХВС, ТН'!$F$26:$F$72,$F43,'ХВС, ТН'!$G$26:$G$72,$G43)</f>
        <v>0</v>
      </c>
      <c r="AR43" s="463">
        <f ca="1">SUMIFS('ХВС, ТН'!AQ$26:AQ$72,'ХВС, ТН'!$F$26:$F$72,$F43,'ХВС, ТН'!$G$26:$G$72,$G43)</f>
        <v>0</v>
      </c>
      <c r="AS43" s="463">
        <f ca="1">SUMIFS('ХВС, ТН'!AR$26:AR$72,'ХВС, ТН'!$F$26:$F$72,$F43,'ХВС, ТН'!$G$26:$G$72,$G43)</f>
        <v>0</v>
      </c>
      <c r="AT43" s="463">
        <f ca="1">SUMIFS('ХВС, ТН'!AS$26:AS$72,'ХВС, ТН'!$F$26:$F$72,$F43,'ХВС, ТН'!$G$26:$G$72,$G43)</f>
        <v>15588.424354086299</v>
      </c>
      <c r="AU43" s="463">
        <f ca="1">SUMIFS('ХВС, ТН'!AT$26:AT$72,'ХВС, ТН'!$F$26:$F$72,$F43,'ХВС, ТН'!$G$26:$G$72,$G43)</f>
        <v>0</v>
      </c>
      <c r="AV43" s="463">
        <f ca="1">SUMIFS('ХВС, ТН'!AU$26:AU$72,'ХВС, ТН'!$F$26:$F$72,$F43,'ХВС, ТН'!$G$26:$G$72,$G43)</f>
        <v>0</v>
      </c>
      <c r="AW43" s="463">
        <f ca="1">SUMIFS('ХВС, ТН'!AV$26:AV$72,'ХВС, ТН'!$F$26:$F$72,$F43,'ХВС, ТН'!$G$26:$G$72,$G43)</f>
        <v>0</v>
      </c>
      <c r="AX43" s="463">
        <f ca="1">SUMIFS('ХВС, ТН'!AW$26:AW$72,'ХВС, ТН'!$F$26:$F$72,$F43,'ХВС, ТН'!$G$26:$G$72,$G43)</f>
        <v>0</v>
      </c>
      <c r="AY43" s="463">
        <f ca="1">SUMIFS('ХВС, ТН'!AX$26:AX$72,'ХВС, ТН'!$F$26:$F$72,$F43,'ХВС, ТН'!$G$26:$G$72,$G43)</f>
        <v>0</v>
      </c>
      <c r="AZ43" s="463">
        <f ca="1">SUMIFS('ХВС, ТН'!AY$26:AY$72,'ХВС, ТН'!$F$26:$F$72,$F43,'ХВС, ТН'!$G$26:$G$72,$G43)</f>
        <v>0</v>
      </c>
      <c r="BA43" s="463">
        <f ca="1">SUMIFS('ХВС, ТН'!AZ$26:AZ$72,'ХВС, ТН'!$F$26:$F$72,$F43,'ХВС, ТН'!$G$26:$G$72,$G43)</f>
        <v>0</v>
      </c>
      <c r="BB43" s="463">
        <f ca="1">SUMIFS('ХВС, ТН'!BA$26:BA$72,'ХВС, ТН'!$F$26:$F$72,$F43,'ХВС, ТН'!$G$26:$G$72,$G43)</f>
        <v>0</v>
      </c>
      <c r="BC43" s="463">
        <f ca="1">SUMIFS('ХВС, ТН'!BB$26:BB$72,'ХВС, ТН'!$F$26:$F$72,$F43,'ХВС, ТН'!$G$26:$G$72,$G43)</f>
        <v>0</v>
      </c>
      <c r="BD43" s="256">
        <f t="shared" ca="1" si="8"/>
        <v>32.453311489292325</v>
      </c>
      <c r="BE43" s="256">
        <f t="shared" ca="1" si="9"/>
        <v>-100</v>
      </c>
      <c r="BF43" s="256">
        <f t="shared" ca="1" si="9"/>
        <v>0</v>
      </c>
      <c r="BG43" s="256">
        <f t="shared" ca="1" si="9"/>
        <v>0</v>
      </c>
      <c r="BH43" s="256">
        <f t="shared" ca="1" si="9"/>
        <v>0</v>
      </c>
      <c r="BI43" s="256">
        <f t="shared" ca="1" si="9"/>
        <v>0</v>
      </c>
      <c r="BJ43" s="256">
        <f t="shared" ca="1" si="9"/>
        <v>0</v>
      </c>
      <c r="BK43" s="256">
        <f t="shared" ca="1" si="9"/>
        <v>0</v>
      </c>
      <c r="BL43" s="256">
        <f t="shared" ca="1" si="9"/>
        <v>0</v>
      </c>
      <c r="BM43" s="256">
        <f t="shared" ca="1" si="9"/>
        <v>0</v>
      </c>
      <c r="BN43" s="1290"/>
      <c r="BO43" s="1290"/>
      <c r="BP43" s="1290"/>
      <c r="BQ43" s="180"/>
      <c r="BR43" s="180"/>
      <c r="BS43" s="1002" t="s">
        <v>1450</v>
      </c>
    </row>
    <row r="44" spans="1:71" s="1229" customFormat="1" ht="16.5" customHeight="1">
      <c r="A44" s="178"/>
      <c r="B44" s="783"/>
      <c r="C44" s="178"/>
      <c r="D44" s="178"/>
      <c r="E44" s="676">
        <v>17</v>
      </c>
      <c r="F44" s="779" t="str" cm="1">
        <f t="array" aca="1" ref="F44" ca="1">OFFSET(G44,-1,-1)</f>
        <v>1</v>
      </c>
      <c r="G44" s="143" t="s">
        <v>1061</v>
      </c>
      <c r="H44" s="180"/>
      <c r="I44" s="180"/>
      <c r="J44" s="180"/>
      <c r="K44" s="180"/>
      <c r="L44" s="180"/>
      <c r="M44" s="180"/>
      <c r="N44" s="180"/>
      <c r="O44" s="180"/>
      <c r="P44" s="180"/>
      <c r="Q44" s="143"/>
      <c r="R44" s="143"/>
      <c r="S44" s="180"/>
      <c r="T44" s="687" t="b" cm="1">
        <f t="array" ref="T44">T43</f>
        <v>1</v>
      </c>
      <c r="U44" s="178"/>
      <c r="V44" s="178"/>
      <c r="W44" s="178"/>
      <c r="X44" s="1830"/>
      <c r="Y44" s="178"/>
      <c r="Z44" s="1830"/>
      <c r="AA44" s="180"/>
      <c r="AB44" s="485" t="s">
        <v>443</v>
      </c>
      <c r="AC44" s="845" t="s">
        <v>1062</v>
      </c>
      <c r="AD44" s="124" t="s">
        <v>1077</v>
      </c>
      <c r="AE44" s="256">
        <f ca="1">SUMIFS('ХВС, ТН'!AE$26:AE$72,'ХВС, ТН'!$F$26:$F$72,$F44,'ХВС, ТН'!$G$26:$G$72,$G44)</f>
        <v>0</v>
      </c>
      <c r="AF44" s="256">
        <f ca="1">SUMIFS('ХВС, ТН'!AF$26:AF$72,'ХВС, ТН'!$F$26:$F$72,$F44,'ХВС, ТН'!$G$26:$G$72,$G44)</f>
        <v>0</v>
      </c>
      <c r="AG44" s="256">
        <f ca="1">SUMIFS('ХВС, ТН'!AG$26:AG$72,'ХВС, ТН'!$F$26:$F$72,$F44,'ХВС, ТН'!$G$26:$G$72,$G44)</f>
        <v>0</v>
      </c>
      <c r="AH44" s="256">
        <f t="shared" ca="1" si="7"/>
        <v>0</v>
      </c>
      <c r="AI44" s="463">
        <f ca="1">SUMIFS('ХВС, ТН'!AH$26:AH$72,'ХВС, ТН'!$F$26:$F$72,$F44,'ХВС, ТН'!$G$26:$G$72,$G44)</f>
        <v>0</v>
      </c>
      <c r="AJ44" s="463">
        <f ca="1">SUMIFS('ХВС, ТН'!AI$26:AI$72,'ХВС, ТН'!$F$26:$F$72,$F44,'ХВС, ТН'!$G$26:$G$72,$G44)</f>
        <v>0</v>
      </c>
      <c r="AK44" s="463">
        <f ca="1">SUMIFS('ХВС, ТН'!AJ$26:AJ$72,'ХВС, ТН'!$F$26:$F$72,$F44,'ХВС, ТН'!$G$26:$G$72,$G44)</f>
        <v>0</v>
      </c>
      <c r="AL44" s="463">
        <f ca="1">SUMIFS('ХВС, ТН'!AK$26:AK$72,'ХВС, ТН'!$F$26:$F$72,$F44,'ХВС, ТН'!$G$26:$G$72,$G44)</f>
        <v>0</v>
      </c>
      <c r="AM44" s="463">
        <f ca="1">SUMIFS('ХВС, ТН'!AL$26:AL$72,'ХВС, ТН'!$F$26:$F$72,$F44,'ХВС, ТН'!$G$26:$G$72,$G44)</f>
        <v>0</v>
      </c>
      <c r="AN44" s="463">
        <f ca="1">SUMIFS('ХВС, ТН'!AM$26:AM$72,'ХВС, ТН'!$F$26:$F$72,$F44,'ХВС, ТН'!$G$26:$G$72,$G44)</f>
        <v>0</v>
      </c>
      <c r="AO44" s="463">
        <f ca="1">SUMIFS('ХВС, ТН'!AN$26:AN$72,'ХВС, ТН'!$F$26:$F$72,$F44,'ХВС, ТН'!$G$26:$G$72,$G44)</f>
        <v>0</v>
      </c>
      <c r="AP44" s="463">
        <f ca="1">SUMIFS('ХВС, ТН'!AO$26:AO$72,'ХВС, ТН'!$F$26:$F$72,$F44,'ХВС, ТН'!$G$26:$G$72,$G44)</f>
        <v>0</v>
      </c>
      <c r="AQ44" s="463">
        <f ca="1">SUMIFS('ХВС, ТН'!AP$26:AP$72,'ХВС, ТН'!$F$26:$F$72,$F44,'ХВС, ТН'!$G$26:$G$72,$G44)</f>
        <v>0</v>
      </c>
      <c r="AR44" s="463">
        <f ca="1">SUMIFS('ХВС, ТН'!AQ$26:AQ$72,'ХВС, ТН'!$F$26:$F$72,$F44,'ХВС, ТН'!$G$26:$G$72,$G44)</f>
        <v>0</v>
      </c>
      <c r="AS44" s="463">
        <f ca="1">SUMIFS('ХВС, ТН'!AR$26:AR$72,'ХВС, ТН'!$F$26:$F$72,$F44,'ХВС, ТН'!$G$26:$G$72,$G44)</f>
        <v>0</v>
      </c>
      <c r="AT44" s="463">
        <f ca="1">SUMIFS('ХВС, ТН'!AS$26:AS$72,'ХВС, ТН'!$F$26:$F$72,$F44,'ХВС, ТН'!$G$26:$G$72,$G44)</f>
        <v>0</v>
      </c>
      <c r="AU44" s="463">
        <f ca="1">SUMIFS('ХВС, ТН'!AT$26:AT$72,'ХВС, ТН'!$F$26:$F$72,$F44,'ХВС, ТН'!$G$26:$G$72,$G44)</f>
        <v>0</v>
      </c>
      <c r="AV44" s="463">
        <f ca="1">SUMIFS('ХВС, ТН'!AU$26:AU$72,'ХВС, ТН'!$F$26:$F$72,$F44,'ХВС, ТН'!$G$26:$G$72,$G44)</f>
        <v>0</v>
      </c>
      <c r="AW44" s="463">
        <f ca="1">SUMIFS('ХВС, ТН'!AV$26:AV$72,'ХВС, ТН'!$F$26:$F$72,$F44,'ХВС, ТН'!$G$26:$G$72,$G44)</f>
        <v>0</v>
      </c>
      <c r="AX44" s="463">
        <f ca="1">SUMIFS('ХВС, ТН'!AW$26:AW$72,'ХВС, ТН'!$F$26:$F$72,$F44,'ХВС, ТН'!$G$26:$G$72,$G44)</f>
        <v>0</v>
      </c>
      <c r="AY44" s="463">
        <f ca="1">SUMIFS('ХВС, ТН'!AX$26:AX$72,'ХВС, ТН'!$F$26:$F$72,$F44,'ХВС, ТН'!$G$26:$G$72,$G44)</f>
        <v>0</v>
      </c>
      <c r="AZ44" s="463">
        <f ca="1">SUMIFS('ХВС, ТН'!AY$26:AY$72,'ХВС, ТН'!$F$26:$F$72,$F44,'ХВС, ТН'!$G$26:$G$72,$G44)</f>
        <v>0</v>
      </c>
      <c r="BA44" s="463">
        <f ca="1">SUMIFS('ХВС, ТН'!AZ$26:AZ$72,'ХВС, ТН'!$F$26:$F$72,$F44,'ХВС, ТН'!$G$26:$G$72,$G44)</f>
        <v>0</v>
      </c>
      <c r="BB44" s="463">
        <f ca="1">SUMIFS('ХВС, ТН'!BA$26:BA$72,'ХВС, ТН'!$F$26:$F$72,$F44,'ХВС, ТН'!$G$26:$G$72,$G44)</f>
        <v>0</v>
      </c>
      <c r="BC44" s="463">
        <f ca="1">SUMIFS('ХВС, ТН'!BB$26:BB$72,'ХВС, ТН'!$F$26:$F$72,$F44,'ХВС, ТН'!$G$26:$G$72,$G44)</f>
        <v>0</v>
      </c>
      <c r="BD44" s="256">
        <f t="shared" ca="1" si="8"/>
        <v>0</v>
      </c>
      <c r="BE44" s="256">
        <f t="shared" ca="1" si="9"/>
        <v>0</v>
      </c>
      <c r="BF44" s="256">
        <f t="shared" ca="1" si="9"/>
        <v>0</v>
      </c>
      <c r="BG44" s="256">
        <f t="shared" ca="1" si="9"/>
        <v>0</v>
      </c>
      <c r="BH44" s="256">
        <f t="shared" ca="1" si="9"/>
        <v>0</v>
      </c>
      <c r="BI44" s="256">
        <f t="shared" ca="1" si="9"/>
        <v>0</v>
      </c>
      <c r="BJ44" s="256">
        <f t="shared" ca="1" si="9"/>
        <v>0</v>
      </c>
      <c r="BK44" s="256">
        <f t="shared" ca="1" si="9"/>
        <v>0</v>
      </c>
      <c r="BL44" s="256">
        <f t="shared" ca="1" si="9"/>
        <v>0</v>
      </c>
      <c r="BM44" s="256">
        <f t="shared" ca="1" si="9"/>
        <v>0</v>
      </c>
      <c r="BN44" s="1290"/>
      <c r="BO44" s="1290"/>
      <c r="BP44" s="1290"/>
      <c r="BQ44" s="180"/>
      <c r="BR44" s="180"/>
      <c r="BS44" s="1002" t="s">
        <v>1451</v>
      </c>
    </row>
    <row r="45" spans="1:71" s="1229" customFormat="1" ht="16.5" customHeight="1">
      <c r="A45" s="178"/>
      <c r="B45" s="783"/>
      <c r="C45" s="178"/>
      <c r="D45" s="178"/>
      <c r="E45" s="676">
        <v>17</v>
      </c>
      <c r="F45" s="779" t="str" cm="1">
        <f t="array" aca="1" ref="F45" ca="1">OFFSET(G45,-1,-1)</f>
        <v>1</v>
      </c>
      <c r="G45" s="143" t="s">
        <v>1452</v>
      </c>
      <c r="H45" s="180"/>
      <c r="I45" s="180"/>
      <c r="J45" s="180"/>
      <c r="K45" s="180"/>
      <c r="L45" s="180"/>
      <c r="M45" s="180"/>
      <c r="N45" s="180"/>
      <c r="O45" s="180"/>
      <c r="P45" s="180"/>
      <c r="Q45" s="143"/>
      <c r="R45" s="143"/>
      <c r="S45" s="180"/>
      <c r="T45" s="687" t="b" cm="1">
        <f t="array" ref="T45">T44</f>
        <v>1</v>
      </c>
      <c r="U45" s="178"/>
      <c r="V45" s="178"/>
      <c r="W45" s="178"/>
      <c r="X45" s="1830"/>
      <c r="Y45" s="178"/>
      <c r="Z45" s="1830"/>
      <c r="AA45" s="180"/>
      <c r="AB45" s="900" t="s">
        <v>448</v>
      </c>
      <c r="AC45" s="114" t="s">
        <v>1435</v>
      </c>
      <c r="AD45" s="271" t="s">
        <v>1077</v>
      </c>
      <c r="AE45" s="255">
        <f ca="1">AE39+AE40+AE41+AE43+AE44</f>
        <v>0</v>
      </c>
      <c r="AF45" s="255">
        <f ca="1">AF39+AF40+AF41+AF43+AF44</f>
        <v>0</v>
      </c>
      <c r="AG45" s="255">
        <f ca="1">AG39+AG40+AG41+AG43+AG44</f>
        <v>0</v>
      </c>
      <c r="AH45" s="255">
        <f t="shared" ca="1" si="7"/>
        <v>0</v>
      </c>
      <c r="AI45" s="901">
        <f t="shared" ref="AI45:BC45" ca="1" si="10">AI39+AI40+AI41+AI43+AI44</f>
        <v>173162.61624210744</v>
      </c>
      <c r="AJ45" s="560">
        <f t="shared" ca="1" si="10"/>
        <v>0</v>
      </c>
      <c r="AK45" s="560">
        <f t="shared" ca="1" si="10"/>
        <v>0</v>
      </c>
      <c r="AL45" s="560">
        <f t="shared" ca="1" si="10"/>
        <v>0</v>
      </c>
      <c r="AM45" s="560">
        <f t="shared" ca="1" si="10"/>
        <v>0</v>
      </c>
      <c r="AN45" s="560">
        <f t="shared" ca="1" si="10"/>
        <v>0</v>
      </c>
      <c r="AO45" s="560">
        <f t="shared" ca="1" si="10"/>
        <v>0</v>
      </c>
      <c r="AP45" s="560">
        <f t="shared" ca="1" si="10"/>
        <v>0</v>
      </c>
      <c r="AQ45" s="560">
        <f t="shared" ca="1" si="10"/>
        <v>0</v>
      </c>
      <c r="AR45" s="560">
        <f t="shared" ca="1" si="10"/>
        <v>0</v>
      </c>
      <c r="AS45" s="560">
        <f t="shared" ca="1" si="10"/>
        <v>0</v>
      </c>
      <c r="AT45" s="560">
        <f t="shared" ca="1" si="10"/>
        <v>214486.09971668664</v>
      </c>
      <c r="AU45" s="560">
        <f t="shared" ca="1" si="10"/>
        <v>0</v>
      </c>
      <c r="AV45" s="560">
        <f t="shared" ca="1" si="10"/>
        <v>0</v>
      </c>
      <c r="AW45" s="560">
        <f t="shared" ca="1" si="10"/>
        <v>0</v>
      </c>
      <c r="AX45" s="560">
        <f t="shared" ca="1" si="10"/>
        <v>0</v>
      </c>
      <c r="AY45" s="560">
        <f t="shared" ca="1" si="10"/>
        <v>0</v>
      </c>
      <c r="AZ45" s="560">
        <f t="shared" ca="1" si="10"/>
        <v>0</v>
      </c>
      <c r="BA45" s="560">
        <f t="shared" ca="1" si="10"/>
        <v>0</v>
      </c>
      <c r="BB45" s="560">
        <f t="shared" ca="1" si="10"/>
        <v>0</v>
      </c>
      <c r="BC45" s="560">
        <f t="shared" ca="1" si="10"/>
        <v>0</v>
      </c>
      <c r="BD45" s="560">
        <f t="shared" ca="1" si="8"/>
        <v>23.863975014562463</v>
      </c>
      <c r="BE45" s="560">
        <f t="shared" ca="1" si="9"/>
        <v>-100</v>
      </c>
      <c r="BF45" s="560">
        <f t="shared" ca="1" si="9"/>
        <v>0</v>
      </c>
      <c r="BG45" s="560">
        <f t="shared" ca="1" si="9"/>
        <v>0</v>
      </c>
      <c r="BH45" s="560">
        <f t="shared" ca="1" si="9"/>
        <v>0</v>
      </c>
      <c r="BI45" s="560">
        <f t="shared" ca="1" si="9"/>
        <v>0</v>
      </c>
      <c r="BJ45" s="560">
        <f t="shared" ca="1" si="9"/>
        <v>0</v>
      </c>
      <c r="BK45" s="560">
        <f t="shared" ca="1" si="9"/>
        <v>0</v>
      </c>
      <c r="BL45" s="560">
        <f t="shared" ca="1" si="9"/>
        <v>0</v>
      </c>
      <c r="BM45" s="560">
        <f t="shared" ca="1" si="9"/>
        <v>0</v>
      </c>
      <c r="BN45" s="1296"/>
      <c r="BO45" s="1296"/>
      <c r="BP45" s="1296"/>
      <c r="BQ45" s="180"/>
      <c r="BR45" s="180"/>
      <c r="BS45" s="1002" t="s">
        <v>635</v>
      </c>
    </row>
    <row r="46" spans="1:71" s="1229" customFormat="1" ht="16.5" hidden="1" customHeight="1">
      <c r="A46" s="178"/>
      <c r="B46" s="783"/>
      <c r="C46" s="178"/>
      <c r="D46" s="178"/>
      <c r="E46" s="676">
        <v>17</v>
      </c>
      <c r="F46" s="779" t="str" cm="1">
        <f t="array" aca="1" ref="F46" ca="1">OFFSET(G46,-1,-1)</f>
        <v>1</v>
      </c>
      <c r="G46" s="143" t="s">
        <v>1020</v>
      </c>
      <c r="H46" s="180"/>
      <c r="I46" s="180"/>
      <c r="J46" s="180"/>
      <c r="K46" s="180"/>
      <c r="L46" s="180"/>
      <c r="M46" s="180"/>
      <c r="N46" s="180"/>
      <c r="O46" s="180"/>
      <c r="P46" s="180"/>
      <c r="Q46" s="143"/>
      <c r="R46" s="143" t="s">
        <v>1021</v>
      </c>
      <c r="S46" s="180"/>
      <c r="T46" s="687" t="b" cm="1">
        <f t="array" ref="T46">T42</f>
        <v>0</v>
      </c>
      <c r="U46" s="178"/>
      <c r="V46" s="178"/>
      <c r="W46" s="178"/>
      <c r="X46" s="1830"/>
      <c r="Y46" s="178"/>
      <c r="Z46" s="1830"/>
      <c r="AA46" s="180"/>
      <c r="AB46" s="487" t="s">
        <v>1453</v>
      </c>
      <c r="AC46" s="241" t="s">
        <v>1023</v>
      </c>
      <c r="AD46" s="105" t="s">
        <v>839</v>
      </c>
      <c r="AE46" s="256">
        <f ca="1">SUM(AE39,AE42)</f>
        <v>0</v>
      </c>
      <c r="AF46" s="256">
        <f ca="1">SUM(AF39,AF42)</f>
        <v>0</v>
      </c>
      <c r="AG46" s="256">
        <f ca="1">SUM(AG39,AG42)</f>
        <v>0</v>
      </c>
      <c r="AH46" s="256">
        <f t="shared" ca="1" si="7"/>
        <v>0</v>
      </c>
      <c r="AI46" s="440">
        <f t="shared" ref="AI46:BC46" ca="1" si="11">SUM(AI39,AI42)</f>
        <v>115427.62042996501</v>
      </c>
      <c r="AJ46" s="256">
        <f t="shared" ca="1" si="11"/>
        <v>0</v>
      </c>
      <c r="AK46" s="256">
        <f t="shared" ca="1" si="11"/>
        <v>0</v>
      </c>
      <c r="AL46" s="256">
        <f t="shared" ca="1" si="11"/>
        <v>0</v>
      </c>
      <c r="AM46" s="256">
        <f t="shared" ca="1" si="11"/>
        <v>0</v>
      </c>
      <c r="AN46" s="256">
        <f t="shared" ca="1" si="11"/>
        <v>0</v>
      </c>
      <c r="AO46" s="256">
        <f t="shared" ca="1" si="11"/>
        <v>0</v>
      </c>
      <c r="AP46" s="256">
        <f t="shared" ca="1" si="11"/>
        <v>0</v>
      </c>
      <c r="AQ46" s="256">
        <f t="shared" ca="1" si="11"/>
        <v>0</v>
      </c>
      <c r="AR46" s="256">
        <f t="shared" ca="1" si="11"/>
        <v>0</v>
      </c>
      <c r="AS46" s="256">
        <f t="shared" ca="1" si="11"/>
        <v>0</v>
      </c>
      <c r="AT46" s="256">
        <f t="shared" ca="1" si="11"/>
        <v>140975.39763741643</v>
      </c>
      <c r="AU46" s="256">
        <f t="shared" ca="1" si="11"/>
        <v>0</v>
      </c>
      <c r="AV46" s="256">
        <f t="shared" ca="1" si="11"/>
        <v>0</v>
      </c>
      <c r="AW46" s="256">
        <f t="shared" ca="1" si="11"/>
        <v>0</v>
      </c>
      <c r="AX46" s="256">
        <f t="shared" ca="1" si="11"/>
        <v>0</v>
      </c>
      <c r="AY46" s="256">
        <f t="shared" ca="1" si="11"/>
        <v>0</v>
      </c>
      <c r="AZ46" s="256">
        <f t="shared" ca="1" si="11"/>
        <v>0</v>
      </c>
      <c r="BA46" s="256">
        <f t="shared" ca="1" si="11"/>
        <v>0</v>
      </c>
      <c r="BB46" s="256">
        <f t="shared" ca="1" si="11"/>
        <v>0</v>
      </c>
      <c r="BC46" s="256">
        <f t="shared" ca="1" si="11"/>
        <v>0</v>
      </c>
      <c r="BD46" s="256">
        <f t="shared" ca="1" si="8"/>
        <v>22.133157655235884</v>
      </c>
      <c r="BE46" s="256">
        <f t="shared" ca="1" si="9"/>
        <v>-100</v>
      </c>
      <c r="BF46" s="256">
        <f t="shared" ca="1" si="9"/>
        <v>0</v>
      </c>
      <c r="BG46" s="256">
        <f t="shared" ca="1" si="9"/>
        <v>0</v>
      </c>
      <c r="BH46" s="256">
        <f t="shared" ca="1" si="9"/>
        <v>0</v>
      </c>
      <c r="BI46" s="256">
        <f t="shared" ca="1" si="9"/>
        <v>0</v>
      </c>
      <c r="BJ46" s="256">
        <f t="shared" ca="1" si="9"/>
        <v>0</v>
      </c>
      <c r="BK46" s="256">
        <f t="shared" ca="1" si="9"/>
        <v>0</v>
      </c>
      <c r="BL46" s="256">
        <f t="shared" ca="1" si="9"/>
        <v>0</v>
      </c>
      <c r="BM46" s="256">
        <f t="shared" ca="1" si="9"/>
        <v>0</v>
      </c>
      <c r="BN46" s="34"/>
      <c r="BO46" s="34"/>
      <c r="BP46" s="34"/>
      <c r="BQ46" s="180"/>
      <c r="BR46" s="180"/>
      <c r="BS46" s="1002" t="s">
        <v>1454</v>
      </c>
    </row>
    <row r="47" spans="1:71" s="1410" customFormat="1" ht="16.5" customHeight="1">
      <c r="A47" s="170"/>
      <c r="B47" s="170"/>
      <c r="C47" s="170"/>
      <c r="D47" s="170"/>
      <c r="E47" s="676">
        <v>17</v>
      </c>
      <c r="F47" s="779" t="str" cm="1">
        <f t="array" ref="F47">X47</f>
        <v>2</v>
      </c>
      <c r="G47" s="620" t="str" cm="1">
        <f t="array" ref="G47">INDEX('Общие сведения'!$AK$187:$AK$236,MATCH($F47,'Общие сведения'!$Z$187:$Z$236,0))</f>
        <v>одноставочный</v>
      </c>
      <c r="H47" s="170"/>
      <c r="I47" s="163" t="str" cm="1">
        <f t="array" ref="I47">INDEX('Общие сведения'!$AE$187:$AE$236,MATCH($F47,'Общие сведения'!$Z$187:$Z$236,0))</f>
        <v>Теплоснабжение</v>
      </c>
      <c r="J47" s="163" t="str" cm="1">
        <f t="array" ref="J47">INDEX('Общие сведения'!$AK$187:$AK$236,MATCH($F47,'Общие сведения'!$Z$187:$Z$236,0))</f>
        <v>одноставочный</v>
      </c>
      <c r="K47" s="163" cm="1">
        <f t="array" ref="K47">INDEX('Общие сведения'!$AH$187:$AH$236,MATCH($F47,'Общие сведения'!$Z$187:$Z$236,0))</f>
        <v>0</v>
      </c>
      <c r="L47" s="163" t="str" cm="1">
        <f t="array" ref="L47">INDEX('Общие сведения'!$AI$187:$AI$236,MATCH($F47,'Общие сведения'!$Z$187:$Z$236,0))</f>
        <v>вода</v>
      </c>
      <c r="M47" s="163" t="str" cm="1">
        <f t="array" ref="M47">INDEX('Общие сведения'!$AJ$187:$AJ$236,MATCH($F47,'Общие сведения'!$Z$187:$Z$236,0))</f>
        <v>Не определено</v>
      </c>
      <c r="N47" s="170"/>
      <c r="O47" s="170"/>
      <c r="P47" s="170"/>
      <c r="Q47" s="170"/>
      <c r="R47" s="170"/>
      <c r="S47" s="170"/>
      <c r="T47" s="687" t="b">
        <f>X47&gt;0</f>
        <v>1</v>
      </c>
      <c r="U47" s="170"/>
      <c r="V47" s="126" t="str" cm="1">
        <f t="array" ref="V47">'Неподконтрольные (5.3)'!$AB$67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7" s="170"/>
      <c r="X47" s="1726" t="s">
        <v>348</v>
      </c>
      <c r="Y47" s="170"/>
      <c r="Z47" s="1724"/>
      <c r="AA47" s="170"/>
      <c r="AB47" s="275" t="str" cm="1">
        <f t="array" ref="AB47">IF(ISBLANK('Неподконтрольные (5.3)'!$AB$67),"",'Неподконтрольные (5.3)'!$AB$67)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170"/>
      <c r="BR47" s="170"/>
      <c r="BS47" s="1002" t="str">
        <f>IF(AND(ISNUMBER(VALUE(TRIM(SUBSTITUTE(AB48,".","")))),TRIM(SUBSTITUTE(AB48,".",""))&lt;&gt;""),"P"&amp;SUBSTITUTE(AB48,".",""),"")</f>
        <v/>
      </c>
    </row>
    <row r="48" spans="1:71" s="1411" customFormat="1" ht="16.5" customHeight="1">
      <c r="A48" s="170"/>
      <c r="B48" s="170"/>
      <c r="C48" s="170"/>
      <c r="D48" s="170"/>
      <c r="E48" s="676">
        <v>17</v>
      </c>
      <c r="F48" s="779" t="str" cm="1">
        <f t="array" aca="1" ref="F48" ca="1">OFFSET(G48,-1,-1)</f>
        <v>2</v>
      </c>
      <c r="G48" s="170"/>
      <c r="H48" s="170"/>
      <c r="I48" s="170"/>
      <c r="J48" s="170"/>
      <c r="K48" s="180" t="str">
        <f ca="1">F48&amp;"komm"</f>
        <v>2komm</v>
      </c>
      <c r="L48" s="179" cm="1">
        <f t="array" ref="L48">BO48</f>
        <v>0</v>
      </c>
      <c r="M48" s="170"/>
      <c r="N48" s="170"/>
      <c r="O48" s="170"/>
      <c r="P48" s="170"/>
      <c r="Q48" s="170"/>
      <c r="R48" s="170"/>
      <c r="S48" s="170"/>
      <c r="T48" s="687" t="b" cm="1">
        <f t="array" ref="T48">T47</f>
        <v>1</v>
      </c>
      <c r="U48" s="170"/>
      <c r="V48" s="170"/>
      <c r="W48" s="170"/>
      <c r="X48" s="1724"/>
      <c r="Y48" s="170"/>
      <c r="Z48" s="1724"/>
      <c r="AA48" s="170"/>
      <c r="AB48" s="1824" t="s">
        <v>1443</v>
      </c>
      <c r="AC48" s="1825"/>
      <c r="AD48" s="252" t="s">
        <v>839</v>
      </c>
      <c r="AE48" s="255" cm="1">
        <f t="array" aca="1" ref="AE48" ca="1">AE55</f>
        <v>0</v>
      </c>
      <c r="AF48" s="255" cm="1">
        <f t="array" aca="1" ref="AF48" ca="1">AF55</f>
        <v>0</v>
      </c>
      <c r="AG48" s="255" cm="1">
        <f t="array" aca="1" ref="AG48" ca="1">AG55</f>
        <v>0</v>
      </c>
      <c r="AH48" s="255" cm="1">
        <f t="array" aca="1" ref="AH48" ca="1">AH55</f>
        <v>0</v>
      </c>
      <c r="AI48" s="255" cm="1">
        <f t="array" aca="1" ref="AI48" ca="1">AI55</f>
        <v>127918.92994293112</v>
      </c>
      <c r="AJ48" s="255" cm="1">
        <f t="array" aca="1" ref="AJ48" ca="1">AJ55</f>
        <v>0</v>
      </c>
      <c r="AK48" s="255" cm="1">
        <f t="array" aca="1" ref="AK48" ca="1">AK55</f>
        <v>0</v>
      </c>
      <c r="AL48" s="255" cm="1">
        <f t="array" aca="1" ref="AL48" ca="1">AL55</f>
        <v>0</v>
      </c>
      <c r="AM48" s="255" cm="1">
        <f t="array" aca="1" ref="AM48" ca="1">AM55</f>
        <v>0</v>
      </c>
      <c r="AN48" s="255" cm="1">
        <f t="array" aca="1" ref="AN48" ca="1">AN55</f>
        <v>0</v>
      </c>
      <c r="AO48" s="255" cm="1">
        <f t="array" aca="1" ref="AO48" ca="1">AO55</f>
        <v>0</v>
      </c>
      <c r="AP48" s="255" cm="1">
        <f t="array" aca="1" ref="AP48" ca="1">AP55</f>
        <v>0</v>
      </c>
      <c r="AQ48" s="255" cm="1">
        <f t="array" aca="1" ref="AQ48" ca="1">AQ55</f>
        <v>0</v>
      </c>
      <c r="AR48" s="255" cm="1">
        <f t="array" aca="1" ref="AR48" ca="1">AR55</f>
        <v>0</v>
      </c>
      <c r="AS48" s="255" cm="1">
        <f t="array" aca="1" ref="AS48" ca="1">AS55</f>
        <v>0</v>
      </c>
      <c r="AT48" s="255" cm="1">
        <f t="array" aca="1" ref="AT48" ca="1">AT55</f>
        <v>179589.70824669336</v>
      </c>
      <c r="AU48" s="255" cm="1">
        <f t="array" aca="1" ref="AU48" ca="1">AU55</f>
        <v>0</v>
      </c>
      <c r="AV48" s="255" cm="1">
        <f t="array" aca="1" ref="AV48" ca="1">AV55</f>
        <v>0</v>
      </c>
      <c r="AW48" s="255" cm="1">
        <f t="array" aca="1" ref="AW48" ca="1">AW55</f>
        <v>0</v>
      </c>
      <c r="AX48" s="255" cm="1">
        <f t="array" aca="1" ref="AX48" ca="1">AX55</f>
        <v>0</v>
      </c>
      <c r="AY48" s="255" cm="1">
        <f t="array" aca="1" ref="AY48" ca="1">AY55</f>
        <v>0</v>
      </c>
      <c r="AZ48" s="255" cm="1">
        <f t="array" aca="1" ref="AZ48" ca="1">AZ55</f>
        <v>0</v>
      </c>
      <c r="BA48" s="255" cm="1">
        <f t="array" aca="1" ref="BA48" ca="1">BA55</f>
        <v>0</v>
      </c>
      <c r="BB48" s="255" cm="1">
        <f t="array" aca="1" ref="BB48" ca="1">BB55</f>
        <v>0</v>
      </c>
      <c r="BC48" s="255" cm="1">
        <f t="array" aca="1" ref="BC48" ca="1">BC55</f>
        <v>0</v>
      </c>
      <c r="BD48" s="255" cm="1">
        <f t="array" aca="1" ref="BD48" ca="1">BD55</f>
        <v>40.393379093160249</v>
      </c>
      <c r="BE48" s="255" cm="1">
        <f t="array" aca="1" ref="BE48" ca="1">BE55</f>
        <v>-100</v>
      </c>
      <c r="BF48" s="255" cm="1">
        <f t="array" aca="1" ref="BF48" ca="1">BF55</f>
        <v>0</v>
      </c>
      <c r="BG48" s="255" cm="1">
        <f t="array" aca="1" ref="BG48" ca="1">BG55</f>
        <v>0</v>
      </c>
      <c r="BH48" s="255" cm="1">
        <f t="array" aca="1" ref="BH48" ca="1">BH55</f>
        <v>0</v>
      </c>
      <c r="BI48" s="255" cm="1">
        <f t="array" aca="1" ref="BI48" ca="1">BI55</f>
        <v>0</v>
      </c>
      <c r="BJ48" s="255" cm="1">
        <f t="array" aca="1" ref="BJ48" ca="1">BJ55</f>
        <v>0</v>
      </c>
      <c r="BK48" s="255" cm="1">
        <f t="array" aca="1" ref="BK48" ca="1">BK55</f>
        <v>0</v>
      </c>
      <c r="BL48" s="255" cm="1">
        <f t="array" aca="1" ref="BL48" ca="1">BL55</f>
        <v>0</v>
      </c>
      <c r="BM48" s="255" cm="1">
        <f t="array" aca="1" ref="BM48" ca="1">BM55</f>
        <v>0</v>
      </c>
      <c r="BN48" s="1290"/>
      <c r="BO48" s="1290"/>
      <c r="BP48" s="1290"/>
      <c r="BQ48" s="170"/>
      <c r="BR48" s="170"/>
      <c r="BS48" s="1002" t="s">
        <v>1444</v>
      </c>
    </row>
    <row r="49" spans="1:71" s="1229" customFormat="1" ht="16.5" customHeight="1">
      <c r="A49" s="178"/>
      <c r="B49" s="783"/>
      <c r="C49" s="178"/>
      <c r="D49" s="178"/>
      <c r="E49" s="676">
        <v>17</v>
      </c>
      <c r="F49" s="779" t="str" cm="1">
        <f t="array" aca="1" ref="F49" ca="1">OFFSET(G49,-1,-1)</f>
        <v>2</v>
      </c>
      <c r="G49" s="143" t="s">
        <v>1445</v>
      </c>
      <c r="H49" s="180"/>
      <c r="I49" s="180"/>
      <c r="J49" s="180"/>
      <c r="K49" s="180"/>
      <c r="L49" s="180"/>
      <c r="M49" s="180"/>
      <c r="N49" s="180"/>
      <c r="O49" s="180"/>
      <c r="P49" s="180"/>
      <c r="Q49" s="143"/>
      <c r="R49" s="143"/>
      <c r="S49" s="180"/>
      <c r="T49" s="687" t="b" cm="1">
        <f t="array" ref="T49">T48</f>
        <v>1</v>
      </c>
      <c r="U49" s="178"/>
      <c r="V49" s="178"/>
      <c r="W49" s="178"/>
      <c r="X49" s="1830"/>
      <c r="Y49" s="178"/>
      <c r="Z49" s="1830"/>
      <c r="AA49" s="180"/>
      <c r="AB49" s="412" t="s">
        <v>341</v>
      </c>
      <c r="AC49" s="628" t="s">
        <v>1446</v>
      </c>
      <c r="AD49" s="419" t="s">
        <v>1077</v>
      </c>
      <c r="AE49" s="256">
        <f ca="1">SUMIFS('Топливо 4.4'!AH$27:AH$436,'Топливо 4.4'!$F$27:$F$436,$F49,'Топливо 4.4'!$G$27:$G$436,$G49)</f>
        <v>0</v>
      </c>
      <c r="AF49" s="256">
        <f ca="1">SUMIFS('Топливо 4.4'!AI$27:AI$436,'Топливо 4.4'!$F$27:$F$436,$F49,'Топливо 4.4'!$G$27:$G$436,$G49)</f>
        <v>0</v>
      </c>
      <c r="AG49" s="256">
        <f ca="1">SUMIFS('Топливо 4.4'!AJ$27:AJ$436,'Топливо 4.4'!$F$27:$F$436,$F49,'Топливо 4.4'!$G$27:$G$436,$G49)</f>
        <v>0</v>
      </c>
      <c r="AH49" s="256">
        <f t="shared" ref="AH49:AH56" ca="1" si="12">AG49-AF49</f>
        <v>0</v>
      </c>
      <c r="AI49" s="256">
        <f ca="1">SUMIFS('Топливо 4.4'!AK$27:AK$436,'Топливо 4.4'!$F$27:$F$436,$F49,'Топливо 4.4'!$G$27:$G$436,$G49)</f>
        <v>94404</v>
      </c>
      <c r="AJ49" s="256">
        <f ca="1">SUMIFS('Топливо 4.4'!AL$27:AL$436,'Топливо 4.4'!$F$27:$F$436,$F49,'Топливо 4.4'!$G$27:$G$436,$G49)</f>
        <v>0</v>
      </c>
      <c r="AK49" s="256">
        <f ca="1">SUMIFS('Топливо 4.4'!AO$27:AO$436,'Топливо 4.4'!$F$27:$F$436,$F49,'Топливо 4.4'!$G$27:$G$436,$G49)</f>
        <v>0</v>
      </c>
      <c r="AL49" s="256">
        <f ca="1">SUMIFS('Топливо 4.4'!AR$27:AR$436,'Топливо 4.4'!$F$27:$F$436,$F49,'Топливо 4.4'!$G$27:$G$436,$G49)</f>
        <v>0</v>
      </c>
      <c r="AM49" s="256">
        <f ca="1">SUMIFS('Топливо 4.4'!AU$27:AU$436,'Топливо 4.4'!$F$27:$F$436,$F49,'Топливо 4.4'!$G$27:$G$436,$G49)</f>
        <v>0</v>
      </c>
      <c r="AN49" s="256">
        <f ca="1">SUMIFS('Топливо 4.4'!AX$27:AX$436,'Топливо 4.4'!$F$27:$F$436,$F49,'Топливо 4.4'!$G$27:$G$436,$G49)</f>
        <v>0</v>
      </c>
      <c r="AO49" s="256">
        <f ca="1">SUMIFS('Топливо 4.4'!BA$27:BA$436,'Топливо 4.4'!$F$27:$F$436,$F49,'Топливо 4.4'!$G$27:$G$436,$G49)</f>
        <v>0</v>
      </c>
      <c r="AP49" s="256">
        <f ca="1">SUMIFS('Топливо 4.4'!BD$27:BD$436,'Топливо 4.4'!$F$27:$F$436,$F49,'Топливо 4.4'!$G$27:$G$436,$G49)</f>
        <v>0</v>
      </c>
      <c r="AQ49" s="256">
        <f ca="1">SUMIFS('Топливо 4.4'!BG$27:BG$436,'Топливо 4.4'!$F$27:$F$436,$F49,'Топливо 4.4'!$G$27:$G$436,$G49)</f>
        <v>0</v>
      </c>
      <c r="AR49" s="256">
        <f ca="1">SUMIFS('Топливо 4.4'!BJ$27:BJ$436,'Топливо 4.4'!$F$27:$F$436,$F49,'Топливо 4.4'!$G$27:$G$436,$G49)</f>
        <v>0</v>
      </c>
      <c r="AS49" s="256">
        <f ca="1">SUMIFS('Топливо 4.4'!BM$27:BM$436,'Топливо 4.4'!$F$27:$F$436,$F49,'Топливо 4.4'!$G$27:$G$436,$G49)</f>
        <v>0</v>
      </c>
      <c r="AT49" s="256">
        <f ca="1">SUMIFS('Топливо 4.4'!BP$27:BP$436,'Топливо 4.4'!$F$27:$F$436,$F49,'Топливо 4.4'!$G$27:$G$436,$G49)</f>
        <v>118969.10578802595</v>
      </c>
      <c r="AU49" s="256">
        <f ca="1">SUMIFS('Топливо 4.4'!BS$27:BS$436,'Топливо 4.4'!$F$27:$F$436,$F49,'Топливо 4.4'!$G$27:$G$436,$G49)</f>
        <v>0</v>
      </c>
      <c r="AV49" s="256">
        <f ca="1">SUMIFS('Топливо 4.4'!BV$27:BV$436,'Топливо 4.4'!$F$27:$F$436,$F49,'Топливо 4.4'!$G$27:$G$436,$G49)</f>
        <v>0</v>
      </c>
      <c r="AW49" s="256">
        <f ca="1">SUMIFS('Топливо 4.4'!BY$27:BY$436,'Топливо 4.4'!$F$27:$F$436,$F49,'Топливо 4.4'!$G$27:$G$436,$G49)</f>
        <v>0</v>
      </c>
      <c r="AX49" s="256">
        <f ca="1">SUMIFS('Топливо 4.4'!CB$27:CB$436,'Топливо 4.4'!$F$27:$F$436,$F49,'Топливо 4.4'!$G$27:$G$436,$G49)</f>
        <v>0</v>
      </c>
      <c r="AY49" s="256">
        <f ca="1">SUMIFS('Топливо 4.4'!CE$27:CE$436,'Топливо 4.4'!$F$27:$F$436,$F49,'Топливо 4.4'!$G$27:$G$436,$G49)</f>
        <v>0</v>
      </c>
      <c r="AZ49" s="256">
        <f ca="1">SUMIFS('Топливо 4.4'!CH$27:CH$436,'Топливо 4.4'!$F$27:$F$436,$F49,'Топливо 4.4'!$G$27:$G$436,$G49)</f>
        <v>0</v>
      </c>
      <c r="BA49" s="256">
        <f ca="1">SUMIFS('Топливо 4.4'!CK$27:CK$436,'Топливо 4.4'!$F$27:$F$436,$F49,'Топливо 4.4'!$G$27:$G$436,$G49)</f>
        <v>0</v>
      </c>
      <c r="BB49" s="256">
        <f ca="1">SUMIFS('Топливо 4.4'!CN$27:CN$436,'Топливо 4.4'!$F$27:$F$436,$F49,'Топливо 4.4'!$G$27:$G$436,$G49)</f>
        <v>0</v>
      </c>
      <c r="BC49" s="256">
        <f ca="1">SUMIFS('Топливо 4.4'!CQ$27:CQ$436,'Топливо 4.4'!$F$27:$F$436,$F49,'Топливо 4.4'!$G$27:$G$436,$G49)</f>
        <v>0</v>
      </c>
      <c r="BD49" s="256">
        <f t="shared" ref="BD49:BD56" ca="1" si="13">IF(AI49=0,0,(AT49-AI49)/AI49*100)</f>
        <v>26.021255230738049</v>
      </c>
      <c r="BE49" s="256">
        <f t="shared" ref="BE49:BM56" ca="1" si="14">IF(AT49=0,0,(AU49-AT49)/AT49*100)</f>
        <v>-100</v>
      </c>
      <c r="BF49" s="256">
        <f t="shared" ca="1" si="14"/>
        <v>0</v>
      </c>
      <c r="BG49" s="256">
        <f t="shared" ca="1" si="14"/>
        <v>0</v>
      </c>
      <c r="BH49" s="256">
        <f t="shared" ca="1" si="14"/>
        <v>0</v>
      </c>
      <c r="BI49" s="256">
        <f t="shared" ca="1" si="14"/>
        <v>0</v>
      </c>
      <c r="BJ49" s="256">
        <f t="shared" ca="1" si="14"/>
        <v>0</v>
      </c>
      <c r="BK49" s="256">
        <f t="shared" ca="1" si="14"/>
        <v>0</v>
      </c>
      <c r="BL49" s="256">
        <f t="shared" ca="1" si="14"/>
        <v>0</v>
      </c>
      <c r="BM49" s="256">
        <f t="shared" ca="1" si="14"/>
        <v>0</v>
      </c>
      <c r="BN49" s="1290"/>
      <c r="BO49" s="1290"/>
      <c r="BP49" s="1290"/>
      <c r="BQ49" s="180"/>
      <c r="BR49" s="180"/>
      <c r="BS49" s="1002" t="s">
        <v>1440</v>
      </c>
    </row>
    <row r="50" spans="1:71" s="1229" customFormat="1" ht="16.5" customHeight="1">
      <c r="A50" s="178"/>
      <c r="B50" s="783"/>
      <c r="C50" s="178"/>
      <c r="D50" s="178"/>
      <c r="E50" s="676">
        <v>17</v>
      </c>
      <c r="F50" s="779" t="str" cm="1">
        <f t="array" aca="1" ref="F50" ca="1">OFFSET(G50,-1,-1)</f>
        <v>2</v>
      </c>
      <c r="G50" s="143" t="s">
        <v>983</v>
      </c>
      <c r="H50" s="180"/>
      <c r="I50" s="180"/>
      <c r="J50" s="180"/>
      <c r="K50" s="180"/>
      <c r="L50" s="180"/>
      <c r="M50" s="180"/>
      <c r="N50" s="180"/>
      <c r="O50" s="180"/>
      <c r="P50" s="180"/>
      <c r="Q50" s="143"/>
      <c r="R50" s="143"/>
      <c r="S50" s="180"/>
      <c r="T50" s="687" t="b" cm="1">
        <f t="array" ref="T50">T49</f>
        <v>1</v>
      </c>
      <c r="U50" s="178"/>
      <c r="V50" s="178"/>
      <c r="W50" s="178"/>
      <c r="X50" s="1830"/>
      <c r="Y50" s="178"/>
      <c r="Z50" s="1830"/>
      <c r="AA50" s="180"/>
      <c r="AB50" s="438" t="s">
        <v>348</v>
      </c>
      <c r="AC50" s="626" t="s">
        <v>985</v>
      </c>
      <c r="AD50" s="424" t="s">
        <v>1077</v>
      </c>
      <c r="AE50" s="256">
        <f ca="1">SUMIFS(ЭнергоРесурсы!AE$26:AE$156,ЭнергоРесурсы!$F$26:$F$156,$F50,ЭнергоРесурсы!$G$26:$G$156,$G50)</f>
        <v>0</v>
      </c>
      <c r="AF50" s="256">
        <f ca="1">SUMIFS(ЭнергоРесурсы!AF$26:AF$156,ЭнергоРесурсы!$F$26:$F$156,$F50,ЭнергоРесурсы!$G$26:$G$156,$G50)</f>
        <v>0</v>
      </c>
      <c r="AG50" s="256">
        <f ca="1">SUMIFS(ЭнергоРесурсы!AG$26:AG$156,ЭнергоРесурсы!$F$26:$F$156,$F50,ЭнергоРесурсы!$G$26:$G$156,$G50)</f>
        <v>0</v>
      </c>
      <c r="AH50" s="256">
        <f t="shared" ca="1" si="12"/>
        <v>0</v>
      </c>
      <c r="AI50" s="256">
        <f ca="1">SUMIFS(ЭнергоРесурсы!AH$26:AH$156,ЭнергоРесурсы!$F$26:$F$156,$F50,ЭнергоРесурсы!$G$26:$G$156,$G50)</f>
        <v>22868.380001211121</v>
      </c>
      <c r="AJ50" s="256">
        <f ca="1">SUMIFS(ЭнергоРесурсы!AI$26:AI$156,ЭнергоРесурсы!$F$26:$F$156,$F50,ЭнергоРесурсы!$G$26:$G$156,$G50)</f>
        <v>0</v>
      </c>
      <c r="AK50" s="256">
        <f ca="1">SUMIFS(ЭнергоРесурсы!AJ$26:AJ$156,ЭнергоРесурсы!$F$26:$F$156,$F50,ЭнергоРесурсы!$G$26:$G$156,$G50)</f>
        <v>0</v>
      </c>
      <c r="AL50" s="256">
        <f ca="1">SUMIFS(ЭнергоРесурсы!AK$26:AK$156,ЭнергоРесурсы!$F$26:$F$156,$F50,ЭнергоРесурсы!$G$26:$G$156,$G50)</f>
        <v>0</v>
      </c>
      <c r="AM50" s="256">
        <f ca="1">SUMIFS(ЭнергоРесурсы!AL$26:AL$156,ЭнергоРесурсы!$F$26:$F$156,$F50,ЭнергоРесурсы!$G$26:$G$156,$G50)</f>
        <v>0</v>
      </c>
      <c r="AN50" s="256">
        <f ca="1">SUMIFS(ЭнергоРесурсы!AM$26:AM$156,ЭнергоРесурсы!$F$26:$F$156,$F50,ЭнергоРесурсы!$G$26:$G$156,$G50)</f>
        <v>0</v>
      </c>
      <c r="AO50" s="256">
        <f ca="1">SUMIFS(ЭнергоРесурсы!AN$26:AN$156,ЭнергоРесурсы!$F$26:$F$156,$F50,ЭнергоРесурсы!$G$26:$G$156,$G50)</f>
        <v>0</v>
      </c>
      <c r="AP50" s="256">
        <f ca="1">SUMIFS(ЭнергоРесурсы!AO$26:AO$156,ЭнергоРесурсы!$F$26:$F$156,$F50,ЭнергоРесурсы!$G$26:$G$156,$G50)</f>
        <v>0</v>
      </c>
      <c r="AQ50" s="256">
        <f ca="1">SUMIFS(ЭнергоРесурсы!AP$26:AP$156,ЭнергоРесурсы!$F$26:$F$156,$F50,ЭнергоРесурсы!$G$26:$G$156,$G50)</f>
        <v>0</v>
      </c>
      <c r="AR50" s="256">
        <f ca="1">SUMIFS(ЭнергоРесурсы!AQ$26:AQ$156,ЭнергоРесурсы!$F$26:$F$156,$F50,ЭнергоРесурсы!$G$26:$G$156,$G50)</f>
        <v>0</v>
      </c>
      <c r="AS50" s="256">
        <f ca="1">SUMIFS(ЭнергоРесурсы!AR$26:AR$156,ЭнергоРесурсы!$F$26:$F$156,$F50,ЭнергоРесурсы!$G$26:$G$156,$G50)</f>
        <v>0</v>
      </c>
      <c r="AT50" s="256">
        <f ca="1">SUMIFS(ЭнергоРесурсы!AS$26:AS$156,ЭнергоРесурсы!$F$26:$F$156,$F50,ЭнергоРесурсы!$G$26:$G$156,$G50)</f>
        <v>46214.921058667423</v>
      </c>
      <c r="AU50" s="256">
        <f ca="1">SUMIFS(ЭнергоРесурсы!AT$26:AT$156,ЭнергоРесурсы!$F$26:$F$156,$F50,ЭнергоРесурсы!$G$26:$G$156,$G50)</f>
        <v>0</v>
      </c>
      <c r="AV50" s="256">
        <f ca="1">SUMIFS(ЭнергоРесурсы!AU$26:AU$156,ЭнергоРесурсы!$F$26:$F$156,$F50,ЭнергоРесурсы!$G$26:$G$156,$G50)</f>
        <v>0</v>
      </c>
      <c r="AW50" s="256">
        <f ca="1">SUMIFS(ЭнергоРесурсы!AV$26:AV$156,ЭнергоРесурсы!$F$26:$F$156,$F50,ЭнергоРесурсы!$G$26:$G$156,$G50)</f>
        <v>0</v>
      </c>
      <c r="AX50" s="256">
        <f ca="1">SUMIFS(ЭнергоРесурсы!AW$26:AW$156,ЭнергоРесурсы!$F$26:$F$156,$F50,ЭнергоРесурсы!$G$26:$G$156,$G50)</f>
        <v>0</v>
      </c>
      <c r="AY50" s="256">
        <f ca="1">SUMIFS(ЭнергоРесурсы!AX$26:AX$156,ЭнергоРесурсы!$F$26:$F$156,$F50,ЭнергоРесурсы!$G$26:$G$156,$G50)</f>
        <v>0</v>
      </c>
      <c r="AZ50" s="256">
        <f ca="1">SUMIFS(ЭнергоРесурсы!AY$26:AY$156,ЭнергоРесурсы!$F$26:$F$156,$F50,ЭнергоРесурсы!$G$26:$G$156,$G50)</f>
        <v>0</v>
      </c>
      <c r="BA50" s="256">
        <f ca="1">SUMIFS(ЭнергоРесурсы!AZ$26:AZ$156,ЭнергоРесурсы!$F$26:$F$156,$F50,ЭнергоРесурсы!$G$26:$G$156,$G50)</f>
        <v>0</v>
      </c>
      <c r="BB50" s="256">
        <f ca="1">SUMIFS(ЭнергоРесурсы!BA$26:BA$156,ЭнергоРесурсы!$F$26:$F$156,$F50,ЭнергоРесурсы!$G$26:$G$156,$G50)</f>
        <v>0</v>
      </c>
      <c r="BC50" s="256">
        <f ca="1">SUMIFS(ЭнергоРесурсы!BB$26:BB$156,ЭнергоРесурсы!$F$26:$F$156,$F50,ЭнергоРесурсы!$G$26:$G$156,$G50)</f>
        <v>0</v>
      </c>
      <c r="BD50" s="256">
        <f t="shared" ca="1" si="13"/>
        <v>102.09092666913817</v>
      </c>
      <c r="BE50" s="256">
        <f t="shared" ca="1" si="14"/>
        <v>-100</v>
      </c>
      <c r="BF50" s="256">
        <f t="shared" ca="1" si="14"/>
        <v>0</v>
      </c>
      <c r="BG50" s="256">
        <f t="shared" ca="1" si="14"/>
        <v>0</v>
      </c>
      <c r="BH50" s="256">
        <f t="shared" ca="1" si="14"/>
        <v>0</v>
      </c>
      <c r="BI50" s="256">
        <f t="shared" ca="1" si="14"/>
        <v>0</v>
      </c>
      <c r="BJ50" s="256">
        <f t="shared" ca="1" si="14"/>
        <v>0</v>
      </c>
      <c r="BK50" s="256">
        <f t="shared" ca="1" si="14"/>
        <v>0</v>
      </c>
      <c r="BL50" s="256">
        <f t="shared" ca="1" si="14"/>
        <v>0</v>
      </c>
      <c r="BM50" s="256">
        <f t="shared" ca="1" si="14"/>
        <v>0</v>
      </c>
      <c r="BN50" s="1290"/>
      <c r="BO50" s="1290"/>
      <c r="BP50" s="1290"/>
      <c r="BQ50" s="180"/>
      <c r="BR50" s="180"/>
      <c r="BS50" s="1002" t="s">
        <v>1447</v>
      </c>
    </row>
    <row r="51" spans="1:71" s="1229" customFormat="1" ht="16.5" customHeight="1">
      <c r="A51" s="178"/>
      <c r="B51" s="783"/>
      <c r="C51" s="178"/>
      <c r="D51" s="178"/>
      <c r="E51" s="676">
        <v>17</v>
      </c>
      <c r="F51" s="779" t="str" cm="1">
        <f t="array" aca="1" ref="F51" ca="1">OFFSET(G51,-1,-1)</f>
        <v>2</v>
      </c>
      <c r="G51" s="143" t="s">
        <v>1018</v>
      </c>
      <c r="H51" s="180"/>
      <c r="I51" s="180"/>
      <c r="J51" s="180"/>
      <c r="K51" s="180"/>
      <c r="L51" s="180"/>
      <c r="M51" s="180"/>
      <c r="N51" s="180"/>
      <c r="O51" s="180"/>
      <c r="P51" s="180"/>
      <c r="Q51" s="143"/>
      <c r="R51" s="143"/>
      <c r="S51" s="180"/>
      <c r="T51" s="687" t="b" cm="1">
        <f t="array" ref="T51">T50</f>
        <v>1</v>
      </c>
      <c r="U51" s="178"/>
      <c r="V51" s="178"/>
      <c r="W51" s="178"/>
      <c r="X51" s="1830"/>
      <c r="Y51" s="178"/>
      <c r="Z51" s="1830"/>
      <c r="AA51" s="180"/>
      <c r="AB51" s="235" t="s">
        <v>437</v>
      </c>
      <c r="AC51" s="627" t="s">
        <v>1038</v>
      </c>
      <c r="AD51" s="424" t="s">
        <v>1077</v>
      </c>
      <c r="AE51" s="256">
        <f ca="1">SUMIFS(ЭнергоРесурсы!AE$26:AE$156,ЭнергоРесурсы!$F$26:$F$156,$F51,ЭнергоРесурсы!$G$26:$G$156,$G51)</f>
        <v>0</v>
      </c>
      <c r="AF51" s="256">
        <f ca="1">SUMIFS(ЭнергоРесурсы!AF$26:AF$156,ЭнергоРесурсы!$F$26:$F$156,$F51,ЭнергоРесурсы!$G$26:$G$156,$G51)</f>
        <v>0</v>
      </c>
      <c r="AG51" s="256">
        <f ca="1">SUMIFS(ЭнергоРесурсы!AG$26:AG$156,ЭнергоРесурсы!$F$26:$F$156,$F51,ЭнергоРесурсы!$G$26:$G$156,$G51)</f>
        <v>0</v>
      </c>
      <c r="AH51" s="256">
        <f t="shared" ca="1" si="12"/>
        <v>0</v>
      </c>
      <c r="AI51" s="256">
        <f ca="1">SUMIFS(ЭнергоРесурсы!AH$26:AH$156,ЭнергоРесурсы!$F$26:$F$156,$F51,ЭнергоРесурсы!$G$26:$G$156,$G51)</f>
        <v>0</v>
      </c>
      <c r="AJ51" s="256">
        <f ca="1">SUMIFS(ЭнергоРесурсы!AI$26:AI$156,ЭнергоРесурсы!$F$26:$F$156,$F51,ЭнергоРесурсы!$G$26:$G$156,$G51)</f>
        <v>0</v>
      </c>
      <c r="AK51" s="256">
        <f ca="1">SUMIFS(ЭнергоРесурсы!AJ$26:AJ$156,ЭнергоРесурсы!$F$26:$F$156,$F51,ЭнергоРесурсы!$G$26:$G$156,$G51)</f>
        <v>0</v>
      </c>
      <c r="AL51" s="256">
        <f ca="1">SUMIFS(ЭнергоРесурсы!AK$26:AK$156,ЭнергоРесурсы!$F$26:$F$156,$F51,ЭнергоРесурсы!$G$26:$G$156,$G51)</f>
        <v>0</v>
      </c>
      <c r="AM51" s="256">
        <f ca="1">SUMIFS(ЭнергоРесурсы!AL$26:AL$156,ЭнергоРесурсы!$F$26:$F$156,$F51,ЭнергоРесурсы!$G$26:$G$156,$G51)</f>
        <v>0</v>
      </c>
      <c r="AN51" s="256">
        <f ca="1">SUMIFS(ЭнергоРесурсы!AM$26:AM$156,ЭнергоРесурсы!$F$26:$F$156,$F51,ЭнергоРесурсы!$G$26:$G$156,$G51)</f>
        <v>0</v>
      </c>
      <c r="AO51" s="256">
        <f ca="1">SUMIFS(ЭнергоРесурсы!AN$26:AN$156,ЭнергоРесурсы!$F$26:$F$156,$F51,ЭнергоРесурсы!$G$26:$G$156,$G51)</f>
        <v>0</v>
      </c>
      <c r="AP51" s="256">
        <f ca="1">SUMIFS(ЭнергоРесурсы!AO$26:AO$156,ЭнергоРесурсы!$F$26:$F$156,$F51,ЭнергоРесурсы!$G$26:$G$156,$G51)</f>
        <v>0</v>
      </c>
      <c r="AQ51" s="256">
        <f ca="1">SUMIFS(ЭнергоРесурсы!AP$26:AP$156,ЭнергоРесурсы!$F$26:$F$156,$F51,ЭнергоРесурсы!$G$26:$G$156,$G51)</f>
        <v>0</v>
      </c>
      <c r="AR51" s="256">
        <f ca="1">SUMIFS(ЭнергоРесурсы!AQ$26:AQ$156,ЭнергоРесурсы!$F$26:$F$156,$F51,ЭнергоРесурсы!$G$26:$G$156,$G51)</f>
        <v>0</v>
      </c>
      <c r="AS51" s="256">
        <f ca="1">SUMIFS(ЭнергоРесурсы!AR$26:AR$156,ЭнергоРесурсы!$F$26:$F$156,$F51,ЭнергоРесурсы!$G$26:$G$156,$G51)</f>
        <v>0</v>
      </c>
      <c r="AT51" s="256">
        <f ca="1">SUMIFS(ЭнергоРесурсы!AS$26:AS$156,ЭнергоРесурсы!$F$26:$F$156,$F51,ЭнергоРесурсы!$G$26:$G$156,$G51)</f>
        <v>0</v>
      </c>
      <c r="AU51" s="256">
        <f ca="1">SUMIFS(ЭнергоРесурсы!AT$26:AT$156,ЭнергоРесурсы!$F$26:$F$156,$F51,ЭнергоРесурсы!$G$26:$G$156,$G51)</f>
        <v>0</v>
      </c>
      <c r="AV51" s="256">
        <f ca="1">SUMIFS(ЭнергоРесурсы!AU$26:AU$156,ЭнергоРесурсы!$F$26:$F$156,$F51,ЭнергоРесурсы!$G$26:$G$156,$G51)</f>
        <v>0</v>
      </c>
      <c r="AW51" s="256">
        <f ca="1">SUMIFS(ЭнергоРесурсы!AV$26:AV$156,ЭнергоРесурсы!$F$26:$F$156,$F51,ЭнергоРесурсы!$G$26:$G$156,$G51)</f>
        <v>0</v>
      </c>
      <c r="AX51" s="256">
        <f ca="1">SUMIFS(ЭнергоРесурсы!AW$26:AW$156,ЭнергоРесурсы!$F$26:$F$156,$F51,ЭнергоРесурсы!$G$26:$G$156,$G51)</f>
        <v>0</v>
      </c>
      <c r="AY51" s="256">
        <f ca="1">SUMIFS(ЭнергоРесурсы!AX$26:AX$156,ЭнергоРесурсы!$F$26:$F$156,$F51,ЭнергоРесурсы!$G$26:$G$156,$G51)</f>
        <v>0</v>
      </c>
      <c r="AZ51" s="256">
        <f ca="1">SUMIFS(ЭнергоРесурсы!AY$26:AY$156,ЭнергоРесурсы!$F$26:$F$156,$F51,ЭнергоРесурсы!$G$26:$G$156,$G51)</f>
        <v>0</v>
      </c>
      <c r="BA51" s="256">
        <f ca="1">SUMIFS(ЭнергоРесурсы!AZ$26:AZ$156,ЭнергоРесурсы!$F$26:$F$156,$F51,ЭнергоРесурсы!$G$26:$G$156,$G51)</f>
        <v>0</v>
      </c>
      <c r="BB51" s="256">
        <f ca="1">SUMIFS(ЭнергоРесурсы!BA$26:BA$156,ЭнергоРесурсы!$F$26:$F$156,$F51,ЭнергоРесурсы!$G$26:$G$156,$G51)</f>
        <v>0</v>
      </c>
      <c r="BC51" s="256">
        <f ca="1">SUMIFS(ЭнергоРесурсы!BB$26:BB$156,ЭнергоРесурсы!$F$26:$F$156,$F51,ЭнергоРесурсы!$G$26:$G$156,$G51)</f>
        <v>0</v>
      </c>
      <c r="BD51" s="256">
        <f t="shared" ca="1" si="13"/>
        <v>0</v>
      </c>
      <c r="BE51" s="256">
        <f t="shared" ca="1" si="14"/>
        <v>0</v>
      </c>
      <c r="BF51" s="256">
        <f t="shared" ca="1" si="14"/>
        <v>0</v>
      </c>
      <c r="BG51" s="256">
        <f t="shared" ca="1" si="14"/>
        <v>0</v>
      </c>
      <c r="BH51" s="256">
        <f t="shared" ca="1" si="14"/>
        <v>0</v>
      </c>
      <c r="BI51" s="256">
        <f t="shared" ca="1" si="14"/>
        <v>0</v>
      </c>
      <c r="BJ51" s="256">
        <f t="shared" ca="1" si="14"/>
        <v>0</v>
      </c>
      <c r="BK51" s="256">
        <f t="shared" ca="1" si="14"/>
        <v>0</v>
      </c>
      <c r="BL51" s="256">
        <f t="shared" ca="1" si="14"/>
        <v>0</v>
      </c>
      <c r="BM51" s="256">
        <f t="shared" ca="1" si="14"/>
        <v>0</v>
      </c>
      <c r="BN51" s="1290"/>
      <c r="BO51" s="1290"/>
      <c r="BP51" s="1290"/>
      <c r="BQ51" s="180"/>
      <c r="BR51" s="180"/>
      <c r="BS51" s="1002" t="s">
        <v>1448</v>
      </c>
    </row>
    <row r="52" spans="1:71" s="1229" customFormat="1" ht="16.5" hidden="1" customHeight="1">
      <c r="A52" s="178"/>
      <c r="B52" s="783"/>
      <c r="C52" s="178"/>
      <c r="D52" s="178"/>
      <c r="E52" s="676">
        <v>17</v>
      </c>
      <c r="F52" s="779" t="str" cm="1">
        <f t="array" aca="1" ref="F52" ca="1">OFFSET(G52,-1,-1)</f>
        <v>2</v>
      </c>
      <c r="G52" s="143" t="s">
        <v>1020</v>
      </c>
      <c r="H52" s="180"/>
      <c r="I52" s="180"/>
      <c r="J52" s="180"/>
      <c r="K52" s="180"/>
      <c r="L52" s="180"/>
      <c r="M52" s="180"/>
      <c r="N52" s="180"/>
      <c r="O52" s="180"/>
      <c r="P52" s="180"/>
      <c r="Q52" s="143"/>
      <c r="R52" s="143" t="s">
        <v>1021</v>
      </c>
      <c r="S52" s="180"/>
      <c r="T52" s="687" t="b">
        <f>AND(T51,G47="двухставочный")</f>
        <v>0</v>
      </c>
      <c r="U52" s="178"/>
      <c r="V52" s="178"/>
      <c r="W52" s="178"/>
      <c r="X52" s="1830"/>
      <c r="Y52" s="178"/>
      <c r="Z52" s="1830"/>
      <c r="AA52" s="180"/>
      <c r="AB52" s="235" t="s">
        <v>744</v>
      </c>
      <c r="AC52" s="902" t="s">
        <v>1023</v>
      </c>
      <c r="AD52" s="868" t="s">
        <v>839</v>
      </c>
      <c r="AE52" s="464">
        <f ca="1">SUMIFS(ЭнергоРесурсы!AE$26:AE$156,ЭнергоРесурсы!$F$26:$F$156,$F52,ЭнергоРесурсы!$G$26:$G$156,$G52)</f>
        <v>0</v>
      </c>
      <c r="AF52" s="464">
        <f ca="1">SUMIFS(ЭнергоРесурсы!AF$26:AF$156,ЭнергоРесурсы!$F$26:$F$156,$F52,ЭнергоРесурсы!$G$26:$G$156,$G52)</f>
        <v>0</v>
      </c>
      <c r="AG52" s="464">
        <f ca="1">SUMIFS(ЭнергоРесурсы!AG$26:AG$156,ЭнергоРесурсы!$F$26:$F$156,$F52,ЭнергоРесурсы!$G$26:$G$156,$G52)</f>
        <v>0</v>
      </c>
      <c r="AH52" s="464">
        <f t="shared" ca="1" si="12"/>
        <v>0</v>
      </c>
      <c r="AI52" s="440" cm="1">
        <f t="array" ref="AI52">ЭнергоРесурсы!AH68</f>
        <v>45966.000247734446</v>
      </c>
      <c r="AJ52" s="440" cm="1">
        <f t="array" ref="AJ52">ЭнергоРесурсы!AI68</f>
        <v>0</v>
      </c>
      <c r="AK52" s="440" cm="1">
        <f t="array" ref="AK52">ЭнергоРесурсы!AJ68</f>
        <v>0</v>
      </c>
      <c r="AL52" s="440" cm="1">
        <f t="array" ref="AL52">ЭнергоРесурсы!AK68</f>
        <v>0</v>
      </c>
      <c r="AM52" s="440" cm="1">
        <f t="array" ref="AM52">ЭнергоРесурсы!AL68</f>
        <v>0</v>
      </c>
      <c r="AN52" s="440" cm="1">
        <f t="array" ref="AN52">ЭнергоРесурсы!AM68</f>
        <v>0</v>
      </c>
      <c r="AO52" s="440" cm="1">
        <f t="array" ref="AO52">ЭнергоРесурсы!AN68</f>
        <v>0</v>
      </c>
      <c r="AP52" s="440" cm="1">
        <f t="array" ref="AP52">ЭнергоРесурсы!AO68</f>
        <v>0</v>
      </c>
      <c r="AQ52" s="440" cm="1">
        <f t="array" ref="AQ52">ЭнергоРесурсы!AP68</f>
        <v>0</v>
      </c>
      <c r="AR52" s="440" cm="1">
        <f t="array" ref="AR52">ЭнергоРесурсы!AQ68</f>
        <v>0</v>
      </c>
      <c r="AS52" s="440" cm="1">
        <f t="array" ref="AS52">ЭнергоРесурсы!AR68</f>
        <v>0</v>
      </c>
      <c r="AT52" s="440" cm="1">
        <f t="array" ref="AT52">ЭнергоРесурсы!AS68</f>
        <v>57922.277725183892</v>
      </c>
      <c r="AU52" s="440" cm="1">
        <f t="array" ref="AU52">ЭнергоРесурсы!AT68</f>
        <v>0</v>
      </c>
      <c r="AV52" s="440" cm="1">
        <f t="array" ref="AV52">ЭнергоРесурсы!AU68</f>
        <v>0</v>
      </c>
      <c r="AW52" s="440" cm="1">
        <f t="array" ref="AW52">ЭнергоРесурсы!AV68</f>
        <v>0</v>
      </c>
      <c r="AX52" s="440" cm="1">
        <f t="array" ref="AX52">ЭнергоРесурсы!AW68</f>
        <v>0</v>
      </c>
      <c r="AY52" s="440" cm="1">
        <f t="array" ref="AY52">ЭнергоРесурсы!AX68</f>
        <v>0</v>
      </c>
      <c r="AZ52" s="440" cm="1">
        <f t="array" ref="AZ52">ЭнергоРесурсы!AY68</f>
        <v>0</v>
      </c>
      <c r="BA52" s="440" cm="1">
        <f t="array" ref="BA52">ЭнергоРесурсы!AZ68</f>
        <v>0</v>
      </c>
      <c r="BB52" s="440" cm="1">
        <f t="array" ref="BB52">ЭнергоРесурсы!BA68</f>
        <v>0</v>
      </c>
      <c r="BC52" s="440" cm="1">
        <f t="array" ref="BC52">ЭнергоРесурсы!BB68</f>
        <v>0</v>
      </c>
      <c r="BD52" s="256">
        <f t="shared" si="13"/>
        <v>26.011133039661726</v>
      </c>
      <c r="BE52" s="256">
        <f t="shared" si="14"/>
        <v>-100</v>
      </c>
      <c r="BF52" s="256">
        <f t="shared" si="14"/>
        <v>0</v>
      </c>
      <c r="BG52" s="256">
        <f t="shared" si="14"/>
        <v>0</v>
      </c>
      <c r="BH52" s="256">
        <f t="shared" si="14"/>
        <v>0</v>
      </c>
      <c r="BI52" s="256">
        <f t="shared" si="14"/>
        <v>0</v>
      </c>
      <c r="BJ52" s="256">
        <f t="shared" si="14"/>
        <v>0</v>
      </c>
      <c r="BK52" s="256">
        <f t="shared" si="14"/>
        <v>0</v>
      </c>
      <c r="BL52" s="256">
        <f t="shared" si="14"/>
        <v>0</v>
      </c>
      <c r="BM52" s="256">
        <f t="shared" si="14"/>
        <v>0</v>
      </c>
      <c r="BN52" s="28"/>
      <c r="BO52" s="28"/>
      <c r="BP52" s="28"/>
      <c r="BQ52" s="180"/>
      <c r="BR52" s="180"/>
      <c r="BS52" s="1002" t="s">
        <v>1449</v>
      </c>
    </row>
    <row r="53" spans="1:71" s="1229" customFormat="1" ht="16.5" customHeight="1">
      <c r="A53" s="178"/>
      <c r="B53" s="783"/>
      <c r="C53" s="178"/>
      <c r="D53" s="178"/>
      <c r="E53" s="676">
        <v>17</v>
      </c>
      <c r="F53" s="779" t="str" cm="1">
        <f t="array" aca="1" ref="F53" ca="1">OFFSET(G53,-1,-1)</f>
        <v>2</v>
      </c>
      <c r="G53" s="143" t="s">
        <v>1050</v>
      </c>
      <c r="H53" s="180"/>
      <c r="I53" s="180"/>
      <c r="J53" s="180"/>
      <c r="K53" s="180"/>
      <c r="L53" s="180"/>
      <c r="M53" s="180"/>
      <c r="N53" s="180"/>
      <c r="O53" s="180"/>
      <c r="P53" s="180"/>
      <c r="Q53" s="143"/>
      <c r="R53" s="143"/>
      <c r="S53" s="180"/>
      <c r="T53" s="687" t="b" cm="1">
        <f t="array" ref="T53">T51</f>
        <v>1</v>
      </c>
      <c r="U53" s="178"/>
      <c r="V53" s="178"/>
      <c r="W53" s="178"/>
      <c r="X53" s="1830"/>
      <c r="Y53" s="178"/>
      <c r="Z53" s="1830"/>
      <c r="AA53" s="180"/>
      <c r="AB53" s="485" t="s">
        <v>440</v>
      </c>
      <c r="AC53" s="845" t="s">
        <v>1051</v>
      </c>
      <c r="AD53" s="124" t="s">
        <v>1077</v>
      </c>
      <c r="AE53" s="256">
        <f ca="1">SUMIFS('ХВС, ТН'!AE$26:AE$72,'ХВС, ТН'!$F$26:$F$72,$F53,'ХВС, ТН'!$G$26:$G$72,$G53)</f>
        <v>0</v>
      </c>
      <c r="AF53" s="256">
        <f ca="1">SUMIFS('ХВС, ТН'!AF$26:AF$72,'ХВС, ТН'!$F$26:$F$72,$F53,'ХВС, ТН'!$G$26:$G$72,$G53)</f>
        <v>0</v>
      </c>
      <c r="AG53" s="256">
        <f ca="1">SUMIFS('ХВС, ТН'!AG$26:AG$72,'ХВС, ТН'!$F$26:$F$72,$F53,'ХВС, ТН'!$G$26:$G$72,$G53)</f>
        <v>0</v>
      </c>
      <c r="AH53" s="256">
        <f t="shared" ca="1" si="12"/>
        <v>0</v>
      </c>
      <c r="AI53" s="463">
        <f ca="1">SUMIFS('ХВС, ТН'!AH$26:AH$72,'ХВС, ТН'!$F$26:$F$72,$F53,'ХВС, ТН'!$G$26:$G$72,$G53)</f>
        <v>10646.549941719999</v>
      </c>
      <c r="AJ53" s="463">
        <f ca="1">SUMIFS('ХВС, ТН'!AI$26:AI$72,'ХВС, ТН'!$F$26:$F$72,$F53,'ХВС, ТН'!$G$26:$G$72,$G53)</f>
        <v>0</v>
      </c>
      <c r="AK53" s="463">
        <f ca="1">SUMIFS('ХВС, ТН'!AJ$26:AJ$72,'ХВС, ТН'!$F$26:$F$72,$F53,'ХВС, ТН'!$G$26:$G$72,$G53)</f>
        <v>0</v>
      </c>
      <c r="AL53" s="463">
        <f ca="1">SUMIFS('ХВС, ТН'!AK$26:AK$72,'ХВС, ТН'!$F$26:$F$72,$F53,'ХВС, ТН'!$G$26:$G$72,$G53)</f>
        <v>0</v>
      </c>
      <c r="AM53" s="463">
        <f ca="1">SUMIFS('ХВС, ТН'!AL$26:AL$72,'ХВС, ТН'!$F$26:$F$72,$F53,'ХВС, ТН'!$G$26:$G$72,$G53)</f>
        <v>0</v>
      </c>
      <c r="AN53" s="463">
        <f ca="1">SUMIFS('ХВС, ТН'!AM$26:AM$72,'ХВС, ТН'!$F$26:$F$72,$F53,'ХВС, ТН'!$G$26:$G$72,$G53)</f>
        <v>0</v>
      </c>
      <c r="AO53" s="463">
        <f ca="1">SUMIFS('ХВС, ТН'!AN$26:AN$72,'ХВС, ТН'!$F$26:$F$72,$F53,'ХВС, ТН'!$G$26:$G$72,$G53)</f>
        <v>0</v>
      </c>
      <c r="AP53" s="463">
        <f ca="1">SUMIFS('ХВС, ТН'!AO$26:AO$72,'ХВС, ТН'!$F$26:$F$72,$F53,'ХВС, ТН'!$G$26:$G$72,$G53)</f>
        <v>0</v>
      </c>
      <c r="AQ53" s="463">
        <f ca="1">SUMIFS('ХВС, ТН'!AP$26:AP$72,'ХВС, ТН'!$F$26:$F$72,$F53,'ХВС, ТН'!$G$26:$G$72,$G53)</f>
        <v>0</v>
      </c>
      <c r="AR53" s="463">
        <f ca="1">SUMIFS('ХВС, ТН'!AQ$26:AQ$72,'ХВС, ТН'!$F$26:$F$72,$F53,'ХВС, ТН'!$G$26:$G$72,$G53)</f>
        <v>0</v>
      </c>
      <c r="AS53" s="463">
        <f ca="1">SUMIFS('ХВС, ТН'!AR$26:AR$72,'ХВС, ТН'!$F$26:$F$72,$F53,'ХВС, ТН'!$G$26:$G$72,$G53)</f>
        <v>0</v>
      </c>
      <c r="AT53" s="463">
        <f ca="1">SUMIFS('ХВС, ТН'!AS$26:AS$72,'ХВС, ТН'!$F$26:$F$72,$F53,'ХВС, ТН'!$G$26:$G$72,$G53)</f>
        <v>14405.681400000001</v>
      </c>
      <c r="AU53" s="463">
        <f ca="1">SUMIFS('ХВС, ТН'!AT$26:AT$72,'ХВС, ТН'!$F$26:$F$72,$F53,'ХВС, ТН'!$G$26:$G$72,$G53)</f>
        <v>0</v>
      </c>
      <c r="AV53" s="463">
        <f ca="1">SUMIFS('ХВС, ТН'!AU$26:AU$72,'ХВС, ТН'!$F$26:$F$72,$F53,'ХВС, ТН'!$G$26:$G$72,$G53)</f>
        <v>0</v>
      </c>
      <c r="AW53" s="463">
        <f ca="1">SUMIFS('ХВС, ТН'!AV$26:AV$72,'ХВС, ТН'!$F$26:$F$72,$F53,'ХВС, ТН'!$G$26:$G$72,$G53)</f>
        <v>0</v>
      </c>
      <c r="AX53" s="463">
        <f ca="1">SUMIFS('ХВС, ТН'!AW$26:AW$72,'ХВС, ТН'!$F$26:$F$72,$F53,'ХВС, ТН'!$G$26:$G$72,$G53)</f>
        <v>0</v>
      </c>
      <c r="AY53" s="463">
        <f ca="1">SUMIFS('ХВС, ТН'!AX$26:AX$72,'ХВС, ТН'!$F$26:$F$72,$F53,'ХВС, ТН'!$G$26:$G$72,$G53)</f>
        <v>0</v>
      </c>
      <c r="AZ53" s="463">
        <f ca="1">SUMIFS('ХВС, ТН'!AY$26:AY$72,'ХВС, ТН'!$F$26:$F$72,$F53,'ХВС, ТН'!$G$26:$G$72,$G53)</f>
        <v>0</v>
      </c>
      <c r="BA53" s="463">
        <f ca="1">SUMIFS('ХВС, ТН'!AZ$26:AZ$72,'ХВС, ТН'!$F$26:$F$72,$F53,'ХВС, ТН'!$G$26:$G$72,$G53)</f>
        <v>0</v>
      </c>
      <c r="BB53" s="463">
        <f ca="1">SUMIFS('ХВС, ТН'!BA$26:BA$72,'ХВС, ТН'!$F$26:$F$72,$F53,'ХВС, ТН'!$G$26:$G$72,$G53)</f>
        <v>0</v>
      </c>
      <c r="BC53" s="463">
        <f ca="1">SUMIFS('ХВС, ТН'!BB$26:BB$72,'ХВС, ТН'!$F$26:$F$72,$F53,'ХВС, ТН'!$G$26:$G$72,$G53)</f>
        <v>0</v>
      </c>
      <c r="BD53" s="256">
        <f t="shared" ca="1" si="13"/>
        <v>35.308447138817414</v>
      </c>
      <c r="BE53" s="256">
        <f t="shared" ca="1" si="14"/>
        <v>-100</v>
      </c>
      <c r="BF53" s="256">
        <f t="shared" ca="1" si="14"/>
        <v>0</v>
      </c>
      <c r="BG53" s="256">
        <f t="shared" ca="1" si="14"/>
        <v>0</v>
      </c>
      <c r="BH53" s="256">
        <f t="shared" ca="1" si="14"/>
        <v>0</v>
      </c>
      <c r="BI53" s="256">
        <f t="shared" ca="1" si="14"/>
        <v>0</v>
      </c>
      <c r="BJ53" s="256">
        <f t="shared" ca="1" si="14"/>
        <v>0</v>
      </c>
      <c r="BK53" s="256">
        <f t="shared" ca="1" si="14"/>
        <v>0</v>
      </c>
      <c r="BL53" s="256">
        <f t="shared" ca="1" si="14"/>
        <v>0</v>
      </c>
      <c r="BM53" s="256">
        <f t="shared" ca="1" si="14"/>
        <v>0</v>
      </c>
      <c r="BN53" s="1290"/>
      <c r="BO53" s="1290"/>
      <c r="BP53" s="1290"/>
      <c r="BQ53" s="180"/>
      <c r="BR53" s="180"/>
      <c r="BS53" s="1002" t="s">
        <v>1450</v>
      </c>
    </row>
    <row r="54" spans="1:71" s="1229" customFormat="1" ht="16.5" customHeight="1">
      <c r="A54" s="178"/>
      <c r="B54" s="783"/>
      <c r="C54" s="178"/>
      <c r="D54" s="178"/>
      <c r="E54" s="676">
        <v>17</v>
      </c>
      <c r="F54" s="779" t="str" cm="1">
        <f t="array" aca="1" ref="F54" ca="1">OFFSET(G54,-1,-1)</f>
        <v>2</v>
      </c>
      <c r="G54" s="143" t="s">
        <v>1061</v>
      </c>
      <c r="H54" s="180"/>
      <c r="I54" s="180"/>
      <c r="J54" s="180"/>
      <c r="K54" s="180"/>
      <c r="L54" s="180"/>
      <c r="M54" s="180"/>
      <c r="N54" s="180"/>
      <c r="O54" s="180"/>
      <c r="P54" s="180"/>
      <c r="Q54" s="143"/>
      <c r="R54" s="143"/>
      <c r="S54" s="180"/>
      <c r="T54" s="687" t="b" cm="1">
        <f t="array" ref="T54">T53</f>
        <v>1</v>
      </c>
      <c r="U54" s="178"/>
      <c r="V54" s="178"/>
      <c r="W54" s="178"/>
      <c r="X54" s="1830"/>
      <c r="Y54" s="178"/>
      <c r="Z54" s="1830"/>
      <c r="AA54" s="180"/>
      <c r="AB54" s="485" t="s">
        <v>443</v>
      </c>
      <c r="AC54" s="845" t="s">
        <v>1062</v>
      </c>
      <c r="AD54" s="124" t="s">
        <v>1077</v>
      </c>
      <c r="AE54" s="256">
        <f ca="1">SUMIFS('ХВС, ТН'!AE$26:AE$72,'ХВС, ТН'!$F$26:$F$72,$F54,'ХВС, ТН'!$G$26:$G$72,$G54)</f>
        <v>0</v>
      </c>
      <c r="AF54" s="256">
        <f ca="1">SUMIFS('ХВС, ТН'!AF$26:AF$72,'ХВС, ТН'!$F$26:$F$72,$F54,'ХВС, ТН'!$G$26:$G$72,$G54)</f>
        <v>0</v>
      </c>
      <c r="AG54" s="256">
        <f ca="1">SUMIFS('ХВС, ТН'!AG$26:AG$72,'ХВС, ТН'!$F$26:$F$72,$F54,'ХВС, ТН'!$G$26:$G$72,$G54)</f>
        <v>0</v>
      </c>
      <c r="AH54" s="256">
        <f t="shared" ca="1" si="12"/>
        <v>0</v>
      </c>
      <c r="AI54" s="463">
        <f ca="1">SUMIFS('ХВС, ТН'!AH$26:AH$72,'ХВС, ТН'!$F$26:$F$72,$F54,'ХВС, ТН'!$G$26:$G$72,$G54)</f>
        <v>0</v>
      </c>
      <c r="AJ54" s="463">
        <f ca="1">SUMIFS('ХВС, ТН'!AI$26:AI$72,'ХВС, ТН'!$F$26:$F$72,$F54,'ХВС, ТН'!$G$26:$G$72,$G54)</f>
        <v>0</v>
      </c>
      <c r="AK54" s="463">
        <f ca="1">SUMIFS('ХВС, ТН'!AJ$26:AJ$72,'ХВС, ТН'!$F$26:$F$72,$F54,'ХВС, ТН'!$G$26:$G$72,$G54)</f>
        <v>0</v>
      </c>
      <c r="AL54" s="463">
        <f ca="1">SUMIFS('ХВС, ТН'!AK$26:AK$72,'ХВС, ТН'!$F$26:$F$72,$F54,'ХВС, ТН'!$G$26:$G$72,$G54)</f>
        <v>0</v>
      </c>
      <c r="AM54" s="463">
        <f ca="1">SUMIFS('ХВС, ТН'!AL$26:AL$72,'ХВС, ТН'!$F$26:$F$72,$F54,'ХВС, ТН'!$G$26:$G$72,$G54)</f>
        <v>0</v>
      </c>
      <c r="AN54" s="463">
        <f ca="1">SUMIFS('ХВС, ТН'!AM$26:AM$72,'ХВС, ТН'!$F$26:$F$72,$F54,'ХВС, ТН'!$G$26:$G$72,$G54)</f>
        <v>0</v>
      </c>
      <c r="AO54" s="463">
        <f ca="1">SUMIFS('ХВС, ТН'!AN$26:AN$72,'ХВС, ТН'!$F$26:$F$72,$F54,'ХВС, ТН'!$G$26:$G$72,$G54)</f>
        <v>0</v>
      </c>
      <c r="AP54" s="463">
        <f ca="1">SUMIFS('ХВС, ТН'!AO$26:AO$72,'ХВС, ТН'!$F$26:$F$72,$F54,'ХВС, ТН'!$G$26:$G$72,$G54)</f>
        <v>0</v>
      </c>
      <c r="AQ54" s="463">
        <f ca="1">SUMIFS('ХВС, ТН'!AP$26:AP$72,'ХВС, ТН'!$F$26:$F$72,$F54,'ХВС, ТН'!$G$26:$G$72,$G54)</f>
        <v>0</v>
      </c>
      <c r="AR54" s="463">
        <f ca="1">SUMIFS('ХВС, ТН'!AQ$26:AQ$72,'ХВС, ТН'!$F$26:$F$72,$F54,'ХВС, ТН'!$G$26:$G$72,$G54)</f>
        <v>0</v>
      </c>
      <c r="AS54" s="463">
        <f ca="1">SUMIFS('ХВС, ТН'!AR$26:AR$72,'ХВС, ТН'!$F$26:$F$72,$F54,'ХВС, ТН'!$G$26:$G$72,$G54)</f>
        <v>0</v>
      </c>
      <c r="AT54" s="463">
        <f ca="1">SUMIFS('ХВС, ТН'!AS$26:AS$72,'ХВС, ТН'!$F$26:$F$72,$F54,'ХВС, ТН'!$G$26:$G$72,$G54)</f>
        <v>0</v>
      </c>
      <c r="AU54" s="463">
        <f ca="1">SUMIFS('ХВС, ТН'!AT$26:AT$72,'ХВС, ТН'!$F$26:$F$72,$F54,'ХВС, ТН'!$G$26:$G$72,$G54)</f>
        <v>0</v>
      </c>
      <c r="AV54" s="463">
        <f ca="1">SUMIFS('ХВС, ТН'!AU$26:AU$72,'ХВС, ТН'!$F$26:$F$72,$F54,'ХВС, ТН'!$G$26:$G$72,$G54)</f>
        <v>0</v>
      </c>
      <c r="AW54" s="463">
        <f ca="1">SUMIFS('ХВС, ТН'!AV$26:AV$72,'ХВС, ТН'!$F$26:$F$72,$F54,'ХВС, ТН'!$G$26:$G$72,$G54)</f>
        <v>0</v>
      </c>
      <c r="AX54" s="463">
        <f ca="1">SUMIFS('ХВС, ТН'!AW$26:AW$72,'ХВС, ТН'!$F$26:$F$72,$F54,'ХВС, ТН'!$G$26:$G$72,$G54)</f>
        <v>0</v>
      </c>
      <c r="AY54" s="463">
        <f ca="1">SUMIFS('ХВС, ТН'!AX$26:AX$72,'ХВС, ТН'!$F$26:$F$72,$F54,'ХВС, ТН'!$G$26:$G$72,$G54)</f>
        <v>0</v>
      </c>
      <c r="AZ54" s="463">
        <f ca="1">SUMIFS('ХВС, ТН'!AY$26:AY$72,'ХВС, ТН'!$F$26:$F$72,$F54,'ХВС, ТН'!$G$26:$G$72,$G54)</f>
        <v>0</v>
      </c>
      <c r="BA54" s="463">
        <f ca="1">SUMIFS('ХВС, ТН'!AZ$26:AZ$72,'ХВС, ТН'!$F$26:$F$72,$F54,'ХВС, ТН'!$G$26:$G$72,$G54)</f>
        <v>0</v>
      </c>
      <c r="BB54" s="463">
        <f ca="1">SUMIFS('ХВС, ТН'!BA$26:BA$72,'ХВС, ТН'!$F$26:$F$72,$F54,'ХВС, ТН'!$G$26:$G$72,$G54)</f>
        <v>0</v>
      </c>
      <c r="BC54" s="463">
        <f ca="1">SUMIFS('ХВС, ТН'!BB$26:BB$72,'ХВС, ТН'!$F$26:$F$72,$F54,'ХВС, ТН'!$G$26:$G$72,$G54)</f>
        <v>0</v>
      </c>
      <c r="BD54" s="256">
        <f t="shared" ca="1" si="13"/>
        <v>0</v>
      </c>
      <c r="BE54" s="256">
        <f t="shared" ca="1" si="14"/>
        <v>0</v>
      </c>
      <c r="BF54" s="256">
        <f t="shared" ca="1" si="14"/>
        <v>0</v>
      </c>
      <c r="BG54" s="256">
        <f t="shared" ca="1" si="14"/>
        <v>0</v>
      </c>
      <c r="BH54" s="256">
        <f t="shared" ca="1" si="14"/>
        <v>0</v>
      </c>
      <c r="BI54" s="256">
        <f t="shared" ca="1" si="14"/>
        <v>0</v>
      </c>
      <c r="BJ54" s="256">
        <f t="shared" ca="1" si="14"/>
        <v>0</v>
      </c>
      <c r="BK54" s="256">
        <f t="shared" ca="1" si="14"/>
        <v>0</v>
      </c>
      <c r="BL54" s="256">
        <f t="shared" ca="1" si="14"/>
        <v>0</v>
      </c>
      <c r="BM54" s="256">
        <f t="shared" ca="1" si="14"/>
        <v>0</v>
      </c>
      <c r="BN54" s="1290"/>
      <c r="BO54" s="1290"/>
      <c r="BP54" s="1290"/>
      <c r="BQ54" s="180"/>
      <c r="BR54" s="180"/>
      <c r="BS54" s="1002" t="s">
        <v>1451</v>
      </c>
    </row>
    <row r="55" spans="1:71" s="1229" customFormat="1" ht="16.5" customHeight="1">
      <c r="A55" s="178"/>
      <c r="B55" s="783"/>
      <c r="C55" s="178"/>
      <c r="D55" s="178"/>
      <c r="E55" s="676">
        <v>17</v>
      </c>
      <c r="F55" s="779" t="str" cm="1">
        <f t="array" aca="1" ref="F55" ca="1">OFFSET(G55,-1,-1)</f>
        <v>2</v>
      </c>
      <c r="G55" s="143" t="s">
        <v>1452</v>
      </c>
      <c r="H55" s="180"/>
      <c r="I55" s="180"/>
      <c r="J55" s="180"/>
      <c r="K55" s="180"/>
      <c r="L55" s="180"/>
      <c r="M55" s="180"/>
      <c r="N55" s="180"/>
      <c r="O55" s="180"/>
      <c r="P55" s="180"/>
      <c r="Q55" s="143"/>
      <c r="R55" s="143"/>
      <c r="S55" s="180"/>
      <c r="T55" s="687" t="b" cm="1">
        <f t="array" ref="T55">T54</f>
        <v>1</v>
      </c>
      <c r="U55" s="178"/>
      <c r="V55" s="178"/>
      <c r="W55" s="178"/>
      <c r="X55" s="1830"/>
      <c r="Y55" s="178"/>
      <c r="Z55" s="1830"/>
      <c r="AA55" s="180"/>
      <c r="AB55" s="900" t="s">
        <v>448</v>
      </c>
      <c r="AC55" s="114" t="s">
        <v>1435</v>
      </c>
      <c r="AD55" s="271" t="s">
        <v>1077</v>
      </c>
      <c r="AE55" s="255">
        <f ca="1">AE49+AE50+AE51+AE53+AE54</f>
        <v>0</v>
      </c>
      <c r="AF55" s="255">
        <f ca="1">AF49+AF50+AF51+AF53+AF54</f>
        <v>0</v>
      </c>
      <c r="AG55" s="255">
        <f ca="1">AG49+AG50+AG51+AG53+AG54</f>
        <v>0</v>
      </c>
      <c r="AH55" s="255">
        <f t="shared" ca="1" si="12"/>
        <v>0</v>
      </c>
      <c r="AI55" s="901">
        <f t="shared" ref="AI55:BC55" ca="1" si="15">AI49+AI50+AI51+AI53+AI54</f>
        <v>127918.92994293112</v>
      </c>
      <c r="AJ55" s="560">
        <f t="shared" ca="1" si="15"/>
        <v>0</v>
      </c>
      <c r="AK55" s="560">
        <f t="shared" ca="1" si="15"/>
        <v>0</v>
      </c>
      <c r="AL55" s="560">
        <f t="shared" ca="1" si="15"/>
        <v>0</v>
      </c>
      <c r="AM55" s="560">
        <f t="shared" ca="1" si="15"/>
        <v>0</v>
      </c>
      <c r="AN55" s="560">
        <f t="shared" ca="1" si="15"/>
        <v>0</v>
      </c>
      <c r="AO55" s="560">
        <f t="shared" ca="1" si="15"/>
        <v>0</v>
      </c>
      <c r="AP55" s="560">
        <f t="shared" ca="1" si="15"/>
        <v>0</v>
      </c>
      <c r="AQ55" s="560">
        <f t="shared" ca="1" si="15"/>
        <v>0</v>
      </c>
      <c r="AR55" s="560">
        <f t="shared" ca="1" si="15"/>
        <v>0</v>
      </c>
      <c r="AS55" s="560">
        <f t="shared" ca="1" si="15"/>
        <v>0</v>
      </c>
      <c r="AT55" s="560">
        <f t="shared" ca="1" si="15"/>
        <v>179589.70824669336</v>
      </c>
      <c r="AU55" s="560">
        <f t="shared" ca="1" si="15"/>
        <v>0</v>
      </c>
      <c r="AV55" s="560">
        <f t="shared" ca="1" si="15"/>
        <v>0</v>
      </c>
      <c r="AW55" s="560">
        <f t="shared" ca="1" si="15"/>
        <v>0</v>
      </c>
      <c r="AX55" s="560">
        <f t="shared" ca="1" si="15"/>
        <v>0</v>
      </c>
      <c r="AY55" s="560">
        <f t="shared" ca="1" si="15"/>
        <v>0</v>
      </c>
      <c r="AZ55" s="560">
        <f t="shared" ca="1" si="15"/>
        <v>0</v>
      </c>
      <c r="BA55" s="560">
        <f t="shared" ca="1" si="15"/>
        <v>0</v>
      </c>
      <c r="BB55" s="560">
        <f t="shared" ca="1" si="15"/>
        <v>0</v>
      </c>
      <c r="BC55" s="560">
        <f t="shared" ca="1" si="15"/>
        <v>0</v>
      </c>
      <c r="BD55" s="560">
        <f t="shared" ca="1" si="13"/>
        <v>40.393379093160249</v>
      </c>
      <c r="BE55" s="560">
        <f t="shared" ca="1" si="14"/>
        <v>-100</v>
      </c>
      <c r="BF55" s="560">
        <f t="shared" ca="1" si="14"/>
        <v>0</v>
      </c>
      <c r="BG55" s="560">
        <f t="shared" ca="1" si="14"/>
        <v>0</v>
      </c>
      <c r="BH55" s="560">
        <f t="shared" ca="1" si="14"/>
        <v>0</v>
      </c>
      <c r="BI55" s="560">
        <f t="shared" ca="1" si="14"/>
        <v>0</v>
      </c>
      <c r="BJ55" s="560">
        <f t="shared" ca="1" si="14"/>
        <v>0</v>
      </c>
      <c r="BK55" s="560">
        <f t="shared" ca="1" si="14"/>
        <v>0</v>
      </c>
      <c r="BL55" s="560">
        <f t="shared" ca="1" si="14"/>
        <v>0</v>
      </c>
      <c r="BM55" s="560">
        <f t="shared" ca="1" si="14"/>
        <v>0</v>
      </c>
      <c r="BN55" s="1296"/>
      <c r="BO55" s="1296"/>
      <c r="BP55" s="1296"/>
      <c r="BQ55" s="180"/>
      <c r="BR55" s="180"/>
      <c r="BS55" s="1002" t="s">
        <v>635</v>
      </c>
    </row>
    <row r="56" spans="1:71" s="1229" customFormat="1" ht="16.5" hidden="1" customHeight="1">
      <c r="A56" s="178"/>
      <c r="B56" s="783"/>
      <c r="C56" s="178"/>
      <c r="D56" s="178"/>
      <c r="E56" s="676">
        <v>17</v>
      </c>
      <c r="F56" s="779" t="str" cm="1">
        <f t="array" aca="1" ref="F56" ca="1">OFFSET(G56,-1,-1)</f>
        <v>2</v>
      </c>
      <c r="G56" s="143" t="s">
        <v>1020</v>
      </c>
      <c r="H56" s="180"/>
      <c r="I56" s="180"/>
      <c r="J56" s="180"/>
      <c r="K56" s="180"/>
      <c r="L56" s="180"/>
      <c r="M56" s="180"/>
      <c r="N56" s="180"/>
      <c r="O56" s="180"/>
      <c r="P56" s="180"/>
      <c r="Q56" s="143"/>
      <c r="R56" s="143" t="s">
        <v>1021</v>
      </c>
      <c r="S56" s="180"/>
      <c r="T56" s="687" t="b" cm="1">
        <f t="array" ref="T56">T52</f>
        <v>0</v>
      </c>
      <c r="U56" s="178"/>
      <c r="V56" s="178"/>
      <c r="W56" s="178"/>
      <c r="X56" s="1830"/>
      <c r="Y56" s="178"/>
      <c r="Z56" s="1830"/>
      <c r="AA56" s="180"/>
      <c r="AB56" s="487" t="s">
        <v>1453</v>
      </c>
      <c r="AC56" s="241" t="s">
        <v>1023</v>
      </c>
      <c r="AD56" s="105" t="s">
        <v>839</v>
      </c>
      <c r="AE56" s="256">
        <f ca="1">SUM(AE49,AE52)</f>
        <v>0</v>
      </c>
      <c r="AF56" s="256">
        <f ca="1">SUM(AF49,AF52)</f>
        <v>0</v>
      </c>
      <c r="AG56" s="256">
        <f ca="1">SUM(AG49,AG52)</f>
        <v>0</v>
      </c>
      <c r="AH56" s="256">
        <f t="shared" ca="1" si="12"/>
        <v>0</v>
      </c>
      <c r="AI56" s="440">
        <f t="shared" ref="AI56:BC56" ca="1" si="16">SUM(AI49,AI52)</f>
        <v>140370.00024773445</v>
      </c>
      <c r="AJ56" s="256">
        <f t="shared" ca="1" si="16"/>
        <v>0</v>
      </c>
      <c r="AK56" s="256">
        <f t="shared" ca="1" si="16"/>
        <v>0</v>
      </c>
      <c r="AL56" s="256">
        <f t="shared" ca="1" si="16"/>
        <v>0</v>
      </c>
      <c r="AM56" s="256">
        <f t="shared" ca="1" si="16"/>
        <v>0</v>
      </c>
      <c r="AN56" s="256">
        <f t="shared" ca="1" si="16"/>
        <v>0</v>
      </c>
      <c r="AO56" s="256">
        <f t="shared" ca="1" si="16"/>
        <v>0</v>
      </c>
      <c r="AP56" s="256">
        <f t="shared" ca="1" si="16"/>
        <v>0</v>
      </c>
      <c r="AQ56" s="256">
        <f t="shared" ca="1" si="16"/>
        <v>0</v>
      </c>
      <c r="AR56" s="256">
        <f t="shared" ca="1" si="16"/>
        <v>0</v>
      </c>
      <c r="AS56" s="256">
        <f t="shared" ca="1" si="16"/>
        <v>0</v>
      </c>
      <c r="AT56" s="256">
        <f t="shared" ca="1" si="16"/>
        <v>176891.38351320985</v>
      </c>
      <c r="AU56" s="256">
        <f t="shared" ca="1" si="16"/>
        <v>0</v>
      </c>
      <c r="AV56" s="256">
        <f t="shared" ca="1" si="16"/>
        <v>0</v>
      </c>
      <c r="AW56" s="256">
        <f t="shared" ca="1" si="16"/>
        <v>0</v>
      </c>
      <c r="AX56" s="256">
        <f t="shared" ca="1" si="16"/>
        <v>0</v>
      </c>
      <c r="AY56" s="256">
        <f t="shared" ca="1" si="16"/>
        <v>0</v>
      </c>
      <c r="AZ56" s="256">
        <f t="shared" ca="1" si="16"/>
        <v>0</v>
      </c>
      <c r="BA56" s="256">
        <f t="shared" ca="1" si="16"/>
        <v>0</v>
      </c>
      <c r="BB56" s="256">
        <f t="shared" ca="1" si="16"/>
        <v>0</v>
      </c>
      <c r="BC56" s="256">
        <f t="shared" ca="1" si="16"/>
        <v>0</v>
      </c>
      <c r="BD56" s="256">
        <f t="shared" ca="1" si="13"/>
        <v>26.01794058632186</v>
      </c>
      <c r="BE56" s="256">
        <f t="shared" ca="1" si="14"/>
        <v>-100</v>
      </c>
      <c r="BF56" s="256">
        <f t="shared" ca="1" si="14"/>
        <v>0</v>
      </c>
      <c r="BG56" s="256">
        <f t="shared" ca="1" si="14"/>
        <v>0</v>
      </c>
      <c r="BH56" s="256">
        <f t="shared" ca="1" si="14"/>
        <v>0</v>
      </c>
      <c r="BI56" s="256">
        <f t="shared" ca="1" si="14"/>
        <v>0</v>
      </c>
      <c r="BJ56" s="256">
        <f t="shared" ca="1" si="14"/>
        <v>0</v>
      </c>
      <c r="BK56" s="256">
        <f t="shared" ca="1" si="14"/>
        <v>0</v>
      </c>
      <c r="BL56" s="256">
        <f t="shared" ca="1" si="14"/>
        <v>0</v>
      </c>
      <c r="BM56" s="256">
        <f t="shared" ca="1" si="14"/>
        <v>0</v>
      </c>
      <c r="BN56" s="34"/>
      <c r="BO56" s="34"/>
      <c r="BP56" s="34"/>
      <c r="BQ56" s="180"/>
      <c r="BR56" s="180"/>
      <c r="BS56" s="1002" t="s">
        <v>1454</v>
      </c>
    </row>
    <row r="57" spans="1:71" ht="9.9499999999999993" customHeight="1">
      <c r="E57" s="676">
        <v>10.199999999999999</v>
      </c>
      <c r="U57" s="129" t="s">
        <v>238</v>
      </c>
      <c r="V57" s="122" t="s">
        <v>1455</v>
      </c>
      <c r="BS57" s="1002"/>
    </row>
    <row r="58" spans="1:71" ht="11.25" hidden="1" customHeight="1">
      <c r="E58" s="676">
        <v>0</v>
      </c>
    </row>
    <row r="59" spans="1:71" ht="14.65" customHeight="1">
      <c r="E59" s="676">
        <v>15</v>
      </c>
      <c r="AB59" s="1802" t="s">
        <v>734</v>
      </c>
      <c r="AC59" s="1802"/>
      <c r="AD59" s="1802"/>
      <c r="AE59" s="1802"/>
      <c r="AF59" s="1802"/>
      <c r="AG59" s="1802"/>
      <c r="AH59" s="1802"/>
      <c r="AI59" s="1802"/>
      <c r="AJ59" s="1802"/>
      <c r="AK59" s="1802"/>
      <c r="AL59" s="1802"/>
      <c r="AM59" s="1802"/>
      <c r="AN59" s="1802"/>
      <c r="AO59" s="1802"/>
      <c r="AP59" s="1802"/>
      <c r="AQ59" s="1802"/>
      <c r="AR59" s="1802"/>
      <c r="AS59" s="1802"/>
      <c r="AT59" s="1802"/>
      <c r="AU59" s="1802"/>
      <c r="AV59" s="1802"/>
      <c r="AW59" s="1802"/>
      <c r="AX59" s="1802"/>
      <c r="AY59" s="1802"/>
      <c r="AZ59" s="1802"/>
      <c r="BA59" s="1802"/>
      <c r="BB59" s="1802"/>
      <c r="BC59" s="1802"/>
      <c r="BD59" s="1802"/>
      <c r="BE59" s="1802"/>
      <c r="BF59" s="1802"/>
      <c r="BG59" s="1802"/>
      <c r="BH59" s="1802"/>
      <c r="BI59" s="1802"/>
      <c r="BJ59" s="1802"/>
      <c r="BK59" s="1802"/>
      <c r="BL59" s="1802"/>
      <c r="BM59" s="1802"/>
      <c r="BN59" s="1802"/>
      <c r="BO59" s="1802"/>
      <c r="BP59" s="1802"/>
    </row>
    <row r="60" spans="1:71" ht="14.65" customHeight="1">
      <c r="E60" s="676">
        <v>15</v>
      </c>
      <c r="AA60" s="778"/>
      <c r="AB60" s="1817"/>
      <c r="AC60" s="1818"/>
      <c r="AD60" s="1818"/>
      <c r="AE60" s="1818"/>
      <c r="AF60" s="1818"/>
      <c r="AG60" s="1818"/>
      <c r="AH60" s="1818"/>
      <c r="AI60" s="1818"/>
      <c r="AJ60" s="1818"/>
      <c r="AK60" s="1818"/>
      <c r="AL60" s="1818"/>
      <c r="AM60" s="1818"/>
      <c r="AN60" s="1818"/>
      <c r="AO60" s="1818"/>
      <c r="AP60" s="1818"/>
      <c r="AQ60" s="1818"/>
      <c r="AR60" s="1818"/>
      <c r="AS60" s="1818"/>
      <c r="AT60" s="1818"/>
      <c r="AU60" s="1818"/>
      <c r="AV60" s="1818"/>
      <c r="AW60" s="1818"/>
      <c r="AX60" s="1818"/>
      <c r="AY60" s="1818"/>
      <c r="AZ60" s="1818"/>
      <c r="BA60" s="1818"/>
      <c r="BB60" s="1818"/>
      <c r="BC60" s="1818"/>
      <c r="BD60" s="1818"/>
      <c r="BE60" s="1818"/>
      <c r="BF60" s="1818"/>
      <c r="BG60" s="1818"/>
      <c r="BH60" s="1818"/>
      <c r="BI60" s="1818"/>
      <c r="BJ60" s="1818"/>
      <c r="BK60" s="1818"/>
      <c r="BL60" s="1818"/>
      <c r="BM60" s="1818"/>
      <c r="BN60" s="1818"/>
      <c r="BO60" s="1818"/>
      <c r="BP60" s="1818"/>
    </row>
    <row r="61" spans="1:71" ht="14.65" hidden="1" customHeight="1">
      <c r="E61" s="676">
        <v>15</v>
      </c>
      <c r="T61" s="687" t="b">
        <f>ROW(W61)&gt;ROW(W$61)</f>
        <v>0</v>
      </c>
      <c r="U61" s="126"/>
      <c r="V61" s="126"/>
      <c r="W61" s="126" t="s">
        <v>236</v>
      </c>
      <c r="X61" s="126"/>
      <c r="Y61" s="126"/>
      <c r="Z61" s="126"/>
      <c r="AA61" s="774" t="s">
        <v>218</v>
      </c>
      <c r="AB61" s="1820"/>
      <c r="AC61" s="1818"/>
      <c r="AD61" s="1818"/>
      <c r="AE61" s="1818"/>
      <c r="AF61" s="1818"/>
      <c r="AG61" s="1818"/>
      <c r="AH61" s="1818"/>
      <c r="AI61" s="1818"/>
      <c r="AJ61" s="1818"/>
      <c r="AK61" s="1818"/>
      <c r="AL61" s="1818"/>
      <c r="AM61" s="1818"/>
      <c r="AN61" s="1818"/>
      <c r="AO61" s="1818"/>
      <c r="AP61" s="1818"/>
      <c r="AQ61" s="1818"/>
      <c r="AR61" s="1818"/>
      <c r="AS61" s="1818"/>
      <c r="AT61" s="1818"/>
      <c r="AU61" s="1818"/>
      <c r="AV61" s="1818"/>
      <c r="AW61" s="1818"/>
      <c r="AX61" s="1818"/>
      <c r="AY61" s="1818"/>
      <c r="AZ61" s="1818"/>
      <c r="BA61" s="1818"/>
      <c r="BB61" s="1818"/>
      <c r="BC61" s="1818"/>
      <c r="BD61" s="1818"/>
      <c r="BE61" s="1818"/>
      <c r="BF61" s="1818"/>
      <c r="BG61" s="1818"/>
      <c r="BH61" s="1818"/>
      <c r="BI61" s="1818"/>
      <c r="BJ61" s="1818"/>
      <c r="BK61" s="1818"/>
      <c r="BL61" s="1818"/>
      <c r="BM61" s="1818"/>
      <c r="BN61" s="1818"/>
      <c r="BO61" s="1818"/>
      <c r="BP61" s="1818"/>
    </row>
    <row r="62" spans="1:71" ht="14.65" customHeight="1">
      <c r="E62" s="676">
        <v>15</v>
      </c>
      <c r="T62" s="126"/>
      <c r="U62" s="126"/>
      <c r="V62" s="126"/>
      <c r="W62" s="122" t="s">
        <v>237</v>
      </c>
      <c r="X62" s="126"/>
      <c r="Y62" s="126"/>
      <c r="Z62" s="126"/>
      <c r="AA62" s="163"/>
      <c r="AB62" s="1736" t="s">
        <v>735</v>
      </c>
      <c r="AC62" s="1737"/>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294"/>
    </row>
  </sheetData>
  <sheetProtection formatColumns="0" formatRows="0" insertRows="0" deleteColumns="0" deleteRows="0" sort="0" autoFilter="0"/>
  <mergeCells count="20">
    <mergeCell ref="BP24:BP25"/>
    <mergeCell ref="BD25:BM25"/>
    <mergeCell ref="AB28:AC28"/>
    <mergeCell ref="AB61:BP61"/>
    <mergeCell ref="AB24:AB25"/>
    <mergeCell ref="AC24:AC25"/>
    <mergeCell ref="AD24:AD25"/>
    <mergeCell ref="BN24:BN25"/>
    <mergeCell ref="BO24:BO25"/>
    <mergeCell ref="AB38:AC38"/>
    <mergeCell ref="AB48:AC48"/>
    <mergeCell ref="X27:X36"/>
    <mergeCell ref="Z27:Z36"/>
    <mergeCell ref="AB59:BP59"/>
    <mergeCell ref="AB60:BP60"/>
    <mergeCell ref="AB62:AC62"/>
    <mergeCell ref="X37:X46"/>
    <mergeCell ref="Z37:Z46"/>
    <mergeCell ref="X47:X56"/>
    <mergeCell ref="Z47:Z5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152E-C5D8-03F8-C536-39DA3CB545D8}">
  <sheetPr>
    <tabColor rgb="FF002060"/>
    <outlinePr summaryBelow="0"/>
  </sheetPr>
  <dimension ref="A1:AZ169"/>
  <sheetViews>
    <sheetView showGridLines="0" workbookViewId="0">
      <pane xSplit="31" ySplit="26" topLeftCell="AQ162" activePane="bottomRight" state="frozen"/>
      <selection pane="topRight" activeCell="AF1" sqref="AF1"/>
      <selection pane="bottomLeft" activeCell="A27" sqref="A27"/>
      <selection pane="bottomRight" activeCell="AS166" sqref="AS166"/>
    </sheetView>
  </sheetViews>
  <sheetFormatPr defaultColWidth="9.140625" defaultRowHeight="11.25" customHeight="1"/>
  <cols>
    <col min="1" max="1" width="3.5703125" style="1155" hidden="1" customWidth="1"/>
    <col min="2" max="2" width="8.5703125" style="783" hidden="1" customWidth="1"/>
    <col min="3" max="4" width="3.5703125" style="1155" hidden="1" customWidth="1"/>
    <col min="5" max="5" width="8.42578125" style="782" hidden="1" customWidth="1"/>
    <col min="6" max="6" width="6.42578125" style="1155" hidden="1" customWidth="1"/>
    <col min="7" max="16" width="3.5703125" style="814" hidden="1" customWidth="1"/>
    <col min="17" max="18" width="3.5703125" style="784" hidden="1" customWidth="1"/>
    <col min="19" max="19" width="3.5703125" style="814" hidden="1" customWidth="1"/>
    <col min="20" max="20" width="8.28515625" style="1155" hidden="1" customWidth="1"/>
    <col min="21" max="21" width="6" style="1155" hidden="1" customWidth="1"/>
    <col min="22" max="23" width="6.28515625" style="1155" hidden="1" customWidth="1"/>
    <col min="24" max="25" width="5.7109375" style="1155" hidden="1" customWidth="1"/>
    <col min="26" max="26" width="5.42578125" style="1155" hidden="1" customWidth="1"/>
    <col min="27" max="27" width="3" style="791" customWidth="1"/>
    <col min="28" max="28" width="15" style="819" customWidth="1"/>
    <col min="29" max="29" width="65.28515625" style="819" customWidth="1"/>
    <col min="30" max="30" width="25" style="819" customWidth="1"/>
    <col min="31" max="33" width="19.28515625" style="819" customWidth="1"/>
    <col min="34" max="34" width="18.5703125" style="457" customWidth="1"/>
    <col min="35" max="45" width="19.28515625" style="457" customWidth="1"/>
    <col min="46" max="46" width="8.5703125" style="457" customWidth="1"/>
    <col min="47" max="47" width="57.42578125" style="457" customWidth="1"/>
    <col min="48" max="48" width="3" style="457" customWidth="1"/>
    <col min="49" max="51" width="9.140625" style="457" hidden="1"/>
    <col min="52" max="52" width="9.140625" style="1043" hidden="1"/>
  </cols>
  <sheetData>
    <row r="1" spans="1:52" s="1155" customFormat="1" ht="12" hidden="1" customHeight="1">
      <c r="B1" s="667"/>
      <c r="E1" s="667"/>
      <c r="F1" s="698" t="s">
        <v>83</v>
      </c>
      <c r="G1" s="617"/>
      <c r="H1" s="617"/>
      <c r="I1" s="617"/>
      <c r="J1" s="617"/>
      <c r="K1" s="617"/>
      <c r="L1" s="617"/>
      <c r="M1" s="617"/>
      <c r="N1" s="617"/>
      <c r="O1" s="617"/>
      <c r="P1" s="617"/>
      <c r="Q1" s="620"/>
      <c r="R1" s="620"/>
      <c r="S1" s="617"/>
      <c r="T1" s="687" t="s">
        <v>86</v>
      </c>
      <c r="U1" s="687" t="s">
        <v>91</v>
      </c>
      <c r="V1" s="687" t="s">
        <v>87</v>
      </c>
      <c r="W1" s="687" t="s">
        <v>88</v>
      </c>
      <c r="X1" s="687" t="s">
        <v>89</v>
      </c>
      <c r="Y1" s="698" t="s">
        <v>382</v>
      </c>
      <c r="Z1" s="687" t="s">
        <v>93</v>
      </c>
      <c r="AA1" s="698" t="s">
        <v>90</v>
      </c>
      <c r="AB1" s="698" t="s">
        <v>92</v>
      </c>
      <c r="AZ1" s="970" t="s">
        <v>383</v>
      </c>
    </row>
    <row r="2" spans="1:52" s="783" customFormat="1" ht="12" hidden="1" customHeight="1">
      <c r="B2" s="768" t="s">
        <v>15</v>
      </c>
      <c r="G2" s="786"/>
      <c r="H2" s="786"/>
      <c r="I2" s="786"/>
      <c r="J2" s="786"/>
      <c r="K2" s="786"/>
      <c r="L2" s="786"/>
      <c r="M2" s="786"/>
      <c r="N2" s="786"/>
      <c r="O2" s="786"/>
      <c r="P2" s="786"/>
      <c r="Q2" s="786"/>
      <c r="R2" s="786"/>
      <c r="S2" s="786"/>
      <c r="AH2" s="688" t="b">
        <f>AH6&lt;=last_year_vis</f>
        <v>1</v>
      </c>
      <c r="AI2" s="688" t="b">
        <f>AI6&lt;=last_year_vis</f>
        <v>1</v>
      </c>
      <c r="AJ2" s="688" t="b">
        <f>AJ6&lt;=last_year_vis</f>
        <v>1</v>
      </c>
      <c r="AK2" s="688" t="b">
        <f>AK6&lt;=last_year_vis</f>
        <v>1</v>
      </c>
      <c r="AL2" s="688" t="b">
        <f>AL6&lt;=last_year_vis</f>
        <v>1</v>
      </c>
      <c r="AM2" s="110"/>
      <c r="AN2" s="688" t="b">
        <f>AN6&lt;=last_year_vis</f>
        <v>1</v>
      </c>
      <c r="AO2" s="688" t="b">
        <f>AO6&lt;=last_year_vis</f>
        <v>1</v>
      </c>
      <c r="AP2" s="688" t="b">
        <f>AP6&lt;=last_year_vis</f>
        <v>1</v>
      </c>
      <c r="AQ2" s="688" t="b">
        <f>AQ6&lt;=last_year_vis</f>
        <v>1</v>
      </c>
      <c r="AR2" s="688" t="b">
        <f>AR6&lt;=last_year_vis</f>
        <v>1</v>
      </c>
      <c r="AZ2" s="973"/>
    </row>
    <row r="3" spans="1:52" s="1155" customFormat="1" ht="12" hidden="1" customHeight="1">
      <c r="B3" s="667"/>
      <c r="E3" s="667"/>
      <c r="G3" s="617"/>
      <c r="H3" s="617"/>
      <c r="I3" s="617"/>
      <c r="J3" s="617"/>
      <c r="K3" s="617"/>
      <c r="L3" s="617"/>
      <c r="M3" s="617"/>
      <c r="N3" s="617"/>
      <c r="O3" s="617"/>
      <c r="P3" s="617"/>
      <c r="Q3" s="620"/>
      <c r="R3" s="620"/>
      <c r="S3" s="617"/>
      <c r="AZ3" s="970"/>
    </row>
    <row r="4" spans="1:52" s="1155" customFormat="1" ht="12" hidden="1" customHeight="1">
      <c r="B4" s="667"/>
      <c r="E4" s="667"/>
      <c r="G4" s="617"/>
      <c r="H4" s="617"/>
      <c r="I4" s="617"/>
      <c r="J4" s="617"/>
      <c r="K4" s="617"/>
      <c r="L4" s="617"/>
      <c r="M4" s="617"/>
      <c r="N4" s="617"/>
      <c r="O4" s="617"/>
      <c r="P4" s="617"/>
      <c r="Q4" s="620"/>
      <c r="R4" s="620"/>
      <c r="S4" s="617"/>
      <c r="AZ4" s="970"/>
    </row>
    <row r="5" spans="1:52"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15</v>
      </c>
      <c r="AC5" s="676">
        <v>65.25</v>
      </c>
      <c r="AD5" s="676">
        <v>25</v>
      </c>
      <c r="AE5" s="676">
        <v>19.25</v>
      </c>
      <c r="AF5" s="676">
        <v>19.25</v>
      </c>
      <c r="AG5" s="676">
        <v>19.25</v>
      </c>
      <c r="AH5" s="676">
        <v>18.63</v>
      </c>
      <c r="AI5" s="676">
        <v>19.25</v>
      </c>
      <c r="AJ5" s="676">
        <v>19.25</v>
      </c>
      <c r="AK5" s="676">
        <v>19.25</v>
      </c>
      <c r="AL5" s="676">
        <v>19.25</v>
      </c>
      <c r="AM5" s="676">
        <v>19.25</v>
      </c>
      <c r="AN5" s="676">
        <v>19.25</v>
      </c>
      <c r="AO5" s="676">
        <v>19.25</v>
      </c>
      <c r="AP5" s="676">
        <v>19.25</v>
      </c>
      <c r="AQ5" s="676">
        <v>19.25</v>
      </c>
      <c r="AR5" s="676">
        <v>19.25</v>
      </c>
      <c r="AS5" s="676">
        <v>19.25</v>
      </c>
      <c r="AT5" s="676">
        <v>8.5</v>
      </c>
      <c r="AU5" s="676">
        <v>57.38</v>
      </c>
      <c r="AV5" s="676">
        <v>3</v>
      </c>
      <c r="AZ5" s="973"/>
    </row>
    <row r="6" spans="1:52" s="1155" customFormat="1" ht="12" hidden="1" customHeight="1">
      <c r="B6" s="667"/>
      <c r="E6" s="676"/>
      <c r="G6" s="617"/>
      <c r="H6" s="617"/>
      <c r="I6" s="617"/>
      <c r="J6" s="617"/>
      <c r="K6" s="617"/>
      <c r="L6" s="617"/>
      <c r="M6" s="617"/>
      <c r="N6" s="617"/>
      <c r="O6" s="617"/>
      <c r="P6" s="617"/>
      <c r="Q6" s="620"/>
      <c r="R6" s="620"/>
      <c r="S6" s="617"/>
      <c r="AF6" s="110" cm="1">
        <f t="array" ref="AF6">AF25</f>
        <v>2024</v>
      </c>
      <c r="AG6" s="110" cm="1">
        <f t="array" ref="AG6">AG25</f>
        <v>2024</v>
      </c>
      <c r="AH6" s="110" cm="1">
        <f t="array" ref="AH6">AH70</f>
        <v>2026</v>
      </c>
      <c r="AI6" s="110" cm="1">
        <f t="array" ref="AI6">AI70</f>
        <v>2027</v>
      </c>
      <c r="AJ6" s="110" cm="1">
        <f t="array" ref="AJ6">AJ70</f>
        <v>2028</v>
      </c>
      <c r="AK6" s="110" cm="1">
        <f t="array" ref="AK6">AK70</f>
        <v>2029</v>
      </c>
      <c r="AL6" s="110" cm="1">
        <f t="array" ref="AL6">AL70</f>
        <v>2030</v>
      </c>
      <c r="AN6" s="110" cm="1">
        <f t="array" ref="AN6">AN70</f>
        <v>2026</v>
      </c>
      <c r="AO6" s="110" cm="1">
        <f t="array" ref="AO6">AO70</f>
        <v>2027</v>
      </c>
      <c r="AP6" s="110" cm="1">
        <f t="array" ref="AP6">AP70</f>
        <v>2028</v>
      </c>
      <c r="AQ6" s="110" cm="1">
        <f t="array" ref="AQ6">AQ70</f>
        <v>2029</v>
      </c>
      <c r="AR6" s="110" cm="1">
        <f t="array" ref="AR6">AR70</f>
        <v>2030</v>
      </c>
      <c r="AZ6" s="970"/>
    </row>
    <row r="7" spans="1:52" s="814" customFormat="1" ht="12" hidden="1" customHeight="1">
      <c r="A7" s="110"/>
      <c r="B7" s="667"/>
      <c r="C7" s="110"/>
      <c r="D7" s="110"/>
      <c r="E7" s="676"/>
      <c r="Q7" s="620"/>
      <c r="R7" s="620"/>
      <c r="AF7" s="617" t="str" cm="1">
        <f t="array" ref="AF7">AF26</f>
        <v>Факт по данным организации</v>
      </c>
      <c r="AG7" s="617" t="str" cm="1">
        <f t="array" ref="AG7">AG26</f>
        <v>Принято органом регулирования</v>
      </c>
      <c r="AZ7" s="970"/>
    </row>
    <row r="8" spans="1:52" s="814" customFormat="1" ht="12" hidden="1" customHeight="1">
      <c r="A8" s="110"/>
      <c r="B8" s="667"/>
      <c r="C8" s="110"/>
      <c r="D8" s="110"/>
      <c r="E8" s="676"/>
      <c r="Q8" s="620"/>
      <c r="R8" s="620"/>
      <c r="AF8" s="617" t="str">
        <f>AF6&amp;AF7</f>
        <v>2024Факт по данным организации</v>
      </c>
      <c r="AG8" s="617" t="str">
        <f>AG6&amp;AG7</f>
        <v>2024Принято органом регулирования</v>
      </c>
      <c r="AZ8" s="970"/>
    </row>
    <row r="9" spans="1:52" s="969" customFormat="1" ht="12" hidden="1" customHeight="1">
      <c r="A9" s="968" t="s">
        <v>472</v>
      </c>
      <c r="B9" s="951"/>
      <c r="E9" s="951"/>
      <c r="Q9" s="960"/>
      <c r="R9" s="960"/>
      <c r="AF9" s="969" cm="1">
        <f t="array" ref="AF9">AF25</f>
        <v>2024</v>
      </c>
      <c r="AG9" s="969" cm="1">
        <f t="array" ref="AG9">AG25</f>
        <v>2024</v>
      </c>
      <c r="AH9" s="969" cm="1">
        <f t="array" ref="AH9">AH70</f>
        <v>2026</v>
      </c>
      <c r="AJ9" s="969" cm="1">
        <f t="array" ref="AJ9">AJ70</f>
        <v>2028</v>
      </c>
      <c r="AK9" s="969" cm="1">
        <f t="array" ref="AK9">AK70</f>
        <v>2029</v>
      </c>
      <c r="AL9" s="969" cm="1">
        <f t="array" ref="AL9">AL70</f>
        <v>2030</v>
      </c>
      <c r="AM9" s="969" t="str" cm="1">
        <f t="array" ref="AM9">AM70</f>
        <v>всего</v>
      </c>
      <c r="AN9" s="969" cm="1">
        <f t="array" ref="AN9">AN70</f>
        <v>2026</v>
      </c>
      <c r="AP9" s="969" cm="1">
        <f t="array" ref="AP9">AP70</f>
        <v>2028</v>
      </c>
      <c r="AQ9" s="969" cm="1">
        <f t="array" ref="AQ9">AQ70</f>
        <v>2029</v>
      </c>
      <c r="AR9" s="969" cm="1">
        <f t="array" ref="AR9">AR70</f>
        <v>2030</v>
      </c>
      <c r="AS9" s="969" cm="1">
        <f t="array" ref="AS9">AS70</f>
        <v>0</v>
      </c>
      <c r="AT9" s="969" cm="1">
        <f t="array" ref="AT9">AT70</f>
        <v>0</v>
      </c>
      <c r="AZ9" s="970"/>
    </row>
    <row r="10" spans="1:52" s="969" customFormat="1" ht="12" hidden="1" customHeight="1">
      <c r="A10" s="968" t="s">
        <v>473</v>
      </c>
      <c r="B10" s="951"/>
      <c r="E10" s="951"/>
      <c r="Q10" s="960"/>
      <c r="R10" s="960"/>
      <c r="AF10" s="969" t="str" cm="1">
        <f t="array" ref="AF10">AF26</f>
        <v>Факт по данным организации</v>
      </c>
      <c r="AG10" s="969" t="str" cm="1">
        <f t="array" ref="AG10">AG26</f>
        <v>Принято органом регулирования</v>
      </c>
      <c r="AH10" s="1042" t="str" cm="1">
        <f t="array" ref="AH10">AH71</f>
        <v>План организации</v>
      </c>
      <c r="AJ10" s="1042" t="str" cm="1">
        <f t="array" ref="AJ10">AJ71</f>
        <v>План организации</v>
      </c>
      <c r="AK10" s="1042" t="str" cm="1">
        <f t="array" ref="AK10">AK71</f>
        <v>План организации</v>
      </c>
      <c r="AL10" s="1042" t="str" cm="1">
        <f t="array" ref="AL10">AL71</f>
        <v>План организации</v>
      </c>
      <c r="AM10" s="1042" cm="1">
        <f t="array" ref="AM10">AM71</f>
        <v>0</v>
      </c>
      <c r="AN10" s="1042" t="str" cm="1">
        <f t="array" ref="AN10">AN71</f>
        <v>План органа регулирования</v>
      </c>
      <c r="AP10" s="1042" t="str" cm="1">
        <f t="array" ref="AP10">AP71</f>
        <v>План органа регулирования</v>
      </c>
      <c r="AQ10" s="1042" t="str" cm="1">
        <f t="array" ref="AQ10">AQ71</f>
        <v>План органа регулирования</v>
      </c>
      <c r="AR10" s="1042" t="str" cm="1">
        <f t="array" ref="AR10">AR71</f>
        <v>План органа регулирования</v>
      </c>
      <c r="AS10" s="1042" cm="1">
        <f t="array" ref="AS10">AS71</f>
        <v>0</v>
      </c>
      <c r="AT10" s="1042" cm="1">
        <f t="array" ref="AT10">AT71</f>
        <v>0</v>
      </c>
      <c r="AZ10" s="970"/>
    </row>
    <row r="11" spans="1:52" s="1155" customFormat="1" ht="12" hidden="1" customHeight="1">
      <c r="B11" s="667"/>
      <c r="E11" s="676"/>
      <c r="G11" s="617"/>
      <c r="H11" s="617"/>
      <c r="I11" s="617"/>
      <c r="J11" s="617"/>
      <c r="K11" s="617"/>
      <c r="L11" s="617"/>
      <c r="M11" s="617"/>
      <c r="N11" s="617"/>
      <c r="O11" s="617"/>
      <c r="P11" s="617"/>
      <c r="Q11" s="620"/>
      <c r="R11" s="620"/>
      <c r="S11" s="617"/>
      <c r="AZ11" s="970"/>
    </row>
    <row r="12" spans="1:52" s="1155" customFormat="1" ht="12" hidden="1" customHeight="1">
      <c r="B12" s="667"/>
      <c r="E12" s="676"/>
      <c r="G12" s="617"/>
      <c r="H12" s="617"/>
      <c r="I12" s="617"/>
      <c r="J12" s="617"/>
      <c r="K12" s="617"/>
      <c r="L12" s="617"/>
      <c r="M12" s="617"/>
      <c r="N12" s="617"/>
      <c r="O12" s="617"/>
      <c r="P12" s="617"/>
      <c r="Q12" s="620"/>
      <c r="R12" s="620"/>
      <c r="S12" s="617"/>
      <c r="AZ12" s="970"/>
    </row>
    <row r="13" spans="1:52" s="1155" customFormat="1" ht="12" hidden="1" customHeight="1">
      <c r="B13" s="667"/>
      <c r="E13" s="676"/>
      <c r="G13" s="617"/>
      <c r="H13" s="617"/>
      <c r="I13" s="617"/>
      <c r="J13" s="617"/>
      <c r="K13" s="617"/>
      <c r="L13" s="617"/>
      <c r="M13" s="617"/>
      <c r="N13" s="617"/>
      <c r="O13" s="617"/>
      <c r="P13" s="617"/>
      <c r="Q13" s="620"/>
      <c r="R13" s="620"/>
      <c r="S13" s="617"/>
      <c r="AZ13" s="970"/>
    </row>
    <row r="14" spans="1:52" s="1155" customFormat="1" ht="12" hidden="1" customHeight="1">
      <c r="B14" s="667"/>
      <c r="E14" s="676"/>
      <c r="G14" s="617"/>
      <c r="H14" s="617"/>
      <c r="I14" s="617"/>
      <c r="J14" s="617"/>
      <c r="K14" s="617"/>
      <c r="L14" s="617"/>
      <c r="M14" s="617"/>
      <c r="N14" s="617"/>
      <c r="O14" s="617"/>
      <c r="P14" s="617"/>
      <c r="Q14" s="620"/>
      <c r="R14" s="620"/>
      <c r="S14" s="617"/>
      <c r="AZ14" s="970"/>
    </row>
    <row r="15" spans="1:52" s="1155" customFormat="1" ht="12" hidden="1" customHeight="1">
      <c r="B15" s="667"/>
      <c r="E15" s="676"/>
      <c r="G15" s="617"/>
      <c r="H15" s="617"/>
      <c r="I15" s="617"/>
      <c r="J15" s="617"/>
      <c r="K15" s="617"/>
      <c r="L15" s="617"/>
      <c r="M15" s="617"/>
      <c r="N15" s="617"/>
      <c r="O15" s="617"/>
      <c r="P15" s="617"/>
      <c r="Q15" s="620"/>
      <c r="R15" s="620"/>
      <c r="S15" s="617"/>
      <c r="AZ15" s="970"/>
    </row>
    <row r="16" spans="1:52" s="1155" customFormat="1" ht="12" hidden="1" customHeight="1">
      <c r="B16" s="667"/>
      <c r="E16" s="676"/>
      <c r="G16" s="617"/>
      <c r="H16" s="617"/>
      <c r="I16" s="617"/>
      <c r="J16" s="617"/>
      <c r="K16" s="617"/>
      <c r="L16" s="617"/>
      <c r="M16" s="617"/>
      <c r="N16" s="617"/>
      <c r="O16" s="617"/>
      <c r="P16" s="617"/>
      <c r="Q16" s="620"/>
      <c r="R16" s="620"/>
      <c r="S16" s="617"/>
      <c r="AZ16" s="970"/>
    </row>
    <row r="17" spans="1:52" s="1155" customFormat="1" ht="12" hidden="1" customHeight="1">
      <c r="B17" s="667"/>
      <c r="E17" s="676"/>
      <c r="G17" s="617"/>
      <c r="H17" s="617"/>
      <c r="I17" s="617"/>
      <c r="J17" s="617"/>
      <c r="K17" s="617"/>
      <c r="L17" s="617"/>
      <c r="M17" s="617"/>
      <c r="N17" s="617"/>
      <c r="O17" s="617"/>
      <c r="P17" s="617"/>
      <c r="Q17" s="620"/>
      <c r="R17" s="620"/>
      <c r="S17" s="617"/>
      <c r="AZ17" s="970"/>
    </row>
    <row r="18" spans="1:52" s="1155" customFormat="1" ht="12" hidden="1" customHeight="1">
      <c r="B18" s="667"/>
      <c r="E18" s="676"/>
      <c r="G18" s="617"/>
      <c r="H18" s="617"/>
      <c r="I18" s="617"/>
      <c r="J18" s="617"/>
      <c r="K18" s="617"/>
      <c r="L18" s="617"/>
      <c r="M18" s="617"/>
      <c r="N18" s="617"/>
      <c r="O18" s="617"/>
      <c r="P18" s="617"/>
      <c r="Q18" s="620"/>
      <c r="R18" s="620"/>
      <c r="S18" s="617"/>
      <c r="AZ18" s="970"/>
    </row>
    <row r="19" spans="1:52" s="1155" customFormat="1" ht="12" hidden="1" customHeight="1">
      <c r="B19" s="667"/>
      <c r="E19" s="676"/>
      <c r="G19" s="617"/>
      <c r="H19" s="617"/>
      <c r="I19" s="617"/>
      <c r="J19" s="617"/>
      <c r="K19" s="617"/>
      <c r="L19" s="617"/>
      <c r="M19" s="617"/>
      <c r="N19" s="617"/>
      <c r="O19" s="617"/>
      <c r="P19" s="617"/>
      <c r="Q19" s="620"/>
      <c r="R19" s="620"/>
      <c r="S19" s="617"/>
      <c r="AZ19" s="970"/>
    </row>
    <row r="20" spans="1:52" s="1155" customFormat="1" ht="11.1" hidden="1" customHeight="1">
      <c r="B20" s="667"/>
      <c r="E20" s="676">
        <v>11.4</v>
      </c>
      <c r="G20" s="617"/>
      <c r="H20" s="617"/>
      <c r="I20" s="617"/>
      <c r="J20" s="617"/>
      <c r="K20" s="617"/>
      <c r="L20" s="617"/>
      <c r="M20" s="617"/>
      <c r="N20" s="617"/>
      <c r="O20" s="617"/>
      <c r="P20" s="617"/>
      <c r="Q20" s="620"/>
      <c r="R20" s="620"/>
      <c r="S20" s="617"/>
      <c r="AZ20" s="970"/>
    </row>
    <row r="21" spans="1:52" s="791" customFormat="1" ht="11.1" customHeight="1">
      <c r="A21" s="110"/>
      <c r="B21" s="667"/>
      <c r="C21" s="110"/>
      <c r="D21" s="110"/>
      <c r="E21" s="676">
        <v>11.4</v>
      </c>
      <c r="F21" s="110"/>
      <c r="G21" s="617"/>
      <c r="H21" s="617"/>
      <c r="I21" s="617"/>
      <c r="J21" s="617"/>
      <c r="K21" s="617"/>
      <c r="L21" s="617"/>
      <c r="M21" s="617"/>
      <c r="N21" s="617"/>
      <c r="O21" s="617"/>
      <c r="P21" s="617"/>
      <c r="Q21" s="620"/>
      <c r="R21" s="620"/>
      <c r="S21" s="617"/>
      <c r="T21" s="110"/>
      <c r="U21" s="110"/>
      <c r="V21" s="110"/>
      <c r="W21" s="110"/>
      <c r="X21" s="110"/>
      <c r="Y21" s="110"/>
      <c r="Z21" s="110"/>
      <c r="AA21" s="699"/>
      <c r="AB21" s="177"/>
      <c r="AC21" s="343" t="str" cm="1">
        <f t="array" ref="AC21">tpl_title</f>
        <v>Кемеровская область / 2026 / ОАО «СКЭК» (ИНН:4205153492, КПП:420501001) / ДПР: 2021-2030</v>
      </c>
      <c r="AD21" s="617"/>
      <c r="AE21" s="617"/>
      <c r="AF21" s="617"/>
      <c r="AG21" s="617"/>
      <c r="AZ21" s="970"/>
    </row>
    <row r="22" spans="1:52" ht="11.1" customHeight="1">
      <c r="E22" s="676">
        <v>11.4</v>
      </c>
      <c r="AB22" s="33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22"/>
    </row>
    <row r="23" spans="1:52" ht="11.1" customHeight="1">
      <c r="E23" s="676">
        <v>11.4</v>
      </c>
      <c r="AB23" s="459"/>
      <c r="AC23" s="460"/>
      <c r="AD23" s="460"/>
      <c r="AE23" s="460"/>
      <c r="AF23" s="461"/>
      <c r="AG23" s="461"/>
      <c r="AH23" s="462"/>
      <c r="AI23" s="462"/>
      <c r="AJ23" s="462"/>
    </row>
    <row r="24" spans="1:52" ht="11.1" customHeight="1">
      <c r="E24" s="676">
        <v>11.4</v>
      </c>
      <c r="AB24" s="459"/>
      <c r="AC24" s="460"/>
      <c r="AD24" s="460"/>
      <c r="AE24" s="460"/>
      <c r="AF24" s="461"/>
      <c r="AG24" s="461"/>
      <c r="AH24" s="462"/>
      <c r="AI24" s="462"/>
      <c r="AJ24" s="462"/>
    </row>
    <row r="25" spans="1:52" ht="11.1" customHeight="1">
      <c r="E25" s="676">
        <v>11.3</v>
      </c>
      <c r="AB25" s="1833" t="s">
        <v>1456</v>
      </c>
      <c r="AC25" s="1835" t="s">
        <v>475</v>
      </c>
      <c r="AD25" s="1835" t="s">
        <v>1457</v>
      </c>
      <c r="AE25" s="1833" t="s">
        <v>1458</v>
      </c>
      <c r="AF25" s="1148">
        <f>god-2</f>
        <v>2024</v>
      </c>
      <c r="AG25" s="252">
        <f>god-2</f>
        <v>2024</v>
      </c>
      <c r="AH25" s="462"/>
      <c r="AI25" s="565"/>
      <c r="AJ25" s="565"/>
    </row>
    <row r="26" spans="1:52" ht="22.15" customHeight="1">
      <c r="E26" s="676">
        <v>22.8</v>
      </c>
      <c r="AB26" s="1834"/>
      <c r="AC26" s="1836"/>
      <c r="AD26" s="1836"/>
      <c r="AE26" s="1834"/>
      <c r="AF26" s="1149" t="s">
        <v>631</v>
      </c>
      <c r="AG26" s="108" t="s">
        <v>412</v>
      </c>
      <c r="AH26" s="462"/>
      <c r="AI26" s="462"/>
      <c r="AJ26" s="462"/>
      <c r="AK26" s="462"/>
      <c r="AL26" s="462"/>
      <c r="AM26" s="462"/>
      <c r="AN26" s="462"/>
      <c r="AO26" s="462"/>
      <c r="AP26" s="462"/>
      <c r="AQ26" s="462"/>
      <c r="AR26" s="462"/>
      <c r="AS26" s="462"/>
      <c r="AT26" s="462"/>
      <c r="AU26" s="462"/>
    </row>
    <row r="27" spans="1:52" ht="11.25" hidden="1" customHeight="1">
      <c r="E27" s="676">
        <v>0</v>
      </c>
      <c r="AB27" s="520"/>
      <c r="AC27" s="598"/>
      <c r="AD27" s="598"/>
      <c r="AE27" s="520"/>
      <c r="AF27" s="520"/>
      <c r="AG27" s="520"/>
      <c r="AH27" s="462"/>
      <c r="AI27" s="462"/>
      <c r="AJ27" s="462"/>
      <c r="AK27" s="462"/>
      <c r="AL27" s="462"/>
      <c r="AM27" s="462"/>
      <c r="AN27" s="462"/>
      <c r="AO27" s="462"/>
      <c r="AP27" s="462"/>
      <c r="AQ27" s="462"/>
      <c r="AR27" s="462"/>
      <c r="AS27" s="462"/>
      <c r="AT27" s="462"/>
      <c r="AU27" s="462"/>
    </row>
    <row r="28" spans="1:52" s="170" customFormat="1" ht="11.1" hidden="1" customHeight="1">
      <c r="E28" s="676">
        <v>11.4</v>
      </c>
      <c r="F28" s="779" cm="1">
        <f t="array" ref="F28">X28</f>
        <v>0</v>
      </c>
      <c r="T28" s="687" t="b">
        <f>X28&gt;0</f>
        <v>0</v>
      </c>
      <c r="V28" s="126" t="s">
        <v>315</v>
      </c>
      <c r="X28" s="1726">
        <v>0</v>
      </c>
      <c r="Z28" s="1724"/>
      <c r="AB28" s="266" t="str" cm="1">
        <f t="array" ref="AB28">INDEX('Общие сведения'!$AG$187:$AG$236,MATCH($F28,'Общие сведения'!$Z$187:$Z$236,0))</f>
        <v xml:space="preserve">Тариф 0 (Теплоснабжение) - </v>
      </c>
      <c r="AC28" s="267"/>
      <c r="AD28" s="267"/>
      <c r="AE28" s="267"/>
      <c r="AF28" s="267"/>
      <c r="AG28" s="267"/>
      <c r="AZ28" s="981"/>
    </row>
    <row r="29" spans="1:52" ht="50.45" hidden="1" customHeight="1">
      <c r="E29" s="676">
        <v>51.8</v>
      </c>
      <c r="F29" s="779" cm="1">
        <f t="array" ref="F29">F28</f>
        <v>0</v>
      </c>
      <c r="T29" s="698" t="b" cm="1">
        <f t="array" ref="T29">T28</f>
        <v>0</v>
      </c>
      <c r="X29" s="1687"/>
      <c r="Z29" s="1687"/>
      <c r="AB29" s="271" t="s">
        <v>341</v>
      </c>
      <c r="AC29" s="526" t="s">
        <v>63</v>
      </c>
      <c r="AD29" s="527" t="s">
        <v>1459</v>
      </c>
      <c r="AE29" s="528" t="s">
        <v>1460</v>
      </c>
      <c r="AF29" s="311">
        <f ca="1">AF30-AF68</f>
        <v>0</v>
      </c>
      <c r="AG29" s="311">
        <f ca="1">AG30-AG68</f>
        <v>0</v>
      </c>
      <c r="AZ29" s="981" t="s">
        <v>1461</v>
      </c>
    </row>
    <row r="30" spans="1:52" ht="51.2" hidden="1" customHeight="1">
      <c r="E30" s="676">
        <v>52.5</v>
      </c>
      <c r="F30" s="779" cm="1">
        <f t="array" ref="F30">F29</f>
        <v>0</v>
      </c>
      <c r="T30" s="698" t="b" cm="1">
        <f t="array" ref="T30">T29</f>
        <v>0</v>
      </c>
      <c r="X30" s="1687"/>
      <c r="Z30" s="1687"/>
      <c r="AB30" s="124" t="s">
        <v>484</v>
      </c>
      <c r="AC30" s="115" t="s">
        <v>1462</v>
      </c>
      <c r="AD30" s="527" t="s">
        <v>1463</v>
      </c>
      <c r="AE30" s="528" t="s">
        <v>1460</v>
      </c>
      <c r="AF30" s="311">
        <f ca="1">AF32+AF33+AF59+AF60+AF62+AF63+AF64+AF65-AF66+AF67</f>
        <v>0</v>
      </c>
      <c r="AG30" s="29">
        <f ca="1">AG32+AG33+AG59+AG60+AG62+AG63+AG64+AG65-AG66+AG67</f>
        <v>0</v>
      </c>
      <c r="AZ30" s="981" t="s">
        <v>1464</v>
      </c>
    </row>
    <row r="31" spans="1:52" ht="27.2" hidden="1" customHeight="1">
      <c r="E31" s="676">
        <v>27.8</v>
      </c>
      <c r="F31" s="779" cm="1">
        <f t="array" ref="F31">F30</f>
        <v>0</v>
      </c>
      <c r="T31" s="698" t="b" cm="1">
        <f t="array" ref="T31">T30</f>
        <v>0</v>
      </c>
      <c r="X31" s="1687"/>
      <c r="Z31" s="1687"/>
      <c r="AB31" s="124"/>
      <c r="AC31" s="534" t="s">
        <v>1465</v>
      </c>
      <c r="AD31" s="529" t="s">
        <v>1466</v>
      </c>
      <c r="AE31" s="528" t="s">
        <v>1460</v>
      </c>
      <c r="AF31" s="29"/>
      <c r="AG31" s="29"/>
      <c r="AZ31" s="981" t="s">
        <v>1467</v>
      </c>
    </row>
    <row r="32" spans="1:52" ht="29.25" hidden="1" customHeight="1">
      <c r="E32" s="676">
        <v>30</v>
      </c>
      <c r="F32" s="779" cm="1">
        <f t="array" ref="F32">F31</f>
        <v>0</v>
      </c>
      <c r="G32" s="620" t="s">
        <v>1350</v>
      </c>
      <c r="T32" s="698" t="b" cm="1">
        <f t="array" ref="T32">T31</f>
        <v>0</v>
      </c>
      <c r="X32" s="1687"/>
      <c r="Z32" s="1687"/>
      <c r="AB32" s="124" t="s">
        <v>1210</v>
      </c>
      <c r="AC32" s="471" t="s">
        <v>1468</v>
      </c>
      <c r="AD32" s="530" t="s">
        <v>1469</v>
      </c>
      <c r="AE32" s="527" t="s">
        <v>1460</v>
      </c>
      <c r="AF32" s="29">
        <f ca="1">SUMIFS('Операционные (5.1)'!AF$26:AF$103,'Операционные (5.1)'!$F$26:$F$103,$F32,'Операционные (5.1)'!$G$26:$G$103,$G32)</f>
        <v>0</v>
      </c>
      <c r="AG32" s="29">
        <f ca="1">SUMIFS('Операционные (5.1)'!AG$26:AG$103,'Операционные (5.1)'!$F$26:$F$103,$F32,'Операционные (5.1)'!$G$26:$G$103,$G32)</f>
        <v>0</v>
      </c>
      <c r="AZ32" s="981" t="s">
        <v>1470</v>
      </c>
    </row>
    <row r="33" spans="5:52" ht="40.35" hidden="1" customHeight="1">
      <c r="E33" s="676">
        <v>41.3</v>
      </c>
      <c r="F33" s="779" cm="1">
        <f t="array" ref="F33">F32</f>
        <v>0</v>
      </c>
      <c r="T33" s="698" t="b" cm="1">
        <f t="array" ref="T33">T32</f>
        <v>0</v>
      </c>
      <c r="X33" s="1687"/>
      <c r="Z33" s="1687"/>
      <c r="AB33" s="124" t="s">
        <v>1214</v>
      </c>
      <c r="AC33" s="471" t="s">
        <v>1471</v>
      </c>
      <c r="AD33" s="530" t="s">
        <v>1472</v>
      </c>
      <c r="AE33" s="527" t="s">
        <v>1460</v>
      </c>
      <c r="AF33" s="311">
        <f ca="1">AF34+AF38</f>
        <v>0</v>
      </c>
      <c r="AG33" s="311">
        <f ca="1">AG34+AG38</f>
        <v>0</v>
      </c>
      <c r="AZ33" s="981" t="s">
        <v>1473</v>
      </c>
    </row>
    <row r="34" spans="5:52" ht="55.5" hidden="1" customHeight="1">
      <c r="E34" s="676">
        <v>57</v>
      </c>
      <c r="F34" s="779" cm="1">
        <f t="array" ref="F34">F33</f>
        <v>0</v>
      </c>
      <c r="G34" s="620" t="s">
        <v>1445</v>
      </c>
      <c r="T34" s="698" t="b" cm="1">
        <f t="array" ref="T34">T33</f>
        <v>0</v>
      </c>
      <c r="X34" s="1687"/>
      <c r="Z34" s="1687"/>
      <c r="AB34" s="124" t="s">
        <v>1474</v>
      </c>
      <c r="AC34" s="488" t="s">
        <v>1475</v>
      </c>
      <c r="AD34" s="120" t="s">
        <v>1476</v>
      </c>
      <c r="AE34" s="528" t="s">
        <v>1460</v>
      </c>
      <c r="AF34" s="29">
        <f ca="1">SUMIFS('Ресурсы (5.4)'!AF$26:AF$57,'Ресурсы (5.4)'!$F$26:$F$57,$F34,'Ресурсы (5.4)'!$G$26:$G$57,$G34)</f>
        <v>0</v>
      </c>
      <c r="AG34" s="29">
        <f ca="1">SUMIFS('Ресурсы (5.4)'!AG$26:AG$57,'Ресурсы (5.4)'!$F$26:$F$57,$F34,'Ресурсы (5.4)'!$G$26:$G$57,$G34)</f>
        <v>0</v>
      </c>
      <c r="AZ34" s="981" t="s">
        <v>1477</v>
      </c>
    </row>
    <row r="35" spans="5:52" ht="24.95" hidden="1" customHeight="1">
      <c r="E35" s="676">
        <v>25.5</v>
      </c>
      <c r="F35" s="779" cm="1">
        <f t="array" ref="F35">F34</f>
        <v>0</v>
      </c>
      <c r="T35" s="698" t="b" cm="1">
        <f t="array" ref="T35">T34</f>
        <v>0</v>
      </c>
      <c r="X35" s="1687"/>
      <c r="Z35" s="1687"/>
      <c r="AB35" s="124" t="s">
        <v>1478</v>
      </c>
      <c r="AC35" s="532" t="s">
        <v>1479</v>
      </c>
      <c r="AD35" s="120" t="s">
        <v>1480</v>
      </c>
      <c r="AE35" s="528" t="s">
        <v>807</v>
      </c>
      <c r="AF35" s="29"/>
      <c r="AG35" s="29"/>
      <c r="AZ35" s="981" t="s">
        <v>1481</v>
      </c>
    </row>
    <row r="36" spans="5:52" ht="38.85" hidden="1" customHeight="1">
      <c r="E36" s="676">
        <v>39.799999999999997</v>
      </c>
      <c r="F36" s="779" cm="1">
        <f t="array" ref="F36">F35</f>
        <v>0</v>
      </c>
      <c r="T36" s="698" t="b" cm="1">
        <f t="array" ref="T36">T35</f>
        <v>0</v>
      </c>
      <c r="X36" s="1687"/>
      <c r="Z36" s="1687"/>
      <c r="AB36" s="124" t="s">
        <v>1482</v>
      </c>
      <c r="AC36" s="532" t="s">
        <v>1483</v>
      </c>
      <c r="AD36" s="120" t="s">
        <v>1484</v>
      </c>
      <c r="AE36" s="528" t="s">
        <v>634</v>
      </c>
      <c r="AF36" s="29"/>
      <c r="AG36" s="29"/>
      <c r="AZ36" s="981" t="s">
        <v>1485</v>
      </c>
    </row>
    <row r="37" spans="5:52" ht="23.45" hidden="1" customHeight="1">
      <c r="E37" s="676">
        <v>24</v>
      </c>
      <c r="F37" s="779" cm="1">
        <f t="array" ref="F37">F36</f>
        <v>0</v>
      </c>
      <c r="T37" s="698" t="b" cm="1">
        <f t="array" ref="T37">T36</f>
        <v>0</v>
      </c>
      <c r="X37" s="1687"/>
      <c r="Z37" s="1687"/>
      <c r="AB37" s="124" t="s">
        <v>1486</v>
      </c>
      <c r="AC37" s="532" t="s">
        <v>1487</v>
      </c>
      <c r="AD37" s="120" t="s">
        <v>1488</v>
      </c>
      <c r="AE37" s="528" t="s">
        <v>1489</v>
      </c>
      <c r="AF37" s="29"/>
      <c r="AG37" s="29"/>
      <c r="AZ37" s="981" t="s">
        <v>1490</v>
      </c>
    </row>
    <row r="38" spans="5:52" ht="56.45" hidden="1" customHeight="1">
      <c r="E38" s="676">
        <v>57.8</v>
      </c>
      <c r="F38" s="779" cm="1">
        <f t="array" ref="F38">F37</f>
        <v>0</v>
      </c>
      <c r="T38" s="698" t="b" cm="1">
        <f t="array" ref="T38">T37</f>
        <v>0</v>
      </c>
      <c r="X38" s="1687"/>
      <c r="Z38" s="1687"/>
      <c r="AB38" s="124" t="s">
        <v>1491</v>
      </c>
      <c r="AC38" s="471" t="s">
        <v>1492</v>
      </c>
      <c r="AD38" s="120" t="s">
        <v>1493</v>
      </c>
      <c r="AE38" s="528" t="s">
        <v>1460</v>
      </c>
      <c r="AF38" s="311">
        <f ca="1">AF39+AF44+AF49+AF54</f>
        <v>0</v>
      </c>
      <c r="AG38" s="311">
        <f ca="1">AG39+AG44+AG49+AG54</f>
        <v>0</v>
      </c>
      <c r="AZ38" s="981" t="s">
        <v>1494</v>
      </c>
    </row>
    <row r="39" spans="5:52" ht="19.7" hidden="1" customHeight="1">
      <c r="E39" s="676">
        <v>20.3</v>
      </c>
      <c r="F39" s="779" cm="1">
        <f t="array" ref="F39">F38</f>
        <v>0</v>
      </c>
      <c r="G39" s="620" t="s">
        <v>983</v>
      </c>
      <c r="T39" s="698" t="b" cm="1">
        <f t="array" ref="T39">T38</f>
        <v>0</v>
      </c>
      <c r="X39" s="1687"/>
      <c r="Z39" s="1687"/>
      <c r="AB39" s="124" t="s">
        <v>1495</v>
      </c>
      <c r="AC39" s="488" t="s">
        <v>1496</v>
      </c>
      <c r="AD39" s="530"/>
      <c r="AE39" s="528" t="s">
        <v>1460</v>
      </c>
      <c r="AF39" s="29">
        <f ca="1">SUMIFS('Ресурсы (5.4)'!AF$26:AF$57,'Ресурсы (5.4)'!$F$26:$F$57,$F39,'Ресурсы (5.4)'!$G$26:$G$57,$G39)</f>
        <v>0</v>
      </c>
      <c r="AG39" s="29">
        <f ca="1">SUMIFS('Ресурсы (5.4)'!AG$26:AG$57,'Ресурсы (5.4)'!$F$26:$F$57,$F39,'Ресурсы (5.4)'!$G$26:$G$57,$G39)</f>
        <v>0</v>
      </c>
      <c r="AZ39" s="981" t="s">
        <v>1497</v>
      </c>
    </row>
    <row r="40" spans="5:52" ht="27.2" hidden="1" customHeight="1">
      <c r="E40" s="676">
        <v>27.8</v>
      </c>
      <c r="F40" s="779" cm="1">
        <f t="array" ref="F40">F39</f>
        <v>0</v>
      </c>
      <c r="T40" s="698" t="b" cm="1">
        <f t="array" ref="T40">T39</f>
        <v>0</v>
      </c>
      <c r="X40" s="1687"/>
      <c r="Z40" s="1687"/>
      <c r="AB40" s="124" t="s">
        <v>1498</v>
      </c>
      <c r="AC40" s="532" t="s">
        <v>1499</v>
      </c>
      <c r="AD40" s="120" t="s">
        <v>1500</v>
      </c>
      <c r="AE40" s="108" t="s">
        <v>1501</v>
      </c>
      <c r="AF40" s="29"/>
      <c r="AG40" s="29"/>
      <c r="AZ40" s="981" t="s">
        <v>1004</v>
      </c>
    </row>
    <row r="41" spans="5:52" ht="26.25" hidden="1" customHeight="1">
      <c r="E41" s="676">
        <v>27</v>
      </c>
      <c r="F41" s="779" cm="1">
        <f t="array" ref="F41">F40</f>
        <v>0</v>
      </c>
      <c r="T41" s="698" t="b" cm="1">
        <f t="array" ref="T41">T40</f>
        <v>0</v>
      </c>
      <c r="X41" s="1687"/>
      <c r="Z41" s="1687"/>
      <c r="AB41" s="124" t="s">
        <v>1502</v>
      </c>
      <c r="AC41" s="532" t="s">
        <v>1503</v>
      </c>
      <c r="AD41" s="120" t="s">
        <v>1504</v>
      </c>
      <c r="AE41" s="528" t="s">
        <v>634</v>
      </c>
      <c r="AF41" s="29"/>
      <c r="AG41" s="29"/>
      <c r="AZ41" s="981" t="s">
        <v>1505</v>
      </c>
    </row>
    <row r="42" spans="5:52" ht="28.5" hidden="1" customHeight="1">
      <c r="E42" s="676">
        <v>29.3</v>
      </c>
      <c r="F42" s="779" cm="1">
        <f t="array" ref="F42">F41</f>
        <v>0</v>
      </c>
      <c r="T42" s="698" t="b" cm="1">
        <f t="array" ref="T42">T41</f>
        <v>0</v>
      </c>
      <c r="X42" s="1687"/>
      <c r="Z42" s="1687"/>
      <c r="AB42" s="124" t="s">
        <v>1506</v>
      </c>
      <c r="AC42" s="532" t="s">
        <v>1507</v>
      </c>
      <c r="AD42" s="120" t="s">
        <v>1508</v>
      </c>
      <c r="AE42" s="528" t="s">
        <v>634</v>
      </c>
      <c r="AF42" s="29"/>
      <c r="AG42" s="29"/>
      <c r="AZ42" s="981" t="s">
        <v>1509</v>
      </c>
    </row>
    <row r="43" spans="5:52" ht="33.6" hidden="1" customHeight="1">
      <c r="E43" s="676">
        <v>34.5</v>
      </c>
      <c r="F43" s="779" cm="1">
        <f t="array" ref="F43">F42</f>
        <v>0</v>
      </c>
      <c r="T43" s="698" t="b" cm="1">
        <f t="array" ref="T43">T42</f>
        <v>0</v>
      </c>
      <c r="X43" s="1687"/>
      <c r="Z43" s="1687"/>
      <c r="AB43" s="124" t="s">
        <v>1510</v>
      </c>
      <c r="AC43" s="532" t="s">
        <v>1511</v>
      </c>
      <c r="AD43" s="120" t="s">
        <v>1512</v>
      </c>
      <c r="AE43" s="528" t="s">
        <v>993</v>
      </c>
      <c r="AF43" s="29"/>
      <c r="AG43" s="29"/>
      <c r="AZ43" s="981" t="s">
        <v>1513</v>
      </c>
    </row>
    <row r="44" spans="5:52" ht="16.899999999999999" hidden="1" customHeight="1">
      <c r="E44" s="676">
        <v>17.3</v>
      </c>
      <c r="F44" s="779" cm="1">
        <f t="array" ref="F44">F43</f>
        <v>0</v>
      </c>
      <c r="G44" s="620" t="s">
        <v>1050</v>
      </c>
      <c r="T44" s="698" t="b" cm="1">
        <f t="array" ref="T44">T43</f>
        <v>0</v>
      </c>
      <c r="X44" s="1687"/>
      <c r="Z44" s="1687"/>
      <c r="AB44" s="124" t="s">
        <v>1514</v>
      </c>
      <c r="AC44" s="488" t="s">
        <v>1515</v>
      </c>
      <c r="AD44" s="530"/>
      <c r="AE44" s="528" t="s">
        <v>1460</v>
      </c>
      <c r="AF44" s="29">
        <f ca="1">SUMIFS('Ресурсы (5.4)'!AF$26:AF$57,'Ресурсы (5.4)'!$F$26:$F$57,$F44,'Ресурсы (5.4)'!$G$26:$G$57,$G44)</f>
        <v>0</v>
      </c>
      <c r="AG44" s="29">
        <f ca="1">SUMIFS('Ресурсы (5.4)'!AG$26:AG$57,'Ресурсы (5.4)'!$F$26:$F$57,$F44,'Ресурсы (5.4)'!$G$26:$G$57,$G44)</f>
        <v>0</v>
      </c>
      <c r="AZ44" s="981" t="s">
        <v>1516</v>
      </c>
    </row>
    <row r="45" spans="5:52" ht="30" hidden="1" customHeight="1">
      <c r="E45" s="676">
        <v>30.8</v>
      </c>
      <c r="F45" s="779" cm="1">
        <f t="array" ref="F45">F44</f>
        <v>0</v>
      </c>
      <c r="T45" s="698" t="b" cm="1">
        <f t="array" ref="T45">T44</f>
        <v>0</v>
      </c>
      <c r="X45" s="1687"/>
      <c r="Z45" s="1687"/>
      <c r="AB45" s="124" t="s">
        <v>1517</v>
      </c>
      <c r="AC45" s="532" t="s">
        <v>1518</v>
      </c>
      <c r="AD45" s="120" t="s">
        <v>1519</v>
      </c>
      <c r="AE45" s="528" t="s">
        <v>1520</v>
      </c>
      <c r="AF45" s="29"/>
      <c r="AG45" s="29"/>
      <c r="AZ45" s="981" t="s">
        <v>1059</v>
      </c>
    </row>
    <row r="46" spans="5:52" ht="30" hidden="1" customHeight="1">
      <c r="E46" s="676">
        <v>30.8</v>
      </c>
      <c r="F46" s="779" cm="1">
        <f t="array" ref="F46">F45</f>
        <v>0</v>
      </c>
      <c r="T46" s="698" t="b" cm="1">
        <f t="array" ref="T46">T45</f>
        <v>0</v>
      </c>
      <c r="X46" s="1687"/>
      <c r="Z46" s="1687"/>
      <c r="AB46" s="124" t="s">
        <v>1521</v>
      </c>
      <c r="AC46" s="532" t="s">
        <v>1503</v>
      </c>
      <c r="AD46" s="120" t="s">
        <v>1504</v>
      </c>
      <c r="AE46" s="528" t="s">
        <v>634</v>
      </c>
      <c r="AF46" s="29"/>
      <c r="AG46" s="29"/>
      <c r="AZ46" s="981" t="s">
        <v>1522</v>
      </c>
    </row>
    <row r="47" spans="5:52" ht="29.25" hidden="1" customHeight="1">
      <c r="E47" s="676">
        <v>30</v>
      </c>
      <c r="F47" s="779" cm="1">
        <f t="array" ref="F47">F46</f>
        <v>0</v>
      </c>
      <c r="T47" s="698" t="b" cm="1">
        <f t="array" ref="T47">T46</f>
        <v>0</v>
      </c>
      <c r="X47" s="1687"/>
      <c r="Z47" s="1687"/>
      <c r="AB47" s="124" t="s">
        <v>1523</v>
      </c>
      <c r="AC47" s="532" t="s">
        <v>1507</v>
      </c>
      <c r="AD47" s="120" t="s">
        <v>1508</v>
      </c>
      <c r="AE47" s="528" t="s">
        <v>634</v>
      </c>
      <c r="AF47" s="29"/>
      <c r="AG47" s="29"/>
      <c r="AZ47" s="981" t="s">
        <v>1524</v>
      </c>
    </row>
    <row r="48" spans="5:52" ht="21.2" hidden="1" customHeight="1">
      <c r="E48" s="676">
        <v>21.8</v>
      </c>
      <c r="F48" s="779" cm="1">
        <f t="array" ref="F48">F47</f>
        <v>0</v>
      </c>
      <c r="T48" s="698" t="b" cm="1">
        <f t="array" ref="T48">T47</f>
        <v>0</v>
      </c>
      <c r="X48" s="1687"/>
      <c r="Z48" s="1687"/>
      <c r="AB48" s="124" t="s">
        <v>1525</v>
      </c>
      <c r="AC48" s="532" t="s">
        <v>1526</v>
      </c>
      <c r="AD48" s="120" t="s">
        <v>1512</v>
      </c>
      <c r="AE48" s="528" t="s">
        <v>1527</v>
      </c>
      <c r="AF48" s="29"/>
      <c r="AG48" s="29"/>
      <c r="AZ48" s="981" t="s">
        <v>1528</v>
      </c>
    </row>
    <row r="49" spans="5:52" ht="16.149999999999999" hidden="1" customHeight="1">
      <c r="E49" s="676">
        <v>16.5</v>
      </c>
      <c r="F49" s="779" cm="1">
        <f t="array" ref="F49">F48</f>
        <v>0</v>
      </c>
      <c r="G49" s="620" t="s">
        <v>1018</v>
      </c>
      <c r="T49" s="698" t="b" cm="1">
        <f t="array" ref="T49">T48</f>
        <v>0</v>
      </c>
      <c r="X49" s="1687"/>
      <c r="Z49" s="1687"/>
      <c r="AB49" s="124" t="s">
        <v>1529</v>
      </c>
      <c r="AC49" s="488" t="s">
        <v>1530</v>
      </c>
      <c r="AD49" s="530"/>
      <c r="AE49" s="528" t="s">
        <v>1460</v>
      </c>
      <c r="AF49" s="29">
        <f ca="1">SUMIFS('Ресурсы (5.4)'!AF$26:AF$57,'Ресурсы (5.4)'!$F$26:$F$57,$F49,'Ресурсы (5.4)'!$G$26:$G$57,$G49)</f>
        <v>0</v>
      </c>
      <c r="AG49" s="29">
        <f ca="1">SUMIFS('Ресурсы (5.4)'!AG$26:AG$57,'Ресурсы (5.4)'!$F$26:$F$57,$F49,'Ресурсы (5.4)'!$G$26:$G$57,$G49)</f>
        <v>0</v>
      </c>
      <c r="AZ49" s="981" t="s">
        <v>1531</v>
      </c>
    </row>
    <row r="50" spans="5:52" ht="28.5" hidden="1" customHeight="1">
      <c r="E50" s="676">
        <v>29.3</v>
      </c>
      <c r="F50" s="779" cm="1">
        <f t="array" ref="F50">F49</f>
        <v>0</v>
      </c>
      <c r="T50" s="698" t="b" cm="1">
        <f t="array" ref="T50">T49</f>
        <v>0</v>
      </c>
      <c r="X50" s="1687"/>
      <c r="Z50" s="1687"/>
      <c r="AB50" s="124" t="s">
        <v>1532</v>
      </c>
      <c r="AC50" s="532" t="s">
        <v>1533</v>
      </c>
      <c r="AD50" s="120" t="s">
        <v>1534</v>
      </c>
      <c r="AE50" s="528" t="s">
        <v>634</v>
      </c>
      <c r="AF50" s="29"/>
      <c r="AG50" s="29"/>
      <c r="AZ50" s="981" t="s">
        <v>1040</v>
      </c>
    </row>
    <row r="51" spans="5:52" ht="30.75" hidden="1" customHeight="1">
      <c r="E51" s="676">
        <v>31.5</v>
      </c>
      <c r="F51" s="779" cm="1">
        <f t="array" ref="F51">F50</f>
        <v>0</v>
      </c>
      <c r="T51" s="698" t="b" cm="1">
        <f t="array" ref="T51">T50</f>
        <v>0</v>
      </c>
      <c r="X51" s="1687"/>
      <c r="Z51" s="1687"/>
      <c r="AB51" s="124" t="s">
        <v>1535</v>
      </c>
      <c r="AC51" s="532" t="s">
        <v>1503</v>
      </c>
      <c r="AD51" s="120" t="s">
        <v>1504</v>
      </c>
      <c r="AE51" s="528" t="s">
        <v>634</v>
      </c>
      <c r="AF51" s="29"/>
      <c r="AG51" s="29"/>
      <c r="AZ51" s="981" t="s">
        <v>1485</v>
      </c>
    </row>
    <row r="52" spans="5:52" ht="27.75" hidden="1" customHeight="1">
      <c r="E52" s="676">
        <v>28.5</v>
      </c>
      <c r="F52" s="779" cm="1">
        <f t="array" ref="F52">F51</f>
        <v>0</v>
      </c>
      <c r="T52" s="698" t="b" cm="1">
        <f t="array" ref="T52">T51</f>
        <v>0</v>
      </c>
      <c r="X52" s="1687"/>
      <c r="Z52" s="1687"/>
      <c r="AB52" s="124" t="s">
        <v>1536</v>
      </c>
      <c r="AC52" s="532" t="s">
        <v>1507</v>
      </c>
      <c r="AD52" s="120" t="s">
        <v>1508</v>
      </c>
      <c r="AE52" s="528" t="s">
        <v>634</v>
      </c>
      <c r="AF52" s="29"/>
      <c r="AG52" s="29"/>
      <c r="AZ52" s="981" t="s">
        <v>1537</v>
      </c>
    </row>
    <row r="53" spans="5:52" ht="22.15" hidden="1" customHeight="1">
      <c r="E53" s="676">
        <v>22.8</v>
      </c>
      <c r="F53" s="779" cm="1">
        <f t="array" ref="F53">F52</f>
        <v>0</v>
      </c>
      <c r="T53" s="698" t="b" cm="1">
        <f t="array" ref="T53">T52</f>
        <v>0</v>
      </c>
      <c r="X53" s="1687"/>
      <c r="Z53" s="1687"/>
      <c r="AB53" s="124" t="s">
        <v>1538</v>
      </c>
      <c r="AC53" s="532" t="s">
        <v>1539</v>
      </c>
      <c r="AD53" s="120" t="s">
        <v>1512</v>
      </c>
      <c r="AE53" s="528" t="s">
        <v>929</v>
      </c>
      <c r="AF53" s="29"/>
      <c r="AG53" s="29"/>
      <c r="AZ53" s="981" t="s">
        <v>1540</v>
      </c>
    </row>
    <row r="54" spans="5:52" ht="16.149999999999999" hidden="1" customHeight="1">
      <c r="E54" s="676">
        <v>16.5</v>
      </c>
      <c r="F54" s="779" cm="1">
        <f t="array" ref="F54">F53</f>
        <v>0</v>
      </c>
      <c r="G54" s="620" t="s">
        <v>1061</v>
      </c>
      <c r="T54" s="698" t="b" cm="1">
        <f t="array" ref="T54">T53</f>
        <v>0</v>
      </c>
      <c r="X54" s="1687"/>
      <c r="Z54" s="1687"/>
      <c r="AB54" s="124" t="s">
        <v>1541</v>
      </c>
      <c r="AC54" s="488" t="s">
        <v>1542</v>
      </c>
      <c r="AD54" s="530"/>
      <c r="AE54" s="528" t="s">
        <v>1460</v>
      </c>
      <c r="AF54" s="29">
        <f ca="1">SUMIFS('Ресурсы (5.4)'!AF$26:AF$57,'Ресурсы (5.4)'!$F$26:$F$57,$F54,'Ресурсы (5.4)'!$G$26:$G$57,$G54)</f>
        <v>0</v>
      </c>
      <c r="AG54" s="29">
        <f ca="1">SUMIFS('Ресурсы (5.4)'!AG$26:AG$57,'Ресурсы (5.4)'!$F$26:$F$57,$F54,'Ресурсы (5.4)'!$G$26:$G$57,$G54)</f>
        <v>0</v>
      </c>
      <c r="AZ54" s="981" t="s">
        <v>1543</v>
      </c>
    </row>
    <row r="55" spans="5:52" ht="28.5" hidden="1" customHeight="1">
      <c r="E55" s="676">
        <v>29.3</v>
      </c>
      <c r="F55" s="779" cm="1">
        <f t="array" ref="F55">F54</f>
        <v>0</v>
      </c>
      <c r="T55" s="698" t="b" cm="1">
        <f t="array" ref="T55">T54</f>
        <v>0</v>
      </c>
      <c r="X55" s="1687"/>
      <c r="Z55" s="1687"/>
      <c r="AB55" s="124" t="s">
        <v>1544</v>
      </c>
      <c r="AC55" s="532" t="s">
        <v>1545</v>
      </c>
      <c r="AD55" s="120" t="s">
        <v>1534</v>
      </c>
      <c r="AE55" s="528" t="s">
        <v>1520</v>
      </c>
      <c r="AF55" s="29"/>
      <c r="AG55" s="29"/>
      <c r="AZ55" s="981" t="s">
        <v>1068</v>
      </c>
    </row>
    <row r="56" spans="5:52" ht="30.75" hidden="1" customHeight="1">
      <c r="E56" s="676">
        <v>31.5</v>
      </c>
      <c r="F56" s="779" cm="1">
        <f t="array" ref="F56">F55</f>
        <v>0</v>
      </c>
      <c r="T56" s="698" t="b" cm="1">
        <f t="array" ref="T56">T55</f>
        <v>0</v>
      </c>
      <c r="X56" s="1687"/>
      <c r="Z56" s="1687"/>
      <c r="AB56" s="124" t="s">
        <v>1546</v>
      </c>
      <c r="AC56" s="532" t="s">
        <v>1503</v>
      </c>
      <c r="AD56" s="120" t="s">
        <v>1504</v>
      </c>
      <c r="AE56" s="528" t="s">
        <v>634</v>
      </c>
      <c r="AF56" s="29"/>
      <c r="AG56" s="29"/>
      <c r="AZ56" s="981" t="s">
        <v>1547</v>
      </c>
    </row>
    <row r="57" spans="5:52" ht="27.75" hidden="1" customHeight="1">
      <c r="E57" s="676">
        <v>28.5</v>
      </c>
      <c r="F57" s="779" cm="1">
        <f t="array" ref="F57">F56</f>
        <v>0</v>
      </c>
      <c r="T57" s="698" t="b" cm="1">
        <f t="array" ref="T57">T56</f>
        <v>0</v>
      </c>
      <c r="X57" s="1687"/>
      <c r="Z57" s="1687"/>
      <c r="AB57" s="124" t="s">
        <v>1548</v>
      </c>
      <c r="AC57" s="532" t="s">
        <v>1507</v>
      </c>
      <c r="AD57" s="120" t="s">
        <v>1508</v>
      </c>
      <c r="AE57" s="528" t="s">
        <v>634</v>
      </c>
      <c r="AF57" s="29"/>
      <c r="AG57" s="29"/>
      <c r="AZ57" s="981" t="s">
        <v>1549</v>
      </c>
    </row>
    <row r="58" spans="5:52" ht="22.15" hidden="1" customHeight="1">
      <c r="E58" s="676">
        <v>22.8</v>
      </c>
      <c r="F58" s="779" cm="1">
        <f t="array" ref="F58">F57</f>
        <v>0</v>
      </c>
      <c r="T58" s="698" t="b" cm="1">
        <f t="array" ref="T58">T57</f>
        <v>0</v>
      </c>
      <c r="X58" s="1687"/>
      <c r="Z58" s="1687"/>
      <c r="AB58" s="124" t="s">
        <v>1550</v>
      </c>
      <c r="AC58" s="532" t="s">
        <v>1551</v>
      </c>
      <c r="AD58" s="120" t="s">
        <v>1512</v>
      </c>
      <c r="AE58" s="528" t="s">
        <v>1527</v>
      </c>
      <c r="AF58" s="29"/>
      <c r="AG58" s="29"/>
      <c r="AZ58" s="981" t="s">
        <v>1552</v>
      </c>
    </row>
    <row r="59" spans="5:52" ht="37.35" hidden="1" customHeight="1">
      <c r="E59" s="676">
        <v>38.299999999999997</v>
      </c>
      <c r="F59" s="779" cm="1">
        <f t="array" ref="F59">F58</f>
        <v>0</v>
      </c>
      <c r="G59" s="620" t="s">
        <v>1410</v>
      </c>
      <c r="T59" s="698" t="b" cm="1">
        <f t="array" ref="T59">T58</f>
        <v>0</v>
      </c>
      <c r="X59" s="1687"/>
      <c r="Z59" s="1687"/>
      <c r="AB59" s="124" t="s">
        <v>1553</v>
      </c>
      <c r="AC59" s="471" t="s">
        <v>1554</v>
      </c>
      <c r="AD59" s="530" t="s">
        <v>1555</v>
      </c>
      <c r="AE59" s="528" t="s">
        <v>839</v>
      </c>
      <c r="AF59" s="29">
        <f ca="1">SUMIFS('Калькуляция (5.9)'!AF$26:AF$194,'Калькуляция (5.9)'!$F$26:$F$194,$F59,'Калькуляция (5.9)'!$G$26:$G$194,$G59)</f>
        <v>0</v>
      </c>
      <c r="AG59" s="29">
        <f ca="1">SUMIFS('Калькуляция (5.9)'!AG$26:AG$194,'Калькуляция (5.9)'!$F$26:$F$194,$F59,'Калькуляция (5.9)'!$G$26:$G$194,$G59)</f>
        <v>0</v>
      </c>
      <c r="AZ59" s="981" t="s">
        <v>1556</v>
      </c>
    </row>
    <row r="60" spans="5:52" ht="20.45" hidden="1" customHeight="1">
      <c r="E60" s="676">
        <v>21</v>
      </c>
      <c r="F60" s="779" cm="1">
        <f t="array" ref="F60">F59</f>
        <v>0</v>
      </c>
      <c r="G60" s="620" t="s">
        <v>1557</v>
      </c>
      <c r="T60" s="698" t="b" cm="1">
        <f t="array" ref="T60">T59</f>
        <v>0</v>
      </c>
      <c r="X60" s="1687"/>
      <c r="Z60" s="1687"/>
      <c r="AB60" s="124" t="s">
        <v>1558</v>
      </c>
      <c r="AC60" s="117" t="s">
        <v>1559</v>
      </c>
      <c r="AD60" s="528"/>
      <c r="AE60" s="528" t="s">
        <v>839</v>
      </c>
      <c r="AF60" s="29">
        <f ca="1">SUMIFS('Калькуляция (5.9)'!AF$26:AF$194,'Калькуляция (5.9)'!$F$26:$F$194,$F60,'Калькуляция (5.9)'!$G$26:$G$194,$G60)</f>
        <v>0</v>
      </c>
      <c r="AG60" s="29">
        <f ca="1">SUMIFS('Калькуляция (5.9)'!AG$26:AG$194,'Калькуляция (5.9)'!$F$26:$F$194,$F60,'Калькуляция (5.9)'!$G$26:$G$194,$G60)</f>
        <v>0</v>
      </c>
      <c r="AZ60" s="981" t="s">
        <v>1560</v>
      </c>
    </row>
    <row r="61" spans="5:52" ht="20.45" hidden="1" customHeight="1">
      <c r="E61" s="676">
        <v>21</v>
      </c>
      <c r="F61" s="779" cm="1">
        <f t="array" ref="F61">F60</f>
        <v>0</v>
      </c>
      <c r="T61" s="698" t="b" cm="1">
        <f t="array" ref="T61">T60</f>
        <v>0</v>
      </c>
      <c r="X61" s="1687"/>
      <c r="Z61" s="1687"/>
      <c r="AB61" s="124" t="s">
        <v>1561</v>
      </c>
      <c r="AC61" s="892" t="s">
        <v>1562</v>
      </c>
      <c r="AD61" s="528"/>
      <c r="AE61" s="528" t="s">
        <v>533</v>
      </c>
      <c r="AF61" s="79"/>
      <c r="AG61" s="79"/>
      <c r="AZ61" s="981" t="s">
        <v>1563</v>
      </c>
    </row>
    <row r="62" spans="5:52" ht="21.95" hidden="1" customHeight="1">
      <c r="E62" s="676">
        <v>22.5</v>
      </c>
      <c r="F62" s="779" cm="1">
        <f t="array" ref="F62">F60</f>
        <v>0</v>
      </c>
      <c r="G62" s="620" t="s">
        <v>1564</v>
      </c>
      <c r="T62" s="698" t="b" cm="1">
        <f t="array" ref="T62">T60</f>
        <v>0</v>
      </c>
      <c r="X62" s="1687"/>
      <c r="Z62" s="1687"/>
      <c r="AB62" s="124" t="s">
        <v>1565</v>
      </c>
      <c r="AC62" s="117" t="s">
        <v>1566</v>
      </c>
      <c r="AD62" s="528"/>
      <c r="AE62" s="528" t="s">
        <v>839</v>
      </c>
      <c r="AF62" s="29">
        <f ca="1">SUMIFS('Калькуляция (5.9)'!AF$26:AF$194,'Калькуляция (5.9)'!$F$26:$F$194,$F62,'Калькуляция (5.9)'!$G$26:$G$194,$G62)</f>
        <v>0</v>
      </c>
      <c r="AG62" s="29">
        <f ca="1">SUMIFS('Калькуляция (5.9)'!AG$26:AG$194,'Калькуляция (5.9)'!$F$26:$F$194,$F62,'Калькуляция (5.9)'!$G$26:$G$194,$G62)</f>
        <v>0</v>
      </c>
      <c r="AZ62" s="981" t="s">
        <v>1567</v>
      </c>
    </row>
    <row r="63" spans="5:52" ht="22.15" hidden="1" customHeight="1">
      <c r="E63" s="676">
        <v>22.8</v>
      </c>
      <c r="F63" s="779" cm="1">
        <f t="array" ref="F63">F62</f>
        <v>0</v>
      </c>
      <c r="G63" s="620" t="s">
        <v>448</v>
      </c>
      <c r="T63" s="698" t="b" cm="1">
        <f t="array" ref="T63">T62</f>
        <v>0</v>
      </c>
      <c r="X63" s="1687"/>
      <c r="Z63" s="1687"/>
      <c r="AB63" s="124" t="s">
        <v>1568</v>
      </c>
      <c r="AC63" s="117" t="s">
        <v>1569</v>
      </c>
      <c r="AD63" s="528"/>
      <c r="AE63" s="528" t="s">
        <v>839</v>
      </c>
      <c r="AF63" s="29">
        <f ca="1">SUMIFS('Калькуляция (5.9)'!AF$26:AF$194,'Калькуляция (5.9)'!$F$26:$F$194,$F63,'Калькуляция (5.9)'!$G$26:$G$194,$G63)</f>
        <v>0</v>
      </c>
      <c r="AG63" s="29">
        <f ca="1">SUMIFS('Калькуляция (5.9)'!AG$26:AG$194,'Калькуляция (5.9)'!$F$26:$F$194,$F63,'Калькуляция (5.9)'!$G$26:$G$194,$G63)</f>
        <v>0</v>
      </c>
      <c r="AZ63" s="981" t="s">
        <v>1570</v>
      </c>
    </row>
    <row r="64" spans="5:52" ht="29.25" hidden="1" customHeight="1">
      <c r="E64" s="676">
        <v>30</v>
      </c>
      <c r="F64" s="779" cm="1">
        <f t="array" ref="F64">F63</f>
        <v>0</v>
      </c>
      <c r="T64" s="698" t="b" cm="1">
        <f t="array" ref="T64">T63</f>
        <v>0</v>
      </c>
      <c r="X64" s="1687"/>
      <c r="Z64" s="1687"/>
      <c r="AB64" s="124" t="s">
        <v>1571</v>
      </c>
      <c r="AC64" s="117" t="s">
        <v>1572</v>
      </c>
      <c r="AD64" s="531"/>
      <c r="AE64" s="528" t="s">
        <v>839</v>
      </c>
      <c r="AF64" s="29"/>
      <c r="AG64" s="29"/>
      <c r="AZ64" s="981" t="s">
        <v>1573</v>
      </c>
    </row>
    <row r="65" spans="1:52" ht="37.35" hidden="1" customHeight="1">
      <c r="E65" s="676">
        <v>38.299999999999997</v>
      </c>
      <c r="F65" s="779" cm="1">
        <f t="array" ref="F65">F64</f>
        <v>0</v>
      </c>
      <c r="T65" s="698" t="b" cm="1">
        <f t="array" ref="T65">T64</f>
        <v>0</v>
      </c>
      <c r="X65" s="1687"/>
      <c r="Z65" s="1687"/>
      <c r="AB65" s="124" t="s">
        <v>1574</v>
      </c>
      <c r="AC65" s="117" t="s">
        <v>1575</v>
      </c>
      <c r="AD65" s="528"/>
      <c r="AE65" s="528" t="s">
        <v>839</v>
      </c>
      <c r="AF65" s="29"/>
      <c r="AG65" s="29"/>
      <c r="AZ65" s="981" t="s">
        <v>1576</v>
      </c>
    </row>
    <row r="66" spans="1:52" ht="73.150000000000006" hidden="1" customHeight="1">
      <c r="E66" s="676">
        <v>75</v>
      </c>
      <c r="F66" s="779" cm="1">
        <f t="array" ref="F66">F65</f>
        <v>0</v>
      </c>
      <c r="T66" s="698" t="b" cm="1">
        <f t="array" ref="T66">T65</f>
        <v>0</v>
      </c>
      <c r="X66" s="1687"/>
      <c r="Z66" s="1687"/>
      <c r="AB66" s="124" t="s">
        <v>1577</v>
      </c>
      <c r="AC66" s="117" t="s">
        <v>1578</v>
      </c>
      <c r="AD66" s="528"/>
      <c r="AE66" s="528" t="s">
        <v>839</v>
      </c>
      <c r="AF66" s="29"/>
      <c r="AG66" s="29"/>
      <c r="AZ66" s="981" t="s">
        <v>1579</v>
      </c>
    </row>
    <row r="67" spans="1:52" ht="72.400000000000006" hidden="1" customHeight="1">
      <c r="E67" s="676">
        <v>74.3</v>
      </c>
      <c r="F67" s="779" cm="1">
        <f t="array" ref="F67">F66</f>
        <v>0</v>
      </c>
      <c r="T67" s="698" t="b" cm="1">
        <f t="array" ref="T67">T66</f>
        <v>0</v>
      </c>
      <c r="X67" s="1687"/>
      <c r="Z67" s="1687"/>
      <c r="AB67" s="124" t="s">
        <v>1580</v>
      </c>
      <c r="AC67" s="117" t="s">
        <v>1581</v>
      </c>
      <c r="AD67" s="528"/>
      <c r="AE67" s="528" t="s">
        <v>1460</v>
      </c>
      <c r="AF67" s="29"/>
      <c r="AG67" s="29"/>
      <c r="AZ67" s="981" t="s">
        <v>1582</v>
      </c>
    </row>
    <row r="68" spans="1:52" ht="55.5" hidden="1" customHeight="1">
      <c r="E68" s="676">
        <v>57</v>
      </c>
      <c r="F68" s="779" cm="1">
        <f t="array" ref="F68">F67</f>
        <v>0</v>
      </c>
      <c r="T68" s="698" t="b" cm="1">
        <f t="array" ref="T68">T67</f>
        <v>0</v>
      </c>
      <c r="X68" s="1687"/>
      <c r="Z68" s="1687"/>
      <c r="AB68" s="124" t="s">
        <v>348</v>
      </c>
      <c r="AC68" s="526" t="s">
        <v>1583</v>
      </c>
      <c r="AD68" s="120" t="s">
        <v>1584</v>
      </c>
      <c r="AE68" s="528" t="s">
        <v>1460</v>
      </c>
      <c r="AF68" s="29"/>
      <c r="AG68" s="29"/>
      <c r="AZ68" s="981" t="s">
        <v>1585</v>
      </c>
    </row>
    <row r="69" spans="1:52" ht="11.1" hidden="1" customHeight="1">
      <c r="E69" s="676">
        <v>11.4</v>
      </c>
      <c r="F69" s="779" cm="1">
        <f t="array" ref="F69">F68</f>
        <v>0</v>
      </c>
      <c r="T69" s="698" t="b" cm="1">
        <f t="array" ref="T69">T68</f>
        <v>0</v>
      </c>
      <c r="X69" s="1687"/>
      <c r="Z69" s="1687"/>
    </row>
    <row r="70" spans="1:52" ht="11.1" hidden="1" customHeight="1">
      <c r="E70" s="676">
        <v>11.3</v>
      </c>
      <c r="F70" s="779" cm="1">
        <f t="array" ref="F70">F69</f>
        <v>0</v>
      </c>
      <c r="T70" s="698" t="b" cm="1">
        <f t="array" ref="T70">T69</f>
        <v>0</v>
      </c>
      <c r="X70" s="1687"/>
      <c r="Z70" s="1687"/>
      <c r="AB70" s="1833" t="s">
        <v>1456</v>
      </c>
      <c r="AC70" s="1835" t="s">
        <v>531</v>
      </c>
      <c r="AD70" s="1831" t="s">
        <v>1204</v>
      </c>
      <c r="AE70" s="108">
        <f>god-2</f>
        <v>2024</v>
      </c>
      <c r="AF70" s="108">
        <f>god-1</f>
        <v>2025</v>
      </c>
      <c r="AG70" s="1831" t="s">
        <v>1586</v>
      </c>
      <c r="AH70" s="252" cm="1">
        <f t="array" ref="AH70">god</f>
        <v>2026</v>
      </c>
      <c r="AI70" s="108">
        <f>god+1</f>
        <v>2027</v>
      </c>
      <c r="AJ70" s="108">
        <f>god+2</f>
        <v>2028</v>
      </c>
      <c r="AK70" s="108">
        <f>god+3</f>
        <v>2029</v>
      </c>
      <c r="AL70" s="108">
        <f>god+4</f>
        <v>2030</v>
      </c>
      <c r="AM70" s="1831" t="s">
        <v>1586</v>
      </c>
      <c r="AN70" s="252" cm="1">
        <f t="array" ref="AN70">god</f>
        <v>2026</v>
      </c>
      <c r="AO70" s="108">
        <f>god+1</f>
        <v>2027</v>
      </c>
      <c r="AP70" s="108">
        <f>god+2</f>
        <v>2028</v>
      </c>
      <c r="AQ70" s="108">
        <f>god+3</f>
        <v>2029</v>
      </c>
      <c r="AR70" s="108">
        <f>god+4</f>
        <v>2030</v>
      </c>
      <c r="AU70" s="1832" t="s">
        <v>1587</v>
      </c>
    </row>
    <row r="71" spans="1:52" ht="21.95" hidden="1" customHeight="1">
      <c r="E71" s="676">
        <v>22.5</v>
      </c>
      <c r="F71" s="779" cm="1">
        <f t="array" ref="F71">F70</f>
        <v>0</v>
      </c>
      <c r="T71" s="698" t="b" cm="1">
        <f t="array" ref="T71">T70</f>
        <v>0</v>
      </c>
      <c r="X71" s="1687"/>
      <c r="Z71" s="1687"/>
      <c r="AB71" s="1834"/>
      <c r="AC71" s="1836"/>
      <c r="AD71" s="1831"/>
      <c r="AE71" s="124" t="s">
        <v>1588</v>
      </c>
      <c r="AF71" s="124" t="s">
        <v>1588</v>
      </c>
      <c r="AG71" s="1831"/>
      <c r="AH71" s="124" t="s">
        <v>1589</v>
      </c>
      <c r="AI71" s="124" t="s">
        <v>1589</v>
      </c>
      <c r="AJ71" s="124" t="s">
        <v>1589</v>
      </c>
      <c r="AK71" s="124" t="s">
        <v>1589</v>
      </c>
      <c r="AL71" s="124" t="s">
        <v>1589</v>
      </c>
      <c r="AM71" s="1831"/>
      <c r="AN71" s="124" t="s">
        <v>1590</v>
      </c>
      <c r="AO71" s="124" t="s">
        <v>1590</v>
      </c>
      <c r="AP71" s="124" t="s">
        <v>1590</v>
      </c>
      <c r="AQ71" s="124" t="s">
        <v>1590</v>
      </c>
      <c r="AR71" s="124" t="s">
        <v>1590</v>
      </c>
      <c r="AU71" s="1832"/>
    </row>
    <row r="72" spans="1:52" ht="15.4" hidden="1" customHeight="1">
      <c r="E72" s="676">
        <v>15.8</v>
      </c>
      <c r="F72" s="779" cm="1">
        <f t="array" ref="F72">F71</f>
        <v>0</v>
      </c>
      <c r="T72" s="698" t="b" cm="1">
        <f t="array" ref="T72">T71</f>
        <v>0</v>
      </c>
      <c r="X72" s="1687"/>
      <c r="Z72" s="1687"/>
      <c r="AB72" s="235" t="s">
        <v>437</v>
      </c>
      <c r="AC72" s="347" t="s">
        <v>1591</v>
      </c>
      <c r="AD72" s="528" t="s">
        <v>839</v>
      </c>
      <c r="AE72" s="700" t="s">
        <v>1592</v>
      </c>
      <c r="AF72" s="700" t="s">
        <v>1592</v>
      </c>
      <c r="AG72" s="360" cm="1">
        <f t="array" aca="1" ref="AG72" ca="1">AF29</f>
        <v>0</v>
      </c>
      <c r="AH72" s="874"/>
      <c r="AI72" s="874"/>
      <c r="AJ72" s="874"/>
      <c r="AK72" s="874"/>
      <c r="AL72" s="874"/>
      <c r="AM72" s="360" cm="1">
        <f t="array" aca="1" ref="AM72" ca="1">AG29</f>
        <v>0</v>
      </c>
      <c r="AN72" s="875"/>
      <c r="AO72" s="875"/>
      <c r="AP72" s="875"/>
      <c r="AQ72" s="875"/>
      <c r="AR72" s="875"/>
      <c r="AU72" s="80"/>
      <c r="AZ72" s="981" t="s">
        <v>1593</v>
      </c>
    </row>
    <row r="73" spans="1:52" ht="27.2" hidden="1" customHeight="1">
      <c r="E73" s="676">
        <v>27.8</v>
      </c>
      <c r="F73" s="779" cm="1">
        <f t="array" ref="F73">F72</f>
        <v>0</v>
      </c>
      <c r="T73" s="698" t="b" cm="1">
        <f t="array" ref="T73">T72</f>
        <v>0</v>
      </c>
      <c r="X73" s="1687"/>
      <c r="Z73" s="1687"/>
      <c r="AB73" s="235" t="s">
        <v>440</v>
      </c>
      <c r="AC73" s="533" t="s">
        <v>1594</v>
      </c>
      <c r="AD73" s="528" t="s">
        <v>839</v>
      </c>
      <c r="AE73" s="81"/>
      <c r="AF73" s="81"/>
      <c r="AG73" s="360">
        <f>SUM(AH73:AL73)</f>
        <v>0</v>
      </c>
      <c r="AH73" s="874"/>
      <c r="AI73" s="874"/>
      <c r="AJ73" s="874"/>
      <c r="AK73" s="874"/>
      <c r="AL73" s="874"/>
      <c r="AM73" s="360">
        <f>SUM(AN73:AR73)</f>
        <v>0</v>
      </c>
      <c r="AN73" s="875"/>
      <c r="AO73" s="875"/>
      <c r="AP73" s="875"/>
      <c r="AQ73" s="875"/>
      <c r="AR73" s="875"/>
      <c r="AU73" s="80"/>
      <c r="AZ73" s="981" t="s">
        <v>1595</v>
      </c>
    </row>
    <row r="74" spans="1:52" ht="15.4" hidden="1" customHeight="1">
      <c r="E74" s="676">
        <v>15.8</v>
      </c>
      <c r="F74" s="779" cm="1">
        <f t="array" ref="F74">F73</f>
        <v>0</v>
      </c>
      <c r="G74" s="620" t="s">
        <v>1596</v>
      </c>
      <c r="T74" s="698" t="b" cm="1">
        <f t="array" ref="T74">T73</f>
        <v>0</v>
      </c>
      <c r="X74" s="1687"/>
      <c r="Z74" s="1687"/>
      <c r="AB74" s="260" t="s">
        <v>443</v>
      </c>
      <c r="AC74" s="526" t="s">
        <v>1597</v>
      </c>
      <c r="AD74" s="528" t="s">
        <v>839</v>
      </c>
      <c r="AE74" s="360" cm="1">
        <f t="array" ref="AE74">AE73</f>
        <v>0</v>
      </c>
      <c r="AF74" s="360" cm="1">
        <f t="array" ref="AF74">AF73</f>
        <v>0</v>
      </c>
      <c r="AG74" s="360">
        <f t="shared" ref="AG74:AR74" ca="1" si="0">AG72+AG73</f>
        <v>0</v>
      </c>
      <c r="AH74" s="360">
        <f t="shared" si="0"/>
        <v>0</v>
      </c>
      <c r="AI74" s="360">
        <f t="shared" si="0"/>
        <v>0</v>
      </c>
      <c r="AJ74" s="360">
        <f t="shared" si="0"/>
        <v>0</v>
      </c>
      <c r="AK74" s="360">
        <f t="shared" si="0"/>
        <v>0</v>
      </c>
      <c r="AL74" s="360">
        <f t="shared" si="0"/>
        <v>0</v>
      </c>
      <c r="AM74" s="360">
        <f t="shared" ca="1" si="0"/>
        <v>0</v>
      </c>
      <c r="AN74" s="360">
        <f t="shared" si="0"/>
        <v>0</v>
      </c>
      <c r="AO74" s="360">
        <f t="shared" si="0"/>
        <v>0</v>
      </c>
      <c r="AP74" s="360">
        <f t="shared" si="0"/>
        <v>0</v>
      </c>
      <c r="AQ74" s="360">
        <f t="shared" si="0"/>
        <v>0</v>
      </c>
      <c r="AR74" s="360">
        <f t="shared" si="0"/>
        <v>0</v>
      </c>
      <c r="AU74" s="80"/>
      <c r="AZ74" s="981" t="s">
        <v>1598</v>
      </c>
    </row>
    <row r="75" spans="1:52" s="1412" customFormat="1" ht="10.5" customHeight="1">
      <c r="A75" s="170"/>
      <c r="B75" s="170"/>
      <c r="C75" s="170"/>
      <c r="D75" s="170"/>
      <c r="E75" s="676">
        <v>11.4</v>
      </c>
      <c r="F75" s="779" t="str" cm="1">
        <f t="array" ref="F75">X75</f>
        <v>1</v>
      </c>
      <c r="G75" s="170"/>
      <c r="H75" s="170"/>
      <c r="I75" s="170"/>
      <c r="J75" s="170"/>
      <c r="K75" s="170"/>
      <c r="L75" s="170"/>
      <c r="M75" s="170"/>
      <c r="N75" s="170"/>
      <c r="O75" s="170"/>
      <c r="P75" s="170"/>
      <c r="Q75" s="170"/>
      <c r="R75" s="170"/>
      <c r="S75" s="170"/>
      <c r="T75" s="687" t="b">
        <f>X75&gt;0</f>
        <v>1</v>
      </c>
      <c r="U75" s="170"/>
      <c r="V75" s="126" t="str" cm="1">
        <f t="array" ref="V75">'Ресурсы (5.4)'!$AB$37</f>
        <v>Тариф 1 (Теплоснабжение) - Тариф на тепловую энергию (мощность), поставляемую потребителям (Не определено)</v>
      </c>
      <c r="W75" s="170"/>
      <c r="X75" s="1726" t="s">
        <v>341</v>
      </c>
      <c r="Y75" s="170"/>
      <c r="Z75" s="1724"/>
      <c r="AA75" s="170"/>
      <c r="AB75" s="266" t="str" cm="1">
        <f t="array" ref="AB75">IF(ISBLANK('Ресурсы (5.4)'!$AB$37),"",'Ресурсы (5.4)'!$AB$37)</f>
        <v>Тариф 1 (Теплоснабжение) - Тариф на тепловую энергию (мощность), поставляемую потребителям (Не определено)</v>
      </c>
      <c r="AC75" s="267"/>
      <c r="AD75" s="267"/>
      <c r="AE75" s="267"/>
      <c r="AF75" s="267"/>
      <c r="AG75" s="267"/>
      <c r="AH75" s="170"/>
      <c r="AI75" s="170"/>
      <c r="AJ75" s="170"/>
      <c r="AK75" s="170"/>
      <c r="AL75" s="170"/>
      <c r="AM75" s="170"/>
      <c r="AN75" s="170"/>
      <c r="AO75" s="170"/>
      <c r="AP75" s="170"/>
      <c r="AQ75" s="170"/>
      <c r="AR75" s="170"/>
      <c r="AS75" s="170"/>
      <c r="AT75" s="170"/>
      <c r="AU75" s="170"/>
      <c r="AV75" s="170"/>
      <c r="AW75" s="170"/>
      <c r="AX75" s="170"/>
      <c r="AY75" s="170"/>
      <c r="AZ75" s="981"/>
    </row>
    <row r="76" spans="1:52" s="1229" customFormat="1" ht="50.25" customHeight="1">
      <c r="A76" s="1155"/>
      <c r="B76" s="783"/>
      <c r="C76" s="1155"/>
      <c r="D76" s="1155"/>
      <c r="E76" s="676">
        <v>51.8</v>
      </c>
      <c r="F76" s="779" t="str" cm="1">
        <f t="array" ref="F76">F75</f>
        <v>1</v>
      </c>
      <c r="G76" s="814"/>
      <c r="H76" s="814"/>
      <c r="I76" s="814"/>
      <c r="J76" s="814"/>
      <c r="K76" s="814"/>
      <c r="L76" s="814"/>
      <c r="M76" s="814"/>
      <c r="N76" s="814"/>
      <c r="O76" s="814"/>
      <c r="P76" s="814"/>
      <c r="Q76" s="784"/>
      <c r="R76" s="784"/>
      <c r="S76" s="814"/>
      <c r="T76" s="698" t="b" cm="1">
        <f t="array" ref="T76">T75</f>
        <v>1</v>
      </c>
      <c r="U76" s="1155"/>
      <c r="V76" s="1155"/>
      <c r="W76" s="1155"/>
      <c r="X76" s="1687"/>
      <c r="Y76" s="1155"/>
      <c r="Z76" s="1687"/>
      <c r="AA76" s="791"/>
      <c r="AB76" s="271" t="s">
        <v>341</v>
      </c>
      <c r="AC76" s="526" t="s">
        <v>63</v>
      </c>
      <c r="AD76" s="527" t="s">
        <v>1459</v>
      </c>
      <c r="AE76" s="528" t="s">
        <v>1460</v>
      </c>
      <c r="AF76" s="311">
        <f ca="1">AF77-AF115</f>
        <v>0</v>
      </c>
      <c r="AG76" s="311">
        <f>AG77-AG115</f>
        <v>117567.73999999999</v>
      </c>
      <c r="AH76" s="457"/>
      <c r="AI76" s="457"/>
      <c r="AJ76" s="457"/>
      <c r="AK76" s="457"/>
      <c r="AL76" s="457"/>
      <c r="AM76" s="457"/>
      <c r="AN76" s="457"/>
      <c r="AO76" s="457"/>
      <c r="AP76" s="457"/>
      <c r="AQ76" s="457"/>
      <c r="AR76" s="457"/>
      <c r="AS76" s="457"/>
      <c r="AT76" s="457"/>
      <c r="AU76" s="457"/>
      <c r="AV76" s="457"/>
      <c r="AW76" s="457"/>
      <c r="AX76" s="457"/>
      <c r="AY76" s="457"/>
      <c r="AZ76" s="981" t="s">
        <v>1461</v>
      </c>
    </row>
    <row r="77" spans="1:52" s="1229" customFormat="1" ht="51" customHeight="1">
      <c r="A77" s="1155"/>
      <c r="B77" s="783"/>
      <c r="C77" s="1155"/>
      <c r="D77" s="1155"/>
      <c r="E77" s="676">
        <v>52.5</v>
      </c>
      <c r="F77" s="779" t="str" cm="1">
        <f t="array" ref="F77">F76</f>
        <v>1</v>
      </c>
      <c r="G77" s="814"/>
      <c r="H77" s="814"/>
      <c r="I77" s="814"/>
      <c r="J77" s="814"/>
      <c r="K77" s="814"/>
      <c r="L77" s="814"/>
      <c r="M77" s="814"/>
      <c r="N77" s="814"/>
      <c r="O77" s="814"/>
      <c r="P77" s="814"/>
      <c r="Q77" s="784"/>
      <c r="R77" s="784"/>
      <c r="S77" s="814"/>
      <c r="T77" s="698" t="b" cm="1">
        <f t="array" ref="T77">T76</f>
        <v>1</v>
      </c>
      <c r="U77" s="1155"/>
      <c r="V77" s="1155"/>
      <c r="W77" s="1155"/>
      <c r="X77" s="1687"/>
      <c r="Y77" s="1155"/>
      <c r="Z77" s="1687"/>
      <c r="AA77" s="791"/>
      <c r="AB77" s="124" t="s">
        <v>484</v>
      </c>
      <c r="AC77" s="115" t="s">
        <v>1462</v>
      </c>
      <c r="AD77" s="527" t="s">
        <v>1599</v>
      </c>
      <c r="AE77" s="528" t="s">
        <v>1460</v>
      </c>
      <c r="AF77" s="311">
        <f ca="1">AF79+AF80+AF106+AF107+AF109+AF110+AF111+AF112-AF113+AF114</f>
        <v>0</v>
      </c>
      <c r="AG77" s="1291">
        <v>516412.39</v>
      </c>
      <c r="AH77" s="457"/>
      <c r="AI77" s="457"/>
      <c r="AJ77" s="457"/>
      <c r="AK77" s="457"/>
      <c r="AL77" s="457"/>
      <c r="AM77" s="457"/>
      <c r="AN77" s="457"/>
      <c r="AO77" s="457"/>
      <c r="AP77" s="457"/>
      <c r="AQ77" s="457"/>
      <c r="AR77" s="457"/>
      <c r="AS77" s="457"/>
      <c r="AT77" s="457"/>
      <c r="AU77" s="457"/>
      <c r="AV77" s="457"/>
      <c r="AW77" s="457"/>
      <c r="AX77" s="457"/>
      <c r="AY77" s="457"/>
      <c r="AZ77" s="981" t="s">
        <v>1464</v>
      </c>
    </row>
    <row r="78" spans="1:52" s="1229" customFormat="1" ht="27" customHeight="1">
      <c r="A78" s="1155"/>
      <c r="B78" s="783"/>
      <c r="C78" s="1155"/>
      <c r="D78" s="1155"/>
      <c r="E78" s="676">
        <v>27.8</v>
      </c>
      <c r="F78" s="779" t="str" cm="1">
        <f t="array" ref="F78">F77</f>
        <v>1</v>
      </c>
      <c r="G78" s="814"/>
      <c r="H78" s="814"/>
      <c r="I78" s="814"/>
      <c r="J78" s="814"/>
      <c r="K78" s="814"/>
      <c r="L78" s="814"/>
      <c r="M78" s="814"/>
      <c r="N78" s="814"/>
      <c r="O78" s="814"/>
      <c r="P78" s="814"/>
      <c r="Q78" s="784"/>
      <c r="R78" s="784"/>
      <c r="S78" s="814"/>
      <c r="T78" s="698" t="b" cm="1">
        <f t="array" ref="T78">T77</f>
        <v>1</v>
      </c>
      <c r="U78" s="1155"/>
      <c r="V78" s="1155"/>
      <c r="W78" s="1155"/>
      <c r="X78" s="1687"/>
      <c r="Y78" s="1155"/>
      <c r="Z78" s="1687"/>
      <c r="AA78" s="791"/>
      <c r="AB78" s="124"/>
      <c r="AC78" s="534" t="s">
        <v>1465</v>
      </c>
      <c r="AD78" s="529" t="s">
        <v>1600</v>
      </c>
      <c r="AE78" s="528" t="s">
        <v>1460</v>
      </c>
      <c r="AF78" s="1291"/>
      <c r="AG78" s="1291"/>
      <c r="AH78" s="457"/>
      <c r="AI78" s="457"/>
      <c r="AJ78" s="457"/>
      <c r="AK78" s="457"/>
      <c r="AL78" s="457"/>
      <c r="AM78" s="457"/>
      <c r="AN78" s="457"/>
      <c r="AO78" s="457"/>
      <c r="AP78" s="457"/>
      <c r="AQ78" s="457"/>
      <c r="AR78" s="457"/>
      <c r="AS78" s="457"/>
      <c r="AT78" s="457"/>
      <c r="AU78" s="457"/>
      <c r="AV78" s="457"/>
      <c r="AW78" s="457"/>
      <c r="AX78" s="457"/>
      <c r="AY78" s="457"/>
      <c r="AZ78" s="981" t="s">
        <v>1467</v>
      </c>
    </row>
    <row r="79" spans="1:52" s="1229" customFormat="1" ht="29.25" customHeight="1">
      <c r="A79" s="1155"/>
      <c r="B79" s="783"/>
      <c r="C79" s="1155"/>
      <c r="D79" s="1155"/>
      <c r="E79" s="676">
        <v>30</v>
      </c>
      <c r="F79" s="779" t="str" cm="1">
        <f t="array" ref="F79">F78</f>
        <v>1</v>
      </c>
      <c r="G79" s="620" t="s">
        <v>1350</v>
      </c>
      <c r="H79" s="814"/>
      <c r="I79" s="814"/>
      <c r="J79" s="814"/>
      <c r="K79" s="814"/>
      <c r="L79" s="814"/>
      <c r="M79" s="814"/>
      <c r="N79" s="814"/>
      <c r="O79" s="814"/>
      <c r="P79" s="814"/>
      <c r="Q79" s="784"/>
      <c r="R79" s="784"/>
      <c r="S79" s="814"/>
      <c r="T79" s="698" t="b" cm="1">
        <f t="array" ref="T79">T78</f>
        <v>1</v>
      </c>
      <c r="U79" s="1155"/>
      <c r="V79" s="1155"/>
      <c r="W79" s="1155"/>
      <c r="X79" s="1687"/>
      <c r="Y79" s="1155"/>
      <c r="Z79" s="1687"/>
      <c r="AA79" s="791"/>
      <c r="AB79" s="124" t="s">
        <v>1210</v>
      </c>
      <c r="AC79" s="471" t="s">
        <v>1468</v>
      </c>
      <c r="AD79" s="530" t="s">
        <v>1601</v>
      </c>
      <c r="AE79" s="527" t="s">
        <v>1460</v>
      </c>
      <c r="AF79" s="1291">
        <f ca="1">SUMIFS('Операционные (5.1)'!AF$26:AF$103,'Операционные (5.1)'!$F$26:$F$103,$F79,'Операционные (5.1)'!$G$26:$G$103,$G79)</f>
        <v>0</v>
      </c>
      <c r="AG79" s="1291">
        <f ca="1">SUMIFS('Операционные (5.1)'!AG$26:AG$103,'Операционные (5.1)'!$F$26:$F$103,$F79,'Операционные (5.1)'!$G$26:$G$103,$G79)</f>
        <v>0</v>
      </c>
      <c r="AH79" s="457"/>
      <c r="AI79" s="457"/>
      <c r="AJ79" s="457"/>
      <c r="AK79" s="457"/>
      <c r="AL79" s="457"/>
      <c r="AM79" s="457"/>
      <c r="AN79" s="457"/>
      <c r="AO79" s="457"/>
      <c r="AP79" s="457"/>
      <c r="AQ79" s="457"/>
      <c r="AR79" s="457"/>
      <c r="AS79" s="457"/>
      <c r="AT79" s="457"/>
      <c r="AU79" s="457"/>
      <c r="AV79" s="457"/>
      <c r="AW79" s="457"/>
      <c r="AX79" s="457"/>
      <c r="AY79" s="457"/>
      <c r="AZ79" s="981" t="s">
        <v>1470</v>
      </c>
    </row>
    <row r="80" spans="1:52" s="1229" customFormat="1" ht="39.75" customHeight="1">
      <c r="A80" s="1155"/>
      <c r="B80" s="783"/>
      <c r="C80" s="1155"/>
      <c r="D80" s="1155"/>
      <c r="E80" s="676">
        <v>41.3</v>
      </c>
      <c r="F80" s="779" t="str" cm="1">
        <f t="array" ref="F80">F79</f>
        <v>1</v>
      </c>
      <c r="G80" s="814"/>
      <c r="H80" s="814"/>
      <c r="I80" s="814"/>
      <c r="J80" s="814"/>
      <c r="K80" s="814"/>
      <c r="L80" s="814"/>
      <c r="M80" s="814"/>
      <c r="N80" s="814"/>
      <c r="O80" s="814"/>
      <c r="P80" s="814"/>
      <c r="Q80" s="784"/>
      <c r="R80" s="784"/>
      <c r="S80" s="814"/>
      <c r="T80" s="698" t="b" cm="1">
        <f t="array" ref="T80">T79</f>
        <v>1</v>
      </c>
      <c r="U80" s="1155"/>
      <c r="V80" s="1155"/>
      <c r="W80" s="1155"/>
      <c r="X80" s="1687"/>
      <c r="Y80" s="1155"/>
      <c r="Z80" s="1687"/>
      <c r="AA80" s="791"/>
      <c r="AB80" s="124" t="s">
        <v>1214</v>
      </c>
      <c r="AC80" s="471" t="s">
        <v>1471</v>
      </c>
      <c r="AD80" s="530" t="s">
        <v>1472</v>
      </c>
      <c r="AE80" s="527" t="s">
        <v>1460</v>
      </c>
      <c r="AF80" s="311">
        <f ca="1">AF81+AF85</f>
        <v>0</v>
      </c>
      <c r="AG80" s="311">
        <f ca="1">AG81+AG85</f>
        <v>0</v>
      </c>
      <c r="AH80" s="457"/>
      <c r="AI80" s="457"/>
      <c r="AJ80" s="457"/>
      <c r="AK80" s="457"/>
      <c r="AL80" s="457"/>
      <c r="AM80" s="457"/>
      <c r="AN80" s="457"/>
      <c r="AO80" s="457"/>
      <c r="AP80" s="457"/>
      <c r="AQ80" s="457"/>
      <c r="AR80" s="457"/>
      <c r="AS80" s="457"/>
      <c r="AT80" s="457"/>
      <c r="AU80" s="457"/>
      <c r="AV80" s="457"/>
      <c r="AW80" s="457"/>
      <c r="AX80" s="457"/>
      <c r="AY80" s="457"/>
      <c r="AZ80" s="981" t="s">
        <v>1473</v>
      </c>
    </row>
    <row r="81" spans="1:52" s="1229" customFormat="1" ht="55.5" customHeight="1">
      <c r="A81" s="1155"/>
      <c r="B81" s="783"/>
      <c r="C81" s="1155"/>
      <c r="D81" s="1155"/>
      <c r="E81" s="676">
        <v>57</v>
      </c>
      <c r="F81" s="779" t="str" cm="1">
        <f t="array" ref="F81">F80</f>
        <v>1</v>
      </c>
      <c r="G81" s="620" t="s">
        <v>1445</v>
      </c>
      <c r="H81" s="814"/>
      <c r="I81" s="814"/>
      <c r="J81" s="814"/>
      <c r="K81" s="814"/>
      <c r="L81" s="814"/>
      <c r="M81" s="814"/>
      <c r="N81" s="814"/>
      <c r="O81" s="814"/>
      <c r="P81" s="814"/>
      <c r="Q81" s="784"/>
      <c r="R81" s="784"/>
      <c r="S81" s="814"/>
      <c r="T81" s="698" t="b" cm="1">
        <f t="array" ref="T81">T80</f>
        <v>1</v>
      </c>
      <c r="U81" s="1155"/>
      <c r="V81" s="1155"/>
      <c r="W81" s="1155"/>
      <c r="X81" s="1687"/>
      <c r="Y81" s="1155"/>
      <c r="Z81" s="1687"/>
      <c r="AA81" s="791"/>
      <c r="AB81" s="124" t="s">
        <v>1474</v>
      </c>
      <c r="AC81" s="488" t="s">
        <v>1475</v>
      </c>
      <c r="AD81" s="120" t="s">
        <v>1476</v>
      </c>
      <c r="AE81" s="528" t="s">
        <v>1460</v>
      </c>
      <c r="AF81" s="1291">
        <f ca="1">SUMIFS('Ресурсы (5.4)'!AF$26:AF$57,'Ресурсы (5.4)'!$F$26:$F$57,$F81,'Ресурсы (5.4)'!$G$26:$G$57,$G81)</f>
        <v>0</v>
      </c>
      <c r="AG81" s="1291">
        <f ca="1">SUMIFS('Ресурсы (5.4)'!AG$26:AG$57,'Ресурсы (5.4)'!$F$26:$F$57,$F81,'Ресурсы (5.4)'!$G$26:$G$57,$G81)</f>
        <v>0</v>
      </c>
      <c r="AH81" s="457"/>
      <c r="AI81" s="457"/>
      <c r="AJ81" s="457"/>
      <c r="AK81" s="457"/>
      <c r="AL81" s="457"/>
      <c r="AM81" s="457"/>
      <c r="AN81" s="457"/>
      <c r="AO81" s="457"/>
      <c r="AP81" s="457"/>
      <c r="AQ81" s="457"/>
      <c r="AR81" s="457"/>
      <c r="AS81" s="457"/>
      <c r="AT81" s="457"/>
      <c r="AU81" s="457"/>
      <c r="AV81" s="457"/>
      <c r="AW81" s="457"/>
      <c r="AX81" s="457"/>
      <c r="AY81" s="457"/>
      <c r="AZ81" s="981" t="s">
        <v>1477</v>
      </c>
    </row>
    <row r="82" spans="1:52" s="1229" customFormat="1" ht="24.75" customHeight="1">
      <c r="A82" s="1155"/>
      <c r="B82" s="783"/>
      <c r="C82" s="1155"/>
      <c r="D82" s="1155"/>
      <c r="E82" s="676">
        <v>25.5</v>
      </c>
      <c r="F82" s="779" t="str" cm="1">
        <f t="array" ref="F82">F81</f>
        <v>1</v>
      </c>
      <c r="G82" s="814"/>
      <c r="H82" s="814"/>
      <c r="I82" s="814"/>
      <c r="J82" s="814"/>
      <c r="K82" s="814"/>
      <c r="L82" s="814"/>
      <c r="M82" s="814"/>
      <c r="N82" s="814"/>
      <c r="O82" s="814"/>
      <c r="P82" s="814"/>
      <c r="Q82" s="784"/>
      <c r="R82" s="784"/>
      <c r="S82" s="814"/>
      <c r="T82" s="698" t="b" cm="1">
        <f t="array" ref="T82">T81</f>
        <v>1</v>
      </c>
      <c r="U82" s="1155"/>
      <c r="V82" s="1155"/>
      <c r="W82" s="1155"/>
      <c r="X82" s="1687"/>
      <c r="Y82" s="1155"/>
      <c r="Z82" s="1687"/>
      <c r="AA82" s="791"/>
      <c r="AB82" s="124" t="s">
        <v>1478</v>
      </c>
      <c r="AC82" s="532" t="s">
        <v>1479</v>
      </c>
      <c r="AD82" s="120" t="s">
        <v>1480</v>
      </c>
      <c r="AE82" s="528" t="s">
        <v>807</v>
      </c>
      <c r="AF82" s="1291"/>
      <c r="AG82" s="1291"/>
      <c r="AH82" s="457"/>
      <c r="AI82" s="457"/>
      <c r="AJ82" s="457"/>
      <c r="AK82" s="457"/>
      <c r="AL82" s="457"/>
      <c r="AM82" s="457"/>
      <c r="AN82" s="457"/>
      <c r="AO82" s="457"/>
      <c r="AP82" s="457"/>
      <c r="AQ82" s="457"/>
      <c r="AR82" s="457"/>
      <c r="AS82" s="457"/>
      <c r="AT82" s="457"/>
      <c r="AU82" s="457"/>
      <c r="AV82" s="457"/>
      <c r="AW82" s="457"/>
      <c r="AX82" s="457"/>
      <c r="AY82" s="457"/>
      <c r="AZ82" s="981" t="s">
        <v>1481</v>
      </c>
    </row>
    <row r="83" spans="1:52" s="1229" customFormat="1" ht="38.25" customHeight="1">
      <c r="A83" s="1155"/>
      <c r="B83" s="783"/>
      <c r="C83" s="1155"/>
      <c r="D83" s="1155"/>
      <c r="E83" s="676">
        <v>39.799999999999997</v>
      </c>
      <c r="F83" s="779" t="str" cm="1">
        <f t="array" ref="F83">F82</f>
        <v>1</v>
      </c>
      <c r="G83" s="814"/>
      <c r="H83" s="814"/>
      <c r="I83" s="814"/>
      <c r="J83" s="814"/>
      <c r="K83" s="814"/>
      <c r="L83" s="814"/>
      <c r="M83" s="814"/>
      <c r="N83" s="814"/>
      <c r="O83" s="814"/>
      <c r="P83" s="814"/>
      <c r="Q83" s="784"/>
      <c r="R83" s="784"/>
      <c r="S83" s="814"/>
      <c r="T83" s="698" t="b" cm="1">
        <f t="array" ref="T83">T82</f>
        <v>1</v>
      </c>
      <c r="U83" s="1155"/>
      <c r="V83" s="1155"/>
      <c r="W83" s="1155"/>
      <c r="X83" s="1687"/>
      <c r="Y83" s="1155"/>
      <c r="Z83" s="1687"/>
      <c r="AA83" s="791"/>
      <c r="AB83" s="124" t="s">
        <v>1482</v>
      </c>
      <c r="AC83" s="532" t="s">
        <v>1483</v>
      </c>
      <c r="AD83" s="120" t="s">
        <v>1484</v>
      </c>
      <c r="AE83" s="528" t="s">
        <v>634</v>
      </c>
      <c r="AF83" s="1291"/>
      <c r="AG83" s="1291"/>
      <c r="AH83" s="457"/>
      <c r="AI83" s="457"/>
      <c r="AJ83" s="457"/>
      <c r="AK83" s="457"/>
      <c r="AL83" s="457"/>
      <c r="AM83" s="457"/>
      <c r="AN83" s="457"/>
      <c r="AO83" s="457"/>
      <c r="AP83" s="457"/>
      <c r="AQ83" s="457"/>
      <c r="AR83" s="457"/>
      <c r="AS83" s="457"/>
      <c r="AT83" s="457"/>
      <c r="AU83" s="457"/>
      <c r="AV83" s="457"/>
      <c r="AW83" s="457"/>
      <c r="AX83" s="457"/>
      <c r="AY83" s="457"/>
      <c r="AZ83" s="981" t="s">
        <v>1485</v>
      </c>
    </row>
    <row r="84" spans="1:52" s="1229" customFormat="1" ht="23.25" customHeight="1">
      <c r="A84" s="1155"/>
      <c r="B84" s="783"/>
      <c r="C84" s="1155"/>
      <c r="D84" s="1155"/>
      <c r="E84" s="676">
        <v>24</v>
      </c>
      <c r="F84" s="779" t="str" cm="1">
        <f t="array" ref="F84">F83</f>
        <v>1</v>
      </c>
      <c r="G84" s="814"/>
      <c r="H84" s="814"/>
      <c r="I84" s="814"/>
      <c r="J84" s="814"/>
      <c r="K84" s="814"/>
      <c r="L84" s="814"/>
      <c r="M84" s="814"/>
      <c r="N84" s="814"/>
      <c r="O84" s="814"/>
      <c r="P84" s="814"/>
      <c r="Q84" s="784"/>
      <c r="R84" s="784"/>
      <c r="S84" s="814"/>
      <c r="T84" s="698" t="b" cm="1">
        <f t="array" ref="T84">T83</f>
        <v>1</v>
      </c>
      <c r="U84" s="1155"/>
      <c r="V84" s="1155"/>
      <c r="W84" s="1155"/>
      <c r="X84" s="1687"/>
      <c r="Y84" s="1155"/>
      <c r="Z84" s="1687"/>
      <c r="AA84" s="791"/>
      <c r="AB84" s="124" t="s">
        <v>1486</v>
      </c>
      <c r="AC84" s="532" t="s">
        <v>1487</v>
      </c>
      <c r="AD84" s="120" t="s">
        <v>1602</v>
      </c>
      <c r="AE84" s="528" t="s">
        <v>1489</v>
      </c>
      <c r="AF84" s="1291"/>
      <c r="AG84" s="1291"/>
      <c r="AH84" s="457"/>
      <c r="AI84" s="457"/>
      <c r="AJ84" s="457"/>
      <c r="AK84" s="457"/>
      <c r="AL84" s="457"/>
      <c r="AM84" s="457"/>
      <c r="AN84" s="457"/>
      <c r="AO84" s="457"/>
      <c r="AP84" s="457"/>
      <c r="AQ84" s="457"/>
      <c r="AR84" s="457"/>
      <c r="AS84" s="457"/>
      <c r="AT84" s="457"/>
      <c r="AU84" s="457"/>
      <c r="AV84" s="457"/>
      <c r="AW84" s="457"/>
      <c r="AX84" s="457"/>
      <c r="AY84" s="457"/>
      <c r="AZ84" s="981" t="s">
        <v>1490</v>
      </c>
    </row>
    <row r="85" spans="1:52" s="1229" customFormat="1" ht="56.25" customHeight="1">
      <c r="A85" s="1155"/>
      <c r="B85" s="783"/>
      <c r="C85" s="1155"/>
      <c r="D85" s="1155"/>
      <c r="E85" s="676">
        <v>57.8</v>
      </c>
      <c r="F85" s="779" t="str" cm="1">
        <f t="array" ref="F85">F84</f>
        <v>1</v>
      </c>
      <c r="G85" s="814"/>
      <c r="H85" s="814"/>
      <c r="I85" s="814"/>
      <c r="J85" s="814"/>
      <c r="K85" s="814"/>
      <c r="L85" s="814"/>
      <c r="M85" s="814"/>
      <c r="N85" s="814"/>
      <c r="O85" s="814"/>
      <c r="P85" s="814"/>
      <c r="Q85" s="784"/>
      <c r="R85" s="784"/>
      <c r="S85" s="814"/>
      <c r="T85" s="698" t="b" cm="1">
        <f t="array" ref="T85">T84</f>
        <v>1</v>
      </c>
      <c r="U85" s="1155"/>
      <c r="V85" s="1155"/>
      <c r="W85" s="1155"/>
      <c r="X85" s="1687"/>
      <c r="Y85" s="1155"/>
      <c r="Z85" s="1687"/>
      <c r="AA85" s="791"/>
      <c r="AB85" s="124" t="s">
        <v>1491</v>
      </c>
      <c r="AC85" s="471" t="s">
        <v>1492</v>
      </c>
      <c r="AD85" s="120" t="s">
        <v>1493</v>
      </c>
      <c r="AE85" s="528" t="s">
        <v>1460</v>
      </c>
      <c r="AF85" s="311">
        <f ca="1">AF86+AF91+AF96+AF101</f>
        <v>0</v>
      </c>
      <c r="AG85" s="311">
        <f ca="1">AG86+AG91+AG96+AG101</f>
        <v>0</v>
      </c>
      <c r="AH85" s="457"/>
      <c r="AI85" s="457"/>
      <c r="AJ85" s="457"/>
      <c r="AK85" s="457"/>
      <c r="AL85" s="457"/>
      <c r="AM85" s="457"/>
      <c r="AN85" s="457"/>
      <c r="AO85" s="457"/>
      <c r="AP85" s="457"/>
      <c r="AQ85" s="457"/>
      <c r="AR85" s="457"/>
      <c r="AS85" s="457"/>
      <c r="AT85" s="457"/>
      <c r="AU85" s="457"/>
      <c r="AV85" s="457"/>
      <c r="AW85" s="457"/>
      <c r="AX85" s="457"/>
      <c r="AY85" s="457"/>
      <c r="AZ85" s="981" t="s">
        <v>1494</v>
      </c>
    </row>
    <row r="86" spans="1:52" s="1229" customFormat="1" ht="19.5" customHeight="1">
      <c r="A86" s="1155"/>
      <c r="B86" s="783"/>
      <c r="C86" s="1155"/>
      <c r="D86" s="1155"/>
      <c r="E86" s="676">
        <v>20.3</v>
      </c>
      <c r="F86" s="779" t="str" cm="1">
        <f t="array" ref="F86">F85</f>
        <v>1</v>
      </c>
      <c r="G86" s="620" t="s">
        <v>983</v>
      </c>
      <c r="H86" s="814"/>
      <c r="I86" s="814"/>
      <c r="J86" s="814"/>
      <c r="K86" s="814"/>
      <c r="L86" s="814"/>
      <c r="M86" s="814"/>
      <c r="N86" s="814"/>
      <c r="O86" s="814"/>
      <c r="P86" s="814"/>
      <c r="Q86" s="784"/>
      <c r="R86" s="784"/>
      <c r="S86" s="814"/>
      <c r="T86" s="698" t="b" cm="1">
        <f t="array" ref="T86">T85</f>
        <v>1</v>
      </c>
      <c r="U86" s="1155"/>
      <c r="V86" s="1155"/>
      <c r="W86" s="1155"/>
      <c r="X86" s="1687"/>
      <c r="Y86" s="1155"/>
      <c r="Z86" s="1687"/>
      <c r="AA86" s="791"/>
      <c r="AB86" s="124" t="s">
        <v>1495</v>
      </c>
      <c r="AC86" s="488" t="s">
        <v>1496</v>
      </c>
      <c r="AD86" s="530"/>
      <c r="AE86" s="528" t="s">
        <v>1460</v>
      </c>
      <c r="AF86" s="1291">
        <f ca="1">SUMIFS('Ресурсы (5.4)'!AF$26:AF$57,'Ресурсы (5.4)'!$F$26:$F$57,$F86,'Ресурсы (5.4)'!$G$26:$G$57,$G86)</f>
        <v>0</v>
      </c>
      <c r="AG86" s="1291">
        <f ca="1">SUMIFS('Ресурсы (5.4)'!AG$26:AG$57,'Ресурсы (5.4)'!$F$26:$F$57,$F86,'Ресурсы (5.4)'!$G$26:$G$57,$G86)</f>
        <v>0</v>
      </c>
      <c r="AH86" s="457"/>
      <c r="AI86" s="457"/>
      <c r="AJ86" s="457"/>
      <c r="AK86" s="457"/>
      <c r="AL86" s="457"/>
      <c r="AM86" s="457"/>
      <c r="AN86" s="457"/>
      <c r="AO86" s="457"/>
      <c r="AP86" s="457"/>
      <c r="AQ86" s="457"/>
      <c r="AR86" s="457"/>
      <c r="AS86" s="457"/>
      <c r="AT86" s="457"/>
      <c r="AU86" s="457"/>
      <c r="AV86" s="457"/>
      <c r="AW86" s="457"/>
      <c r="AX86" s="457"/>
      <c r="AY86" s="457"/>
      <c r="AZ86" s="981" t="s">
        <v>1497</v>
      </c>
    </row>
    <row r="87" spans="1:52" s="1229" customFormat="1" ht="27" customHeight="1">
      <c r="A87" s="1155"/>
      <c r="B87" s="783"/>
      <c r="C87" s="1155"/>
      <c r="D87" s="1155"/>
      <c r="E87" s="676">
        <v>27.8</v>
      </c>
      <c r="F87" s="779" t="str" cm="1">
        <f t="array" ref="F87">F86</f>
        <v>1</v>
      </c>
      <c r="G87" s="814"/>
      <c r="H87" s="814"/>
      <c r="I87" s="814"/>
      <c r="J87" s="814"/>
      <c r="K87" s="814"/>
      <c r="L87" s="814"/>
      <c r="M87" s="814"/>
      <c r="N87" s="814"/>
      <c r="O87" s="814"/>
      <c r="P87" s="814"/>
      <c r="Q87" s="784"/>
      <c r="R87" s="784"/>
      <c r="S87" s="814"/>
      <c r="T87" s="698" t="b" cm="1">
        <f t="array" ref="T87">T86</f>
        <v>1</v>
      </c>
      <c r="U87" s="1155"/>
      <c r="V87" s="1155"/>
      <c r="W87" s="1155"/>
      <c r="X87" s="1687"/>
      <c r="Y87" s="1155"/>
      <c r="Z87" s="1687"/>
      <c r="AA87" s="791"/>
      <c r="AB87" s="124" t="s">
        <v>1498</v>
      </c>
      <c r="AC87" s="532" t="s">
        <v>1499</v>
      </c>
      <c r="AD87" s="120" t="s">
        <v>1603</v>
      </c>
      <c r="AE87" s="108" t="s">
        <v>1501</v>
      </c>
      <c r="AF87" s="1291"/>
      <c r="AG87" s="1291"/>
      <c r="AH87" s="457"/>
      <c r="AI87" s="457"/>
      <c r="AJ87" s="457"/>
      <c r="AK87" s="457"/>
      <c r="AL87" s="457"/>
      <c r="AM87" s="457"/>
      <c r="AN87" s="457"/>
      <c r="AO87" s="457"/>
      <c r="AP87" s="457"/>
      <c r="AQ87" s="457"/>
      <c r="AR87" s="457"/>
      <c r="AS87" s="457"/>
      <c r="AT87" s="457"/>
      <c r="AU87" s="457"/>
      <c r="AV87" s="457"/>
      <c r="AW87" s="457"/>
      <c r="AX87" s="457"/>
      <c r="AY87" s="457"/>
      <c r="AZ87" s="981" t="s">
        <v>1004</v>
      </c>
    </row>
    <row r="88" spans="1:52" s="1229" customFormat="1" ht="26.25" customHeight="1">
      <c r="A88" s="1155"/>
      <c r="B88" s="783"/>
      <c r="C88" s="1155"/>
      <c r="D88" s="1155"/>
      <c r="E88" s="676">
        <v>27</v>
      </c>
      <c r="F88" s="779" t="str" cm="1">
        <f t="array" ref="F88">F87</f>
        <v>1</v>
      </c>
      <c r="G88" s="814"/>
      <c r="H88" s="814"/>
      <c r="I88" s="814"/>
      <c r="J88" s="814"/>
      <c r="K88" s="814"/>
      <c r="L88" s="814"/>
      <c r="M88" s="814"/>
      <c r="N88" s="814"/>
      <c r="O88" s="814"/>
      <c r="P88" s="814"/>
      <c r="Q88" s="784"/>
      <c r="R88" s="784"/>
      <c r="S88" s="814"/>
      <c r="T88" s="698" t="b" cm="1">
        <f t="array" ref="T88">T87</f>
        <v>1</v>
      </c>
      <c r="U88" s="1155"/>
      <c r="V88" s="1155"/>
      <c r="W88" s="1155"/>
      <c r="X88" s="1687"/>
      <c r="Y88" s="1155"/>
      <c r="Z88" s="1687"/>
      <c r="AA88" s="791"/>
      <c r="AB88" s="124" t="s">
        <v>1502</v>
      </c>
      <c r="AC88" s="532" t="s">
        <v>1503</v>
      </c>
      <c r="AD88" s="120" t="s">
        <v>1604</v>
      </c>
      <c r="AE88" s="528" t="s">
        <v>634</v>
      </c>
      <c r="AF88" s="1291"/>
      <c r="AG88" s="1291"/>
      <c r="AH88" s="457"/>
      <c r="AI88" s="457"/>
      <c r="AJ88" s="457"/>
      <c r="AK88" s="457"/>
      <c r="AL88" s="457"/>
      <c r="AM88" s="457"/>
      <c r="AN88" s="457"/>
      <c r="AO88" s="457"/>
      <c r="AP88" s="457"/>
      <c r="AQ88" s="457"/>
      <c r="AR88" s="457"/>
      <c r="AS88" s="457"/>
      <c r="AT88" s="457"/>
      <c r="AU88" s="457"/>
      <c r="AV88" s="457"/>
      <c r="AW88" s="457"/>
      <c r="AX88" s="457"/>
      <c r="AY88" s="457"/>
      <c r="AZ88" s="981" t="s">
        <v>1505</v>
      </c>
    </row>
    <row r="89" spans="1:52" s="1229" customFormat="1" ht="28.5" customHeight="1">
      <c r="A89" s="1155"/>
      <c r="B89" s="783"/>
      <c r="C89" s="1155"/>
      <c r="D89" s="1155"/>
      <c r="E89" s="676">
        <v>29.3</v>
      </c>
      <c r="F89" s="779" t="str" cm="1">
        <f t="array" ref="F89">F88</f>
        <v>1</v>
      </c>
      <c r="G89" s="814"/>
      <c r="H89" s="814"/>
      <c r="I89" s="814"/>
      <c r="J89" s="814"/>
      <c r="K89" s="814"/>
      <c r="L89" s="814"/>
      <c r="M89" s="814"/>
      <c r="N89" s="814"/>
      <c r="O89" s="814"/>
      <c r="P89" s="814"/>
      <c r="Q89" s="784"/>
      <c r="R89" s="784"/>
      <c r="S89" s="814"/>
      <c r="T89" s="698" t="b" cm="1">
        <f t="array" ref="T89">T88</f>
        <v>1</v>
      </c>
      <c r="U89" s="1155"/>
      <c r="V89" s="1155"/>
      <c r="W89" s="1155"/>
      <c r="X89" s="1687"/>
      <c r="Y89" s="1155"/>
      <c r="Z89" s="1687"/>
      <c r="AA89" s="791"/>
      <c r="AB89" s="124" t="s">
        <v>1506</v>
      </c>
      <c r="AC89" s="532" t="s">
        <v>1507</v>
      </c>
      <c r="AD89" s="120" t="s">
        <v>1605</v>
      </c>
      <c r="AE89" s="528" t="s">
        <v>634</v>
      </c>
      <c r="AF89" s="1291"/>
      <c r="AG89" s="1291"/>
      <c r="AH89" s="457"/>
      <c r="AI89" s="457"/>
      <c r="AJ89" s="457"/>
      <c r="AK89" s="457"/>
      <c r="AL89" s="457"/>
      <c r="AM89" s="457"/>
      <c r="AN89" s="457"/>
      <c r="AO89" s="457"/>
      <c r="AP89" s="457"/>
      <c r="AQ89" s="457"/>
      <c r="AR89" s="457"/>
      <c r="AS89" s="457"/>
      <c r="AT89" s="457"/>
      <c r="AU89" s="457"/>
      <c r="AV89" s="457"/>
      <c r="AW89" s="457"/>
      <c r="AX89" s="457"/>
      <c r="AY89" s="457"/>
      <c r="AZ89" s="981" t="s">
        <v>1509</v>
      </c>
    </row>
    <row r="90" spans="1:52" s="1229" customFormat="1" ht="33" customHeight="1">
      <c r="A90" s="1155"/>
      <c r="B90" s="783"/>
      <c r="C90" s="1155"/>
      <c r="D90" s="1155"/>
      <c r="E90" s="676">
        <v>34.5</v>
      </c>
      <c r="F90" s="779" t="str" cm="1">
        <f t="array" ref="F90">F89</f>
        <v>1</v>
      </c>
      <c r="G90" s="814"/>
      <c r="H90" s="814"/>
      <c r="I90" s="814"/>
      <c r="J90" s="814"/>
      <c r="K90" s="814"/>
      <c r="L90" s="814"/>
      <c r="M90" s="814"/>
      <c r="N90" s="814"/>
      <c r="O90" s="814"/>
      <c r="P90" s="814"/>
      <c r="Q90" s="784"/>
      <c r="R90" s="784"/>
      <c r="S90" s="814"/>
      <c r="T90" s="698" t="b" cm="1">
        <f t="array" ref="T90">T89</f>
        <v>1</v>
      </c>
      <c r="U90" s="1155"/>
      <c r="V90" s="1155"/>
      <c r="W90" s="1155"/>
      <c r="X90" s="1687"/>
      <c r="Y90" s="1155"/>
      <c r="Z90" s="1687"/>
      <c r="AA90" s="791"/>
      <c r="AB90" s="124" t="s">
        <v>1510</v>
      </c>
      <c r="AC90" s="532" t="s">
        <v>1511</v>
      </c>
      <c r="AD90" s="120" t="s">
        <v>1606</v>
      </c>
      <c r="AE90" s="528" t="s">
        <v>993</v>
      </c>
      <c r="AF90" s="1291"/>
      <c r="AG90" s="1291"/>
      <c r="AH90" s="457"/>
      <c r="AI90" s="457"/>
      <c r="AJ90" s="457"/>
      <c r="AK90" s="457"/>
      <c r="AL90" s="457"/>
      <c r="AM90" s="457"/>
      <c r="AN90" s="457"/>
      <c r="AO90" s="457"/>
      <c r="AP90" s="457"/>
      <c r="AQ90" s="457"/>
      <c r="AR90" s="457"/>
      <c r="AS90" s="457"/>
      <c r="AT90" s="457"/>
      <c r="AU90" s="457"/>
      <c r="AV90" s="457"/>
      <c r="AW90" s="457"/>
      <c r="AX90" s="457"/>
      <c r="AY90" s="457"/>
      <c r="AZ90" s="981" t="s">
        <v>1513</v>
      </c>
    </row>
    <row r="91" spans="1:52" s="1229" customFormat="1" ht="16.5" customHeight="1">
      <c r="A91" s="1155"/>
      <c r="B91" s="783"/>
      <c r="C91" s="1155"/>
      <c r="D91" s="1155"/>
      <c r="E91" s="676">
        <v>17.3</v>
      </c>
      <c r="F91" s="779" t="str" cm="1">
        <f t="array" ref="F91">F90</f>
        <v>1</v>
      </c>
      <c r="G91" s="620" t="s">
        <v>1050</v>
      </c>
      <c r="H91" s="814"/>
      <c r="I91" s="814"/>
      <c r="J91" s="814"/>
      <c r="K91" s="814"/>
      <c r="L91" s="814"/>
      <c r="M91" s="814"/>
      <c r="N91" s="814"/>
      <c r="O91" s="814"/>
      <c r="P91" s="814"/>
      <c r="Q91" s="784"/>
      <c r="R91" s="784"/>
      <c r="S91" s="814"/>
      <c r="T91" s="698" t="b" cm="1">
        <f t="array" ref="T91">T90</f>
        <v>1</v>
      </c>
      <c r="U91" s="1155"/>
      <c r="V91" s="1155"/>
      <c r="W91" s="1155"/>
      <c r="X91" s="1687"/>
      <c r="Y91" s="1155"/>
      <c r="Z91" s="1687"/>
      <c r="AA91" s="791"/>
      <c r="AB91" s="124" t="s">
        <v>1514</v>
      </c>
      <c r="AC91" s="488" t="s">
        <v>1515</v>
      </c>
      <c r="AD91" s="530"/>
      <c r="AE91" s="528" t="s">
        <v>1460</v>
      </c>
      <c r="AF91" s="1291">
        <f ca="1">SUMIFS('Ресурсы (5.4)'!AF$26:AF$57,'Ресурсы (5.4)'!$F$26:$F$57,$F91,'Ресурсы (5.4)'!$G$26:$G$57,$G91)</f>
        <v>0</v>
      </c>
      <c r="AG91" s="1291">
        <f ca="1">SUMIFS('Ресурсы (5.4)'!AG$26:AG$57,'Ресурсы (5.4)'!$F$26:$F$57,$F91,'Ресурсы (5.4)'!$G$26:$G$57,$G91)</f>
        <v>0</v>
      </c>
      <c r="AH91" s="457"/>
      <c r="AI91" s="457"/>
      <c r="AJ91" s="457"/>
      <c r="AK91" s="457"/>
      <c r="AL91" s="457"/>
      <c r="AM91" s="457"/>
      <c r="AN91" s="457"/>
      <c r="AO91" s="457"/>
      <c r="AP91" s="457"/>
      <c r="AQ91" s="457"/>
      <c r="AR91" s="457"/>
      <c r="AS91" s="457"/>
      <c r="AT91" s="457"/>
      <c r="AU91" s="457"/>
      <c r="AV91" s="457"/>
      <c r="AW91" s="457"/>
      <c r="AX91" s="457"/>
      <c r="AY91" s="457"/>
      <c r="AZ91" s="981" t="s">
        <v>1516</v>
      </c>
    </row>
    <row r="92" spans="1:52" s="1229" customFormat="1" ht="30" customHeight="1">
      <c r="A92" s="1155"/>
      <c r="B92" s="783"/>
      <c r="C92" s="1155"/>
      <c r="D92" s="1155"/>
      <c r="E92" s="676">
        <v>30.8</v>
      </c>
      <c r="F92" s="779" t="str" cm="1">
        <f t="array" ref="F92">F91</f>
        <v>1</v>
      </c>
      <c r="G92" s="814"/>
      <c r="H92" s="814"/>
      <c r="I92" s="814"/>
      <c r="J92" s="814"/>
      <c r="K92" s="814"/>
      <c r="L92" s="814"/>
      <c r="M92" s="814"/>
      <c r="N92" s="814"/>
      <c r="O92" s="814"/>
      <c r="P92" s="814"/>
      <c r="Q92" s="784"/>
      <c r="R92" s="784"/>
      <c r="S92" s="814"/>
      <c r="T92" s="698" t="b" cm="1">
        <f t="array" ref="T92">T91</f>
        <v>1</v>
      </c>
      <c r="U92" s="1155"/>
      <c r="V92" s="1155"/>
      <c r="W92" s="1155"/>
      <c r="X92" s="1687"/>
      <c r="Y92" s="1155"/>
      <c r="Z92" s="1687"/>
      <c r="AA92" s="791"/>
      <c r="AB92" s="124" t="s">
        <v>1517</v>
      </c>
      <c r="AC92" s="532" t="s">
        <v>1518</v>
      </c>
      <c r="AD92" s="120" t="s">
        <v>1607</v>
      </c>
      <c r="AE92" s="528" t="s">
        <v>1520</v>
      </c>
      <c r="AF92" s="1291"/>
      <c r="AG92" s="1291"/>
      <c r="AH92" s="457"/>
      <c r="AI92" s="457"/>
      <c r="AJ92" s="457"/>
      <c r="AK92" s="457"/>
      <c r="AL92" s="457"/>
      <c r="AM92" s="457"/>
      <c r="AN92" s="457"/>
      <c r="AO92" s="457"/>
      <c r="AP92" s="457"/>
      <c r="AQ92" s="457"/>
      <c r="AR92" s="457"/>
      <c r="AS92" s="457"/>
      <c r="AT92" s="457"/>
      <c r="AU92" s="457"/>
      <c r="AV92" s="457"/>
      <c r="AW92" s="457"/>
      <c r="AX92" s="457"/>
      <c r="AY92" s="457"/>
      <c r="AZ92" s="981" t="s">
        <v>1059</v>
      </c>
    </row>
    <row r="93" spans="1:52" s="1229" customFormat="1" ht="30" customHeight="1">
      <c r="A93" s="1155"/>
      <c r="B93" s="783"/>
      <c r="C93" s="1155"/>
      <c r="D93" s="1155"/>
      <c r="E93" s="676">
        <v>30.8</v>
      </c>
      <c r="F93" s="779" t="str" cm="1">
        <f t="array" ref="F93">F92</f>
        <v>1</v>
      </c>
      <c r="G93" s="814"/>
      <c r="H93" s="814"/>
      <c r="I93" s="814"/>
      <c r="J93" s="814"/>
      <c r="K93" s="814"/>
      <c r="L93" s="814"/>
      <c r="M93" s="814"/>
      <c r="N93" s="814"/>
      <c r="O93" s="814"/>
      <c r="P93" s="814"/>
      <c r="Q93" s="784"/>
      <c r="R93" s="784"/>
      <c r="S93" s="814"/>
      <c r="T93" s="698" t="b" cm="1">
        <f t="array" ref="T93">T92</f>
        <v>1</v>
      </c>
      <c r="U93" s="1155"/>
      <c r="V93" s="1155"/>
      <c r="W93" s="1155"/>
      <c r="X93" s="1687"/>
      <c r="Y93" s="1155"/>
      <c r="Z93" s="1687"/>
      <c r="AA93" s="791"/>
      <c r="AB93" s="124" t="s">
        <v>1521</v>
      </c>
      <c r="AC93" s="532" t="s">
        <v>1503</v>
      </c>
      <c r="AD93" s="120" t="s">
        <v>1604</v>
      </c>
      <c r="AE93" s="528" t="s">
        <v>634</v>
      </c>
      <c r="AF93" s="1291"/>
      <c r="AG93" s="1291"/>
      <c r="AH93" s="457"/>
      <c r="AI93" s="457"/>
      <c r="AJ93" s="457"/>
      <c r="AK93" s="457"/>
      <c r="AL93" s="457"/>
      <c r="AM93" s="457"/>
      <c r="AN93" s="457"/>
      <c r="AO93" s="457"/>
      <c r="AP93" s="457"/>
      <c r="AQ93" s="457"/>
      <c r="AR93" s="457"/>
      <c r="AS93" s="457"/>
      <c r="AT93" s="457"/>
      <c r="AU93" s="457"/>
      <c r="AV93" s="457"/>
      <c r="AW93" s="457"/>
      <c r="AX93" s="457"/>
      <c r="AY93" s="457"/>
      <c r="AZ93" s="981" t="s">
        <v>1522</v>
      </c>
    </row>
    <row r="94" spans="1:52" s="1229" customFormat="1" ht="29.25" customHeight="1">
      <c r="A94" s="1155"/>
      <c r="B94" s="783"/>
      <c r="C94" s="1155"/>
      <c r="D94" s="1155"/>
      <c r="E94" s="676">
        <v>30</v>
      </c>
      <c r="F94" s="779" t="str" cm="1">
        <f t="array" ref="F94">F93</f>
        <v>1</v>
      </c>
      <c r="G94" s="814"/>
      <c r="H94" s="814"/>
      <c r="I94" s="814"/>
      <c r="J94" s="814"/>
      <c r="K94" s="814"/>
      <c r="L94" s="814"/>
      <c r="M94" s="814"/>
      <c r="N94" s="814"/>
      <c r="O94" s="814"/>
      <c r="P94" s="814"/>
      <c r="Q94" s="784"/>
      <c r="R94" s="784"/>
      <c r="S94" s="814"/>
      <c r="T94" s="698" t="b" cm="1">
        <f t="array" ref="T94">T93</f>
        <v>1</v>
      </c>
      <c r="U94" s="1155"/>
      <c r="V94" s="1155"/>
      <c r="W94" s="1155"/>
      <c r="X94" s="1687"/>
      <c r="Y94" s="1155"/>
      <c r="Z94" s="1687"/>
      <c r="AA94" s="791"/>
      <c r="AB94" s="124" t="s">
        <v>1523</v>
      </c>
      <c r="AC94" s="532" t="s">
        <v>1507</v>
      </c>
      <c r="AD94" s="120" t="s">
        <v>1605</v>
      </c>
      <c r="AE94" s="528" t="s">
        <v>634</v>
      </c>
      <c r="AF94" s="1291"/>
      <c r="AG94" s="1291"/>
      <c r="AH94" s="457"/>
      <c r="AI94" s="457"/>
      <c r="AJ94" s="457"/>
      <c r="AK94" s="457"/>
      <c r="AL94" s="457"/>
      <c r="AM94" s="457"/>
      <c r="AN94" s="457"/>
      <c r="AO94" s="457"/>
      <c r="AP94" s="457"/>
      <c r="AQ94" s="457"/>
      <c r="AR94" s="457"/>
      <c r="AS94" s="457"/>
      <c r="AT94" s="457"/>
      <c r="AU94" s="457"/>
      <c r="AV94" s="457"/>
      <c r="AW94" s="457"/>
      <c r="AX94" s="457"/>
      <c r="AY94" s="457"/>
      <c r="AZ94" s="981" t="s">
        <v>1524</v>
      </c>
    </row>
    <row r="95" spans="1:52" s="1229" customFormat="1" ht="21" customHeight="1">
      <c r="A95" s="1155"/>
      <c r="B95" s="783"/>
      <c r="C95" s="1155"/>
      <c r="D95" s="1155"/>
      <c r="E95" s="676">
        <v>21.8</v>
      </c>
      <c r="F95" s="779" t="str" cm="1">
        <f t="array" ref="F95">F94</f>
        <v>1</v>
      </c>
      <c r="G95" s="814"/>
      <c r="H95" s="814"/>
      <c r="I95" s="814"/>
      <c r="J95" s="814"/>
      <c r="K95" s="814"/>
      <c r="L95" s="814"/>
      <c r="M95" s="814"/>
      <c r="N95" s="814"/>
      <c r="O95" s="814"/>
      <c r="P95" s="814"/>
      <c r="Q95" s="784"/>
      <c r="R95" s="784"/>
      <c r="S95" s="814"/>
      <c r="T95" s="698" t="b" cm="1">
        <f t="array" ref="T95">T94</f>
        <v>1</v>
      </c>
      <c r="U95" s="1155"/>
      <c r="V95" s="1155"/>
      <c r="W95" s="1155"/>
      <c r="X95" s="1687"/>
      <c r="Y95" s="1155"/>
      <c r="Z95" s="1687"/>
      <c r="AA95" s="791"/>
      <c r="AB95" s="124" t="s">
        <v>1525</v>
      </c>
      <c r="AC95" s="532" t="s">
        <v>1526</v>
      </c>
      <c r="AD95" s="120" t="s">
        <v>1606</v>
      </c>
      <c r="AE95" s="528" t="s">
        <v>1527</v>
      </c>
      <c r="AF95" s="1291"/>
      <c r="AG95" s="1291"/>
      <c r="AH95" s="457"/>
      <c r="AI95" s="457"/>
      <c r="AJ95" s="457"/>
      <c r="AK95" s="457"/>
      <c r="AL95" s="457"/>
      <c r="AM95" s="457"/>
      <c r="AN95" s="457"/>
      <c r="AO95" s="457"/>
      <c r="AP95" s="457"/>
      <c r="AQ95" s="457"/>
      <c r="AR95" s="457"/>
      <c r="AS95" s="457"/>
      <c r="AT95" s="457"/>
      <c r="AU95" s="457"/>
      <c r="AV95" s="457"/>
      <c r="AW95" s="457"/>
      <c r="AX95" s="457"/>
      <c r="AY95" s="457"/>
      <c r="AZ95" s="981" t="s">
        <v>1528</v>
      </c>
    </row>
    <row r="96" spans="1:52" s="1229" customFormat="1" ht="15.75" customHeight="1">
      <c r="A96" s="1155"/>
      <c r="B96" s="783"/>
      <c r="C96" s="1155"/>
      <c r="D96" s="1155"/>
      <c r="E96" s="676">
        <v>16.5</v>
      </c>
      <c r="F96" s="779" t="str" cm="1">
        <f t="array" ref="F96">F95</f>
        <v>1</v>
      </c>
      <c r="G96" s="620" t="s">
        <v>1018</v>
      </c>
      <c r="H96" s="814"/>
      <c r="I96" s="814"/>
      <c r="J96" s="814"/>
      <c r="K96" s="814"/>
      <c r="L96" s="814"/>
      <c r="M96" s="814"/>
      <c r="N96" s="814"/>
      <c r="O96" s="814"/>
      <c r="P96" s="814"/>
      <c r="Q96" s="784"/>
      <c r="R96" s="784"/>
      <c r="S96" s="814"/>
      <c r="T96" s="698" t="b" cm="1">
        <f t="array" ref="T96">T95</f>
        <v>1</v>
      </c>
      <c r="U96" s="1155"/>
      <c r="V96" s="1155"/>
      <c r="W96" s="1155"/>
      <c r="X96" s="1687"/>
      <c r="Y96" s="1155"/>
      <c r="Z96" s="1687"/>
      <c r="AA96" s="791"/>
      <c r="AB96" s="124" t="s">
        <v>1529</v>
      </c>
      <c r="AC96" s="488" t="s">
        <v>1530</v>
      </c>
      <c r="AD96" s="530"/>
      <c r="AE96" s="528" t="s">
        <v>1460</v>
      </c>
      <c r="AF96" s="1291">
        <f ca="1">SUMIFS('Ресурсы (5.4)'!AF$26:AF$57,'Ресурсы (5.4)'!$F$26:$F$57,$F96,'Ресурсы (5.4)'!$G$26:$G$57,$G96)</f>
        <v>0</v>
      </c>
      <c r="AG96" s="1291">
        <f ca="1">SUMIFS('Ресурсы (5.4)'!AG$26:AG$57,'Ресурсы (5.4)'!$F$26:$F$57,$F96,'Ресурсы (5.4)'!$G$26:$G$57,$G96)</f>
        <v>0</v>
      </c>
      <c r="AH96" s="457"/>
      <c r="AI96" s="457"/>
      <c r="AJ96" s="457"/>
      <c r="AK96" s="457"/>
      <c r="AL96" s="457"/>
      <c r="AM96" s="457"/>
      <c r="AN96" s="457"/>
      <c r="AO96" s="457"/>
      <c r="AP96" s="457"/>
      <c r="AQ96" s="457"/>
      <c r="AR96" s="457"/>
      <c r="AS96" s="457"/>
      <c r="AT96" s="457"/>
      <c r="AU96" s="457"/>
      <c r="AV96" s="457"/>
      <c r="AW96" s="457"/>
      <c r="AX96" s="457"/>
      <c r="AY96" s="457"/>
      <c r="AZ96" s="981" t="s">
        <v>1531</v>
      </c>
    </row>
    <row r="97" spans="1:52" s="1229" customFormat="1" ht="28.5" customHeight="1">
      <c r="A97" s="1155"/>
      <c r="B97" s="783"/>
      <c r="C97" s="1155"/>
      <c r="D97" s="1155"/>
      <c r="E97" s="676">
        <v>29.3</v>
      </c>
      <c r="F97" s="779" t="str" cm="1">
        <f t="array" ref="F97">F96</f>
        <v>1</v>
      </c>
      <c r="G97" s="814"/>
      <c r="H97" s="814"/>
      <c r="I97" s="814"/>
      <c r="J97" s="814"/>
      <c r="K97" s="814"/>
      <c r="L97" s="814"/>
      <c r="M97" s="814"/>
      <c r="N97" s="814"/>
      <c r="O97" s="814"/>
      <c r="P97" s="814"/>
      <c r="Q97" s="784"/>
      <c r="R97" s="784"/>
      <c r="S97" s="814"/>
      <c r="T97" s="698" t="b" cm="1">
        <f t="array" ref="T97">T96</f>
        <v>1</v>
      </c>
      <c r="U97" s="1155"/>
      <c r="V97" s="1155"/>
      <c r="W97" s="1155"/>
      <c r="X97" s="1687"/>
      <c r="Y97" s="1155"/>
      <c r="Z97" s="1687"/>
      <c r="AA97" s="791"/>
      <c r="AB97" s="124" t="s">
        <v>1532</v>
      </c>
      <c r="AC97" s="532" t="s">
        <v>1533</v>
      </c>
      <c r="AD97" s="120" t="s">
        <v>1608</v>
      </c>
      <c r="AE97" s="528" t="s">
        <v>634</v>
      </c>
      <c r="AF97" s="1291"/>
      <c r="AG97" s="1291"/>
      <c r="AH97" s="457"/>
      <c r="AI97" s="457"/>
      <c r="AJ97" s="457"/>
      <c r="AK97" s="457"/>
      <c r="AL97" s="457"/>
      <c r="AM97" s="457"/>
      <c r="AN97" s="457"/>
      <c r="AO97" s="457"/>
      <c r="AP97" s="457"/>
      <c r="AQ97" s="457"/>
      <c r="AR97" s="457"/>
      <c r="AS97" s="457"/>
      <c r="AT97" s="457"/>
      <c r="AU97" s="457"/>
      <c r="AV97" s="457"/>
      <c r="AW97" s="457"/>
      <c r="AX97" s="457"/>
      <c r="AY97" s="457"/>
      <c r="AZ97" s="981" t="s">
        <v>1040</v>
      </c>
    </row>
    <row r="98" spans="1:52" s="1229" customFormat="1" ht="30" customHeight="1">
      <c r="A98" s="1155"/>
      <c r="B98" s="783"/>
      <c r="C98" s="1155"/>
      <c r="D98" s="1155"/>
      <c r="E98" s="676">
        <v>31.5</v>
      </c>
      <c r="F98" s="779" t="str" cm="1">
        <f t="array" ref="F98">F97</f>
        <v>1</v>
      </c>
      <c r="G98" s="814"/>
      <c r="H98" s="814"/>
      <c r="I98" s="814"/>
      <c r="J98" s="814"/>
      <c r="K98" s="814"/>
      <c r="L98" s="814"/>
      <c r="M98" s="814"/>
      <c r="N98" s="814"/>
      <c r="O98" s="814"/>
      <c r="P98" s="814"/>
      <c r="Q98" s="784"/>
      <c r="R98" s="784"/>
      <c r="S98" s="814"/>
      <c r="T98" s="698" t="b" cm="1">
        <f t="array" ref="T98">T97</f>
        <v>1</v>
      </c>
      <c r="U98" s="1155"/>
      <c r="V98" s="1155"/>
      <c r="W98" s="1155"/>
      <c r="X98" s="1687"/>
      <c r="Y98" s="1155"/>
      <c r="Z98" s="1687"/>
      <c r="AA98" s="791"/>
      <c r="AB98" s="124" t="s">
        <v>1535</v>
      </c>
      <c r="AC98" s="532" t="s">
        <v>1503</v>
      </c>
      <c r="AD98" s="120" t="s">
        <v>1604</v>
      </c>
      <c r="AE98" s="528" t="s">
        <v>634</v>
      </c>
      <c r="AF98" s="1291"/>
      <c r="AG98" s="1291"/>
      <c r="AH98" s="457"/>
      <c r="AI98" s="457"/>
      <c r="AJ98" s="457"/>
      <c r="AK98" s="457"/>
      <c r="AL98" s="457"/>
      <c r="AM98" s="457"/>
      <c r="AN98" s="457"/>
      <c r="AO98" s="457"/>
      <c r="AP98" s="457"/>
      <c r="AQ98" s="457"/>
      <c r="AR98" s="457"/>
      <c r="AS98" s="457"/>
      <c r="AT98" s="457"/>
      <c r="AU98" s="457"/>
      <c r="AV98" s="457"/>
      <c r="AW98" s="457"/>
      <c r="AX98" s="457"/>
      <c r="AY98" s="457"/>
      <c r="AZ98" s="981" t="s">
        <v>1485</v>
      </c>
    </row>
    <row r="99" spans="1:52" s="1229" customFormat="1" ht="27.75" customHeight="1">
      <c r="A99" s="1155"/>
      <c r="B99" s="783"/>
      <c r="C99" s="1155"/>
      <c r="D99" s="1155"/>
      <c r="E99" s="676">
        <v>28.5</v>
      </c>
      <c r="F99" s="779" t="str" cm="1">
        <f t="array" ref="F99">F98</f>
        <v>1</v>
      </c>
      <c r="G99" s="814"/>
      <c r="H99" s="814"/>
      <c r="I99" s="814"/>
      <c r="J99" s="814"/>
      <c r="K99" s="814"/>
      <c r="L99" s="814"/>
      <c r="M99" s="814"/>
      <c r="N99" s="814"/>
      <c r="O99" s="814"/>
      <c r="P99" s="814"/>
      <c r="Q99" s="784"/>
      <c r="R99" s="784"/>
      <c r="S99" s="814"/>
      <c r="T99" s="698" t="b" cm="1">
        <f t="array" ref="T99">T98</f>
        <v>1</v>
      </c>
      <c r="U99" s="1155"/>
      <c r="V99" s="1155"/>
      <c r="W99" s="1155"/>
      <c r="X99" s="1687"/>
      <c r="Y99" s="1155"/>
      <c r="Z99" s="1687"/>
      <c r="AA99" s="791"/>
      <c r="AB99" s="124" t="s">
        <v>1536</v>
      </c>
      <c r="AC99" s="532" t="s">
        <v>1507</v>
      </c>
      <c r="AD99" s="120" t="s">
        <v>1605</v>
      </c>
      <c r="AE99" s="528" t="s">
        <v>634</v>
      </c>
      <c r="AF99" s="1291"/>
      <c r="AG99" s="1291"/>
      <c r="AH99" s="457"/>
      <c r="AI99" s="457"/>
      <c r="AJ99" s="457"/>
      <c r="AK99" s="457"/>
      <c r="AL99" s="457"/>
      <c r="AM99" s="457"/>
      <c r="AN99" s="457"/>
      <c r="AO99" s="457"/>
      <c r="AP99" s="457"/>
      <c r="AQ99" s="457"/>
      <c r="AR99" s="457"/>
      <c r="AS99" s="457"/>
      <c r="AT99" s="457"/>
      <c r="AU99" s="457"/>
      <c r="AV99" s="457"/>
      <c r="AW99" s="457"/>
      <c r="AX99" s="457"/>
      <c r="AY99" s="457"/>
      <c r="AZ99" s="981" t="s">
        <v>1537</v>
      </c>
    </row>
    <row r="100" spans="1:52" s="1229" customFormat="1" ht="21.75" customHeight="1">
      <c r="A100" s="1155"/>
      <c r="B100" s="783"/>
      <c r="C100" s="1155"/>
      <c r="D100" s="1155"/>
      <c r="E100" s="676">
        <v>22.8</v>
      </c>
      <c r="F100" s="779" t="str" cm="1">
        <f t="array" ref="F100">F99</f>
        <v>1</v>
      </c>
      <c r="G100" s="814"/>
      <c r="H100" s="814"/>
      <c r="I100" s="814"/>
      <c r="J100" s="814"/>
      <c r="K100" s="814"/>
      <c r="L100" s="814"/>
      <c r="M100" s="814"/>
      <c r="N100" s="814"/>
      <c r="O100" s="814"/>
      <c r="P100" s="814"/>
      <c r="Q100" s="784"/>
      <c r="R100" s="784"/>
      <c r="S100" s="814"/>
      <c r="T100" s="698" t="b" cm="1">
        <f t="array" ref="T100">T99</f>
        <v>1</v>
      </c>
      <c r="U100" s="1155"/>
      <c r="V100" s="1155"/>
      <c r="W100" s="1155"/>
      <c r="X100" s="1687"/>
      <c r="Y100" s="1155"/>
      <c r="Z100" s="1687"/>
      <c r="AA100" s="791"/>
      <c r="AB100" s="124" t="s">
        <v>1538</v>
      </c>
      <c r="AC100" s="532" t="s">
        <v>1539</v>
      </c>
      <c r="AD100" s="120" t="s">
        <v>1606</v>
      </c>
      <c r="AE100" s="528" t="s">
        <v>929</v>
      </c>
      <c r="AF100" s="1291"/>
      <c r="AG100" s="1291"/>
      <c r="AH100" s="457"/>
      <c r="AI100" s="457"/>
      <c r="AJ100" s="457"/>
      <c r="AK100" s="457"/>
      <c r="AL100" s="457"/>
      <c r="AM100" s="457"/>
      <c r="AN100" s="457"/>
      <c r="AO100" s="457"/>
      <c r="AP100" s="457"/>
      <c r="AQ100" s="457"/>
      <c r="AR100" s="457"/>
      <c r="AS100" s="457"/>
      <c r="AT100" s="457"/>
      <c r="AU100" s="457"/>
      <c r="AV100" s="457"/>
      <c r="AW100" s="457"/>
      <c r="AX100" s="457"/>
      <c r="AY100" s="457"/>
      <c r="AZ100" s="981" t="s">
        <v>1540</v>
      </c>
    </row>
    <row r="101" spans="1:52" s="1229" customFormat="1" ht="15.75" customHeight="1">
      <c r="A101" s="1155"/>
      <c r="B101" s="783"/>
      <c r="C101" s="1155"/>
      <c r="D101" s="1155"/>
      <c r="E101" s="676">
        <v>16.5</v>
      </c>
      <c r="F101" s="779" t="str" cm="1">
        <f t="array" ref="F101">F100</f>
        <v>1</v>
      </c>
      <c r="G101" s="620" t="s">
        <v>1061</v>
      </c>
      <c r="H101" s="814"/>
      <c r="I101" s="814"/>
      <c r="J101" s="814"/>
      <c r="K101" s="814"/>
      <c r="L101" s="814"/>
      <c r="M101" s="814"/>
      <c r="N101" s="814"/>
      <c r="O101" s="814"/>
      <c r="P101" s="814"/>
      <c r="Q101" s="784"/>
      <c r="R101" s="784"/>
      <c r="S101" s="814"/>
      <c r="T101" s="698" t="b" cm="1">
        <f t="array" ref="T101">T100</f>
        <v>1</v>
      </c>
      <c r="U101" s="1155"/>
      <c r="V101" s="1155"/>
      <c r="W101" s="1155"/>
      <c r="X101" s="1687"/>
      <c r="Y101" s="1155"/>
      <c r="Z101" s="1687"/>
      <c r="AA101" s="791"/>
      <c r="AB101" s="124" t="s">
        <v>1541</v>
      </c>
      <c r="AC101" s="488" t="s">
        <v>1542</v>
      </c>
      <c r="AD101" s="530"/>
      <c r="AE101" s="528" t="s">
        <v>1460</v>
      </c>
      <c r="AF101" s="1291">
        <f ca="1">SUMIFS('Ресурсы (5.4)'!AF$26:AF$57,'Ресурсы (5.4)'!$F$26:$F$57,$F101,'Ресурсы (5.4)'!$G$26:$G$57,$G101)</f>
        <v>0</v>
      </c>
      <c r="AG101" s="1291">
        <f ca="1">SUMIFS('Ресурсы (5.4)'!AG$26:AG$57,'Ресурсы (5.4)'!$F$26:$F$57,$F101,'Ресурсы (5.4)'!$G$26:$G$57,$G101)</f>
        <v>0</v>
      </c>
      <c r="AH101" s="457"/>
      <c r="AI101" s="457"/>
      <c r="AJ101" s="457"/>
      <c r="AK101" s="457"/>
      <c r="AL101" s="457"/>
      <c r="AM101" s="457"/>
      <c r="AN101" s="457"/>
      <c r="AO101" s="457"/>
      <c r="AP101" s="457"/>
      <c r="AQ101" s="457"/>
      <c r="AR101" s="457"/>
      <c r="AS101" s="457"/>
      <c r="AT101" s="457"/>
      <c r="AU101" s="457"/>
      <c r="AV101" s="457"/>
      <c r="AW101" s="457"/>
      <c r="AX101" s="457"/>
      <c r="AY101" s="457"/>
      <c r="AZ101" s="981" t="s">
        <v>1543</v>
      </c>
    </row>
    <row r="102" spans="1:52" s="1229" customFormat="1" ht="28.5" customHeight="1">
      <c r="A102" s="1155"/>
      <c r="B102" s="783"/>
      <c r="C102" s="1155"/>
      <c r="D102" s="1155"/>
      <c r="E102" s="676">
        <v>29.3</v>
      </c>
      <c r="F102" s="779" t="str" cm="1">
        <f t="array" ref="F102">F101</f>
        <v>1</v>
      </c>
      <c r="G102" s="814"/>
      <c r="H102" s="814"/>
      <c r="I102" s="814"/>
      <c r="J102" s="814"/>
      <c r="K102" s="814"/>
      <c r="L102" s="814"/>
      <c r="M102" s="814"/>
      <c r="N102" s="814"/>
      <c r="O102" s="814"/>
      <c r="P102" s="814"/>
      <c r="Q102" s="784"/>
      <c r="R102" s="784"/>
      <c r="S102" s="814"/>
      <c r="T102" s="698" t="b" cm="1">
        <f t="array" ref="T102">T101</f>
        <v>1</v>
      </c>
      <c r="U102" s="1155"/>
      <c r="V102" s="1155"/>
      <c r="W102" s="1155"/>
      <c r="X102" s="1687"/>
      <c r="Y102" s="1155"/>
      <c r="Z102" s="1687"/>
      <c r="AA102" s="791"/>
      <c r="AB102" s="124" t="s">
        <v>1544</v>
      </c>
      <c r="AC102" s="532" t="s">
        <v>1545</v>
      </c>
      <c r="AD102" s="120" t="s">
        <v>1608</v>
      </c>
      <c r="AE102" s="528" t="s">
        <v>1520</v>
      </c>
      <c r="AF102" s="1291"/>
      <c r="AG102" s="1291"/>
      <c r="AH102" s="457"/>
      <c r="AI102" s="457"/>
      <c r="AJ102" s="457"/>
      <c r="AK102" s="457"/>
      <c r="AL102" s="457"/>
      <c r="AM102" s="457"/>
      <c r="AN102" s="457"/>
      <c r="AO102" s="457"/>
      <c r="AP102" s="457"/>
      <c r="AQ102" s="457"/>
      <c r="AR102" s="457"/>
      <c r="AS102" s="457"/>
      <c r="AT102" s="457"/>
      <c r="AU102" s="457"/>
      <c r="AV102" s="457"/>
      <c r="AW102" s="457"/>
      <c r="AX102" s="457"/>
      <c r="AY102" s="457"/>
      <c r="AZ102" s="981" t="s">
        <v>1068</v>
      </c>
    </row>
    <row r="103" spans="1:52" s="1229" customFormat="1" ht="30" customHeight="1">
      <c r="A103" s="1155"/>
      <c r="B103" s="783"/>
      <c r="C103" s="1155"/>
      <c r="D103" s="1155"/>
      <c r="E103" s="676">
        <v>31.5</v>
      </c>
      <c r="F103" s="779" t="str" cm="1">
        <f t="array" ref="F103">F102</f>
        <v>1</v>
      </c>
      <c r="G103" s="814"/>
      <c r="H103" s="814"/>
      <c r="I103" s="814"/>
      <c r="J103" s="814"/>
      <c r="K103" s="814"/>
      <c r="L103" s="814"/>
      <c r="M103" s="814"/>
      <c r="N103" s="814"/>
      <c r="O103" s="814"/>
      <c r="P103" s="814"/>
      <c r="Q103" s="784"/>
      <c r="R103" s="784"/>
      <c r="S103" s="814"/>
      <c r="T103" s="698" t="b" cm="1">
        <f t="array" ref="T103">T102</f>
        <v>1</v>
      </c>
      <c r="U103" s="1155"/>
      <c r="V103" s="1155"/>
      <c r="W103" s="1155"/>
      <c r="X103" s="1687"/>
      <c r="Y103" s="1155"/>
      <c r="Z103" s="1687"/>
      <c r="AA103" s="791"/>
      <c r="AB103" s="124" t="s">
        <v>1546</v>
      </c>
      <c r="AC103" s="532" t="s">
        <v>1503</v>
      </c>
      <c r="AD103" s="120" t="s">
        <v>1604</v>
      </c>
      <c r="AE103" s="528" t="s">
        <v>634</v>
      </c>
      <c r="AF103" s="1291"/>
      <c r="AG103" s="1291"/>
      <c r="AH103" s="457"/>
      <c r="AI103" s="457"/>
      <c r="AJ103" s="457"/>
      <c r="AK103" s="457"/>
      <c r="AL103" s="457"/>
      <c r="AM103" s="457"/>
      <c r="AN103" s="457"/>
      <c r="AO103" s="457"/>
      <c r="AP103" s="457"/>
      <c r="AQ103" s="457"/>
      <c r="AR103" s="457"/>
      <c r="AS103" s="457"/>
      <c r="AT103" s="457"/>
      <c r="AU103" s="457"/>
      <c r="AV103" s="457"/>
      <c r="AW103" s="457"/>
      <c r="AX103" s="457"/>
      <c r="AY103" s="457"/>
      <c r="AZ103" s="981" t="s">
        <v>1547</v>
      </c>
    </row>
    <row r="104" spans="1:52" s="1229" customFormat="1" ht="27.75" customHeight="1">
      <c r="A104" s="1155"/>
      <c r="B104" s="783"/>
      <c r="C104" s="1155"/>
      <c r="D104" s="1155"/>
      <c r="E104" s="676">
        <v>28.5</v>
      </c>
      <c r="F104" s="779" t="str" cm="1">
        <f t="array" ref="F104">F103</f>
        <v>1</v>
      </c>
      <c r="G104" s="814"/>
      <c r="H104" s="814"/>
      <c r="I104" s="814"/>
      <c r="J104" s="814"/>
      <c r="K104" s="814"/>
      <c r="L104" s="814"/>
      <c r="M104" s="814"/>
      <c r="N104" s="814"/>
      <c r="O104" s="814"/>
      <c r="P104" s="814"/>
      <c r="Q104" s="784"/>
      <c r="R104" s="784"/>
      <c r="S104" s="814"/>
      <c r="T104" s="698" t="b" cm="1">
        <f t="array" ref="T104">T103</f>
        <v>1</v>
      </c>
      <c r="U104" s="1155"/>
      <c r="V104" s="1155"/>
      <c r="W104" s="1155"/>
      <c r="X104" s="1687"/>
      <c r="Y104" s="1155"/>
      <c r="Z104" s="1687"/>
      <c r="AA104" s="791"/>
      <c r="AB104" s="124" t="s">
        <v>1548</v>
      </c>
      <c r="AC104" s="532" t="s">
        <v>1507</v>
      </c>
      <c r="AD104" s="120" t="s">
        <v>1605</v>
      </c>
      <c r="AE104" s="528" t="s">
        <v>634</v>
      </c>
      <c r="AF104" s="1291"/>
      <c r="AG104" s="1291"/>
      <c r="AH104" s="457"/>
      <c r="AI104" s="457"/>
      <c r="AJ104" s="457"/>
      <c r="AK104" s="457"/>
      <c r="AL104" s="457"/>
      <c r="AM104" s="457"/>
      <c r="AN104" s="457"/>
      <c r="AO104" s="457"/>
      <c r="AP104" s="457"/>
      <c r="AQ104" s="457"/>
      <c r="AR104" s="457"/>
      <c r="AS104" s="457"/>
      <c r="AT104" s="457"/>
      <c r="AU104" s="457"/>
      <c r="AV104" s="457"/>
      <c r="AW104" s="457"/>
      <c r="AX104" s="457"/>
      <c r="AY104" s="457"/>
      <c r="AZ104" s="981" t="s">
        <v>1549</v>
      </c>
    </row>
    <row r="105" spans="1:52" s="1229" customFormat="1" ht="21.75" customHeight="1">
      <c r="A105" s="1155"/>
      <c r="B105" s="783"/>
      <c r="C105" s="1155"/>
      <c r="D105" s="1155"/>
      <c r="E105" s="676">
        <v>22.8</v>
      </c>
      <c r="F105" s="779" t="str" cm="1">
        <f t="array" ref="F105">F104</f>
        <v>1</v>
      </c>
      <c r="G105" s="814"/>
      <c r="H105" s="814"/>
      <c r="I105" s="814"/>
      <c r="J105" s="814"/>
      <c r="K105" s="814"/>
      <c r="L105" s="814"/>
      <c r="M105" s="814"/>
      <c r="N105" s="814"/>
      <c r="O105" s="814"/>
      <c r="P105" s="814"/>
      <c r="Q105" s="784"/>
      <c r="R105" s="784"/>
      <c r="S105" s="814"/>
      <c r="T105" s="698" t="b" cm="1">
        <f t="array" ref="T105">T104</f>
        <v>1</v>
      </c>
      <c r="U105" s="1155"/>
      <c r="V105" s="1155"/>
      <c r="W105" s="1155"/>
      <c r="X105" s="1687"/>
      <c r="Y105" s="1155"/>
      <c r="Z105" s="1687"/>
      <c r="AA105" s="791"/>
      <c r="AB105" s="124" t="s">
        <v>1550</v>
      </c>
      <c r="AC105" s="532" t="s">
        <v>1551</v>
      </c>
      <c r="AD105" s="120" t="s">
        <v>1606</v>
      </c>
      <c r="AE105" s="528" t="s">
        <v>1527</v>
      </c>
      <c r="AF105" s="1291"/>
      <c r="AG105" s="1291"/>
      <c r="AH105" s="457"/>
      <c r="AI105" s="457"/>
      <c r="AJ105" s="457"/>
      <c r="AK105" s="457"/>
      <c r="AL105" s="457"/>
      <c r="AM105" s="457"/>
      <c r="AN105" s="457"/>
      <c r="AO105" s="457"/>
      <c r="AP105" s="457"/>
      <c r="AQ105" s="457"/>
      <c r="AR105" s="457"/>
      <c r="AS105" s="457"/>
      <c r="AT105" s="457"/>
      <c r="AU105" s="457"/>
      <c r="AV105" s="457"/>
      <c r="AW105" s="457"/>
      <c r="AX105" s="457"/>
      <c r="AY105" s="457"/>
      <c r="AZ105" s="981" t="s">
        <v>1552</v>
      </c>
    </row>
    <row r="106" spans="1:52" s="1229" customFormat="1" ht="36.75" customHeight="1">
      <c r="A106" s="1155"/>
      <c r="B106" s="783"/>
      <c r="C106" s="1155"/>
      <c r="D106" s="1155"/>
      <c r="E106" s="676">
        <v>38.299999999999997</v>
      </c>
      <c r="F106" s="779" t="str" cm="1">
        <f t="array" ref="F106">F105</f>
        <v>1</v>
      </c>
      <c r="G106" s="620" t="s">
        <v>1410</v>
      </c>
      <c r="H106" s="814"/>
      <c r="I106" s="814"/>
      <c r="J106" s="814"/>
      <c r="K106" s="814"/>
      <c r="L106" s="814"/>
      <c r="M106" s="814"/>
      <c r="N106" s="814"/>
      <c r="O106" s="814"/>
      <c r="P106" s="814"/>
      <c r="Q106" s="784"/>
      <c r="R106" s="784"/>
      <c r="S106" s="814"/>
      <c r="T106" s="698" t="b" cm="1">
        <f t="array" ref="T106">T105</f>
        <v>1</v>
      </c>
      <c r="U106" s="1155"/>
      <c r="V106" s="1155"/>
      <c r="W106" s="1155"/>
      <c r="X106" s="1687"/>
      <c r="Y106" s="1155"/>
      <c r="Z106" s="1687"/>
      <c r="AA106" s="791"/>
      <c r="AB106" s="124" t="s">
        <v>1553</v>
      </c>
      <c r="AC106" s="471" t="s">
        <v>1554</v>
      </c>
      <c r="AD106" s="530" t="s">
        <v>1555</v>
      </c>
      <c r="AE106" s="528" t="s">
        <v>839</v>
      </c>
      <c r="AF106" s="1291">
        <f ca="1">SUMIFS('Калькуляция (5.9)'!AF$26:AF$194,'Калькуляция (5.9)'!$F$26:$F$194,$F106,'Калькуляция (5.9)'!$G$26:$G$194,$G106)</f>
        <v>0</v>
      </c>
      <c r="AG106" s="1291">
        <f ca="1">SUMIFS('Калькуляция (5.9)'!AG$26:AG$194,'Калькуляция (5.9)'!$F$26:$F$194,$F106,'Калькуляция (5.9)'!$G$26:$G$194,$G106)</f>
        <v>0</v>
      </c>
      <c r="AH106" s="457"/>
      <c r="AI106" s="457"/>
      <c r="AJ106" s="457"/>
      <c r="AK106" s="457"/>
      <c r="AL106" s="457"/>
      <c r="AM106" s="457"/>
      <c r="AN106" s="457"/>
      <c r="AO106" s="457"/>
      <c r="AP106" s="457"/>
      <c r="AQ106" s="457"/>
      <c r="AR106" s="457"/>
      <c r="AS106" s="457"/>
      <c r="AT106" s="457"/>
      <c r="AU106" s="457"/>
      <c r="AV106" s="457"/>
      <c r="AW106" s="457"/>
      <c r="AX106" s="457"/>
      <c r="AY106" s="457"/>
      <c r="AZ106" s="981" t="s">
        <v>1556</v>
      </c>
    </row>
    <row r="107" spans="1:52" s="1229" customFormat="1" ht="20.25" customHeight="1">
      <c r="A107" s="1155"/>
      <c r="B107" s="783"/>
      <c r="C107" s="1155"/>
      <c r="D107" s="1155"/>
      <c r="E107" s="676">
        <v>21</v>
      </c>
      <c r="F107" s="779" t="str" cm="1">
        <f t="array" ref="F107">F106</f>
        <v>1</v>
      </c>
      <c r="G107" s="620" t="s">
        <v>1557</v>
      </c>
      <c r="H107" s="814"/>
      <c r="I107" s="814"/>
      <c r="J107" s="814"/>
      <c r="K107" s="814"/>
      <c r="L107" s="814"/>
      <c r="M107" s="814"/>
      <c r="N107" s="814"/>
      <c r="O107" s="814"/>
      <c r="P107" s="814"/>
      <c r="Q107" s="784"/>
      <c r="R107" s="784"/>
      <c r="S107" s="814"/>
      <c r="T107" s="698" t="b" cm="1">
        <f t="array" ref="T107">T106</f>
        <v>1</v>
      </c>
      <c r="U107" s="1155"/>
      <c r="V107" s="1155"/>
      <c r="W107" s="1155"/>
      <c r="X107" s="1687"/>
      <c r="Y107" s="1155"/>
      <c r="Z107" s="1687"/>
      <c r="AA107" s="791"/>
      <c r="AB107" s="124" t="s">
        <v>1558</v>
      </c>
      <c r="AC107" s="117" t="s">
        <v>1559</v>
      </c>
      <c r="AD107" s="528"/>
      <c r="AE107" s="528" t="s">
        <v>839</v>
      </c>
      <c r="AF107" s="1291">
        <f ca="1">SUMIFS('Калькуляция (5.9)'!AF$26:AF$194,'Калькуляция (5.9)'!$F$26:$F$194,$F107,'Калькуляция (5.9)'!$G$26:$G$194,$G107)</f>
        <v>0</v>
      </c>
      <c r="AG107" s="1291">
        <f ca="1">SUMIFS('Калькуляция (5.9)'!AG$26:AG$194,'Калькуляция (5.9)'!$F$26:$F$194,$F107,'Калькуляция (5.9)'!$G$26:$G$194,$G107)</f>
        <v>0</v>
      </c>
      <c r="AH107" s="457"/>
      <c r="AI107" s="457"/>
      <c r="AJ107" s="457"/>
      <c r="AK107" s="457"/>
      <c r="AL107" s="457"/>
      <c r="AM107" s="457"/>
      <c r="AN107" s="457"/>
      <c r="AO107" s="457"/>
      <c r="AP107" s="457"/>
      <c r="AQ107" s="457"/>
      <c r="AR107" s="457"/>
      <c r="AS107" s="457"/>
      <c r="AT107" s="457"/>
      <c r="AU107" s="457"/>
      <c r="AV107" s="457"/>
      <c r="AW107" s="457"/>
      <c r="AX107" s="457"/>
      <c r="AY107" s="457"/>
      <c r="AZ107" s="981" t="s">
        <v>1560</v>
      </c>
    </row>
    <row r="108" spans="1:52" s="1229" customFormat="1" ht="20.25" customHeight="1">
      <c r="A108" s="1155"/>
      <c r="B108" s="783"/>
      <c r="C108" s="1155"/>
      <c r="D108" s="1155"/>
      <c r="E108" s="676">
        <v>21</v>
      </c>
      <c r="F108" s="779" t="str" cm="1">
        <f t="array" ref="F108">F107</f>
        <v>1</v>
      </c>
      <c r="G108" s="814"/>
      <c r="H108" s="814"/>
      <c r="I108" s="814"/>
      <c r="J108" s="814"/>
      <c r="K108" s="814"/>
      <c r="L108" s="814"/>
      <c r="M108" s="814"/>
      <c r="N108" s="814"/>
      <c r="O108" s="814"/>
      <c r="P108" s="814"/>
      <c r="Q108" s="784"/>
      <c r="R108" s="784"/>
      <c r="S108" s="814"/>
      <c r="T108" s="698" t="b" cm="1">
        <f t="array" ref="T108">T107</f>
        <v>1</v>
      </c>
      <c r="U108" s="1155"/>
      <c r="V108" s="1155"/>
      <c r="W108" s="1155"/>
      <c r="X108" s="1687"/>
      <c r="Y108" s="1155"/>
      <c r="Z108" s="1687"/>
      <c r="AA108" s="791"/>
      <c r="AB108" s="124" t="s">
        <v>1561</v>
      </c>
      <c r="AC108" s="892" t="s">
        <v>1562</v>
      </c>
      <c r="AD108" s="528"/>
      <c r="AE108" s="528" t="s">
        <v>533</v>
      </c>
      <c r="AF108" s="1413"/>
      <c r="AG108" s="1413"/>
      <c r="AH108" s="457"/>
      <c r="AI108" s="457"/>
      <c r="AJ108" s="457"/>
      <c r="AK108" s="457"/>
      <c r="AL108" s="457"/>
      <c r="AM108" s="457"/>
      <c r="AN108" s="457"/>
      <c r="AO108" s="457"/>
      <c r="AP108" s="457"/>
      <c r="AQ108" s="457"/>
      <c r="AR108" s="457"/>
      <c r="AS108" s="457"/>
      <c r="AT108" s="457"/>
      <c r="AU108" s="457"/>
      <c r="AV108" s="457"/>
      <c r="AW108" s="457"/>
      <c r="AX108" s="457"/>
      <c r="AY108" s="457"/>
      <c r="AZ108" s="981" t="s">
        <v>1563</v>
      </c>
    </row>
    <row r="109" spans="1:52" s="1229" customFormat="1" ht="21.75" customHeight="1">
      <c r="A109" s="1155"/>
      <c r="B109" s="783"/>
      <c r="C109" s="1155"/>
      <c r="D109" s="1155"/>
      <c r="E109" s="676">
        <v>22.5</v>
      </c>
      <c r="F109" s="779" t="str" cm="1">
        <f t="array" ref="F109">F107</f>
        <v>1</v>
      </c>
      <c r="G109" s="620" t="s">
        <v>1564</v>
      </c>
      <c r="H109" s="814"/>
      <c r="I109" s="814"/>
      <c r="J109" s="814"/>
      <c r="K109" s="814"/>
      <c r="L109" s="814"/>
      <c r="M109" s="814"/>
      <c r="N109" s="814"/>
      <c r="O109" s="814"/>
      <c r="P109" s="814"/>
      <c r="Q109" s="784"/>
      <c r="R109" s="784"/>
      <c r="S109" s="814"/>
      <c r="T109" s="698" t="b" cm="1">
        <f t="array" ref="T109">T107</f>
        <v>1</v>
      </c>
      <c r="U109" s="1155"/>
      <c r="V109" s="1155"/>
      <c r="W109" s="1155"/>
      <c r="X109" s="1687"/>
      <c r="Y109" s="1155"/>
      <c r="Z109" s="1687"/>
      <c r="AA109" s="791"/>
      <c r="AB109" s="124" t="s">
        <v>1565</v>
      </c>
      <c r="AC109" s="117" t="s">
        <v>1566</v>
      </c>
      <c r="AD109" s="528"/>
      <c r="AE109" s="528" t="s">
        <v>839</v>
      </c>
      <c r="AF109" s="1291">
        <f ca="1">SUMIFS('Калькуляция (5.9)'!AF$26:AF$194,'Калькуляция (5.9)'!$F$26:$F$194,$F109,'Калькуляция (5.9)'!$G$26:$G$194,$G109)</f>
        <v>0</v>
      </c>
      <c r="AG109" s="1291">
        <f ca="1">SUMIFS('Калькуляция (5.9)'!AG$26:AG$194,'Калькуляция (5.9)'!$F$26:$F$194,$F109,'Калькуляция (5.9)'!$G$26:$G$194,$G109)</f>
        <v>0</v>
      </c>
      <c r="AH109" s="457"/>
      <c r="AI109" s="457"/>
      <c r="AJ109" s="457"/>
      <c r="AK109" s="457"/>
      <c r="AL109" s="457"/>
      <c r="AM109" s="457"/>
      <c r="AN109" s="457"/>
      <c r="AO109" s="457"/>
      <c r="AP109" s="457"/>
      <c r="AQ109" s="457"/>
      <c r="AR109" s="457"/>
      <c r="AS109" s="457"/>
      <c r="AT109" s="457"/>
      <c r="AU109" s="457"/>
      <c r="AV109" s="457"/>
      <c r="AW109" s="457"/>
      <c r="AX109" s="457"/>
      <c r="AY109" s="457"/>
      <c r="AZ109" s="981" t="s">
        <v>1567</v>
      </c>
    </row>
    <row r="110" spans="1:52" s="1229" customFormat="1" ht="21.75" customHeight="1">
      <c r="A110" s="1155"/>
      <c r="B110" s="783"/>
      <c r="C110" s="1155"/>
      <c r="D110" s="1155"/>
      <c r="E110" s="676">
        <v>22.8</v>
      </c>
      <c r="F110" s="779" t="str" cm="1">
        <f t="array" ref="F110">F109</f>
        <v>1</v>
      </c>
      <c r="G110" s="620" t="s">
        <v>448</v>
      </c>
      <c r="H110" s="814"/>
      <c r="I110" s="814"/>
      <c r="J110" s="814"/>
      <c r="K110" s="814"/>
      <c r="L110" s="814"/>
      <c r="M110" s="814"/>
      <c r="N110" s="814"/>
      <c r="O110" s="814"/>
      <c r="P110" s="814"/>
      <c r="Q110" s="784"/>
      <c r="R110" s="784"/>
      <c r="S110" s="814"/>
      <c r="T110" s="698" t="b" cm="1">
        <f t="array" ref="T110">T109</f>
        <v>1</v>
      </c>
      <c r="U110" s="1155"/>
      <c r="V110" s="1155"/>
      <c r="W110" s="1155"/>
      <c r="X110" s="1687"/>
      <c r="Y110" s="1155"/>
      <c r="Z110" s="1687"/>
      <c r="AA110" s="791"/>
      <c r="AB110" s="124" t="s">
        <v>1568</v>
      </c>
      <c r="AC110" s="117" t="s">
        <v>1569</v>
      </c>
      <c r="AD110" s="528"/>
      <c r="AE110" s="528" t="s">
        <v>839</v>
      </c>
      <c r="AF110" s="1291">
        <f ca="1">SUMIFS('Калькуляция (5.9)'!AF$26:AF$194,'Калькуляция (5.9)'!$F$26:$F$194,$F110,'Калькуляция (5.9)'!$G$26:$G$194,$G110)</f>
        <v>0</v>
      </c>
      <c r="AG110" s="1291">
        <f ca="1">SUMIFS('Калькуляция (5.9)'!AG$26:AG$194,'Калькуляция (5.9)'!$F$26:$F$194,$F110,'Калькуляция (5.9)'!$G$26:$G$194,$G110)</f>
        <v>0</v>
      </c>
      <c r="AH110" s="457"/>
      <c r="AI110" s="457"/>
      <c r="AJ110" s="457"/>
      <c r="AK110" s="457"/>
      <c r="AL110" s="457"/>
      <c r="AM110" s="457"/>
      <c r="AN110" s="457"/>
      <c r="AO110" s="457"/>
      <c r="AP110" s="457"/>
      <c r="AQ110" s="457"/>
      <c r="AR110" s="457"/>
      <c r="AS110" s="457"/>
      <c r="AT110" s="457"/>
      <c r="AU110" s="457"/>
      <c r="AV110" s="457"/>
      <c r="AW110" s="457"/>
      <c r="AX110" s="457"/>
      <c r="AY110" s="457"/>
      <c r="AZ110" s="981" t="s">
        <v>1570</v>
      </c>
    </row>
    <row r="111" spans="1:52" s="1229" customFormat="1" ht="29.25" customHeight="1">
      <c r="A111" s="1155"/>
      <c r="B111" s="783"/>
      <c r="C111" s="1155"/>
      <c r="D111" s="1155"/>
      <c r="E111" s="676">
        <v>30</v>
      </c>
      <c r="F111" s="779" t="str" cm="1">
        <f t="array" ref="F111">F110</f>
        <v>1</v>
      </c>
      <c r="G111" s="814"/>
      <c r="H111" s="814"/>
      <c r="I111" s="814"/>
      <c r="J111" s="814"/>
      <c r="K111" s="814"/>
      <c r="L111" s="814"/>
      <c r="M111" s="814"/>
      <c r="N111" s="814"/>
      <c r="O111" s="814"/>
      <c r="P111" s="814"/>
      <c r="Q111" s="784"/>
      <c r="R111" s="784"/>
      <c r="S111" s="814"/>
      <c r="T111" s="698" t="b" cm="1">
        <f t="array" ref="T111">T110</f>
        <v>1</v>
      </c>
      <c r="U111" s="1155"/>
      <c r="V111" s="1155"/>
      <c r="W111" s="1155"/>
      <c r="X111" s="1687"/>
      <c r="Y111" s="1155"/>
      <c r="Z111" s="1687"/>
      <c r="AA111" s="791"/>
      <c r="AB111" s="124" t="s">
        <v>1571</v>
      </c>
      <c r="AC111" s="117" t="s">
        <v>1572</v>
      </c>
      <c r="AD111" s="531"/>
      <c r="AE111" s="528" t="s">
        <v>839</v>
      </c>
      <c r="AF111" s="1291"/>
      <c r="AG111" s="1291"/>
      <c r="AH111" s="457"/>
      <c r="AI111" s="457"/>
      <c r="AJ111" s="457"/>
      <c r="AK111" s="457"/>
      <c r="AL111" s="457"/>
      <c r="AM111" s="457"/>
      <c r="AN111" s="457"/>
      <c r="AO111" s="457"/>
      <c r="AP111" s="457"/>
      <c r="AQ111" s="457"/>
      <c r="AR111" s="457"/>
      <c r="AS111" s="457"/>
      <c r="AT111" s="457"/>
      <c r="AU111" s="457"/>
      <c r="AV111" s="457"/>
      <c r="AW111" s="457"/>
      <c r="AX111" s="457"/>
      <c r="AY111" s="457"/>
      <c r="AZ111" s="981" t="s">
        <v>1573</v>
      </c>
    </row>
    <row r="112" spans="1:52" s="1229" customFormat="1" ht="36.75" customHeight="1">
      <c r="A112" s="1155"/>
      <c r="B112" s="783"/>
      <c r="C112" s="1155"/>
      <c r="D112" s="1155"/>
      <c r="E112" s="676">
        <v>38.299999999999997</v>
      </c>
      <c r="F112" s="779" t="str" cm="1">
        <f t="array" ref="F112">F111</f>
        <v>1</v>
      </c>
      <c r="G112" s="814"/>
      <c r="H112" s="814"/>
      <c r="I112" s="814"/>
      <c r="J112" s="814"/>
      <c r="K112" s="814"/>
      <c r="L112" s="814"/>
      <c r="M112" s="814"/>
      <c r="N112" s="814"/>
      <c r="O112" s="814"/>
      <c r="P112" s="814"/>
      <c r="Q112" s="784"/>
      <c r="R112" s="784"/>
      <c r="S112" s="814"/>
      <c r="T112" s="698" t="b" cm="1">
        <f t="array" ref="T112">T111</f>
        <v>1</v>
      </c>
      <c r="U112" s="1155"/>
      <c r="V112" s="1155"/>
      <c r="W112" s="1155"/>
      <c r="X112" s="1687"/>
      <c r="Y112" s="1155"/>
      <c r="Z112" s="1687"/>
      <c r="AA112" s="791"/>
      <c r="AB112" s="124" t="s">
        <v>1574</v>
      </c>
      <c r="AC112" s="117" t="s">
        <v>1575</v>
      </c>
      <c r="AD112" s="528"/>
      <c r="AE112" s="528" t="s">
        <v>839</v>
      </c>
      <c r="AF112" s="1291"/>
      <c r="AG112" s="1291"/>
      <c r="AH112" s="457"/>
      <c r="AI112" s="457"/>
      <c r="AJ112" s="457"/>
      <c r="AK112" s="457"/>
      <c r="AL112" s="457"/>
      <c r="AM112" s="457"/>
      <c r="AN112" s="457"/>
      <c r="AO112" s="457"/>
      <c r="AP112" s="457"/>
      <c r="AQ112" s="457"/>
      <c r="AR112" s="457"/>
      <c r="AS112" s="457"/>
      <c r="AT112" s="457"/>
      <c r="AU112" s="457"/>
      <c r="AV112" s="457"/>
      <c r="AW112" s="457"/>
      <c r="AX112" s="457"/>
      <c r="AY112" s="457"/>
      <c r="AZ112" s="981" t="s">
        <v>1576</v>
      </c>
    </row>
    <row r="113" spans="1:52" s="1229" customFormat="1" ht="72.75" customHeight="1">
      <c r="A113" s="1155"/>
      <c r="B113" s="783"/>
      <c r="C113" s="1155"/>
      <c r="D113" s="1155"/>
      <c r="E113" s="676">
        <v>75</v>
      </c>
      <c r="F113" s="779" t="str" cm="1">
        <f t="array" ref="F113">F112</f>
        <v>1</v>
      </c>
      <c r="G113" s="814"/>
      <c r="H113" s="814"/>
      <c r="I113" s="814"/>
      <c r="J113" s="814"/>
      <c r="K113" s="814"/>
      <c r="L113" s="814"/>
      <c r="M113" s="814"/>
      <c r="N113" s="814"/>
      <c r="O113" s="814"/>
      <c r="P113" s="814"/>
      <c r="Q113" s="784"/>
      <c r="R113" s="784"/>
      <c r="S113" s="814"/>
      <c r="T113" s="698" t="b" cm="1">
        <f t="array" ref="T113">T112</f>
        <v>1</v>
      </c>
      <c r="U113" s="1155"/>
      <c r="V113" s="1155"/>
      <c r="W113" s="1155"/>
      <c r="X113" s="1687"/>
      <c r="Y113" s="1155"/>
      <c r="Z113" s="1687"/>
      <c r="AA113" s="791"/>
      <c r="AB113" s="124" t="s">
        <v>1577</v>
      </c>
      <c r="AC113" s="117" t="s">
        <v>1578</v>
      </c>
      <c r="AD113" s="528"/>
      <c r="AE113" s="528" t="s">
        <v>839</v>
      </c>
      <c r="AF113" s="1291"/>
      <c r="AG113" s="1291"/>
      <c r="AH113" s="457"/>
      <c r="AI113" s="457"/>
      <c r="AJ113" s="457"/>
      <c r="AK113" s="457"/>
      <c r="AL113" s="457"/>
      <c r="AM113" s="457"/>
      <c r="AN113" s="457"/>
      <c r="AO113" s="457"/>
      <c r="AP113" s="457"/>
      <c r="AQ113" s="457"/>
      <c r="AR113" s="457"/>
      <c r="AS113" s="457"/>
      <c r="AT113" s="457"/>
      <c r="AU113" s="457"/>
      <c r="AV113" s="457"/>
      <c r="AW113" s="457"/>
      <c r="AX113" s="457"/>
      <c r="AY113" s="457"/>
      <c r="AZ113" s="981" t="s">
        <v>1579</v>
      </c>
    </row>
    <row r="114" spans="1:52" s="1229" customFormat="1" ht="72" customHeight="1">
      <c r="A114" s="1155"/>
      <c r="B114" s="783"/>
      <c r="C114" s="1155"/>
      <c r="D114" s="1155"/>
      <c r="E114" s="676">
        <v>74.3</v>
      </c>
      <c r="F114" s="779" t="str" cm="1">
        <f t="array" ref="F114">F113</f>
        <v>1</v>
      </c>
      <c r="G114" s="814"/>
      <c r="H114" s="814"/>
      <c r="I114" s="814"/>
      <c r="J114" s="814"/>
      <c r="K114" s="814"/>
      <c r="L114" s="814"/>
      <c r="M114" s="814"/>
      <c r="N114" s="814"/>
      <c r="O114" s="814"/>
      <c r="P114" s="814"/>
      <c r="Q114" s="784"/>
      <c r="R114" s="784"/>
      <c r="S114" s="814"/>
      <c r="T114" s="698" t="b" cm="1">
        <f t="array" ref="T114">T113</f>
        <v>1</v>
      </c>
      <c r="U114" s="1155"/>
      <c r="V114" s="1155"/>
      <c r="W114" s="1155"/>
      <c r="X114" s="1687"/>
      <c r="Y114" s="1155"/>
      <c r="Z114" s="1687"/>
      <c r="AA114" s="791"/>
      <c r="AB114" s="124" t="s">
        <v>1580</v>
      </c>
      <c r="AC114" s="117" t="s">
        <v>1581</v>
      </c>
      <c r="AD114" s="528"/>
      <c r="AE114" s="528" t="s">
        <v>1460</v>
      </c>
      <c r="AF114" s="1291"/>
      <c r="AG114" s="1291"/>
      <c r="AH114" s="457"/>
      <c r="AI114" s="457"/>
      <c r="AJ114" s="457"/>
      <c r="AK114" s="457"/>
      <c r="AL114" s="457"/>
      <c r="AM114" s="457"/>
      <c r="AN114" s="457"/>
      <c r="AO114" s="457"/>
      <c r="AP114" s="457"/>
      <c r="AQ114" s="457"/>
      <c r="AR114" s="457"/>
      <c r="AS114" s="457"/>
      <c r="AT114" s="457"/>
      <c r="AU114" s="457"/>
      <c r="AV114" s="457"/>
      <c r="AW114" s="457"/>
      <c r="AX114" s="457"/>
      <c r="AY114" s="457"/>
      <c r="AZ114" s="981" t="s">
        <v>1582</v>
      </c>
    </row>
    <row r="115" spans="1:52" s="1229" customFormat="1" ht="55.5" customHeight="1">
      <c r="A115" s="1155"/>
      <c r="B115" s="783"/>
      <c r="C115" s="1155"/>
      <c r="D115" s="1155"/>
      <c r="E115" s="676">
        <v>57</v>
      </c>
      <c r="F115" s="779" t="str" cm="1">
        <f t="array" ref="F115">F114</f>
        <v>1</v>
      </c>
      <c r="G115" s="814"/>
      <c r="H115" s="814"/>
      <c r="I115" s="814"/>
      <c r="J115" s="814"/>
      <c r="K115" s="814"/>
      <c r="L115" s="814"/>
      <c r="M115" s="814"/>
      <c r="N115" s="814"/>
      <c r="O115" s="814"/>
      <c r="P115" s="814"/>
      <c r="Q115" s="784"/>
      <c r="R115" s="784"/>
      <c r="S115" s="814"/>
      <c r="T115" s="698" t="b" cm="1">
        <f t="array" ref="T115">T114</f>
        <v>1</v>
      </c>
      <c r="U115" s="1155"/>
      <c r="V115" s="1155"/>
      <c r="W115" s="1155"/>
      <c r="X115" s="1687"/>
      <c r="Y115" s="1155"/>
      <c r="Z115" s="1687"/>
      <c r="AA115" s="791"/>
      <c r="AB115" s="124" t="s">
        <v>348</v>
      </c>
      <c r="AC115" s="526" t="s">
        <v>1583</v>
      </c>
      <c r="AD115" s="120" t="s">
        <v>1609</v>
      </c>
      <c r="AE115" s="528" t="s">
        <v>1460</v>
      </c>
      <c r="AF115" s="1291"/>
      <c r="AG115" s="1291">
        <v>398844.65</v>
      </c>
      <c r="AH115" s="457"/>
      <c r="AI115" s="457"/>
      <c r="AJ115" s="457"/>
      <c r="AK115" s="457"/>
      <c r="AL115" s="457"/>
      <c r="AM115" s="457"/>
      <c r="AN115" s="457"/>
      <c r="AO115" s="457"/>
      <c r="AP115" s="457"/>
      <c r="AQ115" s="457"/>
      <c r="AR115" s="457"/>
      <c r="AS115" s="457"/>
      <c r="AT115" s="457"/>
      <c r="AU115" s="457"/>
      <c r="AV115" s="457"/>
      <c r="AW115" s="457"/>
      <c r="AX115" s="457"/>
      <c r="AY115" s="457"/>
      <c r="AZ115" s="981" t="s">
        <v>1585</v>
      </c>
    </row>
    <row r="116" spans="1:52" s="1229" customFormat="1" ht="10.5" customHeight="1">
      <c r="A116" s="1155"/>
      <c r="B116" s="783"/>
      <c r="C116" s="1155"/>
      <c r="D116" s="1155"/>
      <c r="E116" s="676">
        <v>11.4</v>
      </c>
      <c r="F116" s="779" t="str" cm="1">
        <f t="array" ref="F116">F115</f>
        <v>1</v>
      </c>
      <c r="G116" s="814"/>
      <c r="H116" s="814"/>
      <c r="I116" s="814"/>
      <c r="J116" s="814"/>
      <c r="K116" s="814"/>
      <c r="L116" s="814"/>
      <c r="M116" s="814"/>
      <c r="N116" s="814"/>
      <c r="O116" s="814"/>
      <c r="P116" s="814"/>
      <c r="Q116" s="784"/>
      <c r="R116" s="784"/>
      <c r="S116" s="814"/>
      <c r="T116" s="698" t="b" cm="1">
        <f t="array" ref="T116">T115</f>
        <v>1</v>
      </c>
      <c r="U116" s="1155"/>
      <c r="V116" s="1155"/>
      <c r="W116" s="1155"/>
      <c r="X116" s="1687"/>
      <c r="Y116" s="1155"/>
      <c r="Z116" s="1687"/>
      <c r="AA116" s="791"/>
      <c r="AB116" s="819"/>
      <c r="AC116" s="819"/>
      <c r="AD116" s="819"/>
      <c r="AE116" s="819"/>
      <c r="AF116" s="819"/>
      <c r="AG116" s="819"/>
      <c r="AH116" s="457"/>
      <c r="AI116" s="457"/>
      <c r="AJ116" s="457"/>
      <c r="AK116" s="457"/>
      <c r="AL116" s="457"/>
      <c r="AM116" s="457"/>
      <c r="AN116" s="457"/>
      <c r="AO116" s="457"/>
      <c r="AP116" s="457"/>
      <c r="AQ116" s="457"/>
      <c r="AR116" s="457"/>
      <c r="AS116" s="457"/>
      <c r="AT116" s="457"/>
      <c r="AU116" s="457"/>
      <c r="AV116" s="457"/>
      <c r="AW116" s="457"/>
      <c r="AX116" s="457"/>
      <c r="AY116" s="457"/>
      <c r="AZ116" s="1043"/>
    </row>
    <row r="117" spans="1:52" s="1229" customFormat="1" ht="10.5" customHeight="1">
      <c r="A117" s="1155"/>
      <c r="B117" s="783"/>
      <c r="C117" s="1155"/>
      <c r="D117" s="1155"/>
      <c r="E117" s="676">
        <v>11.3</v>
      </c>
      <c r="F117" s="779" t="str" cm="1">
        <f t="array" ref="F117">F116</f>
        <v>1</v>
      </c>
      <c r="G117" s="814"/>
      <c r="H117" s="814"/>
      <c r="I117" s="814"/>
      <c r="J117" s="814"/>
      <c r="K117" s="814"/>
      <c r="L117" s="814"/>
      <c r="M117" s="814"/>
      <c r="N117" s="814"/>
      <c r="O117" s="814"/>
      <c r="P117" s="814"/>
      <c r="Q117" s="784"/>
      <c r="R117" s="784"/>
      <c r="S117" s="814"/>
      <c r="T117" s="698" t="b" cm="1">
        <f t="array" ref="T117">T116</f>
        <v>1</v>
      </c>
      <c r="U117" s="1155"/>
      <c r="V117" s="1155"/>
      <c r="W117" s="1155"/>
      <c r="X117" s="1687"/>
      <c r="Y117" s="1155"/>
      <c r="Z117" s="1687"/>
      <c r="AA117" s="791"/>
      <c r="AB117" s="1833" t="s">
        <v>1456</v>
      </c>
      <c r="AC117" s="1835" t="s">
        <v>531</v>
      </c>
      <c r="AD117" s="1831" t="s">
        <v>1204</v>
      </c>
      <c r="AE117" s="108">
        <f>god-2</f>
        <v>2024</v>
      </c>
      <c r="AF117" s="108">
        <f>god-1</f>
        <v>2025</v>
      </c>
      <c r="AG117" s="1831" t="s">
        <v>1586</v>
      </c>
      <c r="AH117" s="252" cm="1">
        <f t="array" ref="AH117">god</f>
        <v>2026</v>
      </c>
      <c r="AI117" s="108">
        <f>god+1</f>
        <v>2027</v>
      </c>
      <c r="AJ117" s="108">
        <f>god+2</f>
        <v>2028</v>
      </c>
      <c r="AK117" s="108">
        <f>god+3</f>
        <v>2029</v>
      </c>
      <c r="AL117" s="108">
        <f>god+4</f>
        <v>2030</v>
      </c>
      <c r="AM117" s="1831" t="s">
        <v>1586</v>
      </c>
      <c r="AN117" s="252" cm="1">
        <f t="array" ref="AN117">god</f>
        <v>2026</v>
      </c>
      <c r="AO117" s="108">
        <f>god+1</f>
        <v>2027</v>
      </c>
      <c r="AP117" s="108">
        <f>god+2</f>
        <v>2028</v>
      </c>
      <c r="AQ117" s="108">
        <f>god+3</f>
        <v>2029</v>
      </c>
      <c r="AR117" s="108">
        <f>god+4</f>
        <v>2030</v>
      </c>
      <c r="AS117" s="457"/>
      <c r="AT117" s="457"/>
      <c r="AU117" s="1832" t="s">
        <v>1587</v>
      </c>
      <c r="AV117" s="457"/>
      <c r="AW117" s="457"/>
      <c r="AX117" s="457"/>
      <c r="AY117" s="457"/>
      <c r="AZ117" s="1043"/>
    </row>
    <row r="118" spans="1:52" s="1229" customFormat="1" ht="21.75" customHeight="1">
      <c r="A118" s="1155"/>
      <c r="B118" s="783"/>
      <c r="C118" s="1155"/>
      <c r="D118" s="1155"/>
      <c r="E118" s="676">
        <v>22.5</v>
      </c>
      <c r="F118" s="779" t="str" cm="1">
        <f t="array" ref="F118">F117</f>
        <v>1</v>
      </c>
      <c r="G118" s="814"/>
      <c r="H118" s="814"/>
      <c r="I118" s="814"/>
      <c r="J118" s="814"/>
      <c r="K118" s="814"/>
      <c r="L118" s="814"/>
      <c r="M118" s="814"/>
      <c r="N118" s="814"/>
      <c r="O118" s="814"/>
      <c r="P118" s="814"/>
      <c r="Q118" s="784"/>
      <c r="R118" s="784"/>
      <c r="S118" s="814"/>
      <c r="T118" s="698" t="b" cm="1">
        <f t="array" ref="T118">T117</f>
        <v>1</v>
      </c>
      <c r="U118" s="1155"/>
      <c r="V118" s="1155"/>
      <c r="W118" s="1155"/>
      <c r="X118" s="1687"/>
      <c r="Y118" s="1155"/>
      <c r="Z118" s="1687"/>
      <c r="AA118" s="791"/>
      <c r="AB118" s="1834"/>
      <c r="AC118" s="1836"/>
      <c r="AD118" s="1831"/>
      <c r="AE118" s="124" t="s">
        <v>1588</v>
      </c>
      <c r="AF118" s="124" t="s">
        <v>1588</v>
      </c>
      <c r="AG118" s="1831"/>
      <c r="AH118" s="124" t="s">
        <v>1589</v>
      </c>
      <c r="AI118" s="124" t="s">
        <v>1589</v>
      </c>
      <c r="AJ118" s="124" t="s">
        <v>1589</v>
      </c>
      <c r="AK118" s="124" t="s">
        <v>1589</v>
      </c>
      <c r="AL118" s="124" t="s">
        <v>1589</v>
      </c>
      <c r="AM118" s="1831"/>
      <c r="AN118" s="124" t="s">
        <v>1590</v>
      </c>
      <c r="AO118" s="124" t="s">
        <v>1590</v>
      </c>
      <c r="AP118" s="124" t="s">
        <v>1590</v>
      </c>
      <c r="AQ118" s="124" t="s">
        <v>1590</v>
      </c>
      <c r="AR118" s="124" t="s">
        <v>1590</v>
      </c>
      <c r="AS118" s="457"/>
      <c r="AT118" s="457"/>
      <c r="AU118" s="1832"/>
      <c r="AV118" s="457"/>
      <c r="AW118" s="457"/>
      <c r="AX118" s="457"/>
      <c r="AY118" s="457"/>
      <c r="AZ118" s="1043"/>
    </row>
    <row r="119" spans="1:52" s="1229" customFormat="1" ht="15" customHeight="1">
      <c r="A119" s="1155"/>
      <c r="B119" s="783"/>
      <c r="C119" s="1155"/>
      <c r="D119" s="1155"/>
      <c r="E119" s="676">
        <v>15.8</v>
      </c>
      <c r="F119" s="779" t="str" cm="1">
        <f t="array" ref="F119">F118</f>
        <v>1</v>
      </c>
      <c r="G119" s="814"/>
      <c r="H119" s="814"/>
      <c r="I119" s="814"/>
      <c r="J119" s="814"/>
      <c r="K119" s="814"/>
      <c r="L119" s="814"/>
      <c r="M119" s="814"/>
      <c r="N119" s="814"/>
      <c r="O119" s="814"/>
      <c r="P119" s="814"/>
      <c r="Q119" s="784"/>
      <c r="R119" s="784"/>
      <c r="S119" s="814"/>
      <c r="T119" s="698" t="b" cm="1">
        <f t="array" ref="T119">T118</f>
        <v>1</v>
      </c>
      <c r="U119" s="1155"/>
      <c r="V119" s="1155"/>
      <c r="W119" s="1155"/>
      <c r="X119" s="1687"/>
      <c r="Y119" s="1155"/>
      <c r="Z119" s="1687"/>
      <c r="AA119" s="791"/>
      <c r="AB119" s="235" t="s">
        <v>437</v>
      </c>
      <c r="AC119" s="347" t="s">
        <v>1591</v>
      </c>
      <c r="AD119" s="528" t="s">
        <v>839</v>
      </c>
      <c r="AE119" s="700" t="s">
        <v>1592</v>
      </c>
      <c r="AF119" s="700" t="s">
        <v>1592</v>
      </c>
      <c r="AG119" s="360" cm="1">
        <f t="array" aca="1" ref="AG119" ca="1">AF76</f>
        <v>0</v>
      </c>
      <c r="AH119" s="874"/>
      <c r="AI119" s="874"/>
      <c r="AJ119" s="874"/>
      <c r="AK119" s="874"/>
      <c r="AL119" s="874"/>
      <c r="AM119" s="360" cm="1">
        <f t="array" ref="AM119">AG76</f>
        <v>117567.73999999999</v>
      </c>
      <c r="AN119" s="875"/>
      <c r="AO119" s="875"/>
      <c r="AP119" s="875"/>
      <c r="AQ119" s="875"/>
      <c r="AR119" s="875"/>
      <c r="AS119" s="457"/>
      <c r="AT119" s="457"/>
      <c r="AU119" s="80"/>
      <c r="AV119" s="457"/>
      <c r="AW119" s="457"/>
      <c r="AX119" s="457"/>
      <c r="AY119" s="457"/>
      <c r="AZ119" s="981" t="s">
        <v>1593</v>
      </c>
    </row>
    <row r="120" spans="1:52" s="1229" customFormat="1" ht="27" customHeight="1">
      <c r="A120" s="1155"/>
      <c r="B120" s="783"/>
      <c r="C120" s="1155"/>
      <c r="D120" s="1155"/>
      <c r="E120" s="676">
        <v>27.8</v>
      </c>
      <c r="F120" s="779" t="str" cm="1">
        <f t="array" ref="F120">F119</f>
        <v>1</v>
      </c>
      <c r="G120" s="814"/>
      <c r="H120" s="814"/>
      <c r="I120" s="814"/>
      <c r="J120" s="814"/>
      <c r="K120" s="814"/>
      <c r="L120" s="814"/>
      <c r="M120" s="814"/>
      <c r="N120" s="814"/>
      <c r="O120" s="814"/>
      <c r="P120" s="814"/>
      <c r="Q120" s="784"/>
      <c r="R120" s="784"/>
      <c r="S120" s="814"/>
      <c r="T120" s="698" t="b" cm="1">
        <f t="array" ref="T120">T119</f>
        <v>1</v>
      </c>
      <c r="U120" s="1155"/>
      <c r="V120" s="1155"/>
      <c r="W120" s="1155"/>
      <c r="X120" s="1687"/>
      <c r="Y120" s="1155"/>
      <c r="Z120" s="1687"/>
      <c r="AA120" s="791"/>
      <c r="AB120" s="235" t="s">
        <v>440</v>
      </c>
      <c r="AC120" s="533" t="s">
        <v>1594</v>
      </c>
      <c r="AD120" s="528" t="s">
        <v>839</v>
      </c>
      <c r="AE120" s="1414"/>
      <c r="AF120" s="1414"/>
      <c r="AG120" s="360">
        <f>SUM(AH120:AL120)</f>
        <v>0</v>
      </c>
      <c r="AH120" s="874"/>
      <c r="AI120" s="874"/>
      <c r="AJ120" s="874"/>
      <c r="AK120" s="874"/>
      <c r="AL120" s="874"/>
      <c r="AM120" s="360">
        <f>SUM(AN120:AR120)</f>
        <v>0</v>
      </c>
      <c r="AN120" s="875"/>
      <c r="AO120" s="875"/>
      <c r="AP120" s="875"/>
      <c r="AQ120" s="875"/>
      <c r="AR120" s="875"/>
      <c r="AS120" s="457"/>
      <c r="AT120" s="457"/>
      <c r="AU120" s="80"/>
      <c r="AV120" s="457"/>
      <c r="AW120" s="457"/>
      <c r="AX120" s="457"/>
      <c r="AY120" s="457"/>
      <c r="AZ120" s="981" t="s">
        <v>1595</v>
      </c>
    </row>
    <row r="121" spans="1:52" s="1229" customFormat="1" ht="15" customHeight="1">
      <c r="A121" s="1155"/>
      <c r="B121" s="783"/>
      <c r="C121" s="1155"/>
      <c r="D121" s="1155"/>
      <c r="E121" s="676">
        <v>15.8</v>
      </c>
      <c r="F121" s="779" t="str" cm="1">
        <f t="array" ref="F121">F120</f>
        <v>1</v>
      </c>
      <c r="G121" s="620" t="s">
        <v>1596</v>
      </c>
      <c r="H121" s="814"/>
      <c r="I121" s="814"/>
      <c r="J121" s="814"/>
      <c r="K121" s="814"/>
      <c r="L121" s="814"/>
      <c r="M121" s="814"/>
      <c r="N121" s="814"/>
      <c r="O121" s="814"/>
      <c r="P121" s="814"/>
      <c r="Q121" s="784"/>
      <c r="R121" s="784"/>
      <c r="S121" s="814"/>
      <c r="T121" s="698" t="b" cm="1">
        <f t="array" ref="T121">T120</f>
        <v>1</v>
      </c>
      <c r="U121" s="1155"/>
      <c r="V121" s="1155"/>
      <c r="W121" s="1155"/>
      <c r="X121" s="1687"/>
      <c r="Y121" s="1155"/>
      <c r="Z121" s="1687"/>
      <c r="AA121" s="791"/>
      <c r="AB121" s="260" t="s">
        <v>443</v>
      </c>
      <c r="AC121" s="526" t="s">
        <v>1597</v>
      </c>
      <c r="AD121" s="528" t="s">
        <v>839</v>
      </c>
      <c r="AE121" s="360" cm="1">
        <f t="array" ref="AE121">AE120</f>
        <v>0</v>
      </c>
      <c r="AF121" s="360" cm="1">
        <f t="array" ref="AF121">AF120</f>
        <v>0</v>
      </c>
      <c r="AG121" s="360">
        <f t="shared" ref="AG121:AR121" ca="1" si="1">AG119+AG120</f>
        <v>0</v>
      </c>
      <c r="AH121" s="360">
        <f t="shared" si="1"/>
        <v>0</v>
      </c>
      <c r="AI121" s="360">
        <f t="shared" si="1"/>
        <v>0</v>
      </c>
      <c r="AJ121" s="360">
        <f t="shared" si="1"/>
        <v>0</v>
      </c>
      <c r="AK121" s="360">
        <f t="shared" si="1"/>
        <v>0</v>
      </c>
      <c r="AL121" s="360">
        <f t="shared" si="1"/>
        <v>0</v>
      </c>
      <c r="AM121" s="360">
        <f t="shared" si="1"/>
        <v>117567.73999999999</v>
      </c>
      <c r="AN121" s="360">
        <f t="shared" si="1"/>
        <v>0</v>
      </c>
      <c r="AO121" s="360">
        <f t="shared" si="1"/>
        <v>0</v>
      </c>
      <c r="AP121" s="360">
        <f t="shared" si="1"/>
        <v>0</v>
      </c>
      <c r="AQ121" s="360">
        <f t="shared" si="1"/>
        <v>0</v>
      </c>
      <c r="AR121" s="360">
        <f t="shared" si="1"/>
        <v>0</v>
      </c>
      <c r="AS121" s="457"/>
      <c r="AT121" s="457"/>
      <c r="AU121" s="80"/>
      <c r="AV121" s="457"/>
      <c r="AW121" s="457"/>
      <c r="AX121" s="457"/>
      <c r="AY121" s="457"/>
      <c r="AZ121" s="981" t="s">
        <v>1598</v>
      </c>
    </row>
    <row r="122" spans="1:52" s="1415" customFormat="1" ht="10.5" customHeight="1">
      <c r="A122" s="170"/>
      <c r="B122" s="170"/>
      <c r="C122" s="170"/>
      <c r="D122" s="170"/>
      <c r="E122" s="676">
        <v>11.4</v>
      </c>
      <c r="F122" s="779" t="str" cm="1">
        <f t="array" ref="F122">X122</f>
        <v>2</v>
      </c>
      <c r="G122" s="170"/>
      <c r="H122" s="170"/>
      <c r="I122" s="170"/>
      <c r="J122" s="170"/>
      <c r="K122" s="170"/>
      <c r="L122" s="170"/>
      <c r="M122" s="170"/>
      <c r="N122" s="170"/>
      <c r="O122" s="170"/>
      <c r="P122" s="170"/>
      <c r="Q122" s="170"/>
      <c r="R122" s="170"/>
      <c r="S122" s="170"/>
      <c r="T122" s="687" t="b">
        <f>X122&gt;0</f>
        <v>1</v>
      </c>
      <c r="U122" s="170"/>
      <c r="V122" s="126" t="str" cm="1">
        <f t="array" ref="V122">'Ресурсы (5.4)'!$AB$47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2" s="170"/>
      <c r="X122" s="1726" t="s">
        <v>348</v>
      </c>
      <c r="Y122" s="170"/>
      <c r="Z122" s="1724"/>
      <c r="AA122" s="170"/>
      <c r="AB122" s="266" t="str" cm="1">
        <f t="array" ref="AB122">IF(ISBLANK('Ресурсы (5.4)'!$AB$47),"",'Ресурсы (5.4)'!$AB$47)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2" s="267"/>
      <c r="AD122" s="267"/>
      <c r="AE122" s="267"/>
      <c r="AF122" s="267"/>
      <c r="AG122" s="267"/>
      <c r="AH122" s="170"/>
      <c r="AI122" s="170"/>
      <c r="AJ122" s="170"/>
      <c r="AK122" s="170"/>
      <c r="AL122" s="170"/>
      <c r="AM122" s="170"/>
      <c r="AN122" s="170"/>
      <c r="AO122" s="170"/>
      <c r="AP122" s="170"/>
      <c r="AQ122" s="170"/>
      <c r="AR122" s="170"/>
      <c r="AS122" s="170"/>
      <c r="AT122" s="170"/>
      <c r="AU122" s="170"/>
      <c r="AV122" s="170"/>
      <c r="AW122" s="170"/>
      <c r="AX122" s="170"/>
      <c r="AY122" s="170"/>
      <c r="AZ122" s="981"/>
    </row>
    <row r="123" spans="1:52" s="1229" customFormat="1" ht="50.25" customHeight="1">
      <c r="A123" s="1155"/>
      <c r="B123" s="783"/>
      <c r="C123" s="1155"/>
      <c r="D123" s="1155"/>
      <c r="E123" s="676">
        <v>51.8</v>
      </c>
      <c r="F123" s="779" t="str" cm="1">
        <f t="array" ref="F123">F122</f>
        <v>2</v>
      </c>
      <c r="G123" s="814"/>
      <c r="H123" s="814"/>
      <c r="I123" s="814"/>
      <c r="J123" s="814"/>
      <c r="K123" s="814"/>
      <c r="L123" s="814"/>
      <c r="M123" s="814"/>
      <c r="N123" s="814"/>
      <c r="O123" s="814"/>
      <c r="P123" s="814"/>
      <c r="Q123" s="784"/>
      <c r="R123" s="784"/>
      <c r="S123" s="814"/>
      <c r="T123" s="698" t="b" cm="1">
        <f t="array" ref="T123">T122</f>
        <v>1</v>
      </c>
      <c r="U123" s="1155"/>
      <c r="V123" s="1155"/>
      <c r="W123" s="1155"/>
      <c r="X123" s="1687"/>
      <c r="Y123" s="1155"/>
      <c r="Z123" s="1687"/>
      <c r="AA123" s="791"/>
      <c r="AB123" s="271" t="s">
        <v>341</v>
      </c>
      <c r="AC123" s="526" t="s">
        <v>63</v>
      </c>
      <c r="AD123" s="527" t="s">
        <v>1459</v>
      </c>
      <c r="AE123" s="528" t="s">
        <v>1460</v>
      </c>
      <c r="AF123" s="311">
        <f ca="1">AF124-AF162</f>
        <v>0</v>
      </c>
      <c r="AG123" s="311">
        <f>AG124-AG162</f>
        <v>48590.119999999995</v>
      </c>
      <c r="AH123" s="457"/>
      <c r="AI123" s="457"/>
      <c r="AJ123" s="457"/>
      <c r="AK123" s="457"/>
      <c r="AL123" s="457"/>
      <c r="AM123" s="457"/>
      <c r="AN123" s="457"/>
      <c r="AO123" s="457"/>
      <c r="AP123" s="457"/>
      <c r="AQ123" s="457"/>
      <c r="AR123" s="457"/>
      <c r="AS123" s="457"/>
      <c r="AT123" s="457"/>
      <c r="AU123" s="457"/>
      <c r="AV123" s="457"/>
      <c r="AW123" s="457"/>
      <c r="AX123" s="457"/>
      <c r="AY123" s="457"/>
      <c r="AZ123" s="981" t="s">
        <v>1461</v>
      </c>
    </row>
    <row r="124" spans="1:52" s="1229" customFormat="1" ht="51" customHeight="1">
      <c r="A124" s="1155"/>
      <c r="B124" s="783"/>
      <c r="C124" s="1155"/>
      <c r="D124" s="1155"/>
      <c r="E124" s="676">
        <v>52.5</v>
      </c>
      <c r="F124" s="779" t="str" cm="1">
        <f t="array" ref="F124">F123</f>
        <v>2</v>
      </c>
      <c r="G124" s="814"/>
      <c r="H124" s="814"/>
      <c r="I124" s="814"/>
      <c r="J124" s="814"/>
      <c r="K124" s="814"/>
      <c r="L124" s="814"/>
      <c r="M124" s="814"/>
      <c r="N124" s="814"/>
      <c r="O124" s="814"/>
      <c r="P124" s="814"/>
      <c r="Q124" s="784"/>
      <c r="R124" s="784"/>
      <c r="S124" s="814"/>
      <c r="T124" s="698" t="b" cm="1">
        <f t="array" ref="T124">T123</f>
        <v>1</v>
      </c>
      <c r="U124" s="1155"/>
      <c r="V124" s="1155"/>
      <c r="W124" s="1155"/>
      <c r="X124" s="1687"/>
      <c r="Y124" s="1155"/>
      <c r="Z124" s="1687"/>
      <c r="AA124" s="791"/>
      <c r="AB124" s="124" t="s">
        <v>484</v>
      </c>
      <c r="AC124" s="115" t="s">
        <v>1462</v>
      </c>
      <c r="AD124" s="527" t="s">
        <v>1599</v>
      </c>
      <c r="AE124" s="528" t="s">
        <v>1460</v>
      </c>
      <c r="AF124" s="311">
        <f ca="1">AF126+AF127+AF153+AF154+AF156+AF157+AF158+AF159-AF160+AF161</f>
        <v>0</v>
      </c>
      <c r="AG124" s="1291">
        <v>389127.74</v>
      </c>
      <c r="AH124" s="457"/>
      <c r="AI124" s="457"/>
      <c r="AJ124" s="457"/>
      <c r="AK124" s="457"/>
      <c r="AL124" s="457"/>
      <c r="AM124" s="457"/>
      <c r="AN124" s="457"/>
      <c r="AO124" s="457"/>
      <c r="AP124" s="457"/>
      <c r="AQ124" s="457"/>
      <c r="AR124" s="457"/>
      <c r="AS124" s="457"/>
      <c r="AT124" s="457"/>
      <c r="AU124" s="457"/>
      <c r="AV124" s="457"/>
      <c r="AW124" s="457"/>
      <c r="AX124" s="457"/>
      <c r="AY124" s="457"/>
      <c r="AZ124" s="981" t="s">
        <v>1464</v>
      </c>
    </row>
    <row r="125" spans="1:52" s="1229" customFormat="1" ht="27" customHeight="1">
      <c r="A125" s="1155"/>
      <c r="B125" s="783"/>
      <c r="C125" s="1155"/>
      <c r="D125" s="1155"/>
      <c r="E125" s="676">
        <v>27.8</v>
      </c>
      <c r="F125" s="779" t="str" cm="1">
        <f t="array" ref="F125">F124</f>
        <v>2</v>
      </c>
      <c r="G125" s="814"/>
      <c r="H125" s="814"/>
      <c r="I125" s="814"/>
      <c r="J125" s="814"/>
      <c r="K125" s="814"/>
      <c r="L125" s="814"/>
      <c r="M125" s="814"/>
      <c r="N125" s="814"/>
      <c r="O125" s="814"/>
      <c r="P125" s="814"/>
      <c r="Q125" s="784"/>
      <c r="R125" s="784"/>
      <c r="S125" s="814"/>
      <c r="T125" s="698" t="b" cm="1">
        <f t="array" ref="T125">T124</f>
        <v>1</v>
      </c>
      <c r="U125" s="1155"/>
      <c r="V125" s="1155"/>
      <c r="W125" s="1155"/>
      <c r="X125" s="1687"/>
      <c r="Y125" s="1155"/>
      <c r="Z125" s="1687"/>
      <c r="AA125" s="791"/>
      <c r="AB125" s="124"/>
      <c r="AC125" s="534" t="s">
        <v>1465</v>
      </c>
      <c r="AD125" s="529" t="s">
        <v>1600</v>
      </c>
      <c r="AE125" s="528" t="s">
        <v>1460</v>
      </c>
      <c r="AF125" s="1291"/>
      <c r="AG125" s="1291"/>
      <c r="AH125" s="457"/>
      <c r="AI125" s="457"/>
      <c r="AJ125" s="457"/>
      <c r="AK125" s="457"/>
      <c r="AL125" s="457"/>
      <c r="AM125" s="457"/>
      <c r="AN125" s="457"/>
      <c r="AO125" s="457"/>
      <c r="AP125" s="457"/>
      <c r="AQ125" s="457"/>
      <c r="AR125" s="457"/>
      <c r="AS125" s="457"/>
      <c r="AT125" s="457"/>
      <c r="AU125" s="457"/>
      <c r="AV125" s="457"/>
      <c r="AW125" s="457"/>
      <c r="AX125" s="457"/>
      <c r="AY125" s="457"/>
      <c r="AZ125" s="981" t="s">
        <v>1467</v>
      </c>
    </row>
    <row r="126" spans="1:52" s="1229" customFormat="1" ht="29.25" customHeight="1">
      <c r="A126" s="1155"/>
      <c r="B126" s="783"/>
      <c r="C126" s="1155"/>
      <c r="D126" s="1155"/>
      <c r="E126" s="676">
        <v>30</v>
      </c>
      <c r="F126" s="779" t="str" cm="1">
        <f t="array" ref="F126">F125</f>
        <v>2</v>
      </c>
      <c r="G126" s="620" t="s">
        <v>1350</v>
      </c>
      <c r="H126" s="814"/>
      <c r="I126" s="814"/>
      <c r="J126" s="814"/>
      <c r="K126" s="814"/>
      <c r="L126" s="814"/>
      <c r="M126" s="814"/>
      <c r="N126" s="814"/>
      <c r="O126" s="814"/>
      <c r="P126" s="814"/>
      <c r="Q126" s="784"/>
      <c r="R126" s="784"/>
      <c r="S126" s="814"/>
      <c r="T126" s="698" t="b" cm="1">
        <f t="array" ref="T126">T125</f>
        <v>1</v>
      </c>
      <c r="U126" s="1155"/>
      <c r="V126" s="1155"/>
      <c r="W126" s="1155"/>
      <c r="X126" s="1687"/>
      <c r="Y126" s="1155"/>
      <c r="Z126" s="1687"/>
      <c r="AA126" s="791"/>
      <c r="AB126" s="124" t="s">
        <v>1210</v>
      </c>
      <c r="AC126" s="471" t="s">
        <v>1468</v>
      </c>
      <c r="AD126" s="530" t="s">
        <v>1601</v>
      </c>
      <c r="AE126" s="527" t="s">
        <v>1460</v>
      </c>
      <c r="AF126" s="1291">
        <f ca="1">SUMIFS('Операционные (5.1)'!AF$26:AF$103,'Операционные (5.1)'!$F$26:$F$103,$F126,'Операционные (5.1)'!$G$26:$G$103,$G126)</f>
        <v>0</v>
      </c>
      <c r="AG126" s="1291">
        <f ca="1">SUMIFS('Операционные (5.1)'!AG$26:AG$103,'Операционные (5.1)'!$F$26:$F$103,$F126,'Операционные (5.1)'!$G$26:$G$103,$G126)</f>
        <v>0</v>
      </c>
      <c r="AH126" s="457"/>
      <c r="AI126" s="457"/>
      <c r="AJ126" s="457"/>
      <c r="AK126" s="457"/>
      <c r="AL126" s="457"/>
      <c r="AM126" s="457"/>
      <c r="AN126" s="457"/>
      <c r="AO126" s="457"/>
      <c r="AP126" s="457"/>
      <c r="AQ126" s="457"/>
      <c r="AR126" s="457"/>
      <c r="AS126" s="457"/>
      <c r="AT126" s="457"/>
      <c r="AU126" s="457"/>
      <c r="AV126" s="457"/>
      <c r="AW126" s="457"/>
      <c r="AX126" s="457"/>
      <c r="AY126" s="457"/>
      <c r="AZ126" s="981" t="s">
        <v>1470</v>
      </c>
    </row>
    <row r="127" spans="1:52" s="1229" customFormat="1" ht="39.75" customHeight="1">
      <c r="A127" s="1155"/>
      <c r="B127" s="783"/>
      <c r="C127" s="1155"/>
      <c r="D127" s="1155"/>
      <c r="E127" s="676">
        <v>41.3</v>
      </c>
      <c r="F127" s="779" t="str" cm="1">
        <f t="array" ref="F127">F126</f>
        <v>2</v>
      </c>
      <c r="G127" s="814"/>
      <c r="H127" s="814"/>
      <c r="I127" s="814"/>
      <c r="J127" s="814"/>
      <c r="K127" s="814"/>
      <c r="L127" s="814"/>
      <c r="M127" s="814"/>
      <c r="N127" s="814"/>
      <c r="O127" s="814"/>
      <c r="P127" s="814"/>
      <c r="Q127" s="784"/>
      <c r="R127" s="784"/>
      <c r="S127" s="814"/>
      <c r="T127" s="698" t="b" cm="1">
        <f t="array" ref="T127">T126</f>
        <v>1</v>
      </c>
      <c r="U127" s="1155"/>
      <c r="V127" s="1155"/>
      <c r="W127" s="1155"/>
      <c r="X127" s="1687"/>
      <c r="Y127" s="1155"/>
      <c r="Z127" s="1687"/>
      <c r="AA127" s="791"/>
      <c r="AB127" s="124" t="s">
        <v>1214</v>
      </c>
      <c r="AC127" s="471" t="s">
        <v>1471</v>
      </c>
      <c r="AD127" s="530" t="s">
        <v>1472</v>
      </c>
      <c r="AE127" s="527" t="s">
        <v>1460</v>
      </c>
      <c r="AF127" s="311">
        <f ca="1">AF128+AF132</f>
        <v>0</v>
      </c>
      <c r="AG127" s="311">
        <f ca="1">AG128+AG132</f>
        <v>0</v>
      </c>
      <c r="AH127" s="457"/>
      <c r="AI127" s="457"/>
      <c r="AJ127" s="457"/>
      <c r="AK127" s="457"/>
      <c r="AL127" s="457"/>
      <c r="AM127" s="457"/>
      <c r="AN127" s="457"/>
      <c r="AO127" s="457"/>
      <c r="AP127" s="457"/>
      <c r="AQ127" s="457"/>
      <c r="AR127" s="457"/>
      <c r="AS127" s="457"/>
      <c r="AT127" s="457"/>
      <c r="AU127" s="457"/>
      <c r="AV127" s="457"/>
      <c r="AW127" s="457"/>
      <c r="AX127" s="457"/>
      <c r="AY127" s="457"/>
      <c r="AZ127" s="981" t="s">
        <v>1473</v>
      </c>
    </row>
    <row r="128" spans="1:52" s="1229" customFormat="1" ht="55.5" customHeight="1">
      <c r="A128" s="1155"/>
      <c r="B128" s="783"/>
      <c r="C128" s="1155"/>
      <c r="D128" s="1155"/>
      <c r="E128" s="676">
        <v>57</v>
      </c>
      <c r="F128" s="779" t="str" cm="1">
        <f t="array" ref="F128">F127</f>
        <v>2</v>
      </c>
      <c r="G128" s="620" t="s">
        <v>1445</v>
      </c>
      <c r="H128" s="814"/>
      <c r="I128" s="814"/>
      <c r="J128" s="814"/>
      <c r="K128" s="814"/>
      <c r="L128" s="814"/>
      <c r="M128" s="814"/>
      <c r="N128" s="814"/>
      <c r="O128" s="814"/>
      <c r="P128" s="814"/>
      <c r="Q128" s="784"/>
      <c r="R128" s="784"/>
      <c r="S128" s="814"/>
      <c r="T128" s="698" t="b" cm="1">
        <f t="array" ref="T128">T127</f>
        <v>1</v>
      </c>
      <c r="U128" s="1155"/>
      <c r="V128" s="1155"/>
      <c r="W128" s="1155"/>
      <c r="X128" s="1687"/>
      <c r="Y128" s="1155"/>
      <c r="Z128" s="1687"/>
      <c r="AA128" s="791"/>
      <c r="AB128" s="124" t="s">
        <v>1474</v>
      </c>
      <c r="AC128" s="488" t="s">
        <v>1475</v>
      </c>
      <c r="AD128" s="120" t="s">
        <v>1476</v>
      </c>
      <c r="AE128" s="528" t="s">
        <v>1460</v>
      </c>
      <c r="AF128" s="1291">
        <f ca="1">SUMIFS('Ресурсы (5.4)'!AF$26:AF$57,'Ресурсы (5.4)'!$F$26:$F$57,$F128,'Ресурсы (5.4)'!$G$26:$G$57,$G128)</f>
        <v>0</v>
      </c>
      <c r="AG128" s="1291">
        <f ca="1">SUMIFS('Ресурсы (5.4)'!AG$26:AG$57,'Ресурсы (5.4)'!$F$26:$F$57,$F128,'Ресурсы (5.4)'!$G$26:$G$57,$G128)</f>
        <v>0</v>
      </c>
      <c r="AH128" s="457"/>
      <c r="AI128" s="457"/>
      <c r="AJ128" s="457"/>
      <c r="AK128" s="457"/>
      <c r="AL128" s="457"/>
      <c r="AM128" s="457"/>
      <c r="AN128" s="457"/>
      <c r="AO128" s="457"/>
      <c r="AP128" s="457"/>
      <c r="AQ128" s="457"/>
      <c r="AR128" s="457"/>
      <c r="AS128" s="457"/>
      <c r="AT128" s="457"/>
      <c r="AU128" s="457"/>
      <c r="AV128" s="457"/>
      <c r="AW128" s="457"/>
      <c r="AX128" s="457"/>
      <c r="AY128" s="457"/>
      <c r="AZ128" s="981" t="s">
        <v>1477</v>
      </c>
    </row>
    <row r="129" spans="1:52" s="1229" customFormat="1" ht="24.75" customHeight="1">
      <c r="A129" s="1155"/>
      <c r="B129" s="783"/>
      <c r="C129" s="1155"/>
      <c r="D129" s="1155"/>
      <c r="E129" s="676">
        <v>25.5</v>
      </c>
      <c r="F129" s="779" t="str" cm="1">
        <f t="array" ref="F129">F128</f>
        <v>2</v>
      </c>
      <c r="G129" s="814"/>
      <c r="H129" s="814"/>
      <c r="I129" s="814"/>
      <c r="J129" s="814"/>
      <c r="K129" s="814"/>
      <c r="L129" s="814"/>
      <c r="M129" s="814"/>
      <c r="N129" s="814"/>
      <c r="O129" s="814"/>
      <c r="P129" s="814"/>
      <c r="Q129" s="784"/>
      <c r="R129" s="784"/>
      <c r="S129" s="814"/>
      <c r="T129" s="698" t="b" cm="1">
        <f t="array" ref="T129">T128</f>
        <v>1</v>
      </c>
      <c r="U129" s="1155"/>
      <c r="V129" s="1155"/>
      <c r="W129" s="1155"/>
      <c r="X129" s="1687"/>
      <c r="Y129" s="1155"/>
      <c r="Z129" s="1687"/>
      <c r="AA129" s="791"/>
      <c r="AB129" s="124" t="s">
        <v>1478</v>
      </c>
      <c r="AC129" s="532" t="s">
        <v>1479</v>
      </c>
      <c r="AD129" s="120" t="s">
        <v>1480</v>
      </c>
      <c r="AE129" s="528" t="s">
        <v>807</v>
      </c>
      <c r="AF129" s="1291"/>
      <c r="AG129" s="1291"/>
      <c r="AH129" s="457"/>
      <c r="AI129" s="457"/>
      <c r="AJ129" s="457"/>
      <c r="AK129" s="457"/>
      <c r="AL129" s="457"/>
      <c r="AM129" s="457"/>
      <c r="AN129" s="457"/>
      <c r="AO129" s="457"/>
      <c r="AP129" s="457"/>
      <c r="AQ129" s="457"/>
      <c r="AR129" s="457"/>
      <c r="AS129" s="457"/>
      <c r="AT129" s="457"/>
      <c r="AU129" s="457"/>
      <c r="AV129" s="457"/>
      <c r="AW129" s="457"/>
      <c r="AX129" s="457"/>
      <c r="AY129" s="457"/>
      <c r="AZ129" s="981" t="s">
        <v>1481</v>
      </c>
    </row>
    <row r="130" spans="1:52" s="1229" customFormat="1" ht="38.25" customHeight="1">
      <c r="A130" s="1155"/>
      <c r="B130" s="783"/>
      <c r="C130" s="1155"/>
      <c r="D130" s="1155"/>
      <c r="E130" s="676">
        <v>39.799999999999997</v>
      </c>
      <c r="F130" s="779" t="str" cm="1">
        <f t="array" ref="F130">F129</f>
        <v>2</v>
      </c>
      <c r="G130" s="814"/>
      <c r="H130" s="814"/>
      <c r="I130" s="814"/>
      <c r="J130" s="814"/>
      <c r="K130" s="814"/>
      <c r="L130" s="814"/>
      <c r="M130" s="814"/>
      <c r="N130" s="814"/>
      <c r="O130" s="814"/>
      <c r="P130" s="814"/>
      <c r="Q130" s="784"/>
      <c r="R130" s="784"/>
      <c r="S130" s="814"/>
      <c r="T130" s="698" t="b" cm="1">
        <f t="array" ref="T130">T129</f>
        <v>1</v>
      </c>
      <c r="U130" s="1155"/>
      <c r="V130" s="1155"/>
      <c r="W130" s="1155"/>
      <c r="X130" s="1687"/>
      <c r="Y130" s="1155"/>
      <c r="Z130" s="1687"/>
      <c r="AA130" s="791"/>
      <c r="AB130" s="124" t="s">
        <v>1482</v>
      </c>
      <c r="AC130" s="532" t="s">
        <v>1483</v>
      </c>
      <c r="AD130" s="120" t="s">
        <v>1484</v>
      </c>
      <c r="AE130" s="528" t="s">
        <v>634</v>
      </c>
      <c r="AF130" s="1291"/>
      <c r="AG130" s="1291"/>
      <c r="AH130" s="457"/>
      <c r="AI130" s="457"/>
      <c r="AJ130" s="457"/>
      <c r="AK130" s="457"/>
      <c r="AL130" s="457"/>
      <c r="AM130" s="457"/>
      <c r="AN130" s="457"/>
      <c r="AO130" s="457"/>
      <c r="AP130" s="457"/>
      <c r="AQ130" s="457"/>
      <c r="AR130" s="457"/>
      <c r="AS130" s="457"/>
      <c r="AT130" s="457"/>
      <c r="AU130" s="457"/>
      <c r="AV130" s="457"/>
      <c r="AW130" s="457"/>
      <c r="AX130" s="457"/>
      <c r="AY130" s="457"/>
      <c r="AZ130" s="981" t="s">
        <v>1485</v>
      </c>
    </row>
    <row r="131" spans="1:52" s="1229" customFormat="1" ht="23.25" customHeight="1">
      <c r="A131" s="1155"/>
      <c r="B131" s="783"/>
      <c r="C131" s="1155"/>
      <c r="D131" s="1155"/>
      <c r="E131" s="676">
        <v>24</v>
      </c>
      <c r="F131" s="779" t="str" cm="1">
        <f t="array" ref="F131">F130</f>
        <v>2</v>
      </c>
      <c r="G131" s="814"/>
      <c r="H131" s="814"/>
      <c r="I131" s="814"/>
      <c r="J131" s="814"/>
      <c r="K131" s="814"/>
      <c r="L131" s="814"/>
      <c r="M131" s="814"/>
      <c r="N131" s="814"/>
      <c r="O131" s="814"/>
      <c r="P131" s="814"/>
      <c r="Q131" s="784"/>
      <c r="R131" s="784"/>
      <c r="S131" s="814"/>
      <c r="T131" s="698" t="b" cm="1">
        <f t="array" ref="T131">T130</f>
        <v>1</v>
      </c>
      <c r="U131" s="1155"/>
      <c r="V131" s="1155"/>
      <c r="W131" s="1155"/>
      <c r="X131" s="1687"/>
      <c r="Y131" s="1155"/>
      <c r="Z131" s="1687"/>
      <c r="AA131" s="791"/>
      <c r="AB131" s="124" t="s">
        <v>1486</v>
      </c>
      <c r="AC131" s="532" t="s">
        <v>1487</v>
      </c>
      <c r="AD131" s="120" t="s">
        <v>1602</v>
      </c>
      <c r="AE131" s="528" t="s">
        <v>1489</v>
      </c>
      <c r="AF131" s="1291"/>
      <c r="AG131" s="1291"/>
      <c r="AH131" s="457"/>
      <c r="AI131" s="457"/>
      <c r="AJ131" s="457"/>
      <c r="AK131" s="457"/>
      <c r="AL131" s="457"/>
      <c r="AM131" s="457"/>
      <c r="AN131" s="457"/>
      <c r="AO131" s="457"/>
      <c r="AP131" s="457"/>
      <c r="AQ131" s="457"/>
      <c r="AR131" s="457"/>
      <c r="AS131" s="457"/>
      <c r="AT131" s="457"/>
      <c r="AU131" s="457"/>
      <c r="AV131" s="457"/>
      <c r="AW131" s="457"/>
      <c r="AX131" s="457"/>
      <c r="AY131" s="457"/>
      <c r="AZ131" s="981" t="s">
        <v>1490</v>
      </c>
    </row>
    <row r="132" spans="1:52" s="1229" customFormat="1" ht="56.25" customHeight="1">
      <c r="A132" s="1155"/>
      <c r="B132" s="783"/>
      <c r="C132" s="1155"/>
      <c r="D132" s="1155"/>
      <c r="E132" s="676">
        <v>57.8</v>
      </c>
      <c r="F132" s="779" t="str" cm="1">
        <f t="array" ref="F132">F131</f>
        <v>2</v>
      </c>
      <c r="G132" s="814"/>
      <c r="H132" s="814"/>
      <c r="I132" s="814"/>
      <c r="J132" s="814"/>
      <c r="K132" s="814"/>
      <c r="L132" s="814"/>
      <c r="M132" s="814"/>
      <c r="N132" s="814"/>
      <c r="O132" s="814"/>
      <c r="P132" s="814"/>
      <c r="Q132" s="784"/>
      <c r="R132" s="784"/>
      <c r="S132" s="814"/>
      <c r="T132" s="698" t="b" cm="1">
        <f t="array" ref="T132">T131</f>
        <v>1</v>
      </c>
      <c r="U132" s="1155"/>
      <c r="V132" s="1155"/>
      <c r="W132" s="1155"/>
      <c r="X132" s="1687"/>
      <c r="Y132" s="1155"/>
      <c r="Z132" s="1687"/>
      <c r="AA132" s="791"/>
      <c r="AB132" s="124" t="s">
        <v>1491</v>
      </c>
      <c r="AC132" s="471" t="s">
        <v>1492</v>
      </c>
      <c r="AD132" s="120" t="s">
        <v>1493</v>
      </c>
      <c r="AE132" s="528" t="s">
        <v>1460</v>
      </c>
      <c r="AF132" s="311">
        <f ca="1">AF133+AF138+AF143+AF148</f>
        <v>0</v>
      </c>
      <c r="AG132" s="311">
        <f ca="1">AG133+AG138+AG143+AG148</f>
        <v>0</v>
      </c>
      <c r="AH132" s="457"/>
      <c r="AI132" s="457"/>
      <c r="AJ132" s="457"/>
      <c r="AK132" s="457"/>
      <c r="AL132" s="457"/>
      <c r="AM132" s="457"/>
      <c r="AN132" s="457"/>
      <c r="AO132" s="457"/>
      <c r="AP132" s="457"/>
      <c r="AQ132" s="457"/>
      <c r="AR132" s="457"/>
      <c r="AS132" s="457"/>
      <c r="AT132" s="457"/>
      <c r="AU132" s="457"/>
      <c r="AV132" s="457"/>
      <c r="AW132" s="457"/>
      <c r="AX132" s="457"/>
      <c r="AY132" s="457"/>
      <c r="AZ132" s="981" t="s">
        <v>1494</v>
      </c>
    </row>
    <row r="133" spans="1:52" s="1229" customFormat="1" ht="19.5" customHeight="1">
      <c r="A133" s="1155"/>
      <c r="B133" s="783"/>
      <c r="C133" s="1155"/>
      <c r="D133" s="1155"/>
      <c r="E133" s="676">
        <v>20.3</v>
      </c>
      <c r="F133" s="779" t="str" cm="1">
        <f t="array" ref="F133">F132</f>
        <v>2</v>
      </c>
      <c r="G133" s="620" t="s">
        <v>983</v>
      </c>
      <c r="H133" s="814"/>
      <c r="I133" s="814"/>
      <c r="J133" s="814"/>
      <c r="K133" s="814"/>
      <c r="L133" s="814"/>
      <c r="M133" s="814"/>
      <c r="N133" s="814"/>
      <c r="O133" s="814"/>
      <c r="P133" s="814"/>
      <c r="Q133" s="784"/>
      <c r="R133" s="784"/>
      <c r="S133" s="814"/>
      <c r="T133" s="698" t="b" cm="1">
        <f t="array" ref="T133">T132</f>
        <v>1</v>
      </c>
      <c r="U133" s="1155"/>
      <c r="V133" s="1155"/>
      <c r="W133" s="1155"/>
      <c r="X133" s="1687"/>
      <c r="Y133" s="1155"/>
      <c r="Z133" s="1687"/>
      <c r="AA133" s="791"/>
      <c r="AB133" s="124" t="s">
        <v>1495</v>
      </c>
      <c r="AC133" s="488" t="s">
        <v>1496</v>
      </c>
      <c r="AD133" s="530"/>
      <c r="AE133" s="528" t="s">
        <v>1460</v>
      </c>
      <c r="AF133" s="1291">
        <f ca="1">SUMIFS('Ресурсы (5.4)'!AF$26:AF$57,'Ресурсы (5.4)'!$F$26:$F$57,$F133,'Ресурсы (5.4)'!$G$26:$G$57,$G133)</f>
        <v>0</v>
      </c>
      <c r="AG133" s="1291">
        <f ca="1">SUMIFS('Ресурсы (5.4)'!AG$26:AG$57,'Ресурсы (5.4)'!$F$26:$F$57,$F133,'Ресурсы (5.4)'!$G$26:$G$57,$G133)</f>
        <v>0</v>
      </c>
      <c r="AH133" s="457"/>
      <c r="AI133" s="457"/>
      <c r="AJ133" s="457"/>
      <c r="AK133" s="457"/>
      <c r="AL133" s="457"/>
      <c r="AM133" s="457"/>
      <c r="AN133" s="457"/>
      <c r="AO133" s="457"/>
      <c r="AP133" s="457"/>
      <c r="AQ133" s="457"/>
      <c r="AR133" s="457"/>
      <c r="AS133" s="457"/>
      <c r="AT133" s="457"/>
      <c r="AU133" s="457"/>
      <c r="AV133" s="457"/>
      <c r="AW133" s="457"/>
      <c r="AX133" s="457"/>
      <c r="AY133" s="457"/>
      <c r="AZ133" s="981" t="s">
        <v>1497</v>
      </c>
    </row>
    <row r="134" spans="1:52" s="1229" customFormat="1" ht="27" customHeight="1">
      <c r="A134" s="1155"/>
      <c r="B134" s="783"/>
      <c r="C134" s="1155"/>
      <c r="D134" s="1155"/>
      <c r="E134" s="676">
        <v>27.8</v>
      </c>
      <c r="F134" s="779" t="str" cm="1">
        <f t="array" ref="F134">F133</f>
        <v>2</v>
      </c>
      <c r="G134" s="814"/>
      <c r="H134" s="814"/>
      <c r="I134" s="814"/>
      <c r="J134" s="814"/>
      <c r="K134" s="814"/>
      <c r="L134" s="814"/>
      <c r="M134" s="814"/>
      <c r="N134" s="814"/>
      <c r="O134" s="814"/>
      <c r="P134" s="814"/>
      <c r="Q134" s="784"/>
      <c r="R134" s="784"/>
      <c r="S134" s="814"/>
      <c r="T134" s="698" t="b" cm="1">
        <f t="array" ref="T134">T133</f>
        <v>1</v>
      </c>
      <c r="U134" s="1155"/>
      <c r="V134" s="1155"/>
      <c r="W134" s="1155"/>
      <c r="X134" s="1687"/>
      <c r="Y134" s="1155"/>
      <c r="Z134" s="1687"/>
      <c r="AA134" s="791"/>
      <c r="AB134" s="124" t="s">
        <v>1498</v>
      </c>
      <c r="AC134" s="532" t="s">
        <v>1499</v>
      </c>
      <c r="AD134" s="120" t="s">
        <v>1603</v>
      </c>
      <c r="AE134" s="108" t="s">
        <v>1501</v>
      </c>
      <c r="AF134" s="1291"/>
      <c r="AG134" s="1291"/>
      <c r="AH134" s="457"/>
      <c r="AI134" s="457"/>
      <c r="AJ134" s="457"/>
      <c r="AK134" s="457"/>
      <c r="AL134" s="457"/>
      <c r="AM134" s="457"/>
      <c r="AN134" s="457"/>
      <c r="AO134" s="457"/>
      <c r="AP134" s="457"/>
      <c r="AQ134" s="457"/>
      <c r="AR134" s="457"/>
      <c r="AS134" s="457"/>
      <c r="AT134" s="457"/>
      <c r="AU134" s="457"/>
      <c r="AV134" s="457"/>
      <c r="AW134" s="457"/>
      <c r="AX134" s="457"/>
      <c r="AY134" s="457"/>
      <c r="AZ134" s="981" t="s">
        <v>1004</v>
      </c>
    </row>
    <row r="135" spans="1:52" s="1229" customFormat="1" ht="26.25" customHeight="1">
      <c r="A135" s="1155"/>
      <c r="B135" s="783"/>
      <c r="C135" s="1155"/>
      <c r="D135" s="1155"/>
      <c r="E135" s="676">
        <v>27</v>
      </c>
      <c r="F135" s="779" t="str" cm="1">
        <f t="array" ref="F135">F134</f>
        <v>2</v>
      </c>
      <c r="G135" s="814"/>
      <c r="H135" s="814"/>
      <c r="I135" s="814"/>
      <c r="J135" s="814"/>
      <c r="K135" s="814"/>
      <c r="L135" s="814"/>
      <c r="M135" s="814"/>
      <c r="N135" s="814"/>
      <c r="O135" s="814"/>
      <c r="P135" s="814"/>
      <c r="Q135" s="784"/>
      <c r="R135" s="784"/>
      <c r="S135" s="814"/>
      <c r="T135" s="698" t="b" cm="1">
        <f t="array" ref="T135">T134</f>
        <v>1</v>
      </c>
      <c r="U135" s="1155"/>
      <c r="V135" s="1155"/>
      <c r="W135" s="1155"/>
      <c r="X135" s="1687"/>
      <c r="Y135" s="1155"/>
      <c r="Z135" s="1687"/>
      <c r="AA135" s="791"/>
      <c r="AB135" s="124" t="s">
        <v>1502</v>
      </c>
      <c r="AC135" s="532" t="s">
        <v>1503</v>
      </c>
      <c r="AD135" s="120" t="s">
        <v>1604</v>
      </c>
      <c r="AE135" s="528" t="s">
        <v>634</v>
      </c>
      <c r="AF135" s="1291"/>
      <c r="AG135" s="1291"/>
      <c r="AH135" s="457"/>
      <c r="AI135" s="457"/>
      <c r="AJ135" s="457"/>
      <c r="AK135" s="457"/>
      <c r="AL135" s="457"/>
      <c r="AM135" s="457"/>
      <c r="AN135" s="457"/>
      <c r="AO135" s="457"/>
      <c r="AP135" s="457"/>
      <c r="AQ135" s="457"/>
      <c r="AR135" s="457"/>
      <c r="AS135" s="457"/>
      <c r="AT135" s="457"/>
      <c r="AU135" s="457"/>
      <c r="AV135" s="457"/>
      <c r="AW135" s="457"/>
      <c r="AX135" s="457"/>
      <c r="AY135" s="457"/>
      <c r="AZ135" s="981" t="s">
        <v>1505</v>
      </c>
    </row>
    <row r="136" spans="1:52" s="1229" customFormat="1" ht="28.5" customHeight="1">
      <c r="A136" s="1155"/>
      <c r="B136" s="783"/>
      <c r="C136" s="1155"/>
      <c r="D136" s="1155"/>
      <c r="E136" s="676">
        <v>29.3</v>
      </c>
      <c r="F136" s="779" t="str" cm="1">
        <f t="array" ref="F136">F135</f>
        <v>2</v>
      </c>
      <c r="G136" s="814"/>
      <c r="H136" s="814"/>
      <c r="I136" s="814"/>
      <c r="J136" s="814"/>
      <c r="K136" s="814"/>
      <c r="L136" s="814"/>
      <c r="M136" s="814"/>
      <c r="N136" s="814"/>
      <c r="O136" s="814"/>
      <c r="P136" s="814"/>
      <c r="Q136" s="784"/>
      <c r="R136" s="784"/>
      <c r="S136" s="814"/>
      <c r="T136" s="698" t="b" cm="1">
        <f t="array" ref="T136">T135</f>
        <v>1</v>
      </c>
      <c r="U136" s="1155"/>
      <c r="V136" s="1155"/>
      <c r="W136" s="1155"/>
      <c r="X136" s="1687"/>
      <c r="Y136" s="1155"/>
      <c r="Z136" s="1687"/>
      <c r="AA136" s="791"/>
      <c r="AB136" s="124" t="s">
        <v>1506</v>
      </c>
      <c r="AC136" s="532" t="s">
        <v>1507</v>
      </c>
      <c r="AD136" s="120" t="s">
        <v>1605</v>
      </c>
      <c r="AE136" s="528" t="s">
        <v>634</v>
      </c>
      <c r="AF136" s="1291"/>
      <c r="AG136" s="1291"/>
      <c r="AH136" s="457"/>
      <c r="AI136" s="457"/>
      <c r="AJ136" s="457"/>
      <c r="AK136" s="457"/>
      <c r="AL136" s="457"/>
      <c r="AM136" s="457"/>
      <c r="AN136" s="457"/>
      <c r="AO136" s="457"/>
      <c r="AP136" s="457"/>
      <c r="AQ136" s="457"/>
      <c r="AR136" s="457"/>
      <c r="AS136" s="457"/>
      <c r="AT136" s="457"/>
      <c r="AU136" s="457"/>
      <c r="AV136" s="457"/>
      <c r="AW136" s="457"/>
      <c r="AX136" s="457"/>
      <c r="AY136" s="457"/>
      <c r="AZ136" s="981" t="s">
        <v>1509</v>
      </c>
    </row>
    <row r="137" spans="1:52" s="1229" customFormat="1" ht="33" customHeight="1">
      <c r="A137" s="1155"/>
      <c r="B137" s="783"/>
      <c r="C137" s="1155"/>
      <c r="D137" s="1155"/>
      <c r="E137" s="676">
        <v>34.5</v>
      </c>
      <c r="F137" s="779" t="str" cm="1">
        <f t="array" ref="F137">F136</f>
        <v>2</v>
      </c>
      <c r="G137" s="814"/>
      <c r="H137" s="814"/>
      <c r="I137" s="814"/>
      <c r="J137" s="814"/>
      <c r="K137" s="814"/>
      <c r="L137" s="814"/>
      <c r="M137" s="814"/>
      <c r="N137" s="814"/>
      <c r="O137" s="814"/>
      <c r="P137" s="814"/>
      <c r="Q137" s="784"/>
      <c r="R137" s="784"/>
      <c r="S137" s="814"/>
      <c r="T137" s="698" t="b" cm="1">
        <f t="array" ref="T137">T136</f>
        <v>1</v>
      </c>
      <c r="U137" s="1155"/>
      <c r="V137" s="1155"/>
      <c r="W137" s="1155"/>
      <c r="X137" s="1687"/>
      <c r="Y137" s="1155"/>
      <c r="Z137" s="1687"/>
      <c r="AA137" s="791"/>
      <c r="AB137" s="124" t="s">
        <v>1510</v>
      </c>
      <c r="AC137" s="532" t="s">
        <v>1511</v>
      </c>
      <c r="AD137" s="120" t="s">
        <v>1606</v>
      </c>
      <c r="AE137" s="528" t="s">
        <v>993</v>
      </c>
      <c r="AF137" s="1291"/>
      <c r="AG137" s="1291"/>
      <c r="AH137" s="457"/>
      <c r="AI137" s="457"/>
      <c r="AJ137" s="457"/>
      <c r="AK137" s="457"/>
      <c r="AL137" s="457"/>
      <c r="AM137" s="457"/>
      <c r="AN137" s="457"/>
      <c r="AO137" s="457"/>
      <c r="AP137" s="457"/>
      <c r="AQ137" s="457"/>
      <c r="AR137" s="457"/>
      <c r="AS137" s="457"/>
      <c r="AT137" s="457"/>
      <c r="AU137" s="457"/>
      <c r="AV137" s="457"/>
      <c r="AW137" s="457"/>
      <c r="AX137" s="457"/>
      <c r="AY137" s="457"/>
      <c r="AZ137" s="981" t="s">
        <v>1513</v>
      </c>
    </row>
    <row r="138" spans="1:52" s="1229" customFormat="1" ht="16.5" customHeight="1">
      <c r="A138" s="1155"/>
      <c r="B138" s="783"/>
      <c r="C138" s="1155"/>
      <c r="D138" s="1155"/>
      <c r="E138" s="676">
        <v>17.3</v>
      </c>
      <c r="F138" s="779" t="str" cm="1">
        <f t="array" ref="F138">F137</f>
        <v>2</v>
      </c>
      <c r="G138" s="620" t="s">
        <v>1050</v>
      </c>
      <c r="H138" s="814"/>
      <c r="I138" s="814"/>
      <c r="J138" s="814"/>
      <c r="K138" s="814"/>
      <c r="L138" s="814"/>
      <c r="M138" s="814"/>
      <c r="N138" s="814"/>
      <c r="O138" s="814"/>
      <c r="P138" s="814"/>
      <c r="Q138" s="784"/>
      <c r="R138" s="784"/>
      <c r="S138" s="814"/>
      <c r="T138" s="698" t="b" cm="1">
        <f t="array" ref="T138">T137</f>
        <v>1</v>
      </c>
      <c r="U138" s="1155"/>
      <c r="V138" s="1155"/>
      <c r="W138" s="1155"/>
      <c r="X138" s="1687"/>
      <c r="Y138" s="1155"/>
      <c r="Z138" s="1687"/>
      <c r="AA138" s="791"/>
      <c r="AB138" s="124" t="s">
        <v>1514</v>
      </c>
      <c r="AC138" s="488" t="s">
        <v>1515</v>
      </c>
      <c r="AD138" s="530"/>
      <c r="AE138" s="528" t="s">
        <v>1460</v>
      </c>
      <c r="AF138" s="1291">
        <f ca="1">SUMIFS('Ресурсы (5.4)'!AF$26:AF$57,'Ресурсы (5.4)'!$F$26:$F$57,$F138,'Ресурсы (5.4)'!$G$26:$G$57,$G138)</f>
        <v>0</v>
      </c>
      <c r="AG138" s="1291">
        <f ca="1">SUMIFS('Ресурсы (5.4)'!AG$26:AG$57,'Ресурсы (5.4)'!$F$26:$F$57,$F138,'Ресурсы (5.4)'!$G$26:$G$57,$G138)</f>
        <v>0</v>
      </c>
      <c r="AH138" s="457"/>
      <c r="AI138" s="457"/>
      <c r="AJ138" s="457"/>
      <c r="AK138" s="457"/>
      <c r="AL138" s="457"/>
      <c r="AM138" s="457"/>
      <c r="AN138" s="457"/>
      <c r="AO138" s="457"/>
      <c r="AP138" s="457"/>
      <c r="AQ138" s="457"/>
      <c r="AR138" s="457"/>
      <c r="AS138" s="457"/>
      <c r="AT138" s="457"/>
      <c r="AU138" s="457"/>
      <c r="AV138" s="457"/>
      <c r="AW138" s="457"/>
      <c r="AX138" s="457"/>
      <c r="AY138" s="457"/>
      <c r="AZ138" s="981" t="s">
        <v>1516</v>
      </c>
    </row>
    <row r="139" spans="1:52" s="1229" customFormat="1" ht="30" customHeight="1">
      <c r="A139" s="1155"/>
      <c r="B139" s="783"/>
      <c r="C139" s="1155"/>
      <c r="D139" s="1155"/>
      <c r="E139" s="676">
        <v>30.8</v>
      </c>
      <c r="F139" s="779" t="str" cm="1">
        <f t="array" ref="F139">F138</f>
        <v>2</v>
      </c>
      <c r="G139" s="814"/>
      <c r="H139" s="814"/>
      <c r="I139" s="814"/>
      <c r="J139" s="814"/>
      <c r="K139" s="814"/>
      <c r="L139" s="814"/>
      <c r="M139" s="814"/>
      <c r="N139" s="814"/>
      <c r="O139" s="814"/>
      <c r="P139" s="814"/>
      <c r="Q139" s="784"/>
      <c r="R139" s="784"/>
      <c r="S139" s="814"/>
      <c r="T139" s="698" t="b" cm="1">
        <f t="array" ref="T139">T138</f>
        <v>1</v>
      </c>
      <c r="U139" s="1155"/>
      <c r="V139" s="1155"/>
      <c r="W139" s="1155"/>
      <c r="X139" s="1687"/>
      <c r="Y139" s="1155"/>
      <c r="Z139" s="1687"/>
      <c r="AA139" s="791"/>
      <c r="AB139" s="124" t="s">
        <v>1517</v>
      </c>
      <c r="AC139" s="532" t="s">
        <v>1518</v>
      </c>
      <c r="AD139" s="120" t="s">
        <v>1607</v>
      </c>
      <c r="AE139" s="528" t="s">
        <v>1520</v>
      </c>
      <c r="AF139" s="1291"/>
      <c r="AG139" s="1291"/>
      <c r="AH139" s="457"/>
      <c r="AI139" s="457"/>
      <c r="AJ139" s="457"/>
      <c r="AK139" s="457"/>
      <c r="AL139" s="457"/>
      <c r="AM139" s="457"/>
      <c r="AN139" s="457"/>
      <c r="AO139" s="457"/>
      <c r="AP139" s="457"/>
      <c r="AQ139" s="457"/>
      <c r="AR139" s="457"/>
      <c r="AS139" s="457"/>
      <c r="AT139" s="457"/>
      <c r="AU139" s="457"/>
      <c r="AV139" s="457"/>
      <c r="AW139" s="457"/>
      <c r="AX139" s="457"/>
      <c r="AY139" s="457"/>
      <c r="AZ139" s="981" t="s">
        <v>1059</v>
      </c>
    </row>
    <row r="140" spans="1:52" s="1229" customFormat="1" ht="30" customHeight="1">
      <c r="A140" s="1155"/>
      <c r="B140" s="783"/>
      <c r="C140" s="1155"/>
      <c r="D140" s="1155"/>
      <c r="E140" s="676">
        <v>30.8</v>
      </c>
      <c r="F140" s="779" t="str" cm="1">
        <f t="array" ref="F140">F139</f>
        <v>2</v>
      </c>
      <c r="G140" s="814"/>
      <c r="H140" s="814"/>
      <c r="I140" s="814"/>
      <c r="J140" s="814"/>
      <c r="K140" s="814"/>
      <c r="L140" s="814"/>
      <c r="M140" s="814"/>
      <c r="N140" s="814"/>
      <c r="O140" s="814"/>
      <c r="P140" s="814"/>
      <c r="Q140" s="784"/>
      <c r="R140" s="784"/>
      <c r="S140" s="814"/>
      <c r="T140" s="698" t="b" cm="1">
        <f t="array" ref="T140">T139</f>
        <v>1</v>
      </c>
      <c r="U140" s="1155"/>
      <c r="V140" s="1155"/>
      <c r="W140" s="1155"/>
      <c r="X140" s="1687"/>
      <c r="Y140" s="1155"/>
      <c r="Z140" s="1687"/>
      <c r="AA140" s="791"/>
      <c r="AB140" s="124" t="s">
        <v>1521</v>
      </c>
      <c r="AC140" s="532" t="s">
        <v>1503</v>
      </c>
      <c r="AD140" s="120" t="s">
        <v>1604</v>
      </c>
      <c r="AE140" s="528" t="s">
        <v>634</v>
      </c>
      <c r="AF140" s="1291"/>
      <c r="AG140" s="1291"/>
      <c r="AH140" s="457"/>
      <c r="AI140" s="457"/>
      <c r="AJ140" s="457"/>
      <c r="AK140" s="457"/>
      <c r="AL140" s="457"/>
      <c r="AM140" s="457"/>
      <c r="AN140" s="457"/>
      <c r="AO140" s="457"/>
      <c r="AP140" s="457"/>
      <c r="AQ140" s="457"/>
      <c r="AR140" s="457"/>
      <c r="AS140" s="457"/>
      <c r="AT140" s="457"/>
      <c r="AU140" s="457"/>
      <c r="AV140" s="457"/>
      <c r="AW140" s="457"/>
      <c r="AX140" s="457"/>
      <c r="AY140" s="457"/>
      <c r="AZ140" s="981" t="s">
        <v>1522</v>
      </c>
    </row>
    <row r="141" spans="1:52" s="1229" customFormat="1" ht="29.25" customHeight="1">
      <c r="A141" s="1155"/>
      <c r="B141" s="783"/>
      <c r="C141" s="1155"/>
      <c r="D141" s="1155"/>
      <c r="E141" s="676">
        <v>30</v>
      </c>
      <c r="F141" s="779" t="str" cm="1">
        <f t="array" ref="F141">F140</f>
        <v>2</v>
      </c>
      <c r="G141" s="814"/>
      <c r="H141" s="814"/>
      <c r="I141" s="814"/>
      <c r="J141" s="814"/>
      <c r="K141" s="814"/>
      <c r="L141" s="814"/>
      <c r="M141" s="814"/>
      <c r="N141" s="814"/>
      <c r="O141" s="814"/>
      <c r="P141" s="814"/>
      <c r="Q141" s="784"/>
      <c r="R141" s="784"/>
      <c r="S141" s="814"/>
      <c r="T141" s="698" t="b" cm="1">
        <f t="array" ref="T141">T140</f>
        <v>1</v>
      </c>
      <c r="U141" s="1155"/>
      <c r="V141" s="1155"/>
      <c r="W141" s="1155"/>
      <c r="X141" s="1687"/>
      <c r="Y141" s="1155"/>
      <c r="Z141" s="1687"/>
      <c r="AA141" s="791"/>
      <c r="AB141" s="124" t="s">
        <v>1523</v>
      </c>
      <c r="AC141" s="532" t="s">
        <v>1507</v>
      </c>
      <c r="AD141" s="120" t="s">
        <v>1605</v>
      </c>
      <c r="AE141" s="528" t="s">
        <v>634</v>
      </c>
      <c r="AF141" s="1291"/>
      <c r="AG141" s="1291"/>
      <c r="AH141" s="457"/>
      <c r="AI141" s="457"/>
      <c r="AJ141" s="457"/>
      <c r="AK141" s="457"/>
      <c r="AL141" s="457"/>
      <c r="AM141" s="457"/>
      <c r="AN141" s="457"/>
      <c r="AO141" s="457"/>
      <c r="AP141" s="457"/>
      <c r="AQ141" s="457"/>
      <c r="AR141" s="457"/>
      <c r="AS141" s="457"/>
      <c r="AT141" s="457"/>
      <c r="AU141" s="457"/>
      <c r="AV141" s="457"/>
      <c r="AW141" s="457"/>
      <c r="AX141" s="457"/>
      <c r="AY141" s="457"/>
      <c r="AZ141" s="981" t="s">
        <v>1524</v>
      </c>
    </row>
    <row r="142" spans="1:52" s="1229" customFormat="1" ht="21" customHeight="1">
      <c r="A142" s="1155"/>
      <c r="B142" s="783"/>
      <c r="C142" s="1155"/>
      <c r="D142" s="1155"/>
      <c r="E142" s="676">
        <v>21.8</v>
      </c>
      <c r="F142" s="779" t="str" cm="1">
        <f t="array" ref="F142">F141</f>
        <v>2</v>
      </c>
      <c r="G142" s="814"/>
      <c r="H142" s="814"/>
      <c r="I142" s="814"/>
      <c r="J142" s="814"/>
      <c r="K142" s="814"/>
      <c r="L142" s="814"/>
      <c r="M142" s="814"/>
      <c r="N142" s="814"/>
      <c r="O142" s="814"/>
      <c r="P142" s="814"/>
      <c r="Q142" s="784"/>
      <c r="R142" s="784"/>
      <c r="S142" s="814"/>
      <c r="T142" s="698" t="b" cm="1">
        <f t="array" ref="T142">T141</f>
        <v>1</v>
      </c>
      <c r="U142" s="1155"/>
      <c r="V142" s="1155"/>
      <c r="W142" s="1155"/>
      <c r="X142" s="1687"/>
      <c r="Y142" s="1155"/>
      <c r="Z142" s="1687"/>
      <c r="AA142" s="791"/>
      <c r="AB142" s="124" t="s">
        <v>1525</v>
      </c>
      <c r="AC142" s="532" t="s">
        <v>1526</v>
      </c>
      <c r="AD142" s="120" t="s">
        <v>1606</v>
      </c>
      <c r="AE142" s="528" t="s">
        <v>1527</v>
      </c>
      <c r="AF142" s="1291"/>
      <c r="AG142" s="1291"/>
      <c r="AH142" s="457"/>
      <c r="AI142" s="457"/>
      <c r="AJ142" s="457"/>
      <c r="AK142" s="457"/>
      <c r="AL142" s="457"/>
      <c r="AM142" s="457"/>
      <c r="AN142" s="457"/>
      <c r="AO142" s="457"/>
      <c r="AP142" s="457"/>
      <c r="AQ142" s="457"/>
      <c r="AR142" s="457"/>
      <c r="AS142" s="457"/>
      <c r="AT142" s="457"/>
      <c r="AU142" s="457"/>
      <c r="AV142" s="457"/>
      <c r="AW142" s="457"/>
      <c r="AX142" s="457"/>
      <c r="AY142" s="457"/>
      <c r="AZ142" s="981" t="s">
        <v>1528</v>
      </c>
    </row>
    <row r="143" spans="1:52" s="1229" customFormat="1" ht="15.75" customHeight="1">
      <c r="A143" s="1155"/>
      <c r="B143" s="783"/>
      <c r="C143" s="1155"/>
      <c r="D143" s="1155"/>
      <c r="E143" s="676">
        <v>16.5</v>
      </c>
      <c r="F143" s="779" t="str" cm="1">
        <f t="array" ref="F143">F142</f>
        <v>2</v>
      </c>
      <c r="G143" s="620" t="s">
        <v>1018</v>
      </c>
      <c r="H143" s="814"/>
      <c r="I143" s="814"/>
      <c r="J143" s="814"/>
      <c r="K143" s="814"/>
      <c r="L143" s="814"/>
      <c r="M143" s="814"/>
      <c r="N143" s="814"/>
      <c r="O143" s="814"/>
      <c r="P143" s="814"/>
      <c r="Q143" s="784"/>
      <c r="R143" s="784"/>
      <c r="S143" s="814"/>
      <c r="T143" s="698" t="b" cm="1">
        <f t="array" ref="T143">T142</f>
        <v>1</v>
      </c>
      <c r="U143" s="1155"/>
      <c r="V143" s="1155"/>
      <c r="W143" s="1155"/>
      <c r="X143" s="1687"/>
      <c r="Y143" s="1155"/>
      <c r="Z143" s="1687"/>
      <c r="AA143" s="791"/>
      <c r="AB143" s="124" t="s">
        <v>1529</v>
      </c>
      <c r="AC143" s="488" t="s">
        <v>1530</v>
      </c>
      <c r="AD143" s="530"/>
      <c r="AE143" s="528" t="s">
        <v>1460</v>
      </c>
      <c r="AF143" s="1291">
        <f ca="1">SUMIFS('Ресурсы (5.4)'!AF$26:AF$57,'Ресурсы (5.4)'!$F$26:$F$57,$F143,'Ресурсы (5.4)'!$G$26:$G$57,$G143)</f>
        <v>0</v>
      </c>
      <c r="AG143" s="1291">
        <f ca="1">SUMIFS('Ресурсы (5.4)'!AG$26:AG$57,'Ресурсы (5.4)'!$F$26:$F$57,$F143,'Ресурсы (5.4)'!$G$26:$G$57,$G143)</f>
        <v>0</v>
      </c>
      <c r="AH143" s="457"/>
      <c r="AI143" s="457"/>
      <c r="AJ143" s="457"/>
      <c r="AK143" s="457"/>
      <c r="AL143" s="457"/>
      <c r="AM143" s="457"/>
      <c r="AN143" s="457"/>
      <c r="AO143" s="457"/>
      <c r="AP143" s="457"/>
      <c r="AQ143" s="457"/>
      <c r="AR143" s="457"/>
      <c r="AS143" s="457"/>
      <c r="AT143" s="457"/>
      <c r="AU143" s="457"/>
      <c r="AV143" s="457"/>
      <c r="AW143" s="457"/>
      <c r="AX143" s="457"/>
      <c r="AY143" s="457"/>
      <c r="AZ143" s="981" t="s">
        <v>1531</v>
      </c>
    </row>
    <row r="144" spans="1:52" s="1229" customFormat="1" ht="28.5" customHeight="1">
      <c r="A144" s="1155"/>
      <c r="B144" s="783"/>
      <c r="C144" s="1155"/>
      <c r="D144" s="1155"/>
      <c r="E144" s="676">
        <v>29.3</v>
      </c>
      <c r="F144" s="779" t="str" cm="1">
        <f t="array" ref="F144">F143</f>
        <v>2</v>
      </c>
      <c r="G144" s="814"/>
      <c r="H144" s="814"/>
      <c r="I144" s="814"/>
      <c r="J144" s="814"/>
      <c r="K144" s="814"/>
      <c r="L144" s="814"/>
      <c r="M144" s="814"/>
      <c r="N144" s="814"/>
      <c r="O144" s="814"/>
      <c r="P144" s="814"/>
      <c r="Q144" s="784"/>
      <c r="R144" s="784"/>
      <c r="S144" s="814"/>
      <c r="T144" s="698" t="b" cm="1">
        <f t="array" ref="T144">T143</f>
        <v>1</v>
      </c>
      <c r="U144" s="1155"/>
      <c r="V144" s="1155"/>
      <c r="W144" s="1155"/>
      <c r="X144" s="1687"/>
      <c r="Y144" s="1155"/>
      <c r="Z144" s="1687"/>
      <c r="AA144" s="791"/>
      <c r="AB144" s="124" t="s">
        <v>1532</v>
      </c>
      <c r="AC144" s="532" t="s">
        <v>1533</v>
      </c>
      <c r="AD144" s="120" t="s">
        <v>1608</v>
      </c>
      <c r="AE144" s="528" t="s">
        <v>634</v>
      </c>
      <c r="AF144" s="1291"/>
      <c r="AG144" s="1291"/>
      <c r="AH144" s="457"/>
      <c r="AI144" s="457"/>
      <c r="AJ144" s="457"/>
      <c r="AK144" s="457"/>
      <c r="AL144" s="457"/>
      <c r="AM144" s="457"/>
      <c r="AN144" s="457"/>
      <c r="AO144" s="457"/>
      <c r="AP144" s="457"/>
      <c r="AQ144" s="457"/>
      <c r="AR144" s="457"/>
      <c r="AS144" s="457"/>
      <c r="AT144" s="457"/>
      <c r="AU144" s="457"/>
      <c r="AV144" s="457"/>
      <c r="AW144" s="457"/>
      <c r="AX144" s="457"/>
      <c r="AY144" s="457"/>
      <c r="AZ144" s="981" t="s">
        <v>1040</v>
      </c>
    </row>
    <row r="145" spans="1:52" s="1229" customFormat="1" ht="30" customHeight="1">
      <c r="A145" s="1155"/>
      <c r="B145" s="783"/>
      <c r="C145" s="1155"/>
      <c r="D145" s="1155"/>
      <c r="E145" s="676">
        <v>31.5</v>
      </c>
      <c r="F145" s="779" t="str" cm="1">
        <f t="array" ref="F145">F144</f>
        <v>2</v>
      </c>
      <c r="G145" s="814"/>
      <c r="H145" s="814"/>
      <c r="I145" s="814"/>
      <c r="J145" s="814"/>
      <c r="K145" s="814"/>
      <c r="L145" s="814"/>
      <c r="M145" s="814"/>
      <c r="N145" s="814"/>
      <c r="O145" s="814"/>
      <c r="P145" s="814"/>
      <c r="Q145" s="784"/>
      <c r="R145" s="784"/>
      <c r="S145" s="814"/>
      <c r="T145" s="698" t="b" cm="1">
        <f t="array" ref="T145">T144</f>
        <v>1</v>
      </c>
      <c r="U145" s="1155"/>
      <c r="V145" s="1155"/>
      <c r="W145" s="1155"/>
      <c r="X145" s="1687"/>
      <c r="Y145" s="1155"/>
      <c r="Z145" s="1687"/>
      <c r="AA145" s="791"/>
      <c r="AB145" s="124" t="s">
        <v>1535</v>
      </c>
      <c r="AC145" s="532" t="s">
        <v>1503</v>
      </c>
      <c r="AD145" s="120" t="s">
        <v>1604</v>
      </c>
      <c r="AE145" s="528" t="s">
        <v>634</v>
      </c>
      <c r="AF145" s="1291"/>
      <c r="AG145" s="1291"/>
      <c r="AH145" s="457"/>
      <c r="AI145" s="457"/>
      <c r="AJ145" s="457"/>
      <c r="AK145" s="457"/>
      <c r="AL145" s="457"/>
      <c r="AM145" s="457"/>
      <c r="AN145" s="457"/>
      <c r="AO145" s="457"/>
      <c r="AP145" s="457"/>
      <c r="AQ145" s="457"/>
      <c r="AR145" s="457"/>
      <c r="AS145" s="457"/>
      <c r="AT145" s="457"/>
      <c r="AU145" s="457"/>
      <c r="AV145" s="457"/>
      <c r="AW145" s="457"/>
      <c r="AX145" s="457"/>
      <c r="AY145" s="457"/>
      <c r="AZ145" s="981" t="s">
        <v>1485</v>
      </c>
    </row>
    <row r="146" spans="1:52" s="1229" customFormat="1" ht="27.75" customHeight="1">
      <c r="A146" s="1155"/>
      <c r="B146" s="783"/>
      <c r="C146" s="1155"/>
      <c r="D146" s="1155"/>
      <c r="E146" s="676">
        <v>28.5</v>
      </c>
      <c r="F146" s="779" t="str" cm="1">
        <f t="array" ref="F146">F145</f>
        <v>2</v>
      </c>
      <c r="G146" s="814"/>
      <c r="H146" s="814"/>
      <c r="I146" s="814"/>
      <c r="J146" s="814"/>
      <c r="K146" s="814"/>
      <c r="L146" s="814"/>
      <c r="M146" s="814"/>
      <c r="N146" s="814"/>
      <c r="O146" s="814"/>
      <c r="P146" s="814"/>
      <c r="Q146" s="784"/>
      <c r="R146" s="784"/>
      <c r="S146" s="814"/>
      <c r="T146" s="698" t="b" cm="1">
        <f t="array" ref="T146">T145</f>
        <v>1</v>
      </c>
      <c r="U146" s="1155"/>
      <c r="V146" s="1155"/>
      <c r="W146" s="1155"/>
      <c r="X146" s="1687"/>
      <c r="Y146" s="1155"/>
      <c r="Z146" s="1687"/>
      <c r="AA146" s="791"/>
      <c r="AB146" s="124" t="s">
        <v>1536</v>
      </c>
      <c r="AC146" s="532" t="s">
        <v>1507</v>
      </c>
      <c r="AD146" s="120" t="s">
        <v>1605</v>
      </c>
      <c r="AE146" s="528" t="s">
        <v>634</v>
      </c>
      <c r="AF146" s="1291"/>
      <c r="AG146" s="1291"/>
      <c r="AH146" s="457"/>
      <c r="AI146" s="457"/>
      <c r="AJ146" s="457"/>
      <c r="AK146" s="457"/>
      <c r="AL146" s="457"/>
      <c r="AM146" s="457"/>
      <c r="AN146" s="457"/>
      <c r="AO146" s="457"/>
      <c r="AP146" s="457"/>
      <c r="AQ146" s="457"/>
      <c r="AR146" s="457"/>
      <c r="AS146" s="457"/>
      <c r="AT146" s="457"/>
      <c r="AU146" s="457"/>
      <c r="AV146" s="457"/>
      <c r="AW146" s="457"/>
      <c r="AX146" s="457"/>
      <c r="AY146" s="457"/>
      <c r="AZ146" s="981" t="s">
        <v>1537</v>
      </c>
    </row>
    <row r="147" spans="1:52" s="1229" customFormat="1" ht="21.75" customHeight="1">
      <c r="A147" s="1155"/>
      <c r="B147" s="783"/>
      <c r="C147" s="1155"/>
      <c r="D147" s="1155"/>
      <c r="E147" s="676">
        <v>22.8</v>
      </c>
      <c r="F147" s="779" t="str" cm="1">
        <f t="array" ref="F147">F146</f>
        <v>2</v>
      </c>
      <c r="G147" s="814"/>
      <c r="H147" s="814"/>
      <c r="I147" s="814"/>
      <c r="J147" s="814"/>
      <c r="K147" s="814"/>
      <c r="L147" s="814"/>
      <c r="M147" s="814"/>
      <c r="N147" s="814"/>
      <c r="O147" s="814"/>
      <c r="P147" s="814"/>
      <c r="Q147" s="784"/>
      <c r="R147" s="784"/>
      <c r="S147" s="814"/>
      <c r="T147" s="698" t="b" cm="1">
        <f t="array" ref="T147">T146</f>
        <v>1</v>
      </c>
      <c r="U147" s="1155"/>
      <c r="V147" s="1155"/>
      <c r="W147" s="1155"/>
      <c r="X147" s="1687"/>
      <c r="Y147" s="1155"/>
      <c r="Z147" s="1687"/>
      <c r="AA147" s="791"/>
      <c r="AB147" s="124" t="s">
        <v>1538</v>
      </c>
      <c r="AC147" s="532" t="s">
        <v>1539</v>
      </c>
      <c r="AD147" s="120" t="s">
        <v>1606</v>
      </c>
      <c r="AE147" s="528" t="s">
        <v>929</v>
      </c>
      <c r="AF147" s="1291"/>
      <c r="AG147" s="1291"/>
      <c r="AH147" s="457"/>
      <c r="AI147" s="457"/>
      <c r="AJ147" s="457"/>
      <c r="AK147" s="457"/>
      <c r="AL147" s="457"/>
      <c r="AM147" s="457"/>
      <c r="AN147" s="457"/>
      <c r="AO147" s="457"/>
      <c r="AP147" s="457"/>
      <c r="AQ147" s="457"/>
      <c r="AR147" s="457"/>
      <c r="AS147" s="457"/>
      <c r="AT147" s="457"/>
      <c r="AU147" s="457"/>
      <c r="AV147" s="457"/>
      <c r="AW147" s="457"/>
      <c r="AX147" s="457"/>
      <c r="AY147" s="457"/>
      <c r="AZ147" s="981" t="s">
        <v>1540</v>
      </c>
    </row>
    <row r="148" spans="1:52" s="1229" customFormat="1" ht="15.75" customHeight="1">
      <c r="A148" s="1155"/>
      <c r="B148" s="783"/>
      <c r="C148" s="1155"/>
      <c r="D148" s="1155"/>
      <c r="E148" s="676">
        <v>16.5</v>
      </c>
      <c r="F148" s="779" t="str" cm="1">
        <f t="array" ref="F148">F147</f>
        <v>2</v>
      </c>
      <c r="G148" s="620" t="s">
        <v>1061</v>
      </c>
      <c r="H148" s="814"/>
      <c r="I148" s="814"/>
      <c r="J148" s="814"/>
      <c r="K148" s="814"/>
      <c r="L148" s="814"/>
      <c r="M148" s="814"/>
      <c r="N148" s="814"/>
      <c r="O148" s="814"/>
      <c r="P148" s="814"/>
      <c r="Q148" s="784"/>
      <c r="R148" s="784"/>
      <c r="S148" s="814"/>
      <c r="T148" s="698" t="b" cm="1">
        <f t="array" ref="T148">T147</f>
        <v>1</v>
      </c>
      <c r="U148" s="1155"/>
      <c r="V148" s="1155"/>
      <c r="W148" s="1155"/>
      <c r="X148" s="1687"/>
      <c r="Y148" s="1155"/>
      <c r="Z148" s="1687"/>
      <c r="AA148" s="791"/>
      <c r="AB148" s="124" t="s">
        <v>1541</v>
      </c>
      <c r="AC148" s="488" t="s">
        <v>1542</v>
      </c>
      <c r="AD148" s="530"/>
      <c r="AE148" s="528" t="s">
        <v>1460</v>
      </c>
      <c r="AF148" s="1291">
        <f ca="1">SUMIFS('Ресурсы (5.4)'!AF$26:AF$57,'Ресурсы (5.4)'!$F$26:$F$57,$F148,'Ресурсы (5.4)'!$G$26:$G$57,$G148)</f>
        <v>0</v>
      </c>
      <c r="AG148" s="1291">
        <f ca="1">SUMIFS('Ресурсы (5.4)'!AG$26:AG$57,'Ресурсы (5.4)'!$F$26:$F$57,$F148,'Ресурсы (5.4)'!$G$26:$G$57,$G148)</f>
        <v>0</v>
      </c>
      <c r="AH148" s="457"/>
      <c r="AI148" s="457"/>
      <c r="AJ148" s="457"/>
      <c r="AK148" s="457"/>
      <c r="AL148" s="457"/>
      <c r="AM148" s="457"/>
      <c r="AN148" s="457"/>
      <c r="AO148" s="457"/>
      <c r="AP148" s="457"/>
      <c r="AQ148" s="457"/>
      <c r="AR148" s="457"/>
      <c r="AS148" s="457"/>
      <c r="AT148" s="457"/>
      <c r="AU148" s="457"/>
      <c r="AV148" s="457"/>
      <c r="AW148" s="457"/>
      <c r="AX148" s="457"/>
      <c r="AY148" s="457"/>
      <c r="AZ148" s="981" t="s">
        <v>1543</v>
      </c>
    </row>
    <row r="149" spans="1:52" s="1229" customFormat="1" ht="28.5" customHeight="1">
      <c r="A149" s="1155"/>
      <c r="B149" s="783"/>
      <c r="C149" s="1155"/>
      <c r="D149" s="1155"/>
      <c r="E149" s="676">
        <v>29.3</v>
      </c>
      <c r="F149" s="779" t="str" cm="1">
        <f t="array" ref="F149">F148</f>
        <v>2</v>
      </c>
      <c r="G149" s="814"/>
      <c r="H149" s="814"/>
      <c r="I149" s="814"/>
      <c r="J149" s="814"/>
      <c r="K149" s="814"/>
      <c r="L149" s="814"/>
      <c r="M149" s="814"/>
      <c r="N149" s="814"/>
      <c r="O149" s="814"/>
      <c r="P149" s="814"/>
      <c r="Q149" s="784"/>
      <c r="R149" s="784"/>
      <c r="S149" s="814"/>
      <c r="T149" s="698" t="b" cm="1">
        <f t="array" ref="T149">T148</f>
        <v>1</v>
      </c>
      <c r="U149" s="1155"/>
      <c r="V149" s="1155"/>
      <c r="W149" s="1155"/>
      <c r="X149" s="1687"/>
      <c r="Y149" s="1155"/>
      <c r="Z149" s="1687"/>
      <c r="AA149" s="791"/>
      <c r="AB149" s="124" t="s">
        <v>1544</v>
      </c>
      <c r="AC149" s="532" t="s">
        <v>1545</v>
      </c>
      <c r="AD149" s="120" t="s">
        <v>1608</v>
      </c>
      <c r="AE149" s="528" t="s">
        <v>1520</v>
      </c>
      <c r="AF149" s="1291"/>
      <c r="AG149" s="1291"/>
      <c r="AH149" s="457"/>
      <c r="AI149" s="457"/>
      <c r="AJ149" s="457"/>
      <c r="AK149" s="457"/>
      <c r="AL149" s="457"/>
      <c r="AM149" s="457"/>
      <c r="AN149" s="457"/>
      <c r="AO149" s="457"/>
      <c r="AP149" s="457"/>
      <c r="AQ149" s="457"/>
      <c r="AR149" s="457"/>
      <c r="AS149" s="457"/>
      <c r="AT149" s="457"/>
      <c r="AU149" s="457"/>
      <c r="AV149" s="457"/>
      <c r="AW149" s="457"/>
      <c r="AX149" s="457"/>
      <c r="AY149" s="457"/>
      <c r="AZ149" s="981" t="s">
        <v>1068</v>
      </c>
    </row>
    <row r="150" spans="1:52" s="1229" customFormat="1" ht="30" customHeight="1">
      <c r="A150" s="1155"/>
      <c r="B150" s="783"/>
      <c r="C150" s="1155"/>
      <c r="D150" s="1155"/>
      <c r="E150" s="676">
        <v>31.5</v>
      </c>
      <c r="F150" s="779" t="str" cm="1">
        <f t="array" ref="F150">F149</f>
        <v>2</v>
      </c>
      <c r="G150" s="814"/>
      <c r="H150" s="814"/>
      <c r="I150" s="814"/>
      <c r="J150" s="814"/>
      <c r="K150" s="814"/>
      <c r="L150" s="814"/>
      <c r="M150" s="814"/>
      <c r="N150" s="814"/>
      <c r="O150" s="814"/>
      <c r="P150" s="814"/>
      <c r="Q150" s="784"/>
      <c r="R150" s="784"/>
      <c r="S150" s="814"/>
      <c r="T150" s="698" t="b" cm="1">
        <f t="array" ref="T150">T149</f>
        <v>1</v>
      </c>
      <c r="U150" s="1155"/>
      <c r="V150" s="1155"/>
      <c r="W150" s="1155"/>
      <c r="X150" s="1687"/>
      <c r="Y150" s="1155"/>
      <c r="Z150" s="1687"/>
      <c r="AA150" s="791"/>
      <c r="AB150" s="124" t="s">
        <v>1546</v>
      </c>
      <c r="AC150" s="532" t="s">
        <v>1503</v>
      </c>
      <c r="AD150" s="120" t="s">
        <v>1604</v>
      </c>
      <c r="AE150" s="528" t="s">
        <v>634</v>
      </c>
      <c r="AF150" s="1291"/>
      <c r="AG150" s="1291"/>
      <c r="AH150" s="457"/>
      <c r="AI150" s="457"/>
      <c r="AJ150" s="457"/>
      <c r="AK150" s="457"/>
      <c r="AL150" s="457"/>
      <c r="AM150" s="457"/>
      <c r="AN150" s="457"/>
      <c r="AO150" s="457"/>
      <c r="AP150" s="457"/>
      <c r="AQ150" s="457"/>
      <c r="AR150" s="457"/>
      <c r="AS150" s="457"/>
      <c r="AT150" s="457"/>
      <c r="AU150" s="457"/>
      <c r="AV150" s="457"/>
      <c r="AW150" s="457"/>
      <c r="AX150" s="457"/>
      <c r="AY150" s="457"/>
      <c r="AZ150" s="981" t="s">
        <v>1547</v>
      </c>
    </row>
    <row r="151" spans="1:52" s="1229" customFormat="1" ht="27.75" customHeight="1">
      <c r="A151" s="1155"/>
      <c r="B151" s="783"/>
      <c r="C151" s="1155"/>
      <c r="D151" s="1155"/>
      <c r="E151" s="676">
        <v>28.5</v>
      </c>
      <c r="F151" s="779" t="str" cm="1">
        <f t="array" ref="F151">F150</f>
        <v>2</v>
      </c>
      <c r="G151" s="814"/>
      <c r="H151" s="814"/>
      <c r="I151" s="814"/>
      <c r="J151" s="814"/>
      <c r="K151" s="814"/>
      <c r="L151" s="814"/>
      <c r="M151" s="814"/>
      <c r="N151" s="814"/>
      <c r="O151" s="814"/>
      <c r="P151" s="814"/>
      <c r="Q151" s="784"/>
      <c r="R151" s="784"/>
      <c r="S151" s="814"/>
      <c r="T151" s="698" t="b" cm="1">
        <f t="array" ref="T151">T150</f>
        <v>1</v>
      </c>
      <c r="U151" s="1155"/>
      <c r="V151" s="1155"/>
      <c r="W151" s="1155"/>
      <c r="X151" s="1687"/>
      <c r="Y151" s="1155"/>
      <c r="Z151" s="1687"/>
      <c r="AA151" s="791"/>
      <c r="AB151" s="124" t="s">
        <v>1548</v>
      </c>
      <c r="AC151" s="532" t="s">
        <v>1507</v>
      </c>
      <c r="AD151" s="120" t="s">
        <v>1605</v>
      </c>
      <c r="AE151" s="528" t="s">
        <v>634</v>
      </c>
      <c r="AF151" s="1291"/>
      <c r="AG151" s="1291"/>
      <c r="AH151" s="457"/>
      <c r="AI151" s="457"/>
      <c r="AJ151" s="457"/>
      <c r="AK151" s="457"/>
      <c r="AL151" s="457"/>
      <c r="AM151" s="457"/>
      <c r="AN151" s="457"/>
      <c r="AO151" s="457"/>
      <c r="AP151" s="457"/>
      <c r="AQ151" s="457"/>
      <c r="AR151" s="457"/>
      <c r="AS151" s="457"/>
      <c r="AT151" s="457"/>
      <c r="AU151" s="457"/>
      <c r="AV151" s="457"/>
      <c r="AW151" s="457"/>
      <c r="AX151" s="457"/>
      <c r="AY151" s="457"/>
      <c r="AZ151" s="981" t="s">
        <v>1549</v>
      </c>
    </row>
    <row r="152" spans="1:52" s="1229" customFormat="1" ht="21.75" customHeight="1">
      <c r="A152" s="1155"/>
      <c r="B152" s="783"/>
      <c r="C152" s="1155"/>
      <c r="D152" s="1155"/>
      <c r="E152" s="676">
        <v>22.8</v>
      </c>
      <c r="F152" s="779" t="str" cm="1">
        <f t="array" ref="F152">F151</f>
        <v>2</v>
      </c>
      <c r="G152" s="814"/>
      <c r="H152" s="814"/>
      <c r="I152" s="814"/>
      <c r="J152" s="814"/>
      <c r="K152" s="814"/>
      <c r="L152" s="814"/>
      <c r="M152" s="814"/>
      <c r="N152" s="814"/>
      <c r="O152" s="814"/>
      <c r="P152" s="814"/>
      <c r="Q152" s="784"/>
      <c r="R152" s="784"/>
      <c r="S152" s="814"/>
      <c r="T152" s="698" t="b" cm="1">
        <f t="array" ref="T152">T151</f>
        <v>1</v>
      </c>
      <c r="U152" s="1155"/>
      <c r="V152" s="1155"/>
      <c r="W152" s="1155"/>
      <c r="X152" s="1687"/>
      <c r="Y152" s="1155"/>
      <c r="Z152" s="1687"/>
      <c r="AA152" s="791"/>
      <c r="AB152" s="124" t="s">
        <v>1550</v>
      </c>
      <c r="AC152" s="532" t="s">
        <v>1551</v>
      </c>
      <c r="AD152" s="120" t="s">
        <v>1606</v>
      </c>
      <c r="AE152" s="528" t="s">
        <v>1527</v>
      </c>
      <c r="AF152" s="1291"/>
      <c r="AG152" s="1291"/>
      <c r="AH152" s="457"/>
      <c r="AI152" s="457"/>
      <c r="AJ152" s="457"/>
      <c r="AK152" s="457"/>
      <c r="AL152" s="457"/>
      <c r="AM152" s="457"/>
      <c r="AN152" s="457"/>
      <c r="AO152" s="457"/>
      <c r="AP152" s="457"/>
      <c r="AQ152" s="457"/>
      <c r="AR152" s="457"/>
      <c r="AS152" s="457"/>
      <c r="AT152" s="457"/>
      <c r="AU152" s="457"/>
      <c r="AV152" s="457"/>
      <c r="AW152" s="457"/>
      <c r="AX152" s="457"/>
      <c r="AY152" s="457"/>
      <c r="AZ152" s="981" t="s">
        <v>1552</v>
      </c>
    </row>
    <row r="153" spans="1:52" s="1229" customFormat="1" ht="36.75" customHeight="1">
      <c r="A153" s="1155"/>
      <c r="B153" s="783"/>
      <c r="C153" s="1155"/>
      <c r="D153" s="1155"/>
      <c r="E153" s="676">
        <v>38.299999999999997</v>
      </c>
      <c r="F153" s="779" t="str" cm="1">
        <f t="array" ref="F153">F152</f>
        <v>2</v>
      </c>
      <c r="G153" s="620" t="s">
        <v>1410</v>
      </c>
      <c r="H153" s="814"/>
      <c r="I153" s="814"/>
      <c r="J153" s="814"/>
      <c r="K153" s="814"/>
      <c r="L153" s="814"/>
      <c r="M153" s="814"/>
      <c r="N153" s="814"/>
      <c r="O153" s="814"/>
      <c r="P153" s="814"/>
      <c r="Q153" s="784"/>
      <c r="R153" s="784"/>
      <c r="S153" s="814"/>
      <c r="T153" s="698" t="b" cm="1">
        <f t="array" ref="T153">T152</f>
        <v>1</v>
      </c>
      <c r="U153" s="1155"/>
      <c r="V153" s="1155"/>
      <c r="W153" s="1155"/>
      <c r="X153" s="1687"/>
      <c r="Y153" s="1155"/>
      <c r="Z153" s="1687"/>
      <c r="AA153" s="791"/>
      <c r="AB153" s="124" t="s">
        <v>1553</v>
      </c>
      <c r="AC153" s="471" t="s">
        <v>1554</v>
      </c>
      <c r="AD153" s="530" t="s">
        <v>1555</v>
      </c>
      <c r="AE153" s="528" t="s">
        <v>839</v>
      </c>
      <c r="AF153" s="1291">
        <f ca="1">SUMIFS('Калькуляция (5.9)'!AF$26:AF$194,'Калькуляция (5.9)'!$F$26:$F$194,$F153,'Калькуляция (5.9)'!$G$26:$G$194,$G153)</f>
        <v>0</v>
      </c>
      <c r="AG153" s="1291">
        <f ca="1">SUMIFS('Калькуляция (5.9)'!AG$26:AG$194,'Калькуляция (5.9)'!$F$26:$F$194,$F153,'Калькуляция (5.9)'!$G$26:$G$194,$G153)</f>
        <v>0</v>
      </c>
      <c r="AH153" s="457"/>
      <c r="AI153" s="457"/>
      <c r="AJ153" s="457"/>
      <c r="AK153" s="457"/>
      <c r="AL153" s="457"/>
      <c r="AM153" s="457"/>
      <c r="AN153" s="457"/>
      <c r="AO153" s="457"/>
      <c r="AP153" s="457"/>
      <c r="AQ153" s="457"/>
      <c r="AR153" s="457"/>
      <c r="AS153" s="457"/>
      <c r="AT153" s="457"/>
      <c r="AU153" s="457"/>
      <c r="AV153" s="457"/>
      <c r="AW153" s="457"/>
      <c r="AX153" s="457"/>
      <c r="AY153" s="457"/>
      <c r="AZ153" s="981" t="s">
        <v>1556</v>
      </c>
    </row>
    <row r="154" spans="1:52" s="1229" customFormat="1" ht="20.25" customHeight="1">
      <c r="A154" s="1155"/>
      <c r="B154" s="783"/>
      <c r="C154" s="1155"/>
      <c r="D154" s="1155"/>
      <c r="E154" s="676">
        <v>21</v>
      </c>
      <c r="F154" s="779" t="str" cm="1">
        <f t="array" ref="F154">F153</f>
        <v>2</v>
      </c>
      <c r="G154" s="620" t="s">
        <v>1557</v>
      </c>
      <c r="H154" s="814"/>
      <c r="I154" s="814"/>
      <c r="J154" s="814"/>
      <c r="K154" s="814"/>
      <c r="L154" s="814"/>
      <c r="M154" s="814"/>
      <c r="N154" s="814"/>
      <c r="O154" s="814"/>
      <c r="P154" s="814"/>
      <c r="Q154" s="784"/>
      <c r="R154" s="784"/>
      <c r="S154" s="814"/>
      <c r="T154" s="698" t="b" cm="1">
        <f t="array" ref="T154">T153</f>
        <v>1</v>
      </c>
      <c r="U154" s="1155"/>
      <c r="V154" s="1155"/>
      <c r="W154" s="1155"/>
      <c r="X154" s="1687"/>
      <c r="Y154" s="1155"/>
      <c r="Z154" s="1687"/>
      <c r="AA154" s="791"/>
      <c r="AB154" s="124" t="s">
        <v>1558</v>
      </c>
      <c r="AC154" s="117" t="s">
        <v>1559</v>
      </c>
      <c r="AD154" s="528"/>
      <c r="AE154" s="528" t="s">
        <v>839</v>
      </c>
      <c r="AF154" s="1291">
        <f ca="1">SUMIFS('Калькуляция (5.9)'!AF$26:AF$194,'Калькуляция (5.9)'!$F$26:$F$194,$F154,'Калькуляция (5.9)'!$G$26:$G$194,$G154)</f>
        <v>0</v>
      </c>
      <c r="AG154" s="1291">
        <f ca="1">SUMIFS('Калькуляция (5.9)'!AG$26:AG$194,'Калькуляция (5.9)'!$F$26:$F$194,$F154,'Калькуляция (5.9)'!$G$26:$G$194,$G154)</f>
        <v>0</v>
      </c>
      <c r="AH154" s="457"/>
      <c r="AI154" s="457"/>
      <c r="AJ154" s="457"/>
      <c r="AK154" s="457"/>
      <c r="AL154" s="457"/>
      <c r="AM154" s="457"/>
      <c r="AN154" s="457"/>
      <c r="AO154" s="457"/>
      <c r="AP154" s="457"/>
      <c r="AQ154" s="457"/>
      <c r="AR154" s="457"/>
      <c r="AS154" s="457"/>
      <c r="AT154" s="457"/>
      <c r="AU154" s="457"/>
      <c r="AV154" s="457"/>
      <c r="AW154" s="457"/>
      <c r="AX154" s="457"/>
      <c r="AY154" s="457"/>
      <c r="AZ154" s="981" t="s">
        <v>1560</v>
      </c>
    </row>
    <row r="155" spans="1:52" s="1229" customFormat="1" ht="20.25" customHeight="1">
      <c r="A155" s="1155"/>
      <c r="B155" s="783"/>
      <c r="C155" s="1155"/>
      <c r="D155" s="1155"/>
      <c r="E155" s="676">
        <v>21</v>
      </c>
      <c r="F155" s="779" t="str" cm="1">
        <f t="array" ref="F155">F154</f>
        <v>2</v>
      </c>
      <c r="G155" s="814"/>
      <c r="H155" s="814"/>
      <c r="I155" s="814"/>
      <c r="J155" s="814"/>
      <c r="K155" s="814"/>
      <c r="L155" s="814"/>
      <c r="M155" s="814"/>
      <c r="N155" s="814"/>
      <c r="O155" s="814"/>
      <c r="P155" s="814"/>
      <c r="Q155" s="784"/>
      <c r="R155" s="784"/>
      <c r="S155" s="814"/>
      <c r="T155" s="698" t="b" cm="1">
        <f t="array" ref="T155">T154</f>
        <v>1</v>
      </c>
      <c r="U155" s="1155"/>
      <c r="V155" s="1155"/>
      <c r="W155" s="1155"/>
      <c r="X155" s="1687"/>
      <c r="Y155" s="1155"/>
      <c r="Z155" s="1687"/>
      <c r="AA155" s="791"/>
      <c r="AB155" s="124" t="s">
        <v>1561</v>
      </c>
      <c r="AC155" s="892" t="s">
        <v>1562</v>
      </c>
      <c r="AD155" s="528"/>
      <c r="AE155" s="528" t="s">
        <v>533</v>
      </c>
      <c r="AF155" s="1413"/>
      <c r="AG155" s="1413"/>
      <c r="AH155" s="457"/>
      <c r="AI155" s="457"/>
      <c r="AJ155" s="457"/>
      <c r="AK155" s="457"/>
      <c r="AL155" s="457"/>
      <c r="AM155" s="457"/>
      <c r="AN155" s="457"/>
      <c r="AO155" s="457"/>
      <c r="AP155" s="457"/>
      <c r="AQ155" s="457"/>
      <c r="AR155" s="457"/>
      <c r="AS155" s="457"/>
      <c r="AT155" s="457"/>
      <c r="AU155" s="457"/>
      <c r="AV155" s="457"/>
      <c r="AW155" s="457"/>
      <c r="AX155" s="457"/>
      <c r="AY155" s="457"/>
      <c r="AZ155" s="981" t="s">
        <v>1563</v>
      </c>
    </row>
    <row r="156" spans="1:52" s="1229" customFormat="1" ht="21.75" customHeight="1">
      <c r="A156" s="1155"/>
      <c r="B156" s="783"/>
      <c r="C156" s="1155"/>
      <c r="D156" s="1155"/>
      <c r="E156" s="676">
        <v>22.5</v>
      </c>
      <c r="F156" s="779" t="str" cm="1">
        <f t="array" ref="F156">F154</f>
        <v>2</v>
      </c>
      <c r="G156" s="620" t="s">
        <v>1564</v>
      </c>
      <c r="H156" s="814"/>
      <c r="I156" s="814"/>
      <c r="J156" s="814"/>
      <c r="K156" s="814"/>
      <c r="L156" s="814"/>
      <c r="M156" s="814"/>
      <c r="N156" s="814"/>
      <c r="O156" s="814"/>
      <c r="P156" s="814"/>
      <c r="Q156" s="784"/>
      <c r="R156" s="784"/>
      <c r="S156" s="814"/>
      <c r="T156" s="698" t="b" cm="1">
        <f t="array" ref="T156">T154</f>
        <v>1</v>
      </c>
      <c r="U156" s="1155"/>
      <c r="V156" s="1155"/>
      <c r="W156" s="1155"/>
      <c r="X156" s="1687"/>
      <c r="Y156" s="1155"/>
      <c r="Z156" s="1687"/>
      <c r="AA156" s="791"/>
      <c r="AB156" s="124" t="s">
        <v>1565</v>
      </c>
      <c r="AC156" s="117" t="s">
        <v>1566</v>
      </c>
      <c r="AD156" s="528"/>
      <c r="AE156" s="528" t="s">
        <v>839</v>
      </c>
      <c r="AF156" s="1291">
        <f ca="1">SUMIFS('Калькуляция (5.9)'!AF$26:AF$194,'Калькуляция (5.9)'!$F$26:$F$194,$F156,'Калькуляция (5.9)'!$G$26:$G$194,$G156)</f>
        <v>0</v>
      </c>
      <c r="AG156" s="1291">
        <f ca="1">SUMIFS('Калькуляция (5.9)'!AG$26:AG$194,'Калькуляция (5.9)'!$F$26:$F$194,$F156,'Калькуляция (5.9)'!$G$26:$G$194,$G156)</f>
        <v>0</v>
      </c>
      <c r="AH156" s="457"/>
      <c r="AI156" s="457"/>
      <c r="AJ156" s="457"/>
      <c r="AK156" s="457"/>
      <c r="AL156" s="457"/>
      <c r="AM156" s="457"/>
      <c r="AN156" s="457"/>
      <c r="AO156" s="457"/>
      <c r="AP156" s="457"/>
      <c r="AQ156" s="457"/>
      <c r="AR156" s="457"/>
      <c r="AS156" s="457"/>
      <c r="AT156" s="457"/>
      <c r="AU156" s="457"/>
      <c r="AV156" s="457"/>
      <c r="AW156" s="457"/>
      <c r="AX156" s="457"/>
      <c r="AY156" s="457"/>
      <c r="AZ156" s="981" t="s">
        <v>1567</v>
      </c>
    </row>
    <row r="157" spans="1:52" s="1229" customFormat="1" ht="21.75" customHeight="1">
      <c r="A157" s="1155"/>
      <c r="B157" s="783"/>
      <c r="C157" s="1155"/>
      <c r="D157" s="1155"/>
      <c r="E157" s="676">
        <v>22.8</v>
      </c>
      <c r="F157" s="779" t="str" cm="1">
        <f t="array" ref="F157">F156</f>
        <v>2</v>
      </c>
      <c r="G157" s="620" t="s">
        <v>448</v>
      </c>
      <c r="H157" s="814"/>
      <c r="I157" s="814"/>
      <c r="J157" s="814"/>
      <c r="K157" s="814"/>
      <c r="L157" s="814"/>
      <c r="M157" s="814"/>
      <c r="N157" s="814"/>
      <c r="O157" s="814"/>
      <c r="P157" s="814"/>
      <c r="Q157" s="784"/>
      <c r="R157" s="784"/>
      <c r="S157" s="814"/>
      <c r="T157" s="698" t="b" cm="1">
        <f t="array" ref="T157">T156</f>
        <v>1</v>
      </c>
      <c r="U157" s="1155"/>
      <c r="V157" s="1155"/>
      <c r="W157" s="1155"/>
      <c r="X157" s="1687"/>
      <c r="Y157" s="1155"/>
      <c r="Z157" s="1687"/>
      <c r="AA157" s="791"/>
      <c r="AB157" s="124" t="s">
        <v>1568</v>
      </c>
      <c r="AC157" s="117" t="s">
        <v>1569</v>
      </c>
      <c r="AD157" s="528"/>
      <c r="AE157" s="528" t="s">
        <v>839</v>
      </c>
      <c r="AF157" s="1291">
        <f ca="1">SUMIFS('Калькуляция (5.9)'!AF$26:AF$194,'Калькуляция (5.9)'!$F$26:$F$194,$F157,'Калькуляция (5.9)'!$G$26:$G$194,$G157)</f>
        <v>0</v>
      </c>
      <c r="AG157" s="1291">
        <f ca="1">SUMIFS('Калькуляция (5.9)'!AG$26:AG$194,'Калькуляция (5.9)'!$F$26:$F$194,$F157,'Калькуляция (5.9)'!$G$26:$G$194,$G157)</f>
        <v>0</v>
      </c>
      <c r="AH157" s="457"/>
      <c r="AI157" s="457"/>
      <c r="AJ157" s="457"/>
      <c r="AK157" s="457"/>
      <c r="AL157" s="457"/>
      <c r="AM157" s="457"/>
      <c r="AN157" s="457"/>
      <c r="AO157" s="457"/>
      <c r="AP157" s="457"/>
      <c r="AQ157" s="457"/>
      <c r="AR157" s="457"/>
      <c r="AS157" s="457"/>
      <c r="AT157" s="457"/>
      <c r="AU157" s="457"/>
      <c r="AV157" s="457"/>
      <c r="AW157" s="457"/>
      <c r="AX157" s="457"/>
      <c r="AY157" s="457"/>
      <c r="AZ157" s="981" t="s">
        <v>1570</v>
      </c>
    </row>
    <row r="158" spans="1:52" s="1229" customFormat="1" ht="29.25" customHeight="1">
      <c r="A158" s="1155"/>
      <c r="B158" s="783"/>
      <c r="C158" s="1155"/>
      <c r="D158" s="1155"/>
      <c r="E158" s="676">
        <v>30</v>
      </c>
      <c r="F158" s="779" t="str" cm="1">
        <f t="array" ref="F158">F157</f>
        <v>2</v>
      </c>
      <c r="G158" s="814"/>
      <c r="H158" s="814"/>
      <c r="I158" s="814"/>
      <c r="J158" s="814"/>
      <c r="K158" s="814"/>
      <c r="L158" s="814"/>
      <c r="M158" s="814"/>
      <c r="N158" s="814"/>
      <c r="O158" s="814"/>
      <c r="P158" s="814"/>
      <c r="Q158" s="784"/>
      <c r="R158" s="784"/>
      <c r="S158" s="814"/>
      <c r="T158" s="698" t="b" cm="1">
        <f t="array" ref="T158">T157</f>
        <v>1</v>
      </c>
      <c r="U158" s="1155"/>
      <c r="V158" s="1155"/>
      <c r="W158" s="1155"/>
      <c r="X158" s="1687"/>
      <c r="Y158" s="1155"/>
      <c r="Z158" s="1687"/>
      <c r="AA158" s="791"/>
      <c r="AB158" s="124" t="s">
        <v>1571</v>
      </c>
      <c r="AC158" s="117" t="s">
        <v>1572</v>
      </c>
      <c r="AD158" s="531"/>
      <c r="AE158" s="528" t="s">
        <v>839</v>
      </c>
      <c r="AF158" s="1291"/>
      <c r="AG158" s="1291"/>
      <c r="AH158" s="457"/>
      <c r="AI158" s="457"/>
      <c r="AJ158" s="457"/>
      <c r="AK158" s="457"/>
      <c r="AL158" s="457"/>
      <c r="AM158" s="457"/>
      <c r="AN158" s="457"/>
      <c r="AO158" s="457"/>
      <c r="AP158" s="457"/>
      <c r="AQ158" s="457"/>
      <c r="AR158" s="457"/>
      <c r="AS158" s="457"/>
      <c r="AT158" s="457"/>
      <c r="AU158" s="457"/>
      <c r="AV158" s="457"/>
      <c r="AW158" s="457"/>
      <c r="AX158" s="457"/>
      <c r="AY158" s="457"/>
      <c r="AZ158" s="981" t="s">
        <v>1573</v>
      </c>
    </row>
    <row r="159" spans="1:52" s="1229" customFormat="1" ht="36.75" customHeight="1">
      <c r="A159" s="1155"/>
      <c r="B159" s="783"/>
      <c r="C159" s="1155"/>
      <c r="D159" s="1155"/>
      <c r="E159" s="676">
        <v>38.299999999999997</v>
      </c>
      <c r="F159" s="779" t="str" cm="1">
        <f t="array" ref="F159">F158</f>
        <v>2</v>
      </c>
      <c r="G159" s="814"/>
      <c r="H159" s="814"/>
      <c r="I159" s="814"/>
      <c r="J159" s="814"/>
      <c r="K159" s="814"/>
      <c r="L159" s="814"/>
      <c r="M159" s="814"/>
      <c r="N159" s="814"/>
      <c r="O159" s="814"/>
      <c r="P159" s="814"/>
      <c r="Q159" s="784"/>
      <c r="R159" s="784"/>
      <c r="S159" s="814"/>
      <c r="T159" s="698" t="b" cm="1">
        <f t="array" ref="T159">T158</f>
        <v>1</v>
      </c>
      <c r="U159" s="1155"/>
      <c r="V159" s="1155"/>
      <c r="W159" s="1155"/>
      <c r="X159" s="1687"/>
      <c r="Y159" s="1155"/>
      <c r="Z159" s="1687"/>
      <c r="AA159" s="791"/>
      <c r="AB159" s="124" t="s">
        <v>1574</v>
      </c>
      <c r="AC159" s="117" t="s">
        <v>1575</v>
      </c>
      <c r="AD159" s="528"/>
      <c r="AE159" s="528" t="s">
        <v>839</v>
      </c>
      <c r="AF159" s="1291"/>
      <c r="AG159" s="1291"/>
      <c r="AH159" s="457"/>
      <c r="AI159" s="457"/>
      <c r="AJ159" s="457"/>
      <c r="AK159" s="457"/>
      <c r="AL159" s="457"/>
      <c r="AM159" s="457"/>
      <c r="AN159" s="457"/>
      <c r="AO159" s="457"/>
      <c r="AP159" s="457"/>
      <c r="AQ159" s="457"/>
      <c r="AR159" s="457"/>
      <c r="AS159" s="457"/>
      <c r="AT159" s="457"/>
      <c r="AU159" s="457"/>
      <c r="AV159" s="457"/>
      <c r="AW159" s="457"/>
      <c r="AX159" s="457"/>
      <c r="AY159" s="457"/>
      <c r="AZ159" s="981" t="s">
        <v>1576</v>
      </c>
    </row>
    <row r="160" spans="1:52" s="1229" customFormat="1" ht="72.75" customHeight="1">
      <c r="A160" s="1155"/>
      <c r="B160" s="783"/>
      <c r="C160" s="1155"/>
      <c r="D160" s="1155"/>
      <c r="E160" s="676">
        <v>75</v>
      </c>
      <c r="F160" s="779" t="str" cm="1">
        <f t="array" ref="F160">F159</f>
        <v>2</v>
      </c>
      <c r="G160" s="814"/>
      <c r="H160" s="814"/>
      <c r="I160" s="814"/>
      <c r="J160" s="814"/>
      <c r="K160" s="814"/>
      <c r="L160" s="814"/>
      <c r="M160" s="814"/>
      <c r="N160" s="814"/>
      <c r="O160" s="814"/>
      <c r="P160" s="814"/>
      <c r="Q160" s="784"/>
      <c r="R160" s="784"/>
      <c r="S160" s="814"/>
      <c r="T160" s="698" t="b" cm="1">
        <f t="array" ref="T160">T159</f>
        <v>1</v>
      </c>
      <c r="U160" s="1155"/>
      <c r="V160" s="1155"/>
      <c r="W160" s="1155"/>
      <c r="X160" s="1687"/>
      <c r="Y160" s="1155"/>
      <c r="Z160" s="1687"/>
      <c r="AA160" s="791"/>
      <c r="AB160" s="124" t="s">
        <v>1577</v>
      </c>
      <c r="AC160" s="117" t="s">
        <v>1578</v>
      </c>
      <c r="AD160" s="528"/>
      <c r="AE160" s="528" t="s">
        <v>839</v>
      </c>
      <c r="AF160" s="1291"/>
      <c r="AG160" s="1291"/>
      <c r="AH160" s="457"/>
      <c r="AI160" s="457"/>
      <c r="AJ160" s="457"/>
      <c r="AK160" s="457"/>
      <c r="AL160" s="457"/>
      <c r="AM160" s="457"/>
      <c r="AN160" s="457"/>
      <c r="AO160" s="457"/>
      <c r="AP160" s="457"/>
      <c r="AQ160" s="457"/>
      <c r="AR160" s="457"/>
      <c r="AS160" s="457"/>
      <c r="AT160" s="457"/>
      <c r="AU160" s="457"/>
      <c r="AV160" s="457"/>
      <c r="AW160" s="457"/>
      <c r="AX160" s="457"/>
      <c r="AY160" s="457"/>
      <c r="AZ160" s="981" t="s">
        <v>1579</v>
      </c>
    </row>
    <row r="161" spans="1:52" s="1229" customFormat="1" ht="72" customHeight="1">
      <c r="A161" s="1155"/>
      <c r="B161" s="783"/>
      <c r="C161" s="1155"/>
      <c r="D161" s="1155"/>
      <c r="E161" s="676">
        <v>74.3</v>
      </c>
      <c r="F161" s="779" t="str" cm="1">
        <f t="array" ref="F161">F160</f>
        <v>2</v>
      </c>
      <c r="G161" s="814"/>
      <c r="H161" s="814"/>
      <c r="I161" s="814"/>
      <c r="J161" s="814"/>
      <c r="K161" s="814"/>
      <c r="L161" s="814"/>
      <c r="M161" s="814"/>
      <c r="N161" s="814"/>
      <c r="O161" s="814"/>
      <c r="P161" s="814"/>
      <c r="Q161" s="784"/>
      <c r="R161" s="784"/>
      <c r="S161" s="814"/>
      <c r="T161" s="698" t="b" cm="1">
        <f t="array" ref="T161">T160</f>
        <v>1</v>
      </c>
      <c r="U161" s="1155"/>
      <c r="V161" s="1155"/>
      <c r="W161" s="1155"/>
      <c r="X161" s="1687"/>
      <c r="Y161" s="1155"/>
      <c r="Z161" s="1687"/>
      <c r="AA161" s="791"/>
      <c r="AB161" s="124" t="s">
        <v>1580</v>
      </c>
      <c r="AC161" s="117" t="s">
        <v>1581</v>
      </c>
      <c r="AD161" s="528"/>
      <c r="AE161" s="528" t="s">
        <v>1460</v>
      </c>
      <c r="AF161" s="1291"/>
      <c r="AG161" s="1291"/>
      <c r="AH161" s="457"/>
      <c r="AI161" s="457"/>
      <c r="AJ161" s="457"/>
      <c r="AK161" s="457"/>
      <c r="AL161" s="457"/>
      <c r="AM161" s="457"/>
      <c r="AN161" s="457"/>
      <c r="AO161" s="457"/>
      <c r="AP161" s="457"/>
      <c r="AQ161" s="457"/>
      <c r="AR161" s="457"/>
      <c r="AS161" s="457"/>
      <c r="AT161" s="457"/>
      <c r="AU161" s="457"/>
      <c r="AV161" s="457"/>
      <c r="AW161" s="457"/>
      <c r="AX161" s="457"/>
      <c r="AY161" s="457"/>
      <c r="AZ161" s="981" t="s">
        <v>1582</v>
      </c>
    </row>
    <row r="162" spans="1:52" s="1229" customFormat="1" ht="55.5" customHeight="1">
      <c r="A162" s="1155"/>
      <c r="B162" s="783"/>
      <c r="C162" s="1155"/>
      <c r="D162" s="1155"/>
      <c r="E162" s="676">
        <v>57</v>
      </c>
      <c r="F162" s="779" t="str" cm="1">
        <f t="array" ref="F162">F161</f>
        <v>2</v>
      </c>
      <c r="G162" s="814"/>
      <c r="H162" s="814"/>
      <c r="I162" s="814"/>
      <c r="J162" s="814"/>
      <c r="K162" s="814"/>
      <c r="L162" s="814"/>
      <c r="M162" s="814"/>
      <c r="N162" s="814"/>
      <c r="O162" s="814"/>
      <c r="P162" s="814"/>
      <c r="Q162" s="784"/>
      <c r="R162" s="784"/>
      <c r="S162" s="814"/>
      <c r="T162" s="698" t="b" cm="1">
        <f t="array" ref="T162">T161</f>
        <v>1</v>
      </c>
      <c r="U162" s="1155"/>
      <c r="V162" s="1155"/>
      <c r="W162" s="1155"/>
      <c r="X162" s="1687"/>
      <c r="Y162" s="1155"/>
      <c r="Z162" s="1687"/>
      <c r="AA162" s="791"/>
      <c r="AB162" s="124" t="s">
        <v>348</v>
      </c>
      <c r="AC162" s="526" t="s">
        <v>1583</v>
      </c>
      <c r="AD162" s="120" t="s">
        <v>1609</v>
      </c>
      <c r="AE162" s="528" t="s">
        <v>1460</v>
      </c>
      <c r="AF162" s="1291"/>
      <c r="AG162" s="1291">
        <v>340537.62</v>
      </c>
      <c r="AH162" s="457"/>
      <c r="AI162" s="457"/>
      <c r="AJ162" s="457"/>
      <c r="AK162" s="457"/>
      <c r="AL162" s="457"/>
      <c r="AM162" s="457"/>
      <c r="AN162" s="457"/>
      <c r="AO162" s="457"/>
      <c r="AP162" s="457"/>
      <c r="AQ162" s="457"/>
      <c r="AR162" s="457"/>
      <c r="AS162" s="457"/>
      <c r="AT162" s="457"/>
      <c r="AU162" s="457"/>
      <c r="AV162" s="457"/>
      <c r="AW162" s="457"/>
      <c r="AX162" s="457"/>
      <c r="AY162" s="457"/>
      <c r="AZ162" s="981" t="s">
        <v>1585</v>
      </c>
    </row>
    <row r="163" spans="1:52" s="1229" customFormat="1" ht="10.5" customHeight="1">
      <c r="A163" s="1155"/>
      <c r="B163" s="783"/>
      <c r="C163" s="1155"/>
      <c r="D163" s="1155"/>
      <c r="E163" s="676">
        <v>11.4</v>
      </c>
      <c r="F163" s="779" t="str" cm="1">
        <f t="array" ref="F163">F162</f>
        <v>2</v>
      </c>
      <c r="G163" s="814"/>
      <c r="H163" s="814"/>
      <c r="I163" s="814"/>
      <c r="J163" s="814"/>
      <c r="K163" s="814"/>
      <c r="L163" s="814"/>
      <c r="M163" s="814"/>
      <c r="N163" s="814"/>
      <c r="O163" s="814"/>
      <c r="P163" s="814"/>
      <c r="Q163" s="784"/>
      <c r="R163" s="784"/>
      <c r="S163" s="814"/>
      <c r="T163" s="698" t="b" cm="1">
        <f t="array" ref="T163">T162</f>
        <v>1</v>
      </c>
      <c r="U163" s="1155"/>
      <c r="V163" s="1155"/>
      <c r="W163" s="1155"/>
      <c r="X163" s="1687"/>
      <c r="Y163" s="1155"/>
      <c r="Z163" s="1687"/>
      <c r="AA163" s="791"/>
      <c r="AB163" s="819"/>
      <c r="AC163" s="819"/>
      <c r="AD163" s="819"/>
      <c r="AE163" s="819"/>
      <c r="AF163" s="819"/>
      <c r="AG163" s="819"/>
      <c r="AH163" s="457"/>
      <c r="AI163" s="457"/>
      <c r="AJ163" s="457"/>
      <c r="AK163" s="457"/>
      <c r="AL163" s="457"/>
      <c r="AM163" s="457"/>
      <c r="AN163" s="457"/>
      <c r="AO163" s="457"/>
      <c r="AP163" s="457"/>
      <c r="AQ163" s="457"/>
      <c r="AR163" s="457"/>
      <c r="AS163" s="457"/>
      <c r="AT163" s="457"/>
      <c r="AU163" s="457"/>
      <c r="AV163" s="457"/>
      <c r="AW163" s="457"/>
      <c r="AX163" s="457"/>
      <c r="AY163" s="457"/>
      <c r="AZ163" s="1043"/>
    </row>
    <row r="164" spans="1:52" s="1229" customFormat="1" ht="10.5" customHeight="1">
      <c r="A164" s="1155"/>
      <c r="B164" s="783"/>
      <c r="C164" s="1155"/>
      <c r="D164" s="1155"/>
      <c r="E164" s="676">
        <v>11.3</v>
      </c>
      <c r="F164" s="779" t="str" cm="1">
        <f t="array" ref="F164">F163</f>
        <v>2</v>
      </c>
      <c r="G164" s="814"/>
      <c r="H164" s="814"/>
      <c r="I164" s="814"/>
      <c r="J164" s="814"/>
      <c r="K164" s="814"/>
      <c r="L164" s="814"/>
      <c r="M164" s="814"/>
      <c r="N164" s="814"/>
      <c r="O164" s="814"/>
      <c r="P164" s="814"/>
      <c r="Q164" s="784"/>
      <c r="R164" s="784"/>
      <c r="S164" s="814"/>
      <c r="T164" s="698" t="b" cm="1">
        <f t="array" ref="T164">T163</f>
        <v>1</v>
      </c>
      <c r="U164" s="1155"/>
      <c r="V164" s="1155"/>
      <c r="W164" s="1155"/>
      <c r="X164" s="1687"/>
      <c r="Y164" s="1155"/>
      <c r="Z164" s="1687"/>
      <c r="AA164" s="791"/>
      <c r="AB164" s="1833" t="s">
        <v>1456</v>
      </c>
      <c r="AC164" s="1835" t="s">
        <v>531</v>
      </c>
      <c r="AD164" s="1831" t="s">
        <v>1204</v>
      </c>
      <c r="AE164" s="108">
        <f>god-2</f>
        <v>2024</v>
      </c>
      <c r="AF164" s="108">
        <f>god-1</f>
        <v>2025</v>
      </c>
      <c r="AG164" s="1831" t="s">
        <v>1586</v>
      </c>
      <c r="AH164" s="252" cm="1">
        <f t="array" ref="AH164">god</f>
        <v>2026</v>
      </c>
      <c r="AI164" s="108">
        <f>god+1</f>
        <v>2027</v>
      </c>
      <c r="AJ164" s="108">
        <f>god+2</f>
        <v>2028</v>
      </c>
      <c r="AK164" s="108">
        <f>god+3</f>
        <v>2029</v>
      </c>
      <c r="AL164" s="108">
        <f>god+4</f>
        <v>2030</v>
      </c>
      <c r="AM164" s="1831" t="s">
        <v>1586</v>
      </c>
      <c r="AN164" s="252" cm="1">
        <f t="array" ref="AN164">god</f>
        <v>2026</v>
      </c>
      <c r="AO164" s="108">
        <f>god+1</f>
        <v>2027</v>
      </c>
      <c r="AP164" s="108">
        <f>god+2</f>
        <v>2028</v>
      </c>
      <c r="AQ164" s="108">
        <f>god+3</f>
        <v>2029</v>
      </c>
      <c r="AR164" s="108">
        <f>god+4</f>
        <v>2030</v>
      </c>
      <c r="AS164" s="457"/>
      <c r="AT164" s="457"/>
      <c r="AU164" s="1832" t="s">
        <v>1587</v>
      </c>
      <c r="AV164" s="457"/>
      <c r="AW164" s="457"/>
      <c r="AX164" s="457"/>
      <c r="AY164" s="457"/>
      <c r="AZ164" s="1043"/>
    </row>
    <row r="165" spans="1:52" s="1229" customFormat="1" ht="21.75" customHeight="1">
      <c r="A165" s="1155"/>
      <c r="B165" s="783"/>
      <c r="C165" s="1155"/>
      <c r="D165" s="1155"/>
      <c r="E165" s="676">
        <v>22.5</v>
      </c>
      <c r="F165" s="779" t="str" cm="1">
        <f t="array" ref="F165">F164</f>
        <v>2</v>
      </c>
      <c r="G165" s="814"/>
      <c r="H165" s="814"/>
      <c r="I165" s="814"/>
      <c r="J165" s="814"/>
      <c r="K165" s="814"/>
      <c r="L165" s="814"/>
      <c r="M165" s="814"/>
      <c r="N165" s="814"/>
      <c r="O165" s="814"/>
      <c r="P165" s="814"/>
      <c r="Q165" s="784"/>
      <c r="R165" s="784"/>
      <c r="S165" s="814"/>
      <c r="T165" s="698" t="b" cm="1">
        <f t="array" ref="T165">T164</f>
        <v>1</v>
      </c>
      <c r="U165" s="1155"/>
      <c r="V165" s="1155"/>
      <c r="W165" s="1155"/>
      <c r="X165" s="1687"/>
      <c r="Y165" s="1155"/>
      <c r="Z165" s="1687"/>
      <c r="AA165" s="791"/>
      <c r="AB165" s="1834"/>
      <c r="AC165" s="1836"/>
      <c r="AD165" s="1831"/>
      <c r="AE165" s="124" t="s">
        <v>1588</v>
      </c>
      <c r="AF165" s="124" t="s">
        <v>1588</v>
      </c>
      <c r="AG165" s="1831"/>
      <c r="AH165" s="124" t="s">
        <v>1589</v>
      </c>
      <c r="AI165" s="124" t="s">
        <v>1589</v>
      </c>
      <c r="AJ165" s="124" t="s">
        <v>1589</v>
      </c>
      <c r="AK165" s="124" t="s">
        <v>1589</v>
      </c>
      <c r="AL165" s="124" t="s">
        <v>1589</v>
      </c>
      <c r="AM165" s="1831"/>
      <c r="AN165" s="124" t="s">
        <v>1590</v>
      </c>
      <c r="AO165" s="124" t="s">
        <v>1590</v>
      </c>
      <c r="AP165" s="124" t="s">
        <v>1590</v>
      </c>
      <c r="AQ165" s="124" t="s">
        <v>1590</v>
      </c>
      <c r="AR165" s="124" t="s">
        <v>1590</v>
      </c>
      <c r="AS165" s="457"/>
      <c r="AT165" s="457"/>
      <c r="AU165" s="1832"/>
      <c r="AV165" s="457"/>
      <c r="AW165" s="457"/>
      <c r="AX165" s="457"/>
      <c r="AY165" s="457"/>
      <c r="AZ165" s="1043"/>
    </row>
    <row r="166" spans="1:52" s="1229" customFormat="1" ht="15" customHeight="1">
      <c r="A166" s="1155"/>
      <c r="B166" s="783"/>
      <c r="C166" s="1155"/>
      <c r="D166" s="1155"/>
      <c r="E166" s="676">
        <v>15.8</v>
      </c>
      <c r="F166" s="779" t="str" cm="1">
        <f t="array" ref="F166">F165</f>
        <v>2</v>
      </c>
      <c r="G166" s="814"/>
      <c r="H166" s="814"/>
      <c r="I166" s="814"/>
      <c r="J166" s="814"/>
      <c r="K166" s="814"/>
      <c r="L166" s="814"/>
      <c r="M166" s="814"/>
      <c r="N166" s="814"/>
      <c r="O166" s="814"/>
      <c r="P166" s="814"/>
      <c r="Q166" s="784"/>
      <c r="R166" s="784"/>
      <c r="S166" s="814"/>
      <c r="T166" s="698" t="b" cm="1">
        <f t="array" ref="T166">T165</f>
        <v>1</v>
      </c>
      <c r="U166" s="1155"/>
      <c r="V166" s="1155"/>
      <c r="W166" s="1155"/>
      <c r="X166" s="1687"/>
      <c r="Y166" s="1155"/>
      <c r="Z166" s="1687"/>
      <c r="AA166" s="791"/>
      <c r="AB166" s="235" t="s">
        <v>437</v>
      </c>
      <c r="AC166" s="347" t="s">
        <v>1591</v>
      </c>
      <c r="AD166" s="528" t="s">
        <v>839</v>
      </c>
      <c r="AE166" s="700" t="s">
        <v>1592</v>
      </c>
      <c r="AF166" s="700" t="s">
        <v>1592</v>
      </c>
      <c r="AG166" s="360" cm="1">
        <f t="array" aca="1" ref="AG166" ca="1">AF123</f>
        <v>0</v>
      </c>
      <c r="AH166" s="874"/>
      <c r="AI166" s="874"/>
      <c r="AJ166" s="874"/>
      <c r="AK166" s="874"/>
      <c r="AL166" s="874"/>
      <c r="AM166" s="360" cm="1">
        <f t="array" ref="AM166">AG123</f>
        <v>48590.119999999995</v>
      </c>
      <c r="AN166" s="875"/>
      <c r="AO166" s="875"/>
      <c r="AP166" s="875"/>
      <c r="AQ166" s="875"/>
      <c r="AR166" s="875"/>
      <c r="AS166" s="457"/>
      <c r="AT166" s="457"/>
      <c r="AU166" s="80"/>
      <c r="AV166" s="457"/>
      <c r="AW166" s="457"/>
      <c r="AX166" s="457"/>
      <c r="AY166" s="457"/>
      <c r="AZ166" s="981" t="s">
        <v>1593</v>
      </c>
    </row>
    <row r="167" spans="1:52" s="1229" customFormat="1" ht="27" customHeight="1">
      <c r="A167" s="1155"/>
      <c r="B167" s="783"/>
      <c r="C167" s="1155"/>
      <c r="D167" s="1155"/>
      <c r="E167" s="676">
        <v>27.8</v>
      </c>
      <c r="F167" s="779" t="str" cm="1">
        <f t="array" ref="F167">F166</f>
        <v>2</v>
      </c>
      <c r="G167" s="814"/>
      <c r="H167" s="814"/>
      <c r="I167" s="814"/>
      <c r="J167" s="814"/>
      <c r="K167" s="814"/>
      <c r="L167" s="814"/>
      <c r="M167" s="814"/>
      <c r="N167" s="814"/>
      <c r="O167" s="814"/>
      <c r="P167" s="814"/>
      <c r="Q167" s="784"/>
      <c r="R167" s="784"/>
      <c r="S167" s="814"/>
      <c r="T167" s="698" t="b" cm="1">
        <f t="array" ref="T167">T166</f>
        <v>1</v>
      </c>
      <c r="U167" s="1155"/>
      <c r="V167" s="1155"/>
      <c r="W167" s="1155"/>
      <c r="X167" s="1687"/>
      <c r="Y167" s="1155"/>
      <c r="Z167" s="1687"/>
      <c r="AA167" s="791"/>
      <c r="AB167" s="235" t="s">
        <v>440</v>
      </c>
      <c r="AC167" s="533" t="s">
        <v>1594</v>
      </c>
      <c r="AD167" s="528" t="s">
        <v>839</v>
      </c>
      <c r="AE167" s="1414"/>
      <c r="AF167" s="1414"/>
      <c r="AG167" s="360">
        <f>SUM(AH167:AL167)</f>
        <v>0</v>
      </c>
      <c r="AH167" s="874"/>
      <c r="AI167" s="874"/>
      <c r="AJ167" s="874"/>
      <c r="AK167" s="874"/>
      <c r="AL167" s="874"/>
      <c r="AM167" s="360">
        <f>SUM(AN167:AR167)</f>
        <v>0</v>
      </c>
      <c r="AN167" s="875"/>
      <c r="AO167" s="875"/>
      <c r="AP167" s="875"/>
      <c r="AQ167" s="875"/>
      <c r="AR167" s="875"/>
      <c r="AS167" s="457"/>
      <c r="AT167" s="457"/>
      <c r="AU167" s="80"/>
      <c r="AV167" s="457"/>
      <c r="AW167" s="457"/>
      <c r="AX167" s="457"/>
      <c r="AY167" s="457"/>
      <c r="AZ167" s="981" t="s">
        <v>1595</v>
      </c>
    </row>
    <row r="168" spans="1:52" s="1229" customFormat="1" ht="15" customHeight="1">
      <c r="A168" s="1155"/>
      <c r="B168" s="783"/>
      <c r="C168" s="1155"/>
      <c r="D168" s="1155"/>
      <c r="E168" s="676">
        <v>15.8</v>
      </c>
      <c r="F168" s="779" t="str" cm="1">
        <f t="array" ref="F168">F167</f>
        <v>2</v>
      </c>
      <c r="G168" s="620" t="s">
        <v>1596</v>
      </c>
      <c r="H168" s="814"/>
      <c r="I168" s="814"/>
      <c r="J168" s="814"/>
      <c r="K168" s="814"/>
      <c r="L168" s="814"/>
      <c r="M168" s="814"/>
      <c r="N168" s="814"/>
      <c r="O168" s="814"/>
      <c r="P168" s="814"/>
      <c r="Q168" s="784"/>
      <c r="R168" s="784"/>
      <c r="S168" s="814"/>
      <c r="T168" s="698" t="b" cm="1">
        <f t="array" ref="T168">T167</f>
        <v>1</v>
      </c>
      <c r="U168" s="1155"/>
      <c r="V168" s="1155"/>
      <c r="W168" s="1155"/>
      <c r="X168" s="1687"/>
      <c r="Y168" s="1155"/>
      <c r="Z168" s="1687"/>
      <c r="AA168" s="791"/>
      <c r="AB168" s="260" t="s">
        <v>443</v>
      </c>
      <c r="AC168" s="526" t="s">
        <v>1597</v>
      </c>
      <c r="AD168" s="528" t="s">
        <v>839</v>
      </c>
      <c r="AE168" s="360" cm="1">
        <f t="array" ref="AE168">AE167</f>
        <v>0</v>
      </c>
      <c r="AF168" s="360" cm="1">
        <f t="array" ref="AF168">AF167</f>
        <v>0</v>
      </c>
      <c r="AG168" s="360">
        <f t="shared" ref="AG168:AR168" ca="1" si="2">AG166+AG167</f>
        <v>0</v>
      </c>
      <c r="AH168" s="360">
        <f t="shared" si="2"/>
        <v>0</v>
      </c>
      <c r="AI168" s="360">
        <f t="shared" si="2"/>
        <v>0</v>
      </c>
      <c r="AJ168" s="360">
        <f t="shared" si="2"/>
        <v>0</v>
      </c>
      <c r="AK168" s="360">
        <f t="shared" si="2"/>
        <v>0</v>
      </c>
      <c r="AL168" s="360">
        <f t="shared" si="2"/>
        <v>0</v>
      </c>
      <c r="AM168" s="360">
        <f t="shared" si="2"/>
        <v>48590.119999999995</v>
      </c>
      <c r="AN168" s="360">
        <f t="shared" si="2"/>
        <v>0</v>
      </c>
      <c r="AO168" s="360">
        <f t="shared" si="2"/>
        <v>0</v>
      </c>
      <c r="AP168" s="360">
        <f t="shared" si="2"/>
        <v>0</v>
      </c>
      <c r="AQ168" s="360">
        <f t="shared" si="2"/>
        <v>0</v>
      </c>
      <c r="AR168" s="360">
        <f t="shared" si="2"/>
        <v>0</v>
      </c>
      <c r="AS168" s="457"/>
      <c r="AT168" s="457"/>
      <c r="AU168" s="80"/>
      <c r="AV168" s="457"/>
      <c r="AW168" s="457"/>
      <c r="AX168" s="457"/>
      <c r="AY168" s="457"/>
      <c r="AZ168" s="981" t="s">
        <v>1598</v>
      </c>
    </row>
    <row r="169" spans="1:52" ht="11.1" customHeight="1">
      <c r="E169" s="676">
        <v>11.4</v>
      </c>
      <c r="U169" s="129" t="s">
        <v>238</v>
      </c>
      <c r="V169" s="122" t="s">
        <v>1610</v>
      </c>
      <c r="AB169" s="459"/>
      <c r="AC169" s="459"/>
      <c r="AD169" s="459"/>
      <c r="AE169" s="459"/>
      <c r="AF169" s="459"/>
      <c r="AG169" s="459"/>
      <c r="AH169" s="462"/>
      <c r="AI169" s="462"/>
      <c r="AJ169" s="462"/>
      <c r="AV169" s="456"/>
    </row>
  </sheetData>
  <sheetProtection formatColumns="0" formatRows="0" insertRows="0" deleteColumns="0" deleteRows="0" sort="0" autoFilter="0"/>
  <mergeCells count="28">
    <mergeCell ref="X75:X121"/>
    <mergeCell ref="Z75:Z121"/>
    <mergeCell ref="AM164:AM165"/>
    <mergeCell ref="AU164:AU165"/>
    <mergeCell ref="AB164:AB165"/>
    <mergeCell ref="AC164:AC165"/>
    <mergeCell ref="AD164:AD165"/>
    <mergeCell ref="AG164:AG165"/>
    <mergeCell ref="X122:X168"/>
    <mergeCell ref="Z122:Z168"/>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B26F-3748-CA38-BE48-076324F43218}">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1047" hidden="1" customWidth="1"/>
    <col min="2" max="2" width="8.5703125" style="673" hidden="1" customWidth="1"/>
    <col min="3" max="4" width="3.5703125" style="1047" hidden="1" customWidth="1"/>
    <col min="5" max="5" width="8.42578125" style="782" hidden="1" customWidth="1"/>
    <col min="6" max="26" width="3.5703125" style="1047" hidden="1" customWidth="1"/>
    <col min="27" max="27" width="3" style="457" customWidth="1"/>
    <col min="28" max="28" width="8" style="819" customWidth="1"/>
    <col min="29" max="29" width="65.28515625" style="819" customWidth="1"/>
    <col min="30" max="30" width="20.5703125" style="819" customWidth="1"/>
    <col min="31" max="31" width="21" style="819" customWidth="1"/>
    <col min="32" max="32" width="21.140625" style="819" customWidth="1"/>
    <col min="33" max="33" width="21" style="819" customWidth="1"/>
    <col min="34" max="34" width="21.140625" style="819" customWidth="1"/>
    <col min="35" max="35" width="21" style="819" customWidth="1"/>
    <col min="36" max="36" width="21.140625" style="819" customWidth="1"/>
    <col min="37" max="37" width="21" style="819" customWidth="1"/>
    <col min="38" max="38" width="21.140625" style="819" customWidth="1"/>
  </cols>
  <sheetData>
    <row r="1" spans="1:38" s="1047" customFormat="1" ht="12" hidden="1" customHeight="1">
      <c r="B1" s="668"/>
      <c r="E1" s="667"/>
    </row>
    <row r="2" spans="1:38" s="673" customFormat="1" ht="12" hidden="1" customHeight="1">
      <c r="B2" s="672" t="s">
        <v>15</v>
      </c>
      <c r="E2" s="667"/>
    </row>
    <row r="3" spans="1:38" s="1047" customFormat="1" ht="12" hidden="1" customHeight="1">
      <c r="B3" s="668"/>
      <c r="E3" s="667"/>
    </row>
    <row r="4" spans="1:38" s="1047" customFormat="1" ht="12" hidden="1" customHeight="1">
      <c r="B4" s="668"/>
      <c r="E4" s="667"/>
    </row>
    <row r="5" spans="1:38" s="782" customFormat="1" ht="12" hidden="1" customHeight="1">
      <c r="A5" s="667"/>
      <c r="B5" s="667"/>
      <c r="C5" s="667"/>
      <c r="D5" s="667"/>
      <c r="E5" s="676" t="s">
        <v>16</v>
      </c>
      <c r="AA5" s="676">
        <v>3</v>
      </c>
      <c r="AB5" s="676">
        <v>8</v>
      </c>
      <c r="AC5" s="676">
        <v>65.25</v>
      </c>
      <c r="AD5" s="676">
        <v>20.63</v>
      </c>
      <c r="AE5" s="676">
        <v>21</v>
      </c>
      <c r="AF5" s="676">
        <v>21.13</v>
      </c>
      <c r="AG5" s="676">
        <v>21</v>
      </c>
      <c r="AH5" s="676">
        <v>21.13</v>
      </c>
      <c r="AI5" s="676">
        <v>21</v>
      </c>
      <c r="AJ5" s="676">
        <v>21.13</v>
      </c>
      <c r="AK5" s="676">
        <v>21</v>
      </c>
      <c r="AL5" s="676">
        <v>21.13</v>
      </c>
    </row>
    <row r="6" spans="1:38" s="1047" customFormat="1" ht="12" hidden="1" customHeight="1">
      <c r="B6" s="668"/>
      <c r="E6" s="676"/>
    </row>
    <row r="7" spans="1:38" s="819" customFormat="1" ht="12" hidden="1" customHeight="1">
      <c r="A7" s="800"/>
      <c r="B7" s="668"/>
      <c r="C7" s="800"/>
      <c r="D7" s="800"/>
      <c r="E7" s="676"/>
    </row>
    <row r="8" spans="1:38" s="819" customFormat="1" ht="12" hidden="1" customHeight="1">
      <c r="A8" s="800"/>
      <c r="B8" s="668"/>
      <c r="C8" s="800"/>
      <c r="D8" s="800"/>
      <c r="E8" s="676"/>
    </row>
    <row r="9" spans="1:38" s="1047" customFormat="1" ht="12" hidden="1" customHeight="1">
      <c r="B9" s="668"/>
      <c r="E9" s="676"/>
    </row>
    <row r="10" spans="1:38" s="1047" customFormat="1" ht="12" hidden="1" customHeight="1">
      <c r="B10" s="668"/>
      <c r="E10" s="676"/>
    </row>
    <row r="11" spans="1:38" s="1047" customFormat="1" ht="12" hidden="1" customHeight="1">
      <c r="B11" s="668"/>
      <c r="E11" s="676"/>
    </row>
    <row r="12" spans="1:38" s="1047" customFormat="1" ht="12" hidden="1" customHeight="1">
      <c r="B12" s="668"/>
      <c r="E12" s="676"/>
    </row>
    <row r="13" spans="1:38" s="1047" customFormat="1" ht="12" hidden="1" customHeight="1">
      <c r="B13" s="668"/>
      <c r="E13" s="676"/>
    </row>
    <row r="14" spans="1:38" s="1047" customFormat="1" ht="12" hidden="1" customHeight="1">
      <c r="B14" s="668"/>
      <c r="E14" s="676"/>
    </row>
    <row r="15" spans="1:38" s="1047" customFormat="1" ht="12" hidden="1" customHeight="1">
      <c r="B15" s="668"/>
      <c r="E15" s="676"/>
    </row>
    <row r="16" spans="1:38" s="1047" customFormat="1" ht="12" hidden="1" customHeight="1">
      <c r="B16" s="668"/>
      <c r="E16" s="676"/>
    </row>
    <row r="17" spans="1:38" s="1047" customFormat="1" ht="12" hidden="1" customHeight="1">
      <c r="B17" s="668"/>
      <c r="E17" s="676"/>
    </row>
    <row r="18" spans="1:38" s="1047" customFormat="1" ht="12" hidden="1" customHeight="1">
      <c r="B18" s="668"/>
      <c r="E18" s="676"/>
    </row>
    <row r="19" spans="1:38" s="1047" customFormat="1" ht="12" hidden="1" customHeight="1">
      <c r="B19" s="668"/>
      <c r="E19" s="676"/>
    </row>
    <row r="20" spans="1:38" s="1047" customFormat="1" ht="12" hidden="1" customHeight="1">
      <c r="B20" s="668"/>
      <c r="E20" s="676"/>
    </row>
    <row r="21" spans="1:38" ht="11.1" customHeight="1">
      <c r="E21" s="676">
        <v>11.4</v>
      </c>
      <c r="AA21" s="1"/>
      <c r="AB21" s="177"/>
      <c r="AC21" s="343" t="str" cm="1">
        <f t="array" ref="AC21">tpl_title</f>
        <v>Кемеровская область / 2026 / ОАО «СКЭК» (ИНН:4205153492, КПП:420501001) / ДПР: 2021-2030</v>
      </c>
    </row>
    <row r="22" spans="1:38" ht="18.95" customHeight="1">
      <c r="E22" s="676">
        <v>19.5</v>
      </c>
      <c r="AB22" s="332" t="str">
        <f>"23. Корректировка НВВ по исполнению инвестиционной программы "</f>
        <v xml:space="preserve">23. Корректировка НВВ по исполнению инвестиционной программы </v>
      </c>
      <c r="AC22" s="222"/>
    </row>
    <row r="23" spans="1:38" ht="11.1" customHeight="1">
      <c r="E23" s="676">
        <v>11.4</v>
      </c>
      <c r="AB23" s="459"/>
      <c r="AC23" s="460"/>
      <c r="AD23" s="460"/>
      <c r="AE23" s="461"/>
      <c r="AF23" s="461"/>
      <c r="AG23" s="461"/>
      <c r="AH23" s="461"/>
      <c r="AI23" s="461"/>
      <c r="AJ23" s="461"/>
      <c r="AK23" s="461"/>
      <c r="AL23" s="461"/>
    </row>
    <row r="24" spans="1:38" ht="11.1" customHeight="1">
      <c r="E24" s="676">
        <v>11.4</v>
      </c>
      <c r="AB24" s="459"/>
      <c r="AC24" s="460"/>
      <c r="AD24" s="460"/>
      <c r="AE24" s="461"/>
      <c r="AF24" s="461"/>
      <c r="AG24" s="461"/>
      <c r="AH24" s="461"/>
      <c r="AI24" s="461"/>
      <c r="AJ24" s="461"/>
      <c r="AK24" s="461"/>
      <c r="AL24" s="461"/>
    </row>
    <row r="25" spans="1:38" s="595" customFormat="1" ht="16.7" customHeight="1">
      <c r="A25" s="800"/>
      <c r="B25" s="668"/>
      <c r="C25" s="800"/>
      <c r="D25" s="800"/>
      <c r="E25" s="676">
        <v>17.100000000000001</v>
      </c>
      <c r="F25" s="800"/>
      <c r="G25" s="800"/>
      <c r="H25" s="800"/>
      <c r="I25" s="800"/>
      <c r="J25" s="800"/>
      <c r="K25" s="800"/>
      <c r="L25" s="800"/>
      <c r="M25" s="800"/>
      <c r="N25" s="800"/>
      <c r="O25" s="800"/>
      <c r="P25" s="800"/>
      <c r="Q25" s="800"/>
      <c r="R25" s="800"/>
      <c r="S25" s="800"/>
      <c r="T25" s="800"/>
      <c r="U25" s="800"/>
      <c r="V25" s="800"/>
      <c r="W25" s="800"/>
      <c r="X25" s="800"/>
      <c r="Y25" s="800"/>
      <c r="Z25" s="800"/>
      <c r="AB25" s="1729" t="s">
        <v>1456</v>
      </c>
      <c r="AC25" s="1729" t="s">
        <v>475</v>
      </c>
      <c r="AD25" s="1729" t="s">
        <v>1458</v>
      </c>
      <c r="AE25" s="1148">
        <f>god-4</f>
        <v>2022</v>
      </c>
      <c r="AF25" s="1148">
        <f>god-3</f>
        <v>2023</v>
      </c>
      <c r="AG25" s="1148">
        <f>god-2</f>
        <v>2024</v>
      </c>
      <c r="AH25" s="252" t="s">
        <v>906</v>
      </c>
      <c r="AI25" s="252">
        <f>god-4</f>
        <v>2022</v>
      </c>
      <c r="AJ25" s="252">
        <f>god-3</f>
        <v>2023</v>
      </c>
      <c r="AK25" s="252">
        <f>god-2</f>
        <v>2024</v>
      </c>
      <c r="AL25" s="252" t="s">
        <v>906</v>
      </c>
    </row>
    <row r="26" spans="1:38" ht="33" customHeight="1">
      <c r="E26" s="676">
        <v>33.9</v>
      </c>
      <c r="AB26" s="1729"/>
      <c r="AC26" s="1729"/>
      <c r="AD26" s="1729"/>
      <c r="AE26" s="1150" t="s">
        <v>1611</v>
      </c>
      <c r="AF26" s="1150" t="s">
        <v>1611</v>
      </c>
      <c r="AG26" s="1150" t="s">
        <v>1611</v>
      </c>
      <c r="AH26" s="470" t="s">
        <v>1611</v>
      </c>
      <c r="AI26" s="470" t="s">
        <v>1612</v>
      </c>
      <c r="AJ26" s="470" t="s">
        <v>1612</v>
      </c>
      <c r="AK26" s="470" t="s">
        <v>1612</v>
      </c>
      <c r="AL26" s="470" t="s">
        <v>1612</v>
      </c>
    </row>
    <row r="27" spans="1:38" ht="13.9" customHeight="1">
      <c r="E27" s="676">
        <v>14.3</v>
      </c>
      <c r="AB27" s="520"/>
      <c r="AC27" s="520"/>
      <c r="AD27" s="520"/>
      <c r="AE27" s="520"/>
      <c r="AF27" s="520"/>
      <c r="AG27" s="520"/>
      <c r="AH27" s="520"/>
      <c r="AI27" s="520"/>
      <c r="AJ27" s="520"/>
      <c r="AK27" s="520"/>
      <c r="AL27" s="520"/>
    </row>
    <row r="28" spans="1:38" s="170" customFormat="1" ht="11.1" customHeight="1">
      <c r="A28" s="126"/>
      <c r="B28" s="667"/>
      <c r="C28" s="126"/>
      <c r="D28" s="126"/>
      <c r="E28" s="676">
        <v>11.4</v>
      </c>
      <c r="F28" s="801" cm="1">
        <f t="array" ref="F28">'Общие сведения'!$Z$188</f>
        <v>0</v>
      </c>
      <c r="G28" s="126"/>
      <c r="H28" s="126"/>
      <c r="I28" s="126"/>
      <c r="J28" s="126"/>
      <c r="K28" s="126"/>
      <c r="L28" s="126"/>
      <c r="M28" s="126"/>
      <c r="N28" s="126"/>
      <c r="O28" s="126"/>
      <c r="P28" s="126"/>
      <c r="Q28" s="126"/>
      <c r="R28" s="126"/>
      <c r="S28" s="126"/>
      <c r="T28" s="126"/>
      <c r="U28" s="126"/>
      <c r="V28" s="126"/>
      <c r="W28" s="126"/>
      <c r="X28" s="126"/>
      <c r="Y28" s="126"/>
      <c r="Z28" s="126"/>
      <c r="AB28" s="266" t="str" cm="1">
        <f t="array" ref="AB28">INDEX('Общие сведения'!$AG$187:$AG$236,MATCH($F28,'Общие сведения'!$Z$187:$Z$236,0))</f>
        <v xml:space="preserve">Тариф 0 (Теплоснабжение) - </v>
      </c>
      <c r="AC28" s="267"/>
      <c r="AD28" s="267"/>
      <c r="AE28" s="267"/>
      <c r="AF28" s="267"/>
      <c r="AG28" s="267"/>
      <c r="AH28" s="267"/>
      <c r="AI28" s="267"/>
      <c r="AJ28" s="267"/>
      <c r="AK28" s="267"/>
      <c r="AL28" s="267"/>
    </row>
    <row r="29" spans="1:38" ht="33" customHeight="1">
      <c r="E29" s="676">
        <v>33.9</v>
      </c>
      <c r="F29" s="800" cm="1">
        <f t="array" ref="F29">F28</f>
        <v>0</v>
      </c>
      <c r="AB29" s="580">
        <v>1</v>
      </c>
      <c r="AC29" s="581" t="s">
        <v>1613</v>
      </c>
      <c r="AD29" s="580" t="s">
        <v>839</v>
      </c>
      <c r="AE29" s="582">
        <f>SUM(AE30:AE34)</f>
        <v>0</v>
      </c>
      <c r="AF29" s="582">
        <f>SUM(AF30:AF34)</f>
        <v>0</v>
      </c>
      <c r="AG29" s="582">
        <f>SUM(AG30:AG34)</f>
        <v>0</v>
      </c>
      <c r="AH29" s="582">
        <f t="shared" ref="AH29:AH40" si="0">SUM(AE29:AG29)</f>
        <v>0</v>
      </c>
      <c r="AI29" s="582">
        <f>SUM(AI30:AI34)</f>
        <v>0</v>
      </c>
      <c r="AJ29" s="582">
        <f>SUM(AJ30:AJ34)</f>
        <v>0</v>
      </c>
      <c r="AK29" s="582">
        <f>SUM(AK30:AK34)</f>
        <v>0</v>
      </c>
      <c r="AL29" s="582">
        <f t="shared" ref="AL29:AL40" si="1">SUM(AI29:AK29)</f>
        <v>0</v>
      </c>
    </row>
    <row r="30" spans="1:38" ht="16.7" customHeight="1">
      <c r="E30" s="676">
        <v>17.100000000000001</v>
      </c>
      <c r="F30" s="800" cm="1">
        <f t="array" ref="F30">F29</f>
        <v>0</v>
      </c>
      <c r="AB30" s="583" t="s">
        <v>484</v>
      </c>
      <c r="AC30" s="584" t="s">
        <v>1614</v>
      </c>
      <c r="AD30" s="583" t="s">
        <v>839</v>
      </c>
      <c r="AE30" s="585"/>
      <c r="AF30" s="585"/>
      <c r="AG30" s="585"/>
      <c r="AH30" s="586">
        <f t="shared" si="0"/>
        <v>0</v>
      </c>
      <c r="AI30" s="585" cm="1">
        <f t="array" ref="AI30">AE30</f>
        <v>0</v>
      </c>
      <c r="AJ30" s="585" cm="1">
        <f t="array" ref="AJ30">AF30</f>
        <v>0</v>
      </c>
      <c r="AK30" s="585" cm="1">
        <f t="array" ref="AK30">AG30</f>
        <v>0</v>
      </c>
      <c r="AL30" s="586">
        <f t="shared" si="1"/>
        <v>0</v>
      </c>
    </row>
    <row r="31" spans="1:38" ht="16.7" customHeight="1">
      <c r="E31" s="676">
        <v>17.100000000000001</v>
      </c>
      <c r="F31" s="800" cm="1">
        <f t="array" ref="F31">F30</f>
        <v>0</v>
      </c>
      <c r="AB31" s="583" t="s">
        <v>989</v>
      </c>
      <c r="AC31" s="584" t="s">
        <v>1615</v>
      </c>
      <c r="AD31" s="583" t="s">
        <v>839</v>
      </c>
      <c r="AE31" s="585"/>
      <c r="AF31" s="585"/>
      <c r="AG31" s="585"/>
      <c r="AH31" s="586">
        <f t="shared" si="0"/>
        <v>0</v>
      </c>
      <c r="AI31" s="585" cm="1">
        <f t="array" ref="AI31">AE31</f>
        <v>0</v>
      </c>
      <c r="AJ31" s="585" cm="1">
        <f t="array" ref="AJ31">AF31</f>
        <v>0</v>
      </c>
      <c r="AK31" s="585" cm="1">
        <f t="array" ref="AK31">AG31</f>
        <v>0</v>
      </c>
      <c r="AL31" s="586">
        <f t="shared" si="1"/>
        <v>0</v>
      </c>
    </row>
    <row r="32" spans="1:38" ht="16.7" customHeight="1">
      <c r="E32" s="676">
        <v>17.100000000000001</v>
      </c>
      <c r="F32" s="800" cm="1">
        <f t="array" ref="F32">F31</f>
        <v>0</v>
      </c>
      <c r="AB32" s="583" t="s">
        <v>991</v>
      </c>
      <c r="AC32" s="584" t="s">
        <v>1616</v>
      </c>
      <c r="AD32" s="583" t="s">
        <v>839</v>
      </c>
      <c r="AE32" s="585"/>
      <c r="AF32" s="585"/>
      <c r="AG32" s="585"/>
      <c r="AH32" s="586">
        <f t="shared" si="0"/>
        <v>0</v>
      </c>
      <c r="AI32" s="585" cm="1">
        <f t="array" ref="AI32">AE32</f>
        <v>0</v>
      </c>
      <c r="AJ32" s="585" cm="1">
        <f t="array" ref="AJ32">AF32</f>
        <v>0</v>
      </c>
      <c r="AK32" s="585" cm="1">
        <f t="array" ref="AK32">AG32</f>
        <v>0</v>
      </c>
      <c r="AL32" s="586">
        <f t="shared" si="1"/>
        <v>0</v>
      </c>
    </row>
    <row r="33" spans="5:38" ht="16.7" customHeight="1">
      <c r="E33" s="676">
        <v>17.100000000000001</v>
      </c>
      <c r="F33" s="800" cm="1">
        <f t="array" ref="F33">F32</f>
        <v>0</v>
      </c>
      <c r="AB33" s="583" t="s">
        <v>995</v>
      </c>
      <c r="AC33" s="584" t="s">
        <v>1617</v>
      </c>
      <c r="AD33" s="583" t="s">
        <v>839</v>
      </c>
      <c r="AE33" s="585"/>
      <c r="AF33" s="585"/>
      <c r="AG33" s="585"/>
      <c r="AH33" s="586">
        <f t="shared" si="0"/>
        <v>0</v>
      </c>
      <c r="AI33" s="585" cm="1">
        <f t="array" ref="AI33">AE33</f>
        <v>0</v>
      </c>
      <c r="AJ33" s="585" cm="1">
        <f t="array" ref="AJ33">AF33</f>
        <v>0</v>
      </c>
      <c r="AK33" s="585" cm="1">
        <f t="array" ref="AK33">AG33</f>
        <v>0</v>
      </c>
      <c r="AL33" s="586">
        <f t="shared" si="1"/>
        <v>0</v>
      </c>
    </row>
    <row r="34" spans="5:38" ht="16.7" customHeight="1">
      <c r="E34" s="676">
        <v>17.100000000000001</v>
      </c>
      <c r="F34" s="800" cm="1">
        <f t="array" ref="F34">F33</f>
        <v>0</v>
      </c>
      <c r="AB34" s="583" t="s">
        <v>1100</v>
      </c>
      <c r="AC34" s="584" t="s">
        <v>1320</v>
      </c>
      <c r="AD34" s="583" t="s">
        <v>839</v>
      </c>
      <c r="AE34" s="585"/>
      <c r="AF34" s="585"/>
      <c r="AG34" s="585"/>
      <c r="AH34" s="586">
        <f t="shared" si="0"/>
        <v>0</v>
      </c>
      <c r="AI34" s="585" cm="1">
        <f t="array" ref="AI34">AE34</f>
        <v>0</v>
      </c>
      <c r="AJ34" s="585" cm="1">
        <f t="array" ref="AJ34">AF34</f>
        <v>0</v>
      </c>
      <c r="AK34" s="585" cm="1">
        <f t="array" ref="AK34">AG34</f>
        <v>0</v>
      </c>
      <c r="AL34" s="586">
        <f t="shared" si="1"/>
        <v>0</v>
      </c>
    </row>
    <row r="35" spans="5:38" ht="33" customHeight="1">
      <c r="E35" s="676">
        <v>33.9</v>
      </c>
      <c r="F35" s="800" cm="1">
        <f t="array" ref="F35">F34</f>
        <v>0</v>
      </c>
      <c r="AB35" s="583">
        <v>2</v>
      </c>
      <c r="AC35" s="587" t="s">
        <v>1618</v>
      </c>
      <c r="AD35" s="583" t="s">
        <v>839</v>
      </c>
      <c r="AE35" s="586">
        <f>SUM(AE36:AE40)</f>
        <v>0</v>
      </c>
      <c r="AF35" s="586">
        <f>SUM(AF36:AF40)</f>
        <v>0</v>
      </c>
      <c r="AG35" s="586">
        <f>SUM(AG36:AG40)</f>
        <v>0</v>
      </c>
      <c r="AH35" s="586">
        <f t="shared" si="0"/>
        <v>0</v>
      </c>
      <c r="AI35" s="586">
        <f>SUM(AI36:AI40)</f>
        <v>0</v>
      </c>
      <c r="AJ35" s="586">
        <f>SUM(AJ36:AJ40)</f>
        <v>0</v>
      </c>
      <c r="AK35" s="586">
        <f>SUM(AK36:AK40)</f>
        <v>0</v>
      </c>
      <c r="AL35" s="586">
        <f t="shared" si="1"/>
        <v>0</v>
      </c>
    </row>
    <row r="36" spans="5:38" ht="16.7" customHeight="1">
      <c r="E36" s="676">
        <v>17.100000000000001</v>
      </c>
      <c r="F36" s="800" cm="1">
        <f t="array" ref="F36">F35</f>
        <v>0</v>
      </c>
      <c r="AB36" s="583" t="s">
        <v>491</v>
      </c>
      <c r="AC36" s="584" t="s">
        <v>1614</v>
      </c>
      <c r="AD36" s="583" t="s">
        <v>839</v>
      </c>
      <c r="AE36" s="585"/>
      <c r="AF36" s="585"/>
      <c r="AG36" s="585"/>
      <c r="AH36" s="586">
        <f t="shared" si="0"/>
        <v>0</v>
      </c>
      <c r="AI36" s="585" cm="1">
        <f t="array" ref="AI36">AE36</f>
        <v>0</v>
      </c>
      <c r="AJ36" s="585" cm="1">
        <f t="array" ref="AJ36">AF36</f>
        <v>0</v>
      </c>
      <c r="AK36" s="585" cm="1">
        <f t="array" ref="AK36">AG36</f>
        <v>0</v>
      </c>
      <c r="AL36" s="586">
        <f t="shared" si="1"/>
        <v>0</v>
      </c>
    </row>
    <row r="37" spans="5:38" ht="16.7" customHeight="1">
      <c r="E37" s="676">
        <v>17.100000000000001</v>
      </c>
      <c r="F37" s="800" cm="1">
        <f t="array" ref="F37">F36</f>
        <v>0</v>
      </c>
      <c r="AB37" s="583" t="s">
        <v>518</v>
      </c>
      <c r="AC37" s="584" t="s">
        <v>1615</v>
      </c>
      <c r="AD37" s="583" t="s">
        <v>839</v>
      </c>
      <c r="AE37" s="585"/>
      <c r="AF37" s="585"/>
      <c r="AG37" s="585"/>
      <c r="AH37" s="586">
        <f t="shared" si="0"/>
        <v>0</v>
      </c>
      <c r="AI37" s="585" cm="1">
        <f t="array" ref="AI37">AE37</f>
        <v>0</v>
      </c>
      <c r="AJ37" s="585" cm="1">
        <f t="array" ref="AJ37">AF37</f>
        <v>0</v>
      </c>
      <c r="AK37" s="585" cm="1">
        <f t="array" ref="AK37">AG37</f>
        <v>0</v>
      </c>
      <c r="AL37" s="586">
        <f t="shared" si="1"/>
        <v>0</v>
      </c>
    </row>
    <row r="38" spans="5:38" ht="16.7" customHeight="1">
      <c r="E38" s="676">
        <v>17.100000000000001</v>
      </c>
      <c r="F38" s="800" cm="1">
        <f t="array" ref="F38">F37</f>
        <v>0</v>
      </c>
      <c r="AB38" s="583" t="s">
        <v>522</v>
      </c>
      <c r="AC38" s="584" t="s">
        <v>1616</v>
      </c>
      <c r="AD38" s="583" t="s">
        <v>839</v>
      </c>
      <c r="AE38" s="585"/>
      <c r="AF38" s="585"/>
      <c r="AG38" s="585"/>
      <c r="AH38" s="586">
        <f t="shared" si="0"/>
        <v>0</v>
      </c>
      <c r="AI38" s="585" cm="1">
        <f t="array" ref="AI38">AE38</f>
        <v>0</v>
      </c>
      <c r="AJ38" s="585" cm="1">
        <f t="array" ref="AJ38">AF38</f>
        <v>0</v>
      </c>
      <c r="AK38" s="585" cm="1">
        <f t="array" ref="AK38">AG38</f>
        <v>0</v>
      </c>
      <c r="AL38" s="586">
        <f t="shared" si="1"/>
        <v>0</v>
      </c>
    </row>
    <row r="39" spans="5:38" ht="16.7" customHeight="1">
      <c r="E39" s="676">
        <v>17.100000000000001</v>
      </c>
      <c r="F39" s="800" cm="1">
        <f t="array" ref="F39">F38</f>
        <v>0</v>
      </c>
      <c r="AB39" s="583" t="s">
        <v>526</v>
      </c>
      <c r="AC39" s="584" t="s">
        <v>1617</v>
      </c>
      <c r="AD39" s="583" t="s">
        <v>839</v>
      </c>
      <c r="AE39" s="585"/>
      <c r="AF39" s="585"/>
      <c r="AG39" s="585"/>
      <c r="AH39" s="586">
        <f t="shared" si="0"/>
        <v>0</v>
      </c>
      <c r="AI39" s="585" cm="1">
        <f t="array" ref="AI39">AE39</f>
        <v>0</v>
      </c>
      <c r="AJ39" s="585" cm="1">
        <f t="array" ref="AJ39">AF39</f>
        <v>0</v>
      </c>
      <c r="AK39" s="585" cm="1">
        <f t="array" ref="AK39">AG39</f>
        <v>0</v>
      </c>
      <c r="AL39" s="586">
        <f t="shared" si="1"/>
        <v>0</v>
      </c>
    </row>
    <row r="40" spans="5:38" ht="16.7" customHeight="1">
      <c r="E40" s="676">
        <v>17.100000000000001</v>
      </c>
      <c r="F40" s="800" cm="1">
        <f t="array" ref="F40">F39</f>
        <v>0</v>
      </c>
      <c r="AB40" s="583" t="s">
        <v>1619</v>
      </c>
      <c r="AC40" s="584" t="s">
        <v>1320</v>
      </c>
      <c r="AD40" s="583" t="s">
        <v>839</v>
      </c>
      <c r="AE40" s="585"/>
      <c r="AF40" s="585"/>
      <c r="AG40" s="585"/>
      <c r="AH40" s="586">
        <f t="shared" si="0"/>
        <v>0</v>
      </c>
      <c r="AI40" s="585" cm="1">
        <f t="array" ref="AI40">AE40</f>
        <v>0</v>
      </c>
      <c r="AJ40" s="585" cm="1">
        <f t="array" ref="AJ40">AF40</f>
        <v>0</v>
      </c>
      <c r="AK40" s="585" cm="1">
        <f t="array" ref="AK40">AG40</f>
        <v>0</v>
      </c>
      <c r="AL40" s="586">
        <f t="shared" si="1"/>
        <v>0</v>
      </c>
    </row>
    <row r="41" spans="5:38" ht="16.7" customHeight="1">
      <c r="E41" s="676">
        <v>17.100000000000001</v>
      </c>
      <c r="F41" s="800" cm="1">
        <f t="array" ref="F41">F40</f>
        <v>0</v>
      </c>
      <c r="AB41" s="583" t="s">
        <v>437</v>
      </c>
      <c r="AC41" s="587" t="s">
        <v>1620</v>
      </c>
      <c r="AD41" s="583" t="s">
        <v>1621</v>
      </c>
      <c r="AE41" s="585"/>
      <c r="AF41" s="585"/>
      <c r="AG41" s="585"/>
      <c r="AH41" s="588"/>
      <c r="AI41" s="585" cm="1">
        <f t="array" ref="AI41">AE41</f>
        <v>0</v>
      </c>
      <c r="AJ41" s="585" cm="1">
        <f t="array" ref="AJ41">AF41</f>
        <v>0</v>
      </c>
      <c r="AK41" s="585" cm="1">
        <f t="array" ref="AK41">AG41</f>
        <v>0</v>
      </c>
      <c r="AL41" s="588"/>
    </row>
    <row r="42" spans="5:38" ht="16.7" customHeight="1">
      <c r="E42" s="676">
        <v>17.100000000000001</v>
      </c>
      <c r="F42" s="800" cm="1">
        <f t="array" ref="F42">F41</f>
        <v>0</v>
      </c>
      <c r="AB42" s="583" t="s">
        <v>440</v>
      </c>
      <c r="AC42" s="587" t="s">
        <v>1622</v>
      </c>
      <c r="AD42" s="583" t="s">
        <v>1621</v>
      </c>
      <c r="AE42" s="589">
        <v>0</v>
      </c>
      <c r="AF42" s="589">
        <v>0</v>
      </c>
      <c r="AG42" s="589">
        <v>0</v>
      </c>
      <c r="AH42" s="588"/>
      <c r="AI42" s="585" cm="1">
        <f t="array" ref="AI42">AE42</f>
        <v>0</v>
      </c>
      <c r="AJ42" s="585" cm="1">
        <f t="array" ref="AJ42">AF42</f>
        <v>0</v>
      </c>
      <c r="AK42" s="585" cm="1">
        <f t="array" ref="AK42">AG42</f>
        <v>0</v>
      </c>
      <c r="AL42" s="588"/>
    </row>
    <row r="43" spans="5:38" ht="33" customHeight="1">
      <c r="E43" s="676">
        <v>33.9</v>
      </c>
      <c r="F43" s="800" cm="1">
        <f t="array" ref="F43">F42</f>
        <v>0</v>
      </c>
      <c r="AB43" s="583" t="s">
        <v>443</v>
      </c>
      <c r="AC43" s="587" t="s">
        <v>1623</v>
      </c>
      <c r="AD43" s="583" t="s">
        <v>839</v>
      </c>
      <c r="AE43" s="586">
        <f>SUM(AE44:AE48)</f>
        <v>0</v>
      </c>
      <c r="AF43" s="586">
        <f>SUM(AF44:AF48)</f>
        <v>0</v>
      </c>
      <c r="AG43" s="586">
        <f>SUM(AG44:AG48)</f>
        <v>0</v>
      </c>
      <c r="AH43" s="586">
        <f t="shared" ref="AH43:AH50" si="2">SUM(AE43:AG43)</f>
        <v>0</v>
      </c>
      <c r="AI43" s="586">
        <f>SUM(AI44:AI48)</f>
        <v>0</v>
      </c>
      <c r="AJ43" s="586">
        <f>SUM(AJ44:AJ48)</f>
        <v>0</v>
      </c>
      <c r="AK43" s="586">
        <f>SUM(AK44:AK48)</f>
        <v>0</v>
      </c>
      <c r="AL43" s="586">
        <f t="shared" ref="AL43:AL50" si="3">SUM(AI43:AK43)</f>
        <v>0</v>
      </c>
    </row>
    <row r="44" spans="5:38" ht="16.7" customHeight="1">
      <c r="E44" s="676">
        <v>17.100000000000001</v>
      </c>
      <c r="F44" s="800" cm="1">
        <f t="array" ref="F44">F43</f>
        <v>0</v>
      </c>
      <c r="AB44" s="583" t="s">
        <v>785</v>
      </c>
      <c r="AC44" s="584" t="s">
        <v>1614</v>
      </c>
      <c r="AD44" s="583" t="s">
        <v>839</v>
      </c>
      <c r="AE44" s="585"/>
      <c r="AF44" s="585"/>
      <c r="AG44" s="585"/>
      <c r="AH44" s="586">
        <f t="shared" si="2"/>
        <v>0</v>
      </c>
      <c r="AI44" s="585" cm="1">
        <f t="array" ref="AI44">AE44</f>
        <v>0</v>
      </c>
      <c r="AJ44" s="585" cm="1">
        <f t="array" ref="AJ44">AF44</f>
        <v>0</v>
      </c>
      <c r="AK44" s="585" cm="1">
        <f t="array" ref="AK44">AG44</f>
        <v>0</v>
      </c>
      <c r="AL44" s="586">
        <f t="shared" si="3"/>
        <v>0</v>
      </c>
    </row>
    <row r="45" spans="5:38" ht="16.7" customHeight="1">
      <c r="E45" s="676">
        <v>17.100000000000001</v>
      </c>
      <c r="F45" s="800" cm="1">
        <f t="array" ref="F45">F44</f>
        <v>0</v>
      </c>
      <c r="AB45" s="583" t="s">
        <v>1364</v>
      </c>
      <c r="AC45" s="584" t="s">
        <v>1615</v>
      </c>
      <c r="AD45" s="583" t="s">
        <v>839</v>
      </c>
      <c r="AE45" s="585"/>
      <c r="AF45" s="585"/>
      <c r="AG45" s="585"/>
      <c r="AH45" s="586">
        <f t="shared" si="2"/>
        <v>0</v>
      </c>
      <c r="AI45" s="585" cm="1">
        <f t="array" ref="AI45">AE45</f>
        <v>0</v>
      </c>
      <c r="AJ45" s="585" cm="1">
        <f t="array" ref="AJ45">AF45</f>
        <v>0</v>
      </c>
      <c r="AK45" s="585" cm="1">
        <f t="array" ref="AK45">AG45</f>
        <v>0</v>
      </c>
      <c r="AL45" s="586">
        <f t="shared" si="3"/>
        <v>0</v>
      </c>
    </row>
    <row r="46" spans="5:38" ht="16.7" customHeight="1">
      <c r="E46" s="676">
        <v>17.100000000000001</v>
      </c>
      <c r="F46" s="800" cm="1">
        <f t="array" ref="F46">F45</f>
        <v>0</v>
      </c>
      <c r="AB46" s="583" t="s">
        <v>1367</v>
      </c>
      <c r="AC46" s="584" t="s">
        <v>1616</v>
      </c>
      <c r="AD46" s="583" t="s">
        <v>839</v>
      </c>
      <c r="AE46" s="585"/>
      <c r="AF46" s="585"/>
      <c r="AG46" s="585"/>
      <c r="AH46" s="586">
        <f t="shared" si="2"/>
        <v>0</v>
      </c>
      <c r="AI46" s="585" cm="1">
        <f t="array" ref="AI46">AE46</f>
        <v>0</v>
      </c>
      <c r="AJ46" s="585" cm="1">
        <f t="array" ref="AJ46">AF46</f>
        <v>0</v>
      </c>
      <c r="AK46" s="585" cm="1">
        <f t="array" ref="AK46">AG46</f>
        <v>0</v>
      </c>
      <c r="AL46" s="586">
        <f t="shared" si="3"/>
        <v>0</v>
      </c>
    </row>
    <row r="47" spans="5:38" ht="16.7" customHeight="1">
      <c r="E47" s="676">
        <v>17.100000000000001</v>
      </c>
      <c r="F47" s="800" cm="1">
        <f t="array" ref="F47">F46</f>
        <v>0</v>
      </c>
      <c r="AB47" s="583" t="s">
        <v>1370</v>
      </c>
      <c r="AC47" s="584" t="s">
        <v>1617</v>
      </c>
      <c r="AD47" s="583" t="s">
        <v>839</v>
      </c>
      <c r="AE47" s="585"/>
      <c r="AF47" s="585"/>
      <c r="AG47" s="585"/>
      <c r="AH47" s="586">
        <f t="shared" si="2"/>
        <v>0</v>
      </c>
      <c r="AI47" s="585" cm="1">
        <f t="array" ref="AI47">AE47</f>
        <v>0</v>
      </c>
      <c r="AJ47" s="585" cm="1">
        <f t="array" ref="AJ47">AF47</f>
        <v>0</v>
      </c>
      <c r="AK47" s="585" cm="1">
        <f t="array" ref="AK47">AG47</f>
        <v>0</v>
      </c>
      <c r="AL47" s="586">
        <f t="shared" si="3"/>
        <v>0</v>
      </c>
    </row>
    <row r="48" spans="5:38" ht="16.7" customHeight="1">
      <c r="E48" s="676">
        <v>17.100000000000001</v>
      </c>
      <c r="F48" s="800" cm="1">
        <f t="array" ref="F48">F47</f>
        <v>0</v>
      </c>
      <c r="AB48" s="590" t="s">
        <v>1373</v>
      </c>
      <c r="AC48" s="592" t="s">
        <v>1320</v>
      </c>
      <c r="AD48" s="590" t="s">
        <v>839</v>
      </c>
      <c r="AE48" s="593"/>
      <c r="AF48" s="593"/>
      <c r="AG48" s="593"/>
      <c r="AH48" s="591">
        <f t="shared" si="2"/>
        <v>0</v>
      </c>
      <c r="AI48" s="593" cm="1">
        <f t="array" ref="AI48">AE48</f>
        <v>0</v>
      </c>
      <c r="AJ48" s="593" cm="1">
        <f t="array" ref="AJ48">AF48</f>
        <v>0</v>
      </c>
      <c r="AK48" s="593" cm="1">
        <f t="array" ref="AK48">AG48</f>
        <v>0</v>
      </c>
      <c r="AL48" s="591">
        <f t="shared" si="3"/>
        <v>0</v>
      </c>
    </row>
    <row r="49" spans="1:38" ht="16.7" customHeight="1">
      <c r="E49" s="676">
        <v>17.100000000000001</v>
      </c>
      <c r="F49" s="800" cm="1">
        <f t="array" ref="F49">F48</f>
        <v>0</v>
      </c>
      <c r="AB49" s="260">
        <v>6</v>
      </c>
      <c r="AC49" s="348" t="s">
        <v>1624</v>
      </c>
      <c r="AD49" s="260" t="s">
        <v>839</v>
      </c>
      <c r="AE49" s="594">
        <f>IF(AE41=0,0,AE42/AE41*AE35)</f>
        <v>0</v>
      </c>
      <c r="AF49" s="594">
        <f>IF(AF41=0,0,AF42/AF41*AF35)</f>
        <v>0</v>
      </c>
      <c r="AG49" s="594">
        <f>IF(AG41=0,0,AG42/AG41*AG35)</f>
        <v>0</v>
      </c>
      <c r="AH49" s="594">
        <f t="shared" si="2"/>
        <v>0</v>
      </c>
      <c r="AI49" s="594">
        <f>IF(AI41=0,0,AI42/AI41*AI35)</f>
        <v>0</v>
      </c>
      <c r="AJ49" s="594">
        <f>IF(AJ41=0,0,AJ42/AJ41*AJ35)</f>
        <v>0</v>
      </c>
      <c r="AK49" s="594">
        <f>IF(AK41=0,0,AK42/AK41*AK35)</f>
        <v>0</v>
      </c>
      <c r="AL49" s="594">
        <f t="shared" si="3"/>
        <v>0</v>
      </c>
    </row>
    <row r="50" spans="1:38" ht="16.7" customHeight="1">
      <c r="E50" s="676">
        <v>17.100000000000001</v>
      </c>
      <c r="F50" s="800" cm="1">
        <f t="array" ref="F50">F49</f>
        <v>0</v>
      </c>
      <c r="AB50" s="260">
        <v>7</v>
      </c>
      <c r="AC50" s="348" t="s">
        <v>1625</v>
      </c>
      <c r="AD50" s="260" t="s">
        <v>839</v>
      </c>
      <c r="AE50" s="594">
        <f>IF(AE49=0,0,AE29*(AE43/AE49-1))</f>
        <v>0</v>
      </c>
      <c r="AF50" s="594">
        <f>IF(AF49=0,0,AF29*(AF43/AF49-1))</f>
        <v>0</v>
      </c>
      <c r="AG50" s="594">
        <f>IF(AG49=0,0,AG29*(AG43/AG49-1))</f>
        <v>0</v>
      </c>
      <c r="AH50" s="594">
        <f t="shared" si="2"/>
        <v>0</v>
      </c>
      <c r="AI50" s="594">
        <f>IF(AI49=0,0,AI29*(AI43/AI49-1))</f>
        <v>0</v>
      </c>
      <c r="AJ50" s="594">
        <f>IF(AJ49=0,0,AJ29*(AJ43/AJ49-1))</f>
        <v>0</v>
      </c>
      <c r="AK50" s="594">
        <f>IF(AK49=0,0,AK29*(AK43/AK49-1))</f>
        <v>0</v>
      </c>
      <c r="AL50" s="594">
        <f t="shared" si="3"/>
        <v>0</v>
      </c>
    </row>
    <row r="51" spans="1:38" s="457" customFormat="1" ht="11.1" customHeight="1">
      <c r="A51" s="802"/>
      <c r="B51" s="673"/>
      <c r="C51" s="802"/>
      <c r="D51" s="802"/>
      <c r="E51" s="677">
        <v>11.4</v>
      </c>
      <c r="F51" s="802"/>
      <c r="G51" s="802"/>
      <c r="H51" s="802"/>
      <c r="I51" s="802"/>
      <c r="J51" s="802"/>
      <c r="K51" s="802"/>
      <c r="L51" s="802"/>
      <c r="M51" s="802"/>
      <c r="N51" s="802"/>
      <c r="O51" s="802"/>
      <c r="P51" s="802"/>
      <c r="Q51" s="802"/>
      <c r="R51" s="802"/>
      <c r="S51" s="802"/>
      <c r="T51" s="802"/>
      <c r="U51" s="802"/>
      <c r="V51" s="802"/>
      <c r="W51" s="802"/>
      <c r="X51" s="802"/>
      <c r="Y51" s="802"/>
      <c r="Z51" s="802"/>
      <c r="AB51" s="458"/>
      <c r="AC51" s="458"/>
      <c r="AD51" s="458"/>
      <c r="AE51" s="458"/>
      <c r="AF51" s="458"/>
      <c r="AG51" s="458"/>
      <c r="AH51" s="458"/>
      <c r="AI51" s="458"/>
      <c r="AJ51" s="458"/>
      <c r="AK51" s="458"/>
      <c r="AL51" s="458"/>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598-A388-55ED-3359-C5C2442F09C8}">
  <sheetPr>
    <tabColor rgb="FF92D050"/>
    <outlinePr summaryBelow="0" summaryRight="0"/>
    <pageSetUpPr fitToPage="1"/>
  </sheetPr>
  <dimension ref="A1:BX199"/>
  <sheetViews>
    <sheetView showGridLines="0" workbookViewId="0">
      <pane xSplit="30" ySplit="25" topLeftCell="AJ165" activePane="bottomRight" state="frozen"/>
      <selection pane="topRight" activeCell="AE1" sqref="AE1"/>
      <selection pane="bottomLeft" activeCell="A26" sqref="A26"/>
      <selection pane="bottomRight" activeCell="AT98" sqref="AT98"/>
    </sheetView>
  </sheetViews>
  <sheetFormatPr defaultColWidth="9.140625" defaultRowHeight="11.25" customHeight="1"/>
  <cols>
    <col min="1" max="1" width="3.5703125" style="178" hidden="1" customWidth="1"/>
    <col min="2" max="2" width="8.5703125" style="783" hidden="1" customWidth="1"/>
    <col min="3" max="3" width="25.85546875" style="1095" hidden="1" customWidth="1"/>
    <col min="4" max="4" width="12.7109375" style="1059" hidden="1" customWidth="1"/>
    <col min="5" max="5" width="8.42578125" style="782" hidden="1" customWidth="1"/>
    <col min="6" max="6" width="6.42578125" style="178" hidden="1" customWidth="1"/>
    <col min="7" max="11" width="3.5703125" style="180" hidden="1" customWidth="1"/>
    <col min="12" max="12" width="19.85546875" style="143" hidden="1" customWidth="1"/>
    <col min="13" max="14" width="12.7109375" style="1063" hidden="1" customWidth="1"/>
    <col min="15" max="18" width="9.140625" style="1071" hidden="1"/>
    <col min="19" max="19" width="15"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40" width="12.5703125" style="180" customWidth="1"/>
    <col min="41" max="45" width="12.5703125" style="180" hidden="1" customWidth="1"/>
    <col min="46" max="50" width="12.5703125" style="180" customWidth="1"/>
    <col min="51" max="55" width="12.5703125" style="180" hidden="1" customWidth="1"/>
    <col min="56" max="60" width="12.5703125" style="180" customWidth="1"/>
    <col min="61"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3" width="9.140625" style="1031" hidden="1"/>
    <col min="74" max="75" width="9.140625" style="1032" hidden="1"/>
    <col min="76" max="76" width="15" style="1126" hidden="1" customWidth="1"/>
  </cols>
  <sheetData>
    <row r="1" spans="1:76" s="178" customFormat="1" ht="12" hidden="1" customHeight="1">
      <c r="B1" s="667"/>
      <c r="C1" s="1095" t="s">
        <v>84</v>
      </c>
      <c r="D1" s="1059" t="s">
        <v>85</v>
      </c>
      <c r="E1" s="667"/>
      <c r="F1" s="698" t="s">
        <v>83</v>
      </c>
      <c r="G1" s="180"/>
      <c r="H1" s="180"/>
      <c r="I1" s="180"/>
      <c r="J1" s="180"/>
      <c r="K1" s="180"/>
      <c r="M1" s="1063" t="s">
        <v>94</v>
      </c>
      <c r="N1" s="1063" t="s">
        <v>1626</v>
      </c>
      <c r="O1" s="1062" t="s">
        <v>1627</v>
      </c>
      <c r="P1" s="1062" t="s">
        <v>1628</v>
      </c>
      <c r="Q1" s="1062" t="s">
        <v>1629</v>
      </c>
      <c r="R1" s="1062"/>
      <c r="S1" s="1"/>
      <c r="T1" s="687" t="s">
        <v>86</v>
      </c>
      <c r="U1" s="687" t="s">
        <v>91</v>
      </c>
      <c r="V1" s="687" t="s">
        <v>87</v>
      </c>
      <c r="W1" s="687" t="s">
        <v>88</v>
      </c>
      <c r="X1" s="687" t="s">
        <v>89</v>
      </c>
      <c r="Y1" s="698" t="s">
        <v>382</v>
      </c>
      <c r="Z1" s="687" t="s">
        <v>93</v>
      </c>
      <c r="AA1" s="698" t="s">
        <v>90</v>
      </c>
      <c r="AB1" s="698" t="s">
        <v>92</v>
      </c>
      <c r="AC1" s="698" t="s">
        <v>92</v>
      </c>
      <c r="BS1" s="1031" t="s">
        <v>383</v>
      </c>
      <c r="BT1" s="1031" t="s">
        <v>384</v>
      </c>
      <c r="BU1" s="1031" t="s">
        <v>385</v>
      </c>
      <c r="BV1" s="1032" t="s">
        <v>388</v>
      </c>
      <c r="BW1" s="1032" t="s">
        <v>389</v>
      </c>
      <c r="BX1" s="1124" t="s">
        <v>1630</v>
      </c>
    </row>
    <row r="2" spans="1:76" s="783" customFormat="1" ht="12" hidden="1" customHeight="1">
      <c r="B2" s="768" t="s">
        <v>15</v>
      </c>
      <c r="C2" s="1115"/>
      <c r="D2" s="1058"/>
      <c r="G2" s="786"/>
      <c r="H2" s="786"/>
      <c r="I2" s="786"/>
      <c r="J2" s="786"/>
      <c r="K2" s="786"/>
      <c r="L2" s="786"/>
      <c r="M2" s="1070"/>
      <c r="N2" s="1070"/>
      <c r="O2" s="1051"/>
      <c r="P2" s="1051"/>
      <c r="Q2" s="1051"/>
      <c r="R2" s="1051"/>
      <c r="S2" s="1"/>
      <c r="AC2" s="671"/>
      <c r="AJ2" s="688" t="b">
        <f t="shared" ref="AJ2:BM2" si="0">AJ6&lt;=last_year_vis</f>
        <v>1</v>
      </c>
      <c r="AK2" s="688" t="b">
        <f t="shared" si="0"/>
        <v>1</v>
      </c>
      <c r="AL2" s="688" t="b">
        <f t="shared" si="0"/>
        <v>1</v>
      </c>
      <c r="AM2" s="688" t="b">
        <f t="shared" si="0"/>
        <v>1</v>
      </c>
      <c r="AN2" s="688" t="b">
        <f t="shared" si="0"/>
        <v>1</v>
      </c>
      <c r="AO2" s="688" t="b">
        <f t="shared" si="0"/>
        <v>0</v>
      </c>
      <c r="AP2" s="688" t="b">
        <f t="shared" si="0"/>
        <v>0</v>
      </c>
      <c r="AQ2" s="688" t="b">
        <f t="shared" si="0"/>
        <v>0</v>
      </c>
      <c r="AR2" s="688" t="b">
        <f t="shared" si="0"/>
        <v>0</v>
      </c>
      <c r="AS2" s="688" t="b">
        <f t="shared" si="0"/>
        <v>0</v>
      </c>
      <c r="AT2" s="688" t="b">
        <f t="shared" si="0"/>
        <v>1</v>
      </c>
      <c r="AU2" s="688" t="b">
        <f t="shared" si="0"/>
        <v>1</v>
      </c>
      <c r="AV2" s="688" t="b">
        <f t="shared" si="0"/>
        <v>1</v>
      </c>
      <c r="AW2" s="688" t="b">
        <f t="shared" si="0"/>
        <v>1</v>
      </c>
      <c r="AX2" s="688" t="b">
        <f t="shared" si="0"/>
        <v>1</v>
      </c>
      <c r="AY2" s="688" t="b">
        <f t="shared" si="0"/>
        <v>0</v>
      </c>
      <c r="AZ2" s="688" t="b">
        <f t="shared" si="0"/>
        <v>0</v>
      </c>
      <c r="BA2" s="688" t="b">
        <f t="shared" si="0"/>
        <v>0</v>
      </c>
      <c r="BB2" s="688" t="b">
        <f t="shared" si="0"/>
        <v>0</v>
      </c>
      <c r="BC2" s="688" t="b">
        <f t="shared" si="0"/>
        <v>0</v>
      </c>
      <c r="BD2" s="688" t="b">
        <f t="shared" si="0"/>
        <v>1</v>
      </c>
      <c r="BE2" s="688" t="b">
        <f t="shared" si="0"/>
        <v>1</v>
      </c>
      <c r="BF2" s="688" t="b">
        <f t="shared" si="0"/>
        <v>1</v>
      </c>
      <c r="BG2" s="688" t="b">
        <f t="shared" si="0"/>
        <v>1</v>
      </c>
      <c r="BH2" s="688" t="b">
        <f t="shared" si="0"/>
        <v>1</v>
      </c>
      <c r="BI2" s="688" t="b">
        <f t="shared" si="0"/>
        <v>0</v>
      </c>
      <c r="BJ2" s="688" t="b">
        <f t="shared" si="0"/>
        <v>0</v>
      </c>
      <c r="BK2" s="688" t="b">
        <f t="shared" si="0"/>
        <v>0</v>
      </c>
      <c r="BL2" s="688" t="b">
        <f t="shared" si="0"/>
        <v>0</v>
      </c>
      <c r="BM2" s="688" t="b">
        <f t="shared" si="0"/>
        <v>0</v>
      </c>
      <c r="BS2" s="973"/>
      <c r="BT2" s="973"/>
      <c r="BU2" s="973"/>
      <c r="BV2" s="985"/>
      <c r="BW2" s="985"/>
      <c r="BX2" s="1125"/>
    </row>
    <row r="3" spans="1:76" s="178" customFormat="1" ht="12" hidden="1" customHeight="1">
      <c r="B3" s="667"/>
      <c r="C3" s="1095"/>
      <c r="D3" s="1059"/>
      <c r="E3" s="667"/>
      <c r="G3" s="180"/>
      <c r="H3" s="180"/>
      <c r="I3" s="180"/>
      <c r="J3" s="180"/>
      <c r="K3" s="180"/>
      <c r="L3" s="143"/>
      <c r="M3" s="1063"/>
      <c r="N3" s="1063"/>
      <c r="O3" s="1062"/>
      <c r="P3" s="1062"/>
      <c r="Q3" s="1062"/>
      <c r="R3" s="1062"/>
      <c r="S3" s="1"/>
      <c r="T3" s="126"/>
      <c r="U3" s="126"/>
      <c r="V3" s="126"/>
      <c r="W3" s="126"/>
      <c r="X3" s="126"/>
      <c r="Y3" s="126"/>
      <c r="Z3" s="126"/>
      <c r="AC3" s="182"/>
      <c r="BS3" s="1031"/>
      <c r="BT3" s="1031"/>
      <c r="BU3" s="1031"/>
      <c r="BV3" s="1032"/>
      <c r="BW3" s="1032"/>
      <c r="BX3" s="1126"/>
    </row>
    <row r="4" spans="1:76" s="178" customFormat="1" ht="12" hidden="1" customHeight="1">
      <c r="B4" s="667"/>
      <c r="C4" s="1095"/>
      <c r="D4" s="1059"/>
      <c r="E4" s="667"/>
      <c r="G4" s="180"/>
      <c r="H4" s="180"/>
      <c r="I4" s="180"/>
      <c r="J4" s="180"/>
      <c r="K4" s="180"/>
      <c r="L4" s="143"/>
      <c r="M4" s="1063"/>
      <c r="N4" s="1063"/>
      <c r="O4" s="1062"/>
      <c r="P4" s="1062"/>
      <c r="Q4" s="1062"/>
      <c r="R4" s="1062"/>
      <c r="S4" s="1"/>
      <c r="T4" s="126"/>
      <c r="U4" s="126"/>
      <c r="V4" s="126"/>
      <c r="W4" s="126"/>
      <c r="X4" s="126"/>
      <c r="Y4" s="126"/>
      <c r="Z4" s="126"/>
      <c r="AC4" s="182"/>
      <c r="BS4" s="1031"/>
      <c r="BT4" s="1031"/>
      <c r="BU4" s="1031"/>
      <c r="BV4" s="1032"/>
      <c r="BW4" s="1032"/>
      <c r="BX4" s="1126"/>
    </row>
    <row r="5" spans="1:76" s="782" customFormat="1" ht="12" hidden="1" customHeight="1">
      <c r="A5" s="667"/>
      <c r="B5" s="667"/>
      <c r="C5" s="1115"/>
      <c r="D5" s="1058"/>
      <c r="E5" s="676" t="s">
        <v>16</v>
      </c>
      <c r="G5" s="787"/>
      <c r="H5" s="787"/>
      <c r="I5" s="787"/>
      <c r="J5" s="787"/>
      <c r="K5" s="787"/>
      <c r="L5" s="787"/>
      <c r="M5" s="1070"/>
      <c r="N5" s="1070"/>
      <c r="O5" s="1051"/>
      <c r="P5" s="1051"/>
      <c r="Q5" s="1051"/>
      <c r="R5" s="1051"/>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73"/>
      <c r="BT5" s="973"/>
      <c r="BU5" s="973"/>
      <c r="BV5" s="985"/>
      <c r="BW5" s="985"/>
      <c r="BX5" s="1125"/>
    </row>
    <row r="6" spans="1:76" s="178" customFormat="1" ht="12" hidden="1" customHeight="1">
      <c r="B6" s="667"/>
      <c r="C6" s="1095"/>
      <c r="D6" s="1059"/>
      <c r="E6" s="676"/>
      <c r="G6" s="180"/>
      <c r="H6" s="180"/>
      <c r="I6" s="180"/>
      <c r="J6" s="180"/>
      <c r="K6" s="180"/>
      <c r="L6" s="143"/>
      <c r="M6" s="1063"/>
      <c r="N6" s="1063"/>
      <c r="O6" s="1062"/>
      <c r="P6" s="1062"/>
      <c r="Q6" s="1062"/>
      <c r="R6" s="1062"/>
      <c r="S6" s="126"/>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31"/>
      <c r="BT6" s="1031"/>
      <c r="BU6" s="1031"/>
      <c r="BV6" s="1032"/>
      <c r="BW6" s="1032"/>
      <c r="BX6" s="1126"/>
    </row>
    <row r="7" spans="1:76" ht="12" hidden="1" customHeight="1">
      <c r="F7" s="180"/>
      <c r="S7" s="163"/>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row>
    <row r="8" spans="1:76" ht="12" hidden="1" customHeight="1">
      <c r="F8" s="180"/>
      <c r="S8" s="163"/>
      <c r="T8" s="163"/>
      <c r="U8" s="163"/>
      <c r="V8" s="163"/>
      <c r="W8" s="163"/>
      <c r="X8" s="163"/>
      <c r="Y8" s="163"/>
      <c r="Z8" s="163"/>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row>
    <row r="9" spans="1:76" s="1030" customFormat="1" ht="12" hidden="1" customHeight="1">
      <c r="A9" s="958" t="s">
        <v>472</v>
      </c>
      <c r="B9" s="951"/>
      <c r="C9" s="1095"/>
      <c r="D9" s="1059"/>
      <c r="E9" s="951"/>
      <c r="L9" s="1008"/>
      <c r="M9" s="1063"/>
      <c r="N9" s="1063"/>
      <c r="O9" s="1062"/>
      <c r="P9" s="1062"/>
      <c r="Q9" s="1062"/>
      <c r="R9" s="1062"/>
      <c r="S9" s="959"/>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31"/>
      <c r="BT9" s="1031"/>
      <c r="BU9" s="1031"/>
      <c r="BV9" s="1032"/>
      <c r="BW9" s="1032"/>
      <c r="BX9" s="1063"/>
    </row>
    <row r="10" spans="1:76" s="1030" customFormat="1" ht="12" hidden="1" customHeight="1">
      <c r="A10" s="958" t="s">
        <v>473</v>
      </c>
      <c r="B10" s="951"/>
      <c r="C10" s="1095"/>
      <c r="D10" s="1059"/>
      <c r="E10" s="951"/>
      <c r="L10" s="1008"/>
      <c r="M10" s="1063"/>
      <c r="N10" s="1063"/>
      <c r="O10" s="1062"/>
      <c r="P10" s="1062"/>
      <c r="Q10" s="1062"/>
      <c r="R10" s="1062"/>
      <c r="S10" s="959"/>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31"/>
      <c r="BT10" s="1031"/>
      <c r="BU10" s="1031"/>
      <c r="BV10" s="1032"/>
      <c r="BW10" s="1032"/>
      <c r="BX10" s="1063"/>
    </row>
    <row r="11" spans="1:76" s="1030" customFormat="1" ht="12" hidden="1" customHeight="1">
      <c r="A11" s="958" t="s">
        <v>474</v>
      </c>
      <c r="B11" s="951"/>
      <c r="C11" s="1095"/>
      <c r="D11" s="1059"/>
      <c r="E11" s="951"/>
      <c r="G11" s="1033"/>
      <c r="H11" s="1033"/>
      <c r="I11" s="1033"/>
      <c r="J11" s="1033"/>
      <c r="K11" s="1033"/>
      <c r="L11" s="1010"/>
      <c r="M11" s="1063"/>
      <c r="N11" s="1063"/>
      <c r="O11" s="1062"/>
      <c r="P11" s="1062"/>
      <c r="Q11" s="1062"/>
      <c r="R11" s="1062"/>
      <c r="S11" s="959"/>
      <c r="T11" s="959"/>
      <c r="U11" s="959"/>
      <c r="V11" s="959"/>
      <c r="W11" s="959"/>
      <c r="X11" s="959"/>
      <c r="Y11" s="959"/>
      <c r="Z11" s="959"/>
      <c r="AC11" s="1034"/>
      <c r="BI11" s="959"/>
      <c r="BJ11" s="959"/>
      <c r="BK11" s="959"/>
      <c r="BL11" s="959"/>
      <c r="BM11" s="959"/>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31"/>
      <c r="BT11" s="1031"/>
      <c r="BU11" s="1031"/>
      <c r="BV11" s="1032"/>
      <c r="BW11" s="1032"/>
      <c r="BX11" s="1126"/>
    </row>
    <row r="12" spans="1:76" s="1030" customFormat="1" ht="12" hidden="1" customHeight="1">
      <c r="A12" s="958" t="s">
        <v>394</v>
      </c>
      <c r="B12" s="951"/>
      <c r="C12" s="1095"/>
      <c r="D12" s="1059"/>
      <c r="E12" s="951"/>
      <c r="G12" s="1033"/>
      <c r="H12" s="1033"/>
      <c r="I12" s="1033"/>
      <c r="J12" s="1033"/>
      <c r="K12" s="1033"/>
      <c r="L12" s="1010"/>
      <c r="M12" s="1063"/>
      <c r="N12" s="1063"/>
      <c r="O12" s="1062"/>
      <c r="P12" s="1062"/>
      <c r="Q12" s="1062"/>
      <c r="R12" s="1062"/>
      <c r="S12" s="959"/>
      <c r="T12" s="959"/>
      <c r="U12" s="959"/>
      <c r="V12" s="959"/>
      <c r="W12" s="959"/>
      <c r="X12" s="959"/>
      <c r="Y12" s="959"/>
      <c r="Z12" s="959"/>
      <c r="AC12" s="1034" t="s">
        <v>385</v>
      </c>
      <c r="BI12" s="959"/>
      <c r="BJ12" s="959"/>
      <c r="BK12" s="959"/>
      <c r="BL12" s="959"/>
      <c r="BM12" s="959"/>
      <c r="BS12" s="1031"/>
      <c r="BT12" s="1031"/>
      <c r="BU12" s="1031"/>
      <c r="BV12" s="1032"/>
      <c r="BW12" s="1032"/>
      <c r="BX12" s="1126"/>
    </row>
    <row r="13" spans="1:76" s="1063" customFormat="1" ht="12" hidden="1" customHeight="1">
      <c r="A13" s="1069" t="s">
        <v>103</v>
      </c>
      <c r="B13" s="1051"/>
      <c r="C13" s="1103"/>
      <c r="D13" s="1060"/>
      <c r="E13" s="1051"/>
      <c r="G13" s="1064"/>
      <c r="H13" s="1064"/>
      <c r="I13" s="1064"/>
      <c r="J13" s="1064"/>
      <c r="K13" s="1064"/>
      <c r="L13" s="1065"/>
      <c r="S13" s="1066"/>
      <c r="T13" s="1066"/>
      <c r="U13" s="1066"/>
      <c r="V13" s="1066"/>
      <c r="W13" s="1066"/>
      <c r="X13" s="1066"/>
      <c r="Y13" s="1066"/>
      <c r="Z13" s="1066"/>
      <c r="AC13" s="1067"/>
      <c r="AE13" s="1062" t="s">
        <v>1631</v>
      </c>
      <c r="AF13" s="1062" t="s">
        <v>1631</v>
      </c>
      <c r="AG13" s="1062" t="s">
        <v>1631</v>
      </c>
      <c r="AH13" s="1062" t="s">
        <v>1631</v>
      </c>
      <c r="AI13" s="1062" t="s">
        <v>1631</v>
      </c>
      <c r="AJ13" s="1062" t="s">
        <v>1631</v>
      </c>
      <c r="AK13" s="1062" t="s">
        <v>1631</v>
      </c>
      <c r="AL13" s="1062" t="s">
        <v>1631</v>
      </c>
      <c r="AM13" s="1062" t="s">
        <v>1631</v>
      </c>
      <c r="AN13" s="1062" t="s">
        <v>1631</v>
      </c>
      <c r="AO13" s="1062" t="s">
        <v>1631</v>
      </c>
      <c r="AP13" s="1062" t="s">
        <v>1631</v>
      </c>
      <c r="AQ13" s="1062" t="s">
        <v>1631</v>
      </c>
      <c r="AR13" s="1062" t="s">
        <v>1631</v>
      </c>
      <c r="AS13" s="1062" t="s">
        <v>1631</v>
      </c>
      <c r="AT13" s="1062" t="s">
        <v>1631</v>
      </c>
      <c r="AU13" s="1062" t="s">
        <v>1631</v>
      </c>
      <c r="AV13" s="1062" t="s">
        <v>1631</v>
      </c>
      <c r="AW13" s="1062" t="s">
        <v>1631</v>
      </c>
      <c r="AX13" s="1062" t="s">
        <v>1631</v>
      </c>
      <c r="AY13" s="1062" t="s">
        <v>1631</v>
      </c>
      <c r="AZ13" s="1062" t="s">
        <v>1631</v>
      </c>
      <c r="BA13" s="1062" t="s">
        <v>1631</v>
      </c>
      <c r="BB13" s="1062" t="s">
        <v>1631</v>
      </c>
      <c r="BC13" s="1062" t="s">
        <v>1631</v>
      </c>
      <c r="BD13" s="1062" t="s">
        <v>1631</v>
      </c>
      <c r="BE13" s="1062" t="s">
        <v>1631</v>
      </c>
      <c r="BF13" s="1062" t="s">
        <v>1631</v>
      </c>
      <c r="BG13" s="1062" t="s">
        <v>1631</v>
      </c>
      <c r="BH13" s="1062" t="s">
        <v>1631</v>
      </c>
      <c r="BI13" s="1062" t="s">
        <v>1631</v>
      </c>
      <c r="BJ13" s="1062" t="s">
        <v>1631</v>
      </c>
      <c r="BK13" s="1062" t="s">
        <v>1631</v>
      </c>
      <c r="BL13" s="1062" t="s">
        <v>1631</v>
      </c>
      <c r="BM13" s="1062" t="s">
        <v>1631</v>
      </c>
      <c r="BS13" s="1068"/>
      <c r="BT13" s="1068"/>
      <c r="BU13" s="1068"/>
      <c r="BV13" s="1068"/>
      <c r="BW13" s="1068"/>
      <c r="BX13" s="1126"/>
    </row>
    <row r="14" spans="1:76" s="1063" customFormat="1" ht="12" hidden="1" customHeight="1">
      <c r="A14" s="1069" t="s">
        <v>1632</v>
      </c>
      <c r="B14" s="1051"/>
      <c r="C14" s="1103"/>
      <c r="D14" s="1060"/>
      <c r="E14" s="1051"/>
      <c r="G14" s="1064"/>
      <c r="H14" s="1064"/>
      <c r="I14" s="1064"/>
      <c r="J14" s="1064"/>
      <c r="K14" s="1064"/>
      <c r="L14" s="1065"/>
      <c r="S14" s="1066"/>
      <c r="T14" s="1066"/>
      <c r="U14" s="1066"/>
      <c r="V14" s="1066"/>
      <c r="W14" s="1066"/>
      <c r="X14" s="1066"/>
      <c r="Y14" s="1066"/>
      <c r="Z14" s="1066"/>
      <c r="AC14" s="1067"/>
      <c r="AE14" s="1062" cm="1">
        <f t="array" ref="AE14">AE6</f>
        <v>2024</v>
      </c>
      <c r="AF14" s="1062" cm="1">
        <f t="array" ref="AF14">AF6</f>
        <v>2024</v>
      </c>
      <c r="AG14" s="1062" cm="1">
        <f t="array" ref="AG14">AG6</f>
        <v>2024</v>
      </c>
      <c r="AH14" s="1062" cm="1">
        <f t="array" ref="AH14">AH6</f>
        <v>2024</v>
      </c>
      <c r="AI14" s="1062" cm="1">
        <f t="array" ref="AI14">AI6</f>
        <v>2025</v>
      </c>
      <c r="AJ14" s="1062" cm="1">
        <f t="array" ref="AJ14">AJ6</f>
        <v>2026</v>
      </c>
      <c r="AK14" s="1062" cm="1">
        <f t="array" ref="AK14">AK6</f>
        <v>2027</v>
      </c>
      <c r="AL14" s="1062" cm="1">
        <f t="array" ref="AL14">AL6</f>
        <v>2028</v>
      </c>
      <c r="AM14" s="1062" cm="1">
        <f t="array" ref="AM14">AM6</f>
        <v>2029</v>
      </c>
      <c r="AN14" s="1062" cm="1">
        <f t="array" ref="AN14">AN6</f>
        <v>2030</v>
      </c>
      <c r="AO14" s="1062" cm="1">
        <f t="array" ref="AO14">AO6</f>
        <v>2031</v>
      </c>
      <c r="AP14" s="1062" cm="1">
        <f t="array" ref="AP14">AP6</f>
        <v>2032</v>
      </c>
      <c r="AQ14" s="1062" cm="1">
        <f t="array" ref="AQ14">AQ6</f>
        <v>2033</v>
      </c>
      <c r="AR14" s="1062" cm="1">
        <f t="array" ref="AR14">AR6</f>
        <v>2034</v>
      </c>
      <c r="AS14" s="1062" cm="1">
        <f t="array" ref="AS14">AS6</f>
        <v>2035</v>
      </c>
      <c r="AT14" s="1062" cm="1">
        <f t="array" ref="AT14">AT6</f>
        <v>2026</v>
      </c>
      <c r="AU14" s="1062" cm="1">
        <f t="array" ref="AU14">AU6</f>
        <v>2027</v>
      </c>
      <c r="AV14" s="1062" cm="1">
        <f t="array" ref="AV14">AV6</f>
        <v>2028</v>
      </c>
      <c r="AW14" s="1062" cm="1">
        <f t="array" ref="AW14">AW6</f>
        <v>2029</v>
      </c>
      <c r="AX14" s="1062" cm="1">
        <f t="array" ref="AX14">AX6</f>
        <v>2030</v>
      </c>
      <c r="AY14" s="1062" cm="1">
        <f t="array" ref="AY14">AY6</f>
        <v>2031</v>
      </c>
      <c r="AZ14" s="1062" cm="1">
        <f t="array" ref="AZ14">AZ6</f>
        <v>2032</v>
      </c>
      <c r="BA14" s="1062" cm="1">
        <f t="array" ref="BA14">BA6</f>
        <v>2033</v>
      </c>
      <c r="BB14" s="1062" cm="1">
        <f t="array" ref="BB14">BB6</f>
        <v>2034</v>
      </c>
      <c r="BC14" s="1062" cm="1">
        <f t="array" ref="BC14">BC6</f>
        <v>2035</v>
      </c>
      <c r="BD14" s="1062" cm="1">
        <f t="array" ref="BD14">BD6</f>
        <v>2026</v>
      </c>
      <c r="BE14" s="1062" cm="1">
        <f t="array" ref="BE14">BE6</f>
        <v>2027</v>
      </c>
      <c r="BF14" s="1062" cm="1">
        <f t="array" ref="BF14">BF6</f>
        <v>2028</v>
      </c>
      <c r="BG14" s="1062" cm="1">
        <f t="array" ref="BG14">BG6</f>
        <v>2029</v>
      </c>
      <c r="BH14" s="1062" cm="1">
        <f t="array" ref="BH14">BH6</f>
        <v>2030</v>
      </c>
      <c r="BI14" s="1062" cm="1">
        <f t="array" ref="BI14">BI6</f>
        <v>2031</v>
      </c>
      <c r="BJ14" s="1062" cm="1">
        <f t="array" ref="BJ14">BJ6</f>
        <v>2032</v>
      </c>
      <c r="BK14" s="1062" cm="1">
        <f t="array" ref="BK14">BK6</f>
        <v>2033</v>
      </c>
      <c r="BL14" s="1062" cm="1">
        <f t="array" ref="BL14">BL6</f>
        <v>2034</v>
      </c>
      <c r="BM14" s="1062" cm="1">
        <f t="array" ref="BM14">BM6</f>
        <v>2035</v>
      </c>
      <c r="BS14" s="1068"/>
      <c r="BT14" s="1068"/>
      <c r="BU14" s="1068"/>
      <c r="BV14" s="1068"/>
      <c r="BW14" s="1068"/>
      <c r="BX14" s="1126"/>
    </row>
    <row r="15" spans="1:76" s="1063" customFormat="1" ht="12" hidden="1" customHeight="1">
      <c r="A15" s="1069" t="s">
        <v>1633</v>
      </c>
      <c r="B15" s="1051"/>
      <c r="C15" s="1103"/>
      <c r="D15" s="1060"/>
      <c r="E15" s="1051"/>
      <c r="G15" s="1064"/>
      <c r="H15" s="1064"/>
      <c r="I15" s="1064"/>
      <c r="J15" s="1064"/>
      <c r="K15" s="1064"/>
      <c r="L15" s="1065"/>
      <c r="S15" s="1066"/>
      <c r="T15" s="1066"/>
      <c r="U15" s="1066"/>
      <c r="V15" s="1066"/>
      <c r="W15" s="1066"/>
      <c r="X15" s="1066"/>
      <c r="Y15" s="1066"/>
      <c r="Z15" s="1066"/>
      <c r="AC15" s="1067"/>
      <c r="AE15" s="1062" t="s">
        <v>1634</v>
      </c>
      <c r="AF15" s="1062" t="s">
        <v>1635</v>
      </c>
      <c r="AG15" s="1062" t="s">
        <v>1634</v>
      </c>
      <c r="AH15" s="1062" t="s">
        <v>1636</v>
      </c>
      <c r="AI15" s="1062" t="s">
        <v>1634</v>
      </c>
      <c r="AJ15" s="1062" t="s">
        <v>1635</v>
      </c>
      <c r="AK15" s="1062" t="s">
        <v>1635</v>
      </c>
      <c r="AL15" s="1062" t="s">
        <v>1635</v>
      </c>
      <c r="AM15" s="1062" t="s">
        <v>1635</v>
      </c>
      <c r="AN15" s="1062" t="s">
        <v>1635</v>
      </c>
      <c r="AO15" s="1062" t="s">
        <v>1635</v>
      </c>
      <c r="AP15" s="1062" t="s">
        <v>1635</v>
      </c>
      <c r="AQ15" s="1062" t="s">
        <v>1635</v>
      </c>
      <c r="AR15" s="1062" t="s">
        <v>1635</v>
      </c>
      <c r="AS15" s="1062" t="s">
        <v>1635</v>
      </c>
      <c r="AT15" s="1062" t="s">
        <v>1634</v>
      </c>
      <c r="AU15" s="1062" t="s">
        <v>1634</v>
      </c>
      <c r="AV15" s="1062" t="s">
        <v>1634</v>
      </c>
      <c r="AW15" s="1062" t="s">
        <v>1634</v>
      </c>
      <c r="AX15" s="1062" t="s">
        <v>1634</v>
      </c>
      <c r="AY15" s="1062" t="s">
        <v>1634</v>
      </c>
      <c r="AZ15" s="1062" t="s">
        <v>1634</v>
      </c>
      <c r="BA15" s="1062" t="s">
        <v>1634</v>
      </c>
      <c r="BB15" s="1062" t="s">
        <v>1634</v>
      </c>
      <c r="BC15" s="1062" t="s">
        <v>1634</v>
      </c>
      <c r="BD15" s="1066"/>
      <c r="BE15" s="1066"/>
      <c r="BF15" s="1066"/>
      <c r="BG15" s="1066"/>
      <c r="BH15" s="1066"/>
      <c r="BI15" s="1066"/>
      <c r="BJ15" s="1066"/>
      <c r="BK15" s="1066"/>
      <c r="BL15" s="1066"/>
      <c r="BM15" s="1066"/>
      <c r="BS15" s="1068"/>
      <c r="BT15" s="1068"/>
      <c r="BU15" s="1068"/>
      <c r="BV15" s="1068"/>
      <c r="BW15" s="1068"/>
      <c r="BX15" s="1126"/>
    </row>
    <row r="16" spans="1:76" s="1063" customFormat="1" ht="12" hidden="1" customHeight="1">
      <c r="A16" s="1069" t="s">
        <v>1637</v>
      </c>
      <c r="B16" s="1051"/>
      <c r="C16" s="1103"/>
      <c r="D16" s="1060"/>
      <c r="E16" s="1051"/>
      <c r="G16" s="1064"/>
      <c r="H16" s="1064"/>
      <c r="I16" s="1064"/>
      <c r="J16" s="1064"/>
      <c r="K16" s="1064"/>
      <c r="L16" s="1065"/>
      <c r="S16" s="1066"/>
      <c r="T16" s="1066"/>
      <c r="U16" s="1066"/>
      <c r="V16" s="1066"/>
      <c r="W16" s="1066"/>
      <c r="X16" s="1066"/>
      <c r="Y16" s="1066"/>
      <c r="Z16" s="1066"/>
      <c r="AC16" s="1067"/>
      <c r="AE16" s="1062" t="s">
        <v>1638</v>
      </c>
      <c r="AF16" s="1062" t="s">
        <v>1639</v>
      </c>
      <c r="AG16" s="1062" t="s">
        <v>1639</v>
      </c>
      <c r="AH16" s="1062" t="s">
        <v>1640</v>
      </c>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D16" s="1066"/>
      <c r="BE16" s="1066"/>
      <c r="BF16" s="1066"/>
      <c r="BG16" s="1066"/>
      <c r="BH16" s="1066"/>
      <c r="BI16" s="1066"/>
      <c r="BJ16" s="1066"/>
      <c r="BK16" s="1066"/>
      <c r="BL16" s="1066"/>
      <c r="BM16" s="1066"/>
      <c r="BS16" s="1068"/>
      <c r="BT16" s="1068"/>
      <c r="BU16" s="1068"/>
      <c r="BV16" s="1068"/>
      <c r="BW16" s="1068"/>
      <c r="BX16" s="1126"/>
    </row>
    <row r="17" spans="1:76" s="1063" customFormat="1" ht="12" hidden="1" customHeight="1">
      <c r="A17" s="1101" t="s">
        <v>1641</v>
      </c>
      <c r="B17" s="1051"/>
      <c r="C17" s="1103"/>
      <c r="D17" s="1060"/>
      <c r="E17" s="1051"/>
      <c r="G17" s="1064"/>
      <c r="H17" s="1064"/>
      <c r="I17" s="1064"/>
      <c r="J17" s="1064"/>
      <c r="K17" s="1064"/>
      <c r="L17" s="1065"/>
      <c r="S17" s="1066"/>
      <c r="T17" s="1066"/>
      <c r="U17" s="1066"/>
      <c r="V17" s="1066"/>
      <c r="W17" s="1066"/>
      <c r="X17" s="1066"/>
      <c r="Y17" s="1066"/>
      <c r="Z17" s="1066"/>
      <c r="AC17" s="1067"/>
      <c r="BI17" s="1066"/>
      <c r="BJ17" s="1066"/>
      <c r="BK17" s="1066"/>
      <c r="BL17" s="1066"/>
      <c r="BM17" s="1066"/>
      <c r="BN17" s="1062" t="s">
        <v>1642</v>
      </c>
      <c r="BO17" s="1062" t="s">
        <v>1643</v>
      </c>
      <c r="BP17" s="1062" t="s">
        <v>1644</v>
      </c>
      <c r="BS17" s="1068"/>
      <c r="BT17" s="1068"/>
      <c r="BU17" s="1068"/>
      <c r="BV17" s="1068"/>
      <c r="BW17" s="1068"/>
      <c r="BX17" s="1126"/>
    </row>
    <row r="18" spans="1:76" s="178" customFormat="1" ht="12" hidden="1" customHeight="1">
      <c r="B18" s="667"/>
      <c r="C18" s="1095"/>
      <c r="D18" s="1059"/>
      <c r="E18" s="676"/>
      <c r="G18" s="180"/>
      <c r="H18" s="180"/>
      <c r="I18" s="180"/>
      <c r="J18" s="180"/>
      <c r="K18" s="180"/>
      <c r="L18" s="143"/>
      <c r="M18" s="1063"/>
      <c r="N18" s="1063"/>
      <c r="O18" s="1062"/>
      <c r="P18" s="1062"/>
      <c r="Q18" s="1062"/>
      <c r="R18" s="1062"/>
      <c r="S18" s="1"/>
      <c r="T18" s="126"/>
      <c r="U18" s="126"/>
      <c r="V18" s="126"/>
      <c r="W18" s="126"/>
      <c r="X18" s="126"/>
      <c r="Y18" s="126"/>
      <c r="Z18" s="126"/>
      <c r="AC18" s="182"/>
      <c r="BS18" s="1031"/>
      <c r="BT18" s="1031"/>
      <c r="BU18" s="1031"/>
      <c r="BV18" s="1032"/>
      <c r="BW18" s="1032"/>
      <c r="BX18" s="1126"/>
    </row>
    <row r="19" spans="1:76" s="178" customFormat="1" ht="12" hidden="1" customHeight="1">
      <c r="B19" s="667"/>
      <c r="C19" s="1095"/>
      <c r="D19" s="1059"/>
      <c r="E19" s="676"/>
      <c r="G19" s="180"/>
      <c r="H19" s="180"/>
      <c r="I19" s="180"/>
      <c r="J19" s="180"/>
      <c r="K19" s="180"/>
      <c r="L19" s="143"/>
      <c r="M19" s="1063"/>
      <c r="N19" s="1063"/>
      <c r="O19" s="1062"/>
      <c r="P19" s="1062"/>
      <c r="Q19" s="1062"/>
      <c r="R19" s="1062"/>
      <c r="S19" s="1"/>
      <c r="T19" s="126"/>
      <c r="U19" s="126"/>
      <c r="V19" s="126"/>
      <c r="W19" s="126"/>
      <c r="X19" s="126"/>
      <c r="Y19" s="126"/>
      <c r="Z19" s="126"/>
      <c r="AC19" s="182"/>
      <c r="BS19" s="1031"/>
      <c r="BT19" s="1031"/>
      <c r="BU19" s="1031"/>
      <c r="BV19" s="1032"/>
      <c r="BW19" s="1032"/>
      <c r="BX19" s="1126"/>
    </row>
    <row r="20" spans="1:76" s="178" customFormat="1" ht="12" hidden="1" customHeight="1">
      <c r="B20" s="667"/>
      <c r="C20" s="1095"/>
      <c r="D20" s="1059"/>
      <c r="E20" s="676"/>
      <c r="G20" s="180"/>
      <c r="H20" s="180"/>
      <c r="I20" s="180"/>
      <c r="J20" s="180"/>
      <c r="K20" s="180"/>
      <c r="L20" s="143"/>
      <c r="M20" s="1063"/>
      <c r="N20" s="1063"/>
      <c r="O20" s="1062"/>
      <c r="P20" s="1062"/>
      <c r="Q20" s="1062"/>
      <c r="R20" s="1062"/>
      <c r="S20" s="1"/>
      <c r="T20" s="126"/>
      <c r="U20" s="126"/>
      <c r="V20" s="126"/>
      <c r="W20" s="126"/>
      <c r="X20" s="126"/>
      <c r="Y20" s="126"/>
      <c r="Z20" s="126"/>
      <c r="AC20" s="182"/>
      <c r="BS20" s="1031"/>
      <c r="BT20" s="1031"/>
      <c r="BU20" s="1031"/>
      <c r="BV20" s="1032"/>
      <c r="BW20" s="1032"/>
      <c r="BX20" s="1126"/>
    </row>
    <row r="21" spans="1:76" ht="14.65" customHeight="1">
      <c r="E21" s="676">
        <v>15</v>
      </c>
      <c r="AA21" s="699"/>
      <c r="AB21" s="180"/>
      <c r="AC21" s="343" t="str" cm="1">
        <f t="array" ref="AC21">tpl_title</f>
        <v>Кемеровская область / 2026 / ОАО «СКЭК» (ИНН:4205153492, КПП:420501001) / ДПР: 2021-2030</v>
      </c>
      <c r="AD21" s="180"/>
    </row>
    <row r="22" spans="1:76" s="1156" customFormat="1" ht="19.5" customHeight="1">
      <c r="A22" s="133"/>
      <c r="B22" s="667"/>
      <c r="C22" s="1116"/>
      <c r="D22" s="1059"/>
      <c r="E22" s="676">
        <v>20.100000000000001</v>
      </c>
      <c r="F22" s="133"/>
      <c r="L22" s="143"/>
      <c r="M22" s="1060"/>
      <c r="N22" s="1060"/>
      <c r="O22" s="1072"/>
      <c r="P22" s="1072"/>
      <c r="Q22" s="1072"/>
      <c r="R22" s="1072"/>
      <c r="S22" s="1"/>
      <c r="T22" s="129"/>
      <c r="U22" s="129"/>
      <c r="V22" s="129"/>
      <c r="W22" s="129"/>
      <c r="X22" s="129"/>
      <c r="Y22" s="129"/>
      <c r="Z22" s="129"/>
      <c r="AB22" s="333" t="s">
        <v>1645</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S22" s="989"/>
      <c r="BT22" s="989"/>
      <c r="BU22" s="989"/>
      <c r="BV22" s="990"/>
      <c r="BW22" s="990"/>
      <c r="BX22" s="1124"/>
    </row>
    <row r="23" spans="1:76" s="1156" customFormat="1" ht="9.9499999999999993" customHeight="1">
      <c r="A23" s="133"/>
      <c r="B23" s="667"/>
      <c r="C23" s="1116"/>
      <c r="D23" s="1059"/>
      <c r="E23" s="676">
        <v>10.199999999999999</v>
      </c>
      <c r="F23" s="133"/>
      <c r="L23" s="143"/>
      <c r="M23" s="1060"/>
      <c r="N23" s="1060"/>
      <c r="O23" s="1072"/>
      <c r="P23" s="1072"/>
      <c r="Q23" s="1072"/>
      <c r="R23" s="1072"/>
      <c r="S23" s="1"/>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989"/>
      <c r="BT23" s="989"/>
      <c r="BU23" s="989"/>
      <c r="BV23" s="990"/>
      <c r="BW23" s="990"/>
      <c r="BX23" s="1124"/>
    </row>
    <row r="24" spans="1:76" s="179" customFormat="1" ht="24.2" customHeight="1">
      <c r="A24" s="182"/>
      <c r="B24" s="671"/>
      <c r="C24" s="1099"/>
      <c r="D24" s="1122"/>
      <c r="E24" s="682">
        <v>24.8</v>
      </c>
      <c r="F24" s="182"/>
      <c r="L24" s="788"/>
      <c r="M24" s="1073"/>
      <c r="N24" s="1073"/>
      <c r="O24" s="1074"/>
      <c r="P24" s="1074"/>
      <c r="Q24" s="1074"/>
      <c r="R24" s="1074"/>
      <c r="S24" s="1"/>
      <c r="T24" s="122"/>
      <c r="U24" s="122"/>
      <c r="V24" s="122"/>
      <c r="W24" s="122"/>
      <c r="X24" s="122"/>
      <c r="Y24" s="122"/>
      <c r="Z24" s="122"/>
      <c r="AB24" s="1827" t="s">
        <v>396</v>
      </c>
      <c r="AC24" s="1827" t="s">
        <v>475</v>
      </c>
      <c r="AD24" s="1827" t="s">
        <v>476</v>
      </c>
      <c r="AE24" s="211" t="str">
        <f>god-2&amp;" год"</f>
        <v>2024 год</v>
      </c>
      <c r="AF24" s="1147" t="str">
        <f>god-2&amp;" год"</f>
        <v>2024 год</v>
      </c>
      <c r="AG24" s="211" t="str">
        <f>god-2&amp;" год"</f>
        <v>2024 год</v>
      </c>
      <c r="AH24" s="211" t="str">
        <f>god-2&amp;" год"</f>
        <v>2024 год</v>
      </c>
      <c r="AI24" s="120" t="str">
        <f>god-1&amp;" год"</f>
        <v>2025 год</v>
      </c>
      <c r="AJ24" s="1141" t="str">
        <f>god&amp;" год"</f>
        <v>2026 год</v>
      </c>
      <c r="AK24" s="1141" t="str">
        <f>god+1&amp;" год"</f>
        <v>2027 год</v>
      </c>
      <c r="AL24" s="1141" t="str">
        <f>god+2&amp;" год"</f>
        <v>2028 год</v>
      </c>
      <c r="AM24" s="1141" t="str">
        <f>god+3&amp;" год"</f>
        <v>2029 год</v>
      </c>
      <c r="AN24" s="1141" t="str">
        <f>god+4&amp;" год"</f>
        <v>2030 год</v>
      </c>
      <c r="AO24" s="1141" t="str">
        <f>god+5&amp;" год"</f>
        <v>2031 год</v>
      </c>
      <c r="AP24" s="1141" t="str">
        <f>god+6&amp;" год"</f>
        <v>2032 год</v>
      </c>
      <c r="AQ24" s="1141" t="str">
        <f>god+7&amp;" год"</f>
        <v>2033 год</v>
      </c>
      <c r="AR24" s="1141" t="str">
        <f>god+8&amp;" год"</f>
        <v>2034 год</v>
      </c>
      <c r="AS24" s="1141"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826" t="s">
        <v>1346</v>
      </c>
      <c r="BO24" s="1826" t="s">
        <v>630</v>
      </c>
      <c r="BP24" s="1826" t="s">
        <v>1347</v>
      </c>
      <c r="BS24" s="1031"/>
      <c r="BT24" s="1035"/>
      <c r="BU24" s="1035"/>
      <c r="BV24" s="1036"/>
      <c r="BW24" s="1036"/>
      <c r="BX24" s="1127"/>
    </row>
    <row r="25" spans="1:76" s="179" customFormat="1" ht="44.65" customHeight="1">
      <c r="A25" s="182"/>
      <c r="B25" s="671"/>
      <c r="C25" s="1099"/>
      <c r="D25" s="1122"/>
      <c r="E25" s="682">
        <v>45.8</v>
      </c>
      <c r="F25" s="182"/>
      <c r="L25" s="788"/>
      <c r="M25" s="1073"/>
      <c r="N25" s="1073"/>
      <c r="O25" s="1074"/>
      <c r="P25" s="1074"/>
      <c r="Q25" s="1074"/>
      <c r="R25" s="1074"/>
      <c r="S25" s="1"/>
      <c r="T25" s="122"/>
      <c r="U25" s="122"/>
      <c r="V25" s="122"/>
      <c r="W25" s="122"/>
      <c r="X25" s="122"/>
      <c r="Y25" s="122"/>
      <c r="Z25" s="122"/>
      <c r="AB25" s="1827"/>
      <c r="AC25" s="1827"/>
      <c r="AD25" s="1827"/>
      <c r="AE25" s="120" t="s">
        <v>412</v>
      </c>
      <c r="AF25" s="1143" t="s">
        <v>631</v>
      </c>
      <c r="AG25" s="120" t="s">
        <v>632</v>
      </c>
      <c r="AH25" s="211" t="s">
        <v>1348</v>
      </c>
      <c r="AI25" s="120" t="s">
        <v>412</v>
      </c>
      <c r="AJ25" s="1142" t="s">
        <v>413</v>
      </c>
      <c r="AK25" s="1142" t="s">
        <v>413</v>
      </c>
      <c r="AL25" s="1142" t="s">
        <v>413</v>
      </c>
      <c r="AM25" s="1142" t="s">
        <v>413</v>
      </c>
      <c r="AN25" s="1142" t="s">
        <v>413</v>
      </c>
      <c r="AO25" s="1142" t="s">
        <v>413</v>
      </c>
      <c r="AP25" s="1142" t="s">
        <v>413</v>
      </c>
      <c r="AQ25" s="1142" t="s">
        <v>413</v>
      </c>
      <c r="AR25" s="1142" t="s">
        <v>413</v>
      </c>
      <c r="AS25" s="1142" t="s">
        <v>413</v>
      </c>
      <c r="AT25" s="351" t="s">
        <v>412</v>
      </c>
      <c r="AU25" s="351" t="s">
        <v>412</v>
      </c>
      <c r="AV25" s="351" t="s">
        <v>412</v>
      </c>
      <c r="AW25" s="351" t="s">
        <v>412</v>
      </c>
      <c r="AX25" s="351" t="s">
        <v>412</v>
      </c>
      <c r="AY25" s="351" t="s">
        <v>412</v>
      </c>
      <c r="AZ25" s="351" t="s">
        <v>412</v>
      </c>
      <c r="BA25" s="351" t="s">
        <v>412</v>
      </c>
      <c r="BB25" s="351" t="s">
        <v>412</v>
      </c>
      <c r="BC25" s="351" t="s">
        <v>412</v>
      </c>
      <c r="BD25" s="1826" t="s">
        <v>1349</v>
      </c>
      <c r="BE25" s="1826"/>
      <c r="BF25" s="1826"/>
      <c r="BG25" s="1826"/>
      <c r="BH25" s="1826"/>
      <c r="BI25" s="1826"/>
      <c r="BJ25" s="1826"/>
      <c r="BK25" s="1826"/>
      <c r="BL25" s="1826"/>
      <c r="BM25" s="1826"/>
      <c r="BN25" s="1826"/>
      <c r="BO25" s="1826"/>
      <c r="BP25" s="1826"/>
      <c r="BS25" s="1031"/>
      <c r="BT25" s="1035"/>
      <c r="BU25" s="1035"/>
      <c r="BV25" s="1036"/>
      <c r="BW25" s="1036"/>
      <c r="BX25" s="1127"/>
    </row>
    <row r="26" spans="1:76" s="179" customFormat="1" ht="14.25" hidden="1" customHeight="1">
      <c r="A26" s="182"/>
      <c r="B26" s="671"/>
      <c r="C26" s="1099"/>
      <c r="D26" s="1122"/>
      <c r="E26" s="682">
        <v>0</v>
      </c>
      <c r="F26" s="182"/>
      <c r="L26" s="788"/>
      <c r="M26" s="1073"/>
      <c r="N26" s="1073"/>
      <c r="O26" s="1074"/>
      <c r="P26" s="1074"/>
      <c r="Q26" s="1074"/>
      <c r="R26" s="1074"/>
      <c r="S26" s="1"/>
      <c r="T26" s="122"/>
      <c r="U26" s="122"/>
      <c r="V26" s="122"/>
      <c r="W26" s="122"/>
      <c r="X26" s="122"/>
      <c r="Y26" s="122"/>
      <c r="Z26" s="12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31"/>
      <c r="BT26" s="1035"/>
      <c r="BU26" s="1035"/>
      <c r="BV26" s="1036"/>
      <c r="BW26" s="1036"/>
      <c r="BX26" s="1127"/>
    </row>
    <row r="27" spans="1:76" s="170" customFormat="1" ht="16.7" hidden="1" customHeight="1">
      <c r="C27" s="1117"/>
      <c r="D27" s="1048"/>
      <c r="E27" s="676">
        <v>17.100000000000001</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K27" s="163" cm="1">
        <f t="array" ref="K27">INDEX('Общие сведения'!$AL$187:$AL$236,MATCH($F27,'Общие сведения'!$Z$187:$Z$236,0))</f>
        <v>0</v>
      </c>
      <c r="M27" s="1066"/>
      <c r="N27" s="1066"/>
      <c r="O27" s="1076"/>
      <c r="P27" s="1076"/>
      <c r="Q27" s="1076"/>
      <c r="R27" s="1076"/>
      <c r="T27" s="687" t="b">
        <f>X27&gt;0</f>
        <v>0</v>
      </c>
      <c r="V27" s="126" t="s">
        <v>315</v>
      </c>
      <c r="X27" s="1726">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S27" s="981"/>
      <c r="BT27" s="981"/>
      <c r="BU27" s="981"/>
      <c r="BV27" s="984"/>
      <c r="BW27" s="984"/>
      <c r="BX27" s="1092"/>
    </row>
    <row r="28" spans="1:76" ht="16.7" hidden="1" customHeight="1">
      <c r="C28" s="1094" t="s">
        <v>1646</v>
      </c>
      <c r="D28" s="1053" t="s">
        <v>1647</v>
      </c>
      <c r="E28" s="676">
        <v>17.100000000000001</v>
      </c>
      <c r="F28" s="779" cm="1">
        <f t="array" aca="1" ref="F28" ca="1">OFFSET(G28,-1,-1)</f>
        <v>0</v>
      </c>
      <c r="G28" s="143" t="s">
        <v>1350</v>
      </c>
      <c r="M28" s="1077"/>
      <c r="N28" s="1077" cm="1">
        <f t="array" aca="1" ref="N28" ca="1">INDEX('Общие сведения'!$N$187:$N$236,MATCH($F28,'Общие сведения'!$Z$187:$Z$236,0)+1)</f>
        <v>0</v>
      </c>
      <c r="O28" s="1078"/>
      <c r="P28" s="1078"/>
      <c r="Q28" s="1078"/>
      <c r="R28" s="1078"/>
      <c r="T28" s="687" t="b" cm="1">
        <f t="array" ref="T28">T27</f>
        <v>0</v>
      </c>
      <c r="X28" s="1726"/>
      <c r="Z28" s="1726"/>
      <c r="AB28" s="111" t="s">
        <v>341</v>
      </c>
      <c r="AC28" s="622" t="s">
        <v>1404</v>
      </c>
      <c r="AD28" s="419" t="s">
        <v>1077</v>
      </c>
      <c r="AE28" s="515">
        <f ca="1">SUMIFS('Операционные (5.1)'!AE$26:AE$103,'Операционные (5.1)'!$F$26:$F$103,$F28,'Операционные (5.1)'!$G$26:$G$103,$G28)</f>
        <v>0</v>
      </c>
      <c r="AF28" s="515">
        <f ca="1">SUMIFS('Операционные (5.1)'!AF$26:AF$103,'Операционные (5.1)'!$F$26:$F$103,$F28,'Операционные (5.1)'!$G$26:$G$103,$G28)</f>
        <v>0</v>
      </c>
      <c r="AG28" s="515">
        <f ca="1">SUMIFS('Операционные (5.1)'!AG$26:AG$103,'Операционные (5.1)'!$F$26:$F$103,$F28,'Операционные (5.1)'!$G$26:$G$103,$G28)</f>
        <v>0</v>
      </c>
      <c r="AH28" s="256">
        <f t="shared" ref="AH28:AH54" ca="1" si="2">AG28-AF28</f>
        <v>0</v>
      </c>
      <c r="AI28" s="515">
        <f ca="1">SUMIFS('Операционные (5.1)'!AI$26:AI$103,'Операционные (5.1)'!$F$26:$F$103,$F28,'Операционные (5.1)'!$G$26:$G$103,$G28)</f>
        <v>0</v>
      </c>
      <c r="AJ28" s="621">
        <f ca="1">SUMIFS(INDEX('Операционные (5.2)'!$AJ$26:$BC$54,,MATCH(AJ$8,'Операционные (5.2)'!$AJ$8:$BC$8,0)),'Операционные (5.2)'!$F$26:$F$54,$F28,'Операционные (5.2)'!$G$26:$G$54,$G28)</f>
        <v>0</v>
      </c>
      <c r="AK28" s="621">
        <f ca="1">SUMIFS(INDEX('Операционные (5.2)'!$AJ$26:$BC$54,,MATCH(AK$8,'Операционные (5.2)'!$AJ$8:$BC$8,0)),'Операционные (5.2)'!$F$26:$F$54,$F28,'Операционные (5.2)'!$G$26:$G$54,$G28)</f>
        <v>0</v>
      </c>
      <c r="AL28" s="621">
        <f ca="1">SUMIFS(INDEX('Операционные (5.2)'!$AJ$26:$BC$54,,MATCH(AL$8,'Операционные (5.2)'!$AJ$8:$BC$8,0)),'Операционные (5.2)'!$F$26:$F$54,$F28,'Операционные (5.2)'!$G$26:$G$54,$G28)</f>
        <v>0</v>
      </c>
      <c r="AM28" s="621">
        <f ca="1">SUMIFS(INDEX('Операционные (5.2)'!$AJ$26:$BC$54,,MATCH(AM$8,'Операционные (5.2)'!$AJ$8:$BC$8,0)),'Операционные (5.2)'!$F$26:$F$54,$F28,'Операционные (5.2)'!$G$26:$G$54,$G28)</f>
        <v>0</v>
      </c>
      <c r="AN28" s="621">
        <f ca="1">SUMIFS(INDEX('Операционные (5.2)'!$AJ$26:$BC$54,,MATCH(AN$8,'Операционные (5.2)'!$AJ$8:$BC$8,0)),'Операционные (5.2)'!$F$26:$F$54,$F28,'Операционные (5.2)'!$G$26:$G$54,$G28)</f>
        <v>0</v>
      </c>
      <c r="AO28" s="621">
        <f ca="1">SUMIFS(INDEX('Операционные (5.2)'!$AJ$26:$BC$54,,MATCH(AO$8,'Операционные (5.2)'!$AJ$8:$BC$8,0)),'Операционные (5.2)'!$F$26:$F$54,$F28,'Операционные (5.2)'!$G$26:$G$54,$G28)</f>
        <v>0</v>
      </c>
      <c r="AP28" s="621">
        <f ca="1">SUMIFS(INDEX('Операционные (5.2)'!$AJ$26:$BC$54,,MATCH(AP$8,'Операционные (5.2)'!$AJ$8:$BC$8,0)),'Операционные (5.2)'!$F$26:$F$54,$F28,'Операционные (5.2)'!$G$26:$G$54,$G28)</f>
        <v>0</v>
      </c>
      <c r="AQ28" s="621">
        <f ca="1">SUMIFS(INDEX('Операционные (5.2)'!$AJ$26:$BC$54,,MATCH(AQ$8,'Операционные (5.2)'!$AJ$8:$BC$8,0)),'Операционные (5.2)'!$F$26:$F$54,$F28,'Операционные (5.2)'!$G$26:$G$54,$G28)</f>
        <v>0</v>
      </c>
      <c r="AR28" s="621">
        <f ca="1">SUMIFS(INDEX('Операционные (5.2)'!$AJ$26:$BC$54,,MATCH(AR$8,'Операционные (5.2)'!$AJ$8:$BC$8,0)),'Операционные (5.2)'!$F$26:$F$54,$F28,'Операционные (5.2)'!$G$26:$G$54,$G28)</f>
        <v>0</v>
      </c>
      <c r="AS28" s="621">
        <f ca="1">SUMIFS(INDEX('Операционные (5.2)'!$AJ$26:$BC$54,,MATCH(AS$8,'Операционные (5.2)'!$AJ$8:$BC$8,0)),'Операционные (5.2)'!$F$26:$F$54,$F28,'Операционные (5.2)'!$G$26:$G$54,$G28)</f>
        <v>0</v>
      </c>
      <c r="AT28" s="621">
        <f ca="1">SUMIFS(INDEX('Операционные (5.2)'!$AJ$26:$BC$54,,MATCH(AT$8,'Операционные (5.2)'!$AJ$8:$BC$8,0)),'Операционные (5.2)'!$F$26:$F$54,$F28,'Операционные (5.2)'!$G$26:$G$54,$G28)</f>
        <v>0</v>
      </c>
      <c r="AU28" s="621">
        <f ca="1">SUMIFS(INDEX('Операционные (5.2)'!$AJ$26:$BC$54,,MATCH(AU$8,'Операционные (5.2)'!$AJ$8:$BC$8,0)),'Операционные (5.2)'!$F$26:$F$54,$F28,'Операционные (5.2)'!$G$26:$G$54,$G28)</f>
        <v>0</v>
      </c>
      <c r="AV28" s="621">
        <f ca="1">SUMIFS(INDEX('Операционные (5.2)'!$AJ$26:$BC$54,,MATCH(AV$8,'Операционные (5.2)'!$AJ$8:$BC$8,0)),'Операционные (5.2)'!$F$26:$F$54,$F28,'Операционные (5.2)'!$G$26:$G$54,$G28)</f>
        <v>0</v>
      </c>
      <c r="AW28" s="621">
        <f ca="1">SUMIFS(INDEX('Операционные (5.2)'!$AJ$26:$BC$54,,MATCH(AW$8,'Операционные (5.2)'!$AJ$8:$BC$8,0)),'Операционные (5.2)'!$F$26:$F$54,$F28,'Операционные (5.2)'!$G$26:$G$54,$G28)</f>
        <v>0</v>
      </c>
      <c r="AX28" s="621">
        <f ca="1">SUMIFS(INDEX('Операционные (5.2)'!$AJ$26:$BC$54,,MATCH(AX$8,'Операционные (5.2)'!$AJ$8:$BC$8,0)),'Операционные (5.2)'!$F$26:$F$54,$F28,'Операционные (5.2)'!$G$26:$G$54,$G28)</f>
        <v>0</v>
      </c>
      <c r="AY28" s="621">
        <f ca="1">SUMIFS(INDEX('Операционные (5.2)'!$AJ$26:$BC$54,,MATCH(AY$8,'Операционные (5.2)'!$AJ$8:$BC$8,0)),'Операционные (5.2)'!$F$26:$F$54,$F28,'Операционные (5.2)'!$G$26:$G$54,$G28)</f>
        <v>0</v>
      </c>
      <c r="AZ28" s="621">
        <f ca="1">SUMIFS(INDEX('Операционные (5.2)'!$AJ$26:$BC$54,,MATCH(AZ$8,'Операционные (5.2)'!$AJ$8:$BC$8,0)),'Операционные (5.2)'!$F$26:$F$54,$F28,'Операционные (5.2)'!$G$26:$G$54,$G28)</f>
        <v>0</v>
      </c>
      <c r="BA28" s="621">
        <f ca="1">SUMIFS(INDEX('Операционные (5.2)'!$AJ$26:$BC$54,,MATCH(BA$8,'Операционные (5.2)'!$AJ$8:$BC$8,0)),'Операционные (5.2)'!$F$26:$F$54,$F28,'Операционные (5.2)'!$G$26:$G$54,$G28)</f>
        <v>0</v>
      </c>
      <c r="BB28" s="621">
        <f ca="1">SUMIFS(INDEX('Операционные (5.2)'!$AJ$26:$BC$54,,MATCH(BB$8,'Операционные (5.2)'!$AJ$8:$BC$8,0)),'Операционные (5.2)'!$F$26:$F$54,$F28,'Операционные (5.2)'!$G$26:$G$54,$G28)</f>
        <v>0</v>
      </c>
      <c r="BC28" s="621">
        <f ca="1">SUMIFS(INDEX('Операционные (5.2)'!$AJ$26:$BC$54,,MATCH(BC$8,'Операционные (5.2)'!$AJ$8:$BC$8,0)),'Операционные (5.2)'!$F$26:$F$54,$F28,'Операционные (5.2)'!$G$26:$G$54,$G28)</f>
        <v>0</v>
      </c>
      <c r="BD28" s="256">
        <f t="shared" ref="BD28:BD54" ca="1" si="3">IF(AI28=0,0,(AT28-AI28)/AI28*100)</f>
        <v>0</v>
      </c>
      <c r="BE28" s="256">
        <f t="shared" ref="BE28:BE54" ca="1" si="4">IF(AT28=0,0,(AU28-AT28)/AT28*100)</f>
        <v>0</v>
      </c>
      <c r="BF28" s="256">
        <f t="shared" ref="BF28:BF54" ca="1" si="5">IF(AU28=0,0,(AV28-AU28)/AU28*100)</f>
        <v>0</v>
      </c>
      <c r="BG28" s="256">
        <f t="shared" ref="BG28:BG54" ca="1" si="6">IF(AV28=0,0,(AW28-AV28)/AV28*100)</f>
        <v>0</v>
      </c>
      <c r="BH28" s="256">
        <f t="shared" ref="BH28:BH54" ca="1" si="7">IF(AW28=0,0,(AX28-AW28)/AW28*100)</f>
        <v>0</v>
      </c>
      <c r="BI28" s="256">
        <f t="shared" ref="BI28:BI54" ca="1" si="8">IF(AX28=0,0,(AY28-AX28)/AX28*100)</f>
        <v>0</v>
      </c>
      <c r="BJ28" s="256">
        <f t="shared" ref="BJ28:BJ54" ca="1" si="9">IF(AY28=0,0,(AZ28-AY28)/AY28*100)</f>
        <v>0</v>
      </c>
      <c r="BK28" s="256">
        <f t="shared" ref="BK28:BK54" ca="1" si="10">IF(AZ28=0,0,(BA28-AZ28)/AZ28*100)</f>
        <v>0</v>
      </c>
      <c r="BL28" s="256">
        <f t="shared" ref="BL28:BL54" ca="1" si="11">IF(BA28=0,0,(BB28-BA28)/BA28*100)</f>
        <v>0</v>
      </c>
      <c r="BM28" s="256">
        <f t="shared" ref="BM28:BM54" ca="1" si="12">IF(BB28=0,0,(BC28-BB28)/BB28*100)</f>
        <v>0</v>
      </c>
      <c r="BN28" s="28"/>
      <c r="BO28" s="28"/>
      <c r="BP28" s="28"/>
      <c r="BS28" s="1031" t="s">
        <v>1648</v>
      </c>
      <c r="BX28" s="1064"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94" t="s">
        <v>1649</v>
      </c>
      <c r="D29" s="1053" t="s">
        <v>1650</v>
      </c>
      <c r="E29" s="676">
        <v>17.100000000000001</v>
      </c>
      <c r="F29" s="779" cm="1">
        <f t="array" aca="1" ref="F29" ca="1">OFFSET(G29,-1,-1)</f>
        <v>0</v>
      </c>
      <c r="G29" s="143" t="s">
        <v>1410</v>
      </c>
      <c r="M29" s="1077"/>
      <c r="N29" s="1077" cm="1">
        <f t="array" aca="1" ref="N29" ca="1">OFFSET(M29,-1,1)</f>
        <v>0</v>
      </c>
      <c r="O29" s="1078"/>
      <c r="P29" s="1078"/>
      <c r="Q29" s="1078"/>
      <c r="R29" s="1078"/>
      <c r="T29" s="687" t="b" cm="1">
        <f t="array" ref="T29">T28</f>
        <v>0</v>
      </c>
      <c r="X29" s="1726"/>
      <c r="Z29" s="1726"/>
      <c r="AB29" s="111" t="s">
        <v>348</v>
      </c>
      <c r="AC29" s="548" t="s">
        <v>1651</v>
      </c>
      <c r="AD29" s="419" t="s">
        <v>1077</v>
      </c>
      <c r="AE29" s="515">
        <f ca="1">SUMIFS('Неподконтрольные (5.3)'!AE$26:AE$87,'Неподконтрольные (5.3)'!$F$26:$F$87,$F29,'Неподконтрольные (5.3)'!$G$26:$G$87,$G29)</f>
        <v>0</v>
      </c>
      <c r="AF29" s="515">
        <f ca="1">SUMIFS('Неподконтрольные (5.3)'!AF$26:AF$87,'Неподконтрольные (5.3)'!$F$26:$F$87,$F29,'Неподконтрольные (5.3)'!$G$26:$G$87,$G29)</f>
        <v>0</v>
      </c>
      <c r="AG29" s="515">
        <f ca="1">SUMIFS('Неподконтрольные (5.3)'!AG$26:AG$87,'Неподконтрольные (5.3)'!$F$26:$F$87,$F29,'Неподконтрольные (5.3)'!$G$26:$G$87,$G29)</f>
        <v>0</v>
      </c>
      <c r="AH29" s="256">
        <f t="shared" ca="1" si="2"/>
        <v>0</v>
      </c>
      <c r="AI29" s="515">
        <f ca="1">SUMIFS('Неподконтрольные (5.3)'!AI$26:AI$87,'Неподконтрольные (5.3)'!$F$26:$F$87,$F29,'Неподконтрольные (5.3)'!$G$26:$G$87,$G29)</f>
        <v>0</v>
      </c>
      <c r="AJ29" s="515">
        <f ca="1">SUMIFS('Неподконтрольные (5.3)'!AJ$26:AJ$87,'Неподконтрольные (5.3)'!$F$26:$F$87,$F29,'Неподконтрольные (5.3)'!$G$26:$G$87,$G29)</f>
        <v>0</v>
      </c>
      <c r="AK29" s="515">
        <f ca="1">SUMIFS('Неподконтрольные (5.3)'!AK$26:AK$87,'Неподконтрольные (5.3)'!$F$26:$F$87,$F29,'Неподконтрольные (5.3)'!$G$26:$G$87,$G29)</f>
        <v>0</v>
      </c>
      <c r="AL29" s="515">
        <f ca="1">SUMIFS('Неподконтрольные (5.3)'!AL$26:AL$87,'Неподконтрольные (5.3)'!$F$26:$F$87,$F29,'Неподконтрольные (5.3)'!$G$26:$G$87,$G29)</f>
        <v>0</v>
      </c>
      <c r="AM29" s="515">
        <f ca="1">SUMIFS('Неподконтрольные (5.3)'!AM$26:AM$87,'Неподконтрольные (5.3)'!$F$26:$F$87,$F29,'Неподконтрольные (5.3)'!$G$26:$G$87,$G29)</f>
        <v>0</v>
      </c>
      <c r="AN29" s="515">
        <f ca="1">SUMIFS('Неподконтрольные (5.3)'!AN$26:AN$87,'Неподконтрольные (5.3)'!$F$26:$F$87,$F29,'Неподконтрольные (5.3)'!$G$26:$G$87,$G29)</f>
        <v>0</v>
      </c>
      <c r="AO29" s="515">
        <f ca="1">SUMIFS('Неподконтрольные (5.3)'!AO$26:AO$87,'Неподконтрольные (5.3)'!$F$26:$F$87,$F29,'Неподконтрольные (5.3)'!$G$26:$G$87,$G29)</f>
        <v>0</v>
      </c>
      <c r="AP29" s="515">
        <f ca="1">SUMIFS('Неподконтрольные (5.3)'!AP$26:AP$87,'Неподконтрольные (5.3)'!$F$26:$F$87,$F29,'Неподконтрольные (5.3)'!$G$26:$G$87,$G29)</f>
        <v>0</v>
      </c>
      <c r="AQ29" s="515">
        <f ca="1">SUMIFS('Неподконтрольные (5.3)'!AQ$26:AQ$87,'Неподконтрольные (5.3)'!$F$26:$F$87,$F29,'Неподконтрольные (5.3)'!$G$26:$G$87,$G29)</f>
        <v>0</v>
      </c>
      <c r="AR29" s="515">
        <f ca="1">SUMIFS('Неподконтрольные (5.3)'!AR$26:AR$87,'Неподконтрольные (5.3)'!$F$26:$F$87,$F29,'Неподконтрольные (5.3)'!$G$26:$G$87,$G29)</f>
        <v>0</v>
      </c>
      <c r="AS29" s="515">
        <f ca="1">SUMIFS('Неподконтрольные (5.3)'!AS$26:AS$87,'Неподконтрольные (5.3)'!$F$26:$F$87,$F29,'Неподконтрольные (5.3)'!$G$26:$G$87,$G29)</f>
        <v>0</v>
      </c>
      <c r="AT29" s="515">
        <f ca="1">SUMIFS('Неподконтрольные (5.3)'!AT$26:AT$87,'Неподконтрольные (5.3)'!$F$26:$F$87,$F29,'Неподконтрольные (5.3)'!$G$26:$G$87,$G29)</f>
        <v>0</v>
      </c>
      <c r="AU29" s="515">
        <f ca="1">SUMIFS('Неподконтрольные (5.3)'!AU$26:AU$87,'Неподконтрольные (5.3)'!$F$26:$F$87,$F29,'Неподконтрольные (5.3)'!$G$26:$G$87,$G29)</f>
        <v>0</v>
      </c>
      <c r="AV29" s="515">
        <f ca="1">SUMIFS('Неподконтрольные (5.3)'!AV$26:AV$87,'Неподконтрольные (5.3)'!$F$26:$F$87,$F29,'Неподконтрольные (5.3)'!$G$26:$G$87,$G29)</f>
        <v>0</v>
      </c>
      <c r="AW29" s="515">
        <f ca="1">SUMIFS('Неподконтрольные (5.3)'!AW$26:AW$87,'Неподконтрольные (5.3)'!$F$26:$F$87,$F29,'Неподконтрольные (5.3)'!$G$26:$G$87,$G29)</f>
        <v>0</v>
      </c>
      <c r="AX29" s="515">
        <f ca="1">SUMIFS('Неподконтрольные (5.3)'!AX$26:AX$87,'Неподконтрольные (5.3)'!$F$26:$F$87,$F29,'Неподконтрольные (5.3)'!$G$26:$G$87,$G29)</f>
        <v>0</v>
      </c>
      <c r="AY29" s="515">
        <f ca="1">SUMIFS('Неподконтрольные (5.3)'!AY$26:AY$87,'Неподконтрольные (5.3)'!$F$26:$F$87,$F29,'Неподконтрольные (5.3)'!$G$26:$G$87,$G29)</f>
        <v>0</v>
      </c>
      <c r="AZ29" s="515">
        <f ca="1">SUMIFS('Неподконтрольные (5.3)'!AZ$26:AZ$87,'Неподконтрольные (5.3)'!$F$26:$F$87,$F29,'Неподконтрольные (5.3)'!$G$26:$G$87,$G29)</f>
        <v>0</v>
      </c>
      <c r="BA29" s="515">
        <f ca="1">SUMIFS('Неподконтрольные (5.3)'!BA$26:BA$87,'Неподконтрольные (5.3)'!$F$26:$F$87,$F29,'Неподконтрольные (5.3)'!$G$26:$G$87,$G29)</f>
        <v>0</v>
      </c>
      <c r="BB29" s="515">
        <f ca="1">SUMIFS('Неподконтрольные (5.3)'!BB$26:BB$87,'Неподконтрольные (5.3)'!$F$26:$F$87,$F29,'Неподконтрольные (5.3)'!$G$26:$G$87,$G29)</f>
        <v>0</v>
      </c>
      <c r="BC29" s="515">
        <f ca="1">SUMIFS('Неподконтрольные (5.3)'!BC$26:BC$87,'Неподконтрольные (5.3)'!$F$26:$F$87,$F29,'Неподконтрольные (5.3)'!$G$26:$G$87,$G29)</f>
        <v>0</v>
      </c>
      <c r="BD29" s="256">
        <f t="shared" ca="1" si="3"/>
        <v>0</v>
      </c>
      <c r="BE29" s="256">
        <f t="shared" ca="1" si="4"/>
        <v>0</v>
      </c>
      <c r="BF29" s="256">
        <f t="shared" ca="1" si="5"/>
        <v>0</v>
      </c>
      <c r="BG29" s="256">
        <f t="shared" ca="1" si="6"/>
        <v>0</v>
      </c>
      <c r="BH29" s="256">
        <f t="shared" ca="1" si="7"/>
        <v>0</v>
      </c>
      <c r="BI29" s="256">
        <f t="shared" ca="1" si="8"/>
        <v>0</v>
      </c>
      <c r="BJ29" s="256">
        <f t="shared" ca="1" si="9"/>
        <v>0</v>
      </c>
      <c r="BK29" s="256">
        <f t="shared" ca="1" si="10"/>
        <v>0</v>
      </c>
      <c r="BL29" s="256">
        <f t="shared" ca="1" si="11"/>
        <v>0</v>
      </c>
      <c r="BM29" s="256">
        <f t="shared" ca="1" si="12"/>
        <v>0</v>
      </c>
      <c r="BN29" s="28"/>
      <c r="BO29" s="28"/>
      <c r="BP29" s="28"/>
      <c r="BS29" s="1031" t="s">
        <v>1652</v>
      </c>
      <c r="BX29" s="1064"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94" t="s">
        <v>1653</v>
      </c>
      <c r="D30" s="1053" t="s">
        <v>1654</v>
      </c>
      <c r="E30" s="676">
        <v>26.3</v>
      </c>
      <c r="F30" s="779" cm="1">
        <f t="array" aca="1" ref="F30" ca="1">OFFSET(G30,-1,-1)</f>
        <v>0</v>
      </c>
      <c r="G30" s="143" t="s">
        <v>1452</v>
      </c>
      <c r="M30" s="1077"/>
      <c r="N30" s="1077" cm="1">
        <f t="array" aca="1" ref="N30" ca="1">OFFSET(M30,-1,1)</f>
        <v>0</v>
      </c>
      <c r="O30" s="1078"/>
      <c r="P30" s="1078"/>
      <c r="Q30" s="1078"/>
      <c r="R30" s="1078"/>
      <c r="T30" s="687" t="b" cm="1">
        <f t="array" ref="T30">T29</f>
        <v>0</v>
      </c>
      <c r="X30" s="1726"/>
      <c r="Z30" s="1726"/>
      <c r="AB30" s="111" t="s">
        <v>437</v>
      </c>
      <c r="AC30" s="548" t="s">
        <v>1655</v>
      </c>
      <c r="AD30" s="419" t="s">
        <v>1077</v>
      </c>
      <c r="AE30" s="515">
        <f ca="1">SUMIFS('Ресурсы (5.4)'!AE$26:AE$57,'Ресурсы (5.4)'!$F$26:$F$57,$F30,'Ресурсы (5.4)'!$G$26:$G$57,$G30)</f>
        <v>0</v>
      </c>
      <c r="AF30" s="515">
        <f ca="1">SUMIFS('Ресурсы (5.4)'!AF$26:AF$57,'Ресурсы (5.4)'!$F$26:$F$57,$F30,'Ресурсы (5.4)'!$G$26:$G$57,$G30)</f>
        <v>0</v>
      </c>
      <c r="AG30" s="515">
        <f ca="1">SUMIFS('Ресурсы (5.4)'!AG$26:AG$57,'Ресурсы (5.4)'!$F$26:$F$57,$F30,'Ресурсы (5.4)'!$G$26:$G$57,$G30)</f>
        <v>0</v>
      </c>
      <c r="AH30" s="256">
        <f t="shared" ca="1" si="2"/>
        <v>0</v>
      </c>
      <c r="AI30" s="515">
        <f ca="1">SUMIFS('Ресурсы (5.4)'!AI$26:AI$57,'Ресурсы (5.4)'!$F$26:$F$57,$F30,'Ресурсы (5.4)'!$G$26:$G$57,$G30)</f>
        <v>0</v>
      </c>
      <c r="AJ30" s="515">
        <f ca="1">SUMIFS('Ресурсы (5.4)'!AJ$26:AJ$57,'Ресурсы (5.4)'!$F$26:$F$57,$F30,'Ресурсы (5.4)'!$G$26:$G$57,$G30)</f>
        <v>0</v>
      </c>
      <c r="AK30" s="515">
        <f ca="1">SUMIFS('Ресурсы (5.4)'!AK$26:AK$57,'Ресурсы (5.4)'!$F$26:$F$57,$F30,'Ресурсы (5.4)'!$G$26:$G$57,$G30)</f>
        <v>0</v>
      </c>
      <c r="AL30" s="515">
        <f ca="1">SUMIFS('Ресурсы (5.4)'!AL$26:AL$57,'Ресурсы (5.4)'!$F$26:$F$57,$F30,'Ресурсы (5.4)'!$G$26:$G$57,$G30)</f>
        <v>0</v>
      </c>
      <c r="AM30" s="515">
        <f ca="1">SUMIFS('Ресурсы (5.4)'!AM$26:AM$57,'Ресурсы (5.4)'!$F$26:$F$57,$F30,'Ресурсы (5.4)'!$G$26:$G$57,$G30)</f>
        <v>0</v>
      </c>
      <c r="AN30" s="515">
        <f ca="1">SUMIFS('Ресурсы (5.4)'!AN$26:AN$57,'Ресурсы (5.4)'!$F$26:$F$57,$F30,'Ресурсы (5.4)'!$G$26:$G$57,$G30)</f>
        <v>0</v>
      </c>
      <c r="AO30" s="515">
        <f ca="1">SUMIFS('Ресурсы (5.4)'!AO$26:AO$57,'Ресурсы (5.4)'!$F$26:$F$57,$F30,'Ресурсы (5.4)'!$G$26:$G$57,$G30)</f>
        <v>0</v>
      </c>
      <c r="AP30" s="515">
        <f ca="1">SUMIFS('Ресурсы (5.4)'!AP$26:AP$57,'Ресурсы (5.4)'!$F$26:$F$57,$F30,'Ресурсы (5.4)'!$G$26:$G$57,$G30)</f>
        <v>0</v>
      </c>
      <c r="AQ30" s="515">
        <f ca="1">SUMIFS('Ресурсы (5.4)'!AQ$26:AQ$57,'Ресурсы (5.4)'!$F$26:$F$57,$F30,'Ресурсы (5.4)'!$G$26:$G$57,$G30)</f>
        <v>0</v>
      </c>
      <c r="AR30" s="515">
        <f ca="1">SUMIFS('Ресурсы (5.4)'!AR$26:AR$57,'Ресурсы (5.4)'!$F$26:$F$57,$F30,'Ресурсы (5.4)'!$G$26:$G$57,$G30)</f>
        <v>0</v>
      </c>
      <c r="AS30" s="515">
        <f ca="1">SUMIFS('Ресурсы (5.4)'!AS$26:AS$57,'Ресурсы (5.4)'!$F$26:$F$57,$F30,'Ресурсы (5.4)'!$G$26:$G$57,$G30)</f>
        <v>0</v>
      </c>
      <c r="AT30" s="515">
        <f ca="1">SUMIFS('Ресурсы (5.4)'!AT$26:AT$57,'Ресурсы (5.4)'!$F$26:$F$57,$F30,'Ресурсы (5.4)'!$G$26:$G$57,$G30)</f>
        <v>0</v>
      </c>
      <c r="AU30" s="515">
        <f ca="1">SUMIFS('Ресурсы (5.4)'!AU$26:AU$57,'Ресурсы (5.4)'!$F$26:$F$57,$F30,'Ресурсы (5.4)'!$G$26:$G$57,$G30)</f>
        <v>0</v>
      </c>
      <c r="AV30" s="515">
        <f ca="1">SUMIFS('Ресурсы (5.4)'!AV$26:AV$57,'Ресурсы (5.4)'!$F$26:$F$57,$F30,'Ресурсы (5.4)'!$G$26:$G$57,$G30)</f>
        <v>0</v>
      </c>
      <c r="AW30" s="515">
        <f ca="1">SUMIFS('Ресурсы (5.4)'!AW$26:AW$57,'Ресурсы (5.4)'!$F$26:$F$57,$F30,'Ресурсы (5.4)'!$G$26:$G$57,$G30)</f>
        <v>0</v>
      </c>
      <c r="AX30" s="515">
        <f ca="1">SUMIFS('Ресурсы (5.4)'!AX$26:AX$57,'Ресурсы (5.4)'!$F$26:$F$57,$F30,'Ресурсы (5.4)'!$G$26:$G$57,$G30)</f>
        <v>0</v>
      </c>
      <c r="AY30" s="515">
        <f ca="1">SUMIFS('Ресурсы (5.4)'!AY$26:AY$57,'Ресурсы (5.4)'!$F$26:$F$57,$F30,'Ресурсы (5.4)'!$G$26:$G$57,$G30)</f>
        <v>0</v>
      </c>
      <c r="AZ30" s="515">
        <f ca="1">SUMIFS('Ресурсы (5.4)'!AZ$26:AZ$57,'Ресурсы (5.4)'!$F$26:$F$57,$F30,'Ресурсы (5.4)'!$G$26:$G$57,$G30)</f>
        <v>0</v>
      </c>
      <c r="BA30" s="515">
        <f ca="1">SUMIFS('Ресурсы (5.4)'!BA$26:BA$57,'Ресурсы (5.4)'!$F$26:$F$57,$F30,'Ресурсы (5.4)'!$G$26:$G$57,$G30)</f>
        <v>0</v>
      </c>
      <c r="BB30" s="515">
        <f ca="1">SUMIFS('Ресурсы (5.4)'!BB$26:BB$57,'Ресурсы (5.4)'!$F$26:$F$57,$F30,'Ресурсы (5.4)'!$G$26:$G$57,$G30)</f>
        <v>0</v>
      </c>
      <c r="BC30" s="515">
        <f ca="1">SUMIFS('Ресурсы (5.4)'!BC$26:BC$57,'Ресурсы (5.4)'!$F$26:$F$57,$F30,'Ресурсы (5.4)'!$G$26:$G$57,$G30)</f>
        <v>0</v>
      </c>
      <c r="BD30" s="256">
        <f t="shared" ca="1" si="3"/>
        <v>0</v>
      </c>
      <c r="BE30" s="256">
        <f t="shared" ca="1" si="4"/>
        <v>0</v>
      </c>
      <c r="BF30" s="256">
        <f t="shared" ca="1" si="5"/>
        <v>0</v>
      </c>
      <c r="BG30" s="256">
        <f t="shared" ca="1" si="6"/>
        <v>0</v>
      </c>
      <c r="BH30" s="256">
        <f t="shared" ca="1" si="7"/>
        <v>0</v>
      </c>
      <c r="BI30" s="256">
        <f t="shared" ca="1" si="8"/>
        <v>0</v>
      </c>
      <c r="BJ30" s="256">
        <f t="shared" ca="1" si="9"/>
        <v>0</v>
      </c>
      <c r="BK30" s="256">
        <f t="shared" ca="1" si="10"/>
        <v>0</v>
      </c>
      <c r="BL30" s="256">
        <f t="shared" ca="1" si="11"/>
        <v>0</v>
      </c>
      <c r="BM30" s="256">
        <f t="shared" ca="1" si="12"/>
        <v>0</v>
      </c>
      <c r="BN30" s="28"/>
      <c r="BO30" s="28"/>
      <c r="BP30" s="28"/>
      <c r="BS30" s="1031" t="s">
        <v>1656</v>
      </c>
      <c r="BX30" s="1064"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94" t="s">
        <v>1657</v>
      </c>
      <c r="D31" s="1053" t="s">
        <v>1658</v>
      </c>
      <c r="E31" s="676">
        <v>17.100000000000001</v>
      </c>
      <c r="F31" s="779" cm="1">
        <f t="array" aca="1" ref="F31" ca="1">OFFSET(G31,-1,-1)</f>
        <v>0</v>
      </c>
      <c r="M31" s="1077"/>
      <c r="N31" s="1077" cm="1">
        <f t="array" aca="1" ref="N31" ca="1">OFFSET(M31,-1,1)</f>
        <v>0</v>
      </c>
      <c r="O31" s="1078"/>
      <c r="P31" s="1078"/>
      <c r="Q31" s="1078"/>
      <c r="R31" s="1078"/>
      <c r="T31" s="687" t="b">
        <f t="shared" ref="T31:T42" ca="1" si="13">AND(F31&gt;0,method_reg="Метод обеспечения доходности инвестированного капитала")</f>
        <v>0</v>
      </c>
      <c r="X31" s="1726"/>
      <c r="Z31" s="1726"/>
      <c r="AB31" s="260" t="s">
        <v>440</v>
      </c>
      <c r="AC31" s="719" t="s">
        <v>1659</v>
      </c>
      <c r="AD31" s="258" t="s">
        <v>839</v>
      </c>
      <c r="AE31" s="77"/>
      <c r="AF31" s="77"/>
      <c r="AG31" s="77"/>
      <c r="AH31" s="256">
        <f t="shared" si="2"/>
        <v>0</v>
      </c>
      <c r="AI31" s="77"/>
      <c r="AJ31" s="517"/>
      <c r="AK31" s="517"/>
      <c r="AL31" s="517"/>
      <c r="AM31" s="517"/>
      <c r="AN31" s="517"/>
      <c r="AO31" s="77"/>
      <c r="AP31" s="77"/>
      <c r="AQ31" s="77"/>
      <c r="AR31" s="77"/>
      <c r="AS31" s="77"/>
      <c r="AT31" s="517"/>
      <c r="AU31" s="517"/>
      <c r="AV31" s="517"/>
      <c r="AW31" s="517"/>
      <c r="AX31" s="517"/>
      <c r="AY31" s="77"/>
      <c r="AZ31" s="77"/>
      <c r="BA31" s="77"/>
      <c r="BB31" s="77"/>
      <c r="BC31" s="77"/>
      <c r="BD31" s="256">
        <f t="shared" si="3"/>
        <v>0</v>
      </c>
      <c r="BE31" s="256">
        <f t="shared" si="4"/>
        <v>0</v>
      </c>
      <c r="BF31" s="256">
        <f t="shared" si="5"/>
        <v>0</v>
      </c>
      <c r="BG31" s="256">
        <f t="shared" si="6"/>
        <v>0</v>
      </c>
      <c r="BH31" s="256">
        <f t="shared" si="7"/>
        <v>0</v>
      </c>
      <c r="BI31" s="256">
        <f t="shared" si="8"/>
        <v>0</v>
      </c>
      <c r="BJ31" s="256">
        <f t="shared" si="9"/>
        <v>0</v>
      </c>
      <c r="BK31" s="256">
        <f t="shared" si="10"/>
        <v>0</v>
      </c>
      <c r="BL31" s="256">
        <f t="shared" si="11"/>
        <v>0</v>
      </c>
      <c r="BM31" s="256">
        <f t="shared" si="12"/>
        <v>0</v>
      </c>
      <c r="BN31" s="28"/>
      <c r="BO31" s="28"/>
      <c r="BP31" s="28"/>
      <c r="BS31" s="1031" t="s">
        <v>1660</v>
      </c>
      <c r="BX31" s="1064"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94" t="s">
        <v>1661</v>
      </c>
      <c r="D32" s="1053" t="s">
        <v>1662</v>
      </c>
      <c r="E32" s="676">
        <v>17.100000000000001</v>
      </c>
      <c r="F32" s="779" cm="1">
        <f t="array" aca="1" ref="F32" ca="1">OFFSET(G32,-1,-1)</f>
        <v>0</v>
      </c>
      <c r="M32" s="1077"/>
      <c r="N32" s="1077" cm="1">
        <f t="array" aca="1" ref="N32" ca="1">OFFSET(M32,-1,1)</f>
        <v>0</v>
      </c>
      <c r="O32" s="1078"/>
      <c r="P32" s="1078"/>
      <c r="Q32" s="1078"/>
      <c r="R32" s="1078"/>
      <c r="T32" s="687" t="b">
        <f t="shared" ca="1" si="13"/>
        <v>0</v>
      </c>
      <c r="X32" s="1726"/>
      <c r="Z32" s="1726"/>
      <c r="AB32" s="260" t="s">
        <v>780</v>
      </c>
      <c r="AC32" s="261" t="s">
        <v>1663</v>
      </c>
      <c r="AD32" s="258" t="s">
        <v>839</v>
      </c>
      <c r="AE32" s="77"/>
      <c r="AF32" s="77"/>
      <c r="AG32" s="77"/>
      <c r="AH32" s="256">
        <f t="shared" si="2"/>
        <v>0</v>
      </c>
      <c r="AI32" s="77"/>
      <c r="AJ32" s="517"/>
      <c r="AK32" s="517"/>
      <c r="AL32" s="517"/>
      <c r="AM32" s="517"/>
      <c r="AN32" s="517"/>
      <c r="AO32" s="77"/>
      <c r="AP32" s="77"/>
      <c r="AQ32" s="77"/>
      <c r="AR32" s="77"/>
      <c r="AS32" s="77"/>
      <c r="AT32" s="517"/>
      <c r="AU32" s="517"/>
      <c r="AV32" s="517"/>
      <c r="AW32" s="517"/>
      <c r="AX32" s="517"/>
      <c r="AY32" s="77"/>
      <c r="AZ32" s="77"/>
      <c r="BA32" s="77"/>
      <c r="BB32" s="77"/>
      <c r="BC32" s="77"/>
      <c r="BD32" s="256">
        <f t="shared" si="3"/>
        <v>0</v>
      </c>
      <c r="BE32" s="256">
        <f t="shared" si="4"/>
        <v>0</v>
      </c>
      <c r="BF32" s="256">
        <f t="shared" si="5"/>
        <v>0</v>
      </c>
      <c r="BG32" s="256">
        <f t="shared" si="6"/>
        <v>0</v>
      </c>
      <c r="BH32" s="256">
        <f t="shared" si="7"/>
        <v>0</v>
      </c>
      <c r="BI32" s="256">
        <f t="shared" si="8"/>
        <v>0</v>
      </c>
      <c r="BJ32" s="256">
        <f t="shared" si="9"/>
        <v>0</v>
      </c>
      <c r="BK32" s="256">
        <f t="shared" si="10"/>
        <v>0</v>
      </c>
      <c r="BL32" s="256">
        <f t="shared" si="11"/>
        <v>0</v>
      </c>
      <c r="BM32" s="256">
        <f t="shared" si="12"/>
        <v>0</v>
      </c>
      <c r="BN32" s="28"/>
      <c r="BO32" s="28"/>
      <c r="BP32" s="28"/>
      <c r="BS32" s="1031" t="s">
        <v>1664</v>
      </c>
      <c r="BX32" s="1064"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94" t="s">
        <v>1665</v>
      </c>
      <c r="D33" s="1053" t="s">
        <v>1666</v>
      </c>
      <c r="E33" s="676">
        <v>17.100000000000001</v>
      </c>
      <c r="F33" s="779" cm="1">
        <f t="array" aca="1" ref="F33" ca="1">OFFSET(G33,-1,-1)</f>
        <v>0</v>
      </c>
      <c r="M33" s="1077"/>
      <c r="N33" s="1077" cm="1">
        <f t="array" aca="1" ref="N33" ca="1">OFFSET(M33,-1,1)</f>
        <v>0</v>
      </c>
      <c r="O33" s="1078"/>
      <c r="P33" s="1078"/>
      <c r="Q33" s="1078"/>
      <c r="R33" s="1078"/>
      <c r="T33" s="687" t="b">
        <f t="shared" ca="1" si="13"/>
        <v>0</v>
      </c>
      <c r="X33" s="1726"/>
      <c r="Z33" s="1726"/>
      <c r="AB33" s="260" t="s">
        <v>1667</v>
      </c>
      <c r="AC33" s="261" t="s">
        <v>1668</v>
      </c>
      <c r="AD33" s="258" t="s">
        <v>1669</v>
      </c>
      <c r="AE33" s="77"/>
      <c r="AF33" s="77"/>
      <c r="AG33" s="77"/>
      <c r="AH33" s="256">
        <f t="shared" si="2"/>
        <v>0</v>
      </c>
      <c r="AI33" s="77"/>
      <c r="AJ33" s="517"/>
      <c r="AK33" s="517"/>
      <c r="AL33" s="517"/>
      <c r="AM33" s="517"/>
      <c r="AN33" s="517"/>
      <c r="AO33" s="77"/>
      <c r="AP33" s="77"/>
      <c r="AQ33" s="77"/>
      <c r="AR33" s="77"/>
      <c r="AS33" s="77"/>
      <c r="AT33" s="517"/>
      <c r="AU33" s="517"/>
      <c r="AV33" s="517"/>
      <c r="AW33" s="517"/>
      <c r="AX33" s="517"/>
      <c r="AY33" s="77"/>
      <c r="AZ33" s="77"/>
      <c r="BA33" s="77"/>
      <c r="BB33" s="77"/>
      <c r="BC33" s="77"/>
      <c r="BD33" s="256">
        <f t="shared" si="3"/>
        <v>0</v>
      </c>
      <c r="BE33" s="256">
        <f t="shared" si="4"/>
        <v>0</v>
      </c>
      <c r="BF33" s="256">
        <f t="shared" si="5"/>
        <v>0</v>
      </c>
      <c r="BG33" s="256">
        <f t="shared" si="6"/>
        <v>0</v>
      </c>
      <c r="BH33" s="256">
        <f t="shared" si="7"/>
        <v>0</v>
      </c>
      <c r="BI33" s="256">
        <f t="shared" si="8"/>
        <v>0</v>
      </c>
      <c r="BJ33" s="256">
        <f t="shared" si="9"/>
        <v>0</v>
      </c>
      <c r="BK33" s="256">
        <f t="shared" si="10"/>
        <v>0</v>
      </c>
      <c r="BL33" s="256">
        <f t="shared" si="11"/>
        <v>0</v>
      </c>
      <c r="BM33" s="256">
        <f t="shared" si="12"/>
        <v>0</v>
      </c>
      <c r="BN33" s="28"/>
      <c r="BO33" s="28"/>
      <c r="BP33" s="28"/>
      <c r="BS33" s="1031" t="s">
        <v>1670</v>
      </c>
      <c r="BX33" s="1064"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94" t="s">
        <v>1671</v>
      </c>
      <c r="D34" s="1053" t="s">
        <v>1672</v>
      </c>
      <c r="E34" s="676">
        <v>17.100000000000001</v>
      </c>
      <c r="F34" s="779" cm="1">
        <f t="array" aca="1" ref="F34" ca="1">OFFSET(G34,-1,-1)</f>
        <v>0</v>
      </c>
      <c r="M34" s="1077"/>
      <c r="N34" s="1077" cm="1">
        <f t="array" aca="1" ref="N34" ca="1">OFFSET(M34,-1,1)</f>
        <v>0</v>
      </c>
      <c r="O34" s="1078"/>
      <c r="P34" s="1078"/>
      <c r="Q34" s="1078"/>
      <c r="R34" s="1078"/>
      <c r="T34" s="687" t="b">
        <f t="shared" ca="1" si="13"/>
        <v>0</v>
      </c>
      <c r="X34" s="1726"/>
      <c r="Z34" s="1726"/>
      <c r="AB34" s="260" t="s">
        <v>443</v>
      </c>
      <c r="AC34" s="719" t="s">
        <v>1673</v>
      </c>
      <c r="AD34" s="258" t="s">
        <v>839</v>
      </c>
      <c r="AE34" s="77"/>
      <c r="AF34" s="77"/>
      <c r="AG34" s="77"/>
      <c r="AH34" s="256">
        <f t="shared" si="2"/>
        <v>0</v>
      </c>
      <c r="AI34" s="77"/>
      <c r="AJ34" s="517"/>
      <c r="AK34" s="517"/>
      <c r="AL34" s="517"/>
      <c r="AM34" s="517"/>
      <c r="AN34" s="517"/>
      <c r="AO34" s="77"/>
      <c r="AP34" s="77"/>
      <c r="AQ34" s="77"/>
      <c r="AR34" s="77"/>
      <c r="AS34" s="77"/>
      <c r="AT34" s="517"/>
      <c r="AU34" s="517"/>
      <c r="AV34" s="517"/>
      <c r="AW34" s="517"/>
      <c r="AX34" s="517"/>
      <c r="AY34" s="77"/>
      <c r="AZ34" s="77"/>
      <c r="BA34" s="77"/>
      <c r="BB34" s="77"/>
      <c r="BC34" s="77"/>
      <c r="BD34" s="256">
        <f t="shared" si="3"/>
        <v>0</v>
      </c>
      <c r="BE34" s="256">
        <f t="shared" si="4"/>
        <v>0</v>
      </c>
      <c r="BF34" s="256">
        <f t="shared" si="5"/>
        <v>0</v>
      </c>
      <c r="BG34" s="256">
        <f t="shared" si="6"/>
        <v>0</v>
      </c>
      <c r="BH34" s="256">
        <f t="shared" si="7"/>
        <v>0</v>
      </c>
      <c r="BI34" s="256">
        <f t="shared" si="8"/>
        <v>0</v>
      </c>
      <c r="BJ34" s="256">
        <f t="shared" si="9"/>
        <v>0</v>
      </c>
      <c r="BK34" s="256">
        <f t="shared" si="10"/>
        <v>0</v>
      </c>
      <c r="BL34" s="256">
        <f t="shared" si="11"/>
        <v>0</v>
      </c>
      <c r="BM34" s="256">
        <f t="shared" si="12"/>
        <v>0</v>
      </c>
      <c r="BN34" s="28"/>
      <c r="BO34" s="28"/>
      <c r="BP34" s="28"/>
      <c r="BS34" s="1031" t="s">
        <v>1674</v>
      </c>
      <c r="BX34" s="1064"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94" t="s">
        <v>1675</v>
      </c>
      <c r="D35" s="1053" t="s">
        <v>1676</v>
      </c>
      <c r="E35" s="676">
        <v>17.100000000000001</v>
      </c>
      <c r="F35" s="779" cm="1">
        <f t="array" aca="1" ref="F35" ca="1">OFFSET(G35,-1,-1)</f>
        <v>0</v>
      </c>
      <c r="M35" s="1077"/>
      <c r="N35" s="1077" cm="1">
        <f t="array" aca="1" ref="N35" ca="1">OFFSET(M35,-1,1)</f>
        <v>0</v>
      </c>
      <c r="O35" s="1078"/>
      <c r="P35" s="1078"/>
      <c r="Q35" s="1078"/>
      <c r="R35" s="1078"/>
      <c r="T35" s="687" t="b">
        <f t="shared" ca="1" si="13"/>
        <v>0</v>
      </c>
      <c r="X35" s="1726"/>
      <c r="Z35" s="1726"/>
      <c r="AB35" s="260" t="s">
        <v>785</v>
      </c>
      <c r="AC35" s="261" t="s">
        <v>1677</v>
      </c>
      <c r="AD35" s="258" t="s">
        <v>839</v>
      </c>
      <c r="AE35" s="77"/>
      <c r="AF35" s="77"/>
      <c r="AG35" s="77"/>
      <c r="AH35" s="256">
        <f t="shared" si="2"/>
        <v>0</v>
      </c>
      <c r="AI35" s="77"/>
      <c r="AJ35" s="517"/>
      <c r="AK35" s="517"/>
      <c r="AL35" s="517"/>
      <c r="AM35" s="517"/>
      <c r="AN35" s="517"/>
      <c r="AO35" s="77"/>
      <c r="AP35" s="77"/>
      <c r="AQ35" s="77"/>
      <c r="AR35" s="77"/>
      <c r="AS35" s="77"/>
      <c r="AT35" s="517"/>
      <c r="AU35" s="517"/>
      <c r="AV35" s="517"/>
      <c r="AW35" s="517"/>
      <c r="AX35" s="517"/>
      <c r="AY35" s="77"/>
      <c r="AZ35" s="77"/>
      <c r="BA35" s="77"/>
      <c r="BB35" s="77"/>
      <c r="BC35" s="77"/>
      <c r="BD35" s="256">
        <f t="shared" si="3"/>
        <v>0</v>
      </c>
      <c r="BE35" s="256">
        <f t="shared" si="4"/>
        <v>0</v>
      </c>
      <c r="BF35" s="256">
        <f t="shared" si="5"/>
        <v>0</v>
      </c>
      <c r="BG35" s="256">
        <f t="shared" si="6"/>
        <v>0</v>
      </c>
      <c r="BH35" s="256">
        <f t="shared" si="7"/>
        <v>0</v>
      </c>
      <c r="BI35" s="256">
        <f t="shared" si="8"/>
        <v>0</v>
      </c>
      <c r="BJ35" s="256">
        <f t="shared" si="9"/>
        <v>0</v>
      </c>
      <c r="BK35" s="256">
        <f t="shared" si="10"/>
        <v>0</v>
      </c>
      <c r="BL35" s="256">
        <f t="shared" si="11"/>
        <v>0</v>
      </c>
      <c r="BM35" s="256">
        <f t="shared" si="12"/>
        <v>0</v>
      </c>
      <c r="BN35" s="28"/>
      <c r="BO35" s="28"/>
      <c r="BP35" s="28"/>
      <c r="BS35" s="1031" t="s">
        <v>1678</v>
      </c>
      <c r="BX35" s="1064"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94" t="s">
        <v>1679</v>
      </c>
      <c r="D36" s="1053" t="s">
        <v>1680</v>
      </c>
      <c r="E36" s="676">
        <v>17.100000000000001</v>
      </c>
      <c r="F36" s="779" cm="1">
        <f t="array" aca="1" ref="F36" ca="1">OFFSET(G36,-1,-1)</f>
        <v>0</v>
      </c>
      <c r="M36" s="1077"/>
      <c r="N36" s="1077" cm="1">
        <f t="array" aca="1" ref="N36" ca="1">OFFSET(M36,-1,1)</f>
        <v>0</v>
      </c>
      <c r="O36" s="1078"/>
      <c r="P36" s="1078"/>
      <c r="Q36" s="1078"/>
      <c r="R36" s="1078"/>
      <c r="T36" s="687" t="b">
        <f t="shared" ca="1" si="13"/>
        <v>0</v>
      </c>
      <c r="X36" s="1726"/>
      <c r="Z36" s="1726"/>
      <c r="AB36" s="260" t="s">
        <v>1364</v>
      </c>
      <c r="AC36" s="261" t="s">
        <v>1681</v>
      </c>
      <c r="AD36" s="258" t="s">
        <v>533</v>
      </c>
      <c r="AE36" s="77"/>
      <c r="AF36" s="77"/>
      <c r="AG36" s="77"/>
      <c r="AH36" s="256">
        <f t="shared" si="2"/>
        <v>0</v>
      </c>
      <c r="AI36" s="77"/>
      <c r="AJ36" s="517"/>
      <c r="AK36" s="517"/>
      <c r="AL36" s="517"/>
      <c r="AM36" s="517"/>
      <c r="AN36" s="517"/>
      <c r="AO36" s="77"/>
      <c r="AP36" s="77"/>
      <c r="AQ36" s="77"/>
      <c r="AR36" s="77"/>
      <c r="AS36" s="77"/>
      <c r="AT36" s="517"/>
      <c r="AU36" s="517"/>
      <c r="AV36" s="517"/>
      <c r="AW36" s="517"/>
      <c r="AX36" s="517"/>
      <c r="AY36" s="77"/>
      <c r="AZ36" s="77"/>
      <c r="BA36" s="77"/>
      <c r="BB36" s="77"/>
      <c r="BC36" s="77"/>
      <c r="BD36" s="256">
        <f t="shared" si="3"/>
        <v>0</v>
      </c>
      <c r="BE36" s="256">
        <f t="shared" si="4"/>
        <v>0</v>
      </c>
      <c r="BF36" s="256">
        <f t="shared" si="5"/>
        <v>0</v>
      </c>
      <c r="BG36" s="256">
        <f t="shared" si="6"/>
        <v>0</v>
      </c>
      <c r="BH36" s="256">
        <f t="shared" si="7"/>
        <v>0</v>
      </c>
      <c r="BI36" s="256">
        <f t="shared" si="8"/>
        <v>0</v>
      </c>
      <c r="BJ36" s="256">
        <f t="shared" si="9"/>
        <v>0</v>
      </c>
      <c r="BK36" s="256">
        <f t="shared" si="10"/>
        <v>0</v>
      </c>
      <c r="BL36" s="256">
        <f t="shared" si="11"/>
        <v>0</v>
      </c>
      <c r="BM36" s="256">
        <f t="shared" si="12"/>
        <v>0</v>
      </c>
      <c r="BN36" s="28"/>
      <c r="BO36" s="28"/>
      <c r="BP36" s="28"/>
      <c r="BS36" s="1031" t="s">
        <v>1682</v>
      </c>
      <c r="BX36" s="1064"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94" t="s">
        <v>1683</v>
      </c>
      <c r="D37" s="1053" t="s">
        <v>1684</v>
      </c>
      <c r="E37" s="676">
        <v>17.100000000000001</v>
      </c>
      <c r="F37" s="779" cm="1">
        <f t="array" aca="1" ref="F37" ca="1">OFFSET(G37,-1,-1)</f>
        <v>0</v>
      </c>
      <c r="M37" s="1077"/>
      <c r="N37" s="1077" cm="1">
        <f t="array" aca="1" ref="N37" ca="1">OFFSET(M37,-1,1)</f>
        <v>0</v>
      </c>
      <c r="O37" s="1078"/>
      <c r="P37" s="1078"/>
      <c r="Q37" s="1078"/>
      <c r="R37" s="1078"/>
      <c r="T37" s="687" t="b">
        <f t="shared" ca="1" si="13"/>
        <v>0</v>
      </c>
      <c r="X37" s="1726"/>
      <c r="Z37" s="1726"/>
      <c r="AB37" s="260" t="s">
        <v>1367</v>
      </c>
      <c r="AC37" s="82" t="s">
        <v>1685</v>
      </c>
      <c r="AD37" s="258" t="s">
        <v>839</v>
      </c>
      <c r="AE37" s="77"/>
      <c r="AF37" s="77"/>
      <c r="AG37" s="77"/>
      <c r="AH37" s="256">
        <f t="shared" si="2"/>
        <v>0</v>
      </c>
      <c r="AI37" s="77"/>
      <c r="AJ37" s="517"/>
      <c r="AK37" s="517"/>
      <c r="AL37" s="517"/>
      <c r="AM37" s="517"/>
      <c r="AN37" s="517"/>
      <c r="AO37" s="77"/>
      <c r="AP37" s="77"/>
      <c r="AQ37" s="77"/>
      <c r="AR37" s="77"/>
      <c r="AS37" s="77"/>
      <c r="AT37" s="517"/>
      <c r="AU37" s="517"/>
      <c r="AV37" s="517"/>
      <c r="AW37" s="517"/>
      <c r="AX37" s="517"/>
      <c r="AY37" s="77"/>
      <c r="AZ37" s="77"/>
      <c r="BA37" s="77"/>
      <c r="BB37" s="77"/>
      <c r="BC37" s="77"/>
      <c r="BD37" s="256">
        <f t="shared" si="3"/>
        <v>0</v>
      </c>
      <c r="BE37" s="256">
        <f t="shared" si="4"/>
        <v>0</v>
      </c>
      <c r="BF37" s="256">
        <f t="shared" si="5"/>
        <v>0</v>
      </c>
      <c r="BG37" s="256">
        <f t="shared" si="6"/>
        <v>0</v>
      </c>
      <c r="BH37" s="256">
        <f t="shared" si="7"/>
        <v>0</v>
      </c>
      <c r="BI37" s="256">
        <f t="shared" si="8"/>
        <v>0</v>
      </c>
      <c r="BJ37" s="256">
        <f t="shared" si="9"/>
        <v>0</v>
      </c>
      <c r="BK37" s="256">
        <f t="shared" si="10"/>
        <v>0</v>
      </c>
      <c r="BL37" s="256">
        <f t="shared" si="11"/>
        <v>0</v>
      </c>
      <c r="BM37" s="256">
        <f t="shared" si="12"/>
        <v>0</v>
      </c>
      <c r="BN37" s="28"/>
      <c r="BO37" s="28"/>
      <c r="BP37" s="28"/>
      <c r="BS37" s="1031" t="s">
        <v>1686</v>
      </c>
      <c r="BX37" s="1064"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94" t="s">
        <v>1687</v>
      </c>
      <c r="D38" s="1053" t="s">
        <v>1688</v>
      </c>
      <c r="E38" s="676">
        <v>17.100000000000001</v>
      </c>
      <c r="F38" s="779" cm="1">
        <f t="array" aca="1" ref="F38" ca="1">OFFSET(G38,-1,-1)</f>
        <v>0</v>
      </c>
      <c r="M38" s="1077"/>
      <c r="N38" s="1077" cm="1">
        <f t="array" aca="1" ref="N38" ca="1">OFFSET(M38,-1,1)</f>
        <v>0</v>
      </c>
      <c r="O38" s="1078"/>
      <c r="P38" s="1078"/>
      <c r="Q38" s="1078"/>
      <c r="R38" s="1078"/>
      <c r="T38" s="687" t="b">
        <f t="shared" ca="1" si="13"/>
        <v>0</v>
      </c>
      <c r="X38" s="1726"/>
      <c r="Z38" s="1726"/>
      <c r="AB38" s="260" t="s">
        <v>1370</v>
      </c>
      <c r="AC38" s="82" t="s">
        <v>1689</v>
      </c>
      <c r="AD38" s="258" t="s">
        <v>839</v>
      </c>
      <c r="AE38" s="77"/>
      <c r="AF38" s="77"/>
      <c r="AG38" s="77"/>
      <c r="AH38" s="256">
        <f t="shared" si="2"/>
        <v>0</v>
      </c>
      <c r="AI38" s="77"/>
      <c r="AJ38" s="517"/>
      <c r="AK38" s="517"/>
      <c r="AL38" s="517"/>
      <c r="AM38" s="517"/>
      <c r="AN38" s="517"/>
      <c r="AO38" s="77"/>
      <c r="AP38" s="77"/>
      <c r="AQ38" s="77"/>
      <c r="AR38" s="77"/>
      <c r="AS38" s="77"/>
      <c r="AT38" s="517"/>
      <c r="AU38" s="517"/>
      <c r="AV38" s="517"/>
      <c r="AW38" s="517"/>
      <c r="AX38" s="517"/>
      <c r="AY38" s="77"/>
      <c r="AZ38" s="77"/>
      <c r="BA38" s="77"/>
      <c r="BB38" s="77"/>
      <c r="BC38" s="77"/>
      <c r="BD38" s="256">
        <f t="shared" si="3"/>
        <v>0</v>
      </c>
      <c r="BE38" s="256">
        <f t="shared" si="4"/>
        <v>0</v>
      </c>
      <c r="BF38" s="256">
        <f t="shared" si="5"/>
        <v>0</v>
      </c>
      <c r="BG38" s="256">
        <f t="shared" si="6"/>
        <v>0</v>
      </c>
      <c r="BH38" s="256">
        <f t="shared" si="7"/>
        <v>0</v>
      </c>
      <c r="BI38" s="256">
        <f t="shared" si="8"/>
        <v>0</v>
      </c>
      <c r="BJ38" s="256">
        <f t="shared" si="9"/>
        <v>0</v>
      </c>
      <c r="BK38" s="256">
        <f t="shared" si="10"/>
        <v>0</v>
      </c>
      <c r="BL38" s="256">
        <f t="shared" si="11"/>
        <v>0</v>
      </c>
      <c r="BM38" s="256">
        <f t="shared" si="12"/>
        <v>0</v>
      </c>
      <c r="BN38" s="28"/>
      <c r="BO38" s="28"/>
      <c r="BP38" s="28"/>
      <c r="BS38" s="1031" t="s">
        <v>1690</v>
      </c>
      <c r="BX38" s="1064"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94" t="s">
        <v>1691</v>
      </c>
      <c r="D39" s="1053" t="s">
        <v>1692</v>
      </c>
      <c r="E39" s="676">
        <v>17.100000000000001</v>
      </c>
      <c r="F39" s="779" cm="1">
        <f t="array" aca="1" ref="F39" ca="1">OFFSET(G39,-1,-1)</f>
        <v>0</v>
      </c>
      <c r="M39" s="1077"/>
      <c r="N39" s="1077" cm="1">
        <f t="array" aca="1" ref="N39" ca="1">OFFSET(M39,-1,1)</f>
        <v>0</v>
      </c>
      <c r="O39" s="1078"/>
      <c r="P39" s="1078"/>
      <c r="Q39" s="1078"/>
      <c r="R39" s="1078"/>
      <c r="T39" s="687" t="b">
        <f t="shared" ca="1" si="13"/>
        <v>0</v>
      </c>
      <c r="X39" s="1726"/>
      <c r="Z39" s="1726"/>
      <c r="AB39" s="260" t="s">
        <v>1693</v>
      </c>
      <c r="AC39" s="83" t="s">
        <v>1694</v>
      </c>
      <c r="AD39" s="258" t="s">
        <v>533</v>
      </c>
      <c r="AE39" s="77"/>
      <c r="AF39" s="77"/>
      <c r="AG39" s="77"/>
      <c r="AH39" s="256">
        <f t="shared" si="2"/>
        <v>0</v>
      </c>
      <c r="AI39" s="77"/>
      <c r="AJ39" s="517"/>
      <c r="AK39" s="517"/>
      <c r="AL39" s="517"/>
      <c r="AM39" s="517"/>
      <c r="AN39" s="517"/>
      <c r="AO39" s="77"/>
      <c r="AP39" s="77"/>
      <c r="AQ39" s="77"/>
      <c r="AR39" s="77"/>
      <c r="AS39" s="77"/>
      <c r="AT39" s="517"/>
      <c r="AU39" s="517"/>
      <c r="AV39" s="517"/>
      <c r="AW39" s="517"/>
      <c r="AX39" s="517"/>
      <c r="AY39" s="77"/>
      <c r="AZ39" s="77"/>
      <c r="BA39" s="77"/>
      <c r="BB39" s="77"/>
      <c r="BC39" s="77"/>
      <c r="BD39" s="256">
        <f t="shared" si="3"/>
        <v>0</v>
      </c>
      <c r="BE39" s="256">
        <f t="shared" si="4"/>
        <v>0</v>
      </c>
      <c r="BF39" s="256">
        <f t="shared" si="5"/>
        <v>0</v>
      </c>
      <c r="BG39" s="256">
        <f t="shared" si="6"/>
        <v>0</v>
      </c>
      <c r="BH39" s="256">
        <f t="shared" si="7"/>
        <v>0</v>
      </c>
      <c r="BI39" s="256">
        <f t="shared" si="8"/>
        <v>0</v>
      </c>
      <c r="BJ39" s="256">
        <f t="shared" si="9"/>
        <v>0</v>
      </c>
      <c r="BK39" s="256">
        <f t="shared" si="10"/>
        <v>0</v>
      </c>
      <c r="BL39" s="256">
        <f t="shared" si="11"/>
        <v>0</v>
      </c>
      <c r="BM39" s="256">
        <f t="shared" si="12"/>
        <v>0</v>
      </c>
      <c r="BN39" s="28"/>
      <c r="BO39" s="28"/>
      <c r="BP39" s="28"/>
      <c r="BS39" s="1031" t="s">
        <v>1695</v>
      </c>
      <c r="BX39" s="1064"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94" t="s">
        <v>1696</v>
      </c>
      <c r="D40" s="1053" t="s">
        <v>1697</v>
      </c>
      <c r="E40" s="676">
        <v>17.100000000000001</v>
      </c>
      <c r="F40" s="779" cm="1">
        <f t="array" aca="1" ref="F40" ca="1">OFFSET(G40,-1,-1)</f>
        <v>0</v>
      </c>
      <c r="M40" s="1077"/>
      <c r="N40" s="1077" cm="1">
        <f t="array" aca="1" ref="N40" ca="1">OFFSET(M40,-1,1)</f>
        <v>0</v>
      </c>
      <c r="O40" s="1078"/>
      <c r="P40" s="1078"/>
      <c r="Q40" s="1078"/>
      <c r="R40" s="1078"/>
      <c r="T40" s="687" t="b">
        <f t="shared" ca="1" si="13"/>
        <v>0</v>
      </c>
      <c r="X40" s="1726"/>
      <c r="Z40" s="1726"/>
      <c r="AB40" s="260" t="s">
        <v>1373</v>
      </c>
      <c r="AC40" s="82" t="s">
        <v>1698</v>
      </c>
      <c r="AD40" s="258" t="s">
        <v>533</v>
      </c>
      <c r="AE40" s="77"/>
      <c r="AF40" s="77"/>
      <c r="AG40" s="77"/>
      <c r="AH40" s="256">
        <f t="shared" si="2"/>
        <v>0</v>
      </c>
      <c r="AI40" s="77"/>
      <c r="AJ40" s="517"/>
      <c r="AK40" s="517"/>
      <c r="AL40" s="517"/>
      <c r="AM40" s="517"/>
      <c r="AN40" s="517"/>
      <c r="AO40" s="77"/>
      <c r="AP40" s="77"/>
      <c r="AQ40" s="77"/>
      <c r="AR40" s="77"/>
      <c r="AS40" s="77"/>
      <c r="AT40" s="517"/>
      <c r="AU40" s="517"/>
      <c r="AV40" s="517"/>
      <c r="AW40" s="517"/>
      <c r="AX40" s="517"/>
      <c r="AY40" s="77"/>
      <c r="AZ40" s="77"/>
      <c r="BA40" s="77"/>
      <c r="BB40" s="77"/>
      <c r="BC40" s="77"/>
      <c r="BD40" s="256">
        <f t="shared" si="3"/>
        <v>0</v>
      </c>
      <c r="BE40" s="256">
        <f t="shared" si="4"/>
        <v>0</v>
      </c>
      <c r="BF40" s="256">
        <f t="shared" si="5"/>
        <v>0</v>
      </c>
      <c r="BG40" s="256">
        <f t="shared" si="6"/>
        <v>0</v>
      </c>
      <c r="BH40" s="256">
        <f t="shared" si="7"/>
        <v>0</v>
      </c>
      <c r="BI40" s="256">
        <f t="shared" si="8"/>
        <v>0</v>
      </c>
      <c r="BJ40" s="256">
        <f t="shared" si="9"/>
        <v>0</v>
      </c>
      <c r="BK40" s="256">
        <f t="shared" si="10"/>
        <v>0</v>
      </c>
      <c r="BL40" s="256">
        <f t="shared" si="11"/>
        <v>0</v>
      </c>
      <c r="BM40" s="256">
        <f t="shared" si="12"/>
        <v>0</v>
      </c>
      <c r="BN40" s="28"/>
      <c r="BO40" s="28"/>
      <c r="BP40" s="28"/>
      <c r="BS40" s="1031" t="s">
        <v>1699</v>
      </c>
      <c r="BX40" s="1064"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94" t="s">
        <v>1700</v>
      </c>
      <c r="D41" s="1053" t="s">
        <v>1701</v>
      </c>
      <c r="E41" s="676">
        <v>17.100000000000001</v>
      </c>
      <c r="F41" s="779" cm="1">
        <f t="array" aca="1" ref="F41" ca="1">OFFSET(G41,-1,-1)</f>
        <v>0</v>
      </c>
      <c r="M41" s="1077"/>
      <c r="N41" s="1077" cm="1">
        <f t="array" aca="1" ref="N41" ca="1">OFFSET(M41,-1,1)</f>
        <v>0</v>
      </c>
      <c r="O41" s="1078"/>
      <c r="P41" s="1078"/>
      <c r="Q41" s="1078"/>
      <c r="R41" s="1078"/>
      <c r="T41" s="687" t="b">
        <f t="shared" ca="1" si="13"/>
        <v>0</v>
      </c>
      <c r="X41" s="1726"/>
      <c r="Z41" s="1726"/>
      <c r="AB41" s="260" t="s">
        <v>1702</v>
      </c>
      <c r="AC41" s="83" t="s">
        <v>1703</v>
      </c>
      <c r="AD41" s="258" t="s">
        <v>533</v>
      </c>
      <c r="AE41" s="77"/>
      <c r="AF41" s="77"/>
      <c r="AG41" s="77"/>
      <c r="AH41" s="256">
        <f t="shared" si="2"/>
        <v>0</v>
      </c>
      <c r="AI41" s="77"/>
      <c r="AJ41" s="517"/>
      <c r="AK41" s="517"/>
      <c r="AL41" s="517"/>
      <c r="AM41" s="517"/>
      <c r="AN41" s="517"/>
      <c r="AO41" s="77"/>
      <c r="AP41" s="77"/>
      <c r="AQ41" s="77"/>
      <c r="AR41" s="77"/>
      <c r="AS41" s="77"/>
      <c r="AT41" s="517"/>
      <c r="AU41" s="517"/>
      <c r="AV41" s="517"/>
      <c r="AW41" s="517"/>
      <c r="AX41" s="517"/>
      <c r="AY41" s="77"/>
      <c r="AZ41" s="77"/>
      <c r="BA41" s="77"/>
      <c r="BB41" s="77"/>
      <c r="BC41" s="77"/>
      <c r="BD41" s="256">
        <f t="shared" si="3"/>
        <v>0</v>
      </c>
      <c r="BE41" s="256">
        <f t="shared" si="4"/>
        <v>0</v>
      </c>
      <c r="BF41" s="256">
        <f t="shared" si="5"/>
        <v>0</v>
      </c>
      <c r="BG41" s="256">
        <f t="shared" si="6"/>
        <v>0</v>
      </c>
      <c r="BH41" s="256">
        <f t="shared" si="7"/>
        <v>0</v>
      </c>
      <c r="BI41" s="256">
        <f t="shared" si="8"/>
        <v>0</v>
      </c>
      <c r="BJ41" s="256">
        <f t="shared" si="9"/>
        <v>0</v>
      </c>
      <c r="BK41" s="256">
        <f t="shared" si="10"/>
        <v>0</v>
      </c>
      <c r="BL41" s="256">
        <f t="shared" si="11"/>
        <v>0</v>
      </c>
      <c r="BM41" s="256">
        <f t="shared" si="12"/>
        <v>0</v>
      </c>
      <c r="BN41" s="28"/>
      <c r="BO41" s="28"/>
      <c r="BP41" s="28"/>
      <c r="BS41" s="1031" t="s">
        <v>1704</v>
      </c>
      <c r="BX41" s="1064"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94" t="s">
        <v>1705</v>
      </c>
      <c r="D42" s="1053" t="s">
        <v>1706</v>
      </c>
      <c r="E42" s="676">
        <v>17.100000000000001</v>
      </c>
      <c r="F42" s="779" cm="1">
        <f t="array" aca="1" ref="F42" ca="1">OFFSET(G42,-1,-1)</f>
        <v>0</v>
      </c>
      <c r="M42" s="1077"/>
      <c r="N42" s="1077" cm="1">
        <f t="array" aca="1" ref="N42" ca="1">OFFSET(M42,-1,1)</f>
        <v>0</v>
      </c>
      <c r="O42" s="1078"/>
      <c r="P42" s="1078"/>
      <c r="Q42" s="1078"/>
      <c r="R42" s="1078"/>
      <c r="T42" s="687" t="b">
        <f t="shared" ca="1" si="13"/>
        <v>0</v>
      </c>
      <c r="X42" s="1726"/>
      <c r="Z42" s="1726"/>
      <c r="AB42" s="260" t="s">
        <v>1707</v>
      </c>
      <c r="AC42" s="83" t="s">
        <v>1708</v>
      </c>
      <c r="AD42" s="258" t="s">
        <v>533</v>
      </c>
      <c r="AE42" s="77"/>
      <c r="AF42" s="77"/>
      <c r="AG42" s="77"/>
      <c r="AH42" s="256">
        <f t="shared" si="2"/>
        <v>0</v>
      </c>
      <c r="AI42" s="77"/>
      <c r="AJ42" s="517"/>
      <c r="AK42" s="517"/>
      <c r="AL42" s="517"/>
      <c r="AM42" s="517"/>
      <c r="AN42" s="517"/>
      <c r="AO42" s="77"/>
      <c r="AP42" s="77"/>
      <c r="AQ42" s="77"/>
      <c r="AR42" s="77"/>
      <c r="AS42" s="77"/>
      <c r="AT42" s="517"/>
      <c r="AU42" s="517"/>
      <c r="AV42" s="517"/>
      <c r="AW42" s="517"/>
      <c r="AX42" s="517"/>
      <c r="AY42" s="77"/>
      <c r="AZ42" s="77"/>
      <c r="BA42" s="77"/>
      <c r="BB42" s="77"/>
      <c r="BC42" s="77"/>
      <c r="BD42" s="256">
        <f t="shared" si="3"/>
        <v>0</v>
      </c>
      <c r="BE42" s="256">
        <f t="shared" si="4"/>
        <v>0</v>
      </c>
      <c r="BF42" s="256">
        <f t="shared" si="5"/>
        <v>0</v>
      </c>
      <c r="BG42" s="256">
        <f t="shared" si="6"/>
        <v>0</v>
      </c>
      <c r="BH42" s="256">
        <f t="shared" si="7"/>
        <v>0</v>
      </c>
      <c r="BI42" s="256">
        <f t="shared" si="8"/>
        <v>0</v>
      </c>
      <c r="BJ42" s="256">
        <f t="shared" si="9"/>
        <v>0</v>
      </c>
      <c r="BK42" s="256">
        <f t="shared" si="10"/>
        <v>0</v>
      </c>
      <c r="BL42" s="256">
        <f t="shared" si="11"/>
        <v>0</v>
      </c>
      <c r="BM42" s="256">
        <f t="shared" si="12"/>
        <v>0</v>
      </c>
      <c r="BN42" s="28"/>
      <c r="BO42" s="28"/>
      <c r="BP42" s="28"/>
      <c r="BS42" s="1031" t="s">
        <v>1709</v>
      </c>
      <c r="BX42" s="1064"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94" t="s">
        <v>1710</v>
      </c>
      <c r="D43" s="1053" t="s">
        <v>1711</v>
      </c>
      <c r="E43" s="676">
        <v>17.100000000000001</v>
      </c>
      <c r="F43" s="779" cm="1">
        <f t="array" aca="1" ref="F43" ca="1">OFFSET(G43,-1,-1)</f>
        <v>0</v>
      </c>
      <c r="G43" s="143" t="s">
        <v>1557</v>
      </c>
      <c r="M43" s="1077"/>
      <c r="N43" s="1077" cm="1">
        <f t="array" aca="1" ref="N43" ca="1">OFFSET(M43,-1,1)</f>
        <v>0</v>
      </c>
      <c r="O43" s="1078"/>
      <c r="P43" s="1078"/>
      <c r="Q43" s="1078"/>
      <c r="R43" s="1078"/>
      <c r="T43" s="687" t="b">
        <f t="shared" ref="T43:T48" ca="1" si="14">AND(F43&gt;0,method_reg="Метод индексации")</f>
        <v>0</v>
      </c>
      <c r="X43" s="1726"/>
      <c r="Z43" s="1726"/>
      <c r="AB43" s="111" t="s">
        <v>440</v>
      </c>
      <c r="AC43" s="513" t="s">
        <v>1559</v>
      </c>
      <c r="AD43" s="419" t="s">
        <v>1077</v>
      </c>
      <c r="AE43" s="77">
        <f>AE44+AE45+AE46</f>
        <v>0</v>
      </c>
      <c r="AF43" s="77">
        <f>AF44+AF45+AF46</f>
        <v>0</v>
      </c>
      <c r="AG43" s="77">
        <f>AG44+AG45+AG46</f>
        <v>0</v>
      </c>
      <c r="AH43" s="256">
        <f t="shared" si="2"/>
        <v>0</v>
      </c>
      <c r="AI43" s="77">
        <f t="shared" ref="AI43:BC43" si="15">AI44+AI45+AI46</f>
        <v>0</v>
      </c>
      <c r="AJ43" s="517">
        <f t="shared" si="15"/>
        <v>0</v>
      </c>
      <c r="AK43" s="517">
        <f t="shared" si="15"/>
        <v>0</v>
      </c>
      <c r="AL43" s="517">
        <f t="shared" si="15"/>
        <v>0</v>
      </c>
      <c r="AM43" s="517">
        <f t="shared" si="15"/>
        <v>0</v>
      </c>
      <c r="AN43" s="517">
        <f t="shared" si="15"/>
        <v>0</v>
      </c>
      <c r="AO43" s="77">
        <f t="shared" si="15"/>
        <v>0</v>
      </c>
      <c r="AP43" s="77">
        <f t="shared" si="15"/>
        <v>0</v>
      </c>
      <c r="AQ43" s="77">
        <f t="shared" si="15"/>
        <v>0</v>
      </c>
      <c r="AR43" s="77">
        <f t="shared" si="15"/>
        <v>0</v>
      </c>
      <c r="AS43" s="77">
        <f t="shared" si="15"/>
        <v>0</v>
      </c>
      <c r="AT43" s="517">
        <f t="shared" si="15"/>
        <v>0</v>
      </c>
      <c r="AU43" s="517">
        <f t="shared" si="15"/>
        <v>0</v>
      </c>
      <c r="AV43" s="517">
        <f t="shared" si="15"/>
        <v>0</v>
      </c>
      <c r="AW43" s="517">
        <f t="shared" si="15"/>
        <v>0</v>
      </c>
      <c r="AX43" s="517">
        <f t="shared" si="15"/>
        <v>0</v>
      </c>
      <c r="AY43" s="77">
        <f t="shared" si="15"/>
        <v>0</v>
      </c>
      <c r="AZ43" s="77">
        <f t="shared" si="15"/>
        <v>0</v>
      </c>
      <c r="BA43" s="77">
        <f t="shared" si="15"/>
        <v>0</v>
      </c>
      <c r="BB43" s="77">
        <f t="shared" si="15"/>
        <v>0</v>
      </c>
      <c r="BC43" s="77">
        <f t="shared" si="15"/>
        <v>0</v>
      </c>
      <c r="BD43" s="256">
        <f t="shared" si="3"/>
        <v>0</v>
      </c>
      <c r="BE43" s="256">
        <f t="shared" si="4"/>
        <v>0</v>
      </c>
      <c r="BF43" s="256">
        <f t="shared" si="5"/>
        <v>0</v>
      </c>
      <c r="BG43" s="256">
        <f t="shared" si="6"/>
        <v>0</v>
      </c>
      <c r="BH43" s="256">
        <f t="shared" si="7"/>
        <v>0</v>
      </c>
      <c r="BI43" s="256">
        <f t="shared" si="8"/>
        <v>0</v>
      </c>
      <c r="BJ43" s="256">
        <f t="shared" si="9"/>
        <v>0</v>
      </c>
      <c r="BK43" s="256">
        <f t="shared" si="10"/>
        <v>0</v>
      </c>
      <c r="BL43" s="256">
        <f t="shared" si="11"/>
        <v>0</v>
      </c>
      <c r="BM43" s="256">
        <f t="shared" si="12"/>
        <v>0</v>
      </c>
      <c r="BN43" s="28"/>
      <c r="BO43" s="28"/>
      <c r="BP43" s="28"/>
      <c r="BS43" s="1031" t="s">
        <v>1560</v>
      </c>
      <c r="BX43" s="1064"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94" t="s">
        <v>1712</v>
      </c>
      <c r="D44" s="1053" t="s">
        <v>1713</v>
      </c>
      <c r="E44" s="676">
        <v>60</v>
      </c>
      <c r="F44" s="779" cm="1">
        <f t="array" aca="1" ref="F44" ca="1">OFFSET(G44,-1,-1)</f>
        <v>0</v>
      </c>
      <c r="M44" s="1077"/>
      <c r="N44" s="1077" cm="1">
        <f t="array" aca="1" ref="N44" ca="1">OFFSET(M44,-1,1)</f>
        <v>0</v>
      </c>
      <c r="O44" s="1078"/>
      <c r="P44" s="1078"/>
      <c r="Q44" s="1078"/>
      <c r="R44" s="1078"/>
      <c r="T44" s="687" t="b">
        <f t="shared" ca="1" si="14"/>
        <v>0</v>
      </c>
      <c r="X44" s="1726"/>
      <c r="Z44" s="1726"/>
      <c r="AB44" s="111" t="s">
        <v>780</v>
      </c>
      <c r="AC44" s="862" t="s">
        <v>1714</v>
      </c>
      <c r="AD44" s="419" t="s">
        <v>1460</v>
      </c>
      <c r="AE44" s="77"/>
      <c r="AF44" s="77"/>
      <c r="AG44" s="77"/>
      <c r="AH44" s="256">
        <f t="shared" si="2"/>
        <v>0</v>
      </c>
      <c r="AI44" s="77"/>
      <c r="AJ44" s="517"/>
      <c r="AK44" s="517"/>
      <c r="AL44" s="517"/>
      <c r="AM44" s="517"/>
      <c r="AN44" s="517"/>
      <c r="AO44" s="77"/>
      <c r="AP44" s="77"/>
      <c r="AQ44" s="77"/>
      <c r="AR44" s="77"/>
      <c r="AS44" s="77"/>
      <c r="AT44" s="517"/>
      <c r="AU44" s="517"/>
      <c r="AV44" s="517"/>
      <c r="AW44" s="517"/>
      <c r="AX44" s="517"/>
      <c r="AY44" s="77"/>
      <c r="AZ44" s="77"/>
      <c r="BA44" s="77"/>
      <c r="BB44" s="77"/>
      <c r="BC44" s="77"/>
      <c r="BD44" s="256">
        <f t="shared" si="3"/>
        <v>0</v>
      </c>
      <c r="BE44" s="256">
        <f t="shared" si="4"/>
        <v>0</v>
      </c>
      <c r="BF44" s="256">
        <f t="shared" si="5"/>
        <v>0</v>
      </c>
      <c r="BG44" s="256">
        <f t="shared" si="6"/>
        <v>0</v>
      </c>
      <c r="BH44" s="256">
        <f t="shared" si="7"/>
        <v>0</v>
      </c>
      <c r="BI44" s="256">
        <f t="shared" si="8"/>
        <v>0</v>
      </c>
      <c r="BJ44" s="256">
        <f t="shared" si="9"/>
        <v>0</v>
      </c>
      <c r="BK44" s="256">
        <f t="shared" si="10"/>
        <v>0</v>
      </c>
      <c r="BL44" s="256">
        <f t="shared" si="11"/>
        <v>0</v>
      </c>
      <c r="BM44" s="256">
        <f t="shared" si="12"/>
        <v>0</v>
      </c>
      <c r="BN44" s="28"/>
      <c r="BO44" s="28"/>
      <c r="BP44" s="28"/>
      <c r="BS44" s="1031" t="s">
        <v>1715</v>
      </c>
      <c r="BX44" s="1064"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94" t="s">
        <v>1716</v>
      </c>
      <c r="D45" s="1053" t="s">
        <v>1717</v>
      </c>
      <c r="E45" s="676">
        <v>30</v>
      </c>
      <c r="F45" s="779" cm="1">
        <f t="array" aca="1" ref="F45" ca="1">OFFSET(G45,-1,-1)</f>
        <v>0</v>
      </c>
      <c r="M45" s="1077"/>
      <c r="N45" s="1077" cm="1">
        <f t="array" aca="1" ref="N45" ca="1">OFFSET(M45,-1,1)</f>
        <v>0</v>
      </c>
      <c r="O45" s="1078"/>
      <c r="P45" s="1078"/>
      <c r="Q45" s="1078"/>
      <c r="R45" s="1078"/>
      <c r="T45" s="687" t="b">
        <f t="shared" ca="1" si="14"/>
        <v>0</v>
      </c>
      <c r="X45" s="1726"/>
      <c r="Z45" s="1726"/>
      <c r="AB45" s="111" t="s">
        <v>1667</v>
      </c>
      <c r="AC45" s="513" t="s">
        <v>1718</v>
      </c>
      <c r="AD45" s="419" t="s">
        <v>1460</v>
      </c>
      <c r="AE45" s="77"/>
      <c r="AF45" s="77"/>
      <c r="AG45" s="77"/>
      <c r="AH45" s="256">
        <f t="shared" si="2"/>
        <v>0</v>
      </c>
      <c r="AI45" s="77"/>
      <c r="AJ45" s="517"/>
      <c r="AK45" s="517"/>
      <c r="AL45" s="517"/>
      <c r="AM45" s="517"/>
      <c r="AN45" s="517"/>
      <c r="AO45" s="77"/>
      <c r="AP45" s="77"/>
      <c r="AQ45" s="77"/>
      <c r="AR45" s="77"/>
      <c r="AS45" s="77"/>
      <c r="AT45" s="517"/>
      <c r="AU45" s="517"/>
      <c r="AV45" s="517"/>
      <c r="AW45" s="517"/>
      <c r="AX45" s="517"/>
      <c r="AY45" s="77"/>
      <c r="AZ45" s="77"/>
      <c r="BA45" s="77"/>
      <c r="BB45" s="77"/>
      <c r="BC45" s="77"/>
      <c r="BD45" s="256">
        <f t="shared" si="3"/>
        <v>0</v>
      </c>
      <c r="BE45" s="256">
        <f t="shared" si="4"/>
        <v>0</v>
      </c>
      <c r="BF45" s="256">
        <f t="shared" si="5"/>
        <v>0</v>
      </c>
      <c r="BG45" s="256">
        <f t="shared" si="6"/>
        <v>0</v>
      </c>
      <c r="BH45" s="256">
        <f t="shared" si="7"/>
        <v>0</v>
      </c>
      <c r="BI45" s="256">
        <f t="shared" si="8"/>
        <v>0</v>
      </c>
      <c r="BJ45" s="256">
        <f t="shared" si="9"/>
        <v>0</v>
      </c>
      <c r="BK45" s="256">
        <f t="shared" si="10"/>
        <v>0</v>
      </c>
      <c r="BL45" s="256">
        <f t="shared" si="11"/>
        <v>0</v>
      </c>
      <c r="BM45" s="256">
        <f t="shared" si="12"/>
        <v>0</v>
      </c>
      <c r="BN45" s="28"/>
      <c r="BO45" s="28"/>
      <c r="BP45" s="28"/>
      <c r="BS45" s="1031" t="s">
        <v>1719</v>
      </c>
      <c r="BX45" s="1064"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94" t="s">
        <v>1720</v>
      </c>
      <c r="D46" s="1053" t="s">
        <v>1721</v>
      </c>
      <c r="E46" s="676">
        <v>45</v>
      </c>
      <c r="F46" s="779" cm="1">
        <f t="array" aca="1" ref="F46" ca="1">OFFSET(G46,-1,-1)</f>
        <v>0</v>
      </c>
      <c r="M46" s="1077"/>
      <c r="N46" s="1077" cm="1">
        <f t="array" aca="1" ref="N46" ca="1">OFFSET(M46,-1,1)</f>
        <v>0</v>
      </c>
      <c r="O46" s="1078"/>
      <c r="P46" s="1078"/>
      <c r="Q46" s="1078"/>
      <c r="R46" s="1078"/>
      <c r="T46" s="687" t="b">
        <f t="shared" ca="1" si="14"/>
        <v>0</v>
      </c>
      <c r="X46" s="1726"/>
      <c r="Z46" s="1726"/>
      <c r="AB46" s="111" t="s">
        <v>1722</v>
      </c>
      <c r="AC46" s="513" t="s">
        <v>1723</v>
      </c>
      <c r="AD46" s="419" t="s">
        <v>1460</v>
      </c>
      <c r="AE46" s="77"/>
      <c r="AF46" s="77"/>
      <c r="AG46" s="77"/>
      <c r="AH46" s="256">
        <f t="shared" si="2"/>
        <v>0</v>
      </c>
      <c r="AI46" s="77"/>
      <c r="AJ46" s="517"/>
      <c r="AK46" s="517"/>
      <c r="AL46" s="517"/>
      <c r="AM46" s="517"/>
      <c r="AN46" s="517"/>
      <c r="AO46" s="77"/>
      <c r="AP46" s="77"/>
      <c r="AQ46" s="77"/>
      <c r="AR46" s="77"/>
      <c r="AS46" s="77"/>
      <c r="AT46" s="517"/>
      <c r="AU46" s="517"/>
      <c r="AV46" s="517"/>
      <c r="AW46" s="517"/>
      <c r="AX46" s="517"/>
      <c r="AY46" s="77"/>
      <c r="AZ46" s="77"/>
      <c r="BA46" s="77"/>
      <c r="BB46" s="77"/>
      <c r="BC46" s="77"/>
      <c r="BD46" s="256">
        <f t="shared" si="3"/>
        <v>0</v>
      </c>
      <c r="BE46" s="256">
        <f t="shared" si="4"/>
        <v>0</v>
      </c>
      <c r="BF46" s="256">
        <f t="shared" si="5"/>
        <v>0</v>
      </c>
      <c r="BG46" s="256">
        <f t="shared" si="6"/>
        <v>0</v>
      </c>
      <c r="BH46" s="256">
        <f t="shared" si="7"/>
        <v>0</v>
      </c>
      <c r="BI46" s="256">
        <f t="shared" si="8"/>
        <v>0</v>
      </c>
      <c r="BJ46" s="256">
        <f t="shared" si="9"/>
        <v>0</v>
      </c>
      <c r="BK46" s="256">
        <f t="shared" si="10"/>
        <v>0</v>
      </c>
      <c r="BL46" s="256">
        <f t="shared" si="11"/>
        <v>0</v>
      </c>
      <c r="BM46" s="256">
        <f t="shared" si="12"/>
        <v>0</v>
      </c>
      <c r="BN46" s="28"/>
      <c r="BO46" s="28"/>
      <c r="BP46" s="28"/>
      <c r="BS46" s="1031" t="s">
        <v>1724</v>
      </c>
      <c r="BX46" s="1064"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94" t="s">
        <v>1725</v>
      </c>
      <c r="D47" s="1053" t="s">
        <v>1726</v>
      </c>
      <c r="E47" s="676">
        <v>15</v>
      </c>
      <c r="F47" s="779" cm="1">
        <f t="array" aca="1" ref="F47" ca="1">OFFSET(G47,-1,-1)</f>
        <v>0</v>
      </c>
      <c r="G47" s="143" t="s">
        <v>1564</v>
      </c>
      <c r="M47" s="1077"/>
      <c r="N47" s="1077" cm="1">
        <f t="array" aca="1" ref="N47" ca="1">OFFSET(M47,-1,1)</f>
        <v>0</v>
      </c>
      <c r="O47" s="1078"/>
      <c r="P47" s="1078"/>
      <c r="Q47" s="1078"/>
      <c r="R47" s="1078"/>
      <c r="T47" s="687" t="b">
        <f t="shared" ca="1" si="14"/>
        <v>0</v>
      </c>
      <c r="X47" s="1726"/>
      <c r="Z47" s="1726"/>
      <c r="AB47" s="111" t="s">
        <v>443</v>
      </c>
      <c r="AC47" s="513" t="s">
        <v>1566</v>
      </c>
      <c r="AD47" s="419" t="s">
        <v>1077</v>
      </c>
      <c r="AE47" s="77"/>
      <c r="AF47" s="77"/>
      <c r="AG47" s="77"/>
      <c r="AH47" s="256">
        <f t="shared" si="2"/>
        <v>0</v>
      </c>
      <c r="AI47" s="77"/>
      <c r="AJ47" s="517"/>
      <c r="AK47" s="517"/>
      <c r="AL47" s="517"/>
      <c r="AM47" s="517"/>
      <c r="AN47" s="517"/>
      <c r="AO47" s="77"/>
      <c r="AP47" s="77"/>
      <c r="AQ47" s="77"/>
      <c r="AR47" s="77"/>
      <c r="AS47" s="77"/>
      <c r="AT47" s="517"/>
      <c r="AU47" s="517"/>
      <c r="AV47" s="517"/>
      <c r="AW47" s="517"/>
      <c r="AX47" s="517"/>
      <c r="AY47" s="77"/>
      <c r="AZ47" s="77"/>
      <c r="BA47" s="77"/>
      <c r="BB47" s="77"/>
      <c r="BC47" s="77"/>
      <c r="BD47" s="256">
        <f t="shared" si="3"/>
        <v>0</v>
      </c>
      <c r="BE47" s="256">
        <f t="shared" si="4"/>
        <v>0</v>
      </c>
      <c r="BF47" s="256">
        <f t="shared" si="5"/>
        <v>0</v>
      </c>
      <c r="BG47" s="256">
        <f t="shared" si="6"/>
        <v>0</v>
      </c>
      <c r="BH47" s="256">
        <f t="shared" si="7"/>
        <v>0</v>
      </c>
      <c r="BI47" s="256">
        <f t="shared" si="8"/>
        <v>0</v>
      </c>
      <c r="BJ47" s="256">
        <f t="shared" si="9"/>
        <v>0</v>
      </c>
      <c r="BK47" s="256">
        <f t="shared" si="10"/>
        <v>0</v>
      </c>
      <c r="BL47" s="256">
        <f t="shared" si="11"/>
        <v>0</v>
      </c>
      <c r="BM47" s="256">
        <f t="shared" si="12"/>
        <v>0</v>
      </c>
      <c r="BN47" s="28"/>
      <c r="BO47" s="28"/>
      <c r="BP47" s="28"/>
      <c r="BS47" s="1031" t="s">
        <v>1727</v>
      </c>
      <c r="BX47" s="1064"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94" t="s">
        <v>1728</v>
      </c>
      <c r="D48" s="1053" t="s">
        <v>1729</v>
      </c>
      <c r="E48" s="676">
        <v>15</v>
      </c>
      <c r="F48" s="779" cm="1">
        <f t="array" aca="1" ref="F48" ca="1">OFFSET(G48,-1,-1)</f>
        <v>0</v>
      </c>
      <c r="M48" s="1077"/>
      <c r="N48" s="1077" cm="1">
        <f t="array" aca="1" ref="N48" ca="1">OFFSET(M48,-1,1)</f>
        <v>0</v>
      </c>
      <c r="O48" s="1078"/>
      <c r="P48" s="1078"/>
      <c r="Q48" s="1078"/>
      <c r="R48" s="1078"/>
      <c r="T48" s="687" t="b">
        <f t="shared" ca="1" si="14"/>
        <v>0</v>
      </c>
      <c r="X48" s="1726"/>
      <c r="Z48" s="1726"/>
      <c r="AB48" s="111" t="s">
        <v>785</v>
      </c>
      <c r="AC48" s="116" t="s">
        <v>1562</v>
      </c>
      <c r="AD48" s="419" t="s">
        <v>533</v>
      </c>
      <c r="AE48" s="73"/>
      <c r="AF48" s="73"/>
      <c r="AG48" s="73"/>
      <c r="AH48" s="256">
        <f t="shared" si="2"/>
        <v>0</v>
      </c>
      <c r="AI48" s="73"/>
      <c r="AJ48" s="934"/>
      <c r="AK48" s="934"/>
      <c r="AL48" s="934"/>
      <c r="AM48" s="934"/>
      <c r="AN48" s="934"/>
      <c r="AO48" s="73"/>
      <c r="AP48" s="73"/>
      <c r="AQ48" s="73"/>
      <c r="AR48" s="73"/>
      <c r="AS48" s="73"/>
      <c r="AT48" s="934"/>
      <c r="AU48" s="934"/>
      <c r="AV48" s="934"/>
      <c r="AW48" s="934"/>
      <c r="AX48" s="934"/>
      <c r="AY48" s="73"/>
      <c r="AZ48" s="73"/>
      <c r="BA48" s="73"/>
      <c r="BB48" s="73"/>
      <c r="BC48" s="73"/>
      <c r="BD48" s="256">
        <f t="shared" si="3"/>
        <v>0</v>
      </c>
      <c r="BE48" s="256">
        <f t="shared" si="4"/>
        <v>0</v>
      </c>
      <c r="BF48" s="256">
        <f t="shared" si="5"/>
        <v>0</v>
      </c>
      <c r="BG48" s="256">
        <f t="shared" si="6"/>
        <v>0</v>
      </c>
      <c r="BH48" s="256">
        <f t="shared" si="7"/>
        <v>0</v>
      </c>
      <c r="BI48" s="256">
        <f t="shared" si="8"/>
        <v>0</v>
      </c>
      <c r="BJ48" s="256">
        <f t="shared" si="9"/>
        <v>0</v>
      </c>
      <c r="BK48" s="256">
        <f t="shared" si="10"/>
        <v>0</v>
      </c>
      <c r="BL48" s="256">
        <f t="shared" si="11"/>
        <v>0</v>
      </c>
      <c r="BM48" s="256">
        <f t="shared" si="12"/>
        <v>0</v>
      </c>
      <c r="BN48" s="28"/>
      <c r="BO48" s="28"/>
      <c r="BP48" s="28"/>
      <c r="BS48" s="1031" t="s">
        <v>1730</v>
      </c>
      <c r="BX48" s="1064"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94" t="s">
        <v>1731</v>
      </c>
      <c r="D49" s="1053" t="s">
        <v>1732</v>
      </c>
      <c r="E49" s="676">
        <v>29.3</v>
      </c>
      <c r="F49" s="779" cm="1">
        <f t="array" aca="1" ref="F49" ca="1">OFFSET(G49,-1,-1)</f>
        <v>0</v>
      </c>
      <c r="G49" s="143">
        <v>6</v>
      </c>
      <c r="M49" s="1077"/>
      <c r="N49" s="1077" cm="1">
        <f t="array" aca="1" ref="N49" ca="1">OFFSET(M49,-1,1)</f>
        <v>0</v>
      </c>
      <c r="O49" s="1078"/>
      <c r="P49" s="1078"/>
      <c r="Q49" s="1078"/>
      <c r="R49" s="1078"/>
      <c r="T49" s="687" t="b">
        <f ca="1">F49&gt;0</f>
        <v>0</v>
      </c>
      <c r="X49" s="1726"/>
      <c r="Z49" s="1726"/>
      <c r="AB49" s="111" t="s">
        <v>448</v>
      </c>
      <c r="AC49" s="513" t="s">
        <v>1569</v>
      </c>
      <c r="AD49" s="419" t="s">
        <v>1077</v>
      </c>
      <c r="AE49" s="77"/>
      <c r="AF49" s="77"/>
      <c r="AG49" s="77"/>
      <c r="AH49" s="256">
        <f t="shared" si="2"/>
        <v>0</v>
      </c>
      <c r="AI49" s="77"/>
      <c r="AJ49" s="517"/>
      <c r="AK49" s="517"/>
      <c r="AL49" s="517"/>
      <c r="AM49" s="517"/>
      <c r="AN49" s="517"/>
      <c r="AO49" s="77"/>
      <c r="AP49" s="77"/>
      <c r="AQ49" s="77"/>
      <c r="AR49" s="77"/>
      <c r="AS49" s="77"/>
      <c r="AT49" s="517"/>
      <c r="AU49" s="517"/>
      <c r="AV49" s="517"/>
      <c r="AW49" s="517"/>
      <c r="AX49" s="517"/>
      <c r="AY49" s="77"/>
      <c r="AZ49" s="77"/>
      <c r="BA49" s="77"/>
      <c r="BB49" s="77"/>
      <c r="BC49" s="77"/>
      <c r="BD49" s="256">
        <f t="shared" si="3"/>
        <v>0</v>
      </c>
      <c r="BE49" s="256">
        <f t="shared" si="4"/>
        <v>0</v>
      </c>
      <c r="BF49" s="256">
        <f t="shared" si="5"/>
        <v>0</v>
      </c>
      <c r="BG49" s="256">
        <f t="shared" si="6"/>
        <v>0</v>
      </c>
      <c r="BH49" s="256">
        <f t="shared" si="7"/>
        <v>0</v>
      </c>
      <c r="BI49" s="256">
        <f t="shared" si="8"/>
        <v>0</v>
      </c>
      <c r="BJ49" s="256">
        <f t="shared" si="9"/>
        <v>0</v>
      </c>
      <c r="BK49" s="256">
        <f t="shared" si="10"/>
        <v>0</v>
      </c>
      <c r="BL49" s="256">
        <f t="shared" si="11"/>
        <v>0</v>
      </c>
      <c r="BM49" s="256">
        <f t="shared" si="12"/>
        <v>0</v>
      </c>
      <c r="BN49" s="28"/>
      <c r="BO49" s="28"/>
      <c r="BP49" s="28"/>
      <c r="BS49" s="1031" t="s">
        <v>1733</v>
      </c>
      <c r="BX49" s="1064"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94" t="s">
        <v>1734</v>
      </c>
      <c r="D50" s="1053" t="s">
        <v>1735</v>
      </c>
      <c r="E50" s="676">
        <v>29.3</v>
      </c>
      <c r="F50" s="779" cm="1">
        <f t="array" aca="1" ref="F50" ca="1">OFFSET(G50,-1,-1)</f>
        <v>0</v>
      </c>
      <c r="G50" s="143" t="s">
        <v>1596</v>
      </c>
      <c r="M50" s="1077"/>
      <c r="N50" s="1077" cm="1">
        <f t="array" aca="1" ref="N50" ca="1">OFFSET(M50,-1,1)</f>
        <v>0</v>
      </c>
      <c r="O50" s="1078"/>
      <c r="P50" s="1078"/>
      <c r="Q50" s="1078"/>
      <c r="R50" s="1078"/>
      <c r="T50" s="687" t="b" cm="1">
        <f t="array" aca="1" ref="T50" ca="1">T49</f>
        <v>0</v>
      </c>
      <c r="X50" s="1726"/>
      <c r="Z50" s="1726"/>
      <c r="AB50" s="111" t="s">
        <v>451</v>
      </c>
      <c r="AC50" s="622" t="s">
        <v>1736</v>
      </c>
      <c r="AD50" s="419" t="s">
        <v>1077</v>
      </c>
      <c r="AE50" s="77"/>
      <c r="AF50" s="77"/>
      <c r="AG50" s="77"/>
      <c r="AH50" s="256">
        <f t="shared" si="2"/>
        <v>0</v>
      </c>
      <c r="AI50" s="77"/>
      <c r="AJ50" s="517">
        <f ca="1">SUMIFS('Корр Факт'!AH$27:AH$169,'Корр Факт'!$F$27:$F$169,$F50,'Корр Факт'!$G$27:$G$169,$G50)</f>
        <v>0</v>
      </c>
      <c r="AK50" s="517"/>
      <c r="AL50" s="517"/>
      <c r="AM50" s="517"/>
      <c r="AN50" s="517"/>
      <c r="AO50" s="77"/>
      <c r="AP50" s="77"/>
      <c r="AQ50" s="77"/>
      <c r="AR50" s="77"/>
      <c r="AS50" s="77"/>
      <c r="AT50" s="517">
        <f ca="1">SUMIFS('Корр Факт'!AN$27:AN$169,'Корр Факт'!$F$27:$F$169,$F50,'Корр Факт'!$G$27:$G$169,$G50)</f>
        <v>0</v>
      </c>
      <c r="AU50" s="517"/>
      <c r="AV50" s="517"/>
      <c r="AW50" s="517"/>
      <c r="AX50" s="517"/>
      <c r="AY50" s="77"/>
      <c r="AZ50" s="77"/>
      <c r="BA50" s="77"/>
      <c r="BB50" s="77"/>
      <c r="BC50" s="77"/>
      <c r="BD50" s="256">
        <f t="shared" si="3"/>
        <v>0</v>
      </c>
      <c r="BE50" s="256">
        <f t="shared" ca="1" si="4"/>
        <v>0</v>
      </c>
      <c r="BF50" s="256">
        <f t="shared" si="5"/>
        <v>0</v>
      </c>
      <c r="BG50" s="256">
        <f t="shared" si="6"/>
        <v>0</v>
      </c>
      <c r="BH50" s="256">
        <f t="shared" si="7"/>
        <v>0</v>
      </c>
      <c r="BI50" s="256">
        <f t="shared" si="8"/>
        <v>0</v>
      </c>
      <c r="BJ50" s="256">
        <f t="shared" si="9"/>
        <v>0</v>
      </c>
      <c r="BK50" s="256">
        <f t="shared" si="10"/>
        <v>0</v>
      </c>
      <c r="BL50" s="256">
        <f t="shared" si="11"/>
        <v>0</v>
      </c>
      <c r="BM50" s="256">
        <f t="shared" si="12"/>
        <v>0</v>
      </c>
      <c r="BN50" s="28"/>
      <c r="BO50" s="28"/>
      <c r="BP50" s="28"/>
      <c r="BS50" s="1031" t="s">
        <v>1737</v>
      </c>
      <c r="BX50" s="1064"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5" customFormat="1" ht="64.349999999999994" hidden="1" customHeight="1">
      <c r="C51" s="1094" t="s">
        <v>1738</v>
      </c>
      <c r="D51" s="1053" t="s">
        <v>1739</v>
      </c>
      <c r="E51" s="676">
        <v>66</v>
      </c>
      <c r="F51" s="779" cm="1">
        <f t="array" aca="1" ref="F51" ca="1">OFFSET(G51,-1,-1)</f>
        <v>0</v>
      </c>
      <c r="M51" s="1077"/>
      <c r="N51" s="1077" cm="1">
        <f t="array" aca="1" ref="N51" ca="1">OFFSET(M51,-1,1)</f>
        <v>0</v>
      </c>
      <c r="O51" s="1079"/>
      <c r="P51" s="1079"/>
      <c r="Q51" s="1079"/>
      <c r="R51" s="1079"/>
      <c r="T51" s="687" t="b" cm="1">
        <f t="array" aca="1" ref="T51" ca="1">T50</f>
        <v>0</v>
      </c>
      <c r="X51" s="1823"/>
      <c r="Z51" s="1823"/>
      <c r="AB51" s="111" t="s">
        <v>454</v>
      </c>
      <c r="AC51" s="513" t="s">
        <v>1740</v>
      </c>
      <c r="AD51" s="419" t="s">
        <v>1077</v>
      </c>
      <c r="AE51" s="77"/>
      <c r="AF51" s="77"/>
      <c r="AG51" s="77"/>
      <c r="AH51" s="256">
        <f t="shared" si="2"/>
        <v>0</v>
      </c>
      <c r="AI51" s="77"/>
      <c r="AJ51" s="517"/>
      <c r="AK51" s="517"/>
      <c r="AL51" s="517"/>
      <c r="AM51" s="517"/>
      <c r="AN51" s="517"/>
      <c r="AO51" s="77"/>
      <c r="AP51" s="77"/>
      <c r="AQ51" s="77"/>
      <c r="AR51" s="77"/>
      <c r="AS51" s="77"/>
      <c r="AT51" s="517"/>
      <c r="AU51" s="517"/>
      <c r="AV51" s="517"/>
      <c r="AW51" s="517"/>
      <c r="AX51" s="517"/>
      <c r="AY51" s="77"/>
      <c r="AZ51" s="77"/>
      <c r="BA51" s="77"/>
      <c r="BB51" s="77"/>
      <c r="BC51" s="77"/>
      <c r="BD51" s="256">
        <f t="shared" si="3"/>
        <v>0</v>
      </c>
      <c r="BE51" s="256">
        <f t="shared" si="4"/>
        <v>0</v>
      </c>
      <c r="BF51" s="256">
        <f t="shared" si="5"/>
        <v>0</v>
      </c>
      <c r="BG51" s="256">
        <f t="shared" si="6"/>
        <v>0</v>
      </c>
      <c r="BH51" s="256">
        <f t="shared" si="7"/>
        <v>0</v>
      </c>
      <c r="BI51" s="256">
        <f t="shared" si="8"/>
        <v>0</v>
      </c>
      <c r="BJ51" s="256">
        <f t="shared" si="9"/>
        <v>0</v>
      </c>
      <c r="BK51" s="256">
        <f t="shared" si="10"/>
        <v>0</v>
      </c>
      <c r="BL51" s="256">
        <f t="shared" si="11"/>
        <v>0</v>
      </c>
      <c r="BM51" s="256">
        <f t="shared" si="12"/>
        <v>0</v>
      </c>
      <c r="BN51" s="28"/>
      <c r="BO51" s="28"/>
      <c r="BP51" s="28"/>
      <c r="BS51" s="1031" t="s">
        <v>1573</v>
      </c>
      <c r="BT51" s="1039"/>
      <c r="BU51" s="1039"/>
      <c r="BV51" s="1040"/>
      <c r="BW51" s="1040"/>
      <c r="BX51" s="1064"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5" customFormat="1" ht="33" hidden="1" customHeight="1">
      <c r="C52" s="1094" t="s">
        <v>1741</v>
      </c>
      <c r="D52" s="1053" t="s">
        <v>1742</v>
      </c>
      <c r="E52" s="676">
        <v>33.799999999999997</v>
      </c>
      <c r="F52" s="779" cm="1">
        <f t="array" aca="1" ref="F52" ca="1">OFFSET(G52,-1,-1)</f>
        <v>0</v>
      </c>
      <c r="M52" s="1077"/>
      <c r="N52" s="1077" cm="1">
        <f t="array" aca="1" ref="N52" ca="1">OFFSET(M52,-1,1)</f>
        <v>0</v>
      </c>
      <c r="O52" s="1079"/>
      <c r="P52" s="1079"/>
      <c r="Q52" s="1079"/>
      <c r="R52" s="1079"/>
      <c r="T52" s="687" t="b" cm="1">
        <f t="array" aca="1" ref="T52" ca="1">T51</f>
        <v>0</v>
      </c>
      <c r="X52" s="1823"/>
      <c r="Z52" s="1823"/>
      <c r="AB52" s="111" t="s">
        <v>457</v>
      </c>
      <c r="AC52" s="513" t="s">
        <v>1743</v>
      </c>
      <c r="AD52" s="419" t="s">
        <v>1077</v>
      </c>
      <c r="AE52" s="77"/>
      <c r="AF52" s="77"/>
      <c r="AG52" s="77"/>
      <c r="AH52" s="256">
        <f t="shared" si="2"/>
        <v>0</v>
      </c>
      <c r="AI52" s="77"/>
      <c r="AJ52" s="517"/>
      <c r="AK52" s="517"/>
      <c r="AL52" s="517"/>
      <c r="AM52" s="517"/>
      <c r="AN52" s="517"/>
      <c r="AO52" s="77"/>
      <c r="AP52" s="77"/>
      <c r="AQ52" s="77"/>
      <c r="AR52" s="77"/>
      <c r="AS52" s="77"/>
      <c r="AT52" s="517"/>
      <c r="AU52" s="517"/>
      <c r="AV52" s="517"/>
      <c r="AW52" s="517"/>
      <c r="AX52" s="517"/>
      <c r="AY52" s="77"/>
      <c r="AZ52" s="77"/>
      <c r="BA52" s="77"/>
      <c r="BB52" s="77"/>
      <c r="BC52" s="77"/>
      <c r="BD52" s="256">
        <f t="shared" si="3"/>
        <v>0</v>
      </c>
      <c r="BE52" s="256">
        <f t="shared" si="4"/>
        <v>0</v>
      </c>
      <c r="BF52" s="256">
        <f t="shared" si="5"/>
        <v>0</v>
      </c>
      <c r="BG52" s="256">
        <f t="shared" si="6"/>
        <v>0</v>
      </c>
      <c r="BH52" s="256">
        <f t="shared" si="7"/>
        <v>0</v>
      </c>
      <c r="BI52" s="256">
        <f t="shared" si="8"/>
        <v>0</v>
      </c>
      <c r="BJ52" s="256">
        <f t="shared" si="9"/>
        <v>0</v>
      </c>
      <c r="BK52" s="256">
        <f t="shared" si="10"/>
        <v>0</v>
      </c>
      <c r="BL52" s="256">
        <f t="shared" si="11"/>
        <v>0</v>
      </c>
      <c r="BM52" s="256">
        <f t="shared" si="12"/>
        <v>0</v>
      </c>
      <c r="BN52" s="28"/>
      <c r="BO52" s="28"/>
      <c r="BP52" s="28"/>
      <c r="BS52" s="1031" t="s">
        <v>1744</v>
      </c>
      <c r="BT52" s="1039"/>
      <c r="BU52" s="1039"/>
      <c r="BV52" s="1040"/>
      <c r="BW52" s="1040"/>
      <c r="BX52" s="1064"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94" t="s">
        <v>1745</v>
      </c>
      <c r="D53" s="1053" t="s">
        <v>1746</v>
      </c>
      <c r="E53" s="676">
        <v>63.8</v>
      </c>
      <c r="F53" s="779" cm="1">
        <f t="array" aca="1" ref="F53" ca="1">OFFSET(G53,-1,-1)</f>
        <v>0</v>
      </c>
      <c r="M53" s="1077"/>
      <c r="N53" s="1077" cm="1">
        <f t="array" aca="1" ref="N53" ca="1">OFFSET(M53,-1,1)</f>
        <v>0</v>
      </c>
      <c r="O53" s="1078"/>
      <c r="P53" s="1078"/>
      <c r="Q53" s="1078"/>
      <c r="R53" s="1078"/>
      <c r="T53" s="687" t="b" cm="1">
        <f t="array" aca="1" ref="T53" ca="1">T52</f>
        <v>0</v>
      </c>
      <c r="X53" s="1726"/>
      <c r="Z53" s="1726"/>
      <c r="AB53" s="539" t="s">
        <v>460</v>
      </c>
      <c r="AC53" s="541" t="s">
        <v>1747</v>
      </c>
      <c r="AD53" s="424" t="s">
        <v>1077</v>
      </c>
      <c r="AE53" s="84"/>
      <c r="AF53" s="77"/>
      <c r="AG53" s="77"/>
      <c r="AH53" s="256">
        <f t="shared" si="2"/>
        <v>0</v>
      </c>
      <c r="AI53" s="77"/>
      <c r="AJ53" s="517"/>
      <c r="AK53" s="517"/>
      <c r="AL53" s="517"/>
      <c r="AM53" s="517"/>
      <c r="AN53" s="517"/>
      <c r="AO53" s="77"/>
      <c r="AP53" s="77"/>
      <c r="AQ53" s="77"/>
      <c r="AR53" s="77"/>
      <c r="AS53" s="77"/>
      <c r="AT53" s="517"/>
      <c r="AU53" s="517"/>
      <c r="AV53" s="517"/>
      <c r="AW53" s="517"/>
      <c r="AX53" s="517"/>
      <c r="AY53" s="77"/>
      <c r="AZ53" s="77"/>
      <c r="BA53" s="77"/>
      <c r="BB53" s="77"/>
      <c r="BC53" s="77"/>
      <c r="BD53" s="256">
        <f t="shared" si="3"/>
        <v>0</v>
      </c>
      <c r="BE53" s="256">
        <f t="shared" si="4"/>
        <v>0</v>
      </c>
      <c r="BF53" s="256">
        <f t="shared" si="5"/>
        <v>0</v>
      </c>
      <c r="BG53" s="256">
        <f t="shared" si="6"/>
        <v>0</v>
      </c>
      <c r="BH53" s="256">
        <f t="shared" si="7"/>
        <v>0</v>
      </c>
      <c r="BI53" s="256">
        <f t="shared" si="8"/>
        <v>0</v>
      </c>
      <c r="BJ53" s="256">
        <f t="shared" si="9"/>
        <v>0</v>
      </c>
      <c r="BK53" s="256">
        <f t="shared" si="10"/>
        <v>0</v>
      </c>
      <c r="BL53" s="256">
        <f t="shared" si="11"/>
        <v>0</v>
      </c>
      <c r="BM53" s="256">
        <f t="shared" si="12"/>
        <v>0</v>
      </c>
      <c r="BN53" s="24"/>
      <c r="BO53" s="24"/>
      <c r="BP53" s="24"/>
      <c r="BS53" s="1031" t="s">
        <v>1748</v>
      </c>
      <c r="BX53" s="1064"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94" t="s">
        <v>1749</v>
      </c>
      <c r="D54" s="1053" t="s">
        <v>1750</v>
      </c>
      <c r="E54" s="676">
        <v>17.100000000000001</v>
      </c>
      <c r="F54" s="779" cm="1">
        <f t="array" aca="1" ref="F54" ca="1">OFFSET(G54,-1,-1)</f>
        <v>0</v>
      </c>
      <c r="M54" s="1077"/>
      <c r="N54" s="1077" cm="1">
        <f t="array" aca="1" ref="N54" ca="1">OFFSET(M54,-1,1)</f>
        <v>0</v>
      </c>
      <c r="O54" s="1078"/>
      <c r="P54" s="1078"/>
      <c r="Q54" s="1078"/>
      <c r="R54" s="1078"/>
      <c r="T54" s="687" t="b" cm="1">
        <f t="array" aca="1" ref="T54" ca="1">T53</f>
        <v>0</v>
      </c>
      <c r="X54" s="1726"/>
      <c r="Z54" s="1726"/>
      <c r="AB54" s="111" t="s">
        <v>463</v>
      </c>
      <c r="AC54" s="513" t="s">
        <v>1751</v>
      </c>
      <c r="AD54" s="549" t="s">
        <v>1077</v>
      </c>
      <c r="AE54" s="515">
        <f>SUM(AE55:AE57)</f>
        <v>0</v>
      </c>
      <c r="AF54" s="515">
        <f>SUM(AF55:AF57)</f>
        <v>0</v>
      </c>
      <c r="AG54" s="550">
        <f>SUM(AG55:AG57)</f>
        <v>0</v>
      </c>
      <c r="AH54" s="256">
        <f t="shared" si="2"/>
        <v>0</v>
      </c>
      <c r="AI54" s="551">
        <f t="shared" ref="AI54:BC54" si="16">SUM(AI55:AI57)</f>
        <v>0</v>
      </c>
      <c r="AJ54" s="515">
        <f t="shared" si="16"/>
        <v>0</v>
      </c>
      <c r="AK54" s="515">
        <f t="shared" si="16"/>
        <v>0</v>
      </c>
      <c r="AL54" s="515">
        <f t="shared" si="16"/>
        <v>0</v>
      </c>
      <c r="AM54" s="515">
        <f t="shared" si="16"/>
        <v>0</v>
      </c>
      <c r="AN54" s="515">
        <f t="shared" si="16"/>
        <v>0</v>
      </c>
      <c r="AO54" s="515">
        <f t="shared" si="16"/>
        <v>0</v>
      </c>
      <c r="AP54" s="515">
        <f t="shared" si="16"/>
        <v>0</v>
      </c>
      <c r="AQ54" s="515">
        <f t="shared" si="16"/>
        <v>0</v>
      </c>
      <c r="AR54" s="515">
        <f t="shared" si="16"/>
        <v>0</v>
      </c>
      <c r="AS54" s="515">
        <f t="shared" si="16"/>
        <v>0</v>
      </c>
      <c r="AT54" s="515">
        <f t="shared" si="16"/>
        <v>0</v>
      </c>
      <c r="AU54" s="515">
        <f t="shared" si="16"/>
        <v>0</v>
      </c>
      <c r="AV54" s="515">
        <f t="shared" si="16"/>
        <v>0</v>
      </c>
      <c r="AW54" s="515">
        <f t="shared" si="16"/>
        <v>0</v>
      </c>
      <c r="AX54" s="515">
        <f t="shared" si="16"/>
        <v>0</v>
      </c>
      <c r="AY54" s="515">
        <f t="shared" si="16"/>
        <v>0</v>
      </c>
      <c r="AZ54" s="515">
        <f t="shared" si="16"/>
        <v>0</v>
      </c>
      <c r="BA54" s="515">
        <f t="shared" si="16"/>
        <v>0</v>
      </c>
      <c r="BB54" s="515">
        <f t="shared" si="16"/>
        <v>0</v>
      </c>
      <c r="BC54" s="515">
        <f t="shared" si="16"/>
        <v>0</v>
      </c>
      <c r="BD54" s="256">
        <f t="shared" si="3"/>
        <v>0</v>
      </c>
      <c r="BE54" s="256">
        <f t="shared" si="4"/>
        <v>0</v>
      </c>
      <c r="BF54" s="256">
        <f t="shared" si="5"/>
        <v>0</v>
      </c>
      <c r="BG54" s="256">
        <f t="shared" si="6"/>
        <v>0</v>
      </c>
      <c r="BH54" s="256">
        <f t="shared" si="7"/>
        <v>0</v>
      </c>
      <c r="BI54" s="256">
        <f t="shared" si="8"/>
        <v>0</v>
      </c>
      <c r="BJ54" s="256">
        <f t="shared" si="9"/>
        <v>0</v>
      </c>
      <c r="BK54" s="256">
        <f t="shared" si="10"/>
        <v>0</v>
      </c>
      <c r="BL54" s="256">
        <f t="shared" si="11"/>
        <v>0</v>
      </c>
      <c r="BM54" s="256">
        <f t="shared" si="12"/>
        <v>0</v>
      </c>
      <c r="BN54" s="34"/>
      <c r="BO54" s="34"/>
      <c r="BP54" s="34"/>
      <c r="BS54" s="1031" t="s">
        <v>1326</v>
      </c>
      <c r="BX54" s="1064"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43" customFormat="1" ht="17.25" hidden="1" customHeight="1">
      <c r="C55" s="1094"/>
      <c r="D55" s="1053"/>
      <c r="E55" s="676">
        <v>0</v>
      </c>
      <c r="F55" s="779" cm="1">
        <f t="array" aca="1" ref="F55" ca="1">OFFSET(G55,-1,-1)</f>
        <v>0</v>
      </c>
      <c r="M55" s="1077"/>
      <c r="N55" s="1077" cm="1">
        <f t="array" aca="1" ref="N55" ca="1">OFFSET(M55,-1,1)</f>
        <v>0</v>
      </c>
      <c r="O55" s="1080"/>
      <c r="P55" s="1080"/>
      <c r="Q55" s="1080"/>
      <c r="R55" s="1080"/>
      <c r="T55" s="687" t="b" cm="1">
        <f t="array" aca="1" ref="T55" ca="1">T54</f>
        <v>0</v>
      </c>
      <c r="X55" s="1837"/>
      <c r="Z55" s="1837"/>
      <c r="AB55" s="547"/>
      <c r="AC55" s="548"/>
      <c r="AD55" s="487"/>
      <c r="AE55" s="516"/>
      <c r="AF55" s="516"/>
      <c r="AG55" s="85"/>
      <c r="AH55" s="516"/>
      <c r="AI55" s="861"/>
      <c r="AJ55" s="516"/>
      <c r="AK55" s="516"/>
      <c r="AL55" s="516"/>
      <c r="AM55" s="516"/>
      <c r="AN55" s="516"/>
      <c r="AO55" s="516"/>
      <c r="AP55" s="516"/>
      <c r="AQ55" s="516"/>
      <c r="AR55" s="516"/>
      <c r="AS55" s="516"/>
      <c r="AT55" s="516"/>
      <c r="AU55" s="516"/>
      <c r="AV55" s="516"/>
      <c r="AW55" s="516"/>
      <c r="AX55" s="516"/>
      <c r="AY55" s="516"/>
      <c r="AZ55" s="516"/>
      <c r="BA55" s="516"/>
      <c r="BB55" s="516"/>
      <c r="BC55" s="516"/>
      <c r="BD55" s="544"/>
      <c r="BE55" s="544"/>
      <c r="BF55" s="544"/>
      <c r="BG55" s="544"/>
      <c r="BH55" s="544"/>
      <c r="BI55" s="544"/>
      <c r="BJ55" s="544"/>
      <c r="BK55" s="544"/>
      <c r="BL55" s="544"/>
      <c r="BM55" s="544"/>
      <c r="BN55" s="719"/>
      <c r="BO55" s="719"/>
      <c r="BP55" s="719"/>
      <c r="BS55" s="1031" t="str">
        <f>IF(AND(ISNUMBER(VALUE(TRIM(SUBSTITUTE(AB55,".","")))),TRIM(SUBSTITUTE(AB55,".",""))&lt;&gt;""),"P"&amp;SUBSTITUTE(AB55,".",""),"")</f>
        <v/>
      </c>
      <c r="BT55" s="1044"/>
      <c r="BU55" s="1044"/>
      <c r="BV55" s="1045"/>
      <c r="BW55" s="1045"/>
      <c r="BX55" s="1064"/>
    </row>
    <row r="56" spans="3:76" ht="16.7" hidden="1" customHeight="1">
      <c r="C56" s="1094" t="s">
        <v>1749</v>
      </c>
      <c r="D56" s="1053" t="s">
        <v>1750</v>
      </c>
      <c r="E56" s="676">
        <v>17.100000000000001</v>
      </c>
      <c r="F56" s="779" cm="1">
        <f t="array" aca="1" ref="F56" ca="1">OFFSET(G56,-1,-1)</f>
        <v>0</v>
      </c>
      <c r="M56" s="1081" cm="1">
        <f t="array" ref="M56">AC56</f>
        <v>0</v>
      </c>
      <c r="N56" s="1077" cm="1">
        <f t="array" aca="1" ref="N56" ca="1">OFFSET(M56,-1,1)</f>
        <v>0</v>
      </c>
      <c r="O56" s="1078"/>
      <c r="P56" s="1078"/>
      <c r="Q56" s="1078"/>
      <c r="R56" s="1078"/>
      <c r="T56" s="687" t="b">
        <f ca="1">AND(F56&gt;0,Y56&gt;0)</f>
        <v>0</v>
      </c>
      <c r="W56" s="126" t="s">
        <v>236</v>
      </c>
      <c r="X56" s="1726"/>
      <c r="Y56" s="126">
        <v>0</v>
      </c>
      <c r="Z56" s="1726"/>
      <c r="AA56" s="69" t="s">
        <v>218</v>
      </c>
      <c r="AB56" s="539" t="str">
        <f>"11."&amp;Y56</f>
        <v>11.0</v>
      </c>
      <c r="AC56" s="86"/>
      <c r="AD56" s="549" t="s">
        <v>1077</v>
      </c>
      <c r="AE56" s="77"/>
      <c r="AF56" s="77"/>
      <c r="AG56" s="87"/>
      <c r="AH56" s="256">
        <f>AG56-AF56</f>
        <v>0</v>
      </c>
      <c r="AI56" s="88"/>
      <c r="AJ56" s="517"/>
      <c r="AK56" s="517"/>
      <c r="AL56" s="517"/>
      <c r="AM56" s="517"/>
      <c r="AN56" s="517"/>
      <c r="AO56" s="77"/>
      <c r="AP56" s="77"/>
      <c r="AQ56" s="77"/>
      <c r="AR56" s="77"/>
      <c r="AS56" s="77"/>
      <c r="AT56" s="517"/>
      <c r="AU56" s="517"/>
      <c r="AV56" s="517"/>
      <c r="AW56" s="517"/>
      <c r="AX56" s="517"/>
      <c r="AY56" s="77"/>
      <c r="AZ56" s="77"/>
      <c r="BA56" s="77"/>
      <c r="BB56" s="77"/>
      <c r="BC56" s="77"/>
      <c r="BD56" s="256">
        <f>IF(AI56=0,0,(AT56-AI56)/AI56*100)</f>
        <v>0</v>
      </c>
      <c r="BE56" s="256">
        <f t="shared" ref="BE56:BM56" si="17">IF(AT56=0,0,(AU56-AT56)/AT56*100)</f>
        <v>0</v>
      </c>
      <c r="BF56" s="256">
        <f t="shared" si="17"/>
        <v>0</v>
      </c>
      <c r="BG56" s="256">
        <f t="shared" si="17"/>
        <v>0</v>
      </c>
      <c r="BH56" s="256">
        <f t="shared" si="17"/>
        <v>0</v>
      </c>
      <c r="BI56" s="256">
        <f t="shared" si="17"/>
        <v>0</v>
      </c>
      <c r="BJ56" s="256">
        <f t="shared" si="17"/>
        <v>0</v>
      </c>
      <c r="BK56" s="256">
        <f t="shared" si="17"/>
        <v>0</v>
      </c>
      <c r="BL56" s="256">
        <f t="shared" si="17"/>
        <v>0</v>
      </c>
      <c r="BM56" s="256">
        <f t="shared" si="17"/>
        <v>0</v>
      </c>
      <c r="BN56" s="34"/>
      <c r="BO56" s="34"/>
      <c r="BP56" s="34"/>
      <c r="BS56" s="1031" t="s">
        <v>1326</v>
      </c>
      <c r="BT56" s="1031" t="s">
        <v>1254</v>
      </c>
      <c r="BU56" s="1041" cm="1">
        <f t="array" ref="BU56">AC56</f>
        <v>0</v>
      </c>
      <c r="BW56" s="1032" t="b">
        <v>1</v>
      </c>
      <c r="BX56" s="1064"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43" customFormat="1" ht="16.7" hidden="1" customHeight="1">
      <c r="C57" s="1094"/>
      <c r="D57" s="1053"/>
      <c r="E57" s="676">
        <v>17.100000000000001</v>
      </c>
      <c r="F57" s="779" cm="1">
        <f t="array" aca="1" ref="F57" ca="1">OFFSET(G57,-1,-1)</f>
        <v>0</v>
      </c>
      <c r="M57" s="1077"/>
      <c r="N57" s="1077" cm="1">
        <f t="array" aca="1" ref="N57" ca="1">OFFSET(M57,-1,1)</f>
        <v>0</v>
      </c>
      <c r="O57" s="1080"/>
      <c r="P57" s="1080"/>
      <c r="Q57" s="1080"/>
      <c r="R57" s="1080"/>
      <c r="T57" s="687" t="b">
        <f ca="1">F57&gt;0</f>
        <v>0</v>
      </c>
      <c r="W57" s="318" t="s">
        <v>1752</v>
      </c>
      <c r="X57" s="1837"/>
      <c r="Z57" s="1837"/>
      <c r="AB57" s="249"/>
      <c r="AC57" s="616" t="s">
        <v>238</v>
      </c>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912"/>
      <c r="BO57" s="912"/>
      <c r="BP57" s="909"/>
      <c r="BS57" s="1031" t="str">
        <f>IF(AND(ISNUMBER(VALUE(TRIM(SUBSTITUTE(AB57,".","")))),TRIM(SUBSTITUTE(AB57,".",""))&lt;&gt;""),"P"&amp;SUBSTITUTE(AB57,".",""),"")</f>
        <v/>
      </c>
      <c r="BT57" s="1044"/>
      <c r="BU57" s="1044"/>
      <c r="BV57" s="1045" t="s">
        <v>1254</v>
      </c>
      <c r="BW57" s="1045"/>
      <c r="BX57" s="1064"/>
    </row>
    <row r="58" spans="3:76" ht="14.65" hidden="1" customHeight="1">
      <c r="C58" s="1094" t="s">
        <v>1753</v>
      </c>
      <c r="D58" s="1053" t="s">
        <v>1754</v>
      </c>
      <c r="E58" s="676">
        <v>15</v>
      </c>
      <c r="F58" s="779" cm="1">
        <f t="array" aca="1" ref="F58" ca="1">OFFSET(G58,-1,-1)</f>
        <v>0</v>
      </c>
      <c r="M58" s="1077"/>
      <c r="N58" s="1077" cm="1">
        <f t="array" aca="1" ref="N58" ca="1">OFFSET(M58,-1,1)</f>
        <v>0</v>
      </c>
      <c r="O58" s="1078"/>
      <c r="P58" s="1078"/>
      <c r="Q58" s="1078"/>
      <c r="R58" s="1078"/>
      <c r="T58" s="687" t="b" cm="1">
        <f t="array" aca="1" ref="T58" ca="1">T57</f>
        <v>0</v>
      </c>
      <c r="X58" s="1726"/>
      <c r="Z58" s="1726"/>
      <c r="AB58" s="545" t="s">
        <v>466</v>
      </c>
      <c r="AC58" s="546" t="s">
        <v>1755</v>
      </c>
      <c r="AD58" s="554" t="s">
        <v>1077</v>
      </c>
      <c r="AE58" s="515">
        <f ca="1">AE28+AE29+AE30+IF(method_reg="Метод индексации",AE43+AE47,AE31+AE34)+AE49+AE50+AE51+AE52+AE53+AE54</f>
        <v>0</v>
      </c>
      <c r="AF58" s="515">
        <f ca="1">AF28+AF29+AF30+IF(method_reg="Метод индексации",AF43+AF47,AF31+AF34)+AF49+AF50+AF51+AF52+AF53+AF54</f>
        <v>0</v>
      </c>
      <c r="AG58" s="515">
        <f ca="1">AG28+AG29+AG30+IF(method_reg="Метод индексации",AG43+AG47,AG31+AG34)+AG49+AG50+AG51+AG52+AG53+AG54</f>
        <v>0</v>
      </c>
      <c r="AH58" s="256">
        <f ca="1">AG58-AF58</f>
        <v>0</v>
      </c>
      <c r="AI58" s="515">
        <f t="shared" ref="AI58:BC58" ca="1" si="18">AI28+AI29+AI30+IF(method_reg="Метод индексации",AI43+AI47,AI31+AI34)+AI49+AI50+AI51+AI52+AI53+AI54</f>
        <v>0</v>
      </c>
      <c r="AJ58" s="515">
        <f t="shared" ca="1" si="18"/>
        <v>0</v>
      </c>
      <c r="AK58" s="515">
        <f t="shared" ca="1" si="18"/>
        <v>0</v>
      </c>
      <c r="AL58" s="515">
        <f t="shared" ca="1" si="18"/>
        <v>0</v>
      </c>
      <c r="AM58" s="515">
        <f t="shared" ca="1" si="18"/>
        <v>0</v>
      </c>
      <c r="AN58" s="515">
        <f t="shared" ca="1" si="18"/>
        <v>0</v>
      </c>
      <c r="AO58" s="515">
        <f t="shared" ca="1" si="18"/>
        <v>0</v>
      </c>
      <c r="AP58" s="515">
        <f t="shared" ca="1" si="18"/>
        <v>0</v>
      </c>
      <c r="AQ58" s="515">
        <f t="shared" ca="1" si="18"/>
        <v>0</v>
      </c>
      <c r="AR58" s="515">
        <f t="shared" ca="1" si="18"/>
        <v>0</v>
      </c>
      <c r="AS58" s="515">
        <f t="shared" ca="1" si="18"/>
        <v>0</v>
      </c>
      <c r="AT58" s="515">
        <f t="shared" ca="1" si="18"/>
        <v>0</v>
      </c>
      <c r="AU58" s="515">
        <f t="shared" ca="1" si="18"/>
        <v>0</v>
      </c>
      <c r="AV58" s="515">
        <f t="shared" ca="1" si="18"/>
        <v>0</v>
      </c>
      <c r="AW58" s="515">
        <f t="shared" ca="1" si="18"/>
        <v>0</v>
      </c>
      <c r="AX58" s="515">
        <f t="shared" ca="1" si="18"/>
        <v>0</v>
      </c>
      <c r="AY58" s="515">
        <f t="shared" ca="1" si="18"/>
        <v>0</v>
      </c>
      <c r="AZ58" s="515">
        <f t="shared" ca="1" si="18"/>
        <v>0</v>
      </c>
      <c r="BA58" s="515">
        <f t="shared" ca="1" si="18"/>
        <v>0</v>
      </c>
      <c r="BB58" s="515">
        <f t="shared" ca="1" si="18"/>
        <v>0</v>
      </c>
      <c r="BC58" s="515">
        <f t="shared" ca="1" si="18"/>
        <v>0</v>
      </c>
      <c r="BD58" s="256">
        <f ca="1">IF(AI58=0,0,(AT58-AI58)/AI58*100)</f>
        <v>0</v>
      </c>
      <c r="BE58" s="256">
        <f t="shared" ref="BE58:BM62" ca="1" si="19">IF(AT58=0,0,(AU58-AT58)/AT58*100)</f>
        <v>0</v>
      </c>
      <c r="BF58" s="256">
        <f t="shared" ca="1" si="19"/>
        <v>0</v>
      </c>
      <c r="BG58" s="256">
        <f t="shared" ca="1" si="19"/>
        <v>0</v>
      </c>
      <c r="BH58" s="256">
        <f t="shared" ca="1" si="19"/>
        <v>0</v>
      </c>
      <c r="BI58" s="256">
        <f t="shared" ca="1" si="19"/>
        <v>0</v>
      </c>
      <c r="BJ58" s="256">
        <f t="shared" ca="1" si="19"/>
        <v>0</v>
      </c>
      <c r="BK58" s="256">
        <f t="shared" ca="1" si="19"/>
        <v>0</v>
      </c>
      <c r="BL58" s="256">
        <f t="shared" ca="1" si="19"/>
        <v>0</v>
      </c>
      <c r="BM58" s="256">
        <f t="shared" ca="1" si="19"/>
        <v>0</v>
      </c>
      <c r="BN58" s="35"/>
      <c r="BO58" s="35"/>
      <c r="BP58" s="35"/>
      <c r="BS58" s="1031" t="s">
        <v>1756</v>
      </c>
      <c r="BX58" s="1064"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23" t="s">
        <v>1757</v>
      </c>
      <c r="D59" s="1053" t="s">
        <v>1758</v>
      </c>
      <c r="E59" s="676">
        <v>50</v>
      </c>
      <c r="F59" s="779" cm="1">
        <f t="array" aca="1" ref="F59" ca="1">OFFSET(G59,-1,-1)</f>
        <v>0</v>
      </c>
      <c r="M59" s="1077"/>
      <c r="N59" s="1077" cm="1">
        <f t="array" aca="1" ref="N59" ca="1">OFFSET(M59,-1,1)</f>
        <v>0</v>
      </c>
      <c r="O59" s="1078"/>
      <c r="P59" s="1078"/>
      <c r="Q59" s="1078"/>
      <c r="R59" s="1078"/>
      <c r="T59" s="687" t="b" cm="1">
        <f t="array" aca="1" ref="T59" ca="1">T58</f>
        <v>0</v>
      </c>
      <c r="X59" s="1726"/>
      <c r="Z59" s="1726"/>
      <c r="AB59" s="540" t="s">
        <v>469</v>
      </c>
      <c r="AC59" s="903" t="s">
        <v>1757</v>
      </c>
      <c r="AD59" s="549" t="s">
        <v>1077</v>
      </c>
      <c r="AE59" s="89"/>
      <c r="AF59" s="89"/>
      <c r="AG59" s="89"/>
      <c r="AH59" s="256">
        <f>AG59-AF59</f>
        <v>0</v>
      </c>
      <c r="AI59" s="89"/>
      <c r="AJ59" s="558"/>
      <c r="AK59" s="558"/>
      <c r="AL59" s="558"/>
      <c r="AM59" s="558"/>
      <c r="AN59" s="558"/>
      <c r="AO59" s="89"/>
      <c r="AP59" s="89"/>
      <c r="AQ59" s="89"/>
      <c r="AR59" s="89"/>
      <c r="AS59" s="89"/>
      <c r="AT59" s="558"/>
      <c r="AU59" s="558"/>
      <c r="AV59" s="558"/>
      <c r="AW59" s="558"/>
      <c r="AX59" s="558"/>
      <c r="AY59" s="89"/>
      <c r="AZ59" s="89"/>
      <c r="BA59" s="89"/>
      <c r="BB59" s="89"/>
      <c r="BC59" s="89"/>
      <c r="BD59" s="256">
        <f>IF(AI59=0,0,(AT59-AI59)/AI59*100)</f>
        <v>0</v>
      </c>
      <c r="BE59" s="256">
        <f t="shared" si="19"/>
        <v>0</v>
      </c>
      <c r="BF59" s="256">
        <f t="shared" si="19"/>
        <v>0</v>
      </c>
      <c r="BG59" s="256">
        <f t="shared" si="19"/>
        <v>0</v>
      </c>
      <c r="BH59" s="256">
        <f t="shared" si="19"/>
        <v>0</v>
      </c>
      <c r="BI59" s="256">
        <f t="shared" si="19"/>
        <v>0</v>
      </c>
      <c r="BJ59" s="256">
        <f t="shared" si="19"/>
        <v>0</v>
      </c>
      <c r="BK59" s="256">
        <f t="shared" si="19"/>
        <v>0</v>
      </c>
      <c r="BL59" s="256">
        <f t="shared" si="19"/>
        <v>0</v>
      </c>
      <c r="BM59" s="256">
        <f t="shared" si="19"/>
        <v>0</v>
      </c>
      <c r="BN59" s="35"/>
      <c r="BO59" s="35"/>
      <c r="BP59" s="35"/>
      <c r="BS59" s="1031" t="s">
        <v>1759</v>
      </c>
      <c r="BX59" s="1064"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94" t="s">
        <v>1760</v>
      </c>
      <c r="D60" s="1053" t="s">
        <v>1761</v>
      </c>
      <c r="E60" s="676">
        <v>15</v>
      </c>
      <c r="F60" s="779" cm="1">
        <f t="array" aca="1" ref="F60" ca="1">OFFSET(G60,-1,-1)</f>
        <v>0</v>
      </c>
      <c r="G60" s="143" t="s">
        <v>1762</v>
      </c>
      <c r="M60" s="1077"/>
      <c r="N60" s="1077" cm="1">
        <f t="array" aca="1" ref="N60" ca="1">OFFSET(M60,-1,1)</f>
        <v>0</v>
      </c>
      <c r="O60" s="1082"/>
      <c r="P60" s="1078"/>
      <c r="Q60" s="1078"/>
      <c r="R60" s="1082"/>
      <c r="T60" s="687" t="b" cm="1">
        <f t="array" aca="1" ref="T60" ca="1">T59</f>
        <v>0</v>
      </c>
      <c r="X60" s="1726"/>
      <c r="Z60" s="1726"/>
      <c r="AB60" s="545" t="s">
        <v>1763</v>
      </c>
      <c r="AC60" s="895" t="s">
        <v>1764</v>
      </c>
      <c r="AD60" s="549" t="s">
        <v>1077</v>
      </c>
      <c r="AE60" s="579">
        <f ca="1">AE58+AE59</f>
        <v>0</v>
      </c>
      <c r="AF60" s="579">
        <f ca="1">AF58+AF59</f>
        <v>0</v>
      </c>
      <c r="AG60" s="579">
        <f ca="1">AG58+AG59</f>
        <v>0</v>
      </c>
      <c r="AH60" s="256">
        <f ca="1">AG60-AF60</f>
        <v>0</v>
      </c>
      <c r="AI60" s="579">
        <f t="shared" ref="AI60:BC60" ca="1" si="20">AI58+AI59</f>
        <v>0</v>
      </c>
      <c r="AJ60" s="579">
        <f t="shared" ca="1" si="20"/>
        <v>0</v>
      </c>
      <c r="AK60" s="579">
        <f t="shared" ca="1" si="20"/>
        <v>0</v>
      </c>
      <c r="AL60" s="579">
        <f t="shared" ca="1" si="20"/>
        <v>0</v>
      </c>
      <c r="AM60" s="579">
        <f t="shared" ca="1" si="20"/>
        <v>0</v>
      </c>
      <c r="AN60" s="579">
        <f t="shared" ca="1" si="20"/>
        <v>0</v>
      </c>
      <c r="AO60" s="579">
        <f t="shared" ca="1" si="20"/>
        <v>0</v>
      </c>
      <c r="AP60" s="579">
        <f t="shared" ca="1" si="20"/>
        <v>0</v>
      </c>
      <c r="AQ60" s="579">
        <f t="shared" ca="1" si="20"/>
        <v>0</v>
      </c>
      <c r="AR60" s="579">
        <f t="shared" ca="1" si="20"/>
        <v>0</v>
      </c>
      <c r="AS60" s="579">
        <f t="shared" ca="1" si="20"/>
        <v>0</v>
      </c>
      <c r="AT60" s="579">
        <f t="shared" ca="1" si="20"/>
        <v>0</v>
      </c>
      <c r="AU60" s="579">
        <f t="shared" ca="1" si="20"/>
        <v>0</v>
      </c>
      <c r="AV60" s="579">
        <f t="shared" ca="1" si="20"/>
        <v>0</v>
      </c>
      <c r="AW60" s="579">
        <f t="shared" ca="1" si="20"/>
        <v>0</v>
      </c>
      <c r="AX60" s="579">
        <f t="shared" ca="1" si="20"/>
        <v>0</v>
      </c>
      <c r="AY60" s="579">
        <f t="shared" ca="1" si="20"/>
        <v>0</v>
      </c>
      <c r="AZ60" s="579">
        <f t="shared" ca="1" si="20"/>
        <v>0</v>
      </c>
      <c r="BA60" s="579">
        <f t="shared" ca="1" si="20"/>
        <v>0</v>
      </c>
      <c r="BB60" s="579">
        <f t="shared" ca="1" si="20"/>
        <v>0</v>
      </c>
      <c r="BC60" s="579">
        <f t="shared" ca="1" si="20"/>
        <v>0</v>
      </c>
      <c r="BD60" s="256">
        <f ca="1">IF(AI60=0,0,(AT60-AI60)/AI60*100)</f>
        <v>0</v>
      </c>
      <c r="BE60" s="256">
        <f t="shared" ca="1" si="19"/>
        <v>0</v>
      </c>
      <c r="BF60" s="256">
        <f t="shared" ca="1" si="19"/>
        <v>0</v>
      </c>
      <c r="BG60" s="256">
        <f t="shared" ca="1" si="19"/>
        <v>0</v>
      </c>
      <c r="BH60" s="256">
        <f t="shared" ca="1" si="19"/>
        <v>0</v>
      </c>
      <c r="BI60" s="256">
        <f t="shared" ca="1" si="19"/>
        <v>0</v>
      </c>
      <c r="BJ60" s="256">
        <f t="shared" ca="1" si="19"/>
        <v>0</v>
      </c>
      <c r="BK60" s="256">
        <f t="shared" ca="1" si="19"/>
        <v>0</v>
      </c>
      <c r="BL60" s="256">
        <f t="shared" ca="1" si="19"/>
        <v>0</v>
      </c>
      <c r="BM60" s="256">
        <f t="shared" ca="1" si="19"/>
        <v>0</v>
      </c>
      <c r="BN60" s="35"/>
      <c r="BO60" s="35"/>
      <c r="BP60" s="35"/>
      <c r="BS60" s="1031" t="s">
        <v>1765</v>
      </c>
      <c r="BX60" s="1064"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23" t="s">
        <v>1766</v>
      </c>
      <c r="D61" s="1053" t="s">
        <v>1767</v>
      </c>
      <c r="E61" s="676">
        <v>15</v>
      </c>
      <c r="F61" s="779" cm="1">
        <f t="array" aca="1" ref="F61" ca="1">OFFSET(G61,-1,-1)</f>
        <v>0</v>
      </c>
      <c r="G61" s="143" t="s">
        <v>1020</v>
      </c>
      <c r="L61" s="143" t="s">
        <v>1768</v>
      </c>
      <c r="M61" s="1077"/>
      <c r="N61" s="1077" cm="1">
        <f t="array" aca="1" ref="N61" ca="1">OFFSET(M61,-1,1)</f>
        <v>0</v>
      </c>
      <c r="O61" s="1082"/>
      <c r="P61" s="1078"/>
      <c r="Q61" s="1078"/>
      <c r="R61" s="1082"/>
      <c r="T61" s="687" t="b">
        <f ca="1">AND(F61&gt;0,G27="двухставочный")</f>
        <v>0</v>
      </c>
      <c r="X61" s="1726"/>
      <c r="Z61" s="1726"/>
      <c r="AB61" s="553" t="str">
        <f>AB60&amp;".1"</f>
        <v>14.1</v>
      </c>
      <c r="AC61" s="519" t="s">
        <v>1769</v>
      </c>
      <c r="AD61" s="258" t="s">
        <v>839</v>
      </c>
      <c r="AE61" s="77">
        <f ca="1">SUMIFS('Ресурсы (5.4)'!AE$26:AE$57,'Ресурсы (5.4)'!$F$26:$F$57,$F61,'Ресурсы (5.4)'!$AB$26:$AB$57,"6.1")</f>
        <v>0</v>
      </c>
      <c r="AF61" s="77">
        <f ca="1">SUMIFS('Ресурсы (5.4)'!AF$26:AF$57,'Ресурсы (5.4)'!$F$26:$F$57,$F61,'Ресурсы (5.4)'!$AB$26:$AB$57,"6.1")</f>
        <v>0</v>
      </c>
      <c r="AG61" s="77">
        <f ca="1">SUMIFS('Ресурсы (5.4)'!AG$26:AG$57,'Ресурсы (5.4)'!$F$26:$F$57,$F61,'Ресурсы (5.4)'!$AB$26:$AB$57,"6.1")</f>
        <v>0</v>
      </c>
      <c r="AH61" s="256">
        <f ca="1">AG61-AF61</f>
        <v>0</v>
      </c>
      <c r="AI61" s="77">
        <f ca="1">SUMIFS('Ресурсы (5.4)'!AI$26:AI$57,'Ресурсы (5.4)'!$F$26:$F$57,$F61,'Ресурсы (5.4)'!$AB$26:$AB$57,"6.1")</f>
        <v>0</v>
      </c>
      <c r="AJ61" s="517">
        <f ca="1">SUMIFS('Ресурсы (5.4)'!AJ$26:AJ$57,'Ресурсы (5.4)'!$F$26:$F$57,$F61,'Ресурсы (5.4)'!$AB$26:$AB$57,"6.1")</f>
        <v>0</v>
      </c>
      <c r="AK61" s="517">
        <f ca="1">SUMIFS('Ресурсы (5.4)'!AK$26:AK$57,'Ресурсы (5.4)'!$F$26:$F$57,$F61,'Ресурсы (5.4)'!$AB$26:$AB$57,"6.1")</f>
        <v>0</v>
      </c>
      <c r="AL61" s="517">
        <f ca="1">SUMIFS('Ресурсы (5.4)'!AL$26:AL$57,'Ресурсы (5.4)'!$F$26:$F$57,$F61,'Ресурсы (5.4)'!$AB$26:$AB$57,"6.1")</f>
        <v>0</v>
      </c>
      <c r="AM61" s="517">
        <f ca="1">SUMIFS('Ресурсы (5.4)'!AM$26:AM$57,'Ресурсы (5.4)'!$F$26:$F$57,$F61,'Ресурсы (5.4)'!$AB$26:$AB$57,"6.1")</f>
        <v>0</v>
      </c>
      <c r="AN61" s="517">
        <f ca="1">SUMIFS('Ресурсы (5.4)'!AN$26:AN$57,'Ресурсы (5.4)'!$F$26:$F$57,$F61,'Ресурсы (5.4)'!$AB$26:$AB$57,"6.1")</f>
        <v>0</v>
      </c>
      <c r="AO61" s="77">
        <f ca="1">SUMIFS('Ресурсы (5.4)'!AO$26:AO$57,'Ресурсы (5.4)'!$F$26:$F$57,$F61,'Ресурсы (5.4)'!$AB$26:$AB$57,"6.1")</f>
        <v>0</v>
      </c>
      <c r="AP61" s="77">
        <f ca="1">SUMIFS('Ресурсы (5.4)'!AP$26:AP$57,'Ресурсы (5.4)'!$F$26:$F$57,$F61,'Ресурсы (5.4)'!$AB$26:$AB$57,"6.1")</f>
        <v>0</v>
      </c>
      <c r="AQ61" s="77">
        <f ca="1">SUMIFS('Ресурсы (5.4)'!AQ$26:AQ$57,'Ресурсы (5.4)'!$F$26:$F$57,$F61,'Ресурсы (5.4)'!$AB$26:$AB$57,"6.1")</f>
        <v>0</v>
      </c>
      <c r="AR61" s="77">
        <f ca="1">SUMIFS('Ресурсы (5.4)'!AR$26:AR$57,'Ресурсы (5.4)'!$F$26:$F$57,$F61,'Ресурсы (5.4)'!$AB$26:$AB$57,"6.1")</f>
        <v>0</v>
      </c>
      <c r="AS61" s="77">
        <f ca="1">SUMIFS('Ресурсы (5.4)'!AS$26:AS$57,'Ресурсы (5.4)'!$F$26:$F$57,$F61,'Ресурсы (5.4)'!$AB$26:$AB$57,"6.1")</f>
        <v>0</v>
      </c>
      <c r="AT61" s="517">
        <f ca="1">SUMIFS('Ресурсы (5.4)'!AT$26:AT$57,'Ресурсы (5.4)'!$F$26:$F$57,$F61,'Ресурсы (5.4)'!$AB$26:$AB$57,"6.1")</f>
        <v>0</v>
      </c>
      <c r="AU61" s="517">
        <f ca="1">SUMIFS('Ресурсы (5.4)'!AU$26:AU$57,'Ресурсы (5.4)'!$F$26:$F$57,$F61,'Ресурсы (5.4)'!$AB$26:$AB$57,"6.1")</f>
        <v>0</v>
      </c>
      <c r="AV61" s="517">
        <f ca="1">SUMIFS('Ресурсы (5.4)'!AV$26:AV$57,'Ресурсы (5.4)'!$F$26:$F$57,$F61,'Ресурсы (5.4)'!$AB$26:$AB$57,"6.1")</f>
        <v>0</v>
      </c>
      <c r="AW61" s="517">
        <f ca="1">SUMIFS('Ресурсы (5.4)'!AW$26:AW$57,'Ресурсы (5.4)'!$F$26:$F$57,$F61,'Ресурсы (5.4)'!$AB$26:$AB$57,"6.1")</f>
        <v>0</v>
      </c>
      <c r="AX61" s="517">
        <f ca="1">SUMIFS('Ресурсы (5.4)'!AX$26:AX$57,'Ресурсы (5.4)'!$F$26:$F$57,$F61,'Ресурсы (5.4)'!$AB$26:$AB$57,"6.1")</f>
        <v>0</v>
      </c>
      <c r="AY61" s="77">
        <f ca="1">SUMIFS('Ресурсы (5.4)'!AY$26:AY$57,'Ресурсы (5.4)'!$F$26:$F$57,$F61,'Ресурсы (5.4)'!$AB$26:$AB$57,"6.1")</f>
        <v>0</v>
      </c>
      <c r="AZ61" s="77">
        <f ca="1">SUMIFS('Ресурсы (5.4)'!AZ$26:AZ$57,'Ресурсы (5.4)'!$F$26:$F$57,$F61,'Ресурсы (5.4)'!$AB$26:$AB$57,"6.1")</f>
        <v>0</v>
      </c>
      <c r="BA61" s="77">
        <f ca="1">SUMIFS('Ресурсы (5.4)'!BA$26:BA$57,'Ресурсы (5.4)'!$F$26:$F$57,$F61,'Ресурсы (5.4)'!$AB$26:$AB$57,"6.1")</f>
        <v>0</v>
      </c>
      <c r="BB61" s="77">
        <f ca="1">SUMIFS('Ресурсы (5.4)'!BB$26:BB$57,'Ресурсы (5.4)'!$F$26:$F$57,$F61,'Ресурсы (5.4)'!$AB$26:$AB$57,"6.1")</f>
        <v>0</v>
      </c>
      <c r="BC61" s="77">
        <f ca="1">SUMIFS('Ресурсы (5.4)'!BC$26:BC$57,'Ресурсы (5.4)'!$F$26:$F$57,$F61,'Ресурсы (5.4)'!$AB$26:$AB$57,"6.1")</f>
        <v>0</v>
      </c>
      <c r="BD61" s="256">
        <f ca="1">IF(AI61=0,0,(AT61-AI61)/AI61*100)</f>
        <v>0</v>
      </c>
      <c r="BE61" s="256">
        <f t="shared" ca="1" si="19"/>
        <v>0</v>
      </c>
      <c r="BF61" s="256">
        <f t="shared" ca="1" si="19"/>
        <v>0</v>
      </c>
      <c r="BG61" s="256">
        <f t="shared" ca="1" si="19"/>
        <v>0</v>
      </c>
      <c r="BH61" s="256">
        <f t="shared" ca="1" si="19"/>
        <v>0</v>
      </c>
      <c r="BI61" s="256">
        <f t="shared" ca="1" si="19"/>
        <v>0</v>
      </c>
      <c r="BJ61" s="256">
        <f t="shared" ca="1" si="19"/>
        <v>0</v>
      </c>
      <c r="BK61" s="256">
        <f t="shared" ca="1" si="19"/>
        <v>0</v>
      </c>
      <c r="BL61" s="256">
        <f t="shared" ca="1" si="19"/>
        <v>0</v>
      </c>
      <c r="BM61" s="256">
        <f t="shared" ca="1" si="19"/>
        <v>0</v>
      </c>
      <c r="BN61" s="28"/>
      <c r="BO61" s="28"/>
      <c r="BP61" s="28"/>
      <c r="BS61" s="1031" t="s">
        <v>1770</v>
      </c>
      <c r="BX61" s="1064"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23" t="s">
        <v>1771</v>
      </c>
      <c r="D62" s="1053" t="s">
        <v>1772</v>
      </c>
      <c r="E62" s="676">
        <v>15</v>
      </c>
      <c r="F62" s="779" cm="1">
        <f t="array" aca="1" ref="F62" ca="1">OFFSET(G62,-1,-1)</f>
        <v>0</v>
      </c>
      <c r="L62" s="143" t="s">
        <v>1768</v>
      </c>
      <c r="M62" s="1077"/>
      <c r="N62" s="1077" cm="1">
        <f t="array" aca="1" ref="N62" ca="1">OFFSET(M62,-1,1)</f>
        <v>0</v>
      </c>
      <c r="O62" s="1082"/>
      <c r="P62" s="1078"/>
      <c r="Q62" s="1078"/>
      <c r="R62" s="1082"/>
      <c r="T62" s="687" t="b" cm="1">
        <f t="array" aca="1" ref="T62" ca="1">T61</f>
        <v>0</v>
      </c>
      <c r="X62" s="1726"/>
      <c r="Z62" s="1726"/>
      <c r="AB62" s="553" t="str">
        <f>AB60&amp;".2"</f>
        <v>14.2</v>
      </c>
      <c r="AC62" s="519" t="s">
        <v>1771</v>
      </c>
      <c r="AD62" s="258" t="s">
        <v>839</v>
      </c>
      <c r="AE62" s="515">
        <f ca="1">AE60-AE61</f>
        <v>0</v>
      </c>
      <c r="AF62" s="515">
        <f ca="1">AF60-AF61</f>
        <v>0</v>
      </c>
      <c r="AG62" s="515">
        <f ca="1">AG60-AG61</f>
        <v>0</v>
      </c>
      <c r="AH62" s="256">
        <f ca="1">AG62-AF62</f>
        <v>0</v>
      </c>
      <c r="AI62" s="515">
        <f t="shared" ref="AI62:BC62" ca="1" si="21">AI60-AI61</f>
        <v>0</v>
      </c>
      <c r="AJ62" s="515">
        <f t="shared" ca="1" si="21"/>
        <v>0</v>
      </c>
      <c r="AK62" s="515">
        <f t="shared" ca="1" si="21"/>
        <v>0</v>
      </c>
      <c r="AL62" s="515">
        <f t="shared" ca="1" si="21"/>
        <v>0</v>
      </c>
      <c r="AM62" s="515">
        <f t="shared" ca="1" si="21"/>
        <v>0</v>
      </c>
      <c r="AN62" s="515">
        <f t="shared" ca="1" si="21"/>
        <v>0</v>
      </c>
      <c r="AO62" s="515">
        <f t="shared" ca="1" si="21"/>
        <v>0</v>
      </c>
      <c r="AP62" s="515">
        <f t="shared" ca="1" si="21"/>
        <v>0</v>
      </c>
      <c r="AQ62" s="515">
        <f t="shared" ca="1" si="21"/>
        <v>0</v>
      </c>
      <c r="AR62" s="515">
        <f t="shared" ca="1" si="21"/>
        <v>0</v>
      </c>
      <c r="AS62" s="515">
        <f t="shared" ca="1" si="21"/>
        <v>0</v>
      </c>
      <c r="AT62" s="515">
        <f t="shared" ca="1" si="21"/>
        <v>0</v>
      </c>
      <c r="AU62" s="515">
        <f t="shared" ca="1" si="21"/>
        <v>0</v>
      </c>
      <c r="AV62" s="515">
        <f t="shared" ca="1" si="21"/>
        <v>0</v>
      </c>
      <c r="AW62" s="515">
        <f t="shared" ca="1" si="21"/>
        <v>0</v>
      </c>
      <c r="AX62" s="515">
        <f t="shared" ca="1" si="21"/>
        <v>0</v>
      </c>
      <c r="AY62" s="515">
        <f t="shared" ca="1" si="21"/>
        <v>0</v>
      </c>
      <c r="AZ62" s="515">
        <f t="shared" ca="1" si="21"/>
        <v>0</v>
      </c>
      <c r="BA62" s="515">
        <f t="shared" ca="1" si="21"/>
        <v>0</v>
      </c>
      <c r="BB62" s="515">
        <f t="shared" ca="1" si="21"/>
        <v>0</v>
      </c>
      <c r="BC62" s="550">
        <f t="shared" ca="1" si="21"/>
        <v>0</v>
      </c>
      <c r="BD62" s="256">
        <f ca="1">IF(AI62=0,0,(AT62-AI62)/AI62*100)</f>
        <v>0</v>
      </c>
      <c r="BE62" s="256">
        <f t="shared" ca="1" si="19"/>
        <v>0</v>
      </c>
      <c r="BF62" s="256">
        <f t="shared" ca="1" si="19"/>
        <v>0</v>
      </c>
      <c r="BG62" s="256">
        <f t="shared" ca="1" si="19"/>
        <v>0</v>
      </c>
      <c r="BH62" s="256">
        <f t="shared" ca="1" si="19"/>
        <v>0</v>
      </c>
      <c r="BI62" s="256">
        <f t="shared" ca="1" si="19"/>
        <v>0</v>
      </c>
      <c r="BJ62" s="256">
        <f t="shared" ca="1" si="19"/>
        <v>0</v>
      </c>
      <c r="BK62" s="256">
        <f t="shared" ca="1" si="19"/>
        <v>0</v>
      </c>
      <c r="BL62" s="256">
        <f t="shared" ca="1" si="19"/>
        <v>0</v>
      </c>
      <c r="BM62" s="256">
        <f t="shared" ca="1" si="19"/>
        <v>0</v>
      </c>
      <c r="BN62" s="28"/>
      <c r="BO62" s="28"/>
      <c r="BP62" s="28"/>
      <c r="BS62" s="1031" t="s">
        <v>1773</v>
      </c>
      <c r="BX62" s="1064"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94" t="s">
        <v>1774</v>
      </c>
      <c r="D63" s="1053" t="s">
        <v>1775</v>
      </c>
      <c r="E63" s="676">
        <v>15</v>
      </c>
      <c r="F63" s="779" cm="1">
        <f t="array" aca="1" ref="F63" ca="1">OFFSET(G63,-1,-1)</f>
        <v>0</v>
      </c>
      <c r="M63" s="1077"/>
      <c r="N63" s="1077" cm="1">
        <f t="array" aca="1" ref="N63" ca="1">OFFSET(M63,-1,1)</f>
        <v>0</v>
      </c>
      <c r="O63" s="1078"/>
      <c r="P63" s="1078"/>
      <c r="Q63" s="1078"/>
      <c r="R63" s="1078"/>
      <c r="T63" s="687" t="b" cm="1">
        <f t="array" aca="1" ref="T63" ca="1">T60</f>
        <v>0</v>
      </c>
      <c r="X63" s="1726"/>
      <c r="Z63" s="1726"/>
      <c r="AB63" s="263" t="s">
        <v>1776</v>
      </c>
      <c r="AC63" s="259" t="s">
        <v>1777</v>
      </c>
      <c r="AD63" s="264" t="s">
        <v>634</v>
      </c>
      <c r="AE63" s="256">
        <f ca="1">IF($K27="передача тепловой энергии",SUMIFS('Баланс Тр'!AE$27:AE$50,'Баланс Тр'!$F$27:$F$50,$F63,'Баланс Тр'!$AB$27:$AB$50,"3"),SUMIFS('Баланс Пр'!AE$27:AE$233,'Баланс Пр'!$F$27:$F$233,$F63,'Баланс Пр'!$AB$27:$AB$233,"9.1"))</f>
        <v>0</v>
      </c>
      <c r="AF63" s="516"/>
      <c r="AG63" s="516"/>
      <c r="AH63" s="516"/>
      <c r="AI63" s="256">
        <f ca="1">IF($K27="передача тепловой энергии",SUMIFS('Баланс Тр'!AH$27:AH$50,'Баланс Тр'!$F$27:$F$50,$F63,'Баланс Тр'!$AB$27:$AB$50,"3"),SUMIFS('Баланс Пр'!AH$27:AH$233,'Баланс Пр'!$F$27:$F$233,$F63,'Баланс Пр'!$AB$27:$AB$233,"9.1"))</f>
        <v>0</v>
      </c>
      <c r="AJ63" s="256">
        <f ca="1">IF($K27="передача тепловой энергии",SUMIFS('Баланс Тр'!AI$27:AI$50,'Баланс Тр'!$F$27:$F$50,$F63,'Баланс Тр'!$AB$27:$AB$50,"3"),SUMIFS('Баланс Пр'!AI$27:AI$233,'Баланс Пр'!$F$27:$F$233,$F63,'Баланс Пр'!$AB$27:$AB$233,"9.1"))</f>
        <v>0</v>
      </c>
      <c r="AK63" s="256">
        <f ca="1">IF($K27="передача тепловой энергии",SUMIFS('Баланс Тр'!AJ$27:AJ$50,'Баланс Тр'!$F$27:$F$50,$F63,'Баланс Тр'!$AB$27:$AB$50,"3"),SUMIFS('Баланс Пр'!AJ$27:AJ$233,'Баланс Пр'!$F$27:$F$233,$F63,'Баланс Пр'!$AB$27:$AB$233,"9.1"))</f>
        <v>0</v>
      </c>
      <c r="AL63" s="256">
        <f ca="1">IF($K27="передача тепловой энергии",SUMIFS('Баланс Тр'!AK$27:AK$50,'Баланс Тр'!$F$27:$F$50,$F63,'Баланс Тр'!$AB$27:$AB$50,"3"),SUMIFS('Баланс Пр'!AK$27:AK$233,'Баланс Пр'!$F$27:$F$233,$F63,'Баланс Пр'!$AB$27:$AB$233,"9.1"))</f>
        <v>0</v>
      </c>
      <c r="AM63" s="256">
        <f ca="1">IF($K27="передача тепловой энергии",SUMIFS('Баланс Тр'!AL$27:AL$50,'Баланс Тр'!$F$27:$F$50,$F63,'Баланс Тр'!$AB$27:$AB$50,"3"),SUMIFS('Баланс Пр'!AL$27:AL$233,'Баланс Пр'!$F$27:$F$233,$F63,'Баланс Пр'!$AB$27:$AB$233,"9.1"))</f>
        <v>0</v>
      </c>
      <c r="AN63" s="256">
        <f ca="1">IF($K27="передача тепловой энергии",SUMIFS('Баланс Тр'!AM$27:AM$50,'Баланс Тр'!$F$27:$F$50,$F63,'Баланс Тр'!$AB$27:$AB$50,"3"),SUMIFS('Баланс Пр'!AM$27:AM$233,'Баланс Пр'!$F$27:$F$233,$F63,'Баланс Пр'!$AB$27:$AB$233,"9.1"))</f>
        <v>0</v>
      </c>
      <c r="AO63" s="256">
        <f ca="1">IF($K27="передача тепловой энергии",SUMIFS('Баланс Тр'!AN$27:AN$50,'Баланс Тр'!$F$27:$F$50,$F63,'Баланс Тр'!$AB$27:$AB$50,"3"),SUMIFS('Баланс Пр'!AN$27:AN$233,'Баланс Пр'!$F$27:$F$233,$F63,'Баланс Пр'!$AB$27:$AB$233,"9.1"))</f>
        <v>0</v>
      </c>
      <c r="AP63" s="256">
        <f ca="1">IF($K27="передача тепловой энергии",SUMIFS('Баланс Тр'!AO$27:AO$50,'Баланс Тр'!$F$27:$F$50,$F63,'Баланс Тр'!$AB$27:$AB$50,"3"),SUMIFS('Баланс Пр'!AO$27:AO$233,'Баланс Пр'!$F$27:$F$233,$F63,'Баланс Пр'!$AB$27:$AB$233,"9.1"))</f>
        <v>0</v>
      </c>
      <c r="AQ63" s="256">
        <f ca="1">IF($K27="передача тепловой энергии",SUMIFS('Баланс Тр'!AP$27:AP$50,'Баланс Тр'!$F$27:$F$50,$F63,'Баланс Тр'!$AB$27:$AB$50,"3"),SUMIFS('Баланс Пр'!AP$27:AP$233,'Баланс Пр'!$F$27:$F$233,$F63,'Баланс Пр'!$AB$27:$AB$233,"9.1"))</f>
        <v>0</v>
      </c>
      <c r="AR63" s="256">
        <f ca="1">IF($K27="передача тепловой энергии",SUMIFS('Баланс Тр'!AQ$27:AQ$50,'Баланс Тр'!$F$27:$F$50,$F63,'Баланс Тр'!$AB$27:$AB$50,"3"),SUMIFS('Баланс Пр'!AQ$27:AQ$233,'Баланс Пр'!$F$27:$F$233,$F63,'Баланс Пр'!$AB$27:$AB$233,"9.1"))</f>
        <v>0</v>
      </c>
      <c r="AS63" s="256">
        <f ca="1">IF($K27="передача тепловой энергии",SUMIFS('Баланс Тр'!AR$27:AR$50,'Баланс Тр'!$F$27:$F$50,$F63,'Баланс Тр'!$AB$27:$AB$50,"3"),SUMIFS('Баланс Пр'!AR$27:AR$233,'Баланс Пр'!$F$27:$F$233,$F63,'Баланс Пр'!$AB$27:$AB$233,"9.1"))</f>
        <v>0</v>
      </c>
      <c r="AT63" s="256">
        <f ca="1">IF($K27="передача тепловой энергии",SUMIFS('Баланс Тр'!AS$27:AS$50,'Баланс Тр'!$F$27:$F$50,$F63,'Баланс Тр'!$AB$27:$AB$50,"3"),SUMIFS('Баланс Пр'!AS$27:AS$233,'Баланс Пр'!$F$27:$F$233,$F63,'Баланс Пр'!$AB$27:$AB$233,"9.1"))</f>
        <v>0</v>
      </c>
      <c r="AU63" s="256">
        <f ca="1">IF($K27="передача тепловой энергии",SUMIFS('Баланс Тр'!AT$27:AT$50,'Баланс Тр'!$F$27:$F$50,$F63,'Баланс Тр'!$AB$27:$AB$50,"3"),SUMIFS('Баланс Пр'!AT$27:AT$233,'Баланс Пр'!$F$27:$F$233,$F63,'Баланс Пр'!$AB$27:$AB$233,"9.1"))</f>
        <v>0</v>
      </c>
      <c r="AV63" s="256">
        <f ca="1">IF($K27="передача тепловой энергии",SUMIFS('Баланс Тр'!AU$27:AU$50,'Баланс Тр'!$F$27:$F$50,$F63,'Баланс Тр'!$AB$27:$AB$50,"3"),SUMIFS('Баланс Пр'!AU$27:AU$233,'Баланс Пр'!$F$27:$F$233,$F63,'Баланс Пр'!$AB$27:$AB$233,"9.1"))</f>
        <v>0</v>
      </c>
      <c r="AW63" s="256">
        <f ca="1">IF($K27="передача тепловой энергии",SUMIFS('Баланс Тр'!AV$27:AV$50,'Баланс Тр'!$F$27:$F$50,$F63,'Баланс Тр'!$AB$27:$AB$50,"3"),SUMIFS('Баланс Пр'!AV$27:AV$233,'Баланс Пр'!$F$27:$F$233,$F63,'Баланс Пр'!$AB$27:$AB$233,"9.1"))</f>
        <v>0</v>
      </c>
      <c r="AX63" s="256">
        <f ca="1">IF($K27="передача тепловой энергии",SUMIFS('Баланс Тр'!AW$27:AW$50,'Баланс Тр'!$F$27:$F$50,$F63,'Баланс Тр'!$AB$27:$AB$50,"3"),SUMIFS('Баланс Пр'!AW$27:AW$233,'Баланс Пр'!$F$27:$F$233,$F63,'Баланс Пр'!$AB$27:$AB$233,"9.1"))</f>
        <v>0</v>
      </c>
      <c r="AY63" s="256">
        <f ca="1">IF($K27="передача тепловой энергии",SUMIFS('Баланс Тр'!AX$27:AX$50,'Баланс Тр'!$F$27:$F$50,$F63,'Баланс Тр'!$AB$27:$AB$50,"3"),SUMIFS('Баланс Пр'!AX$27:AX$233,'Баланс Пр'!$F$27:$F$233,$F63,'Баланс Пр'!$AB$27:$AB$233,"9.1"))</f>
        <v>0</v>
      </c>
      <c r="AZ63" s="256">
        <f ca="1">IF($K27="передача тепловой энергии",SUMIFS('Баланс Тр'!AY$27:AY$50,'Баланс Тр'!$F$27:$F$50,$F63,'Баланс Тр'!$AB$27:$AB$50,"3"),SUMIFS('Баланс Пр'!AY$27:AY$233,'Баланс Пр'!$F$27:$F$233,$F63,'Баланс Пр'!$AB$27:$AB$233,"9.1"))</f>
        <v>0</v>
      </c>
      <c r="BA63" s="256">
        <f ca="1">IF($K27="передача тепловой энергии",SUMIFS('Баланс Тр'!AZ$27:AZ$50,'Баланс Тр'!$F$27:$F$50,$F63,'Баланс Тр'!$AB$27:$AB$50,"3"),SUMIFS('Баланс Пр'!AZ$27:AZ$233,'Баланс Пр'!$F$27:$F$233,$F63,'Баланс Пр'!$AB$27:$AB$233,"9.1"))</f>
        <v>0</v>
      </c>
      <c r="BB63" s="256">
        <f ca="1">IF($K27="передача тепловой энергии",SUMIFS('Баланс Тр'!BA$27:BA$50,'Баланс Тр'!$F$27:$F$50,$F63,'Баланс Тр'!$AB$27:$AB$50,"3"),SUMIFS('Баланс Пр'!BA$27:BA$233,'Баланс Пр'!$F$27:$F$233,$F63,'Баланс Пр'!$AB$27:$AB$233,"9.1"))</f>
        <v>0</v>
      </c>
      <c r="BC63" s="256">
        <f ca="1">IF($K27="передача тепловой энергии",SUMIFS('Баланс Тр'!BB$27:BB$50,'Баланс Тр'!$F$27:$F$50,$F63,'Баланс Тр'!$AB$27:$AB$50,"3"),SUMIFS('Баланс Пр'!BB$27:BB$233,'Баланс Пр'!$F$27:$F$233,$F63,'Баланс Пр'!$AB$27:$AB$233,"9.1"))</f>
        <v>0</v>
      </c>
      <c r="BD63" s="556"/>
      <c r="BE63" s="556"/>
      <c r="BF63" s="556"/>
      <c r="BG63" s="556"/>
      <c r="BH63" s="556"/>
      <c r="BI63" s="556"/>
      <c r="BJ63" s="556"/>
      <c r="BK63" s="556"/>
      <c r="BL63" s="556"/>
      <c r="BM63" s="556"/>
      <c r="BN63" s="28"/>
      <c r="BO63" s="28"/>
      <c r="BP63" s="28"/>
      <c r="BS63" s="1031" t="s">
        <v>1778</v>
      </c>
      <c r="BX63" s="1064"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94" t="s">
        <v>1779</v>
      </c>
      <c r="D64" s="1053" t="s">
        <v>1780</v>
      </c>
      <c r="E64" s="676">
        <v>15</v>
      </c>
      <c r="F64" s="779" cm="1">
        <f t="array" aca="1" ref="F64" ca="1">OFFSET(G64,-1,-1)</f>
        <v>0</v>
      </c>
      <c r="G64" s="143" t="s">
        <v>1781</v>
      </c>
      <c r="M64" s="1077"/>
      <c r="N64" s="1077" cm="1">
        <f t="array" aca="1" ref="N64" ca="1">OFFSET(M64,-1,1)</f>
        <v>0</v>
      </c>
      <c r="O64" s="1078" t="s">
        <v>1782</v>
      </c>
      <c r="P64" s="1078"/>
      <c r="Q64" s="1078"/>
      <c r="R64" s="1078"/>
      <c r="T64" s="687" t="b" cm="1">
        <f t="array" aca="1" ref="T64" ca="1">T63</f>
        <v>0</v>
      </c>
      <c r="X64" s="1726"/>
      <c r="Z64" s="1726"/>
      <c r="AB64" s="553" t="str">
        <f>AB63&amp;".1"</f>
        <v>15.1</v>
      </c>
      <c r="AC64" s="236" t="s">
        <v>1783</v>
      </c>
      <c r="AD64" s="258" t="s">
        <v>634</v>
      </c>
      <c r="AE64" s="77"/>
      <c r="AF64" s="516"/>
      <c r="AG64" s="516"/>
      <c r="AH64" s="516"/>
      <c r="AI64" s="77"/>
      <c r="AJ64" s="517"/>
      <c r="AK64" s="517"/>
      <c r="AL64" s="517"/>
      <c r="AM64" s="517"/>
      <c r="AN64" s="517"/>
      <c r="AO64" s="77"/>
      <c r="AP64" s="77"/>
      <c r="AQ64" s="77"/>
      <c r="AR64" s="77"/>
      <c r="AS64" s="77"/>
      <c r="AT64" s="517"/>
      <c r="AU64" s="517"/>
      <c r="AV64" s="517"/>
      <c r="AW64" s="517"/>
      <c r="AX64" s="517"/>
      <c r="AY64" s="77"/>
      <c r="AZ64" s="77"/>
      <c r="BA64" s="77"/>
      <c r="BB64" s="77"/>
      <c r="BC64" s="77"/>
      <c r="BD64" s="319"/>
      <c r="BE64" s="319"/>
      <c r="BF64" s="319"/>
      <c r="BG64" s="319"/>
      <c r="BH64" s="319"/>
      <c r="BI64" s="319"/>
      <c r="BJ64" s="319"/>
      <c r="BK64" s="319"/>
      <c r="BL64" s="319"/>
      <c r="BM64" s="319"/>
      <c r="BN64" s="28"/>
      <c r="BO64" s="28"/>
      <c r="BP64" s="28"/>
      <c r="BS64" s="1031" t="s">
        <v>1784</v>
      </c>
      <c r="BX64" s="1064"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94" t="s">
        <v>1785</v>
      </c>
      <c r="D65" s="1053" t="s">
        <v>1786</v>
      </c>
      <c r="E65" s="676">
        <v>15</v>
      </c>
      <c r="F65" s="779" cm="1">
        <f t="array" aca="1" ref="F65" ca="1">OFFSET(G65,-1,-1)</f>
        <v>0</v>
      </c>
      <c r="G65" s="143" t="s">
        <v>1787</v>
      </c>
      <c r="M65" s="1077"/>
      <c r="N65" s="1077" cm="1">
        <f t="array" aca="1" ref="N65" ca="1">OFFSET(M65,-1,1)</f>
        <v>0</v>
      </c>
      <c r="O65" s="1078" t="s">
        <v>1782</v>
      </c>
      <c r="P65" s="1078"/>
      <c r="Q65" s="1078"/>
      <c r="R65" s="1078"/>
      <c r="T65" s="687" t="b" cm="1">
        <f t="array" aca="1" ref="T65" ca="1">T64</f>
        <v>0</v>
      </c>
      <c r="X65" s="1726"/>
      <c r="Z65" s="1726"/>
      <c r="AB65" s="553" t="str">
        <f>AB63&amp;".2"</f>
        <v>15.2</v>
      </c>
      <c r="AC65" s="236" t="s">
        <v>1788</v>
      </c>
      <c r="AD65" s="258" t="s">
        <v>929</v>
      </c>
      <c r="AE65" s="77"/>
      <c r="AF65" s="516"/>
      <c r="AG65" s="516"/>
      <c r="AH65" s="516"/>
      <c r="AI65" s="77">
        <f ca="1">MIN(AE67,AI69)</f>
        <v>0</v>
      </c>
      <c r="AJ65" s="517">
        <f t="shared" ref="AJ65:AS65" ca="1" si="22">MIN(AI67,AJ69)</f>
        <v>0</v>
      </c>
      <c r="AK65" s="517">
        <f t="shared" ca="1" si="22"/>
        <v>0</v>
      </c>
      <c r="AL65" s="517">
        <f t="shared" ca="1" si="22"/>
        <v>0</v>
      </c>
      <c r="AM65" s="517">
        <f t="shared" ca="1" si="22"/>
        <v>0</v>
      </c>
      <c r="AN65" s="517">
        <f t="shared" ca="1" si="22"/>
        <v>0</v>
      </c>
      <c r="AO65" s="77">
        <f t="shared" ca="1" si="22"/>
        <v>0</v>
      </c>
      <c r="AP65" s="77">
        <f t="shared" ca="1" si="22"/>
        <v>0</v>
      </c>
      <c r="AQ65" s="77">
        <f t="shared" ca="1" si="22"/>
        <v>0</v>
      </c>
      <c r="AR65" s="77">
        <f t="shared" ca="1" si="22"/>
        <v>0</v>
      </c>
      <c r="AS65" s="77">
        <f t="shared" ca="1" si="22"/>
        <v>0</v>
      </c>
      <c r="AT65" s="517">
        <f ca="1">MIN(AI67,AT69)</f>
        <v>0</v>
      </c>
      <c r="AU65" s="517">
        <f t="shared" ref="AU65:BC65" ca="1" si="23">MIN(AT67,AU69)</f>
        <v>0</v>
      </c>
      <c r="AV65" s="517">
        <f t="shared" ca="1" si="23"/>
        <v>0</v>
      </c>
      <c r="AW65" s="517">
        <f t="shared" ca="1" si="23"/>
        <v>0</v>
      </c>
      <c r="AX65" s="517">
        <f t="shared" ca="1" si="23"/>
        <v>0</v>
      </c>
      <c r="AY65" s="77">
        <f t="shared" ca="1" si="23"/>
        <v>0</v>
      </c>
      <c r="AZ65" s="77">
        <f t="shared" ca="1" si="23"/>
        <v>0</v>
      </c>
      <c r="BA65" s="77">
        <f t="shared" ca="1" si="23"/>
        <v>0</v>
      </c>
      <c r="BB65" s="77">
        <f t="shared" ca="1" si="23"/>
        <v>0</v>
      </c>
      <c r="BC65" s="77">
        <f t="shared" ca="1" si="23"/>
        <v>0</v>
      </c>
      <c r="BD65" s="319"/>
      <c r="BE65" s="319"/>
      <c r="BF65" s="319"/>
      <c r="BG65" s="319"/>
      <c r="BH65" s="319"/>
      <c r="BI65" s="319"/>
      <c r="BJ65" s="319"/>
      <c r="BK65" s="319"/>
      <c r="BL65" s="319"/>
      <c r="BM65" s="319"/>
      <c r="BN65" s="28"/>
      <c r="BO65" s="28"/>
      <c r="BP65" s="28"/>
      <c r="BS65" s="1031" t="s">
        <v>1789</v>
      </c>
      <c r="BX65" s="1064"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94" t="s">
        <v>1779</v>
      </c>
      <c r="D66" s="1053" t="s">
        <v>1780</v>
      </c>
      <c r="E66" s="676">
        <v>15</v>
      </c>
      <c r="F66" s="779" cm="1">
        <f t="array" aca="1" ref="F66" ca="1">OFFSET(G66,-1,-1)</f>
        <v>0</v>
      </c>
      <c r="G66" s="143" t="s">
        <v>1790</v>
      </c>
      <c r="M66" s="1077"/>
      <c r="N66" s="1077" cm="1">
        <f t="array" aca="1" ref="N66" ca="1">OFFSET(M66,-1,1)</f>
        <v>0</v>
      </c>
      <c r="O66" s="1078" t="s">
        <v>1791</v>
      </c>
      <c r="P66" s="1078"/>
      <c r="Q66" s="1078"/>
      <c r="R66" s="1078"/>
      <c r="T66" s="687" t="b" cm="1">
        <f t="array" aca="1" ref="T66" ca="1">T65</f>
        <v>0</v>
      </c>
      <c r="X66" s="1726"/>
      <c r="Z66" s="1726"/>
      <c r="AB66" s="553" t="str">
        <f>AB63&amp;".3"</f>
        <v>15.3</v>
      </c>
      <c r="AC66" s="236" t="s">
        <v>1792</v>
      </c>
      <c r="AD66" s="258" t="s">
        <v>634</v>
      </c>
      <c r="AE66" s="515">
        <f ca="1">AE63-AE64</f>
        <v>0</v>
      </c>
      <c r="AF66" s="516"/>
      <c r="AG66" s="516"/>
      <c r="AH66" s="516"/>
      <c r="AI66" s="515">
        <f t="shared" ref="AI66:BC66" ca="1" si="24">AI63-AI64</f>
        <v>0</v>
      </c>
      <c r="AJ66" s="515">
        <f t="shared" ca="1" si="24"/>
        <v>0</v>
      </c>
      <c r="AK66" s="515">
        <f t="shared" ca="1" si="24"/>
        <v>0</v>
      </c>
      <c r="AL66" s="515">
        <f t="shared" ca="1" si="24"/>
        <v>0</v>
      </c>
      <c r="AM66" s="515">
        <f t="shared" ca="1" si="24"/>
        <v>0</v>
      </c>
      <c r="AN66" s="515">
        <f t="shared" ca="1" si="24"/>
        <v>0</v>
      </c>
      <c r="AO66" s="515">
        <f t="shared" ca="1" si="24"/>
        <v>0</v>
      </c>
      <c r="AP66" s="515">
        <f t="shared" ca="1" si="24"/>
        <v>0</v>
      </c>
      <c r="AQ66" s="515">
        <f t="shared" ca="1" si="24"/>
        <v>0</v>
      </c>
      <c r="AR66" s="515">
        <f t="shared" ca="1" si="24"/>
        <v>0</v>
      </c>
      <c r="AS66" s="515">
        <f t="shared" ca="1" si="24"/>
        <v>0</v>
      </c>
      <c r="AT66" s="515">
        <f t="shared" ca="1" si="24"/>
        <v>0</v>
      </c>
      <c r="AU66" s="515">
        <f t="shared" ca="1" si="24"/>
        <v>0</v>
      </c>
      <c r="AV66" s="515">
        <f t="shared" ca="1" si="24"/>
        <v>0</v>
      </c>
      <c r="AW66" s="515">
        <f t="shared" ca="1" si="24"/>
        <v>0</v>
      </c>
      <c r="AX66" s="515">
        <f t="shared" ca="1" si="24"/>
        <v>0</v>
      </c>
      <c r="AY66" s="515">
        <f t="shared" ca="1" si="24"/>
        <v>0</v>
      </c>
      <c r="AZ66" s="515">
        <f t="shared" ca="1" si="24"/>
        <v>0</v>
      </c>
      <c r="BA66" s="515">
        <f t="shared" ca="1" si="24"/>
        <v>0</v>
      </c>
      <c r="BB66" s="515">
        <f t="shared" ca="1" si="24"/>
        <v>0</v>
      </c>
      <c r="BC66" s="515">
        <f t="shared" ca="1" si="24"/>
        <v>0</v>
      </c>
      <c r="BD66" s="319"/>
      <c r="BE66" s="319"/>
      <c r="BF66" s="319"/>
      <c r="BG66" s="319"/>
      <c r="BH66" s="319"/>
      <c r="BI66" s="319"/>
      <c r="BJ66" s="319"/>
      <c r="BK66" s="319"/>
      <c r="BL66" s="319"/>
      <c r="BM66" s="319"/>
      <c r="BN66" s="28"/>
      <c r="BO66" s="28"/>
      <c r="BP66" s="28"/>
      <c r="BS66" s="1031" t="s">
        <v>1793</v>
      </c>
      <c r="BX66" s="1064"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94" t="s">
        <v>1785</v>
      </c>
      <c r="D67" s="1053" t="s">
        <v>1786</v>
      </c>
      <c r="E67" s="676">
        <v>15</v>
      </c>
      <c r="F67" s="779" cm="1">
        <f t="array" aca="1" ref="F67" ca="1">OFFSET(G67,-1,-1)</f>
        <v>0</v>
      </c>
      <c r="G67" s="143" t="s">
        <v>1794</v>
      </c>
      <c r="M67" s="1077"/>
      <c r="N67" s="1077" cm="1">
        <f t="array" aca="1" ref="N67" ca="1">OFFSET(M67,-1,1)</f>
        <v>0</v>
      </c>
      <c r="O67" s="1078" t="s">
        <v>1791</v>
      </c>
      <c r="P67" s="1078"/>
      <c r="Q67" s="1078"/>
      <c r="R67" s="1078"/>
      <c r="T67" s="687" t="b" cm="1">
        <f t="array" aca="1" ref="T67" ca="1">T66</f>
        <v>0</v>
      </c>
      <c r="X67" s="1726"/>
      <c r="Z67" s="1726"/>
      <c r="AB67" s="553" t="str">
        <f>AB63&amp;".4"</f>
        <v>15.4</v>
      </c>
      <c r="AC67" s="236" t="s">
        <v>1795</v>
      </c>
      <c r="AD67" s="258" t="s">
        <v>929</v>
      </c>
      <c r="AE67" s="77"/>
      <c r="AF67" s="516"/>
      <c r="AG67" s="516"/>
      <c r="AH67" s="516"/>
      <c r="AI67" s="77"/>
      <c r="AJ67" s="517">
        <f t="shared" ref="AJ67:BC67" ca="1" si="25">IFERROR((AJ60*1000-AJ64*AJ65)/AJ66,0)</f>
        <v>0</v>
      </c>
      <c r="AK67" s="517">
        <f t="shared" ca="1" si="25"/>
        <v>0</v>
      </c>
      <c r="AL67" s="517">
        <f t="shared" ca="1" si="25"/>
        <v>0</v>
      </c>
      <c r="AM67" s="517">
        <f t="shared" ca="1" si="25"/>
        <v>0</v>
      </c>
      <c r="AN67" s="517">
        <f t="shared" ca="1" si="25"/>
        <v>0</v>
      </c>
      <c r="AO67" s="77">
        <f t="shared" ca="1" si="25"/>
        <v>0</v>
      </c>
      <c r="AP67" s="77">
        <f t="shared" ca="1" si="25"/>
        <v>0</v>
      </c>
      <c r="AQ67" s="77">
        <f t="shared" ca="1" si="25"/>
        <v>0</v>
      </c>
      <c r="AR67" s="77">
        <f t="shared" ca="1" si="25"/>
        <v>0</v>
      </c>
      <c r="AS67" s="77">
        <f t="shared" ca="1" si="25"/>
        <v>0</v>
      </c>
      <c r="AT67" s="517">
        <f t="shared" ca="1" si="25"/>
        <v>0</v>
      </c>
      <c r="AU67" s="517">
        <f t="shared" ca="1" si="25"/>
        <v>0</v>
      </c>
      <c r="AV67" s="517">
        <f t="shared" ca="1" si="25"/>
        <v>0</v>
      </c>
      <c r="AW67" s="517">
        <f t="shared" ca="1" si="25"/>
        <v>0</v>
      </c>
      <c r="AX67" s="517">
        <f t="shared" ca="1" si="25"/>
        <v>0</v>
      </c>
      <c r="AY67" s="77">
        <f t="shared" ca="1" si="25"/>
        <v>0</v>
      </c>
      <c r="AZ67" s="77">
        <f t="shared" ca="1" si="25"/>
        <v>0</v>
      </c>
      <c r="BA67" s="77">
        <f t="shared" ca="1" si="25"/>
        <v>0</v>
      </c>
      <c r="BB67" s="77">
        <f t="shared" ca="1" si="25"/>
        <v>0</v>
      </c>
      <c r="BC67" s="77">
        <f t="shared" ca="1" si="25"/>
        <v>0</v>
      </c>
      <c r="BD67" s="319"/>
      <c r="BE67" s="319"/>
      <c r="BF67" s="319"/>
      <c r="BG67" s="319"/>
      <c r="BH67" s="319"/>
      <c r="BI67" s="319"/>
      <c r="BJ67" s="319"/>
      <c r="BK67" s="319"/>
      <c r="BL67" s="319"/>
      <c r="BM67" s="319"/>
      <c r="BN67" s="28"/>
      <c r="BO67" s="28"/>
      <c r="BP67" s="28"/>
      <c r="BS67" s="1031" t="s">
        <v>1796</v>
      </c>
      <c r="BX67" s="1064"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94" t="s">
        <v>1797</v>
      </c>
      <c r="D68" s="1053" t="s">
        <v>1798</v>
      </c>
      <c r="E68" s="676">
        <v>15</v>
      </c>
      <c r="F68" s="779" cm="1">
        <f t="array" aca="1" ref="F68" ca="1">OFFSET(G68,-1,-1)</f>
        <v>0</v>
      </c>
      <c r="M68" s="1077"/>
      <c r="N68" s="1077" cm="1">
        <f t="array" aca="1" ref="N68" ca="1">OFFSET(M68,-1,1)</f>
        <v>0</v>
      </c>
      <c r="O68" s="1078"/>
      <c r="P68" s="1078"/>
      <c r="Q68" s="1078"/>
      <c r="R68" s="1078"/>
      <c r="T68" s="687" t="b" cm="1">
        <f t="array" aca="1" ref="T68" ca="1">T67</f>
        <v>0</v>
      </c>
      <c r="X68" s="1726"/>
      <c r="Z68" s="1726"/>
      <c r="AB68" s="553" t="str">
        <f>AB63&amp;".5"</f>
        <v>15.5</v>
      </c>
      <c r="AC68" s="261" t="s">
        <v>1799</v>
      </c>
      <c r="AD68" s="258" t="s">
        <v>533</v>
      </c>
      <c r="AE68" s="555">
        <f>IFERROR(AE67/AE65,0)</f>
        <v>0</v>
      </c>
      <c r="AF68" s="516"/>
      <c r="AG68" s="516"/>
      <c r="AH68" s="516"/>
      <c r="AI68" s="555">
        <f t="shared" ref="AI68:BC68" ca="1" si="26">IFERROR(AI67/AI65,0)</f>
        <v>0</v>
      </c>
      <c r="AJ68" s="555">
        <f t="shared" ca="1" si="26"/>
        <v>0</v>
      </c>
      <c r="AK68" s="555">
        <f t="shared" ca="1" si="26"/>
        <v>0</v>
      </c>
      <c r="AL68" s="555">
        <f t="shared" ca="1" si="26"/>
        <v>0</v>
      </c>
      <c r="AM68" s="555">
        <f t="shared" ca="1" si="26"/>
        <v>0</v>
      </c>
      <c r="AN68" s="555">
        <f t="shared" ca="1" si="26"/>
        <v>0</v>
      </c>
      <c r="AO68" s="555">
        <f t="shared" ca="1" si="26"/>
        <v>0</v>
      </c>
      <c r="AP68" s="555">
        <f t="shared" ca="1" si="26"/>
        <v>0</v>
      </c>
      <c r="AQ68" s="555">
        <f t="shared" ca="1" si="26"/>
        <v>0</v>
      </c>
      <c r="AR68" s="555">
        <f t="shared" ca="1" si="26"/>
        <v>0</v>
      </c>
      <c r="AS68" s="555">
        <f t="shared" ca="1" si="26"/>
        <v>0</v>
      </c>
      <c r="AT68" s="555">
        <f t="shared" ca="1" si="26"/>
        <v>0</v>
      </c>
      <c r="AU68" s="555">
        <f t="shared" ca="1" si="26"/>
        <v>0</v>
      </c>
      <c r="AV68" s="555">
        <f t="shared" ca="1" si="26"/>
        <v>0</v>
      </c>
      <c r="AW68" s="555">
        <f t="shared" ca="1" si="26"/>
        <v>0</v>
      </c>
      <c r="AX68" s="555">
        <f t="shared" ca="1" si="26"/>
        <v>0</v>
      </c>
      <c r="AY68" s="555">
        <f t="shared" ca="1" si="26"/>
        <v>0</v>
      </c>
      <c r="AZ68" s="555">
        <f t="shared" ca="1" si="26"/>
        <v>0</v>
      </c>
      <c r="BA68" s="555">
        <f t="shared" ca="1" si="26"/>
        <v>0</v>
      </c>
      <c r="BB68" s="555">
        <f t="shared" ca="1" si="26"/>
        <v>0</v>
      </c>
      <c r="BC68" s="555">
        <f t="shared" ca="1" si="26"/>
        <v>0</v>
      </c>
      <c r="BD68" s="319"/>
      <c r="BE68" s="319"/>
      <c r="BF68" s="319"/>
      <c r="BG68" s="319"/>
      <c r="BH68" s="319"/>
      <c r="BI68" s="319"/>
      <c r="BJ68" s="319"/>
      <c r="BK68" s="319"/>
      <c r="BL68" s="319"/>
      <c r="BM68" s="319"/>
      <c r="BN68" s="28"/>
      <c r="BO68" s="28"/>
      <c r="BP68" s="28"/>
      <c r="BS68" s="1031" t="s">
        <v>1800</v>
      </c>
      <c r="BX68" s="1064"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94" t="s">
        <v>1801</v>
      </c>
      <c r="D69" s="1053" t="s">
        <v>1802</v>
      </c>
      <c r="E69" s="676">
        <v>15</v>
      </c>
      <c r="F69" s="779" cm="1">
        <f t="array" aca="1" ref="F69" ca="1">OFFSET(G69,-1,-1)</f>
        <v>0</v>
      </c>
      <c r="M69" s="1077"/>
      <c r="N69" s="1077" cm="1">
        <f t="array" aca="1" ref="N69" ca="1">OFFSET(M69,-1,1)</f>
        <v>0</v>
      </c>
      <c r="O69" s="1078"/>
      <c r="P69" s="1078"/>
      <c r="Q69" s="1078"/>
      <c r="R69" s="1078"/>
      <c r="T69" s="687" t="b" cm="1">
        <f t="array" aca="1" ref="T69" ca="1">T68</f>
        <v>0</v>
      </c>
      <c r="X69" s="1726"/>
      <c r="Z69" s="1726"/>
      <c r="AB69" s="553" t="str">
        <f>AB63&amp;".6"</f>
        <v>15.6</v>
      </c>
      <c r="AC69" s="261" t="s">
        <v>1803</v>
      </c>
      <c r="AD69" s="258" t="s">
        <v>929</v>
      </c>
      <c r="AE69" s="515">
        <f ca="1">IFERROR(AE60*1000/AE63,0)</f>
        <v>0</v>
      </c>
      <c r="AF69" s="516"/>
      <c r="AG69" s="516"/>
      <c r="AH69" s="516"/>
      <c r="AI69" s="515">
        <f t="shared" ref="AI69:BC69" ca="1" si="27">IFERROR(AI60*1000/AI63,0)</f>
        <v>0</v>
      </c>
      <c r="AJ69" s="515">
        <f t="shared" ca="1" si="27"/>
        <v>0</v>
      </c>
      <c r="AK69" s="515">
        <f t="shared" ca="1" si="27"/>
        <v>0</v>
      </c>
      <c r="AL69" s="515">
        <f t="shared" ca="1" si="27"/>
        <v>0</v>
      </c>
      <c r="AM69" s="515">
        <f t="shared" ca="1" si="27"/>
        <v>0</v>
      </c>
      <c r="AN69" s="515">
        <f t="shared" ca="1" si="27"/>
        <v>0</v>
      </c>
      <c r="AO69" s="515">
        <f t="shared" ca="1" si="27"/>
        <v>0</v>
      </c>
      <c r="AP69" s="515">
        <f t="shared" ca="1" si="27"/>
        <v>0</v>
      </c>
      <c r="AQ69" s="515">
        <f t="shared" ca="1" si="27"/>
        <v>0</v>
      </c>
      <c r="AR69" s="515">
        <f t="shared" ca="1" si="27"/>
        <v>0</v>
      </c>
      <c r="AS69" s="515">
        <f t="shared" ca="1" si="27"/>
        <v>0</v>
      </c>
      <c r="AT69" s="515">
        <f t="shared" ca="1" si="27"/>
        <v>0</v>
      </c>
      <c r="AU69" s="515">
        <f t="shared" ca="1" si="27"/>
        <v>0</v>
      </c>
      <c r="AV69" s="515">
        <f t="shared" ca="1" si="27"/>
        <v>0</v>
      </c>
      <c r="AW69" s="515">
        <f t="shared" ca="1" si="27"/>
        <v>0</v>
      </c>
      <c r="AX69" s="515">
        <f t="shared" ca="1" si="27"/>
        <v>0</v>
      </c>
      <c r="AY69" s="515">
        <f t="shared" ca="1" si="27"/>
        <v>0</v>
      </c>
      <c r="AZ69" s="515">
        <f t="shared" ca="1" si="27"/>
        <v>0</v>
      </c>
      <c r="BA69" s="515">
        <f t="shared" ca="1" si="27"/>
        <v>0</v>
      </c>
      <c r="BB69" s="515">
        <f t="shared" ca="1" si="27"/>
        <v>0</v>
      </c>
      <c r="BC69" s="515">
        <f t="shared" ca="1" si="27"/>
        <v>0</v>
      </c>
      <c r="BD69" s="319"/>
      <c r="BE69" s="319"/>
      <c r="BF69" s="319"/>
      <c r="BG69" s="319"/>
      <c r="BH69" s="319"/>
      <c r="BI69" s="319"/>
      <c r="BJ69" s="319"/>
      <c r="BK69" s="319"/>
      <c r="BL69" s="319"/>
      <c r="BM69" s="319"/>
      <c r="BN69" s="28"/>
      <c r="BO69" s="28"/>
      <c r="BP69" s="28"/>
      <c r="BS69" s="1031" t="s">
        <v>1804</v>
      </c>
      <c r="BX69" s="1064"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94" t="s">
        <v>1805</v>
      </c>
      <c r="D70" s="1053" t="s">
        <v>1806</v>
      </c>
      <c r="E70" s="676">
        <v>15</v>
      </c>
      <c r="F70" s="779" cm="1">
        <f t="array" aca="1" ref="F70" ca="1">OFFSET(G70,-1,-1)</f>
        <v>0</v>
      </c>
      <c r="L70" s="143" t="s">
        <v>1768</v>
      </c>
      <c r="M70" s="1077"/>
      <c r="N70" s="1077" cm="1">
        <f t="array" aca="1" ref="N70" ca="1">OFFSET(M70,-1,1)</f>
        <v>0</v>
      </c>
      <c r="O70" s="1078"/>
      <c r="P70" s="1078"/>
      <c r="Q70" s="1078"/>
      <c r="R70" s="1078"/>
      <c r="T70" s="687" t="b" cm="1">
        <f t="array" aca="1" ref="T70" ca="1">T61</f>
        <v>0</v>
      </c>
      <c r="X70" s="1726"/>
      <c r="Z70" s="1726"/>
      <c r="AB70" s="263" t="s">
        <v>1807</v>
      </c>
      <c r="AC70" s="753" t="s">
        <v>1808</v>
      </c>
      <c r="AD70" s="557" t="s">
        <v>725</v>
      </c>
      <c r="AE70" s="256">
        <f ca="1">SUMIFS('Баланс Пр'!AE$27:AE$233,'Баланс Пр'!$F$27:$F$233,$F70,'Баланс Пр'!$AB$27:$AB$233,"10")</f>
        <v>0</v>
      </c>
      <c r="AF70" s="516"/>
      <c r="AG70" s="516"/>
      <c r="AH70" s="516"/>
      <c r="AI70" s="256">
        <f ca="1">SUMIFS('Баланс Пр'!AH$27:AH$233,'Баланс Пр'!$F$27:$F$233,$F70,'Баланс Пр'!$AB$27:$AB$233,"10")</f>
        <v>0</v>
      </c>
      <c r="AJ70" s="256">
        <f ca="1">SUMIFS('Баланс Пр'!AI$27:AI$233,'Баланс Пр'!$F$27:$F$233,$F70,'Баланс Пр'!$AB$27:$AB$233,"10")</f>
        <v>0</v>
      </c>
      <c r="AK70" s="256">
        <f ca="1">SUMIFS('Баланс Пр'!AJ$27:AJ$233,'Баланс Пр'!$F$27:$F$233,$F70,'Баланс Пр'!$AB$27:$AB$233,"10")</f>
        <v>0</v>
      </c>
      <c r="AL70" s="256">
        <f ca="1">SUMIFS('Баланс Пр'!AK$27:AK$233,'Баланс Пр'!$F$27:$F$233,$F70,'Баланс Пр'!$AB$27:$AB$233,"10")</f>
        <v>0</v>
      </c>
      <c r="AM70" s="256">
        <f ca="1">SUMIFS('Баланс Пр'!AL$27:AL$233,'Баланс Пр'!$F$27:$F$233,$F70,'Баланс Пр'!$AB$27:$AB$233,"10")</f>
        <v>0</v>
      </c>
      <c r="AN70" s="256">
        <f ca="1">SUMIFS('Баланс Пр'!AM$27:AM$233,'Баланс Пр'!$F$27:$F$233,$F70,'Баланс Пр'!$AB$27:$AB$233,"10")</f>
        <v>0</v>
      </c>
      <c r="AO70" s="256">
        <f ca="1">SUMIFS('Баланс Пр'!AN$27:AN$233,'Баланс Пр'!$F$27:$F$233,$F70,'Баланс Пр'!$AB$27:$AB$233,"10")</f>
        <v>0</v>
      </c>
      <c r="AP70" s="256">
        <f ca="1">SUMIFS('Баланс Пр'!AO$27:AO$233,'Баланс Пр'!$F$27:$F$233,$F70,'Баланс Пр'!$AB$27:$AB$233,"10")</f>
        <v>0</v>
      </c>
      <c r="AQ70" s="256">
        <f ca="1">SUMIFS('Баланс Пр'!AP$27:AP$233,'Баланс Пр'!$F$27:$F$233,$F70,'Баланс Пр'!$AB$27:$AB$233,"10")</f>
        <v>0</v>
      </c>
      <c r="AR70" s="256">
        <f ca="1">SUMIFS('Баланс Пр'!AQ$27:AQ$233,'Баланс Пр'!$F$27:$F$233,$F70,'Баланс Пр'!$AB$27:$AB$233,"10")</f>
        <v>0</v>
      </c>
      <c r="AS70" s="256">
        <f ca="1">SUMIFS('Баланс Пр'!AR$27:AR$233,'Баланс Пр'!$F$27:$F$233,$F70,'Баланс Пр'!$AB$27:$AB$233,"10")</f>
        <v>0</v>
      </c>
      <c r="AT70" s="256">
        <f ca="1">SUMIFS('Баланс Пр'!AS$27:AS$233,'Баланс Пр'!$F$27:$F$233,$F70,'Баланс Пр'!$AB$27:$AB$233,"10")</f>
        <v>0</v>
      </c>
      <c r="AU70" s="256">
        <f ca="1">SUMIFS('Баланс Пр'!AT$27:AT$233,'Баланс Пр'!$F$27:$F$233,$F70,'Баланс Пр'!$AB$27:$AB$233,"10")</f>
        <v>0</v>
      </c>
      <c r="AV70" s="256">
        <f ca="1">SUMIFS('Баланс Пр'!AU$27:AU$233,'Баланс Пр'!$F$27:$F$233,$F70,'Баланс Пр'!$AB$27:$AB$233,"10")</f>
        <v>0</v>
      </c>
      <c r="AW70" s="256">
        <f ca="1">SUMIFS('Баланс Пр'!AV$27:AV$233,'Баланс Пр'!$F$27:$F$233,$F70,'Баланс Пр'!$AB$27:$AB$233,"10")</f>
        <v>0</v>
      </c>
      <c r="AX70" s="256">
        <f ca="1">SUMIFS('Баланс Пр'!AW$27:AW$233,'Баланс Пр'!$F$27:$F$233,$F70,'Баланс Пр'!$AB$27:$AB$233,"10")</f>
        <v>0</v>
      </c>
      <c r="AY70" s="256">
        <f ca="1">SUMIFS('Баланс Пр'!AX$27:AX$233,'Баланс Пр'!$F$27:$F$233,$F70,'Баланс Пр'!$AB$27:$AB$233,"10")</f>
        <v>0</v>
      </c>
      <c r="AZ70" s="256">
        <f ca="1">SUMIFS('Баланс Пр'!AY$27:AY$233,'Баланс Пр'!$F$27:$F$233,$F70,'Баланс Пр'!$AB$27:$AB$233,"10")</f>
        <v>0</v>
      </c>
      <c r="BA70" s="256">
        <f ca="1">SUMIFS('Баланс Пр'!AZ$27:AZ$233,'Баланс Пр'!$F$27:$F$233,$F70,'Баланс Пр'!$AB$27:$AB$233,"10")</f>
        <v>0</v>
      </c>
      <c r="BB70" s="256">
        <f ca="1">SUMIFS('Баланс Пр'!BA$27:BA$233,'Баланс Пр'!$F$27:$F$233,$F70,'Баланс Пр'!$AB$27:$AB$233,"10")</f>
        <v>0</v>
      </c>
      <c r="BC70" s="256">
        <f ca="1">SUMIFS('Баланс Пр'!BB$27:BB$233,'Баланс Пр'!$F$27:$F$233,$F70,'Баланс Пр'!$AB$27:$AB$233,"10")</f>
        <v>0</v>
      </c>
      <c r="BD70" s="319"/>
      <c r="BE70" s="319"/>
      <c r="BF70" s="319"/>
      <c r="BG70" s="319"/>
      <c r="BH70" s="319"/>
      <c r="BI70" s="319"/>
      <c r="BJ70" s="319"/>
      <c r="BK70" s="319"/>
      <c r="BL70" s="319"/>
      <c r="BM70" s="319"/>
      <c r="BN70" s="28"/>
      <c r="BO70" s="28"/>
      <c r="BP70" s="28"/>
      <c r="BS70" s="1031" t="s">
        <v>726</v>
      </c>
      <c r="BX70" s="1064"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94" t="s">
        <v>1805</v>
      </c>
      <c r="D71" s="1053" t="s">
        <v>1806</v>
      </c>
      <c r="E71" s="676">
        <v>15</v>
      </c>
      <c r="F71" s="779" cm="1">
        <f t="array" aca="1" ref="F71" ca="1">OFFSET(G71,-1,-1)</f>
        <v>0</v>
      </c>
      <c r="G71" s="143" t="s">
        <v>1809</v>
      </c>
      <c r="L71" s="143" t="s">
        <v>1768</v>
      </c>
      <c r="M71" s="1077"/>
      <c r="N71" s="1077" cm="1">
        <f t="array" aca="1" ref="N71" ca="1">OFFSET(M71,-1,1)</f>
        <v>0</v>
      </c>
      <c r="O71" s="1078" t="s">
        <v>1782</v>
      </c>
      <c r="P71" s="1078"/>
      <c r="Q71" s="1078"/>
      <c r="R71" s="1078"/>
      <c r="T71" s="687" t="b" cm="1">
        <f t="array" aca="1" ref="T71" ca="1">T70</f>
        <v>0</v>
      </c>
      <c r="X71" s="1726"/>
      <c r="Z71" s="1726"/>
      <c r="AB71" s="553" t="str">
        <f>AB70&amp;".1"</f>
        <v>16.1</v>
      </c>
      <c r="AC71" s="608" t="s">
        <v>1810</v>
      </c>
      <c r="AD71" s="523" t="s">
        <v>725</v>
      </c>
      <c r="AE71" s="77" cm="1">
        <f t="array" aca="1" ref="AE71" ca="1">AE70</f>
        <v>0</v>
      </c>
      <c r="AF71" s="516"/>
      <c r="AG71" s="516"/>
      <c r="AH71" s="516"/>
      <c r="AI71" s="77" cm="1">
        <f t="array" aca="1" ref="AI71" ca="1">AI70</f>
        <v>0</v>
      </c>
      <c r="AJ71" s="517" cm="1">
        <f t="array" aca="1" ref="AJ71" ca="1">AJ70</f>
        <v>0</v>
      </c>
      <c r="AK71" s="517" cm="1">
        <f t="array" aca="1" ref="AK71" ca="1">AK70</f>
        <v>0</v>
      </c>
      <c r="AL71" s="517" cm="1">
        <f t="array" aca="1" ref="AL71" ca="1">AL70</f>
        <v>0</v>
      </c>
      <c r="AM71" s="517" cm="1">
        <f t="array" aca="1" ref="AM71" ca="1">AM70</f>
        <v>0</v>
      </c>
      <c r="AN71" s="517" cm="1">
        <f t="array" aca="1" ref="AN71" ca="1">AN70</f>
        <v>0</v>
      </c>
      <c r="AO71" s="77" cm="1">
        <f t="array" aca="1" ref="AO71" ca="1">AO70</f>
        <v>0</v>
      </c>
      <c r="AP71" s="77" cm="1">
        <f t="array" aca="1" ref="AP71" ca="1">AP70</f>
        <v>0</v>
      </c>
      <c r="AQ71" s="77" cm="1">
        <f t="array" aca="1" ref="AQ71" ca="1">AQ70</f>
        <v>0</v>
      </c>
      <c r="AR71" s="77" cm="1">
        <f t="array" aca="1" ref="AR71" ca="1">AR70</f>
        <v>0</v>
      </c>
      <c r="AS71" s="77" cm="1">
        <f t="array" aca="1" ref="AS71" ca="1">AS70</f>
        <v>0</v>
      </c>
      <c r="AT71" s="517" cm="1">
        <f t="array" aca="1" ref="AT71" ca="1">AT70</f>
        <v>0</v>
      </c>
      <c r="AU71" s="517" cm="1">
        <f t="array" aca="1" ref="AU71" ca="1">AU70</f>
        <v>0</v>
      </c>
      <c r="AV71" s="517" cm="1">
        <f t="array" aca="1" ref="AV71" ca="1">AV70</f>
        <v>0</v>
      </c>
      <c r="AW71" s="517" cm="1">
        <f t="array" aca="1" ref="AW71" ca="1">AW70</f>
        <v>0</v>
      </c>
      <c r="AX71" s="517" cm="1">
        <f t="array" aca="1" ref="AX71" ca="1">AX70</f>
        <v>0</v>
      </c>
      <c r="AY71" s="77" cm="1">
        <f t="array" aca="1" ref="AY71" ca="1">AY70</f>
        <v>0</v>
      </c>
      <c r="AZ71" s="77" cm="1">
        <f t="array" aca="1" ref="AZ71" ca="1">AZ70</f>
        <v>0</v>
      </c>
      <c r="BA71" s="77" cm="1">
        <f t="array" aca="1" ref="BA71" ca="1">BA70</f>
        <v>0</v>
      </c>
      <c r="BB71" s="77" cm="1">
        <f t="array" aca="1" ref="BB71" ca="1">BB70</f>
        <v>0</v>
      </c>
      <c r="BC71" s="77" cm="1">
        <f t="array" aca="1" ref="BC71" ca="1">BC70</f>
        <v>0</v>
      </c>
      <c r="BD71" s="319"/>
      <c r="BE71" s="319"/>
      <c r="BF71" s="319"/>
      <c r="BG71" s="319"/>
      <c r="BH71" s="319"/>
      <c r="BI71" s="319"/>
      <c r="BJ71" s="319"/>
      <c r="BK71" s="319"/>
      <c r="BL71" s="319"/>
      <c r="BM71" s="319"/>
      <c r="BN71" s="28"/>
      <c r="BO71" s="28"/>
      <c r="BP71" s="28"/>
      <c r="BS71" s="1031" t="s">
        <v>1811</v>
      </c>
      <c r="BX71" s="1064"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94" t="s">
        <v>1805</v>
      </c>
      <c r="D72" s="1053" t="s">
        <v>1806</v>
      </c>
      <c r="E72" s="676">
        <v>15</v>
      </c>
      <c r="F72" s="779" cm="1">
        <f t="array" aca="1" ref="F72" ca="1">OFFSET(G72,-1,-1)</f>
        <v>0</v>
      </c>
      <c r="G72" s="143" t="s">
        <v>1812</v>
      </c>
      <c r="L72" s="143" t="s">
        <v>1768</v>
      </c>
      <c r="M72" s="1077"/>
      <c r="N72" s="1077" cm="1">
        <f t="array" aca="1" ref="N72" ca="1">OFFSET(M72,-1,1)</f>
        <v>0</v>
      </c>
      <c r="O72" s="1078" t="s">
        <v>1791</v>
      </c>
      <c r="P72" s="1078"/>
      <c r="Q72" s="1078"/>
      <c r="R72" s="1078"/>
      <c r="T72" s="687" t="b" cm="1">
        <f t="array" aca="1" ref="T72" ca="1">T71</f>
        <v>0</v>
      </c>
      <c r="X72" s="1726"/>
      <c r="Z72" s="1726"/>
      <c r="AB72" s="553" t="str">
        <f>AB70&amp;".2"</f>
        <v>16.2</v>
      </c>
      <c r="AC72" s="608" t="s">
        <v>1813</v>
      </c>
      <c r="AD72" s="523" t="s">
        <v>725</v>
      </c>
      <c r="AE72" s="77" cm="1">
        <f t="array" aca="1" ref="AE72" ca="1">AE70</f>
        <v>0</v>
      </c>
      <c r="AF72" s="516"/>
      <c r="AG72" s="516"/>
      <c r="AH72" s="516"/>
      <c r="AI72" s="77" cm="1">
        <f t="array" aca="1" ref="AI72" ca="1">AI70</f>
        <v>0</v>
      </c>
      <c r="AJ72" s="517" cm="1">
        <f t="array" aca="1" ref="AJ72" ca="1">AJ70</f>
        <v>0</v>
      </c>
      <c r="AK72" s="517" cm="1">
        <f t="array" aca="1" ref="AK72" ca="1">AK70</f>
        <v>0</v>
      </c>
      <c r="AL72" s="517" cm="1">
        <f t="array" aca="1" ref="AL72" ca="1">AL70</f>
        <v>0</v>
      </c>
      <c r="AM72" s="517" cm="1">
        <f t="array" aca="1" ref="AM72" ca="1">AM70</f>
        <v>0</v>
      </c>
      <c r="AN72" s="517" cm="1">
        <f t="array" aca="1" ref="AN72" ca="1">AN70</f>
        <v>0</v>
      </c>
      <c r="AO72" s="77" cm="1">
        <f t="array" aca="1" ref="AO72" ca="1">AO70</f>
        <v>0</v>
      </c>
      <c r="AP72" s="77" cm="1">
        <f t="array" aca="1" ref="AP72" ca="1">AP70</f>
        <v>0</v>
      </c>
      <c r="AQ72" s="77" cm="1">
        <f t="array" aca="1" ref="AQ72" ca="1">AQ70</f>
        <v>0</v>
      </c>
      <c r="AR72" s="77" cm="1">
        <f t="array" aca="1" ref="AR72" ca="1">AR70</f>
        <v>0</v>
      </c>
      <c r="AS72" s="77" cm="1">
        <f t="array" aca="1" ref="AS72" ca="1">AS70</f>
        <v>0</v>
      </c>
      <c r="AT72" s="517" cm="1">
        <f t="array" aca="1" ref="AT72" ca="1">AT70</f>
        <v>0</v>
      </c>
      <c r="AU72" s="517" cm="1">
        <f t="array" aca="1" ref="AU72" ca="1">AU70</f>
        <v>0</v>
      </c>
      <c r="AV72" s="517" cm="1">
        <f t="array" aca="1" ref="AV72" ca="1">AV70</f>
        <v>0</v>
      </c>
      <c r="AW72" s="517" cm="1">
        <f t="array" aca="1" ref="AW72" ca="1">AW70</f>
        <v>0</v>
      </c>
      <c r="AX72" s="517" cm="1">
        <f t="array" aca="1" ref="AX72" ca="1">AX70</f>
        <v>0</v>
      </c>
      <c r="AY72" s="77" cm="1">
        <f t="array" aca="1" ref="AY72" ca="1">AY70</f>
        <v>0</v>
      </c>
      <c r="AZ72" s="77" cm="1">
        <f t="array" aca="1" ref="AZ72" ca="1">AZ70</f>
        <v>0</v>
      </c>
      <c r="BA72" s="77" cm="1">
        <f t="array" aca="1" ref="BA72" ca="1">BA70</f>
        <v>0</v>
      </c>
      <c r="BB72" s="77" cm="1">
        <f t="array" aca="1" ref="BB72" ca="1">BB70</f>
        <v>0</v>
      </c>
      <c r="BC72" s="77" cm="1">
        <f t="array" aca="1" ref="BC72" ca="1">BC70</f>
        <v>0</v>
      </c>
      <c r="BD72" s="319"/>
      <c r="BE72" s="319"/>
      <c r="BF72" s="319"/>
      <c r="BG72" s="319"/>
      <c r="BH72" s="319"/>
      <c r="BI72" s="319"/>
      <c r="BJ72" s="319"/>
      <c r="BK72" s="319"/>
      <c r="BL72" s="319"/>
      <c r="BM72" s="319"/>
      <c r="BN72" s="28"/>
      <c r="BO72" s="28"/>
      <c r="BP72" s="28"/>
      <c r="BS72" s="1031" t="s">
        <v>1814</v>
      </c>
      <c r="BX72" s="1064"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94"/>
      <c r="D73" s="1053"/>
      <c r="E73" s="676">
        <v>15</v>
      </c>
      <c r="F73" s="779" cm="1">
        <f t="array" aca="1" ref="F73" ca="1">OFFSET(G73,-1,-1)</f>
        <v>0</v>
      </c>
      <c r="L73" s="143" t="s">
        <v>1768</v>
      </c>
      <c r="M73" s="1077"/>
      <c r="N73" s="1077" cm="1">
        <f t="array" aca="1" ref="N73" ca="1">OFFSET(M73,-1,1)</f>
        <v>0</v>
      </c>
      <c r="O73" s="1078"/>
      <c r="P73" s="1078"/>
      <c r="Q73" s="1078"/>
      <c r="R73" s="1078"/>
      <c r="T73" s="687" t="b" cm="1">
        <f t="array" aca="1" ref="T73" ca="1">T72</f>
        <v>0</v>
      </c>
      <c r="X73" s="1726"/>
      <c r="Z73" s="1726"/>
      <c r="AB73" s="552" t="s">
        <v>1815</v>
      </c>
      <c r="AC73" s="521" t="s">
        <v>1816</v>
      </c>
      <c r="AD73" s="522"/>
      <c r="AE73" s="516"/>
      <c r="AF73" s="516"/>
      <c r="AG73" s="516"/>
      <c r="AH73" s="516"/>
      <c r="AI73" s="516"/>
      <c r="AJ73" s="516"/>
      <c r="AK73" s="516"/>
      <c r="AL73" s="516"/>
      <c r="AM73" s="516"/>
      <c r="AN73" s="516"/>
      <c r="AO73" s="516"/>
      <c r="AP73" s="516"/>
      <c r="AQ73" s="516"/>
      <c r="AR73" s="516"/>
      <c r="AS73" s="516"/>
      <c r="AT73" s="516"/>
      <c r="AU73" s="516"/>
      <c r="AV73" s="516"/>
      <c r="AW73" s="516"/>
      <c r="AX73" s="516"/>
      <c r="AY73" s="516"/>
      <c r="AZ73" s="516"/>
      <c r="BA73" s="516"/>
      <c r="BB73" s="516"/>
      <c r="BC73" s="516"/>
      <c r="BD73" s="319"/>
      <c r="BE73" s="319"/>
      <c r="BF73" s="319"/>
      <c r="BG73" s="319"/>
      <c r="BH73" s="319"/>
      <c r="BI73" s="319"/>
      <c r="BJ73" s="319"/>
      <c r="BK73" s="319"/>
      <c r="BL73" s="319"/>
      <c r="BM73" s="319"/>
      <c r="BN73" s="28"/>
      <c r="BO73" s="28"/>
      <c r="BP73" s="28"/>
      <c r="BS73" s="1031" t="s">
        <v>1817</v>
      </c>
      <c r="BX73" s="1132"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94" t="s">
        <v>1818</v>
      </c>
      <c r="D74" s="1053" t="s">
        <v>1819</v>
      </c>
      <c r="E74" s="676">
        <v>15</v>
      </c>
      <c r="F74" s="779" cm="1">
        <f t="array" aca="1" ref="F74" ca="1">OFFSET(G74,-1,-1)</f>
        <v>0</v>
      </c>
      <c r="G74" s="143" t="s">
        <v>1820</v>
      </c>
      <c r="L74" s="143" t="s">
        <v>1768</v>
      </c>
      <c r="M74" s="1077"/>
      <c r="N74" s="1077" cm="1">
        <f t="array" aca="1" ref="N74" ca="1">OFFSET(M74,-1,1)</f>
        <v>0</v>
      </c>
      <c r="O74" s="1078" t="s">
        <v>1782</v>
      </c>
      <c r="P74" s="1078"/>
      <c r="Q74" s="1078"/>
      <c r="R74" s="1078"/>
      <c r="T74" s="687" t="b" cm="1">
        <f t="array" aca="1" ref="T74" ca="1">T73</f>
        <v>0</v>
      </c>
      <c r="X74" s="1726"/>
      <c r="Z74" s="1726"/>
      <c r="AB74" s="553" t="str">
        <f>AB73&amp;".1"</f>
        <v>17.1</v>
      </c>
      <c r="AC74" s="1139" t="s">
        <v>1821</v>
      </c>
      <c r="AD74" s="443" t="s">
        <v>929</v>
      </c>
      <c r="AE74" s="77"/>
      <c r="AF74" s="516"/>
      <c r="AG74" s="516"/>
      <c r="AH74" s="516"/>
      <c r="AI74" s="77">
        <f ca="1">MIN(AE75,IFERROR(AI61*1000/AI63,0))</f>
        <v>0</v>
      </c>
      <c r="AJ74" s="517">
        <f t="shared" ref="AJ74:AS74" ca="1" si="28">MIN(AI75,IFERROR(AJ61*1000/AJ63,0))</f>
        <v>0</v>
      </c>
      <c r="AK74" s="517">
        <f t="shared" ca="1" si="28"/>
        <v>0</v>
      </c>
      <c r="AL74" s="517">
        <f t="shared" ca="1" si="28"/>
        <v>0</v>
      </c>
      <c r="AM74" s="517">
        <f t="shared" ca="1" si="28"/>
        <v>0</v>
      </c>
      <c r="AN74" s="517">
        <f t="shared" ca="1" si="28"/>
        <v>0</v>
      </c>
      <c r="AO74" s="77">
        <f t="shared" ca="1" si="28"/>
        <v>0</v>
      </c>
      <c r="AP74" s="77">
        <f t="shared" ca="1" si="28"/>
        <v>0</v>
      </c>
      <c r="AQ74" s="77">
        <f t="shared" ca="1" si="28"/>
        <v>0</v>
      </c>
      <c r="AR74" s="77">
        <f t="shared" ca="1" si="28"/>
        <v>0</v>
      </c>
      <c r="AS74" s="77">
        <f t="shared" ca="1" si="28"/>
        <v>0</v>
      </c>
      <c r="AT74" s="517">
        <f ca="1">MIN(AI75,IFERROR(AT61*1000/AT63,0))</f>
        <v>0</v>
      </c>
      <c r="AU74" s="517">
        <f t="shared" ref="AU74:BC74" ca="1" si="29">MIN(AT75,IFERROR(AU61*1000/AU63,0))</f>
        <v>0</v>
      </c>
      <c r="AV74" s="517">
        <f t="shared" ca="1" si="29"/>
        <v>0</v>
      </c>
      <c r="AW74" s="517">
        <f t="shared" ca="1" si="29"/>
        <v>0</v>
      </c>
      <c r="AX74" s="517">
        <f t="shared" ca="1" si="29"/>
        <v>0</v>
      </c>
      <c r="AY74" s="77">
        <f t="shared" ca="1" si="29"/>
        <v>0</v>
      </c>
      <c r="AZ74" s="77">
        <f t="shared" ca="1" si="29"/>
        <v>0</v>
      </c>
      <c r="BA74" s="77">
        <f t="shared" ca="1" si="29"/>
        <v>0</v>
      </c>
      <c r="BB74" s="77">
        <f t="shared" ca="1" si="29"/>
        <v>0</v>
      </c>
      <c r="BC74" s="77">
        <f t="shared" ca="1" si="29"/>
        <v>0</v>
      </c>
      <c r="BD74" s="319"/>
      <c r="BE74" s="319"/>
      <c r="BF74" s="319"/>
      <c r="BG74" s="319"/>
      <c r="BH74" s="319"/>
      <c r="BI74" s="319"/>
      <c r="BJ74" s="319"/>
      <c r="BK74" s="319"/>
      <c r="BL74" s="319"/>
      <c r="BM74" s="319"/>
      <c r="BN74" s="28"/>
      <c r="BO74" s="28"/>
      <c r="BP74" s="28"/>
      <c r="BS74" s="1031" t="s">
        <v>1822</v>
      </c>
      <c r="BX74" s="1064"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94" t="s">
        <v>1818</v>
      </c>
      <c r="D75" s="1053" t="s">
        <v>1819</v>
      </c>
      <c r="E75" s="676">
        <v>15</v>
      </c>
      <c r="F75" s="779" cm="1">
        <f t="array" aca="1" ref="F75" ca="1">OFFSET(G75,-1,-1)</f>
        <v>0</v>
      </c>
      <c r="G75" s="143" t="s">
        <v>1823</v>
      </c>
      <c r="L75" s="143" t="s">
        <v>1768</v>
      </c>
      <c r="M75" s="1077"/>
      <c r="N75" s="1077" cm="1">
        <f t="array" aca="1" ref="N75" ca="1">OFFSET(M75,-1,1)</f>
        <v>0</v>
      </c>
      <c r="O75" s="1078" t="s">
        <v>1791</v>
      </c>
      <c r="P75" s="1078"/>
      <c r="Q75" s="1078"/>
      <c r="R75" s="1078"/>
      <c r="T75" s="687" t="b" cm="1">
        <f t="array" aca="1" ref="T75" ca="1">T74</f>
        <v>0</v>
      </c>
      <c r="X75" s="1726"/>
      <c r="Z75" s="1726"/>
      <c r="AB75" s="553" t="str">
        <f>AB73&amp;".2"</f>
        <v>17.2</v>
      </c>
      <c r="AC75" s="1139" t="s">
        <v>1824</v>
      </c>
      <c r="AD75" s="443" t="s">
        <v>929</v>
      </c>
      <c r="AE75" s="515">
        <f ca="1">IFERROR((AE61*1000-AE64*AE74)/AE66,0)</f>
        <v>0</v>
      </c>
      <c r="AF75" s="516"/>
      <c r="AG75" s="516"/>
      <c r="AH75" s="516"/>
      <c r="AI75" s="515">
        <f t="shared" ref="AI75:BC75" ca="1" si="30">IFERROR((AI61*1000-AI64*AI74)/AI66,0)</f>
        <v>0</v>
      </c>
      <c r="AJ75" s="515">
        <f t="shared" ca="1" si="30"/>
        <v>0</v>
      </c>
      <c r="AK75" s="515">
        <f t="shared" ca="1" si="30"/>
        <v>0</v>
      </c>
      <c r="AL75" s="515">
        <f t="shared" ca="1" si="30"/>
        <v>0</v>
      </c>
      <c r="AM75" s="515">
        <f t="shared" ca="1" si="30"/>
        <v>0</v>
      </c>
      <c r="AN75" s="515">
        <f t="shared" ca="1" si="30"/>
        <v>0</v>
      </c>
      <c r="AO75" s="515">
        <f t="shared" ca="1" si="30"/>
        <v>0</v>
      </c>
      <c r="AP75" s="515">
        <f t="shared" ca="1" si="30"/>
        <v>0</v>
      </c>
      <c r="AQ75" s="515">
        <f t="shared" ca="1" si="30"/>
        <v>0</v>
      </c>
      <c r="AR75" s="515">
        <f t="shared" ca="1" si="30"/>
        <v>0</v>
      </c>
      <c r="AS75" s="515">
        <f t="shared" ca="1" si="30"/>
        <v>0</v>
      </c>
      <c r="AT75" s="515">
        <f t="shared" ca="1" si="30"/>
        <v>0</v>
      </c>
      <c r="AU75" s="515">
        <f t="shared" ca="1" si="30"/>
        <v>0</v>
      </c>
      <c r="AV75" s="515">
        <f t="shared" ca="1" si="30"/>
        <v>0</v>
      </c>
      <c r="AW75" s="515">
        <f t="shared" ca="1" si="30"/>
        <v>0</v>
      </c>
      <c r="AX75" s="515">
        <f t="shared" ca="1" si="30"/>
        <v>0</v>
      </c>
      <c r="AY75" s="515">
        <f t="shared" ca="1" si="30"/>
        <v>0</v>
      </c>
      <c r="AZ75" s="515">
        <f t="shared" ca="1" si="30"/>
        <v>0</v>
      </c>
      <c r="BA75" s="515">
        <f t="shared" ca="1" si="30"/>
        <v>0</v>
      </c>
      <c r="BB75" s="515">
        <f t="shared" ca="1" si="30"/>
        <v>0</v>
      </c>
      <c r="BC75" s="515">
        <f t="shared" ca="1" si="30"/>
        <v>0</v>
      </c>
      <c r="BD75" s="319"/>
      <c r="BE75" s="319"/>
      <c r="BF75" s="319"/>
      <c r="BG75" s="319"/>
      <c r="BH75" s="319"/>
      <c r="BI75" s="319"/>
      <c r="BJ75" s="319"/>
      <c r="BK75" s="319"/>
      <c r="BL75" s="319"/>
      <c r="BM75" s="319"/>
      <c r="BN75" s="28"/>
      <c r="BO75" s="28"/>
      <c r="BP75" s="28"/>
      <c r="BS75" s="1031" t="s">
        <v>1825</v>
      </c>
      <c r="BX75" s="1064"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94" t="s">
        <v>1826</v>
      </c>
      <c r="D76" s="1053" t="s">
        <v>1827</v>
      </c>
      <c r="E76" s="676">
        <v>15</v>
      </c>
      <c r="F76" s="779" cm="1">
        <f t="array" aca="1" ref="F76" ca="1">OFFSET(G76,-1,-1)</f>
        <v>0</v>
      </c>
      <c r="L76" s="143" t="s">
        <v>1768</v>
      </c>
      <c r="M76" s="1077"/>
      <c r="N76" s="1077" cm="1">
        <f t="array" aca="1" ref="N76" ca="1">OFFSET(M76,-1,1)</f>
        <v>0</v>
      </c>
      <c r="O76" s="1078"/>
      <c r="P76" s="1078" t="s">
        <v>1828</v>
      </c>
      <c r="Q76" s="1078"/>
      <c r="R76" s="1078"/>
      <c r="T76" s="687" t="b" cm="1">
        <f t="array" aca="1" ref="T76" ca="1">T75</f>
        <v>0</v>
      </c>
      <c r="X76" s="1726"/>
      <c r="Z76" s="1726"/>
      <c r="AB76" s="553" t="str">
        <f>AB73&amp;".3"</f>
        <v>17.3</v>
      </c>
      <c r="AC76" s="261" t="s">
        <v>1829</v>
      </c>
      <c r="AD76" s="443" t="s">
        <v>533</v>
      </c>
      <c r="AE76" s="555">
        <f ca="1">IFERROR(AE75/AE74,0)</f>
        <v>0</v>
      </c>
      <c r="AF76" s="516"/>
      <c r="AG76" s="516"/>
      <c r="AH76" s="516"/>
      <c r="AI76" s="555">
        <f t="shared" ref="AI76:BC76" ca="1" si="31">IFERROR(AI75/AI74,0)</f>
        <v>0</v>
      </c>
      <c r="AJ76" s="555">
        <f t="shared" ca="1" si="31"/>
        <v>0</v>
      </c>
      <c r="AK76" s="555">
        <f t="shared" ca="1" si="31"/>
        <v>0</v>
      </c>
      <c r="AL76" s="555">
        <f t="shared" ca="1" si="31"/>
        <v>0</v>
      </c>
      <c r="AM76" s="555">
        <f t="shared" ca="1" si="31"/>
        <v>0</v>
      </c>
      <c r="AN76" s="555">
        <f t="shared" ca="1" si="31"/>
        <v>0</v>
      </c>
      <c r="AO76" s="555">
        <f t="shared" ca="1" si="31"/>
        <v>0</v>
      </c>
      <c r="AP76" s="555">
        <f t="shared" ca="1" si="31"/>
        <v>0</v>
      </c>
      <c r="AQ76" s="555">
        <f t="shared" ca="1" si="31"/>
        <v>0</v>
      </c>
      <c r="AR76" s="555">
        <f t="shared" ca="1" si="31"/>
        <v>0</v>
      </c>
      <c r="AS76" s="555">
        <f t="shared" ca="1" si="31"/>
        <v>0</v>
      </c>
      <c r="AT76" s="555">
        <f t="shared" ca="1" si="31"/>
        <v>0</v>
      </c>
      <c r="AU76" s="555">
        <f t="shared" ca="1" si="31"/>
        <v>0</v>
      </c>
      <c r="AV76" s="555">
        <f t="shared" ca="1" si="31"/>
        <v>0</v>
      </c>
      <c r="AW76" s="555">
        <f t="shared" ca="1" si="31"/>
        <v>0</v>
      </c>
      <c r="AX76" s="555">
        <f t="shared" ca="1" si="31"/>
        <v>0</v>
      </c>
      <c r="AY76" s="555">
        <f t="shared" ca="1" si="31"/>
        <v>0</v>
      </c>
      <c r="AZ76" s="555">
        <f t="shared" ca="1" si="31"/>
        <v>0</v>
      </c>
      <c r="BA76" s="555">
        <f t="shared" ca="1" si="31"/>
        <v>0</v>
      </c>
      <c r="BB76" s="555">
        <f t="shared" ca="1" si="31"/>
        <v>0</v>
      </c>
      <c r="BC76" s="555">
        <f t="shared" ca="1" si="31"/>
        <v>0</v>
      </c>
      <c r="BD76" s="319"/>
      <c r="BE76" s="319"/>
      <c r="BF76" s="319"/>
      <c r="BG76" s="319"/>
      <c r="BH76" s="319"/>
      <c r="BI76" s="319"/>
      <c r="BJ76" s="319"/>
      <c r="BK76" s="319"/>
      <c r="BL76" s="319"/>
      <c r="BM76" s="319"/>
      <c r="BN76" s="28"/>
      <c r="BO76" s="28"/>
      <c r="BP76" s="28"/>
      <c r="BS76" s="1031" t="s">
        <v>1830</v>
      </c>
      <c r="BX76" s="1064"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94"/>
      <c r="D77" s="1053"/>
      <c r="E77" s="676">
        <v>33</v>
      </c>
      <c r="F77" s="779" cm="1">
        <f t="array" aca="1" ref="F77" ca="1">OFFSET(G77,-1,-1)</f>
        <v>0</v>
      </c>
      <c r="L77" s="143" t="s">
        <v>1768</v>
      </c>
      <c r="M77" s="1077"/>
      <c r="N77" s="1077" cm="1">
        <f t="array" aca="1" ref="N77" ca="1">OFFSET(M77,-1,1)</f>
        <v>0</v>
      </c>
      <c r="O77" s="1078"/>
      <c r="P77" s="1078"/>
      <c r="Q77" s="1078"/>
      <c r="R77" s="1078"/>
      <c r="T77" s="687" t="b" cm="1">
        <f t="array" aca="1" ref="T77" ca="1">T76</f>
        <v>0</v>
      </c>
      <c r="X77" s="1726"/>
      <c r="Z77" s="1726"/>
      <c r="AB77" s="233" t="s">
        <v>596</v>
      </c>
      <c r="AC77" s="521" t="s">
        <v>1831</v>
      </c>
      <c r="AD77" s="522"/>
      <c r="AE77" s="516"/>
      <c r="AF77" s="516"/>
      <c r="AG77" s="516"/>
      <c r="AH77" s="516"/>
      <c r="AI77" s="516"/>
      <c r="AJ77" s="516"/>
      <c r="AK77" s="516"/>
      <c r="AL77" s="516"/>
      <c r="AM77" s="516"/>
      <c r="AN77" s="516"/>
      <c r="AO77" s="516"/>
      <c r="AP77" s="516"/>
      <c r="AQ77" s="516"/>
      <c r="AR77" s="516"/>
      <c r="AS77" s="516"/>
      <c r="AT77" s="516"/>
      <c r="AU77" s="516"/>
      <c r="AV77" s="516"/>
      <c r="AW77" s="516"/>
      <c r="AX77" s="516"/>
      <c r="AY77" s="516"/>
      <c r="AZ77" s="516"/>
      <c r="BA77" s="516"/>
      <c r="BB77" s="516"/>
      <c r="BC77" s="516"/>
      <c r="BD77" s="319"/>
      <c r="BE77" s="319"/>
      <c r="BF77" s="319"/>
      <c r="BG77" s="319"/>
      <c r="BH77" s="319"/>
      <c r="BI77" s="319"/>
      <c r="BJ77" s="319"/>
      <c r="BK77" s="319"/>
      <c r="BL77" s="319"/>
      <c r="BM77" s="319"/>
      <c r="BN77" s="28"/>
      <c r="BO77" s="28"/>
      <c r="BP77" s="28"/>
      <c r="BS77" s="1031" t="s">
        <v>1832</v>
      </c>
      <c r="BX77" s="1132"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94" t="s">
        <v>1833</v>
      </c>
      <c r="D78" s="1053" t="s">
        <v>1834</v>
      </c>
      <c r="E78" s="676">
        <v>33</v>
      </c>
      <c r="F78" s="779" cm="1">
        <f t="array" aca="1" ref="F78" ca="1">OFFSET(G78,-1,-1)</f>
        <v>0</v>
      </c>
      <c r="G78" s="143" t="s">
        <v>1835</v>
      </c>
      <c r="L78" s="143" t="s">
        <v>1768</v>
      </c>
      <c r="M78" s="1077"/>
      <c r="N78" s="1077" cm="1">
        <f t="array" aca="1" ref="N78" ca="1">OFFSET(M78,-1,1)</f>
        <v>0</v>
      </c>
      <c r="O78" s="1078" t="s">
        <v>1782</v>
      </c>
      <c r="P78" s="1078"/>
      <c r="Q78" s="1078"/>
      <c r="R78" s="1078"/>
      <c r="T78" s="687" t="b" cm="1">
        <f t="array" aca="1" ref="T78" ca="1">T77</f>
        <v>0</v>
      </c>
      <c r="X78" s="1726"/>
      <c r="Z78" s="1726"/>
      <c r="AB78" s="553" t="str">
        <f>AB77&amp;".1"</f>
        <v>18.1</v>
      </c>
      <c r="AC78" s="115" t="s">
        <v>1836</v>
      </c>
      <c r="AD78" s="443" t="s">
        <v>1837</v>
      </c>
      <c r="AE78" s="53"/>
      <c r="AF78" s="319"/>
      <c r="AG78" s="319"/>
      <c r="AH78" s="319"/>
      <c r="AI78" s="77">
        <f ca="1">MIN(AE79,IFERROR(AI62/AI70/12,0))</f>
        <v>0</v>
      </c>
      <c r="AJ78" s="517">
        <f t="shared" ref="AJ78:AS78" ca="1" si="32">MIN(AI79,IFERROR(AJ62/AJ70/12,0))</f>
        <v>0</v>
      </c>
      <c r="AK78" s="517">
        <f t="shared" ca="1" si="32"/>
        <v>0</v>
      </c>
      <c r="AL78" s="517">
        <f t="shared" ca="1" si="32"/>
        <v>0</v>
      </c>
      <c r="AM78" s="517">
        <f t="shared" ca="1" si="32"/>
        <v>0</v>
      </c>
      <c r="AN78" s="517">
        <f t="shared" ca="1" si="32"/>
        <v>0</v>
      </c>
      <c r="AO78" s="77">
        <f t="shared" ca="1" si="32"/>
        <v>0</v>
      </c>
      <c r="AP78" s="77">
        <f t="shared" ca="1" si="32"/>
        <v>0</v>
      </c>
      <c r="AQ78" s="77">
        <f t="shared" ca="1" si="32"/>
        <v>0</v>
      </c>
      <c r="AR78" s="77">
        <f t="shared" ca="1" si="32"/>
        <v>0</v>
      </c>
      <c r="AS78" s="77">
        <f t="shared" ca="1" si="32"/>
        <v>0</v>
      </c>
      <c r="AT78" s="517">
        <f ca="1">MIN(AI79,IFERROR(AT62/AT70/12,0))</f>
        <v>0</v>
      </c>
      <c r="AU78" s="517">
        <f t="shared" ref="AU78:BC78" ca="1" si="33">MIN(AT79,IFERROR(AU62/AU70/12,0))</f>
        <v>0</v>
      </c>
      <c r="AV78" s="517">
        <f t="shared" ca="1" si="33"/>
        <v>0</v>
      </c>
      <c r="AW78" s="517">
        <f t="shared" ca="1" si="33"/>
        <v>0</v>
      </c>
      <c r="AX78" s="517">
        <f t="shared" ca="1" si="33"/>
        <v>0</v>
      </c>
      <c r="AY78" s="77">
        <f t="shared" ca="1" si="33"/>
        <v>0</v>
      </c>
      <c r="AZ78" s="77">
        <f t="shared" ca="1" si="33"/>
        <v>0</v>
      </c>
      <c r="BA78" s="77">
        <f t="shared" ca="1" si="33"/>
        <v>0</v>
      </c>
      <c r="BB78" s="77">
        <f t="shared" ca="1" si="33"/>
        <v>0</v>
      </c>
      <c r="BC78" s="77">
        <f t="shared" ca="1" si="33"/>
        <v>0</v>
      </c>
      <c r="BD78" s="319"/>
      <c r="BE78" s="319"/>
      <c r="BF78" s="319"/>
      <c r="BG78" s="319"/>
      <c r="BH78" s="319"/>
      <c r="BI78" s="319"/>
      <c r="BJ78" s="319"/>
      <c r="BK78" s="319"/>
      <c r="BL78" s="319"/>
      <c r="BM78" s="319"/>
      <c r="BN78" s="28"/>
      <c r="BO78" s="28"/>
      <c r="BP78" s="28"/>
      <c r="BS78" s="1031" t="s">
        <v>1838</v>
      </c>
      <c r="BX78" s="1064"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94" t="s">
        <v>1833</v>
      </c>
      <c r="D79" s="1053" t="s">
        <v>1834</v>
      </c>
      <c r="E79" s="676">
        <v>33</v>
      </c>
      <c r="F79" s="779" cm="1">
        <f t="array" aca="1" ref="F79" ca="1">OFFSET(G79,-1,-1)</f>
        <v>0</v>
      </c>
      <c r="G79" s="143" t="s">
        <v>1839</v>
      </c>
      <c r="L79" s="143" t="s">
        <v>1768</v>
      </c>
      <c r="M79" s="1077"/>
      <c r="N79" s="1077" cm="1">
        <f t="array" aca="1" ref="N79" ca="1">OFFSET(M79,-1,1)</f>
        <v>0</v>
      </c>
      <c r="O79" s="1078" t="s">
        <v>1791</v>
      </c>
      <c r="P79" s="1078"/>
      <c r="Q79" s="1078"/>
      <c r="R79" s="1078"/>
      <c r="T79" s="687" t="b" cm="1">
        <f t="array" aca="1" ref="T79" ca="1">T78</f>
        <v>0</v>
      </c>
      <c r="X79" s="1726"/>
      <c r="Z79" s="1726"/>
      <c r="AB79" s="553" t="str">
        <f>AB77&amp;".2"</f>
        <v>18.2</v>
      </c>
      <c r="AC79" s="115" t="s">
        <v>1840</v>
      </c>
      <c r="AD79" s="443" t="s">
        <v>1837</v>
      </c>
      <c r="AE79" s="256">
        <f ca="1">IFERROR((AE62-AE71*6*AE78)/AE72/6,0)</f>
        <v>0</v>
      </c>
      <c r="AF79" s="319"/>
      <c r="AG79" s="319"/>
      <c r="AH79" s="319"/>
      <c r="AI79" s="256">
        <f ca="1">IFERROR((AI62-AI71*6*AI78)/AI72/6,0)</f>
        <v>0</v>
      </c>
      <c r="AJ79" s="256">
        <f ca="1">IFERROR((AJ62-AJ71*IF(god=2026,9,6)*AJ78)/AJ72/IF(god=2026,3,6),0)</f>
        <v>0</v>
      </c>
      <c r="AK79" s="256">
        <f ca="1">IFERROR((AK62-AK71*IF(god=2025,9,6)*AK78)/AK72/IF(god=2025,3,6),0)</f>
        <v>0</v>
      </c>
      <c r="AL79" s="256">
        <f t="shared" ref="AL79:AS79" ca="1" si="34">IFERROR((AL62-AL71*6*AL78)/AL72/6,0)</f>
        <v>0</v>
      </c>
      <c r="AM79" s="256">
        <f t="shared" ca="1" si="34"/>
        <v>0</v>
      </c>
      <c r="AN79" s="256">
        <f t="shared" ca="1" si="34"/>
        <v>0</v>
      </c>
      <c r="AO79" s="256">
        <f t="shared" ca="1" si="34"/>
        <v>0</v>
      </c>
      <c r="AP79" s="256">
        <f t="shared" ca="1" si="34"/>
        <v>0</v>
      </c>
      <c r="AQ79" s="256">
        <f t="shared" ca="1" si="34"/>
        <v>0</v>
      </c>
      <c r="AR79" s="256">
        <f t="shared" ca="1" si="34"/>
        <v>0</v>
      </c>
      <c r="AS79" s="256">
        <f t="shared" ca="1" si="34"/>
        <v>0</v>
      </c>
      <c r="AT79" s="256">
        <f ca="1">IFERROR((AT62-AT71*IF(god=2026,9,6)*AT78)/AT72/IF(god=2026,3,6),0)</f>
        <v>0</v>
      </c>
      <c r="AU79" s="256">
        <f ca="1">IFERROR((AU62-AU71*IF(god=2025,9,6)*AU78)/AU72/IF(god=2025,3,6),0)</f>
        <v>0</v>
      </c>
      <c r="AV79" s="256">
        <f t="shared" ref="AV79:BC79" ca="1" si="35">IFERROR((AV62-AV71*6*AV78)/AV72/6,0)</f>
        <v>0</v>
      </c>
      <c r="AW79" s="256">
        <f t="shared" ca="1" si="35"/>
        <v>0</v>
      </c>
      <c r="AX79" s="256">
        <f t="shared" ca="1" si="35"/>
        <v>0</v>
      </c>
      <c r="AY79" s="256">
        <f t="shared" ca="1" si="35"/>
        <v>0</v>
      </c>
      <c r="AZ79" s="256">
        <f t="shared" ca="1" si="35"/>
        <v>0</v>
      </c>
      <c r="BA79" s="256">
        <f t="shared" ca="1" si="35"/>
        <v>0</v>
      </c>
      <c r="BB79" s="256">
        <f t="shared" ca="1" si="35"/>
        <v>0</v>
      </c>
      <c r="BC79" s="256">
        <f t="shared" ca="1" si="35"/>
        <v>0</v>
      </c>
      <c r="BD79" s="319"/>
      <c r="BE79" s="319"/>
      <c r="BF79" s="319"/>
      <c r="BG79" s="319"/>
      <c r="BH79" s="319"/>
      <c r="BI79" s="319"/>
      <c r="BJ79" s="319"/>
      <c r="BK79" s="319"/>
      <c r="BL79" s="319"/>
      <c r="BM79" s="319"/>
      <c r="BN79" s="28"/>
      <c r="BO79" s="28"/>
      <c r="BP79" s="28"/>
      <c r="BS79" s="1031" t="s">
        <v>1841</v>
      </c>
      <c r="BX79" s="1064"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94" t="s">
        <v>1826</v>
      </c>
      <c r="D80" s="1053" t="s">
        <v>1827</v>
      </c>
      <c r="E80" s="676">
        <v>15</v>
      </c>
      <c r="F80" s="779" cm="1">
        <f t="array" aca="1" ref="F80" ca="1">OFFSET(G80,-1,-1)</f>
        <v>0</v>
      </c>
      <c r="L80" s="143" t="s">
        <v>1768</v>
      </c>
      <c r="M80" s="1077"/>
      <c r="N80" s="1077" cm="1">
        <f t="array" aca="1" ref="N80" ca="1">OFFSET(M80,-1,1)</f>
        <v>0</v>
      </c>
      <c r="O80" s="1078"/>
      <c r="P80" s="1078"/>
      <c r="Q80" s="1078" t="s">
        <v>1842</v>
      </c>
      <c r="R80" s="1078"/>
      <c r="T80" s="687" t="b" cm="1">
        <f t="array" aca="1" ref="T80" ca="1">T79</f>
        <v>0</v>
      </c>
      <c r="X80" s="1726"/>
      <c r="Z80" s="1726"/>
      <c r="AB80" s="553" t="str">
        <f>AB77&amp;".3"</f>
        <v>18.3</v>
      </c>
      <c r="AC80" s="261" t="s">
        <v>1843</v>
      </c>
      <c r="AD80" s="605" t="s">
        <v>533</v>
      </c>
      <c r="AE80" s="890">
        <f ca="1">IFERROR(AE79/AE78,0)</f>
        <v>0</v>
      </c>
      <c r="AF80" s="319"/>
      <c r="AG80" s="319"/>
      <c r="AH80" s="891"/>
      <c r="AI80" s="555">
        <f t="shared" ref="AI80:BC80" ca="1" si="36">IFERROR(AI79/AI78,0)</f>
        <v>0</v>
      </c>
      <c r="AJ80" s="555">
        <f t="shared" ca="1" si="36"/>
        <v>0</v>
      </c>
      <c r="AK80" s="555">
        <f t="shared" ca="1" si="36"/>
        <v>0</v>
      </c>
      <c r="AL80" s="555">
        <f t="shared" ca="1" si="36"/>
        <v>0</v>
      </c>
      <c r="AM80" s="555">
        <f t="shared" ca="1" si="36"/>
        <v>0</v>
      </c>
      <c r="AN80" s="555">
        <f t="shared" ca="1" si="36"/>
        <v>0</v>
      </c>
      <c r="AO80" s="555">
        <f t="shared" ca="1" si="36"/>
        <v>0</v>
      </c>
      <c r="AP80" s="555">
        <f t="shared" ca="1" si="36"/>
        <v>0</v>
      </c>
      <c r="AQ80" s="555">
        <f t="shared" ca="1" si="36"/>
        <v>0</v>
      </c>
      <c r="AR80" s="555">
        <f t="shared" ca="1" si="36"/>
        <v>0</v>
      </c>
      <c r="AS80" s="555">
        <f t="shared" ca="1" si="36"/>
        <v>0</v>
      </c>
      <c r="AT80" s="555">
        <f t="shared" ca="1" si="36"/>
        <v>0</v>
      </c>
      <c r="AU80" s="555">
        <f t="shared" ca="1" si="36"/>
        <v>0</v>
      </c>
      <c r="AV80" s="555">
        <f t="shared" ca="1" si="36"/>
        <v>0</v>
      </c>
      <c r="AW80" s="555">
        <f t="shared" ca="1" si="36"/>
        <v>0</v>
      </c>
      <c r="AX80" s="555">
        <f t="shared" ca="1" si="36"/>
        <v>0</v>
      </c>
      <c r="AY80" s="555">
        <f t="shared" ca="1" si="36"/>
        <v>0</v>
      </c>
      <c r="AZ80" s="555">
        <f t="shared" ca="1" si="36"/>
        <v>0</v>
      </c>
      <c r="BA80" s="555">
        <f t="shared" ca="1" si="36"/>
        <v>0</v>
      </c>
      <c r="BB80" s="555">
        <f t="shared" ca="1" si="36"/>
        <v>0</v>
      </c>
      <c r="BC80" s="555">
        <f t="shared" ca="1" si="36"/>
        <v>0</v>
      </c>
      <c r="BD80" s="319"/>
      <c r="BE80" s="319"/>
      <c r="BF80" s="319"/>
      <c r="BG80" s="319"/>
      <c r="BH80" s="319"/>
      <c r="BI80" s="319"/>
      <c r="BJ80" s="319"/>
      <c r="BK80" s="319"/>
      <c r="BL80" s="319"/>
      <c r="BM80" s="319"/>
      <c r="BN80" s="28"/>
      <c r="BO80" s="28"/>
      <c r="BP80" s="28"/>
      <c r="BS80" s="1031" t="s">
        <v>1844</v>
      </c>
      <c r="BX80" s="1064"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94" t="s">
        <v>1845</v>
      </c>
      <c r="D81" s="1053" t="s">
        <v>1846</v>
      </c>
      <c r="E81" s="676">
        <v>30</v>
      </c>
      <c r="F81" s="779" cm="1">
        <f t="array" aca="1" ref="F81" ca="1">OFFSET(G81,-1,-1)</f>
        <v>0</v>
      </c>
      <c r="M81" s="1077"/>
      <c r="N81" s="1077" cm="1">
        <f t="array" aca="1" ref="N81" ca="1">OFFSET(M81,-1,1)</f>
        <v>0</v>
      </c>
      <c r="O81" s="1078"/>
      <c r="P81" s="1078"/>
      <c r="Q81" s="1078"/>
      <c r="R81" s="1078"/>
      <c r="T81" s="687" t="b" cm="1">
        <f t="array" aca="1" ref="T81" ca="1">T60</f>
        <v>0</v>
      </c>
      <c r="X81" s="1726"/>
      <c r="Z81" s="1726"/>
      <c r="AB81" s="235" t="s">
        <v>1847</v>
      </c>
      <c r="AC81" s="888" t="s">
        <v>1848</v>
      </c>
      <c r="AD81" s="487" t="s">
        <v>1077</v>
      </c>
      <c r="AE81" s="53"/>
      <c r="AF81" s="53"/>
      <c r="AG81" s="90"/>
      <c r="AH81" s="256">
        <f>AG81-AF81</f>
        <v>0</v>
      </c>
      <c r="AI81" s="91"/>
      <c r="AJ81" s="889"/>
      <c r="AK81" s="889"/>
      <c r="AL81" s="889"/>
      <c r="AM81" s="889"/>
      <c r="AN81" s="889"/>
      <c r="AO81" s="91"/>
      <c r="AP81" s="91"/>
      <c r="AQ81" s="91"/>
      <c r="AR81" s="91"/>
      <c r="AS81" s="91"/>
      <c r="AT81" s="889"/>
      <c r="AU81" s="889"/>
      <c r="AV81" s="889"/>
      <c r="AW81" s="889"/>
      <c r="AX81" s="889"/>
      <c r="AY81" s="91"/>
      <c r="AZ81" s="91"/>
      <c r="BA81" s="91"/>
      <c r="BB81" s="91"/>
      <c r="BC81" s="91"/>
      <c r="BD81" s="256">
        <f>IF(AI81=0,0,(AT81-AI81)/AI81*100)</f>
        <v>0</v>
      </c>
      <c r="BE81" s="256">
        <f t="shared" ref="BE81:BM81" si="37">IF(AT81=0,0,(AU81-AT81)/AT81*100)</f>
        <v>0</v>
      </c>
      <c r="BF81" s="256">
        <f t="shared" si="37"/>
        <v>0</v>
      </c>
      <c r="BG81" s="256">
        <f t="shared" si="37"/>
        <v>0</v>
      </c>
      <c r="BH81" s="256">
        <f t="shared" si="37"/>
        <v>0</v>
      </c>
      <c r="BI81" s="256">
        <f t="shared" si="37"/>
        <v>0</v>
      </c>
      <c r="BJ81" s="256">
        <f t="shared" si="37"/>
        <v>0</v>
      </c>
      <c r="BK81" s="256">
        <f t="shared" si="37"/>
        <v>0</v>
      </c>
      <c r="BL81" s="256">
        <f t="shared" si="37"/>
        <v>0</v>
      </c>
      <c r="BM81" s="256">
        <f t="shared" si="37"/>
        <v>0</v>
      </c>
      <c r="BN81" s="28"/>
      <c r="BO81" s="28"/>
      <c r="BP81" s="28"/>
      <c r="BS81" s="1031" t="s">
        <v>1849</v>
      </c>
      <c r="BX81" s="1064"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416" customFormat="1" ht="16.5" customHeight="1">
      <c r="A82" s="170"/>
      <c r="B82" s="170"/>
      <c r="C82" s="1117"/>
      <c r="D82" s="1048"/>
      <c r="E82" s="676">
        <v>17.100000000000001</v>
      </c>
      <c r="F82" s="779" t="str" cm="1">
        <f t="array" ref="F82">X82</f>
        <v>1</v>
      </c>
      <c r="G82" s="620" t="str" cm="1">
        <f t="array" ref="G82">INDEX('Общие сведения'!$AK$187:$AK$236,MATCH($F82,'Общие сведения'!$Z$187:$Z$236,0))</f>
        <v>одноставочный</v>
      </c>
      <c r="H82" s="170"/>
      <c r="I82" s="163" t="str" cm="1">
        <f t="array" ref="I82">INDEX('Общие сведения'!$AE$187:$AE$236,MATCH($F82,'Общие сведения'!$Z$187:$Z$236,0))</f>
        <v>Теплоснабжение</v>
      </c>
      <c r="J82" s="170"/>
      <c r="K82" s="163" t="str" cm="1">
        <f t="array" ref="K82">INDEX('Общие сведения'!$AL$187:$AL$236,MATCH($F82,'Общие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170"/>
      <c r="M82" s="1066"/>
      <c r="N82" s="1066"/>
      <c r="O82" s="1076"/>
      <c r="P82" s="1076"/>
      <c r="Q82" s="1076"/>
      <c r="R82" s="1076"/>
      <c r="S82" s="170"/>
      <c r="T82" s="687" t="b">
        <f>X82&gt;0</f>
        <v>1</v>
      </c>
      <c r="U82" s="170"/>
      <c r="V82" s="126" t="str" cm="1">
        <f t="array" ref="V82">'Корр Факт'!$AB$75</f>
        <v>Тариф 1 (Теплоснабжение) - Тариф на тепловую энергию (мощность), поставляемую потребителям (Не определено)</v>
      </c>
      <c r="W82" s="170"/>
      <c r="X82" s="1726" t="s">
        <v>341</v>
      </c>
      <c r="Y82" s="170"/>
      <c r="Z82" s="1724"/>
      <c r="AA82" s="170"/>
      <c r="AB82" s="275" t="str" cm="1">
        <f t="array" ref="AB82">IF(ISBLANK('Корр Факт'!$AB$75),"",'Корр Факт'!$AB$75)</f>
        <v>Тариф 1 (Теплоснабжение) - Тариф на тепловую энергию (мощность), поставляемую потребителям (Не определено)</v>
      </c>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6"/>
      <c r="BH82" s="276"/>
      <c r="BI82" s="276"/>
      <c r="BJ82" s="276"/>
      <c r="BK82" s="276"/>
      <c r="BL82" s="276"/>
      <c r="BM82" s="276"/>
      <c r="BN82" s="276"/>
      <c r="BO82" s="276"/>
      <c r="BP82" s="276"/>
      <c r="BQ82" s="170"/>
      <c r="BR82" s="170"/>
      <c r="BS82" s="981"/>
      <c r="BT82" s="981"/>
      <c r="BU82" s="981"/>
      <c r="BV82" s="984"/>
      <c r="BW82" s="984"/>
      <c r="BX82" s="1092"/>
    </row>
    <row r="83" spans="1:76" s="1229" customFormat="1" ht="16.5" customHeight="1">
      <c r="A83" s="178"/>
      <c r="B83" s="783"/>
      <c r="C83" s="1094" t="s">
        <v>1646</v>
      </c>
      <c r="D83" s="1053" t="s">
        <v>1647</v>
      </c>
      <c r="E83" s="676">
        <v>17.100000000000001</v>
      </c>
      <c r="F83" s="779" t="str" cm="1">
        <f t="array" aca="1" ref="F83" ca="1">OFFSET(G83,-1,-1)</f>
        <v>1</v>
      </c>
      <c r="G83" s="143" t="s">
        <v>1350</v>
      </c>
      <c r="H83" s="180"/>
      <c r="I83" s="180"/>
      <c r="J83" s="180"/>
      <c r="K83" s="180"/>
      <c r="L83" s="143"/>
      <c r="M83" s="1077"/>
      <c r="N83" s="1077" t="str" cm="1">
        <f t="array" aca="1" ref="N83" ca="1">INDEX('Общие сведения'!$N$187:$N$236,MATCH($F83,'Общие сведения'!$Z$187:$Z$236,0)+1)</f>
        <v>ТЭ.42.26322895.0003</v>
      </c>
      <c r="O83" s="1078"/>
      <c r="P83" s="1078"/>
      <c r="Q83" s="1078"/>
      <c r="R83" s="1078"/>
      <c r="T83" s="687" t="b" cm="1">
        <f t="array" ref="T83">T82</f>
        <v>1</v>
      </c>
      <c r="U83" s="1153"/>
      <c r="V83" s="1153"/>
      <c r="W83" s="1153"/>
      <c r="X83" s="1726"/>
      <c r="Y83" s="1153"/>
      <c r="Z83" s="1726"/>
      <c r="AA83" s="180"/>
      <c r="AB83" s="111" t="s">
        <v>341</v>
      </c>
      <c r="AC83" s="622" t="s">
        <v>1404</v>
      </c>
      <c r="AD83" s="419" t="s">
        <v>1077</v>
      </c>
      <c r="AE83" s="515">
        <f ca="1">SUMIFS('Операционные (5.1)'!AE$26:AE$103,'Операционные (5.1)'!$F$26:$F$103,$F83,'Операционные (5.1)'!$G$26:$G$103,$G83)</f>
        <v>0</v>
      </c>
      <c r="AF83" s="515">
        <f ca="1">SUMIFS('Операционные (5.1)'!AF$26:AF$103,'Операционные (5.1)'!$F$26:$F$103,$F83,'Операционные (5.1)'!$G$26:$G$103,$G83)</f>
        <v>0</v>
      </c>
      <c r="AG83" s="515">
        <f ca="1">SUMIFS('Операционные (5.1)'!AG$26:AG$103,'Операционные (5.1)'!$F$26:$F$103,$F83,'Операционные (5.1)'!$G$26:$G$103,$G83)</f>
        <v>0</v>
      </c>
      <c r="AH83" s="256">
        <f t="shared" ref="AH83:AH109" ca="1" si="38">AG83-AF83</f>
        <v>0</v>
      </c>
      <c r="AI83" s="515">
        <f ca="1">SUMIFS('Операционные (5.1)'!AI$26:AI$103,'Операционные (5.1)'!$F$26:$F$103,$F83,'Операционные (5.1)'!$G$26:$G$103,$G83)</f>
        <v>243303.35</v>
      </c>
      <c r="AJ83" s="621">
        <f ca="1">SUMIFS(INDEX('Операционные (5.2)'!$AJ$26:$BC$54,,MATCH(AJ$8,'Операционные (5.2)'!$AJ$8:$BC$8,0)),'Операционные (5.2)'!$F$26:$F$54,$F83,'Операционные (5.2)'!$G$26:$G$54,$G83)</f>
        <v>240870.31650000002</v>
      </c>
      <c r="AK83" s="621">
        <f ca="1">SUMIFS(INDEX('Операционные (5.2)'!$AJ$26:$BC$54,,MATCH(AK$8,'Операционные (5.2)'!$AJ$8:$BC$8,0)),'Операционные (5.2)'!$F$26:$F$54,$F83,'Операционные (5.2)'!$G$26:$G$54,$G83)</f>
        <v>238461.613335</v>
      </c>
      <c r="AL83" s="621">
        <f ca="1">SUMIFS(INDEX('Операционные (5.2)'!$AJ$26:$BC$54,,MATCH(AL$8,'Операционные (5.2)'!$AJ$8:$BC$8,0)),'Операционные (5.2)'!$F$26:$F$54,$F83,'Операционные (5.2)'!$G$26:$G$54,$G83)</f>
        <v>236076.99720165</v>
      </c>
      <c r="AM83" s="621">
        <f ca="1">SUMIFS(INDEX('Операционные (5.2)'!$AJ$26:$BC$54,,MATCH(AM$8,'Операционные (5.2)'!$AJ$8:$BC$8,0)),'Операционные (5.2)'!$F$26:$F$54,$F83,'Операционные (5.2)'!$G$26:$G$54,$G83)</f>
        <v>233716.22722963348</v>
      </c>
      <c r="AN83" s="621">
        <f ca="1">SUMIFS(INDEX('Операционные (5.2)'!$AJ$26:$BC$54,,MATCH(AN$8,'Операционные (5.2)'!$AJ$8:$BC$8,0)),'Операционные (5.2)'!$F$26:$F$54,$F83,'Операционные (5.2)'!$G$26:$G$54,$G83)</f>
        <v>231379.06495733713</v>
      </c>
      <c r="AO83" s="621">
        <f ca="1">SUMIFS(INDEX('Операционные (5.2)'!$AJ$26:$BC$54,,MATCH(AO$8,'Операционные (5.2)'!$AJ$8:$BC$8,0)),'Операционные (5.2)'!$F$26:$F$54,$F83,'Операционные (5.2)'!$G$26:$G$54,$G83)</f>
        <v>229065.27430776376</v>
      </c>
      <c r="AP83" s="621">
        <f ca="1">SUMIFS(INDEX('Операционные (5.2)'!$AJ$26:$BC$54,,MATCH(AP$8,'Операционные (5.2)'!$AJ$8:$BC$8,0)),'Операционные (5.2)'!$F$26:$F$54,$F83,'Операционные (5.2)'!$G$26:$G$54,$G83)</f>
        <v>226774.62156468612</v>
      </c>
      <c r="AQ83" s="621">
        <f ca="1">SUMIFS(INDEX('Операционные (5.2)'!$AJ$26:$BC$54,,MATCH(AQ$8,'Операционные (5.2)'!$AJ$8:$BC$8,0)),'Операционные (5.2)'!$F$26:$F$54,$F83,'Операционные (5.2)'!$G$26:$G$54,$G83)</f>
        <v>224506.87534903927</v>
      </c>
      <c r="AR83" s="621">
        <f ca="1">SUMIFS(INDEX('Операционные (5.2)'!$AJ$26:$BC$54,,MATCH(AR$8,'Операционные (5.2)'!$AJ$8:$BC$8,0)),'Операционные (5.2)'!$F$26:$F$54,$F83,'Операционные (5.2)'!$G$26:$G$54,$G83)</f>
        <v>222261.80659554887</v>
      </c>
      <c r="AS83" s="621">
        <f ca="1">SUMIFS(INDEX('Операционные (5.2)'!$AJ$26:$BC$54,,MATCH(AS$8,'Операционные (5.2)'!$AJ$8:$BC$8,0)),'Операционные (5.2)'!$F$26:$F$54,$F83,'Операционные (5.2)'!$G$26:$G$54,$G83)</f>
        <v>220039.18852959338</v>
      </c>
      <c r="AT83" s="621">
        <f ca="1">SUMIFS(INDEX('Операционные (5.2)'!$AJ$26:$BC$54,,MATCH(AT$8,'Операционные (5.2)'!$AJ$8:$BC$8,0)),'Операционные (5.2)'!$F$26:$F$54,$F83,'Операционные (5.2)'!$G$26:$G$54,$G83)</f>
        <v>237576.5</v>
      </c>
      <c r="AU83" s="621">
        <f ca="1">SUMIFS(INDEX('Операционные (5.2)'!$AJ$26:$BC$54,,MATCH(AU$8,'Операционные (5.2)'!$AJ$8:$BC$8,0)),'Операционные (5.2)'!$F$26:$F$54,$F83,'Операционные (5.2)'!$G$26:$G$54,$G83)</f>
        <v>235200.73499999999</v>
      </c>
      <c r="AV83" s="621">
        <f ca="1">SUMIFS(INDEX('Операционные (5.2)'!$AJ$26:$BC$54,,MATCH(AV$8,'Операционные (5.2)'!$AJ$8:$BC$8,0)),'Операционные (5.2)'!$F$26:$F$54,$F83,'Операционные (5.2)'!$G$26:$G$54,$G83)</f>
        <v>232848.72764999999</v>
      </c>
      <c r="AW83" s="621">
        <f ca="1">SUMIFS(INDEX('Операционные (5.2)'!$AJ$26:$BC$54,,MATCH(AW$8,'Операционные (5.2)'!$AJ$8:$BC$8,0)),'Операционные (5.2)'!$F$26:$F$54,$F83,'Операционные (5.2)'!$G$26:$G$54,$G83)</f>
        <v>230520.24037349998</v>
      </c>
      <c r="AX83" s="621">
        <f ca="1">SUMIFS(INDEX('Операционные (5.2)'!$AJ$26:$BC$54,,MATCH(AX$8,'Операционные (5.2)'!$AJ$8:$BC$8,0)),'Операционные (5.2)'!$F$26:$F$54,$F83,'Операционные (5.2)'!$G$26:$G$54,$G83)</f>
        <v>228215.03796976499</v>
      </c>
      <c r="AY83" s="621">
        <f ca="1">SUMIFS(INDEX('Операционные (5.2)'!$AJ$26:$BC$54,,MATCH(AY$8,'Операционные (5.2)'!$AJ$8:$BC$8,0)),'Операционные (5.2)'!$F$26:$F$54,$F83,'Операционные (5.2)'!$G$26:$G$54,$G83)</f>
        <v>225932.88759006734</v>
      </c>
      <c r="AZ83" s="621">
        <f ca="1">SUMIFS(INDEX('Операционные (5.2)'!$AJ$26:$BC$54,,MATCH(AZ$8,'Операционные (5.2)'!$AJ$8:$BC$8,0)),'Операционные (5.2)'!$F$26:$F$54,$F83,'Операционные (5.2)'!$G$26:$G$54,$G83)</f>
        <v>223673.55871416666</v>
      </c>
      <c r="BA83" s="621">
        <f ca="1">SUMIFS(INDEX('Операционные (5.2)'!$AJ$26:$BC$54,,MATCH(BA$8,'Операционные (5.2)'!$AJ$8:$BC$8,0)),'Операционные (5.2)'!$F$26:$F$54,$F83,'Операционные (5.2)'!$G$26:$G$54,$G83)</f>
        <v>221436.82312702498</v>
      </c>
      <c r="BB83" s="621">
        <f ca="1">SUMIFS(INDEX('Операционные (5.2)'!$AJ$26:$BC$54,,MATCH(BB$8,'Операционные (5.2)'!$AJ$8:$BC$8,0)),'Операционные (5.2)'!$F$26:$F$54,$F83,'Операционные (5.2)'!$G$26:$G$54,$G83)</f>
        <v>219222.45489575472</v>
      </c>
      <c r="BC83" s="621">
        <f ca="1">SUMIFS(INDEX('Операционные (5.2)'!$AJ$26:$BC$54,,MATCH(BC$8,'Операционные (5.2)'!$AJ$8:$BC$8,0)),'Операционные (5.2)'!$F$26:$F$54,$F83,'Операционные (5.2)'!$G$26:$G$54,$G83)</f>
        <v>217030.23034679718</v>
      </c>
      <c r="BD83" s="256">
        <f t="shared" ref="BD83:BD109" ca="1" si="39">IF(AI83=0,0,(AT83-AI83)/AI83*100)</f>
        <v>-2.3537900320731322</v>
      </c>
      <c r="BE83" s="256">
        <f t="shared" ref="BE83:BE109" ca="1" si="40">IF(AT83=0,0,(AU83-AT83)/AT83*100)</f>
        <v>-1.000000000000006</v>
      </c>
      <c r="BF83" s="256">
        <f t="shared" ref="BF83:BF109" ca="1" si="41">IF(AU83=0,0,(AV83-AU83)/AU83*100)</f>
        <v>-1</v>
      </c>
      <c r="BG83" s="256">
        <f t="shared" ref="BG83:BG109" ca="1" si="42">IF(AV83=0,0,(AW83-AV83)/AV83*100)</f>
        <v>-1.0000000000000016</v>
      </c>
      <c r="BH83" s="256">
        <f t="shared" ref="BH83:BH109" ca="1" si="43">IF(AW83=0,0,(AX83-AW83)/AW83*100)</f>
        <v>-0.99999999999999623</v>
      </c>
      <c r="BI83" s="256">
        <f t="shared" ref="BI83:BI109" ca="1" si="44">IF(AX83=0,0,(AY83-AX83)/AX83*100)</f>
        <v>-0.99999999999999867</v>
      </c>
      <c r="BJ83" s="256">
        <f t="shared" ref="BJ83:BJ109" ca="1" si="45">IF(AY83=0,0,(AZ83-AY83)/AY83*100)</f>
        <v>-1.0000000000000042</v>
      </c>
      <c r="BK83" s="256">
        <f t="shared" ref="BK83:BK109" ca="1" si="46">IF(AZ83=0,0,(BA83-AZ83)/AZ83*100)</f>
        <v>-1.000000000000006</v>
      </c>
      <c r="BL83" s="256">
        <f t="shared" ref="BL83:BL109" ca="1" si="47">IF(BA83=0,0,(BB83-BA83)/BA83*100)</f>
        <v>-1.000000000000004</v>
      </c>
      <c r="BM83" s="256">
        <f t="shared" ref="BM83:BM109" ca="1" si="48">IF(BB83=0,0,(BC83-BB83)/BB83*100)</f>
        <v>-0.99999999999999833</v>
      </c>
      <c r="BN83" s="1290"/>
      <c r="BO83" s="1290"/>
      <c r="BP83" s="1290"/>
      <c r="BQ83" s="180"/>
      <c r="BR83" s="180"/>
      <c r="BS83" s="1031" t="s">
        <v>1648</v>
      </c>
      <c r="BT83" s="1031"/>
      <c r="BU83" s="1031"/>
      <c r="BV83" s="1032"/>
      <c r="BW83" s="1032"/>
      <c r="BX83" s="1064"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M10746::ТЭ.42.26322895.0003::Неопределено::Неопределено::Неопределено::Неопределено::Неопределено</v>
      </c>
    </row>
    <row r="84" spans="1:76" s="1229" customFormat="1" ht="16.5" customHeight="1">
      <c r="A84" s="178"/>
      <c r="B84" s="783"/>
      <c r="C84" s="1094" t="s">
        <v>1649</v>
      </c>
      <c r="D84" s="1053" t="s">
        <v>1650</v>
      </c>
      <c r="E84" s="676">
        <v>17.100000000000001</v>
      </c>
      <c r="F84" s="779" t="str" cm="1">
        <f t="array" aca="1" ref="F84" ca="1">OFFSET(G84,-1,-1)</f>
        <v>1</v>
      </c>
      <c r="G84" s="143" t="s">
        <v>1410</v>
      </c>
      <c r="H84" s="180"/>
      <c r="I84" s="180"/>
      <c r="J84" s="180"/>
      <c r="K84" s="180"/>
      <c r="L84" s="143"/>
      <c r="M84" s="1077"/>
      <c r="N84" s="1077" t="str" cm="1">
        <f t="array" aca="1" ref="N84" ca="1">OFFSET(M84,-1,1)</f>
        <v>ТЭ.42.26322895.0003</v>
      </c>
      <c r="O84" s="1078"/>
      <c r="P84" s="1078"/>
      <c r="Q84" s="1078"/>
      <c r="R84" s="1078"/>
      <c r="T84" s="687" t="b" cm="1">
        <f t="array" ref="T84">T83</f>
        <v>1</v>
      </c>
      <c r="U84" s="1153"/>
      <c r="V84" s="1153"/>
      <c r="W84" s="1153"/>
      <c r="X84" s="1726"/>
      <c r="Y84" s="1153"/>
      <c r="Z84" s="1726"/>
      <c r="AA84" s="180"/>
      <c r="AB84" s="111" t="s">
        <v>348</v>
      </c>
      <c r="AC84" s="548" t="s">
        <v>1651</v>
      </c>
      <c r="AD84" s="419" t="s">
        <v>1077</v>
      </c>
      <c r="AE84" s="515">
        <f ca="1">SUMIFS('Неподконтрольные (5.3)'!AE$26:AE$87,'Неподконтрольные (5.3)'!$F$26:$F$87,$F84,'Неподконтрольные (5.3)'!$G$26:$G$87,$G84)</f>
        <v>0</v>
      </c>
      <c r="AF84" s="515">
        <f ca="1">SUMIFS('Неподконтрольные (5.3)'!AF$26:AF$87,'Неподконтрольные (5.3)'!$F$26:$F$87,$F84,'Неподконтрольные (5.3)'!$G$26:$G$87,$G84)</f>
        <v>0</v>
      </c>
      <c r="AG84" s="515">
        <f ca="1">SUMIFS('Неподконтрольные (5.3)'!AG$26:AG$87,'Неподконтрольные (5.3)'!$F$26:$F$87,$F84,'Неподконтрольные (5.3)'!$G$26:$G$87,$G84)</f>
        <v>0</v>
      </c>
      <c r="AH84" s="256">
        <f t="shared" ca="1" si="38"/>
        <v>0</v>
      </c>
      <c r="AI84" s="515">
        <f ca="1">SUMIFS('Неподконтрольные (5.3)'!AI$26:AI$87,'Неподконтрольные (5.3)'!$F$26:$F$87,$F84,'Неподконтрольные (5.3)'!$G$26:$G$87,$G84)</f>
        <v>22619.439997079993</v>
      </c>
      <c r="AJ84" s="515">
        <f ca="1">SUMIFS('Неподконтрольные (5.3)'!AJ$26:AJ$87,'Неподконтрольные (5.3)'!$F$26:$F$87,$F84,'Неподконтрольные (5.3)'!$G$26:$G$87,$G84)</f>
        <v>0</v>
      </c>
      <c r="AK84" s="515">
        <f ca="1">SUMIFS('Неподконтрольные (5.3)'!AK$26:AK$87,'Неподконтрольные (5.3)'!$F$26:$F$87,$F84,'Неподконтрольные (5.3)'!$G$26:$G$87,$G84)</f>
        <v>0</v>
      </c>
      <c r="AL84" s="515">
        <f ca="1">SUMIFS('Неподконтрольные (5.3)'!AL$26:AL$87,'Неподконтрольные (5.3)'!$F$26:$F$87,$F84,'Неподконтрольные (5.3)'!$G$26:$G$87,$G84)</f>
        <v>0</v>
      </c>
      <c r="AM84" s="515">
        <f ca="1">SUMIFS('Неподконтрольные (5.3)'!AM$26:AM$87,'Неподконтрольные (5.3)'!$F$26:$F$87,$F84,'Неподконтрольные (5.3)'!$G$26:$G$87,$G84)</f>
        <v>0</v>
      </c>
      <c r="AN84" s="515">
        <f ca="1">SUMIFS('Неподконтрольные (5.3)'!AN$26:AN$87,'Неподконтрольные (5.3)'!$F$26:$F$87,$F84,'Неподконтрольные (5.3)'!$G$26:$G$87,$G84)</f>
        <v>0</v>
      </c>
      <c r="AO84" s="515">
        <f ca="1">SUMIFS('Неподконтрольные (5.3)'!AO$26:AO$87,'Неподконтрольные (5.3)'!$F$26:$F$87,$F84,'Неподконтрольные (5.3)'!$G$26:$G$87,$G84)</f>
        <v>0</v>
      </c>
      <c r="AP84" s="515">
        <f ca="1">SUMIFS('Неподконтрольные (5.3)'!AP$26:AP$87,'Неподконтрольные (5.3)'!$F$26:$F$87,$F84,'Неподконтрольные (5.3)'!$G$26:$G$87,$G84)</f>
        <v>0</v>
      </c>
      <c r="AQ84" s="515">
        <f ca="1">SUMIFS('Неподконтрольные (5.3)'!AQ$26:AQ$87,'Неподконтрольные (5.3)'!$F$26:$F$87,$F84,'Неподконтрольные (5.3)'!$G$26:$G$87,$G84)</f>
        <v>0</v>
      </c>
      <c r="AR84" s="515">
        <f ca="1">SUMIFS('Неподконтрольные (5.3)'!AR$26:AR$87,'Неподконтрольные (5.3)'!$F$26:$F$87,$F84,'Неподконтрольные (5.3)'!$G$26:$G$87,$G84)</f>
        <v>0</v>
      </c>
      <c r="AS84" s="515">
        <f ca="1">SUMIFS('Неподконтрольные (5.3)'!AS$26:AS$87,'Неподконтрольные (5.3)'!$F$26:$F$87,$F84,'Неподконтрольные (5.3)'!$G$26:$G$87,$G84)</f>
        <v>0</v>
      </c>
      <c r="AT84" s="515">
        <f ca="1">SUMIFS('Неподконтрольные (5.3)'!AT$26:AT$87,'Неподконтрольные (5.3)'!$F$26:$F$87,$F84,'Неподконтрольные (5.3)'!$G$26:$G$87,$G84)</f>
        <v>38569.057403519997</v>
      </c>
      <c r="AU84" s="515">
        <f ca="1">SUMIFS('Неподконтрольные (5.3)'!AU$26:AU$87,'Неподконтрольные (5.3)'!$F$26:$F$87,$F84,'Неподконтрольные (5.3)'!$G$26:$G$87,$G84)</f>
        <v>0</v>
      </c>
      <c r="AV84" s="515">
        <f ca="1">SUMIFS('Неподконтрольные (5.3)'!AV$26:AV$87,'Неподконтрольные (5.3)'!$F$26:$F$87,$F84,'Неподконтрольные (5.3)'!$G$26:$G$87,$G84)</f>
        <v>0</v>
      </c>
      <c r="AW84" s="515">
        <f ca="1">SUMIFS('Неподконтрольные (5.3)'!AW$26:AW$87,'Неподконтрольные (5.3)'!$F$26:$F$87,$F84,'Неподконтрольные (5.3)'!$G$26:$G$87,$G84)</f>
        <v>0</v>
      </c>
      <c r="AX84" s="515">
        <f ca="1">SUMIFS('Неподконтрольные (5.3)'!AX$26:AX$87,'Неподконтрольные (5.3)'!$F$26:$F$87,$F84,'Неподконтрольные (5.3)'!$G$26:$G$87,$G84)</f>
        <v>0</v>
      </c>
      <c r="AY84" s="515">
        <f ca="1">SUMIFS('Неподконтрольные (5.3)'!AY$26:AY$87,'Неподконтрольные (5.3)'!$F$26:$F$87,$F84,'Неподконтрольные (5.3)'!$G$26:$G$87,$G84)</f>
        <v>0</v>
      </c>
      <c r="AZ84" s="515">
        <f ca="1">SUMIFS('Неподконтрольные (5.3)'!AZ$26:AZ$87,'Неподконтрольные (5.3)'!$F$26:$F$87,$F84,'Неподконтрольные (5.3)'!$G$26:$G$87,$G84)</f>
        <v>0</v>
      </c>
      <c r="BA84" s="515">
        <f ca="1">SUMIFS('Неподконтрольные (5.3)'!BA$26:BA$87,'Неподконтрольные (5.3)'!$F$26:$F$87,$F84,'Неподконтрольные (5.3)'!$G$26:$G$87,$G84)</f>
        <v>0</v>
      </c>
      <c r="BB84" s="515">
        <f ca="1">SUMIFS('Неподконтрольные (5.3)'!BB$26:BB$87,'Неподконтрольные (5.3)'!$F$26:$F$87,$F84,'Неподконтрольные (5.3)'!$G$26:$G$87,$G84)</f>
        <v>0</v>
      </c>
      <c r="BC84" s="515">
        <f ca="1">SUMIFS('Неподконтрольные (5.3)'!BC$26:BC$87,'Неподконтрольные (5.3)'!$F$26:$F$87,$F84,'Неподконтрольные (5.3)'!$G$26:$G$87,$G84)</f>
        <v>0</v>
      </c>
      <c r="BD84" s="256">
        <f t="shared" ca="1" si="39"/>
        <v>70.512874803704179</v>
      </c>
      <c r="BE84" s="256">
        <f t="shared" ca="1" si="40"/>
        <v>-100</v>
      </c>
      <c r="BF84" s="256">
        <f t="shared" ca="1" si="41"/>
        <v>0</v>
      </c>
      <c r="BG84" s="256">
        <f t="shared" ca="1" si="42"/>
        <v>0</v>
      </c>
      <c r="BH84" s="256">
        <f t="shared" ca="1" si="43"/>
        <v>0</v>
      </c>
      <c r="BI84" s="256">
        <f t="shared" ca="1" si="44"/>
        <v>0</v>
      </c>
      <c r="BJ84" s="256">
        <f t="shared" ca="1" si="45"/>
        <v>0</v>
      </c>
      <c r="BK84" s="256">
        <f t="shared" ca="1" si="46"/>
        <v>0</v>
      </c>
      <c r="BL84" s="256">
        <f t="shared" ca="1" si="47"/>
        <v>0</v>
      </c>
      <c r="BM84" s="256">
        <f t="shared" ca="1" si="48"/>
        <v>0</v>
      </c>
      <c r="BN84" s="1290"/>
      <c r="BO84" s="1290"/>
      <c r="BP84" s="1290"/>
      <c r="BQ84" s="180"/>
      <c r="BR84" s="180"/>
      <c r="BS84" s="1031" t="s">
        <v>1652</v>
      </c>
      <c r="BT84" s="1031"/>
      <c r="BU84" s="1031"/>
      <c r="BV84" s="1032"/>
      <c r="BW84" s="1032"/>
      <c r="BX84" s="1064"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M10747::ТЭ.42.26322895.0003::Неопределено::Неопределено::Неопределено::Неопределено::Неопределено</v>
      </c>
    </row>
    <row r="85" spans="1:76" s="1229" customFormat="1" ht="25.5" customHeight="1">
      <c r="A85" s="178"/>
      <c r="B85" s="783"/>
      <c r="C85" s="1094" t="s">
        <v>1653</v>
      </c>
      <c r="D85" s="1053" t="s">
        <v>1654</v>
      </c>
      <c r="E85" s="676">
        <v>26.3</v>
      </c>
      <c r="F85" s="779" t="str" cm="1">
        <f t="array" aca="1" ref="F85" ca="1">OFFSET(G85,-1,-1)</f>
        <v>1</v>
      </c>
      <c r="G85" s="143" t="s">
        <v>1452</v>
      </c>
      <c r="H85" s="180"/>
      <c r="I85" s="180"/>
      <c r="J85" s="180"/>
      <c r="K85" s="180"/>
      <c r="L85" s="143"/>
      <c r="M85" s="1077"/>
      <c r="N85" s="1077" t="str" cm="1">
        <f t="array" aca="1" ref="N85" ca="1">OFFSET(M85,-1,1)</f>
        <v>ТЭ.42.26322895.0003</v>
      </c>
      <c r="O85" s="1078"/>
      <c r="P85" s="1078"/>
      <c r="Q85" s="1078"/>
      <c r="R85" s="1078"/>
      <c r="T85" s="687" t="b" cm="1">
        <f t="array" ref="T85">T84</f>
        <v>1</v>
      </c>
      <c r="U85" s="1153"/>
      <c r="V85" s="1153"/>
      <c r="W85" s="1153"/>
      <c r="X85" s="1726"/>
      <c r="Y85" s="1153"/>
      <c r="Z85" s="1726"/>
      <c r="AA85" s="180"/>
      <c r="AB85" s="111" t="s">
        <v>437</v>
      </c>
      <c r="AC85" s="548" t="s">
        <v>1655</v>
      </c>
      <c r="AD85" s="419" t="s">
        <v>1077</v>
      </c>
      <c r="AE85" s="515">
        <f ca="1">SUMIFS('Ресурсы (5.4)'!AE$26:AE$57,'Ресурсы (5.4)'!$F$26:$F$57,$F85,'Ресурсы (5.4)'!$G$26:$G$57,$G85)</f>
        <v>0</v>
      </c>
      <c r="AF85" s="515">
        <f ca="1">SUMIFS('Ресурсы (5.4)'!AF$26:AF$57,'Ресурсы (5.4)'!$F$26:$F$57,$F85,'Ресурсы (5.4)'!$G$26:$G$57,$G85)</f>
        <v>0</v>
      </c>
      <c r="AG85" s="515">
        <f ca="1">SUMIFS('Ресурсы (5.4)'!AG$26:AG$57,'Ресурсы (5.4)'!$F$26:$F$57,$F85,'Ресурсы (5.4)'!$G$26:$G$57,$G85)</f>
        <v>0</v>
      </c>
      <c r="AH85" s="256">
        <f t="shared" ca="1" si="38"/>
        <v>0</v>
      </c>
      <c r="AI85" s="515">
        <f ca="1">SUMIFS('Ресурсы (5.4)'!AI$26:AI$57,'Ресурсы (5.4)'!$F$26:$F$57,$F85,'Ресурсы (5.4)'!$G$26:$G$57,$G85)</f>
        <v>173162.61624210744</v>
      </c>
      <c r="AJ85" s="515">
        <f ca="1">SUMIFS('Ресурсы (5.4)'!AJ$26:AJ$57,'Ресурсы (5.4)'!$F$26:$F$57,$F85,'Ресурсы (5.4)'!$G$26:$G$57,$G85)</f>
        <v>0</v>
      </c>
      <c r="AK85" s="515">
        <f ca="1">SUMIFS('Ресурсы (5.4)'!AK$26:AK$57,'Ресурсы (5.4)'!$F$26:$F$57,$F85,'Ресурсы (5.4)'!$G$26:$G$57,$G85)</f>
        <v>0</v>
      </c>
      <c r="AL85" s="515">
        <f ca="1">SUMIFS('Ресурсы (5.4)'!AL$26:AL$57,'Ресурсы (5.4)'!$F$26:$F$57,$F85,'Ресурсы (5.4)'!$G$26:$G$57,$G85)</f>
        <v>0</v>
      </c>
      <c r="AM85" s="515">
        <f ca="1">SUMIFS('Ресурсы (5.4)'!AM$26:AM$57,'Ресурсы (5.4)'!$F$26:$F$57,$F85,'Ресурсы (5.4)'!$G$26:$G$57,$G85)</f>
        <v>0</v>
      </c>
      <c r="AN85" s="515">
        <f ca="1">SUMIFS('Ресурсы (5.4)'!AN$26:AN$57,'Ресурсы (5.4)'!$F$26:$F$57,$F85,'Ресурсы (5.4)'!$G$26:$G$57,$G85)</f>
        <v>0</v>
      </c>
      <c r="AO85" s="515">
        <f ca="1">SUMIFS('Ресурсы (5.4)'!AO$26:AO$57,'Ресурсы (5.4)'!$F$26:$F$57,$F85,'Ресурсы (5.4)'!$G$26:$G$57,$G85)</f>
        <v>0</v>
      </c>
      <c r="AP85" s="515">
        <f ca="1">SUMIFS('Ресурсы (5.4)'!AP$26:AP$57,'Ресурсы (5.4)'!$F$26:$F$57,$F85,'Ресурсы (5.4)'!$G$26:$G$57,$G85)</f>
        <v>0</v>
      </c>
      <c r="AQ85" s="515">
        <f ca="1">SUMIFS('Ресурсы (5.4)'!AQ$26:AQ$57,'Ресурсы (5.4)'!$F$26:$F$57,$F85,'Ресурсы (5.4)'!$G$26:$G$57,$G85)</f>
        <v>0</v>
      </c>
      <c r="AR85" s="515">
        <f ca="1">SUMIFS('Ресурсы (5.4)'!AR$26:AR$57,'Ресурсы (5.4)'!$F$26:$F$57,$F85,'Ресурсы (5.4)'!$G$26:$G$57,$G85)</f>
        <v>0</v>
      </c>
      <c r="AS85" s="515">
        <f ca="1">SUMIFS('Ресурсы (5.4)'!AS$26:AS$57,'Ресурсы (5.4)'!$F$26:$F$57,$F85,'Ресурсы (5.4)'!$G$26:$G$57,$G85)</f>
        <v>0</v>
      </c>
      <c r="AT85" s="515">
        <f ca="1">SUMIFS('Ресурсы (5.4)'!AT$26:AT$57,'Ресурсы (5.4)'!$F$26:$F$57,$F85,'Ресурсы (5.4)'!$G$26:$G$57,$G85)</f>
        <v>214486.09971668664</v>
      </c>
      <c r="AU85" s="515">
        <f ca="1">SUMIFS('Ресурсы (5.4)'!AU$26:AU$57,'Ресурсы (5.4)'!$F$26:$F$57,$F85,'Ресурсы (5.4)'!$G$26:$G$57,$G85)</f>
        <v>0</v>
      </c>
      <c r="AV85" s="515">
        <f ca="1">SUMIFS('Ресурсы (5.4)'!AV$26:AV$57,'Ресурсы (5.4)'!$F$26:$F$57,$F85,'Ресурсы (5.4)'!$G$26:$G$57,$G85)</f>
        <v>0</v>
      </c>
      <c r="AW85" s="515">
        <f ca="1">SUMIFS('Ресурсы (5.4)'!AW$26:AW$57,'Ресурсы (5.4)'!$F$26:$F$57,$F85,'Ресурсы (5.4)'!$G$26:$G$57,$G85)</f>
        <v>0</v>
      </c>
      <c r="AX85" s="515">
        <f ca="1">SUMIFS('Ресурсы (5.4)'!AX$26:AX$57,'Ресурсы (5.4)'!$F$26:$F$57,$F85,'Ресурсы (5.4)'!$G$26:$G$57,$G85)</f>
        <v>0</v>
      </c>
      <c r="AY85" s="515">
        <f ca="1">SUMIFS('Ресурсы (5.4)'!AY$26:AY$57,'Ресурсы (5.4)'!$F$26:$F$57,$F85,'Ресурсы (5.4)'!$G$26:$G$57,$G85)</f>
        <v>0</v>
      </c>
      <c r="AZ85" s="515">
        <f ca="1">SUMIFS('Ресурсы (5.4)'!AZ$26:AZ$57,'Ресурсы (5.4)'!$F$26:$F$57,$F85,'Ресурсы (5.4)'!$G$26:$G$57,$G85)</f>
        <v>0</v>
      </c>
      <c r="BA85" s="515">
        <f ca="1">SUMIFS('Ресурсы (5.4)'!BA$26:BA$57,'Ресурсы (5.4)'!$F$26:$F$57,$F85,'Ресурсы (5.4)'!$G$26:$G$57,$G85)</f>
        <v>0</v>
      </c>
      <c r="BB85" s="515">
        <f ca="1">SUMIFS('Ресурсы (5.4)'!BB$26:BB$57,'Ресурсы (5.4)'!$F$26:$F$57,$F85,'Ресурсы (5.4)'!$G$26:$G$57,$G85)</f>
        <v>0</v>
      </c>
      <c r="BC85" s="515">
        <f ca="1">SUMIFS('Ресурсы (5.4)'!BC$26:BC$57,'Ресурсы (5.4)'!$F$26:$F$57,$F85,'Ресурсы (5.4)'!$G$26:$G$57,$G85)</f>
        <v>0</v>
      </c>
      <c r="BD85" s="256">
        <f t="shared" ca="1" si="39"/>
        <v>23.863975014562463</v>
      </c>
      <c r="BE85" s="256">
        <f t="shared" ca="1" si="40"/>
        <v>-100</v>
      </c>
      <c r="BF85" s="256">
        <f t="shared" ca="1" si="41"/>
        <v>0</v>
      </c>
      <c r="BG85" s="256">
        <f t="shared" ca="1" si="42"/>
        <v>0</v>
      </c>
      <c r="BH85" s="256">
        <f t="shared" ca="1" si="43"/>
        <v>0</v>
      </c>
      <c r="BI85" s="256">
        <f t="shared" ca="1" si="44"/>
        <v>0</v>
      </c>
      <c r="BJ85" s="256">
        <f t="shared" ca="1" si="45"/>
        <v>0</v>
      </c>
      <c r="BK85" s="256">
        <f t="shared" ca="1" si="46"/>
        <v>0</v>
      </c>
      <c r="BL85" s="256">
        <f t="shared" ca="1" si="47"/>
        <v>0</v>
      </c>
      <c r="BM85" s="256">
        <f t="shared" ca="1" si="48"/>
        <v>0</v>
      </c>
      <c r="BN85" s="1290"/>
      <c r="BO85" s="1290"/>
      <c r="BP85" s="1290"/>
      <c r="BQ85" s="180"/>
      <c r="BR85" s="180"/>
      <c r="BS85" s="1031" t="s">
        <v>1656</v>
      </c>
      <c r="BT85" s="1031"/>
      <c r="BU85" s="1031"/>
      <c r="BV85" s="1032"/>
      <c r="BW85" s="1032"/>
      <c r="BX85" s="1064"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M10748::ТЭ.42.26322895.0003::Неопределено::Неопределено::Неопределено::Неопределено::Неопределено</v>
      </c>
    </row>
    <row r="86" spans="1:76" s="1229" customFormat="1" ht="16.5" hidden="1" customHeight="1">
      <c r="A86" s="178"/>
      <c r="B86" s="783"/>
      <c r="C86" s="1094" t="s">
        <v>1657</v>
      </c>
      <c r="D86" s="1053" t="s">
        <v>1658</v>
      </c>
      <c r="E86" s="676">
        <v>17.100000000000001</v>
      </c>
      <c r="F86" s="779" t="str" cm="1">
        <f t="array" aca="1" ref="F86" ca="1">OFFSET(G86,-1,-1)</f>
        <v>1</v>
      </c>
      <c r="G86" s="180"/>
      <c r="H86" s="180"/>
      <c r="I86" s="180"/>
      <c r="J86" s="180"/>
      <c r="K86" s="180"/>
      <c r="L86" s="143"/>
      <c r="M86" s="1077"/>
      <c r="N86" s="1077" t="str" cm="1">
        <f t="array" aca="1" ref="N86" ca="1">OFFSET(M86,-1,1)</f>
        <v>ТЭ.42.26322895.0003</v>
      </c>
      <c r="O86" s="1078"/>
      <c r="P86" s="1078"/>
      <c r="Q86" s="1078"/>
      <c r="R86" s="1078"/>
      <c r="T86" s="687" t="b">
        <f t="shared" ref="T86:T97" ca="1" si="49">AND(F86&gt;0,method_reg="Метод обеспечения доходности инвестированного капитала")</f>
        <v>0</v>
      </c>
      <c r="U86" s="1153"/>
      <c r="V86" s="1153"/>
      <c r="W86" s="1153"/>
      <c r="X86" s="1726"/>
      <c r="Y86" s="1153"/>
      <c r="Z86" s="1726"/>
      <c r="AA86" s="180"/>
      <c r="AB86" s="260" t="s">
        <v>440</v>
      </c>
      <c r="AC86" s="719" t="s">
        <v>1659</v>
      </c>
      <c r="AD86" s="258" t="s">
        <v>839</v>
      </c>
      <c r="AE86" s="77"/>
      <c r="AF86" s="77"/>
      <c r="AG86" s="77"/>
      <c r="AH86" s="256">
        <f t="shared" si="38"/>
        <v>0</v>
      </c>
      <c r="AI86" s="77"/>
      <c r="AJ86" s="517"/>
      <c r="AK86" s="517"/>
      <c r="AL86" s="517"/>
      <c r="AM86" s="517"/>
      <c r="AN86" s="517"/>
      <c r="AO86" s="77"/>
      <c r="AP86" s="77"/>
      <c r="AQ86" s="77"/>
      <c r="AR86" s="77"/>
      <c r="AS86" s="77"/>
      <c r="AT86" s="517"/>
      <c r="AU86" s="517"/>
      <c r="AV86" s="517"/>
      <c r="AW86" s="517"/>
      <c r="AX86" s="517"/>
      <c r="AY86" s="77"/>
      <c r="AZ86" s="77"/>
      <c r="BA86" s="77"/>
      <c r="BB86" s="77"/>
      <c r="BC86" s="77"/>
      <c r="BD86" s="256">
        <f t="shared" si="39"/>
        <v>0</v>
      </c>
      <c r="BE86" s="256">
        <f t="shared" si="40"/>
        <v>0</v>
      </c>
      <c r="BF86" s="256">
        <f t="shared" si="41"/>
        <v>0</v>
      </c>
      <c r="BG86" s="256">
        <f t="shared" si="42"/>
        <v>0</v>
      </c>
      <c r="BH86" s="256">
        <f t="shared" si="43"/>
        <v>0</v>
      </c>
      <c r="BI86" s="256">
        <f t="shared" si="44"/>
        <v>0</v>
      </c>
      <c r="BJ86" s="256">
        <f t="shared" si="45"/>
        <v>0</v>
      </c>
      <c r="BK86" s="256">
        <f t="shared" si="46"/>
        <v>0</v>
      </c>
      <c r="BL86" s="256">
        <f t="shared" si="47"/>
        <v>0</v>
      </c>
      <c r="BM86" s="256">
        <f t="shared" si="48"/>
        <v>0</v>
      </c>
      <c r="BN86" s="28"/>
      <c r="BO86" s="28"/>
      <c r="BP86" s="28"/>
      <c r="BQ86" s="180"/>
      <c r="BR86" s="180"/>
      <c r="BS86" s="1031" t="s">
        <v>1660</v>
      </c>
      <c r="BT86" s="1031"/>
      <c r="BU86" s="1031"/>
      <c r="BV86" s="1032"/>
      <c r="BW86" s="1032"/>
      <c r="BX86" s="1064"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M11483::ТЭ.42.26322895.0003::Неопределено::Неопределено::Неопределено::Неопределено::Неопределено</v>
      </c>
    </row>
    <row r="87" spans="1:76" s="1229" customFormat="1" ht="16.5" hidden="1" customHeight="1">
      <c r="A87" s="178"/>
      <c r="B87" s="783"/>
      <c r="C87" s="1094" t="s">
        <v>1661</v>
      </c>
      <c r="D87" s="1053" t="s">
        <v>1662</v>
      </c>
      <c r="E87" s="676">
        <v>17.100000000000001</v>
      </c>
      <c r="F87" s="779" t="str" cm="1">
        <f t="array" aca="1" ref="F87" ca="1">OFFSET(G87,-1,-1)</f>
        <v>1</v>
      </c>
      <c r="G87" s="180"/>
      <c r="H87" s="180"/>
      <c r="I87" s="180"/>
      <c r="J87" s="180"/>
      <c r="K87" s="180"/>
      <c r="L87" s="143"/>
      <c r="M87" s="1077"/>
      <c r="N87" s="1077" t="str" cm="1">
        <f t="array" aca="1" ref="N87" ca="1">OFFSET(M87,-1,1)</f>
        <v>ТЭ.42.26322895.0003</v>
      </c>
      <c r="O87" s="1078"/>
      <c r="P87" s="1078"/>
      <c r="Q87" s="1078"/>
      <c r="R87" s="1078"/>
      <c r="T87" s="687" t="b">
        <f t="shared" ca="1" si="49"/>
        <v>0</v>
      </c>
      <c r="U87" s="1153"/>
      <c r="V87" s="1153"/>
      <c r="W87" s="1153"/>
      <c r="X87" s="1726"/>
      <c r="Y87" s="1153"/>
      <c r="Z87" s="1726"/>
      <c r="AA87" s="180"/>
      <c r="AB87" s="260" t="s">
        <v>780</v>
      </c>
      <c r="AC87" s="261" t="s">
        <v>1663</v>
      </c>
      <c r="AD87" s="258" t="s">
        <v>839</v>
      </c>
      <c r="AE87" s="77"/>
      <c r="AF87" s="77"/>
      <c r="AG87" s="77"/>
      <c r="AH87" s="256">
        <f t="shared" si="38"/>
        <v>0</v>
      </c>
      <c r="AI87" s="77"/>
      <c r="AJ87" s="517"/>
      <c r="AK87" s="517"/>
      <c r="AL87" s="517"/>
      <c r="AM87" s="517"/>
      <c r="AN87" s="517"/>
      <c r="AO87" s="77"/>
      <c r="AP87" s="77"/>
      <c r="AQ87" s="77"/>
      <c r="AR87" s="77"/>
      <c r="AS87" s="77"/>
      <c r="AT87" s="517"/>
      <c r="AU87" s="517"/>
      <c r="AV87" s="517"/>
      <c r="AW87" s="517"/>
      <c r="AX87" s="517"/>
      <c r="AY87" s="77"/>
      <c r="AZ87" s="77"/>
      <c r="BA87" s="77"/>
      <c r="BB87" s="77"/>
      <c r="BC87" s="77"/>
      <c r="BD87" s="256">
        <f t="shared" si="39"/>
        <v>0</v>
      </c>
      <c r="BE87" s="256">
        <f t="shared" si="40"/>
        <v>0</v>
      </c>
      <c r="BF87" s="256">
        <f t="shared" si="41"/>
        <v>0</v>
      </c>
      <c r="BG87" s="256">
        <f t="shared" si="42"/>
        <v>0</v>
      </c>
      <c r="BH87" s="256">
        <f t="shared" si="43"/>
        <v>0</v>
      </c>
      <c r="BI87" s="256">
        <f t="shared" si="44"/>
        <v>0</v>
      </c>
      <c r="BJ87" s="256">
        <f t="shared" si="45"/>
        <v>0</v>
      </c>
      <c r="BK87" s="256">
        <f t="shared" si="46"/>
        <v>0</v>
      </c>
      <c r="BL87" s="256">
        <f t="shared" si="47"/>
        <v>0</v>
      </c>
      <c r="BM87" s="256">
        <f t="shared" si="48"/>
        <v>0</v>
      </c>
      <c r="BN87" s="28"/>
      <c r="BO87" s="28"/>
      <c r="BP87" s="28"/>
      <c r="BQ87" s="180"/>
      <c r="BR87" s="180"/>
      <c r="BS87" s="1031" t="s">
        <v>1664</v>
      </c>
      <c r="BT87" s="1031"/>
      <c r="BU87" s="1031"/>
      <c r="BV87" s="1032"/>
      <c r="BW87" s="1032"/>
      <c r="BX87" s="1064"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M11484::ТЭ.42.26322895.0003::Неопределено::Неопределено::Неопределено::Неопределено::Неопределено</v>
      </c>
    </row>
    <row r="88" spans="1:76" s="1229" customFormat="1" ht="16.5" hidden="1" customHeight="1">
      <c r="A88" s="178"/>
      <c r="B88" s="783"/>
      <c r="C88" s="1094" t="s">
        <v>1665</v>
      </c>
      <c r="D88" s="1053" t="s">
        <v>1666</v>
      </c>
      <c r="E88" s="676">
        <v>17.100000000000001</v>
      </c>
      <c r="F88" s="779" t="str" cm="1">
        <f t="array" aca="1" ref="F88" ca="1">OFFSET(G88,-1,-1)</f>
        <v>1</v>
      </c>
      <c r="G88" s="180"/>
      <c r="H88" s="180"/>
      <c r="I88" s="180"/>
      <c r="J88" s="180"/>
      <c r="K88" s="180"/>
      <c r="L88" s="143"/>
      <c r="M88" s="1077"/>
      <c r="N88" s="1077" t="str" cm="1">
        <f t="array" aca="1" ref="N88" ca="1">OFFSET(M88,-1,1)</f>
        <v>ТЭ.42.26322895.0003</v>
      </c>
      <c r="O88" s="1078"/>
      <c r="P88" s="1078"/>
      <c r="Q88" s="1078"/>
      <c r="R88" s="1078"/>
      <c r="T88" s="687" t="b">
        <f t="shared" ca="1" si="49"/>
        <v>0</v>
      </c>
      <c r="U88" s="1153"/>
      <c r="V88" s="1153"/>
      <c r="W88" s="1153"/>
      <c r="X88" s="1726"/>
      <c r="Y88" s="1153"/>
      <c r="Z88" s="1726"/>
      <c r="AA88" s="180"/>
      <c r="AB88" s="260" t="s">
        <v>1667</v>
      </c>
      <c r="AC88" s="261" t="s">
        <v>1668</v>
      </c>
      <c r="AD88" s="258" t="s">
        <v>1669</v>
      </c>
      <c r="AE88" s="77"/>
      <c r="AF88" s="77"/>
      <c r="AG88" s="77"/>
      <c r="AH88" s="256">
        <f t="shared" si="38"/>
        <v>0</v>
      </c>
      <c r="AI88" s="77"/>
      <c r="AJ88" s="517"/>
      <c r="AK88" s="517"/>
      <c r="AL88" s="517"/>
      <c r="AM88" s="517"/>
      <c r="AN88" s="517"/>
      <c r="AO88" s="77"/>
      <c r="AP88" s="77"/>
      <c r="AQ88" s="77"/>
      <c r="AR88" s="77"/>
      <c r="AS88" s="77"/>
      <c r="AT88" s="517"/>
      <c r="AU88" s="517"/>
      <c r="AV88" s="517"/>
      <c r="AW88" s="517"/>
      <c r="AX88" s="517"/>
      <c r="AY88" s="77"/>
      <c r="AZ88" s="77"/>
      <c r="BA88" s="77"/>
      <c r="BB88" s="77"/>
      <c r="BC88" s="77"/>
      <c r="BD88" s="256">
        <f t="shared" si="39"/>
        <v>0</v>
      </c>
      <c r="BE88" s="256">
        <f t="shared" si="40"/>
        <v>0</v>
      </c>
      <c r="BF88" s="256">
        <f t="shared" si="41"/>
        <v>0</v>
      </c>
      <c r="BG88" s="256">
        <f t="shared" si="42"/>
        <v>0</v>
      </c>
      <c r="BH88" s="256">
        <f t="shared" si="43"/>
        <v>0</v>
      </c>
      <c r="BI88" s="256">
        <f t="shared" si="44"/>
        <v>0</v>
      </c>
      <c r="BJ88" s="256">
        <f t="shared" si="45"/>
        <v>0</v>
      </c>
      <c r="BK88" s="256">
        <f t="shared" si="46"/>
        <v>0</v>
      </c>
      <c r="BL88" s="256">
        <f t="shared" si="47"/>
        <v>0</v>
      </c>
      <c r="BM88" s="256">
        <f t="shared" si="48"/>
        <v>0</v>
      </c>
      <c r="BN88" s="28"/>
      <c r="BO88" s="28"/>
      <c r="BP88" s="28"/>
      <c r="BQ88" s="180"/>
      <c r="BR88" s="180"/>
      <c r="BS88" s="1031" t="s">
        <v>1670</v>
      </c>
      <c r="BT88" s="1031"/>
      <c r="BU88" s="1031"/>
      <c r="BV88" s="1032"/>
      <c r="BW88" s="1032"/>
      <c r="BX88" s="1064"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M11485::ТЭ.42.26322895.0003::Неопределено::Неопределено::Неопределено::Неопределено::Неопределено</v>
      </c>
    </row>
    <row r="89" spans="1:76" s="1229" customFormat="1" ht="16.5" hidden="1" customHeight="1">
      <c r="A89" s="178"/>
      <c r="B89" s="783"/>
      <c r="C89" s="1094" t="s">
        <v>1671</v>
      </c>
      <c r="D89" s="1053" t="s">
        <v>1672</v>
      </c>
      <c r="E89" s="676">
        <v>17.100000000000001</v>
      </c>
      <c r="F89" s="779" t="str" cm="1">
        <f t="array" aca="1" ref="F89" ca="1">OFFSET(G89,-1,-1)</f>
        <v>1</v>
      </c>
      <c r="G89" s="180"/>
      <c r="H89" s="180"/>
      <c r="I89" s="180"/>
      <c r="J89" s="180"/>
      <c r="K89" s="180"/>
      <c r="L89" s="143"/>
      <c r="M89" s="1077"/>
      <c r="N89" s="1077" t="str" cm="1">
        <f t="array" aca="1" ref="N89" ca="1">OFFSET(M89,-1,1)</f>
        <v>ТЭ.42.26322895.0003</v>
      </c>
      <c r="O89" s="1078"/>
      <c r="P89" s="1078"/>
      <c r="Q89" s="1078"/>
      <c r="R89" s="1078"/>
      <c r="T89" s="687" t="b">
        <f t="shared" ca="1" si="49"/>
        <v>0</v>
      </c>
      <c r="U89" s="1153"/>
      <c r="V89" s="1153"/>
      <c r="W89" s="1153"/>
      <c r="X89" s="1726"/>
      <c r="Y89" s="1153"/>
      <c r="Z89" s="1726"/>
      <c r="AA89" s="180"/>
      <c r="AB89" s="260" t="s">
        <v>443</v>
      </c>
      <c r="AC89" s="719" t="s">
        <v>1673</v>
      </c>
      <c r="AD89" s="258" t="s">
        <v>839</v>
      </c>
      <c r="AE89" s="77"/>
      <c r="AF89" s="77"/>
      <c r="AG89" s="77"/>
      <c r="AH89" s="256">
        <f t="shared" si="38"/>
        <v>0</v>
      </c>
      <c r="AI89" s="77"/>
      <c r="AJ89" s="517"/>
      <c r="AK89" s="517"/>
      <c r="AL89" s="517"/>
      <c r="AM89" s="517"/>
      <c r="AN89" s="517"/>
      <c r="AO89" s="77"/>
      <c r="AP89" s="77"/>
      <c r="AQ89" s="77"/>
      <c r="AR89" s="77"/>
      <c r="AS89" s="77"/>
      <c r="AT89" s="517"/>
      <c r="AU89" s="517"/>
      <c r="AV89" s="517"/>
      <c r="AW89" s="517"/>
      <c r="AX89" s="517"/>
      <c r="AY89" s="77"/>
      <c r="AZ89" s="77"/>
      <c r="BA89" s="77"/>
      <c r="BB89" s="77"/>
      <c r="BC89" s="77"/>
      <c r="BD89" s="256">
        <f t="shared" si="39"/>
        <v>0</v>
      </c>
      <c r="BE89" s="256">
        <f t="shared" si="40"/>
        <v>0</v>
      </c>
      <c r="BF89" s="256">
        <f t="shared" si="41"/>
        <v>0</v>
      </c>
      <c r="BG89" s="256">
        <f t="shared" si="42"/>
        <v>0</v>
      </c>
      <c r="BH89" s="256">
        <f t="shared" si="43"/>
        <v>0</v>
      </c>
      <c r="BI89" s="256">
        <f t="shared" si="44"/>
        <v>0</v>
      </c>
      <c r="BJ89" s="256">
        <f t="shared" si="45"/>
        <v>0</v>
      </c>
      <c r="BK89" s="256">
        <f t="shared" si="46"/>
        <v>0</v>
      </c>
      <c r="BL89" s="256">
        <f t="shared" si="47"/>
        <v>0</v>
      </c>
      <c r="BM89" s="256">
        <f t="shared" si="48"/>
        <v>0</v>
      </c>
      <c r="BN89" s="28"/>
      <c r="BO89" s="28"/>
      <c r="BP89" s="28"/>
      <c r="BQ89" s="180"/>
      <c r="BR89" s="180"/>
      <c r="BS89" s="1031" t="s">
        <v>1674</v>
      </c>
      <c r="BT89" s="1031"/>
      <c r="BU89" s="1031"/>
      <c r="BV89" s="1032"/>
      <c r="BW89" s="1032"/>
      <c r="BX89" s="1064"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M11486::ТЭ.42.26322895.0003::Неопределено::Неопределено::Неопределено::Неопределено::Неопределено</v>
      </c>
    </row>
    <row r="90" spans="1:76" s="1229" customFormat="1" ht="16.5" hidden="1" customHeight="1">
      <c r="A90" s="178"/>
      <c r="B90" s="783"/>
      <c r="C90" s="1094" t="s">
        <v>1675</v>
      </c>
      <c r="D90" s="1053" t="s">
        <v>1676</v>
      </c>
      <c r="E90" s="676">
        <v>17.100000000000001</v>
      </c>
      <c r="F90" s="779" t="str" cm="1">
        <f t="array" aca="1" ref="F90" ca="1">OFFSET(G90,-1,-1)</f>
        <v>1</v>
      </c>
      <c r="G90" s="180"/>
      <c r="H90" s="180"/>
      <c r="I90" s="180"/>
      <c r="J90" s="180"/>
      <c r="K90" s="180"/>
      <c r="L90" s="143"/>
      <c r="M90" s="1077"/>
      <c r="N90" s="1077" t="str" cm="1">
        <f t="array" aca="1" ref="N90" ca="1">OFFSET(M90,-1,1)</f>
        <v>ТЭ.42.26322895.0003</v>
      </c>
      <c r="O90" s="1078"/>
      <c r="P90" s="1078"/>
      <c r="Q90" s="1078"/>
      <c r="R90" s="1078"/>
      <c r="T90" s="687" t="b">
        <f t="shared" ca="1" si="49"/>
        <v>0</v>
      </c>
      <c r="U90" s="1153"/>
      <c r="V90" s="1153"/>
      <c r="W90" s="1153"/>
      <c r="X90" s="1726"/>
      <c r="Y90" s="1153"/>
      <c r="Z90" s="1726"/>
      <c r="AA90" s="180"/>
      <c r="AB90" s="260" t="s">
        <v>785</v>
      </c>
      <c r="AC90" s="261" t="s">
        <v>1677</v>
      </c>
      <c r="AD90" s="258" t="s">
        <v>839</v>
      </c>
      <c r="AE90" s="77"/>
      <c r="AF90" s="77"/>
      <c r="AG90" s="77"/>
      <c r="AH90" s="256">
        <f t="shared" si="38"/>
        <v>0</v>
      </c>
      <c r="AI90" s="77"/>
      <c r="AJ90" s="517"/>
      <c r="AK90" s="517"/>
      <c r="AL90" s="517"/>
      <c r="AM90" s="517"/>
      <c r="AN90" s="517"/>
      <c r="AO90" s="77"/>
      <c r="AP90" s="77"/>
      <c r="AQ90" s="77"/>
      <c r="AR90" s="77"/>
      <c r="AS90" s="77"/>
      <c r="AT90" s="517"/>
      <c r="AU90" s="517"/>
      <c r="AV90" s="517"/>
      <c r="AW90" s="517"/>
      <c r="AX90" s="517"/>
      <c r="AY90" s="77"/>
      <c r="AZ90" s="77"/>
      <c r="BA90" s="77"/>
      <c r="BB90" s="77"/>
      <c r="BC90" s="77"/>
      <c r="BD90" s="256">
        <f t="shared" si="39"/>
        <v>0</v>
      </c>
      <c r="BE90" s="256">
        <f t="shared" si="40"/>
        <v>0</v>
      </c>
      <c r="BF90" s="256">
        <f t="shared" si="41"/>
        <v>0</v>
      </c>
      <c r="BG90" s="256">
        <f t="shared" si="42"/>
        <v>0</v>
      </c>
      <c r="BH90" s="256">
        <f t="shared" si="43"/>
        <v>0</v>
      </c>
      <c r="BI90" s="256">
        <f t="shared" si="44"/>
        <v>0</v>
      </c>
      <c r="BJ90" s="256">
        <f t="shared" si="45"/>
        <v>0</v>
      </c>
      <c r="BK90" s="256">
        <f t="shared" si="46"/>
        <v>0</v>
      </c>
      <c r="BL90" s="256">
        <f t="shared" si="47"/>
        <v>0</v>
      </c>
      <c r="BM90" s="256">
        <f t="shared" si="48"/>
        <v>0</v>
      </c>
      <c r="BN90" s="28"/>
      <c r="BO90" s="28"/>
      <c r="BP90" s="28"/>
      <c r="BQ90" s="180"/>
      <c r="BR90" s="180"/>
      <c r="BS90" s="1031" t="s">
        <v>1678</v>
      </c>
      <c r="BT90" s="1031"/>
      <c r="BU90" s="1031"/>
      <c r="BV90" s="1032"/>
      <c r="BW90" s="1032"/>
      <c r="BX90" s="1064"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M11487::ТЭ.42.26322895.0003::Неопределено::Неопределено::Неопределено::Неопределено::Неопределено</v>
      </c>
    </row>
    <row r="91" spans="1:76" s="1229" customFormat="1" ht="16.5" hidden="1" customHeight="1">
      <c r="A91" s="178"/>
      <c r="B91" s="783"/>
      <c r="C91" s="1094" t="s">
        <v>1679</v>
      </c>
      <c r="D91" s="1053" t="s">
        <v>1680</v>
      </c>
      <c r="E91" s="676">
        <v>17.100000000000001</v>
      </c>
      <c r="F91" s="779" t="str" cm="1">
        <f t="array" aca="1" ref="F91" ca="1">OFFSET(G91,-1,-1)</f>
        <v>1</v>
      </c>
      <c r="G91" s="180"/>
      <c r="H91" s="180"/>
      <c r="I91" s="180"/>
      <c r="J91" s="180"/>
      <c r="K91" s="180"/>
      <c r="L91" s="143"/>
      <c r="M91" s="1077"/>
      <c r="N91" s="1077" t="str" cm="1">
        <f t="array" aca="1" ref="N91" ca="1">OFFSET(M91,-1,1)</f>
        <v>ТЭ.42.26322895.0003</v>
      </c>
      <c r="O91" s="1078"/>
      <c r="P91" s="1078"/>
      <c r="Q91" s="1078"/>
      <c r="R91" s="1078"/>
      <c r="T91" s="687" t="b">
        <f t="shared" ca="1" si="49"/>
        <v>0</v>
      </c>
      <c r="U91" s="1153"/>
      <c r="V91" s="1153"/>
      <c r="W91" s="1153"/>
      <c r="X91" s="1726"/>
      <c r="Y91" s="1153"/>
      <c r="Z91" s="1726"/>
      <c r="AA91" s="180"/>
      <c r="AB91" s="260" t="s">
        <v>1364</v>
      </c>
      <c r="AC91" s="261" t="s">
        <v>1681</v>
      </c>
      <c r="AD91" s="258" t="s">
        <v>533</v>
      </c>
      <c r="AE91" s="77"/>
      <c r="AF91" s="77"/>
      <c r="AG91" s="77"/>
      <c r="AH91" s="256">
        <f t="shared" si="38"/>
        <v>0</v>
      </c>
      <c r="AI91" s="77"/>
      <c r="AJ91" s="517"/>
      <c r="AK91" s="517"/>
      <c r="AL91" s="517"/>
      <c r="AM91" s="517"/>
      <c r="AN91" s="517"/>
      <c r="AO91" s="77"/>
      <c r="AP91" s="77"/>
      <c r="AQ91" s="77"/>
      <c r="AR91" s="77"/>
      <c r="AS91" s="77"/>
      <c r="AT91" s="517"/>
      <c r="AU91" s="517"/>
      <c r="AV91" s="517"/>
      <c r="AW91" s="517"/>
      <c r="AX91" s="517"/>
      <c r="AY91" s="77"/>
      <c r="AZ91" s="77"/>
      <c r="BA91" s="77"/>
      <c r="BB91" s="77"/>
      <c r="BC91" s="77"/>
      <c r="BD91" s="256">
        <f t="shared" si="39"/>
        <v>0</v>
      </c>
      <c r="BE91" s="256">
        <f t="shared" si="40"/>
        <v>0</v>
      </c>
      <c r="BF91" s="256">
        <f t="shared" si="41"/>
        <v>0</v>
      </c>
      <c r="BG91" s="256">
        <f t="shared" si="42"/>
        <v>0</v>
      </c>
      <c r="BH91" s="256">
        <f t="shared" si="43"/>
        <v>0</v>
      </c>
      <c r="BI91" s="256">
        <f t="shared" si="44"/>
        <v>0</v>
      </c>
      <c r="BJ91" s="256">
        <f t="shared" si="45"/>
        <v>0</v>
      </c>
      <c r="BK91" s="256">
        <f t="shared" si="46"/>
        <v>0</v>
      </c>
      <c r="BL91" s="256">
        <f t="shared" si="47"/>
        <v>0</v>
      </c>
      <c r="BM91" s="256">
        <f t="shared" si="48"/>
        <v>0</v>
      </c>
      <c r="BN91" s="28"/>
      <c r="BO91" s="28"/>
      <c r="BP91" s="28"/>
      <c r="BQ91" s="180"/>
      <c r="BR91" s="180"/>
      <c r="BS91" s="1031" t="s">
        <v>1682</v>
      </c>
      <c r="BT91" s="1031"/>
      <c r="BU91" s="1031"/>
      <c r="BV91" s="1032"/>
      <c r="BW91" s="1032"/>
      <c r="BX91" s="1064"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M11488::ТЭ.42.26322895.0003::Неопределено::Неопределено::Неопределено::Неопределено::Неопределено</v>
      </c>
    </row>
    <row r="92" spans="1:76" s="1229" customFormat="1" ht="16.5" hidden="1" customHeight="1">
      <c r="A92" s="178"/>
      <c r="B92" s="783"/>
      <c r="C92" s="1094" t="s">
        <v>1683</v>
      </c>
      <c r="D92" s="1053" t="s">
        <v>1684</v>
      </c>
      <c r="E92" s="676">
        <v>17.100000000000001</v>
      </c>
      <c r="F92" s="779" t="str" cm="1">
        <f t="array" aca="1" ref="F92" ca="1">OFFSET(G92,-1,-1)</f>
        <v>1</v>
      </c>
      <c r="G92" s="180"/>
      <c r="H92" s="180"/>
      <c r="I92" s="180"/>
      <c r="J92" s="180"/>
      <c r="K92" s="180"/>
      <c r="L92" s="143"/>
      <c r="M92" s="1077"/>
      <c r="N92" s="1077" t="str" cm="1">
        <f t="array" aca="1" ref="N92" ca="1">OFFSET(M92,-1,1)</f>
        <v>ТЭ.42.26322895.0003</v>
      </c>
      <c r="O92" s="1078"/>
      <c r="P92" s="1078"/>
      <c r="Q92" s="1078"/>
      <c r="R92" s="1078"/>
      <c r="T92" s="687" t="b">
        <f t="shared" ca="1" si="49"/>
        <v>0</v>
      </c>
      <c r="U92" s="1153"/>
      <c r="V92" s="1153"/>
      <c r="W92" s="1153"/>
      <c r="X92" s="1726"/>
      <c r="Y92" s="1153"/>
      <c r="Z92" s="1726"/>
      <c r="AA92" s="180"/>
      <c r="AB92" s="260" t="s">
        <v>1367</v>
      </c>
      <c r="AC92" s="82" t="s">
        <v>1685</v>
      </c>
      <c r="AD92" s="258" t="s">
        <v>839</v>
      </c>
      <c r="AE92" s="77"/>
      <c r="AF92" s="77"/>
      <c r="AG92" s="77"/>
      <c r="AH92" s="256">
        <f t="shared" si="38"/>
        <v>0</v>
      </c>
      <c r="AI92" s="77"/>
      <c r="AJ92" s="517"/>
      <c r="AK92" s="517"/>
      <c r="AL92" s="517"/>
      <c r="AM92" s="517"/>
      <c r="AN92" s="517"/>
      <c r="AO92" s="77"/>
      <c r="AP92" s="77"/>
      <c r="AQ92" s="77"/>
      <c r="AR92" s="77"/>
      <c r="AS92" s="77"/>
      <c r="AT92" s="517"/>
      <c r="AU92" s="517"/>
      <c r="AV92" s="517"/>
      <c r="AW92" s="517"/>
      <c r="AX92" s="517"/>
      <c r="AY92" s="77"/>
      <c r="AZ92" s="77"/>
      <c r="BA92" s="77"/>
      <c r="BB92" s="77"/>
      <c r="BC92" s="77"/>
      <c r="BD92" s="256">
        <f t="shared" si="39"/>
        <v>0</v>
      </c>
      <c r="BE92" s="256">
        <f t="shared" si="40"/>
        <v>0</v>
      </c>
      <c r="BF92" s="256">
        <f t="shared" si="41"/>
        <v>0</v>
      </c>
      <c r="BG92" s="256">
        <f t="shared" si="42"/>
        <v>0</v>
      </c>
      <c r="BH92" s="256">
        <f t="shared" si="43"/>
        <v>0</v>
      </c>
      <c r="BI92" s="256">
        <f t="shared" si="44"/>
        <v>0</v>
      </c>
      <c r="BJ92" s="256">
        <f t="shared" si="45"/>
        <v>0</v>
      </c>
      <c r="BK92" s="256">
        <f t="shared" si="46"/>
        <v>0</v>
      </c>
      <c r="BL92" s="256">
        <f t="shared" si="47"/>
        <v>0</v>
      </c>
      <c r="BM92" s="256">
        <f t="shared" si="48"/>
        <v>0</v>
      </c>
      <c r="BN92" s="28"/>
      <c r="BO92" s="28"/>
      <c r="BP92" s="28"/>
      <c r="BQ92" s="180"/>
      <c r="BR92" s="180"/>
      <c r="BS92" s="1031" t="s">
        <v>1686</v>
      </c>
      <c r="BT92" s="1031"/>
      <c r="BU92" s="1031"/>
      <c r="BV92" s="1032"/>
      <c r="BW92" s="1032"/>
      <c r="BX92" s="1064"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M11489::ТЭ.42.26322895.0003::Неопределено::Неопределено::Неопределено::Неопределено::Неопределено</v>
      </c>
    </row>
    <row r="93" spans="1:76" s="1229" customFormat="1" ht="16.5" hidden="1" customHeight="1">
      <c r="A93" s="178"/>
      <c r="B93" s="783"/>
      <c r="C93" s="1094" t="s">
        <v>1687</v>
      </c>
      <c r="D93" s="1053" t="s">
        <v>1688</v>
      </c>
      <c r="E93" s="676">
        <v>17.100000000000001</v>
      </c>
      <c r="F93" s="779" t="str" cm="1">
        <f t="array" aca="1" ref="F93" ca="1">OFFSET(G93,-1,-1)</f>
        <v>1</v>
      </c>
      <c r="G93" s="180"/>
      <c r="H93" s="180"/>
      <c r="I93" s="180"/>
      <c r="J93" s="180"/>
      <c r="K93" s="180"/>
      <c r="L93" s="143"/>
      <c r="M93" s="1077"/>
      <c r="N93" s="1077" t="str" cm="1">
        <f t="array" aca="1" ref="N93" ca="1">OFFSET(M93,-1,1)</f>
        <v>ТЭ.42.26322895.0003</v>
      </c>
      <c r="O93" s="1078"/>
      <c r="P93" s="1078"/>
      <c r="Q93" s="1078"/>
      <c r="R93" s="1078"/>
      <c r="T93" s="687" t="b">
        <f t="shared" ca="1" si="49"/>
        <v>0</v>
      </c>
      <c r="U93" s="1153"/>
      <c r="V93" s="1153"/>
      <c r="W93" s="1153"/>
      <c r="X93" s="1726"/>
      <c r="Y93" s="1153"/>
      <c r="Z93" s="1726"/>
      <c r="AA93" s="180"/>
      <c r="AB93" s="260" t="s">
        <v>1370</v>
      </c>
      <c r="AC93" s="82" t="s">
        <v>1689</v>
      </c>
      <c r="AD93" s="258" t="s">
        <v>839</v>
      </c>
      <c r="AE93" s="77"/>
      <c r="AF93" s="77"/>
      <c r="AG93" s="77"/>
      <c r="AH93" s="256">
        <f t="shared" si="38"/>
        <v>0</v>
      </c>
      <c r="AI93" s="77"/>
      <c r="AJ93" s="517"/>
      <c r="AK93" s="517"/>
      <c r="AL93" s="517"/>
      <c r="AM93" s="517"/>
      <c r="AN93" s="517"/>
      <c r="AO93" s="77"/>
      <c r="AP93" s="77"/>
      <c r="AQ93" s="77"/>
      <c r="AR93" s="77"/>
      <c r="AS93" s="77"/>
      <c r="AT93" s="517"/>
      <c r="AU93" s="517"/>
      <c r="AV93" s="517"/>
      <c r="AW93" s="517"/>
      <c r="AX93" s="517"/>
      <c r="AY93" s="77"/>
      <c r="AZ93" s="77"/>
      <c r="BA93" s="77"/>
      <c r="BB93" s="77"/>
      <c r="BC93" s="77"/>
      <c r="BD93" s="256">
        <f t="shared" si="39"/>
        <v>0</v>
      </c>
      <c r="BE93" s="256">
        <f t="shared" si="40"/>
        <v>0</v>
      </c>
      <c r="BF93" s="256">
        <f t="shared" si="41"/>
        <v>0</v>
      </c>
      <c r="BG93" s="256">
        <f t="shared" si="42"/>
        <v>0</v>
      </c>
      <c r="BH93" s="256">
        <f t="shared" si="43"/>
        <v>0</v>
      </c>
      <c r="BI93" s="256">
        <f t="shared" si="44"/>
        <v>0</v>
      </c>
      <c r="BJ93" s="256">
        <f t="shared" si="45"/>
        <v>0</v>
      </c>
      <c r="BK93" s="256">
        <f t="shared" si="46"/>
        <v>0</v>
      </c>
      <c r="BL93" s="256">
        <f t="shared" si="47"/>
        <v>0</v>
      </c>
      <c r="BM93" s="256">
        <f t="shared" si="48"/>
        <v>0</v>
      </c>
      <c r="BN93" s="28"/>
      <c r="BO93" s="28"/>
      <c r="BP93" s="28"/>
      <c r="BQ93" s="180"/>
      <c r="BR93" s="180"/>
      <c r="BS93" s="1031" t="s">
        <v>1690</v>
      </c>
      <c r="BT93" s="1031"/>
      <c r="BU93" s="1031"/>
      <c r="BV93" s="1032"/>
      <c r="BW93" s="1032"/>
      <c r="BX93" s="1064"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M11490::ТЭ.42.26322895.0003::Неопределено::Неопределено::Неопределено::Неопределено::Неопределено</v>
      </c>
    </row>
    <row r="94" spans="1:76" s="1229" customFormat="1" ht="16.5" hidden="1" customHeight="1">
      <c r="A94" s="178"/>
      <c r="B94" s="783"/>
      <c r="C94" s="1094" t="s">
        <v>1691</v>
      </c>
      <c r="D94" s="1053" t="s">
        <v>1692</v>
      </c>
      <c r="E94" s="676">
        <v>17.100000000000001</v>
      </c>
      <c r="F94" s="779" t="str" cm="1">
        <f t="array" aca="1" ref="F94" ca="1">OFFSET(G94,-1,-1)</f>
        <v>1</v>
      </c>
      <c r="G94" s="180"/>
      <c r="H94" s="180"/>
      <c r="I94" s="180"/>
      <c r="J94" s="180"/>
      <c r="K94" s="180"/>
      <c r="L94" s="143"/>
      <c r="M94" s="1077"/>
      <c r="N94" s="1077" t="str" cm="1">
        <f t="array" aca="1" ref="N94" ca="1">OFFSET(M94,-1,1)</f>
        <v>ТЭ.42.26322895.0003</v>
      </c>
      <c r="O94" s="1078"/>
      <c r="P94" s="1078"/>
      <c r="Q94" s="1078"/>
      <c r="R94" s="1078"/>
      <c r="T94" s="687" t="b">
        <f t="shared" ca="1" si="49"/>
        <v>0</v>
      </c>
      <c r="U94" s="1153"/>
      <c r="V94" s="1153"/>
      <c r="W94" s="1153"/>
      <c r="X94" s="1726"/>
      <c r="Y94" s="1153"/>
      <c r="Z94" s="1726"/>
      <c r="AA94" s="180"/>
      <c r="AB94" s="260" t="s">
        <v>1693</v>
      </c>
      <c r="AC94" s="83" t="s">
        <v>1694</v>
      </c>
      <c r="AD94" s="258" t="s">
        <v>533</v>
      </c>
      <c r="AE94" s="77"/>
      <c r="AF94" s="77"/>
      <c r="AG94" s="77"/>
      <c r="AH94" s="256">
        <f t="shared" si="38"/>
        <v>0</v>
      </c>
      <c r="AI94" s="77"/>
      <c r="AJ94" s="517"/>
      <c r="AK94" s="517"/>
      <c r="AL94" s="517"/>
      <c r="AM94" s="517"/>
      <c r="AN94" s="517"/>
      <c r="AO94" s="77"/>
      <c r="AP94" s="77"/>
      <c r="AQ94" s="77"/>
      <c r="AR94" s="77"/>
      <c r="AS94" s="77"/>
      <c r="AT94" s="517"/>
      <c r="AU94" s="517"/>
      <c r="AV94" s="517"/>
      <c r="AW94" s="517"/>
      <c r="AX94" s="517"/>
      <c r="AY94" s="77"/>
      <c r="AZ94" s="77"/>
      <c r="BA94" s="77"/>
      <c r="BB94" s="77"/>
      <c r="BC94" s="77"/>
      <c r="BD94" s="256">
        <f t="shared" si="39"/>
        <v>0</v>
      </c>
      <c r="BE94" s="256">
        <f t="shared" si="40"/>
        <v>0</v>
      </c>
      <c r="BF94" s="256">
        <f t="shared" si="41"/>
        <v>0</v>
      </c>
      <c r="BG94" s="256">
        <f t="shared" si="42"/>
        <v>0</v>
      </c>
      <c r="BH94" s="256">
        <f t="shared" si="43"/>
        <v>0</v>
      </c>
      <c r="BI94" s="256">
        <f t="shared" si="44"/>
        <v>0</v>
      </c>
      <c r="BJ94" s="256">
        <f t="shared" si="45"/>
        <v>0</v>
      </c>
      <c r="BK94" s="256">
        <f t="shared" si="46"/>
        <v>0</v>
      </c>
      <c r="BL94" s="256">
        <f t="shared" si="47"/>
        <v>0</v>
      </c>
      <c r="BM94" s="256">
        <f t="shared" si="48"/>
        <v>0</v>
      </c>
      <c r="BN94" s="28"/>
      <c r="BO94" s="28"/>
      <c r="BP94" s="28"/>
      <c r="BQ94" s="180"/>
      <c r="BR94" s="180"/>
      <c r="BS94" s="1031" t="s">
        <v>1695</v>
      </c>
      <c r="BT94" s="1031"/>
      <c r="BU94" s="1031"/>
      <c r="BV94" s="1032"/>
      <c r="BW94" s="1032"/>
      <c r="BX94" s="1064"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M11491::ТЭ.42.26322895.0003::Неопределено::Неопределено::Неопределено::Неопределено::Неопределено</v>
      </c>
    </row>
    <row r="95" spans="1:76" s="1229" customFormat="1" ht="16.5" hidden="1" customHeight="1">
      <c r="A95" s="178"/>
      <c r="B95" s="783"/>
      <c r="C95" s="1094" t="s">
        <v>1696</v>
      </c>
      <c r="D95" s="1053" t="s">
        <v>1697</v>
      </c>
      <c r="E95" s="676">
        <v>17.100000000000001</v>
      </c>
      <c r="F95" s="779" t="str" cm="1">
        <f t="array" aca="1" ref="F95" ca="1">OFFSET(G95,-1,-1)</f>
        <v>1</v>
      </c>
      <c r="G95" s="180"/>
      <c r="H95" s="180"/>
      <c r="I95" s="180"/>
      <c r="J95" s="180"/>
      <c r="K95" s="180"/>
      <c r="L95" s="143"/>
      <c r="M95" s="1077"/>
      <c r="N95" s="1077" t="str" cm="1">
        <f t="array" aca="1" ref="N95" ca="1">OFFSET(M95,-1,1)</f>
        <v>ТЭ.42.26322895.0003</v>
      </c>
      <c r="O95" s="1078"/>
      <c r="P95" s="1078"/>
      <c r="Q95" s="1078"/>
      <c r="R95" s="1078"/>
      <c r="T95" s="687" t="b">
        <f t="shared" ca="1" si="49"/>
        <v>0</v>
      </c>
      <c r="U95" s="1153"/>
      <c r="V95" s="1153"/>
      <c r="W95" s="1153"/>
      <c r="X95" s="1726"/>
      <c r="Y95" s="1153"/>
      <c r="Z95" s="1726"/>
      <c r="AA95" s="180"/>
      <c r="AB95" s="260" t="s">
        <v>1373</v>
      </c>
      <c r="AC95" s="82" t="s">
        <v>1698</v>
      </c>
      <c r="AD95" s="258" t="s">
        <v>533</v>
      </c>
      <c r="AE95" s="77"/>
      <c r="AF95" s="77"/>
      <c r="AG95" s="77"/>
      <c r="AH95" s="256">
        <f t="shared" si="38"/>
        <v>0</v>
      </c>
      <c r="AI95" s="77"/>
      <c r="AJ95" s="517"/>
      <c r="AK95" s="517"/>
      <c r="AL95" s="517"/>
      <c r="AM95" s="517"/>
      <c r="AN95" s="517"/>
      <c r="AO95" s="77"/>
      <c r="AP95" s="77"/>
      <c r="AQ95" s="77"/>
      <c r="AR95" s="77"/>
      <c r="AS95" s="77"/>
      <c r="AT95" s="517"/>
      <c r="AU95" s="517"/>
      <c r="AV95" s="517"/>
      <c r="AW95" s="517"/>
      <c r="AX95" s="517"/>
      <c r="AY95" s="77"/>
      <c r="AZ95" s="77"/>
      <c r="BA95" s="77"/>
      <c r="BB95" s="77"/>
      <c r="BC95" s="77"/>
      <c r="BD95" s="256">
        <f t="shared" si="39"/>
        <v>0</v>
      </c>
      <c r="BE95" s="256">
        <f t="shared" si="40"/>
        <v>0</v>
      </c>
      <c r="BF95" s="256">
        <f t="shared" si="41"/>
        <v>0</v>
      </c>
      <c r="BG95" s="256">
        <f t="shared" si="42"/>
        <v>0</v>
      </c>
      <c r="BH95" s="256">
        <f t="shared" si="43"/>
        <v>0</v>
      </c>
      <c r="BI95" s="256">
        <f t="shared" si="44"/>
        <v>0</v>
      </c>
      <c r="BJ95" s="256">
        <f t="shared" si="45"/>
        <v>0</v>
      </c>
      <c r="BK95" s="256">
        <f t="shared" si="46"/>
        <v>0</v>
      </c>
      <c r="BL95" s="256">
        <f t="shared" si="47"/>
        <v>0</v>
      </c>
      <c r="BM95" s="256">
        <f t="shared" si="48"/>
        <v>0</v>
      </c>
      <c r="BN95" s="28"/>
      <c r="BO95" s="28"/>
      <c r="BP95" s="28"/>
      <c r="BQ95" s="180"/>
      <c r="BR95" s="180"/>
      <c r="BS95" s="1031" t="s">
        <v>1699</v>
      </c>
      <c r="BT95" s="1031"/>
      <c r="BU95" s="1031"/>
      <c r="BV95" s="1032"/>
      <c r="BW95" s="1032"/>
      <c r="BX95" s="1064"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M11493::ТЭ.42.26322895.0003::Неопределено::Неопределено::Неопределено::Неопределено::Неопределено</v>
      </c>
    </row>
    <row r="96" spans="1:76" s="1229" customFormat="1" ht="16.5" hidden="1" customHeight="1">
      <c r="A96" s="178"/>
      <c r="B96" s="783"/>
      <c r="C96" s="1094" t="s">
        <v>1700</v>
      </c>
      <c r="D96" s="1053" t="s">
        <v>1701</v>
      </c>
      <c r="E96" s="676">
        <v>17.100000000000001</v>
      </c>
      <c r="F96" s="779" t="str" cm="1">
        <f t="array" aca="1" ref="F96" ca="1">OFFSET(G96,-1,-1)</f>
        <v>1</v>
      </c>
      <c r="G96" s="180"/>
      <c r="H96" s="180"/>
      <c r="I96" s="180"/>
      <c r="J96" s="180"/>
      <c r="K96" s="180"/>
      <c r="L96" s="143"/>
      <c r="M96" s="1077"/>
      <c r="N96" s="1077" t="str" cm="1">
        <f t="array" aca="1" ref="N96" ca="1">OFFSET(M96,-1,1)</f>
        <v>ТЭ.42.26322895.0003</v>
      </c>
      <c r="O96" s="1078"/>
      <c r="P96" s="1078"/>
      <c r="Q96" s="1078"/>
      <c r="R96" s="1078"/>
      <c r="T96" s="687" t="b">
        <f t="shared" ca="1" si="49"/>
        <v>0</v>
      </c>
      <c r="U96" s="1153"/>
      <c r="V96" s="1153"/>
      <c r="W96" s="1153"/>
      <c r="X96" s="1726"/>
      <c r="Y96" s="1153"/>
      <c r="Z96" s="1726"/>
      <c r="AA96" s="180"/>
      <c r="AB96" s="260" t="s">
        <v>1702</v>
      </c>
      <c r="AC96" s="83" t="s">
        <v>1703</v>
      </c>
      <c r="AD96" s="258" t="s">
        <v>533</v>
      </c>
      <c r="AE96" s="77"/>
      <c r="AF96" s="77"/>
      <c r="AG96" s="77"/>
      <c r="AH96" s="256">
        <f t="shared" si="38"/>
        <v>0</v>
      </c>
      <c r="AI96" s="77"/>
      <c r="AJ96" s="517"/>
      <c r="AK96" s="517"/>
      <c r="AL96" s="517"/>
      <c r="AM96" s="517"/>
      <c r="AN96" s="517"/>
      <c r="AO96" s="77"/>
      <c r="AP96" s="77"/>
      <c r="AQ96" s="77"/>
      <c r="AR96" s="77"/>
      <c r="AS96" s="77"/>
      <c r="AT96" s="517"/>
      <c r="AU96" s="517"/>
      <c r="AV96" s="517"/>
      <c r="AW96" s="517"/>
      <c r="AX96" s="517"/>
      <c r="AY96" s="77"/>
      <c r="AZ96" s="77"/>
      <c r="BA96" s="77"/>
      <c r="BB96" s="77"/>
      <c r="BC96" s="77"/>
      <c r="BD96" s="256">
        <f t="shared" si="39"/>
        <v>0</v>
      </c>
      <c r="BE96" s="256">
        <f t="shared" si="40"/>
        <v>0</v>
      </c>
      <c r="BF96" s="256">
        <f t="shared" si="41"/>
        <v>0</v>
      </c>
      <c r="BG96" s="256">
        <f t="shared" si="42"/>
        <v>0</v>
      </c>
      <c r="BH96" s="256">
        <f t="shared" si="43"/>
        <v>0</v>
      </c>
      <c r="BI96" s="256">
        <f t="shared" si="44"/>
        <v>0</v>
      </c>
      <c r="BJ96" s="256">
        <f t="shared" si="45"/>
        <v>0</v>
      </c>
      <c r="BK96" s="256">
        <f t="shared" si="46"/>
        <v>0</v>
      </c>
      <c r="BL96" s="256">
        <f t="shared" si="47"/>
        <v>0</v>
      </c>
      <c r="BM96" s="256">
        <f t="shared" si="48"/>
        <v>0</v>
      </c>
      <c r="BN96" s="28"/>
      <c r="BO96" s="28"/>
      <c r="BP96" s="28"/>
      <c r="BQ96" s="180"/>
      <c r="BR96" s="180"/>
      <c r="BS96" s="1031" t="s">
        <v>1704</v>
      </c>
      <c r="BT96" s="1031"/>
      <c r="BU96" s="1031"/>
      <c r="BV96" s="1032"/>
      <c r="BW96" s="1032"/>
      <c r="BX96" s="1064"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M11494::ТЭ.42.26322895.0003::Неопределено::Неопределено::Неопределено::Неопределено::Неопределено</v>
      </c>
    </row>
    <row r="97" spans="1:76" s="1229" customFormat="1" ht="16.5" hidden="1" customHeight="1">
      <c r="A97" s="178"/>
      <c r="B97" s="783"/>
      <c r="C97" s="1094" t="s">
        <v>1705</v>
      </c>
      <c r="D97" s="1053" t="s">
        <v>1706</v>
      </c>
      <c r="E97" s="676">
        <v>17.100000000000001</v>
      </c>
      <c r="F97" s="779" t="str" cm="1">
        <f t="array" aca="1" ref="F97" ca="1">OFFSET(G97,-1,-1)</f>
        <v>1</v>
      </c>
      <c r="G97" s="180"/>
      <c r="H97" s="180"/>
      <c r="I97" s="180"/>
      <c r="J97" s="180"/>
      <c r="K97" s="180"/>
      <c r="L97" s="143"/>
      <c r="M97" s="1077"/>
      <c r="N97" s="1077" t="str" cm="1">
        <f t="array" aca="1" ref="N97" ca="1">OFFSET(M97,-1,1)</f>
        <v>ТЭ.42.26322895.0003</v>
      </c>
      <c r="O97" s="1078"/>
      <c r="P97" s="1078"/>
      <c r="Q97" s="1078"/>
      <c r="R97" s="1078"/>
      <c r="T97" s="687" t="b">
        <f t="shared" ca="1" si="49"/>
        <v>0</v>
      </c>
      <c r="U97" s="1153"/>
      <c r="V97" s="1153"/>
      <c r="W97" s="1153"/>
      <c r="X97" s="1726"/>
      <c r="Y97" s="1153"/>
      <c r="Z97" s="1726"/>
      <c r="AA97" s="180"/>
      <c r="AB97" s="260" t="s">
        <v>1707</v>
      </c>
      <c r="AC97" s="83" t="s">
        <v>1708</v>
      </c>
      <c r="AD97" s="258" t="s">
        <v>533</v>
      </c>
      <c r="AE97" s="77"/>
      <c r="AF97" s="77"/>
      <c r="AG97" s="77"/>
      <c r="AH97" s="256">
        <f t="shared" si="38"/>
        <v>0</v>
      </c>
      <c r="AI97" s="77"/>
      <c r="AJ97" s="517"/>
      <c r="AK97" s="517"/>
      <c r="AL97" s="517"/>
      <c r="AM97" s="517"/>
      <c r="AN97" s="517"/>
      <c r="AO97" s="77"/>
      <c r="AP97" s="77"/>
      <c r="AQ97" s="77"/>
      <c r="AR97" s="77"/>
      <c r="AS97" s="77"/>
      <c r="AT97" s="517"/>
      <c r="AU97" s="517"/>
      <c r="AV97" s="517"/>
      <c r="AW97" s="517"/>
      <c r="AX97" s="517"/>
      <c r="AY97" s="77"/>
      <c r="AZ97" s="77"/>
      <c r="BA97" s="77"/>
      <c r="BB97" s="77"/>
      <c r="BC97" s="77"/>
      <c r="BD97" s="256">
        <f t="shared" si="39"/>
        <v>0</v>
      </c>
      <c r="BE97" s="256">
        <f t="shared" si="40"/>
        <v>0</v>
      </c>
      <c r="BF97" s="256">
        <f t="shared" si="41"/>
        <v>0</v>
      </c>
      <c r="BG97" s="256">
        <f t="shared" si="42"/>
        <v>0</v>
      </c>
      <c r="BH97" s="256">
        <f t="shared" si="43"/>
        <v>0</v>
      </c>
      <c r="BI97" s="256">
        <f t="shared" si="44"/>
        <v>0</v>
      </c>
      <c r="BJ97" s="256">
        <f t="shared" si="45"/>
        <v>0</v>
      </c>
      <c r="BK97" s="256">
        <f t="shared" si="46"/>
        <v>0</v>
      </c>
      <c r="BL97" s="256">
        <f t="shared" si="47"/>
        <v>0</v>
      </c>
      <c r="BM97" s="256">
        <f t="shared" si="48"/>
        <v>0</v>
      </c>
      <c r="BN97" s="28"/>
      <c r="BO97" s="28"/>
      <c r="BP97" s="28"/>
      <c r="BQ97" s="180"/>
      <c r="BR97" s="180"/>
      <c r="BS97" s="1031" t="s">
        <v>1709</v>
      </c>
      <c r="BT97" s="1031"/>
      <c r="BU97" s="1031"/>
      <c r="BV97" s="1032"/>
      <c r="BW97" s="1032"/>
      <c r="BX97" s="1064"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M11495::ТЭ.42.26322895.0003::Неопределено::Неопределено::Неопределено::Неопределено::Неопределено</v>
      </c>
    </row>
    <row r="98" spans="1:76" s="1229" customFormat="1" ht="16.5" customHeight="1">
      <c r="A98" s="178"/>
      <c r="B98" s="783"/>
      <c r="C98" s="1094" t="s">
        <v>1710</v>
      </c>
      <c r="D98" s="1053" t="s">
        <v>1711</v>
      </c>
      <c r="E98" s="676">
        <v>17.100000000000001</v>
      </c>
      <c r="F98" s="779" t="str" cm="1">
        <f t="array" aca="1" ref="F98" ca="1">OFFSET(G98,-1,-1)</f>
        <v>1</v>
      </c>
      <c r="G98" s="143" t="s">
        <v>1557</v>
      </c>
      <c r="H98" s="180"/>
      <c r="I98" s="180"/>
      <c r="J98" s="180"/>
      <c r="K98" s="180"/>
      <c r="L98" s="143"/>
      <c r="M98" s="1077"/>
      <c r="N98" s="1077" t="str" cm="1">
        <f t="array" aca="1" ref="N98" ca="1">OFFSET(M98,-1,1)</f>
        <v>ТЭ.42.26322895.0003</v>
      </c>
      <c r="O98" s="1078"/>
      <c r="P98" s="1078"/>
      <c r="Q98" s="1078"/>
      <c r="R98" s="1078"/>
      <c r="T98" s="687" t="b">
        <f t="shared" ref="T98:T103" ca="1" si="50">AND(F98&gt;0,method_reg="Метод индексации")</f>
        <v>1</v>
      </c>
      <c r="U98" s="1153"/>
      <c r="V98" s="1153"/>
      <c r="W98" s="1153"/>
      <c r="X98" s="1726"/>
      <c r="Y98" s="1153"/>
      <c r="Z98" s="1726"/>
      <c r="AA98" s="180"/>
      <c r="AB98" s="111" t="s">
        <v>440</v>
      </c>
      <c r="AC98" s="513" t="s">
        <v>1559</v>
      </c>
      <c r="AD98" s="419" t="s">
        <v>1077</v>
      </c>
      <c r="AE98" s="1398">
        <f>AE99+AE100+AE101</f>
        <v>0</v>
      </c>
      <c r="AF98" s="1398">
        <f>AF99+AF100+AF101</f>
        <v>0</v>
      </c>
      <c r="AG98" s="1398">
        <f>AG99+AG100+AG101</f>
        <v>0</v>
      </c>
      <c r="AH98" s="256">
        <f t="shared" si="38"/>
        <v>0</v>
      </c>
      <c r="AI98" s="1398">
        <f t="shared" ref="AI98:BC98" si="51">AI99+AI100+AI101</f>
        <v>48675</v>
      </c>
      <c r="AJ98" s="517">
        <f t="shared" si="51"/>
        <v>0</v>
      </c>
      <c r="AK98" s="517">
        <f t="shared" si="51"/>
        <v>0</v>
      </c>
      <c r="AL98" s="517">
        <f t="shared" si="51"/>
        <v>0</v>
      </c>
      <c r="AM98" s="517">
        <f t="shared" si="51"/>
        <v>0</v>
      </c>
      <c r="AN98" s="517">
        <f t="shared" si="51"/>
        <v>0</v>
      </c>
      <c r="AO98" s="1398">
        <f t="shared" si="51"/>
        <v>0</v>
      </c>
      <c r="AP98" s="1398">
        <f t="shared" si="51"/>
        <v>0</v>
      </c>
      <c r="AQ98" s="1398">
        <f t="shared" si="51"/>
        <v>0</v>
      </c>
      <c r="AR98" s="1398">
        <f t="shared" si="51"/>
        <v>0</v>
      </c>
      <c r="AS98" s="1398">
        <f t="shared" si="51"/>
        <v>0</v>
      </c>
      <c r="AT98" s="517">
        <f t="shared" si="51"/>
        <v>64192</v>
      </c>
      <c r="AU98" s="517">
        <f t="shared" si="51"/>
        <v>0</v>
      </c>
      <c r="AV98" s="517">
        <f t="shared" si="51"/>
        <v>0</v>
      </c>
      <c r="AW98" s="517">
        <f t="shared" si="51"/>
        <v>0</v>
      </c>
      <c r="AX98" s="517">
        <f t="shared" si="51"/>
        <v>0</v>
      </c>
      <c r="AY98" s="1398">
        <f t="shared" si="51"/>
        <v>0</v>
      </c>
      <c r="AZ98" s="1398">
        <f t="shared" si="51"/>
        <v>0</v>
      </c>
      <c r="BA98" s="1398">
        <f t="shared" si="51"/>
        <v>0</v>
      </c>
      <c r="BB98" s="1398">
        <f t="shared" si="51"/>
        <v>0</v>
      </c>
      <c r="BC98" s="1398">
        <f t="shared" si="51"/>
        <v>0</v>
      </c>
      <c r="BD98" s="256">
        <f t="shared" si="39"/>
        <v>31.878787878787879</v>
      </c>
      <c r="BE98" s="256">
        <f t="shared" si="40"/>
        <v>-100</v>
      </c>
      <c r="BF98" s="256">
        <f t="shared" si="41"/>
        <v>0</v>
      </c>
      <c r="BG98" s="256">
        <f t="shared" si="42"/>
        <v>0</v>
      </c>
      <c r="BH98" s="256">
        <f t="shared" si="43"/>
        <v>0</v>
      </c>
      <c r="BI98" s="256">
        <f t="shared" si="44"/>
        <v>0</v>
      </c>
      <c r="BJ98" s="256">
        <f t="shared" si="45"/>
        <v>0</v>
      </c>
      <c r="BK98" s="256">
        <f t="shared" si="46"/>
        <v>0</v>
      </c>
      <c r="BL98" s="256">
        <f t="shared" si="47"/>
        <v>0</v>
      </c>
      <c r="BM98" s="256">
        <f t="shared" si="48"/>
        <v>0</v>
      </c>
      <c r="BN98" s="1290"/>
      <c r="BO98" s="1290"/>
      <c r="BP98" s="1290"/>
      <c r="BQ98" s="180"/>
      <c r="BR98" s="180"/>
      <c r="BS98" s="1031" t="s">
        <v>1560</v>
      </c>
      <c r="BT98" s="1031"/>
      <c r="BU98" s="1031"/>
      <c r="BV98" s="1032"/>
      <c r="BW98" s="1032"/>
      <c r="BX98" s="1064"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M10606::ТЭ.42.26322895.0003::Неопределено::Неопределено::Неопределено::Неопределено::Неопределено</v>
      </c>
    </row>
    <row r="99" spans="1:76" s="1229" customFormat="1" ht="58.5" customHeight="1">
      <c r="A99" s="178"/>
      <c r="B99" s="783"/>
      <c r="C99" s="1094" t="s">
        <v>1712</v>
      </c>
      <c r="D99" s="1053" t="s">
        <v>1713</v>
      </c>
      <c r="E99" s="676">
        <v>60</v>
      </c>
      <c r="F99" s="779" t="str" cm="1">
        <f t="array" aca="1" ref="F99" ca="1">OFFSET(G99,-1,-1)</f>
        <v>1</v>
      </c>
      <c r="G99" s="180"/>
      <c r="H99" s="180"/>
      <c r="I99" s="180"/>
      <c r="J99" s="180"/>
      <c r="K99" s="180"/>
      <c r="L99" s="143"/>
      <c r="M99" s="1077"/>
      <c r="N99" s="1077" t="str" cm="1">
        <f t="array" aca="1" ref="N99" ca="1">OFFSET(M99,-1,1)</f>
        <v>ТЭ.42.26322895.0003</v>
      </c>
      <c r="O99" s="1078"/>
      <c r="P99" s="1078"/>
      <c r="Q99" s="1078"/>
      <c r="R99" s="1078"/>
      <c r="T99" s="687" t="b">
        <f t="shared" ca="1" si="50"/>
        <v>1</v>
      </c>
      <c r="U99" s="1153"/>
      <c r="V99" s="1153"/>
      <c r="W99" s="1153"/>
      <c r="X99" s="1726"/>
      <c r="Y99" s="1153"/>
      <c r="Z99" s="1726"/>
      <c r="AA99" s="180"/>
      <c r="AB99" s="111" t="s">
        <v>780</v>
      </c>
      <c r="AC99" s="862" t="s">
        <v>1714</v>
      </c>
      <c r="AD99" s="419" t="s">
        <v>1460</v>
      </c>
      <c r="AE99" s="1398"/>
      <c r="AF99" s="1398"/>
      <c r="AG99" s="1398"/>
      <c r="AH99" s="256">
        <f t="shared" si="38"/>
        <v>0</v>
      </c>
      <c r="AI99" s="1398">
        <v>48449</v>
      </c>
      <c r="AJ99" s="517"/>
      <c r="AK99" s="517"/>
      <c r="AL99" s="517"/>
      <c r="AM99" s="517"/>
      <c r="AN99" s="517"/>
      <c r="AO99" s="1398"/>
      <c r="AP99" s="1398"/>
      <c r="AQ99" s="1398"/>
      <c r="AR99" s="1398"/>
      <c r="AS99" s="1398"/>
      <c r="AT99" s="517">
        <v>64192</v>
      </c>
      <c r="AU99" s="517"/>
      <c r="AV99" s="517"/>
      <c r="AW99" s="517"/>
      <c r="AX99" s="517"/>
      <c r="AY99" s="1398"/>
      <c r="AZ99" s="1398"/>
      <c r="BA99" s="1398"/>
      <c r="BB99" s="1398"/>
      <c r="BC99" s="1398"/>
      <c r="BD99" s="256">
        <f t="shared" si="39"/>
        <v>32.493962723688831</v>
      </c>
      <c r="BE99" s="256">
        <f t="shared" si="40"/>
        <v>-100</v>
      </c>
      <c r="BF99" s="256">
        <f t="shared" si="41"/>
        <v>0</v>
      </c>
      <c r="BG99" s="256">
        <f t="shared" si="42"/>
        <v>0</v>
      </c>
      <c r="BH99" s="256">
        <f t="shared" si="43"/>
        <v>0</v>
      </c>
      <c r="BI99" s="256">
        <f t="shared" si="44"/>
        <v>0</v>
      </c>
      <c r="BJ99" s="256">
        <f t="shared" si="45"/>
        <v>0</v>
      </c>
      <c r="BK99" s="256">
        <f t="shared" si="46"/>
        <v>0</v>
      </c>
      <c r="BL99" s="256">
        <f t="shared" si="47"/>
        <v>0</v>
      </c>
      <c r="BM99" s="256">
        <f t="shared" si="48"/>
        <v>0</v>
      </c>
      <c r="BN99" s="1290"/>
      <c r="BO99" s="1290"/>
      <c r="BP99" s="1290"/>
      <c r="BQ99" s="180"/>
      <c r="BR99" s="180"/>
      <c r="BS99" s="1031" t="s">
        <v>1715</v>
      </c>
      <c r="BT99" s="1031"/>
      <c r="BU99" s="1031"/>
      <c r="BV99" s="1032"/>
      <c r="BW99" s="1032"/>
      <c r="BX99" s="1064"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M10614::ТЭ.42.26322895.0003::Неопределено::Неопределено::Неопределено::Неопределено::Неопределено</v>
      </c>
    </row>
    <row r="100" spans="1:76" s="1229" customFormat="1" ht="29.25" customHeight="1">
      <c r="A100" s="178"/>
      <c r="B100" s="783"/>
      <c r="C100" s="1094" t="s">
        <v>1716</v>
      </c>
      <c r="D100" s="1053" t="s">
        <v>1717</v>
      </c>
      <c r="E100" s="676">
        <v>30</v>
      </c>
      <c r="F100" s="779" t="str" cm="1">
        <f t="array" aca="1" ref="F100" ca="1">OFFSET(G100,-1,-1)</f>
        <v>1</v>
      </c>
      <c r="G100" s="180"/>
      <c r="H100" s="180"/>
      <c r="I100" s="180"/>
      <c r="J100" s="180"/>
      <c r="K100" s="180"/>
      <c r="L100" s="143"/>
      <c r="M100" s="1077"/>
      <c r="N100" s="1077" t="str" cm="1">
        <f t="array" aca="1" ref="N100" ca="1">OFFSET(M100,-1,1)</f>
        <v>ТЭ.42.26322895.0003</v>
      </c>
      <c r="O100" s="1078"/>
      <c r="P100" s="1078"/>
      <c r="Q100" s="1078"/>
      <c r="R100" s="1078"/>
      <c r="T100" s="687" t="b">
        <f t="shared" ca="1" si="50"/>
        <v>1</v>
      </c>
      <c r="U100" s="1153"/>
      <c r="V100" s="1153"/>
      <c r="W100" s="1153"/>
      <c r="X100" s="1726"/>
      <c r="Y100" s="1153"/>
      <c r="Z100" s="1726"/>
      <c r="AA100" s="180"/>
      <c r="AB100" s="111" t="s">
        <v>1667</v>
      </c>
      <c r="AC100" s="513" t="s">
        <v>1718</v>
      </c>
      <c r="AD100" s="419" t="s">
        <v>1460</v>
      </c>
      <c r="AE100" s="1398"/>
      <c r="AF100" s="1398"/>
      <c r="AG100" s="1398"/>
      <c r="AH100" s="256">
        <f t="shared" si="38"/>
        <v>0</v>
      </c>
      <c r="AI100" s="1398"/>
      <c r="AJ100" s="517"/>
      <c r="AK100" s="517"/>
      <c r="AL100" s="517"/>
      <c r="AM100" s="517"/>
      <c r="AN100" s="517"/>
      <c r="AO100" s="1398"/>
      <c r="AP100" s="1398"/>
      <c r="AQ100" s="1398"/>
      <c r="AR100" s="1398"/>
      <c r="AS100" s="1398"/>
      <c r="AT100" s="517"/>
      <c r="AU100" s="517"/>
      <c r="AV100" s="517"/>
      <c r="AW100" s="517"/>
      <c r="AX100" s="517"/>
      <c r="AY100" s="1398"/>
      <c r="AZ100" s="1398"/>
      <c r="BA100" s="1398"/>
      <c r="BB100" s="1398"/>
      <c r="BC100" s="1398"/>
      <c r="BD100" s="256">
        <f t="shared" si="39"/>
        <v>0</v>
      </c>
      <c r="BE100" s="256">
        <f t="shared" si="40"/>
        <v>0</v>
      </c>
      <c r="BF100" s="256">
        <f t="shared" si="41"/>
        <v>0</v>
      </c>
      <c r="BG100" s="256">
        <f t="shared" si="42"/>
        <v>0</v>
      </c>
      <c r="BH100" s="256">
        <f t="shared" si="43"/>
        <v>0</v>
      </c>
      <c r="BI100" s="256">
        <f t="shared" si="44"/>
        <v>0</v>
      </c>
      <c r="BJ100" s="256">
        <f t="shared" si="45"/>
        <v>0</v>
      </c>
      <c r="BK100" s="256">
        <f t="shared" si="46"/>
        <v>0</v>
      </c>
      <c r="BL100" s="256">
        <f t="shared" si="47"/>
        <v>0</v>
      </c>
      <c r="BM100" s="256">
        <f t="shared" si="48"/>
        <v>0</v>
      </c>
      <c r="BN100" s="1290"/>
      <c r="BO100" s="1290"/>
      <c r="BP100" s="1290"/>
      <c r="BQ100" s="180"/>
      <c r="BR100" s="180"/>
      <c r="BS100" s="1031" t="s">
        <v>1719</v>
      </c>
      <c r="BT100" s="1031"/>
      <c r="BU100" s="1031"/>
      <c r="BV100" s="1032"/>
      <c r="BW100" s="1032"/>
      <c r="BX100" s="1064"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M10608::ТЭ.42.26322895.0003::Неопределено::Неопределено::Неопределено::Неопределено::Неопределено</v>
      </c>
    </row>
    <row r="101" spans="1:76" s="1229" customFormat="1" ht="43.5" customHeight="1">
      <c r="A101" s="178"/>
      <c r="B101" s="783"/>
      <c r="C101" s="1094" t="s">
        <v>1720</v>
      </c>
      <c r="D101" s="1053" t="s">
        <v>1721</v>
      </c>
      <c r="E101" s="676">
        <v>45</v>
      </c>
      <c r="F101" s="779" t="str" cm="1">
        <f t="array" aca="1" ref="F101" ca="1">OFFSET(G101,-1,-1)</f>
        <v>1</v>
      </c>
      <c r="G101" s="180"/>
      <c r="H101" s="180"/>
      <c r="I101" s="180"/>
      <c r="J101" s="180"/>
      <c r="K101" s="180"/>
      <c r="L101" s="143"/>
      <c r="M101" s="1077"/>
      <c r="N101" s="1077" t="str" cm="1">
        <f t="array" aca="1" ref="N101" ca="1">OFFSET(M101,-1,1)</f>
        <v>ТЭ.42.26322895.0003</v>
      </c>
      <c r="O101" s="1078"/>
      <c r="P101" s="1078"/>
      <c r="Q101" s="1078"/>
      <c r="R101" s="1078"/>
      <c r="T101" s="687" t="b">
        <f t="shared" ca="1" si="50"/>
        <v>1</v>
      </c>
      <c r="U101" s="1153"/>
      <c r="V101" s="1153"/>
      <c r="W101" s="1153"/>
      <c r="X101" s="1726"/>
      <c r="Y101" s="1153"/>
      <c r="Z101" s="1726"/>
      <c r="AA101" s="180"/>
      <c r="AB101" s="111" t="s">
        <v>1722</v>
      </c>
      <c r="AC101" s="513" t="s">
        <v>1723</v>
      </c>
      <c r="AD101" s="419" t="s">
        <v>1460</v>
      </c>
      <c r="AE101" s="1398"/>
      <c r="AF101" s="1398"/>
      <c r="AG101" s="1398"/>
      <c r="AH101" s="256">
        <f t="shared" si="38"/>
        <v>0</v>
      </c>
      <c r="AI101" s="1398">
        <v>226</v>
      </c>
      <c r="AJ101" s="517"/>
      <c r="AK101" s="517"/>
      <c r="AL101" s="517"/>
      <c r="AM101" s="517"/>
      <c r="AN101" s="517"/>
      <c r="AO101" s="1398"/>
      <c r="AP101" s="1398"/>
      <c r="AQ101" s="1398"/>
      <c r="AR101" s="1398"/>
      <c r="AS101" s="1398"/>
      <c r="AT101" s="517"/>
      <c r="AU101" s="517"/>
      <c r="AV101" s="517"/>
      <c r="AW101" s="517"/>
      <c r="AX101" s="517"/>
      <c r="AY101" s="1398"/>
      <c r="AZ101" s="1398"/>
      <c r="BA101" s="1398"/>
      <c r="BB101" s="1398"/>
      <c r="BC101" s="1398"/>
      <c r="BD101" s="256">
        <f t="shared" si="39"/>
        <v>-100</v>
      </c>
      <c r="BE101" s="256">
        <f t="shared" si="40"/>
        <v>0</v>
      </c>
      <c r="BF101" s="256">
        <f t="shared" si="41"/>
        <v>0</v>
      </c>
      <c r="BG101" s="256">
        <f t="shared" si="42"/>
        <v>0</v>
      </c>
      <c r="BH101" s="256">
        <f t="shared" si="43"/>
        <v>0</v>
      </c>
      <c r="BI101" s="256">
        <f t="shared" si="44"/>
        <v>0</v>
      </c>
      <c r="BJ101" s="256">
        <f t="shared" si="45"/>
        <v>0</v>
      </c>
      <c r="BK101" s="256">
        <f t="shared" si="46"/>
        <v>0</v>
      </c>
      <c r="BL101" s="256">
        <f t="shared" si="47"/>
        <v>0</v>
      </c>
      <c r="BM101" s="256">
        <f t="shared" si="48"/>
        <v>0</v>
      </c>
      <c r="BN101" s="1290"/>
      <c r="BO101" s="1290"/>
      <c r="BP101" s="1290"/>
      <c r="BQ101" s="180"/>
      <c r="BR101" s="180"/>
      <c r="BS101" s="1031" t="s">
        <v>1724</v>
      </c>
      <c r="BT101" s="1031"/>
      <c r="BU101" s="1031"/>
      <c r="BV101" s="1032"/>
      <c r="BW101" s="1032"/>
      <c r="BX101" s="1064"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M10610::ТЭ.42.26322895.0003::Неопределено::Неопределено::Неопределено::Неопределено::Неопределено</v>
      </c>
    </row>
    <row r="102" spans="1:76" s="1229" customFormat="1" ht="14.25" customHeight="1">
      <c r="A102" s="178"/>
      <c r="B102" s="783"/>
      <c r="C102" s="1094" t="s">
        <v>1725</v>
      </c>
      <c r="D102" s="1053" t="s">
        <v>1726</v>
      </c>
      <c r="E102" s="676">
        <v>15</v>
      </c>
      <c r="F102" s="779" t="str" cm="1">
        <f t="array" aca="1" ref="F102" ca="1">OFFSET(G102,-1,-1)</f>
        <v>1</v>
      </c>
      <c r="G102" s="143" t="s">
        <v>1564</v>
      </c>
      <c r="H102" s="180"/>
      <c r="I102" s="180"/>
      <c r="J102" s="180"/>
      <c r="K102" s="180"/>
      <c r="L102" s="143"/>
      <c r="M102" s="1077"/>
      <c r="N102" s="1077" t="str" cm="1">
        <f t="array" aca="1" ref="N102" ca="1">OFFSET(M102,-1,1)</f>
        <v>ТЭ.42.26322895.0003</v>
      </c>
      <c r="O102" s="1078"/>
      <c r="P102" s="1078"/>
      <c r="Q102" s="1078"/>
      <c r="R102" s="1078"/>
      <c r="T102" s="687" t="b">
        <f t="shared" ca="1" si="50"/>
        <v>1</v>
      </c>
      <c r="U102" s="1153"/>
      <c r="V102" s="1153"/>
      <c r="W102" s="1153"/>
      <c r="X102" s="1726"/>
      <c r="Y102" s="1153"/>
      <c r="Z102" s="1726"/>
      <c r="AA102" s="180"/>
      <c r="AB102" s="111" t="s">
        <v>443</v>
      </c>
      <c r="AC102" s="513" t="s">
        <v>1566</v>
      </c>
      <c r="AD102" s="419" t="s">
        <v>1077</v>
      </c>
      <c r="AE102" s="1398"/>
      <c r="AF102" s="1398"/>
      <c r="AG102" s="1398"/>
      <c r="AH102" s="256">
        <f t="shared" si="38"/>
        <v>0</v>
      </c>
      <c r="AI102" s="1398">
        <v>15264</v>
      </c>
      <c r="AJ102" s="517"/>
      <c r="AK102" s="517"/>
      <c r="AL102" s="517"/>
      <c r="AM102" s="517"/>
      <c r="AN102" s="517"/>
      <c r="AO102" s="1398"/>
      <c r="AP102" s="1398"/>
      <c r="AQ102" s="1398"/>
      <c r="AR102" s="1398"/>
      <c r="AS102" s="1398"/>
      <c r="AT102" s="517">
        <v>17407.37</v>
      </c>
      <c r="AU102" s="517"/>
      <c r="AV102" s="517"/>
      <c r="AW102" s="517"/>
      <c r="AX102" s="517"/>
      <c r="AY102" s="1398"/>
      <c r="AZ102" s="1398"/>
      <c r="BA102" s="1398"/>
      <c r="BB102" s="1398"/>
      <c r="BC102" s="1398"/>
      <c r="BD102" s="256">
        <f t="shared" si="39"/>
        <v>14.04199423480083</v>
      </c>
      <c r="BE102" s="256">
        <f t="shared" si="40"/>
        <v>-100</v>
      </c>
      <c r="BF102" s="256">
        <f t="shared" si="41"/>
        <v>0</v>
      </c>
      <c r="BG102" s="256">
        <f t="shared" si="42"/>
        <v>0</v>
      </c>
      <c r="BH102" s="256">
        <f t="shared" si="43"/>
        <v>0</v>
      </c>
      <c r="BI102" s="256">
        <f t="shared" si="44"/>
        <v>0</v>
      </c>
      <c r="BJ102" s="256">
        <f t="shared" si="45"/>
        <v>0</v>
      </c>
      <c r="BK102" s="256">
        <f t="shared" si="46"/>
        <v>0</v>
      </c>
      <c r="BL102" s="256">
        <f t="shared" si="47"/>
        <v>0</v>
      </c>
      <c r="BM102" s="256">
        <f t="shared" si="48"/>
        <v>0</v>
      </c>
      <c r="BN102" s="1290"/>
      <c r="BO102" s="1290"/>
      <c r="BP102" s="1290"/>
      <c r="BQ102" s="180"/>
      <c r="BR102" s="180"/>
      <c r="BS102" s="1031" t="s">
        <v>1727</v>
      </c>
      <c r="BT102" s="1031"/>
      <c r="BU102" s="1031"/>
      <c r="BV102" s="1032"/>
      <c r="BW102" s="1032"/>
      <c r="BX102" s="1064"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M11281::ТЭ.42.26322895.0003::Неопределено::Неопределено::Неопределено::Неопределено::Неопределено</v>
      </c>
    </row>
    <row r="103" spans="1:76" s="1229" customFormat="1" ht="14.25" customHeight="1">
      <c r="A103" s="178"/>
      <c r="B103" s="783"/>
      <c r="C103" s="1094" t="s">
        <v>1728</v>
      </c>
      <c r="D103" s="1053" t="s">
        <v>1729</v>
      </c>
      <c r="E103" s="676">
        <v>15</v>
      </c>
      <c r="F103" s="779" t="str" cm="1">
        <f t="array" aca="1" ref="F103" ca="1">OFFSET(G103,-1,-1)</f>
        <v>1</v>
      </c>
      <c r="G103" s="180"/>
      <c r="H103" s="180"/>
      <c r="I103" s="180"/>
      <c r="J103" s="180"/>
      <c r="K103" s="180"/>
      <c r="L103" s="143"/>
      <c r="M103" s="1077"/>
      <c r="N103" s="1077" t="str" cm="1">
        <f t="array" aca="1" ref="N103" ca="1">OFFSET(M103,-1,1)</f>
        <v>ТЭ.42.26322895.0003</v>
      </c>
      <c r="O103" s="1078"/>
      <c r="P103" s="1078"/>
      <c r="Q103" s="1078"/>
      <c r="R103" s="1078"/>
      <c r="T103" s="687" t="b">
        <f t="shared" ca="1" si="50"/>
        <v>1</v>
      </c>
      <c r="U103" s="1153"/>
      <c r="V103" s="1153"/>
      <c r="W103" s="1153"/>
      <c r="X103" s="1726"/>
      <c r="Y103" s="1153"/>
      <c r="Z103" s="1726"/>
      <c r="AA103" s="180"/>
      <c r="AB103" s="111" t="s">
        <v>785</v>
      </c>
      <c r="AC103" s="116" t="s">
        <v>1562</v>
      </c>
      <c r="AD103" s="419" t="s">
        <v>533</v>
      </c>
      <c r="AE103" s="1388"/>
      <c r="AF103" s="1388"/>
      <c r="AG103" s="1388"/>
      <c r="AH103" s="256">
        <f t="shared" si="38"/>
        <v>0</v>
      </c>
      <c r="AI103" s="1388"/>
      <c r="AJ103" s="934"/>
      <c r="AK103" s="934"/>
      <c r="AL103" s="934"/>
      <c r="AM103" s="934"/>
      <c r="AN103" s="934"/>
      <c r="AO103" s="1388"/>
      <c r="AP103" s="1388"/>
      <c r="AQ103" s="1388"/>
      <c r="AR103" s="1388"/>
      <c r="AS103" s="1388"/>
      <c r="AT103" s="934"/>
      <c r="AU103" s="934"/>
      <c r="AV103" s="934"/>
      <c r="AW103" s="934"/>
      <c r="AX103" s="934"/>
      <c r="AY103" s="1388"/>
      <c r="AZ103" s="1388"/>
      <c r="BA103" s="1388"/>
      <c r="BB103" s="1388"/>
      <c r="BC103" s="1388"/>
      <c r="BD103" s="256">
        <f t="shared" si="39"/>
        <v>0</v>
      </c>
      <c r="BE103" s="256">
        <f t="shared" si="40"/>
        <v>0</v>
      </c>
      <c r="BF103" s="256">
        <f t="shared" si="41"/>
        <v>0</v>
      </c>
      <c r="BG103" s="256">
        <f t="shared" si="42"/>
        <v>0</v>
      </c>
      <c r="BH103" s="256">
        <f t="shared" si="43"/>
        <v>0</v>
      </c>
      <c r="BI103" s="256">
        <f t="shared" si="44"/>
        <v>0</v>
      </c>
      <c r="BJ103" s="256">
        <f t="shared" si="45"/>
        <v>0</v>
      </c>
      <c r="BK103" s="256">
        <f t="shared" si="46"/>
        <v>0</v>
      </c>
      <c r="BL103" s="256">
        <f t="shared" si="47"/>
        <v>0</v>
      </c>
      <c r="BM103" s="256">
        <f t="shared" si="48"/>
        <v>0</v>
      </c>
      <c r="BN103" s="1290"/>
      <c r="BO103" s="1290"/>
      <c r="BP103" s="1290"/>
      <c r="BQ103" s="180"/>
      <c r="BR103" s="180"/>
      <c r="BS103" s="1031" t="s">
        <v>1730</v>
      </c>
      <c r="BT103" s="1031"/>
      <c r="BU103" s="1031"/>
      <c r="BV103" s="1032"/>
      <c r="BW103" s="1032"/>
      <c r="BX103" s="1064"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M10607::ТЭ.42.26322895.0003::Неопределено::Неопределено::Неопределено::Неопределено::Неопределено</v>
      </c>
    </row>
    <row r="104" spans="1:76" s="1229" customFormat="1" ht="28.5" customHeight="1">
      <c r="A104" s="178"/>
      <c r="B104" s="783"/>
      <c r="C104" s="1094" t="s">
        <v>1731</v>
      </c>
      <c r="D104" s="1053" t="s">
        <v>1732</v>
      </c>
      <c r="E104" s="676">
        <v>29.3</v>
      </c>
      <c r="F104" s="779" t="str" cm="1">
        <f t="array" aca="1" ref="F104" ca="1">OFFSET(G104,-1,-1)</f>
        <v>1</v>
      </c>
      <c r="G104" s="143">
        <v>6</v>
      </c>
      <c r="H104" s="180"/>
      <c r="I104" s="180"/>
      <c r="J104" s="180"/>
      <c r="K104" s="180"/>
      <c r="L104" s="143"/>
      <c r="M104" s="1077"/>
      <c r="N104" s="1077" t="str" cm="1">
        <f t="array" aca="1" ref="N104" ca="1">OFFSET(M104,-1,1)</f>
        <v>ТЭ.42.26322895.0003</v>
      </c>
      <c r="O104" s="1078"/>
      <c r="P104" s="1078"/>
      <c r="Q104" s="1078"/>
      <c r="R104" s="1078"/>
      <c r="T104" s="687" t="b">
        <f ca="1">F104&gt;0</f>
        <v>1</v>
      </c>
      <c r="U104" s="1153"/>
      <c r="V104" s="1153"/>
      <c r="W104" s="1153"/>
      <c r="X104" s="1726"/>
      <c r="Y104" s="1153"/>
      <c r="Z104" s="1726"/>
      <c r="AA104" s="180"/>
      <c r="AB104" s="111" t="s">
        <v>448</v>
      </c>
      <c r="AC104" s="513" t="s">
        <v>1569</v>
      </c>
      <c r="AD104" s="419" t="s">
        <v>1077</v>
      </c>
      <c r="AE104" s="1398"/>
      <c r="AF104" s="1398"/>
      <c r="AG104" s="1398"/>
      <c r="AH104" s="256">
        <f t="shared" si="38"/>
        <v>0</v>
      </c>
      <c r="AI104" s="1398">
        <v>13415</v>
      </c>
      <c r="AJ104" s="517"/>
      <c r="AK104" s="517"/>
      <c r="AL104" s="517"/>
      <c r="AM104" s="517"/>
      <c r="AN104" s="517"/>
      <c r="AO104" s="1398"/>
      <c r="AP104" s="1398"/>
      <c r="AQ104" s="1398"/>
      <c r="AR104" s="1398"/>
      <c r="AS104" s="1398"/>
      <c r="AT104" s="517"/>
      <c r="AU104" s="517"/>
      <c r="AV104" s="517"/>
      <c r="AW104" s="517"/>
      <c r="AX104" s="517"/>
      <c r="AY104" s="1398"/>
      <c r="AZ104" s="1398"/>
      <c r="BA104" s="1398"/>
      <c r="BB104" s="1398"/>
      <c r="BC104" s="1398"/>
      <c r="BD104" s="256">
        <f t="shared" si="39"/>
        <v>-100</v>
      </c>
      <c r="BE104" s="256">
        <f t="shared" si="40"/>
        <v>0</v>
      </c>
      <c r="BF104" s="256">
        <f t="shared" si="41"/>
        <v>0</v>
      </c>
      <c r="BG104" s="256">
        <f t="shared" si="42"/>
        <v>0</v>
      </c>
      <c r="BH104" s="256">
        <f t="shared" si="43"/>
        <v>0</v>
      </c>
      <c r="BI104" s="256">
        <f t="shared" si="44"/>
        <v>0</v>
      </c>
      <c r="BJ104" s="256">
        <f t="shared" si="45"/>
        <v>0</v>
      </c>
      <c r="BK104" s="256">
        <f t="shared" si="46"/>
        <v>0</v>
      </c>
      <c r="BL104" s="256">
        <f t="shared" si="47"/>
        <v>0</v>
      </c>
      <c r="BM104" s="256">
        <f t="shared" si="48"/>
        <v>0</v>
      </c>
      <c r="BN104" s="1290"/>
      <c r="BO104" s="1290"/>
      <c r="BP104" s="1290"/>
      <c r="BQ104" s="180"/>
      <c r="BR104" s="180"/>
      <c r="BS104" s="1031" t="s">
        <v>1733</v>
      </c>
      <c r="BT104" s="1031"/>
      <c r="BU104" s="1031"/>
      <c r="BV104" s="1032"/>
      <c r="BW104" s="1032"/>
      <c r="BX104" s="1064"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M11584::ТЭ.42.26322895.0003::Неопределено::Неопределено::Неопределено::Неопределено::Неопределено</v>
      </c>
    </row>
    <row r="105" spans="1:76" s="1229" customFormat="1" ht="28.5" customHeight="1">
      <c r="A105" s="178"/>
      <c r="B105" s="783"/>
      <c r="C105" s="1094" t="s">
        <v>1734</v>
      </c>
      <c r="D105" s="1053" t="s">
        <v>1735</v>
      </c>
      <c r="E105" s="676">
        <v>29.3</v>
      </c>
      <c r="F105" s="779" t="str" cm="1">
        <f t="array" aca="1" ref="F105" ca="1">OFFSET(G105,-1,-1)</f>
        <v>1</v>
      </c>
      <c r="G105" s="143" t="s">
        <v>1596</v>
      </c>
      <c r="H105" s="180"/>
      <c r="I105" s="180"/>
      <c r="J105" s="180"/>
      <c r="K105" s="180"/>
      <c r="L105" s="143"/>
      <c r="M105" s="1077"/>
      <c r="N105" s="1077" t="str" cm="1">
        <f t="array" aca="1" ref="N105" ca="1">OFFSET(M105,-1,1)</f>
        <v>ТЭ.42.26322895.0003</v>
      </c>
      <c r="O105" s="1078"/>
      <c r="P105" s="1078"/>
      <c r="Q105" s="1078"/>
      <c r="R105" s="1078"/>
      <c r="T105" s="687" t="b" cm="1">
        <f t="array" aca="1" ref="T105" ca="1">T104</f>
        <v>1</v>
      </c>
      <c r="U105" s="1153"/>
      <c r="V105" s="1153"/>
      <c r="W105" s="1153"/>
      <c r="X105" s="1726"/>
      <c r="Y105" s="1153"/>
      <c r="Z105" s="1726"/>
      <c r="AA105" s="180"/>
      <c r="AB105" s="111" t="s">
        <v>451</v>
      </c>
      <c r="AC105" s="622" t="s">
        <v>1736</v>
      </c>
      <c r="AD105" s="419" t="s">
        <v>1077</v>
      </c>
      <c r="AE105" s="1398"/>
      <c r="AF105" s="1398"/>
      <c r="AG105" s="1398"/>
      <c r="AH105" s="256">
        <f t="shared" si="38"/>
        <v>0</v>
      </c>
      <c r="AI105" s="1398"/>
      <c r="AJ105" s="517">
        <f ca="1">SUMIFS('Корр Факт'!AH$27:AH$169,'Корр Факт'!$F$27:$F$169,$F105,'Корр Факт'!$G$27:$G$169,$G105)</f>
        <v>0</v>
      </c>
      <c r="AK105" s="517"/>
      <c r="AL105" s="517"/>
      <c r="AM105" s="517"/>
      <c r="AN105" s="517"/>
      <c r="AO105" s="1398"/>
      <c r="AP105" s="1398"/>
      <c r="AQ105" s="1398"/>
      <c r="AR105" s="1398"/>
      <c r="AS105" s="1398"/>
      <c r="AT105" s="517"/>
      <c r="AU105" s="517"/>
      <c r="AV105" s="517"/>
      <c r="AW105" s="517"/>
      <c r="AX105" s="517"/>
      <c r="AY105" s="1398"/>
      <c r="AZ105" s="1398"/>
      <c r="BA105" s="1398"/>
      <c r="BB105" s="1398"/>
      <c r="BC105" s="1398"/>
      <c r="BD105" s="256">
        <f t="shared" si="39"/>
        <v>0</v>
      </c>
      <c r="BE105" s="256">
        <f t="shared" si="40"/>
        <v>0</v>
      </c>
      <c r="BF105" s="256">
        <f t="shared" si="41"/>
        <v>0</v>
      </c>
      <c r="BG105" s="256">
        <f t="shared" si="42"/>
        <v>0</v>
      </c>
      <c r="BH105" s="256">
        <f t="shared" si="43"/>
        <v>0</v>
      </c>
      <c r="BI105" s="256">
        <f t="shared" si="44"/>
        <v>0</v>
      </c>
      <c r="BJ105" s="256">
        <f t="shared" si="45"/>
        <v>0</v>
      </c>
      <c r="BK105" s="256">
        <f t="shared" si="46"/>
        <v>0</v>
      </c>
      <c r="BL105" s="256">
        <f t="shared" si="47"/>
        <v>0</v>
      </c>
      <c r="BM105" s="256">
        <f t="shared" si="48"/>
        <v>0</v>
      </c>
      <c r="BN105" s="1290"/>
      <c r="BO105" s="1290"/>
      <c r="BP105" s="1290"/>
      <c r="BQ105" s="180"/>
      <c r="BR105" s="180"/>
      <c r="BS105" s="1031" t="s">
        <v>1737</v>
      </c>
      <c r="BT105" s="1031"/>
      <c r="BU105" s="1031"/>
      <c r="BV105" s="1032"/>
      <c r="BW105" s="1032"/>
      <c r="BX105" s="1064"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M11585::ТЭ.42.26322895.0003::Неопределено::Неопределено::Неопределено::Неопределено::Неопределено</v>
      </c>
    </row>
    <row r="106" spans="1:76" s="1417" customFormat="1" ht="63.75" customHeight="1">
      <c r="A106" s="185"/>
      <c r="B106" s="185"/>
      <c r="C106" s="1094" t="s">
        <v>1738</v>
      </c>
      <c r="D106" s="1053" t="s">
        <v>1739</v>
      </c>
      <c r="E106" s="676">
        <v>66</v>
      </c>
      <c r="F106" s="779" t="str" cm="1">
        <f t="array" aca="1" ref="F106" ca="1">OFFSET(G106,-1,-1)</f>
        <v>1</v>
      </c>
      <c r="G106" s="185"/>
      <c r="H106" s="185"/>
      <c r="I106" s="185"/>
      <c r="J106" s="185"/>
      <c r="K106" s="185"/>
      <c r="L106" s="185"/>
      <c r="M106" s="1077"/>
      <c r="N106" s="1077" t="str" cm="1">
        <f t="array" aca="1" ref="N106" ca="1">OFFSET(M106,-1,1)</f>
        <v>ТЭ.42.26322895.0003</v>
      </c>
      <c r="O106" s="1079"/>
      <c r="P106" s="1079"/>
      <c r="Q106" s="1079"/>
      <c r="R106" s="1079"/>
      <c r="S106" s="185"/>
      <c r="T106" s="687" t="b" cm="1">
        <f t="array" aca="1" ref="T106" ca="1">T105</f>
        <v>1</v>
      </c>
      <c r="U106" s="185"/>
      <c r="V106" s="185"/>
      <c r="W106" s="185"/>
      <c r="X106" s="1823"/>
      <c r="Y106" s="185"/>
      <c r="Z106" s="1823"/>
      <c r="AA106" s="185"/>
      <c r="AB106" s="111" t="s">
        <v>454</v>
      </c>
      <c r="AC106" s="513" t="s">
        <v>1740</v>
      </c>
      <c r="AD106" s="419" t="s">
        <v>1077</v>
      </c>
      <c r="AE106" s="1398"/>
      <c r="AF106" s="1398"/>
      <c r="AG106" s="1398"/>
      <c r="AH106" s="256">
        <f t="shared" si="38"/>
        <v>0</v>
      </c>
      <c r="AI106" s="1398"/>
      <c r="AJ106" s="517"/>
      <c r="AK106" s="517"/>
      <c r="AL106" s="517"/>
      <c r="AM106" s="517"/>
      <c r="AN106" s="517"/>
      <c r="AO106" s="1398"/>
      <c r="AP106" s="1398"/>
      <c r="AQ106" s="1398"/>
      <c r="AR106" s="1398"/>
      <c r="AS106" s="1398"/>
      <c r="AT106" s="517"/>
      <c r="AU106" s="517"/>
      <c r="AV106" s="517"/>
      <c r="AW106" s="517"/>
      <c r="AX106" s="517"/>
      <c r="AY106" s="1398"/>
      <c r="AZ106" s="1398"/>
      <c r="BA106" s="1398"/>
      <c r="BB106" s="1398"/>
      <c r="BC106" s="1398"/>
      <c r="BD106" s="256">
        <f t="shared" si="39"/>
        <v>0</v>
      </c>
      <c r="BE106" s="256">
        <f t="shared" si="40"/>
        <v>0</v>
      </c>
      <c r="BF106" s="256">
        <f t="shared" si="41"/>
        <v>0</v>
      </c>
      <c r="BG106" s="256">
        <f t="shared" si="42"/>
        <v>0</v>
      </c>
      <c r="BH106" s="256">
        <f t="shared" si="43"/>
        <v>0</v>
      </c>
      <c r="BI106" s="256">
        <f t="shared" si="44"/>
        <v>0</v>
      </c>
      <c r="BJ106" s="256">
        <f t="shared" si="45"/>
        <v>0</v>
      </c>
      <c r="BK106" s="256">
        <f t="shared" si="46"/>
        <v>0</v>
      </c>
      <c r="BL106" s="256">
        <f t="shared" si="47"/>
        <v>0</v>
      </c>
      <c r="BM106" s="256">
        <f t="shared" si="48"/>
        <v>0</v>
      </c>
      <c r="BN106" s="1290"/>
      <c r="BO106" s="1290"/>
      <c r="BP106" s="1290"/>
      <c r="BQ106" s="185"/>
      <c r="BR106" s="185"/>
      <c r="BS106" s="1031" t="s">
        <v>1573</v>
      </c>
      <c r="BT106" s="1039"/>
      <c r="BU106" s="1039"/>
      <c r="BV106" s="1040"/>
      <c r="BW106" s="1040"/>
      <c r="BX106" s="1064"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M11583::ТЭ.42.26322895.0003::Неопределено::Неопределено::Неопределено::Неопределено::Неопределено</v>
      </c>
    </row>
    <row r="107" spans="1:76" s="1418" customFormat="1" ht="32.25" customHeight="1">
      <c r="A107" s="185"/>
      <c r="B107" s="185"/>
      <c r="C107" s="1094" t="s">
        <v>1741</v>
      </c>
      <c r="D107" s="1053" t="s">
        <v>1742</v>
      </c>
      <c r="E107" s="676">
        <v>33.799999999999997</v>
      </c>
      <c r="F107" s="779" t="str" cm="1">
        <f t="array" aca="1" ref="F107" ca="1">OFFSET(G107,-1,-1)</f>
        <v>1</v>
      </c>
      <c r="G107" s="185"/>
      <c r="H107" s="185"/>
      <c r="I107" s="185"/>
      <c r="J107" s="185"/>
      <c r="K107" s="185"/>
      <c r="L107" s="185"/>
      <c r="M107" s="1077"/>
      <c r="N107" s="1077" t="str" cm="1">
        <f t="array" aca="1" ref="N107" ca="1">OFFSET(M107,-1,1)</f>
        <v>ТЭ.42.26322895.0003</v>
      </c>
      <c r="O107" s="1079"/>
      <c r="P107" s="1079"/>
      <c r="Q107" s="1079"/>
      <c r="R107" s="1079"/>
      <c r="S107" s="185"/>
      <c r="T107" s="687" t="b" cm="1">
        <f t="array" aca="1" ref="T107" ca="1">T106</f>
        <v>1</v>
      </c>
      <c r="U107" s="185"/>
      <c r="V107" s="185"/>
      <c r="W107" s="185"/>
      <c r="X107" s="1823"/>
      <c r="Y107" s="185"/>
      <c r="Z107" s="1823"/>
      <c r="AA107" s="185"/>
      <c r="AB107" s="111" t="s">
        <v>457</v>
      </c>
      <c r="AC107" s="513" t="s">
        <v>1743</v>
      </c>
      <c r="AD107" s="419" t="s">
        <v>1077</v>
      </c>
      <c r="AE107" s="1398"/>
      <c r="AF107" s="1398"/>
      <c r="AG107" s="1398"/>
      <c r="AH107" s="256">
        <f t="shared" si="38"/>
        <v>0</v>
      </c>
      <c r="AI107" s="1398"/>
      <c r="AJ107" s="517"/>
      <c r="AK107" s="517"/>
      <c r="AL107" s="517"/>
      <c r="AM107" s="517"/>
      <c r="AN107" s="517"/>
      <c r="AO107" s="1398"/>
      <c r="AP107" s="1398"/>
      <c r="AQ107" s="1398"/>
      <c r="AR107" s="1398"/>
      <c r="AS107" s="1398"/>
      <c r="AT107" s="517"/>
      <c r="AU107" s="517"/>
      <c r="AV107" s="517"/>
      <c r="AW107" s="517"/>
      <c r="AX107" s="517"/>
      <c r="AY107" s="1398"/>
      <c r="AZ107" s="1398"/>
      <c r="BA107" s="1398"/>
      <c r="BB107" s="1398"/>
      <c r="BC107" s="1398"/>
      <c r="BD107" s="256">
        <f t="shared" si="39"/>
        <v>0</v>
      </c>
      <c r="BE107" s="256">
        <f t="shared" si="40"/>
        <v>0</v>
      </c>
      <c r="BF107" s="256">
        <f t="shared" si="41"/>
        <v>0</v>
      </c>
      <c r="BG107" s="256">
        <f t="shared" si="42"/>
        <v>0</v>
      </c>
      <c r="BH107" s="256">
        <f t="shared" si="43"/>
        <v>0</v>
      </c>
      <c r="BI107" s="256">
        <f t="shared" si="44"/>
        <v>0</v>
      </c>
      <c r="BJ107" s="256">
        <f t="shared" si="45"/>
        <v>0</v>
      </c>
      <c r="BK107" s="256">
        <f t="shared" si="46"/>
        <v>0</v>
      </c>
      <c r="BL107" s="256">
        <f t="shared" si="47"/>
        <v>0</v>
      </c>
      <c r="BM107" s="256">
        <f t="shared" si="48"/>
        <v>0</v>
      </c>
      <c r="BN107" s="1290"/>
      <c r="BO107" s="1290"/>
      <c r="BP107" s="1290"/>
      <c r="BQ107" s="185"/>
      <c r="BR107" s="185"/>
      <c r="BS107" s="1031" t="s">
        <v>1744</v>
      </c>
      <c r="BT107" s="1039"/>
      <c r="BU107" s="1039"/>
      <c r="BV107" s="1040"/>
      <c r="BW107" s="1040"/>
      <c r="BX107" s="1064"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M10742::ТЭ.42.26322895.0003::Неопределено::Неопределено::Неопределено::Неопределено::Неопределено</v>
      </c>
    </row>
    <row r="108" spans="1:76" s="1229" customFormat="1" ht="61.5" customHeight="1">
      <c r="A108" s="178"/>
      <c r="B108" s="783"/>
      <c r="C108" s="1094" t="s">
        <v>1745</v>
      </c>
      <c r="D108" s="1053" t="s">
        <v>1746</v>
      </c>
      <c r="E108" s="676">
        <v>63.8</v>
      </c>
      <c r="F108" s="779" t="str" cm="1">
        <f t="array" aca="1" ref="F108" ca="1">OFFSET(G108,-1,-1)</f>
        <v>1</v>
      </c>
      <c r="G108" s="180"/>
      <c r="H108" s="180"/>
      <c r="I108" s="180"/>
      <c r="J108" s="180"/>
      <c r="K108" s="180"/>
      <c r="L108" s="143"/>
      <c r="M108" s="1077"/>
      <c r="N108" s="1077" t="str" cm="1">
        <f t="array" aca="1" ref="N108" ca="1">OFFSET(M108,-1,1)</f>
        <v>ТЭ.42.26322895.0003</v>
      </c>
      <c r="O108" s="1078"/>
      <c r="P108" s="1078"/>
      <c r="Q108" s="1078"/>
      <c r="R108" s="1078"/>
      <c r="T108" s="687" t="b" cm="1">
        <f t="array" aca="1" ref="T108" ca="1">T107</f>
        <v>1</v>
      </c>
      <c r="U108" s="1153"/>
      <c r="V108" s="1153"/>
      <c r="W108" s="1153"/>
      <c r="X108" s="1726"/>
      <c r="Y108" s="1153"/>
      <c r="Z108" s="1726"/>
      <c r="AA108" s="180"/>
      <c r="AB108" s="539" t="s">
        <v>460</v>
      </c>
      <c r="AC108" s="541" t="s">
        <v>1747</v>
      </c>
      <c r="AD108" s="424" t="s">
        <v>1077</v>
      </c>
      <c r="AE108" s="1419"/>
      <c r="AF108" s="1398"/>
      <c r="AG108" s="1398"/>
      <c r="AH108" s="256">
        <f t="shared" si="38"/>
        <v>0</v>
      </c>
      <c r="AI108" s="1398"/>
      <c r="AJ108" s="517"/>
      <c r="AK108" s="517"/>
      <c r="AL108" s="517"/>
      <c r="AM108" s="517"/>
      <c r="AN108" s="517"/>
      <c r="AO108" s="1398"/>
      <c r="AP108" s="1398"/>
      <c r="AQ108" s="1398"/>
      <c r="AR108" s="1398"/>
      <c r="AS108" s="1398"/>
      <c r="AT108" s="517"/>
      <c r="AU108" s="517"/>
      <c r="AV108" s="517"/>
      <c r="AW108" s="517"/>
      <c r="AX108" s="517"/>
      <c r="AY108" s="1398"/>
      <c r="AZ108" s="1398"/>
      <c r="BA108" s="1398"/>
      <c r="BB108" s="1398"/>
      <c r="BC108" s="1398"/>
      <c r="BD108" s="256">
        <f t="shared" si="39"/>
        <v>0</v>
      </c>
      <c r="BE108" s="256">
        <f t="shared" si="40"/>
        <v>0</v>
      </c>
      <c r="BF108" s="256">
        <f t="shared" si="41"/>
        <v>0</v>
      </c>
      <c r="BG108" s="256">
        <f t="shared" si="42"/>
        <v>0</v>
      </c>
      <c r="BH108" s="256">
        <f t="shared" si="43"/>
        <v>0</v>
      </c>
      <c r="BI108" s="256">
        <f t="shared" si="44"/>
        <v>0</v>
      </c>
      <c r="BJ108" s="256">
        <f t="shared" si="45"/>
        <v>0</v>
      </c>
      <c r="BK108" s="256">
        <f t="shared" si="46"/>
        <v>0</v>
      </c>
      <c r="BL108" s="256">
        <f t="shared" si="47"/>
        <v>0</v>
      </c>
      <c r="BM108" s="256">
        <f t="shared" si="48"/>
        <v>0</v>
      </c>
      <c r="BN108" s="1296"/>
      <c r="BO108" s="1296"/>
      <c r="BP108" s="1296"/>
      <c r="BQ108" s="180"/>
      <c r="BR108" s="180"/>
      <c r="BS108" s="1031" t="s">
        <v>1748</v>
      </c>
      <c r="BT108" s="1031"/>
      <c r="BU108" s="1031"/>
      <c r="BV108" s="1032"/>
      <c r="BW108" s="1032"/>
      <c r="BX108" s="1064"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M10743::ТЭ.42.26322895.0003::Неопределено::Неопределено::Неопределено::Неопределено::Неопределено</v>
      </c>
    </row>
    <row r="109" spans="1:76" s="1229" customFormat="1" ht="16.5" customHeight="1">
      <c r="A109" s="178"/>
      <c r="B109" s="783"/>
      <c r="C109" s="1094" t="s">
        <v>1749</v>
      </c>
      <c r="D109" s="1053" t="s">
        <v>1750</v>
      </c>
      <c r="E109" s="676">
        <v>17.100000000000001</v>
      </c>
      <c r="F109" s="779" t="str" cm="1">
        <f t="array" aca="1" ref="F109" ca="1">OFFSET(G109,-1,-1)</f>
        <v>1</v>
      </c>
      <c r="G109" s="180"/>
      <c r="H109" s="180"/>
      <c r="I109" s="180"/>
      <c r="J109" s="180"/>
      <c r="K109" s="180"/>
      <c r="L109" s="143"/>
      <c r="M109" s="1077"/>
      <c r="N109" s="1077" t="str" cm="1">
        <f t="array" aca="1" ref="N109" ca="1">OFFSET(M109,-1,1)</f>
        <v>ТЭ.42.26322895.0003</v>
      </c>
      <c r="O109" s="1078"/>
      <c r="P109" s="1078"/>
      <c r="Q109" s="1078"/>
      <c r="R109" s="1078"/>
      <c r="T109" s="687" t="b" cm="1">
        <f t="array" aca="1" ref="T109" ca="1">T108</f>
        <v>1</v>
      </c>
      <c r="U109" s="1153"/>
      <c r="V109" s="1153"/>
      <c r="W109" s="1153"/>
      <c r="X109" s="1726"/>
      <c r="Y109" s="1153"/>
      <c r="Z109" s="1726"/>
      <c r="AA109" s="180"/>
      <c r="AB109" s="111" t="s">
        <v>463</v>
      </c>
      <c r="AC109" s="513" t="s">
        <v>1751</v>
      </c>
      <c r="AD109" s="549" t="s">
        <v>1077</v>
      </c>
      <c r="AE109" s="515">
        <f>SUM(AE110:AE114)</f>
        <v>0</v>
      </c>
      <c r="AF109" s="515">
        <f>SUM(AF110:AF114)</f>
        <v>0</v>
      </c>
      <c r="AG109" s="550">
        <f>SUM(AG110:AG114)</f>
        <v>0</v>
      </c>
      <c r="AH109" s="256">
        <f t="shared" si="38"/>
        <v>0</v>
      </c>
      <c r="AI109" s="551">
        <f t="shared" ref="AI109:BC109" si="52">SUM(AI110:AI114)</f>
        <v>-25533.86</v>
      </c>
      <c r="AJ109" s="515">
        <f t="shared" si="52"/>
        <v>0</v>
      </c>
      <c r="AK109" s="515">
        <f t="shared" si="52"/>
        <v>0</v>
      </c>
      <c r="AL109" s="515">
        <f t="shared" si="52"/>
        <v>0</v>
      </c>
      <c r="AM109" s="515">
        <f t="shared" si="52"/>
        <v>0</v>
      </c>
      <c r="AN109" s="515">
        <f t="shared" si="52"/>
        <v>0</v>
      </c>
      <c r="AO109" s="515">
        <f t="shared" si="52"/>
        <v>0</v>
      </c>
      <c r="AP109" s="515">
        <f t="shared" si="52"/>
        <v>0</v>
      </c>
      <c r="AQ109" s="515">
        <f t="shared" si="52"/>
        <v>0</v>
      </c>
      <c r="AR109" s="515">
        <f t="shared" si="52"/>
        <v>0</v>
      </c>
      <c r="AS109" s="515">
        <f t="shared" si="52"/>
        <v>0</v>
      </c>
      <c r="AT109" s="515">
        <f t="shared" si="52"/>
        <v>-33591.619999999995</v>
      </c>
      <c r="AU109" s="515">
        <f t="shared" si="52"/>
        <v>0</v>
      </c>
      <c r="AV109" s="515">
        <f t="shared" si="52"/>
        <v>0</v>
      </c>
      <c r="AW109" s="515">
        <f t="shared" si="52"/>
        <v>0</v>
      </c>
      <c r="AX109" s="515">
        <f t="shared" si="52"/>
        <v>0</v>
      </c>
      <c r="AY109" s="515">
        <f t="shared" si="52"/>
        <v>0</v>
      </c>
      <c r="AZ109" s="515">
        <f t="shared" si="52"/>
        <v>0</v>
      </c>
      <c r="BA109" s="515">
        <f t="shared" si="52"/>
        <v>0</v>
      </c>
      <c r="BB109" s="515">
        <f t="shared" si="52"/>
        <v>0</v>
      </c>
      <c r="BC109" s="515">
        <f t="shared" si="52"/>
        <v>0</v>
      </c>
      <c r="BD109" s="256">
        <f t="shared" si="39"/>
        <v>31.557155870675231</v>
      </c>
      <c r="BE109" s="256">
        <f t="shared" si="40"/>
        <v>-100</v>
      </c>
      <c r="BF109" s="256">
        <f t="shared" si="41"/>
        <v>0</v>
      </c>
      <c r="BG109" s="256">
        <f t="shared" si="42"/>
        <v>0</v>
      </c>
      <c r="BH109" s="256">
        <f t="shared" si="43"/>
        <v>0</v>
      </c>
      <c r="BI109" s="256">
        <f t="shared" si="44"/>
        <v>0</v>
      </c>
      <c r="BJ109" s="256">
        <f t="shared" si="45"/>
        <v>0</v>
      </c>
      <c r="BK109" s="256">
        <f t="shared" si="46"/>
        <v>0</v>
      </c>
      <c r="BL109" s="256">
        <f t="shared" si="47"/>
        <v>0</v>
      </c>
      <c r="BM109" s="256">
        <f t="shared" si="48"/>
        <v>0</v>
      </c>
      <c r="BN109" s="1297"/>
      <c r="BO109" s="1297"/>
      <c r="BP109" s="1297"/>
      <c r="BQ109" s="180"/>
      <c r="BR109" s="180"/>
      <c r="BS109" s="1031" t="s">
        <v>1326</v>
      </c>
      <c r="BT109" s="1031"/>
      <c r="BU109" s="1031"/>
      <c r="BV109" s="1032"/>
      <c r="BW109" s="1032"/>
      <c r="BX109" s="1064"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M10895::ТЭ.42.26322895.0003::Неопределено::Неопределено::Неопределено::Неопределено::Неопределено</v>
      </c>
    </row>
    <row r="110" spans="1:76" s="1420" customFormat="1" ht="17.25" hidden="1" customHeight="1">
      <c r="A110" s="543"/>
      <c r="B110" s="543"/>
      <c r="C110" s="1094"/>
      <c r="D110" s="1053"/>
      <c r="E110" s="676">
        <v>0</v>
      </c>
      <c r="F110" s="779" t="str" cm="1">
        <f t="array" aca="1" ref="F110" ca="1">OFFSET(G110,-1,-1)</f>
        <v>1</v>
      </c>
      <c r="G110" s="543"/>
      <c r="H110" s="543"/>
      <c r="I110" s="543"/>
      <c r="J110" s="543"/>
      <c r="K110" s="543"/>
      <c r="L110" s="543"/>
      <c r="M110" s="1077"/>
      <c r="N110" s="1077" t="str" cm="1">
        <f t="array" aca="1" ref="N110" ca="1">OFFSET(M110,-1,1)</f>
        <v>ТЭ.42.26322895.0003</v>
      </c>
      <c r="O110" s="1080"/>
      <c r="P110" s="1080"/>
      <c r="Q110" s="1080"/>
      <c r="R110" s="1080"/>
      <c r="S110" s="543"/>
      <c r="T110" s="687" t="b" cm="1">
        <f t="array" aca="1" ref="T110" ca="1">T109</f>
        <v>1</v>
      </c>
      <c r="U110" s="543"/>
      <c r="V110" s="543"/>
      <c r="W110" s="543"/>
      <c r="X110" s="1837"/>
      <c r="Y110" s="543"/>
      <c r="Z110" s="1837"/>
      <c r="AA110" s="543"/>
      <c r="AB110" s="547"/>
      <c r="AC110" s="548"/>
      <c r="AD110" s="487"/>
      <c r="AE110" s="516"/>
      <c r="AF110" s="516"/>
      <c r="AG110" s="85"/>
      <c r="AH110" s="516"/>
      <c r="AI110" s="861"/>
      <c r="AJ110" s="516"/>
      <c r="AK110" s="516"/>
      <c r="AL110" s="516"/>
      <c r="AM110" s="516"/>
      <c r="AN110" s="516"/>
      <c r="AO110" s="516"/>
      <c r="AP110" s="516"/>
      <c r="AQ110" s="516"/>
      <c r="AR110" s="516"/>
      <c r="AS110" s="516"/>
      <c r="AT110" s="516"/>
      <c r="AU110" s="516"/>
      <c r="AV110" s="516"/>
      <c r="AW110" s="516"/>
      <c r="AX110" s="516"/>
      <c r="AY110" s="516"/>
      <c r="AZ110" s="516"/>
      <c r="BA110" s="516"/>
      <c r="BB110" s="516"/>
      <c r="BC110" s="516"/>
      <c r="BD110" s="544"/>
      <c r="BE110" s="544"/>
      <c r="BF110" s="544"/>
      <c r="BG110" s="544"/>
      <c r="BH110" s="544"/>
      <c r="BI110" s="544"/>
      <c r="BJ110" s="544"/>
      <c r="BK110" s="544"/>
      <c r="BL110" s="544"/>
      <c r="BM110" s="544"/>
      <c r="BN110" s="719"/>
      <c r="BO110" s="719"/>
      <c r="BP110" s="719"/>
      <c r="BQ110" s="543"/>
      <c r="BR110" s="543"/>
      <c r="BS110" s="1031" t="str">
        <f>IF(AND(ISNUMBER(VALUE(TRIM(SUBSTITUTE(AB110,".","")))),TRIM(SUBSTITUTE(AB110,".",""))&lt;&gt;""),"P"&amp;SUBSTITUTE(AB110,".",""),"")</f>
        <v/>
      </c>
      <c r="BT110" s="1044"/>
      <c r="BU110" s="1044"/>
      <c r="BV110" s="1045"/>
      <c r="BW110" s="1045"/>
      <c r="BX110" s="1064"/>
    </row>
    <row r="111" spans="1:76" s="1229" customFormat="1" ht="16.5" hidden="1" customHeight="1">
      <c r="C111" s="1094" t="s">
        <v>1749</v>
      </c>
      <c r="D111" s="1053" t="s">
        <v>1750</v>
      </c>
      <c r="E111" s="676">
        <v>17.100000000000001</v>
      </c>
      <c r="F111" s="779" t="str" cm="1">
        <f t="array" aca="1" ref="F111" ca="1">OFFSET(G111,-1,-1)</f>
        <v>1</v>
      </c>
      <c r="M111" s="1081" cm="1">
        <f t="array" ref="M111">AC111</f>
        <v>0</v>
      </c>
      <c r="N111" s="1077" t="str" cm="1">
        <f t="array" aca="1" ref="N111" ca="1">OFFSET(M111,-1,1)</f>
        <v>ТЭ.42.26322895.0003</v>
      </c>
      <c r="O111" s="1078"/>
      <c r="P111" s="1078"/>
      <c r="Q111" s="1078"/>
      <c r="R111" s="1078"/>
      <c r="T111" s="687" t="b">
        <f ca="1">AND(F111&gt;0,Y111&gt;0)</f>
        <v>0</v>
      </c>
      <c r="W111" s="126" t="s">
        <v>236</v>
      </c>
      <c r="X111" s="1722"/>
      <c r="Y111" s="126">
        <v>0</v>
      </c>
      <c r="Z111" s="1722"/>
      <c r="AA111" s="69" t="s">
        <v>218</v>
      </c>
      <c r="AB111" s="539" t="str">
        <f>"11."&amp;Y111</f>
        <v>11.0</v>
      </c>
      <c r="AC111" s="86"/>
      <c r="AD111" s="549" t="s">
        <v>1077</v>
      </c>
      <c r="AE111" s="77"/>
      <c r="AF111" s="77"/>
      <c r="AG111" s="87"/>
      <c r="AH111" s="256">
        <f>AG111-AF111</f>
        <v>0</v>
      </c>
      <c r="AI111" s="88"/>
      <c r="AJ111" s="517"/>
      <c r="AK111" s="517"/>
      <c r="AL111" s="517"/>
      <c r="AM111" s="517"/>
      <c r="AN111" s="517"/>
      <c r="AO111" s="77"/>
      <c r="AP111" s="77"/>
      <c r="AQ111" s="77"/>
      <c r="AR111" s="77"/>
      <c r="AS111" s="77"/>
      <c r="AT111" s="517"/>
      <c r="AU111" s="517"/>
      <c r="AV111" s="517"/>
      <c r="AW111" s="517"/>
      <c r="AX111" s="517"/>
      <c r="AY111" s="77"/>
      <c r="AZ111" s="77"/>
      <c r="BA111" s="77"/>
      <c r="BB111" s="77"/>
      <c r="BC111" s="77"/>
      <c r="BD111" s="256">
        <f>IF(AI111=0,0,(AT111-AI111)/AI111*100)</f>
        <v>0</v>
      </c>
      <c r="BE111" s="256">
        <f t="shared" ref="BE111:BM113" si="53">IF(AT111=0,0,(AU111-AT111)/AT111*100)</f>
        <v>0</v>
      </c>
      <c r="BF111" s="256">
        <f t="shared" si="53"/>
        <v>0</v>
      </c>
      <c r="BG111" s="256">
        <f t="shared" si="53"/>
        <v>0</v>
      </c>
      <c r="BH111" s="256">
        <f t="shared" si="53"/>
        <v>0</v>
      </c>
      <c r="BI111" s="256">
        <f t="shared" si="53"/>
        <v>0</v>
      </c>
      <c r="BJ111" s="256">
        <f t="shared" si="53"/>
        <v>0</v>
      </c>
      <c r="BK111" s="256">
        <f t="shared" si="53"/>
        <v>0</v>
      </c>
      <c r="BL111" s="256">
        <f t="shared" si="53"/>
        <v>0</v>
      </c>
      <c r="BM111" s="256">
        <f t="shared" si="53"/>
        <v>0</v>
      </c>
      <c r="BN111" s="34"/>
      <c r="BO111" s="34"/>
      <c r="BP111" s="34"/>
      <c r="BS111" s="1031" t="s">
        <v>1326</v>
      </c>
      <c r="BT111" s="1031" t="s">
        <v>1254</v>
      </c>
      <c r="BU111" s="1041" cm="1">
        <f t="array" ref="BU111">AC111</f>
        <v>0</v>
      </c>
      <c r="BV111" s="1032"/>
      <c r="BW111" s="1032" t="b">
        <v>1</v>
      </c>
      <c r="BX111" s="1064"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M10895::ТЭ.42.26322895.0003::0::Неопределено::Неопределено::Неопределено::Неопределено</v>
      </c>
    </row>
    <row r="112" spans="1:76" s="1229" customFormat="1" ht="16.5" customHeight="1">
      <c r="C112" s="1094" t="s">
        <v>1749</v>
      </c>
      <c r="D112" s="1053" t="s">
        <v>1750</v>
      </c>
      <c r="E112" s="676">
        <v>17.100000000000001</v>
      </c>
      <c r="F112" s="779" t="str" cm="1">
        <f t="array" aca="1" ref="F112" ca="1">OFFSET(G112,-1,-1)</f>
        <v>1</v>
      </c>
      <c r="M112" s="1081" t="str" cm="1">
        <f t="array" ref="M112">AC112</f>
        <v>Корректировка необоснованно начисленного/полученного дохода в рамках ИП</v>
      </c>
      <c r="N112" s="1077" t="str" cm="1">
        <f t="array" aca="1" ref="N112" ca="1">OFFSET(M112,-1,1)</f>
        <v>ТЭ.42.26322895.0003</v>
      </c>
      <c r="O112" s="1078"/>
      <c r="P112" s="1078"/>
      <c r="Q112" s="1078"/>
      <c r="R112" s="1078"/>
      <c r="T112" s="687" t="b">
        <f ca="1">AND(F112&gt;0,Y112&gt;0)</f>
        <v>1</v>
      </c>
      <c r="W112" s="126"/>
      <c r="X112" s="1722"/>
      <c r="Y112" s="126" t="s">
        <v>341</v>
      </c>
      <c r="Z112" s="1722"/>
      <c r="AA112" s="69" t="s">
        <v>218</v>
      </c>
      <c r="AB112" s="539" t="str">
        <f>"11."&amp;Y112</f>
        <v>11.1</v>
      </c>
      <c r="AC112" s="1421" t="s">
        <v>1850</v>
      </c>
      <c r="AD112" s="549" t="s">
        <v>1077</v>
      </c>
      <c r="AE112" s="1398"/>
      <c r="AF112" s="1398"/>
      <c r="AG112" s="1422"/>
      <c r="AH112" s="256">
        <f>AG112-AF112</f>
        <v>0</v>
      </c>
      <c r="AI112" s="1423"/>
      <c r="AJ112" s="517"/>
      <c r="AK112" s="517"/>
      <c r="AL112" s="517"/>
      <c r="AM112" s="517"/>
      <c r="AN112" s="517"/>
      <c r="AO112" s="1398"/>
      <c r="AP112" s="1398"/>
      <c r="AQ112" s="1398"/>
      <c r="AR112" s="1398"/>
      <c r="AS112" s="1398"/>
      <c r="AT112" s="517">
        <v>-9821.8799999999992</v>
      </c>
      <c r="AU112" s="517"/>
      <c r="AV112" s="517"/>
      <c r="AW112" s="517"/>
      <c r="AX112" s="517"/>
      <c r="AY112" s="1398"/>
      <c r="AZ112" s="1398"/>
      <c r="BA112" s="1398"/>
      <c r="BB112" s="1398"/>
      <c r="BC112" s="1398"/>
      <c r="BD112" s="256">
        <f>IF(AI112=0,0,(AT112-AI112)/AI112*100)</f>
        <v>0</v>
      </c>
      <c r="BE112" s="256">
        <f t="shared" si="53"/>
        <v>-100</v>
      </c>
      <c r="BF112" s="256">
        <f t="shared" si="53"/>
        <v>0</v>
      </c>
      <c r="BG112" s="256">
        <f t="shared" si="53"/>
        <v>0</v>
      </c>
      <c r="BH112" s="256">
        <f t="shared" si="53"/>
        <v>0</v>
      </c>
      <c r="BI112" s="256">
        <f t="shared" si="53"/>
        <v>0</v>
      </c>
      <c r="BJ112" s="256">
        <f t="shared" si="53"/>
        <v>0</v>
      </c>
      <c r="BK112" s="256">
        <f t="shared" si="53"/>
        <v>0</v>
      </c>
      <c r="BL112" s="256">
        <f t="shared" si="53"/>
        <v>0</v>
      </c>
      <c r="BM112" s="256">
        <f t="shared" si="53"/>
        <v>0</v>
      </c>
      <c r="BN112" s="1297"/>
      <c r="BO112" s="1297"/>
      <c r="BP112" s="1297"/>
      <c r="BS112" s="1031" t="s">
        <v>1326</v>
      </c>
      <c r="BT112" s="1031" t="s">
        <v>1254</v>
      </c>
      <c r="BU112" s="1041" t="str" cm="1">
        <f t="array" ref="BU112">AC112</f>
        <v>Корректировка необоснованно начисленного/полученного дохода в рамках ИП</v>
      </c>
      <c r="BV112" s="1032"/>
      <c r="BW112" s="1032" t="b">
        <v>1</v>
      </c>
      <c r="BX112" s="1064" t="str" cm="1">
        <f t="array" aca="1" ref="BX112" ca="1">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M10895::ТЭ.42.26322895.0003::Корректировка необоснованно начисленного/полученного дохода в рамках ИП::Неопределено::Неопределено::Неопределено::Неопределено</v>
      </c>
    </row>
    <row r="113" spans="1:76" s="1229" customFormat="1" ht="16.5" customHeight="1">
      <c r="C113" s="1094" t="s">
        <v>1749</v>
      </c>
      <c r="D113" s="1053" t="s">
        <v>1750</v>
      </c>
      <c r="E113" s="676">
        <v>17.100000000000001</v>
      </c>
      <c r="F113" s="779" t="str" cm="1">
        <f t="array" aca="1" ref="F113" ca="1">OFFSET(G113,-1,-1)</f>
        <v>1</v>
      </c>
      <c r="M113" s="1081" t="str" cm="1">
        <f t="array" ref="M113">AC113</f>
        <v>Корректировка НВВ (исключение пара) и потерь ООО СЭР</v>
      </c>
      <c r="N113" s="1077" t="str" cm="1">
        <f t="array" aca="1" ref="N113" ca="1">OFFSET(M113,-1,1)</f>
        <v>ТЭ.42.26322895.0003</v>
      </c>
      <c r="O113" s="1078"/>
      <c r="P113" s="1078"/>
      <c r="Q113" s="1078"/>
      <c r="R113" s="1078"/>
      <c r="T113" s="687" t="b">
        <f ca="1">AND(F113&gt;0,Y113&gt;0)</f>
        <v>1</v>
      </c>
      <c r="W113" s="126"/>
      <c r="X113" s="1722"/>
      <c r="Y113" s="126" t="s">
        <v>348</v>
      </c>
      <c r="Z113" s="1722"/>
      <c r="AA113" s="69" t="s">
        <v>218</v>
      </c>
      <c r="AB113" s="539" t="str">
        <f>"11."&amp;Y113</f>
        <v>11.2</v>
      </c>
      <c r="AC113" s="1421" t="s">
        <v>1851</v>
      </c>
      <c r="AD113" s="549" t="s">
        <v>1077</v>
      </c>
      <c r="AE113" s="1398"/>
      <c r="AF113" s="1398"/>
      <c r="AG113" s="1422"/>
      <c r="AH113" s="256">
        <f>AG113-AF113</f>
        <v>0</v>
      </c>
      <c r="AI113" s="1423">
        <v>-25533.86</v>
      </c>
      <c r="AJ113" s="517"/>
      <c r="AK113" s="517"/>
      <c r="AL113" s="517"/>
      <c r="AM113" s="517"/>
      <c r="AN113" s="517"/>
      <c r="AO113" s="1398"/>
      <c r="AP113" s="1398"/>
      <c r="AQ113" s="1398"/>
      <c r="AR113" s="1398"/>
      <c r="AS113" s="1398"/>
      <c r="AT113" s="517">
        <f>-708.19-23061.55</f>
        <v>-23769.739999999998</v>
      </c>
      <c r="AU113" s="517"/>
      <c r="AV113" s="517"/>
      <c r="AW113" s="517"/>
      <c r="AX113" s="517"/>
      <c r="AY113" s="1398"/>
      <c r="AZ113" s="1398"/>
      <c r="BA113" s="1398"/>
      <c r="BB113" s="1398"/>
      <c r="BC113" s="1398"/>
      <c r="BD113" s="256">
        <f>IF(AI113=0,0,(AT113-AI113)/AI113*100)</f>
        <v>-6.9089436536426625</v>
      </c>
      <c r="BE113" s="256">
        <f t="shared" si="53"/>
        <v>-100</v>
      </c>
      <c r="BF113" s="256">
        <f t="shared" si="53"/>
        <v>0</v>
      </c>
      <c r="BG113" s="256">
        <f t="shared" si="53"/>
        <v>0</v>
      </c>
      <c r="BH113" s="256">
        <f t="shared" si="53"/>
        <v>0</v>
      </c>
      <c r="BI113" s="256">
        <f t="shared" si="53"/>
        <v>0</v>
      </c>
      <c r="BJ113" s="256">
        <f t="shared" si="53"/>
        <v>0</v>
      </c>
      <c r="BK113" s="256">
        <f t="shared" si="53"/>
        <v>0</v>
      </c>
      <c r="BL113" s="256">
        <f t="shared" si="53"/>
        <v>0</v>
      </c>
      <c r="BM113" s="256">
        <f t="shared" si="53"/>
        <v>0</v>
      </c>
      <c r="BN113" s="1297"/>
      <c r="BO113" s="1297"/>
      <c r="BP113" s="1297"/>
      <c r="BS113" s="1031" t="s">
        <v>1326</v>
      </c>
      <c r="BT113" s="1031" t="s">
        <v>1254</v>
      </c>
      <c r="BU113" s="1041" t="str" cm="1">
        <f t="array" ref="BU113">AC113</f>
        <v>Корректировка НВВ (исключение пара) и потерь ООО СЭР</v>
      </c>
      <c r="BV113" s="1032"/>
      <c r="BW113" s="1032" t="b">
        <v>1</v>
      </c>
      <c r="BX113" s="1064"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M10895::ТЭ.42.26322895.0003::Корректировка НВВ (исключение пара) и потерь ООО СЭР::Неопределено::Неопределено::Неопределено::Неопределено</v>
      </c>
    </row>
    <row r="114" spans="1:76" s="1424" customFormat="1" ht="16.5" customHeight="1">
      <c r="A114" s="543"/>
      <c r="B114" s="543"/>
      <c r="C114" s="1094"/>
      <c r="D114" s="1053"/>
      <c r="E114" s="676">
        <v>17.100000000000001</v>
      </c>
      <c r="F114" s="779" t="str" cm="1">
        <f t="array" aca="1" ref="F114" ca="1">OFFSET(G114,-1,-1)</f>
        <v>1</v>
      </c>
      <c r="G114" s="543"/>
      <c r="H114" s="543"/>
      <c r="I114" s="543"/>
      <c r="J114" s="543"/>
      <c r="K114" s="543"/>
      <c r="L114" s="543"/>
      <c r="M114" s="1077"/>
      <c r="N114" s="1077" t="str" cm="1">
        <f t="array" aca="1" ref="N114" ca="1">OFFSET(M114,-1,1)</f>
        <v>ТЭ.42.26322895.0003</v>
      </c>
      <c r="O114" s="1080"/>
      <c r="P114" s="1080"/>
      <c r="Q114" s="1080"/>
      <c r="R114" s="1080"/>
      <c r="S114" s="543"/>
      <c r="T114" s="687" t="b">
        <f ca="1">F114&gt;0</f>
        <v>1</v>
      </c>
      <c r="U114" s="543"/>
      <c r="V114" s="543"/>
      <c r="W114" s="318" t="s">
        <v>1752</v>
      </c>
      <c r="X114" s="1837"/>
      <c r="Y114" s="543"/>
      <c r="Z114" s="1837"/>
      <c r="AA114" s="543"/>
      <c r="AB114" s="249"/>
      <c r="AC114" s="616" t="s">
        <v>238</v>
      </c>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912"/>
      <c r="BO114" s="912"/>
      <c r="BP114" s="909"/>
      <c r="BQ114" s="543"/>
      <c r="BR114" s="543"/>
      <c r="BS114" s="1031" t="str">
        <f>IF(AND(ISNUMBER(VALUE(TRIM(SUBSTITUTE(AB114,".","")))),TRIM(SUBSTITUTE(AB114,".",""))&lt;&gt;""),"P"&amp;SUBSTITUTE(AB114,".",""),"")</f>
        <v/>
      </c>
      <c r="BT114" s="1044"/>
      <c r="BU114" s="1044"/>
      <c r="BV114" s="1045" t="s">
        <v>1254</v>
      </c>
      <c r="BW114" s="1045"/>
      <c r="BX114" s="1064"/>
    </row>
    <row r="115" spans="1:76" s="1229" customFormat="1" ht="14.25" customHeight="1">
      <c r="A115" s="178"/>
      <c r="B115" s="783"/>
      <c r="C115" s="1094" t="s">
        <v>1753</v>
      </c>
      <c r="D115" s="1053" t="s">
        <v>1754</v>
      </c>
      <c r="E115" s="676">
        <v>15</v>
      </c>
      <c r="F115" s="779" t="str" cm="1">
        <f t="array" aca="1" ref="F115" ca="1">OFFSET(G115,-1,-1)</f>
        <v>1</v>
      </c>
      <c r="G115" s="180"/>
      <c r="H115" s="180"/>
      <c r="I115" s="180"/>
      <c r="J115" s="180"/>
      <c r="K115" s="180"/>
      <c r="L115" s="143"/>
      <c r="M115" s="1077"/>
      <c r="N115" s="1077" t="str" cm="1">
        <f t="array" aca="1" ref="N115" ca="1">OFFSET(M115,-1,1)</f>
        <v>ТЭ.42.26322895.0003</v>
      </c>
      <c r="O115" s="1078"/>
      <c r="P115" s="1078"/>
      <c r="Q115" s="1078"/>
      <c r="R115" s="1078"/>
      <c r="T115" s="687" t="b" cm="1">
        <f t="array" aca="1" ref="T115" ca="1">T114</f>
        <v>1</v>
      </c>
      <c r="U115" s="1153"/>
      <c r="V115" s="1153"/>
      <c r="W115" s="1153"/>
      <c r="X115" s="1726"/>
      <c r="Y115" s="1153"/>
      <c r="Z115" s="1726"/>
      <c r="AA115" s="180"/>
      <c r="AB115" s="545" t="s">
        <v>466</v>
      </c>
      <c r="AC115" s="546" t="s">
        <v>1755</v>
      </c>
      <c r="AD115" s="554" t="s">
        <v>1077</v>
      </c>
      <c r="AE115" s="515">
        <f ca="1">AE83+AE84+AE85+IF(method_reg="Метод индексации",AE98+AE102,AE86+AE89)+AE104+AE105+AE106+AE107+AE108+AE109</f>
        <v>0</v>
      </c>
      <c r="AF115" s="515">
        <f ca="1">AF83+AF84+AF85+IF(method_reg="Метод индексации",AF98+AF102,AF86+AF89)+AF104+AF105+AF106+AF107+AF108+AF109</f>
        <v>0</v>
      </c>
      <c r="AG115" s="515">
        <f ca="1">AG83+AG84+AG85+IF(method_reg="Метод индексации",AG98+AG102,AG86+AG89)+AG104+AG105+AG106+AG107+AG108+AG109</f>
        <v>0</v>
      </c>
      <c r="AH115" s="256">
        <f ca="1">AG115-AF115</f>
        <v>0</v>
      </c>
      <c r="AI115" s="515">
        <f t="shared" ref="AI115:BC115" ca="1" si="54">AI83+AI84+AI85+IF(method_reg="Метод индексации",AI98+AI102,AI86+AI89)+AI104+AI105+AI106+AI107+AI108+AI109</f>
        <v>490905.54623918748</v>
      </c>
      <c r="AJ115" s="515">
        <f t="shared" ca="1" si="54"/>
        <v>240870.31650000002</v>
      </c>
      <c r="AK115" s="515">
        <f t="shared" ca="1" si="54"/>
        <v>238461.613335</v>
      </c>
      <c r="AL115" s="515">
        <f t="shared" ca="1" si="54"/>
        <v>236076.99720165</v>
      </c>
      <c r="AM115" s="515">
        <f t="shared" ca="1" si="54"/>
        <v>233716.22722963348</v>
      </c>
      <c r="AN115" s="515">
        <f t="shared" ca="1" si="54"/>
        <v>231379.06495733713</v>
      </c>
      <c r="AO115" s="515">
        <f t="shared" ca="1" si="54"/>
        <v>229065.27430776376</v>
      </c>
      <c r="AP115" s="515">
        <f t="shared" ca="1" si="54"/>
        <v>226774.62156468612</v>
      </c>
      <c r="AQ115" s="515">
        <f t="shared" ca="1" si="54"/>
        <v>224506.87534903927</v>
      </c>
      <c r="AR115" s="515">
        <f t="shared" ca="1" si="54"/>
        <v>222261.80659554887</v>
      </c>
      <c r="AS115" s="515">
        <f t="shared" ca="1" si="54"/>
        <v>220039.18852959338</v>
      </c>
      <c r="AT115" s="515">
        <f t="shared" ca="1" si="54"/>
        <v>538639.40712020663</v>
      </c>
      <c r="AU115" s="515">
        <f t="shared" ca="1" si="54"/>
        <v>235200.73499999999</v>
      </c>
      <c r="AV115" s="515">
        <f t="shared" ca="1" si="54"/>
        <v>232848.72764999999</v>
      </c>
      <c r="AW115" s="515">
        <f t="shared" ca="1" si="54"/>
        <v>230520.24037349998</v>
      </c>
      <c r="AX115" s="515">
        <f t="shared" ca="1" si="54"/>
        <v>228215.03796976499</v>
      </c>
      <c r="AY115" s="515">
        <f t="shared" ca="1" si="54"/>
        <v>225932.88759006734</v>
      </c>
      <c r="AZ115" s="515">
        <f t="shared" ca="1" si="54"/>
        <v>223673.55871416666</v>
      </c>
      <c r="BA115" s="515">
        <f t="shared" ca="1" si="54"/>
        <v>221436.82312702498</v>
      </c>
      <c r="BB115" s="515">
        <f t="shared" ca="1" si="54"/>
        <v>219222.45489575472</v>
      </c>
      <c r="BC115" s="515">
        <f t="shared" ca="1" si="54"/>
        <v>217030.23034679718</v>
      </c>
      <c r="BD115" s="256">
        <f ca="1">IF(AI115=0,0,(AT115-AI115)/AI115*100)</f>
        <v>9.7236344642481249</v>
      </c>
      <c r="BE115" s="256">
        <f t="shared" ref="BE115:BM119" ca="1" si="55">IF(AT115=0,0,(AU115-AT115)/AT115*100)</f>
        <v>-56.33428748604149</v>
      </c>
      <c r="BF115" s="256">
        <f t="shared" ca="1" si="55"/>
        <v>-1</v>
      </c>
      <c r="BG115" s="256">
        <f t="shared" ca="1" si="55"/>
        <v>-1.0000000000000016</v>
      </c>
      <c r="BH115" s="256">
        <f t="shared" ca="1" si="55"/>
        <v>-0.99999999999999623</v>
      </c>
      <c r="BI115" s="256">
        <f t="shared" ca="1" si="55"/>
        <v>-0.99999999999999867</v>
      </c>
      <c r="BJ115" s="256">
        <f t="shared" ca="1" si="55"/>
        <v>-1.0000000000000042</v>
      </c>
      <c r="BK115" s="256">
        <f t="shared" ca="1" si="55"/>
        <v>-1.000000000000006</v>
      </c>
      <c r="BL115" s="256">
        <f t="shared" ca="1" si="55"/>
        <v>-1.000000000000004</v>
      </c>
      <c r="BM115" s="256">
        <f t="shared" ca="1" si="55"/>
        <v>-0.99999999999999833</v>
      </c>
      <c r="BN115" s="1298"/>
      <c r="BO115" s="1298"/>
      <c r="BP115" s="1298"/>
      <c r="BQ115" s="180"/>
      <c r="BR115" s="180"/>
      <c r="BS115" s="1031" t="s">
        <v>1756</v>
      </c>
      <c r="BT115" s="1031"/>
      <c r="BU115" s="1031"/>
      <c r="BV115" s="1032"/>
      <c r="BW115" s="1032"/>
      <c r="BX115" s="1064"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M10655::ТЭ.42.26322895.0003::Неопределено::Неопределено::Неопределено::Неопределено::Неопределено</v>
      </c>
    </row>
    <row r="116" spans="1:76" s="1229" customFormat="1" ht="48.75" customHeight="1">
      <c r="A116" s="178"/>
      <c r="B116" s="783"/>
      <c r="C116" s="1123" t="s">
        <v>1757</v>
      </c>
      <c r="D116" s="1053" t="s">
        <v>1758</v>
      </c>
      <c r="E116" s="676">
        <v>50</v>
      </c>
      <c r="F116" s="779" t="str" cm="1">
        <f t="array" aca="1" ref="F116" ca="1">OFFSET(G116,-1,-1)</f>
        <v>1</v>
      </c>
      <c r="G116" s="180"/>
      <c r="H116" s="180"/>
      <c r="I116" s="180"/>
      <c r="J116" s="180"/>
      <c r="K116" s="180"/>
      <c r="L116" s="143"/>
      <c r="M116" s="1077"/>
      <c r="N116" s="1077" t="str" cm="1">
        <f t="array" aca="1" ref="N116" ca="1">OFFSET(M116,-1,1)</f>
        <v>ТЭ.42.26322895.0003</v>
      </c>
      <c r="O116" s="1078"/>
      <c r="P116" s="1078"/>
      <c r="Q116" s="1078"/>
      <c r="R116" s="1078"/>
      <c r="T116" s="687" t="b" cm="1">
        <f t="array" aca="1" ref="T116" ca="1">T115</f>
        <v>1</v>
      </c>
      <c r="U116" s="1153"/>
      <c r="V116" s="1153"/>
      <c r="W116" s="1153"/>
      <c r="X116" s="1726"/>
      <c r="Y116" s="1153"/>
      <c r="Z116" s="1726"/>
      <c r="AA116" s="180"/>
      <c r="AB116" s="540" t="s">
        <v>469</v>
      </c>
      <c r="AC116" s="903" t="s">
        <v>1757</v>
      </c>
      <c r="AD116" s="549" t="s">
        <v>1077</v>
      </c>
      <c r="AE116" s="1425"/>
      <c r="AF116" s="1425"/>
      <c r="AG116" s="1425"/>
      <c r="AH116" s="256">
        <f>AG116-AF116</f>
        <v>0</v>
      </c>
      <c r="AI116" s="1425">
        <v>-58662</v>
      </c>
      <c r="AJ116" s="558"/>
      <c r="AK116" s="558"/>
      <c r="AL116" s="558"/>
      <c r="AM116" s="558"/>
      <c r="AN116" s="558"/>
      <c r="AO116" s="1425"/>
      <c r="AP116" s="1425"/>
      <c r="AQ116" s="1425"/>
      <c r="AR116" s="1425"/>
      <c r="AS116" s="1425"/>
      <c r="AT116" s="558">
        <v>-63463.59</v>
      </c>
      <c r="AU116" s="558"/>
      <c r="AV116" s="558"/>
      <c r="AW116" s="558"/>
      <c r="AX116" s="558"/>
      <c r="AY116" s="1425"/>
      <c r="AZ116" s="1425"/>
      <c r="BA116" s="1425"/>
      <c r="BB116" s="1425"/>
      <c r="BC116" s="1425"/>
      <c r="BD116" s="256">
        <f>IF(AI116=0,0,(AT116-AI116)/AI116*100)</f>
        <v>8.1851795029150001</v>
      </c>
      <c r="BE116" s="256">
        <f t="shared" si="55"/>
        <v>-100</v>
      </c>
      <c r="BF116" s="256">
        <f t="shared" si="55"/>
        <v>0</v>
      </c>
      <c r="BG116" s="256">
        <f t="shared" si="55"/>
        <v>0</v>
      </c>
      <c r="BH116" s="256">
        <f t="shared" si="55"/>
        <v>0</v>
      </c>
      <c r="BI116" s="256">
        <f t="shared" si="55"/>
        <v>0</v>
      </c>
      <c r="BJ116" s="256">
        <f t="shared" si="55"/>
        <v>0</v>
      </c>
      <c r="BK116" s="256">
        <f t="shared" si="55"/>
        <v>0</v>
      </c>
      <c r="BL116" s="256">
        <f t="shared" si="55"/>
        <v>0</v>
      </c>
      <c r="BM116" s="256">
        <f t="shared" si="55"/>
        <v>0</v>
      </c>
      <c r="BN116" s="1298"/>
      <c r="BO116" s="1298"/>
      <c r="BP116" s="1298"/>
      <c r="BQ116" s="180"/>
      <c r="BR116" s="180"/>
      <c r="BS116" s="1031" t="s">
        <v>1759</v>
      </c>
      <c r="BT116" s="1031"/>
      <c r="BU116" s="1031"/>
      <c r="BV116" s="1032"/>
      <c r="BW116" s="1032"/>
      <c r="BX116" s="1064"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M11579::ТЭ.42.26322895.0003::Неопределено::Неопределено::Неопределено::Неопределено::Неопределено</v>
      </c>
    </row>
    <row r="117" spans="1:76" s="1229" customFormat="1" ht="14.25" customHeight="1">
      <c r="A117" s="178"/>
      <c r="B117" s="783"/>
      <c r="C117" s="1094" t="s">
        <v>1760</v>
      </c>
      <c r="D117" s="1053" t="s">
        <v>1761</v>
      </c>
      <c r="E117" s="676">
        <v>15</v>
      </c>
      <c r="F117" s="779" t="str" cm="1">
        <f t="array" aca="1" ref="F117" ca="1">OFFSET(G117,-1,-1)</f>
        <v>1</v>
      </c>
      <c r="G117" s="143" t="s">
        <v>1762</v>
      </c>
      <c r="H117" s="180"/>
      <c r="I117" s="180"/>
      <c r="J117" s="180"/>
      <c r="K117" s="180"/>
      <c r="L117" s="143"/>
      <c r="M117" s="1077"/>
      <c r="N117" s="1077" t="str" cm="1">
        <f t="array" aca="1" ref="N117" ca="1">OFFSET(M117,-1,1)</f>
        <v>ТЭ.42.26322895.0003</v>
      </c>
      <c r="O117" s="1082"/>
      <c r="P117" s="1078"/>
      <c r="Q117" s="1078"/>
      <c r="R117" s="1082"/>
      <c r="T117" s="687" t="b" cm="1">
        <f t="array" aca="1" ref="T117" ca="1">T116</f>
        <v>1</v>
      </c>
      <c r="U117" s="1153"/>
      <c r="V117" s="1153"/>
      <c r="W117" s="1153"/>
      <c r="X117" s="1726"/>
      <c r="Y117" s="1153"/>
      <c r="Z117" s="1726"/>
      <c r="AA117" s="180"/>
      <c r="AB117" s="545" t="s">
        <v>1763</v>
      </c>
      <c r="AC117" s="895" t="s">
        <v>1764</v>
      </c>
      <c r="AD117" s="549" t="s">
        <v>1077</v>
      </c>
      <c r="AE117" s="579">
        <f ca="1">AE115+AE116</f>
        <v>0</v>
      </c>
      <c r="AF117" s="579">
        <f ca="1">AF115+AF116</f>
        <v>0</v>
      </c>
      <c r="AG117" s="579">
        <f ca="1">AG115+AG116</f>
        <v>0</v>
      </c>
      <c r="AH117" s="256">
        <f ca="1">AG117-AF117</f>
        <v>0</v>
      </c>
      <c r="AI117" s="579">
        <f t="shared" ref="AI117:BC117" ca="1" si="56">AI115+AI116</f>
        <v>432243.54623918748</v>
      </c>
      <c r="AJ117" s="579">
        <f t="shared" ca="1" si="56"/>
        <v>240870.31650000002</v>
      </c>
      <c r="AK117" s="579">
        <f t="shared" ca="1" si="56"/>
        <v>238461.613335</v>
      </c>
      <c r="AL117" s="579">
        <f t="shared" ca="1" si="56"/>
        <v>236076.99720165</v>
      </c>
      <c r="AM117" s="579">
        <f t="shared" ca="1" si="56"/>
        <v>233716.22722963348</v>
      </c>
      <c r="AN117" s="579">
        <f t="shared" ca="1" si="56"/>
        <v>231379.06495733713</v>
      </c>
      <c r="AO117" s="579">
        <f t="shared" ca="1" si="56"/>
        <v>229065.27430776376</v>
      </c>
      <c r="AP117" s="579">
        <f t="shared" ca="1" si="56"/>
        <v>226774.62156468612</v>
      </c>
      <c r="AQ117" s="579">
        <f t="shared" ca="1" si="56"/>
        <v>224506.87534903927</v>
      </c>
      <c r="AR117" s="579">
        <f t="shared" ca="1" si="56"/>
        <v>222261.80659554887</v>
      </c>
      <c r="AS117" s="579">
        <f t="shared" ca="1" si="56"/>
        <v>220039.18852959338</v>
      </c>
      <c r="AT117" s="579">
        <f t="shared" ca="1" si="56"/>
        <v>475175.81712020666</v>
      </c>
      <c r="AU117" s="579">
        <f t="shared" ca="1" si="56"/>
        <v>235200.73499999999</v>
      </c>
      <c r="AV117" s="579">
        <f t="shared" ca="1" si="56"/>
        <v>232848.72764999999</v>
      </c>
      <c r="AW117" s="579">
        <f t="shared" ca="1" si="56"/>
        <v>230520.24037349998</v>
      </c>
      <c r="AX117" s="579">
        <f t="shared" ca="1" si="56"/>
        <v>228215.03796976499</v>
      </c>
      <c r="AY117" s="579">
        <f t="shared" ca="1" si="56"/>
        <v>225932.88759006734</v>
      </c>
      <c r="AZ117" s="579">
        <f t="shared" ca="1" si="56"/>
        <v>223673.55871416666</v>
      </c>
      <c r="BA117" s="579">
        <f t="shared" ca="1" si="56"/>
        <v>221436.82312702498</v>
      </c>
      <c r="BB117" s="579">
        <f t="shared" ca="1" si="56"/>
        <v>219222.45489575472</v>
      </c>
      <c r="BC117" s="579">
        <f t="shared" ca="1" si="56"/>
        <v>217030.23034679718</v>
      </c>
      <c r="BD117" s="256">
        <f ca="1">IF(AI117=0,0,(AT117-AI117)/AI117*100)</f>
        <v>9.9324261182287419</v>
      </c>
      <c r="BE117" s="256">
        <f t="shared" ca="1" si="55"/>
        <v>-50.502376904315284</v>
      </c>
      <c r="BF117" s="256">
        <f t="shared" ca="1" si="55"/>
        <v>-1</v>
      </c>
      <c r="BG117" s="256">
        <f t="shared" ca="1" si="55"/>
        <v>-1.0000000000000016</v>
      </c>
      <c r="BH117" s="256">
        <f t="shared" ca="1" si="55"/>
        <v>-0.99999999999999623</v>
      </c>
      <c r="BI117" s="256">
        <f t="shared" ca="1" si="55"/>
        <v>-0.99999999999999867</v>
      </c>
      <c r="BJ117" s="256">
        <f t="shared" ca="1" si="55"/>
        <v>-1.0000000000000042</v>
      </c>
      <c r="BK117" s="256">
        <f t="shared" ca="1" si="55"/>
        <v>-1.000000000000006</v>
      </c>
      <c r="BL117" s="256">
        <f t="shared" ca="1" si="55"/>
        <v>-1.000000000000004</v>
      </c>
      <c r="BM117" s="256">
        <f t="shared" ca="1" si="55"/>
        <v>-0.99999999999999833</v>
      </c>
      <c r="BN117" s="1298"/>
      <c r="BO117" s="1298"/>
      <c r="BP117" s="1298"/>
      <c r="BQ117" s="180"/>
      <c r="BR117" s="180"/>
      <c r="BS117" s="1031" t="s">
        <v>1765</v>
      </c>
      <c r="BT117" s="1031"/>
      <c r="BU117" s="1031"/>
      <c r="BV117" s="1032"/>
      <c r="BW117" s="1032"/>
      <c r="BX117" s="1064"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M11580::ТЭ.42.26322895.0003::Неопределено::Неопределено::Неопределено::Неопределено::Неопределено</v>
      </c>
    </row>
    <row r="118" spans="1:76" s="1229" customFormat="1" ht="14.25" hidden="1" customHeight="1">
      <c r="A118" s="178"/>
      <c r="B118" s="783"/>
      <c r="C118" s="1123" t="s">
        <v>1766</v>
      </c>
      <c r="D118" s="1053" t="s">
        <v>1767</v>
      </c>
      <c r="E118" s="676">
        <v>15</v>
      </c>
      <c r="F118" s="779" t="str" cm="1">
        <f t="array" aca="1" ref="F118" ca="1">OFFSET(G118,-1,-1)</f>
        <v>1</v>
      </c>
      <c r="G118" s="143" t="s">
        <v>1020</v>
      </c>
      <c r="H118" s="180"/>
      <c r="I118" s="180"/>
      <c r="J118" s="180"/>
      <c r="K118" s="180"/>
      <c r="L118" s="143" t="s">
        <v>1768</v>
      </c>
      <c r="M118" s="1077"/>
      <c r="N118" s="1077" t="str" cm="1">
        <f t="array" aca="1" ref="N118" ca="1">OFFSET(M118,-1,1)</f>
        <v>ТЭ.42.26322895.0003</v>
      </c>
      <c r="O118" s="1082"/>
      <c r="P118" s="1078"/>
      <c r="Q118" s="1078"/>
      <c r="R118" s="1082"/>
      <c r="T118" s="687" t="b">
        <f ca="1">AND(F118&gt;0,G82="двухставочный")</f>
        <v>0</v>
      </c>
      <c r="U118" s="1153"/>
      <c r="V118" s="1153"/>
      <c r="W118" s="1153"/>
      <c r="X118" s="1726"/>
      <c r="Y118" s="1153"/>
      <c r="Z118" s="1726"/>
      <c r="AA118" s="180"/>
      <c r="AB118" s="553" t="str">
        <f>AB117&amp;".1"</f>
        <v>14.1</v>
      </c>
      <c r="AC118" s="519" t="s">
        <v>1769</v>
      </c>
      <c r="AD118" s="258" t="s">
        <v>839</v>
      </c>
      <c r="AE118" s="77">
        <f ca="1">SUMIFS('Ресурсы (5.4)'!AE$26:AE$57,'Ресурсы (5.4)'!$F$26:$F$57,$F118,'Ресурсы (5.4)'!$AB$26:$AB$57,"6.1")</f>
        <v>0</v>
      </c>
      <c r="AF118" s="77">
        <f ca="1">SUMIFS('Ресурсы (5.4)'!AF$26:AF$57,'Ресурсы (5.4)'!$F$26:$F$57,$F118,'Ресурсы (5.4)'!$AB$26:$AB$57,"6.1")</f>
        <v>0</v>
      </c>
      <c r="AG118" s="77">
        <f ca="1">SUMIFS('Ресурсы (5.4)'!AG$26:AG$57,'Ресурсы (5.4)'!$F$26:$F$57,$F118,'Ресурсы (5.4)'!$AB$26:$AB$57,"6.1")</f>
        <v>0</v>
      </c>
      <c r="AH118" s="256">
        <f ca="1">AG118-AF118</f>
        <v>0</v>
      </c>
      <c r="AI118" s="77">
        <f ca="1">SUMIFS('Ресурсы (5.4)'!AI$26:AI$57,'Ресурсы (5.4)'!$F$26:$F$57,$F118,'Ресурсы (5.4)'!$AB$26:$AB$57,"6.1")</f>
        <v>115427.62042996501</v>
      </c>
      <c r="AJ118" s="517">
        <f ca="1">SUMIFS('Ресурсы (5.4)'!AJ$26:AJ$57,'Ресурсы (5.4)'!$F$26:$F$57,$F118,'Ресурсы (5.4)'!$AB$26:$AB$57,"6.1")</f>
        <v>0</v>
      </c>
      <c r="AK118" s="517">
        <f ca="1">SUMIFS('Ресурсы (5.4)'!AK$26:AK$57,'Ресурсы (5.4)'!$F$26:$F$57,$F118,'Ресурсы (5.4)'!$AB$26:$AB$57,"6.1")</f>
        <v>0</v>
      </c>
      <c r="AL118" s="517">
        <f ca="1">SUMIFS('Ресурсы (5.4)'!AL$26:AL$57,'Ресурсы (5.4)'!$F$26:$F$57,$F118,'Ресурсы (5.4)'!$AB$26:$AB$57,"6.1")</f>
        <v>0</v>
      </c>
      <c r="AM118" s="517">
        <f ca="1">SUMIFS('Ресурсы (5.4)'!AM$26:AM$57,'Ресурсы (5.4)'!$F$26:$F$57,$F118,'Ресурсы (5.4)'!$AB$26:$AB$57,"6.1")</f>
        <v>0</v>
      </c>
      <c r="AN118" s="517">
        <f ca="1">SUMIFS('Ресурсы (5.4)'!AN$26:AN$57,'Ресурсы (5.4)'!$F$26:$F$57,$F118,'Ресурсы (5.4)'!$AB$26:$AB$57,"6.1")</f>
        <v>0</v>
      </c>
      <c r="AO118" s="77">
        <f ca="1">SUMIFS('Ресурсы (5.4)'!AO$26:AO$57,'Ресурсы (5.4)'!$F$26:$F$57,$F118,'Ресурсы (5.4)'!$AB$26:$AB$57,"6.1")</f>
        <v>0</v>
      </c>
      <c r="AP118" s="77">
        <f ca="1">SUMIFS('Ресурсы (5.4)'!AP$26:AP$57,'Ресурсы (5.4)'!$F$26:$F$57,$F118,'Ресурсы (5.4)'!$AB$26:$AB$57,"6.1")</f>
        <v>0</v>
      </c>
      <c r="AQ118" s="77">
        <f ca="1">SUMIFS('Ресурсы (5.4)'!AQ$26:AQ$57,'Ресурсы (5.4)'!$F$26:$F$57,$F118,'Ресурсы (5.4)'!$AB$26:$AB$57,"6.1")</f>
        <v>0</v>
      </c>
      <c r="AR118" s="77">
        <f ca="1">SUMIFS('Ресурсы (5.4)'!AR$26:AR$57,'Ресурсы (5.4)'!$F$26:$F$57,$F118,'Ресурсы (5.4)'!$AB$26:$AB$57,"6.1")</f>
        <v>0</v>
      </c>
      <c r="AS118" s="77">
        <f ca="1">SUMIFS('Ресурсы (5.4)'!AS$26:AS$57,'Ресурсы (5.4)'!$F$26:$F$57,$F118,'Ресурсы (5.4)'!$AB$26:$AB$57,"6.1")</f>
        <v>0</v>
      </c>
      <c r="AT118" s="517">
        <f ca="1">SUMIFS('Ресурсы (5.4)'!AT$26:AT$57,'Ресурсы (5.4)'!$F$26:$F$57,$F118,'Ресурсы (5.4)'!$AB$26:$AB$57,"6.1")</f>
        <v>140975.39763741643</v>
      </c>
      <c r="AU118" s="517">
        <f ca="1">SUMIFS('Ресурсы (5.4)'!AU$26:AU$57,'Ресурсы (5.4)'!$F$26:$F$57,$F118,'Ресурсы (5.4)'!$AB$26:$AB$57,"6.1")</f>
        <v>0</v>
      </c>
      <c r="AV118" s="517">
        <f ca="1">SUMIFS('Ресурсы (5.4)'!AV$26:AV$57,'Ресурсы (5.4)'!$F$26:$F$57,$F118,'Ресурсы (5.4)'!$AB$26:$AB$57,"6.1")</f>
        <v>0</v>
      </c>
      <c r="AW118" s="517">
        <f ca="1">SUMIFS('Ресурсы (5.4)'!AW$26:AW$57,'Ресурсы (5.4)'!$F$26:$F$57,$F118,'Ресурсы (5.4)'!$AB$26:$AB$57,"6.1")</f>
        <v>0</v>
      </c>
      <c r="AX118" s="517">
        <f ca="1">SUMIFS('Ресурсы (5.4)'!AX$26:AX$57,'Ресурсы (5.4)'!$F$26:$F$57,$F118,'Ресурсы (5.4)'!$AB$26:$AB$57,"6.1")</f>
        <v>0</v>
      </c>
      <c r="AY118" s="77">
        <f ca="1">SUMIFS('Ресурсы (5.4)'!AY$26:AY$57,'Ресурсы (5.4)'!$F$26:$F$57,$F118,'Ресурсы (5.4)'!$AB$26:$AB$57,"6.1")</f>
        <v>0</v>
      </c>
      <c r="AZ118" s="77">
        <f ca="1">SUMIFS('Ресурсы (5.4)'!AZ$26:AZ$57,'Ресурсы (5.4)'!$F$26:$F$57,$F118,'Ресурсы (5.4)'!$AB$26:$AB$57,"6.1")</f>
        <v>0</v>
      </c>
      <c r="BA118" s="77">
        <f ca="1">SUMIFS('Ресурсы (5.4)'!BA$26:BA$57,'Ресурсы (5.4)'!$F$26:$F$57,$F118,'Ресурсы (5.4)'!$AB$26:$AB$57,"6.1")</f>
        <v>0</v>
      </c>
      <c r="BB118" s="77">
        <f ca="1">SUMIFS('Ресурсы (5.4)'!BB$26:BB$57,'Ресурсы (5.4)'!$F$26:$F$57,$F118,'Ресурсы (5.4)'!$AB$26:$AB$57,"6.1")</f>
        <v>0</v>
      </c>
      <c r="BC118" s="77">
        <f ca="1">SUMIFS('Ресурсы (5.4)'!BC$26:BC$57,'Ресурсы (5.4)'!$F$26:$F$57,$F118,'Ресурсы (5.4)'!$AB$26:$AB$57,"6.1")</f>
        <v>0</v>
      </c>
      <c r="BD118" s="256">
        <f ca="1">IF(AI118=0,0,(AT118-AI118)/AI118*100)</f>
        <v>22.133157655235884</v>
      </c>
      <c r="BE118" s="256">
        <f t="shared" ca="1" si="55"/>
        <v>-100</v>
      </c>
      <c r="BF118" s="256">
        <f t="shared" ca="1" si="55"/>
        <v>0</v>
      </c>
      <c r="BG118" s="256">
        <f t="shared" ca="1" si="55"/>
        <v>0</v>
      </c>
      <c r="BH118" s="256">
        <f t="shared" ca="1" si="55"/>
        <v>0</v>
      </c>
      <c r="BI118" s="256">
        <f t="shared" ca="1" si="55"/>
        <v>0</v>
      </c>
      <c r="BJ118" s="256">
        <f t="shared" ca="1" si="55"/>
        <v>0</v>
      </c>
      <c r="BK118" s="256">
        <f t="shared" ca="1" si="55"/>
        <v>0</v>
      </c>
      <c r="BL118" s="256">
        <f t="shared" ca="1" si="55"/>
        <v>0</v>
      </c>
      <c r="BM118" s="256">
        <f t="shared" ca="1" si="55"/>
        <v>0</v>
      </c>
      <c r="BN118" s="28"/>
      <c r="BO118" s="28"/>
      <c r="BP118" s="28"/>
      <c r="BQ118" s="180"/>
      <c r="BR118" s="180"/>
      <c r="BS118" s="1031" t="s">
        <v>1770</v>
      </c>
      <c r="BT118" s="1031"/>
      <c r="BU118" s="1031"/>
      <c r="BV118" s="1032"/>
      <c r="BW118" s="1032"/>
      <c r="BX118" s="1064"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M11581::ТЭ.42.26322895.0003::Неопределено::Неопределено::Неопределено::Неопределено::Неопределено</v>
      </c>
    </row>
    <row r="119" spans="1:76" s="1229" customFormat="1" ht="14.25" hidden="1" customHeight="1">
      <c r="A119" s="178"/>
      <c r="B119" s="783"/>
      <c r="C119" s="1123" t="s">
        <v>1771</v>
      </c>
      <c r="D119" s="1053" t="s">
        <v>1772</v>
      </c>
      <c r="E119" s="676">
        <v>15</v>
      </c>
      <c r="F119" s="779" t="str" cm="1">
        <f t="array" aca="1" ref="F119" ca="1">OFFSET(G119,-1,-1)</f>
        <v>1</v>
      </c>
      <c r="G119" s="180"/>
      <c r="H119" s="180"/>
      <c r="I119" s="180"/>
      <c r="J119" s="180"/>
      <c r="K119" s="180"/>
      <c r="L119" s="143" t="s">
        <v>1768</v>
      </c>
      <c r="M119" s="1077"/>
      <c r="N119" s="1077" t="str" cm="1">
        <f t="array" aca="1" ref="N119" ca="1">OFFSET(M119,-1,1)</f>
        <v>ТЭ.42.26322895.0003</v>
      </c>
      <c r="O119" s="1082"/>
      <c r="P119" s="1078"/>
      <c r="Q119" s="1078"/>
      <c r="R119" s="1082"/>
      <c r="T119" s="687" t="b" cm="1">
        <f t="array" aca="1" ref="T119" ca="1">T118</f>
        <v>0</v>
      </c>
      <c r="U119" s="1153"/>
      <c r="V119" s="1153"/>
      <c r="W119" s="1153"/>
      <c r="X119" s="1726"/>
      <c r="Y119" s="1153"/>
      <c r="Z119" s="1726"/>
      <c r="AA119" s="180"/>
      <c r="AB119" s="553" t="str">
        <f>AB117&amp;".2"</f>
        <v>14.2</v>
      </c>
      <c r="AC119" s="519" t="s">
        <v>1771</v>
      </c>
      <c r="AD119" s="258" t="s">
        <v>839</v>
      </c>
      <c r="AE119" s="515">
        <f ca="1">AE117-AE118</f>
        <v>0</v>
      </c>
      <c r="AF119" s="515">
        <f ca="1">AF117-AF118</f>
        <v>0</v>
      </c>
      <c r="AG119" s="515">
        <f ca="1">AG117-AG118</f>
        <v>0</v>
      </c>
      <c r="AH119" s="256">
        <f ca="1">AG119-AF119</f>
        <v>0</v>
      </c>
      <c r="AI119" s="515">
        <f t="shared" ref="AI119:BC119" ca="1" si="57">AI117-AI118</f>
        <v>316815.92580922245</v>
      </c>
      <c r="AJ119" s="515">
        <f t="shared" ca="1" si="57"/>
        <v>240870.31650000002</v>
      </c>
      <c r="AK119" s="515">
        <f t="shared" ca="1" si="57"/>
        <v>238461.613335</v>
      </c>
      <c r="AL119" s="515">
        <f t="shared" ca="1" si="57"/>
        <v>236076.99720165</v>
      </c>
      <c r="AM119" s="515">
        <f t="shared" ca="1" si="57"/>
        <v>233716.22722963348</v>
      </c>
      <c r="AN119" s="515">
        <f t="shared" ca="1" si="57"/>
        <v>231379.06495733713</v>
      </c>
      <c r="AO119" s="515">
        <f t="shared" ca="1" si="57"/>
        <v>229065.27430776376</v>
      </c>
      <c r="AP119" s="515">
        <f t="shared" ca="1" si="57"/>
        <v>226774.62156468612</v>
      </c>
      <c r="AQ119" s="515">
        <f t="shared" ca="1" si="57"/>
        <v>224506.87534903927</v>
      </c>
      <c r="AR119" s="515">
        <f t="shared" ca="1" si="57"/>
        <v>222261.80659554887</v>
      </c>
      <c r="AS119" s="515">
        <f t="shared" ca="1" si="57"/>
        <v>220039.18852959338</v>
      </c>
      <c r="AT119" s="515">
        <f t="shared" ca="1" si="57"/>
        <v>334200.41948279022</v>
      </c>
      <c r="AU119" s="515">
        <f t="shared" ca="1" si="57"/>
        <v>235200.73499999999</v>
      </c>
      <c r="AV119" s="515">
        <f t="shared" ca="1" si="57"/>
        <v>232848.72764999999</v>
      </c>
      <c r="AW119" s="515">
        <f t="shared" ca="1" si="57"/>
        <v>230520.24037349998</v>
      </c>
      <c r="AX119" s="515">
        <f t="shared" ca="1" si="57"/>
        <v>228215.03796976499</v>
      </c>
      <c r="AY119" s="515">
        <f t="shared" ca="1" si="57"/>
        <v>225932.88759006734</v>
      </c>
      <c r="AZ119" s="515">
        <f t="shared" ca="1" si="57"/>
        <v>223673.55871416666</v>
      </c>
      <c r="BA119" s="515">
        <f t="shared" ca="1" si="57"/>
        <v>221436.82312702498</v>
      </c>
      <c r="BB119" s="515">
        <f t="shared" ca="1" si="57"/>
        <v>219222.45489575472</v>
      </c>
      <c r="BC119" s="550">
        <f t="shared" ca="1" si="57"/>
        <v>217030.23034679718</v>
      </c>
      <c r="BD119" s="256">
        <f ca="1">IF(AI119=0,0,(AT119-AI119)/AI119*100)</f>
        <v>5.4872537196997557</v>
      </c>
      <c r="BE119" s="256">
        <f t="shared" ca="1" si="55"/>
        <v>-29.622848659496746</v>
      </c>
      <c r="BF119" s="256">
        <f t="shared" ca="1" si="55"/>
        <v>-1</v>
      </c>
      <c r="BG119" s="256">
        <f t="shared" ca="1" si="55"/>
        <v>-1.0000000000000016</v>
      </c>
      <c r="BH119" s="256">
        <f t="shared" ca="1" si="55"/>
        <v>-0.99999999999999623</v>
      </c>
      <c r="BI119" s="256">
        <f t="shared" ca="1" si="55"/>
        <v>-0.99999999999999867</v>
      </c>
      <c r="BJ119" s="256">
        <f t="shared" ca="1" si="55"/>
        <v>-1.0000000000000042</v>
      </c>
      <c r="BK119" s="256">
        <f t="shared" ca="1" si="55"/>
        <v>-1.000000000000006</v>
      </c>
      <c r="BL119" s="256">
        <f t="shared" ca="1" si="55"/>
        <v>-1.000000000000004</v>
      </c>
      <c r="BM119" s="256">
        <f t="shared" ca="1" si="55"/>
        <v>-0.99999999999999833</v>
      </c>
      <c r="BN119" s="28"/>
      <c r="BO119" s="28"/>
      <c r="BP119" s="28"/>
      <c r="BQ119" s="180"/>
      <c r="BR119" s="180"/>
      <c r="BS119" s="1031" t="s">
        <v>1773</v>
      </c>
      <c r="BT119" s="1031"/>
      <c r="BU119" s="1031"/>
      <c r="BV119" s="1032"/>
      <c r="BW119" s="1032"/>
      <c r="BX119" s="1064"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M11582::ТЭ.42.26322895.0003::Неопределено::Неопределено::Неопределено::Неопределено::Неопределено</v>
      </c>
    </row>
    <row r="120" spans="1:76" s="1229" customFormat="1" ht="14.25" customHeight="1">
      <c r="A120" s="178"/>
      <c r="B120" s="783"/>
      <c r="C120" s="1094" t="s">
        <v>1774</v>
      </c>
      <c r="D120" s="1053" t="s">
        <v>1775</v>
      </c>
      <c r="E120" s="676">
        <v>15</v>
      </c>
      <c r="F120" s="779" t="str" cm="1">
        <f t="array" aca="1" ref="F120" ca="1">OFFSET(G120,-1,-1)</f>
        <v>1</v>
      </c>
      <c r="G120" s="180"/>
      <c r="H120" s="180"/>
      <c r="I120" s="180"/>
      <c r="J120" s="180"/>
      <c r="K120" s="180"/>
      <c r="L120" s="143"/>
      <c r="M120" s="1077"/>
      <c r="N120" s="1077" t="str" cm="1">
        <f t="array" aca="1" ref="N120" ca="1">OFFSET(M120,-1,1)</f>
        <v>ТЭ.42.26322895.0003</v>
      </c>
      <c r="O120" s="1078"/>
      <c r="P120" s="1078"/>
      <c r="Q120" s="1078"/>
      <c r="R120" s="1078"/>
      <c r="T120" s="687" t="b" cm="1">
        <f t="array" aca="1" ref="T120" ca="1">T117</f>
        <v>1</v>
      </c>
      <c r="U120" s="1153"/>
      <c r="V120" s="1153"/>
      <c r="W120" s="1153"/>
      <c r="X120" s="1726"/>
      <c r="Y120" s="1153"/>
      <c r="Z120" s="1726"/>
      <c r="AA120" s="180"/>
      <c r="AB120" s="263" t="s">
        <v>1776</v>
      </c>
      <c r="AC120" s="259" t="s">
        <v>1777</v>
      </c>
      <c r="AD120" s="264" t="s">
        <v>634</v>
      </c>
      <c r="AE120" s="256">
        <f ca="1">IF($K82="передача тепловой энергии",SUMIFS('Баланс Тр'!AE$27:AE$50,'Баланс Тр'!$F$27:$F$50,$F120,'Баланс Тр'!$AB$27:$AB$50,"3"),SUMIFS('Баланс Пр'!AE$27:AE$233,'Баланс Пр'!$F$27:$F$233,$F120,'Баланс Пр'!$AB$27:$AB$233,"9.1"))</f>
        <v>0</v>
      </c>
      <c r="AF120" s="516"/>
      <c r="AG120" s="516"/>
      <c r="AH120" s="516"/>
      <c r="AI120" s="256">
        <f ca="1">IF($K82="передача тепловой энергии",SUMIFS('Баланс Тр'!AH$27:AH$50,'Баланс Тр'!$F$27:$F$50,$F120,'Баланс Тр'!$AB$27:$AB$50,"3"),SUMIFS('Баланс Пр'!AH$27:AH$233,'Баланс Пр'!$F$27:$F$233,$F120,'Баланс Пр'!$AB$27:$AB$233,"9.1"))</f>
        <v>129275</v>
      </c>
      <c r="AJ120" s="256">
        <f ca="1">IF($K82="передача тепловой энергии",SUMIFS('Баланс Тр'!AI$27:AI$50,'Баланс Тр'!$F$27:$F$50,$F120,'Баланс Тр'!$AB$27:$AB$50,"3"),SUMIFS('Баланс Пр'!AI$27:AI$233,'Баланс Пр'!$F$27:$F$233,$F120,'Баланс Пр'!$AB$27:$AB$233,"9.1"))</f>
        <v>0</v>
      </c>
      <c r="AK120" s="256">
        <f ca="1">IF($K82="передача тепловой энергии",SUMIFS('Баланс Тр'!AJ$27:AJ$50,'Баланс Тр'!$F$27:$F$50,$F120,'Баланс Тр'!$AB$27:$AB$50,"3"),SUMIFS('Баланс Пр'!AJ$27:AJ$233,'Баланс Пр'!$F$27:$F$233,$F120,'Баланс Пр'!$AB$27:$AB$233,"9.1"))</f>
        <v>0</v>
      </c>
      <c r="AL120" s="256">
        <f ca="1">IF($K82="передача тепловой энергии",SUMIFS('Баланс Тр'!AK$27:AK$50,'Баланс Тр'!$F$27:$F$50,$F120,'Баланс Тр'!$AB$27:$AB$50,"3"),SUMIFS('Баланс Пр'!AK$27:AK$233,'Баланс Пр'!$F$27:$F$233,$F120,'Баланс Пр'!$AB$27:$AB$233,"9.1"))</f>
        <v>0</v>
      </c>
      <c r="AM120" s="256">
        <f ca="1">IF($K82="передача тепловой энергии",SUMIFS('Баланс Тр'!AL$27:AL$50,'Баланс Тр'!$F$27:$F$50,$F120,'Баланс Тр'!$AB$27:$AB$50,"3"),SUMIFS('Баланс Пр'!AL$27:AL$233,'Баланс Пр'!$F$27:$F$233,$F120,'Баланс Пр'!$AB$27:$AB$233,"9.1"))</f>
        <v>0</v>
      </c>
      <c r="AN120" s="256">
        <f ca="1">IF($K82="передача тепловой энергии",SUMIFS('Баланс Тр'!AM$27:AM$50,'Баланс Тр'!$F$27:$F$50,$F120,'Баланс Тр'!$AB$27:$AB$50,"3"),SUMIFS('Баланс Пр'!AM$27:AM$233,'Баланс Пр'!$F$27:$F$233,$F120,'Баланс Пр'!$AB$27:$AB$233,"9.1"))</f>
        <v>0</v>
      </c>
      <c r="AO120" s="256">
        <f ca="1">IF($K82="передача тепловой энергии",SUMIFS('Баланс Тр'!AN$27:AN$50,'Баланс Тр'!$F$27:$F$50,$F120,'Баланс Тр'!$AB$27:$AB$50,"3"),SUMIFS('Баланс Пр'!AN$27:AN$233,'Баланс Пр'!$F$27:$F$233,$F120,'Баланс Пр'!$AB$27:$AB$233,"9.1"))</f>
        <v>0</v>
      </c>
      <c r="AP120" s="256">
        <f ca="1">IF($K82="передача тепловой энергии",SUMIFS('Баланс Тр'!AO$27:AO$50,'Баланс Тр'!$F$27:$F$50,$F120,'Баланс Тр'!$AB$27:$AB$50,"3"),SUMIFS('Баланс Пр'!AO$27:AO$233,'Баланс Пр'!$F$27:$F$233,$F120,'Баланс Пр'!$AB$27:$AB$233,"9.1"))</f>
        <v>0</v>
      </c>
      <c r="AQ120" s="256">
        <f ca="1">IF($K82="передача тепловой энергии",SUMIFS('Баланс Тр'!AP$27:AP$50,'Баланс Тр'!$F$27:$F$50,$F120,'Баланс Тр'!$AB$27:$AB$50,"3"),SUMIFS('Баланс Пр'!AP$27:AP$233,'Баланс Пр'!$F$27:$F$233,$F120,'Баланс Пр'!$AB$27:$AB$233,"9.1"))</f>
        <v>0</v>
      </c>
      <c r="AR120" s="256">
        <f ca="1">IF($K82="передача тепловой энергии",SUMIFS('Баланс Тр'!AQ$27:AQ$50,'Баланс Тр'!$F$27:$F$50,$F120,'Баланс Тр'!$AB$27:$AB$50,"3"),SUMIFS('Баланс Пр'!AQ$27:AQ$233,'Баланс Пр'!$F$27:$F$233,$F120,'Баланс Пр'!$AB$27:$AB$233,"9.1"))</f>
        <v>0</v>
      </c>
      <c r="AS120" s="256">
        <f ca="1">IF($K82="передача тепловой энергии",SUMIFS('Баланс Тр'!AR$27:AR$50,'Баланс Тр'!$F$27:$F$50,$F120,'Баланс Тр'!$AB$27:$AB$50,"3"),SUMIFS('Баланс Пр'!AR$27:AR$233,'Баланс Пр'!$F$27:$F$233,$F120,'Баланс Пр'!$AB$27:$AB$233,"9.1"))</f>
        <v>0</v>
      </c>
      <c r="AT120" s="256">
        <f ca="1">IF($K82="передача тепловой энергии",SUMIFS('Баланс Тр'!AS$27:AS$50,'Баланс Тр'!$F$27:$F$50,$F120,'Баланс Тр'!$AB$27:$AB$50,"3"),SUMIFS('Баланс Пр'!AS$27:AS$233,'Баланс Пр'!$F$27:$F$233,$F120,'Баланс Пр'!$AB$27:$AB$233,"9.1"))</f>
        <v>129752.10999999999</v>
      </c>
      <c r="AU120" s="256">
        <f ca="1">IF($K82="передача тепловой энергии",SUMIFS('Баланс Тр'!AT$27:AT$50,'Баланс Тр'!$F$27:$F$50,$F120,'Баланс Тр'!$AB$27:$AB$50,"3"),SUMIFS('Баланс Пр'!AT$27:AT$233,'Баланс Пр'!$F$27:$F$233,$F120,'Баланс Пр'!$AB$27:$AB$233,"9.1"))</f>
        <v>0</v>
      </c>
      <c r="AV120" s="256">
        <f ca="1">IF($K82="передача тепловой энергии",SUMIFS('Баланс Тр'!AU$27:AU$50,'Баланс Тр'!$F$27:$F$50,$F120,'Баланс Тр'!$AB$27:$AB$50,"3"),SUMIFS('Баланс Пр'!AU$27:AU$233,'Баланс Пр'!$F$27:$F$233,$F120,'Баланс Пр'!$AB$27:$AB$233,"9.1"))</f>
        <v>0</v>
      </c>
      <c r="AW120" s="256">
        <f ca="1">IF($K82="передача тепловой энергии",SUMIFS('Баланс Тр'!AV$27:AV$50,'Баланс Тр'!$F$27:$F$50,$F120,'Баланс Тр'!$AB$27:$AB$50,"3"),SUMIFS('Баланс Пр'!AV$27:AV$233,'Баланс Пр'!$F$27:$F$233,$F120,'Баланс Пр'!$AB$27:$AB$233,"9.1"))</f>
        <v>0</v>
      </c>
      <c r="AX120" s="256">
        <f ca="1">IF($K82="передача тепловой энергии",SUMIFS('Баланс Тр'!AW$27:AW$50,'Баланс Тр'!$F$27:$F$50,$F120,'Баланс Тр'!$AB$27:$AB$50,"3"),SUMIFS('Баланс Пр'!AW$27:AW$233,'Баланс Пр'!$F$27:$F$233,$F120,'Баланс Пр'!$AB$27:$AB$233,"9.1"))</f>
        <v>0</v>
      </c>
      <c r="AY120" s="256">
        <f ca="1">IF($K82="передача тепловой энергии",SUMIFS('Баланс Тр'!AX$27:AX$50,'Баланс Тр'!$F$27:$F$50,$F120,'Баланс Тр'!$AB$27:$AB$50,"3"),SUMIFS('Баланс Пр'!AX$27:AX$233,'Баланс Пр'!$F$27:$F$233,$F120,'Баланс Пр'!$AB$27:$AB$233,"9.1"))</f>
        <v>0</v>
      </c>
      <c r="AZ120" s="256">
        <f ca="1">IF($K82="передача тепловой энергии",SUMIFS('Баланс Тр'!AY$27:AY$50,'Баланс Тр'!$F$27:$F$50,$F120,'Баланс Тр'!$AB$27:$AB$50,"3"),SUMIFS('Баланс Пр'!AY$27:AY$233,'Баланс Пр'!$F$27:$F$233,$F120,'Баланс Пр'!$AB$27:$AB$233,"9.1"))</f>
        <v>0</v>
      </c>
      <c r="BA120" s="256">
        <f ca="1">IF($K82="передача тепловой энергии",SUMIFS('Баланс Тр'!AZ$27:AZ$50,'Баланс Тр'!$F$27:$F$50,$F120,'Баланс Тр'!$AB$27:$AB$50,"3"),SUMIFS('Баланс Пр'!AZ$27:AZ$233,'Баланс Пр'!$F$27:$F$233,$F120,'Баланс Пр'!$AB$27:$AB$233,"9.1"))</f>
        <v>0</v>
      </c>
      <c r="BB120" s="256">
        <f ca="1">IF($K82="передача тепловой энергии",SUMIFS('Баланс Тр'!BA$27:BA$50,'Баланс Тр'!$F$27:$F$50,$F120,'Баланс Тр'!$AB$27:$AB$50,"3"),SUMIFS('Баланс Пр'!BA$27:BA$233,'Баланс Пр'!$F$27:$F$233,$F120,'Баланс Пр'!$AB$27:$AB$233,"9.1"))</f>
        <v>0</v>
      </c>
      <c r="BC120" s="256">
        <f ca="1">IF($K82="передача тепловой энергии",SUMIFS('Баланс Тр'!BB$27:BB$50,'Баланс Тр'!$F$27:$F$50,$F120,'Баланс Тр'!$AB$27:$AB$50,"3"),SUMIFS('Баланс Пр'!BB$27:BB$233,'Баланс Пр'!$F$27:$F$233,$F120,'Баланс Пр'!$AB$27:$AB$233,"9.1"))</f>
        <v>0</v>
      </c>
      <c r="BD120" s="556"/>
      <c r="BE120" s="556"/>
      <c r="BF120" s="556"/>
      <c r="BG120" s="556"/>
      <c r="BH120" s="556"/>
      <c r="BI120" s="556"/>
      <c r="BJ120" s="556"/>
      <c r="BK120" s="556"/>
      <c r="BL120" s="556"/>
      <c r="BM120" s="556"/>
      <c r="BN120" s="1290"/>
      <c r="BO120" s="1290"/>
      <c r="BP120" s="1290"/>
      <c r="BQ120" s="180"/>
      <c r="BR120" s="180"/>
      <c r="BS120" s="1031" t="s">
        <v>1778</v>
      </c>
      <c r="BT120" s="1031"/>
      <c r="BU120" s="1031"/>
      <c r="BV120" s="1032"/>
      <c r="BW120" s="1032"/>
      <c r="BX120" s="1064"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M10502::ТЭ.42.26322895.0003::Неопределено::Неопределено::Неопределено::Неопределено::Неопределено</v>
      </c>
    </row>
    <row r="121" spans="1:76" s="1229" customFormat="1" ht="14.25" customHeight="1">
      <c r="A121" s="178"/>
      <c r="B121" s="783"/>
      <c r="C121" s="1094" t="s">
        <v>1779</v>
      </c>
      <c r="D121" s="1053" t="s">
        <v>1780</v>
      </c>
      <c r="E121" s="676">
        <v>15</v>
      </c>
      <c r="F121" s="779" t="str" cm="1">
        <f t="array" aca="1" ref="F121" ca="1">OFFSET(G121,-1,-1)</f>
        <v>1</v>
      </c>
      <c r="G121" s="143" t="s">
        <v>1781</v>
      </c>
      <c r="H121" s="180"/>
      <c r="I121" s="180"/>
      <c r="J121" s="180"/>
      <c r="K121" s="180"/>
      <c r="L121" s="143"/>
      <c r="M121" s="1077"/>
      <c r="N121" s="1077" t="str" cm="1">
        <f t="array" aca="1" ref="N121" ca="1">OFFSET(M121,-1,1)</f>
        <v>ТЭ.42.26322895.0003</v>
      </c>
      <c r="O121" s="1078" t="s">
        <v>1782</v>
      </c>
      <c r="P121" s="1078"/>
      <c r="Q121" s="1078"/>
      <c r="R121" s="1078"/>
      <c r="T121" s="687" t="b" cm="1">
        <f t="array" aca="1" ref="T121" ca="1">T120</f>
        <v>1</v>
      </c>
      <c r="U121" s="1153"/>
      <c r="V121" s="1153"/>
      <c r="W121" s="1153"/>
      <c r="X121" s="1726"/>
      <c r="Y121" s="1153"/>
      <c r="Z121" s="1726"/>
      <c r="AA121" s="180"/>
      <c r="AB121" s="553" t="str">
        <f>AB120&amp;".1"</f>
        <v>15.1</v>
      </c>
      <c r="AC121" s="236" t="s">
        <v>1783</v>
      </c>
      <c r="AD121" s="258" t="s">
        <v>634</v>
      </c>
      <c r="AE121" s="1398"/>
      <c r="AF121" s="516"/>
      <c r="AG121" s="516"/>
      <c r="AH121" s="516"/>
      <c r="AI121" s="1398">
        <v>70481.64</v>
      </c>
      <c r="AJ121" s="517"/>
      <c r="AK121" s="517"/>
      <c r="AL121" s="517"/>
      <c r="AM121" s="517"/>
      <c r="AN121" s="517"/>
      <c r="AO121" s="1398"/>
      <c r="AP121" s="1398"/>
      <c r="AQ121" s="1398"/>
      <c r="AR121" s="1398"/>
      <c r="AS121" s="1398"/>
      <c r="AT121" s="517">
        <v>92819.8</v>
      </c>
      <c r="AU121" s="517"/>
      <c r="AV121" s="517"/>
      <c r="AW121" s="517"/>
      <c r="AX121" s="517"/>
      <c r="AY121" s="1398"/>
      <c r="AZ121" s="1398"/>
      <c r="BA121" s="1398"/>
      <c r="BB121" s="1398"/>
      <c r="BC121" s="1398"/>
      <c r="BD121" s="319"/>
      <c r="BE121" s="319"/>
      <c r="BF121" s="319"/>
      <c r="BG121" s="319"/>
      <c r="BH121" s="319"/>
      <c r="BI121" s="319"/>
      <c r="BJ121" s="319"/>
      <c r="BK121" s="319"/>
      <c r="BL121" s="319"/>
      <c r="BM121" s="319"/>
      <c r="BN121" s="1290"/>
      <c r="BO121" s="1290"/>
      <c r="BP121" s="1290"/>
      <c r="BQ121" s="180"/>
      <c r="BR121" s="180"/>
      <c r="BS121" s="1031" t="s">
        <v>1784</v>
      </c>
      <c r="BT121" s="1031"/>
      <c r="BU121" s="1031"/>
      <c r="BV121" s="1032"/>
      <c r="BW121" s="1032"/>
      <c r="BX121" s="1064"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M10670::ТЭ.42.26322895.0003::Неопределено::8.0.3.::Неопределено::Неопределено::Неопределено</v>
      </c>
    </row>
    <row r="122" spans="1:76" s="1229" customFormat="1" ht="14.25" customHeight="1">
      <c r="A122" s="178"/>
      <c r="B122" s="783"/>
      <c r="C122" s="1094" t="s">
        <v>1785</v>
      </c>
      <c r="D122" s="1053" t="s">
        <v>1786</v>
      </c>
      <c r="E122" s="676">
        <v>15</v>
      </c>
      <c r="F122" s="779" t="str" cm="1">
        <f t="array" aca="1" ref="F122" ca="1">OFFSET(G122,-1,-1)</f>
        <v>1</v>
      </c>
      <c r="G122" s="143" t="s">
        <v>1787</v>
      </c>
      <c r="H122" s="180"/>
      <c r="I122" s="180"/>
      <c r="J122" s="180"/>
      <c r="K122" s="180"/>
      <c r="L122" s="143"/>
      <c r="M122" s="1077"/>
      <c r="N122" s="1077" t="str" cm="1">
        <f t="array" aca="1" ref="N122" ca="1">OFFSET(M122,-1,1)</f>
        <v>ТЭ.42.26322895.0003</v>
      </c>
      <c r="O122" s="1078" t="s">
        <v>1782</v>
      </c>
      <c r="P122" s="1078"/>
      <c r="Q122" s="1078"/>
      <c r="R122" s="1078"/>
      <c r="T122" s="687" t="b" cm="1">
        <f t="array" aca="1" ref="T122" ca="1">T121</f>
        <v>1</v>
      </c>
      <c r="U122" s="1153"/>
      <c r="V122" s="1153"/>
      <c r="W122" s="1153"/>
      <c r="X122" s="1726"/>
      <c r="Y122" s="1153"/>
      <c r="Z122" s="1726"/>
      <c r="AA122" s="180"/>
      <c r="AB122" s="553" t="str">
        <f>AB120&amp;".2"</f>
        <v>15.2</v>
      </c>
      <c r="AC122" s="236" t="s">
        <v>1788</v>
      </c>
      <c r="AD122" s="258" t="s">
        <v>929</v>
      </c>
      <c r="AE122" s="1398"/>
      <c r="AF122" s="516"/>
      <c r="AG122" s="516"/>
      <c r="AH122" s="516"/>
      <c r="AI122" s="1398">
        <v>3203.81</v>
      </c>
      <c r="AJ122" s="517">
        <f t="shared" ref="AJ122:AS122" ca="1" si="58">MIN(AI124,AJ126)</f>
        <v>0</v>
      </c>
      <c r="AK122" s="517">
        <f t="shared" ca="1" si="58"/>
        <v>0</v>
      </c>
      <c r="AL122" s="517">
        <f t="shared" ca="1" si="58"/>
        <v>0</v>
      </c>
      <c r="AM122" s="517">
        <f t="shared" ca="1" si="58"/>
        <v>0</v>
      </c>
      <c r="AN122" s="517">
        <f t="shared" ca="1" si="58"/>
        <v>0</v>
      </c>
      <c r="AO122" s="1398">
        <f t="shared" ca="1" si="58"/>
        <v>0</v>
      </c>
      <c r="AP122" s="1398">
        <f t="shared" ca="1" si="58"/>
        <v>0</v>
      </c>
      <c r="AQ122" s="1398">
        <f t="shared" ca="1" si="58"/>
        <v>0</v>
      </c>
      <c r="AR122" s="1398">
        <f t="shared" ca="1" si="58"/>
        <v>0</v>
      </c>
      <c r="AS122" s="1398">
        <f t="shared" ca="1" si="58"/>
        <v>0</v>
      </c>
      <c r="AT122" s="517">
        <v>3524.06</v>
      </c>
      <c r="AU122" s="517">
        <f t="shared" ref="AU122:BC122" ca="1" si="59">MIN(AT124,AU126)</f>
        <v>0</v>
      </c>
      <c r="AV122" s="517">
        <f t="shared" ca="1" si="59"/>
        <v>0</v>
      </c>
      <c r="AW122" s="517">
        <f t="shared" ca="1" si="59"/>
        <v>0</v>
      </c>
      <c r="AX122" s="517">
        <f t="shared" ca="1" si="59"/>
        <v>0</v>
      </c>
      <c r="AY122" s="1398">
        <f t="shared" ca="1" si="59"/>
        <v>0</v>
      </c>
      <c r="AZ122" s="1398">
        <f t="shared" ca="1" si="59"/>
        <v>0</v>
      </c>
      <c r="BA122" s="1398">
        <f t="shared" ca="1" si="59"/>
        <v>0</v>
      </c>
      <c r="BB122" s="1398">
        <f t="shared" ca="1" si="59"/>
        <v>0</v>
      </c>
      <c r="BC122" s="1398">
        <f t="shared" ca="1" si="59"/>
        <v>0</v>
      </c>
      <c r="BD122" s="319"/>
      <c r="BE122" s="319"/>
      <c r="BF122" s="319"/>
      <c r="BG122" s="319"/>
      <c r="BH122" s="319"/>
      <c r="BI122" s="319"/>
      <c r="BJ122" s="319"/>
      <c r="BK122" s="319"/>
      <c r="BL122" s="319"/>
      <c r="BM122" s="319"/>
      <c r="BN122" s="1290"/>
      <c r="BO122" s="1290"/>
      <c r="BP122" s="1290"/>
      <c r="BQ122" s="180"/>
      <c r="BR122" s="180"/>
      <c r="BS122" s="1031" t="s">
        <v>1789</v>
      </c>
      <c r="BT122" s="1031"/>
      <c r="BU122" s="1031"/>
      <c r="BV122" s="1032"/>
      <c r="BW122" s="1032"/>
      <c r="BX122" s="1064"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M10546::ТЭ.42.26322895.0003::Неопределено::8.0.3.::Неопределено::Неопределено::Неопределено</v>
      </c>
    </row>
    <row r="123" spans="1:76" s="1229" customFormat="1" ht="14.25" customHeight="1">
      <c r="A123" s="178"/>
      <c r="B123" s="783"/>
      <c r="C123" s="1094" t="s">
        <v>1779</v>
      </c>
      <c r="D123" s="1053" t="s">
        <v>1780</v>
      </c>
      <c r="E123" s="676">
        <v>15</v>
      </c>
      <c r="F123" s="779" t="str" cm="1">
        <f t="array" aca="1" ref="F123" ca="1">OFFSET(G123,-1,-1)</f>
        <v>1</v>
      </c>
      <c r="G123" s="143" t="s">
        <v>1790</v>
      </c>
      <c r="H123" s="180"/>
      <c r="I123" s="180"/>
      <c r="J123" s="180"/>
      <c r="K123" s="180"/>
      <c r="L123" s="143"/>
      <c r="M123" s="1077"/>
      <c r="N123" s="1077" t="str" cm="1">
        <f t="array" aca="1" ref="N123" ca="1">OFFSET(M123,-1,1)</f>
        <v>ТЭ.42.26322895.0003</v>
      </c>
      <c r="O123" s="1078" t="s">
        <v>1791</v>
      </c>
      <c r="P123" s="1078"/>
      <c r="Q123" s="1078"/>
      <c r="R123" s="1078"/>
      <c r="T123" s="687" t="b" cm="1">
        <f t="array" aca="1" ref="T123" ca="1">T122</f>
        <v>1</v>
      </c>
      <c r="U123" s="1153"/>
      <c r="V123" s="1153"/>
      <c r="W123" s="1153"/>
      <c r="X123" s="1726"/>
      <c r="Y123" s="1153"/>
      <c r="Z123" s="1726"/>
      <c r="AA123" s="180"/>
      <c r="AB123" s="553" t="str">
        <f>AB120&amp;".3"</f>
        <v>15.3</v>
      </c>
      <c r="AC123" s="236" t="s">
        <v>1792</v>
      </c>
      <c r="AD123" s="258" t="s">
        <v>634</v>
      </c>
      <c r="AE123" s="515">
        <f ca="1">AE120-AE121</f>
        <v>0</v>
      </c>
      <c r="AF123" s="516"/>
      <c r="AG123" s="516"/>
      <c r="AH123" s="516"/>
      <c r="AI123" s="515">
        <f t="shared" ref="AI123:BC123" ca="1" si="60">AI120-AI121</f>
        <v>58793.36</v>
      </c>
      <c r="AJ123" s="515">
        <f t="shared" ca="1" si="60"/>
        <v>0</v>
      </c>
      <c r="AK123" s="515">
        <f t="shared" ca="1" si="60"/>
        <v>0</v>
      </c>
      <c r="AL123" s="515">
        <f t="shared" ca="1" si="60"/>
        <v>0</v>
      </c>
      <c r="AM123" s="515">
        <f t="shared" ca="1" si="60"/>
        <v>0</v>
      </c>
      <c r="AN123" s="515">
        <f t="shared" ca="1" si="60"/>
        <v>0</v>
      </c>
      <c r="AO123" s="515">
        <f t="shared" ca="1" si="60"/>
        <v>0</v>
      </c>
      <c r="AP123" s="515">
        <f t="shared" ca="1" si="60"/>
        <v>0</v>
      </c>
      <c r="AQ123" s="515">
        <f t="shared" ca="1" si="60"/>
        <v>0</v>
      </c>
      <c r="AR123" s="515">
        <f t="shared" ca="1" si="60"/>
        <v>0</v>
      </c>
      <c r="AS123" s="515">
        <f t="shared" ca="1" si="60"/>
        <v>0</v>
      </c>
      <c r="AT123" s="515">
        <f t="shared" ca="1" si="60"/>
        <v>36932.309999999983</v>
      </c>
      <c r="AU123" s="515">
        <f t="shared" ca="1" si="60"/>
        <v>0</v>
      </c>
      <c r="AV123" s="515">
        <f t="shared" ca="1" si="60"/>
        <v>0</v>
      </c>
      <c r="AW123" s="515">
        <f t="shared" ca="1" si="60"/>
        <v>0</v>
      </c>
      <c r="AX123" s="515">
        <f t="shared" ca="1" si="60"/>
        <v>0</v>
      </c>
      <c r="AY123" s="515">
        <f t="shared" ca="1" si="60"/>
        <v>0</v>
      </c>
      <c r="AZ123" s="515">
        <f t="shared" ca="1" si="60"/>
        <v>0</v>
      </c>
      <c r="BA123" s="515">
        <f t="shared" ca="1" si="60"/>
        <v>0</v>
      </c>
      <c r="BB123" s="515">
        <f t="shared" ca="1" si="60"/>
        <v>0</v>
      </c>
      <c r="BC123" s="515">
        <f t="shared" ca="1" si="60"/>
        <v>0</v>
      </c>
      <c r="BD123" s="319"/>
      <c r="BE123" s="319"/>
      <c r="BF123" s="319"/>
      <c r="BG123" s="319"/>
      <c r="BH123" s="319"/>
      <c r="BI123" s="319"/>
      <c r="BJ123" s="319"/>
      <c r="BK123" s="319"/>
      <c r="BL123" s="319"/>
      <c r="BM123" s="319"/>
      <c r="BN123" s="1290"/>
      <c r="BO123" s="1290"/>
      <c r="BP123" s="1290"/>
      <c r="BQ123" s="180"/>
      <c r="BR123" s="180"/>
      <c r="BS123" s="1031" t="s">
        <v>1793</v>
      </c>
      <c r="BT123" s="1031"/>
      <c r="BU123" s="1031"/>
      <c r="BV123" s="1032"/>
      <c r="BW123" s="1032"/>
      <c r="BX123" s="1064"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M10670::ТЭ.42.26322895.0003::Неопределено::8.0.5.::Неопределено::Неопределено::Неопределено</v>
      </c>
    </row>
    <row r="124" spans="1:76" s="1229" customFormat="1" ht="14.25" customHeight="1">
      <c r="A124" s="178"/>
      <c r="B124" s="783"/>
      <c r="C124" s="1094" t="s">
        <v>1785</v>
      </c>
      <c r="D124" s="1053" t="s">
        <v>1786</v>
      </c>
      <c r="E124" s="676">
        <v>15</v>
      </c>
      <c r="F124" s="779" t="str" cm="1">
        <f t="array" aca="1" ref="F124" ca="1">OFFSET(G124,-1,-1)</f>
        <v>1</v>
      </c>
      <c r="G124" s="143" t="s">
        <v>1794</v>
      </c>
      <c r="H124" s="180"/>
      <c r="I124" s="180"/>
      <c r="J124" s="180"/>
      <c r="K124" s="180"/>
      <c r="L124" s="143"/>
      <c r="M124" s="1077"/>
      <c r="N124" s="1077" t="str" cm="1">
        <f t="array" aca="1" ref="N124" ca="1">OFFSET(M124,-1,1)</f>
        <v>ТЭ.42.26322895.0003</v>
      </c>
      <c r="O124" s="1078" t="s">
        <v>1791</v>
      </c>
      <c r="P124" s="1078"/>
      <c r="Q124" s="1078"/>
      <c r="R124" s="1078"/>
      <c r="T124" s="687" t="b" cm="1">
        <f t="array" aca="1" ref="T124" ca="1">T123</f>
        <v>1</v>
      </c>
      <c r="U124" s="1153"/>
      <c r="V124" s="1153"/>
      <c r="W124" s="1153"/>
      <c r="X124" s="1726"/>
      <c r="Y124" s="1153"/>
      <c r="Z124" s="1726"/>
      <c r="AA124" s="180"/>
      <c r="AB124" s="553" t="str">
        <f>AB120&amp;".4"</f>
        <v>15.4</v>
      </c>
      <c r="AC124" s="236" t="s">
        <v>1795</v>
      </c>
      <c r="AD124" s="258" t="s">
        <v>929</v>
      </c>
      <c r="AE124" s="1398"/>
      <c r="AF124" s="516"/>
      <c r="AG124" s="516"/>
      <c r="AH124" s="516"/>
      <c r="AI124" s="1398">
        <v>3524.06</v>
      </c>
      <c r="AJ124" s="517">
        <f t="shared" ref="AJ124:AS124" ca="1" si="61">IFERROR((AJ117*1000-AJ121*AJ122)/AJ123,0)</f>
        <v>0</v>
      </c>
      <c r="AK124" s="517">
        <f t="shared" ca="1" si="61"/>
        <v>0</v>
      </c>
      <c r="AL124" s="517">
        <f t="shared" ca="1" si="61"/>
        <v>0</v>
      </c>
      <c r="AM124" s="517">
        <f t="shared" ca="1" si="61"/>
        <v>0</v>
      </c>
      <c r="AN124" s="517">
        <f t="shared" ca="1" si="61"/>
        <v>0</v>
      </c>
      <c r="AO124" s="1398">
        <f t="shared" ca="1" si="61"/>
        <v>0</v>
      </c>
      <c r="AP124" s="1398">
        <f t="shared" ca="1" si="61"/>
        <v>0</v>
      </c>
      <c r="AQ124" s="1398">
        <f t="shared" ca="1" si="61"/>
        <v>0</v>
      </c>
      <c r="AR124" s="1398">
        <f t="shared" ca="1" si="61"/>
        <v>0</v>
      </c>
      <c r="AS124" s="1398">
        <f t="shared" ca="1" si="61"/>
        <v>0</v>
      </c>
      <c r="AT124" s="517">
        <v>3946.95</v>
      </c>
      <c r="AU124" s="517">
        <f t="shared" ref="AU124:BC124" ca="1" si="62">IFERROR((AU117*1000-AU121*AU122)/AU123,0)</f>
        <v>0</v>
      </c>
      <c r="AV124" s="517">
        <f t="shared" ca="1" si="62"/>
        <v>0</v>
      </c>
      <c r="AW124" s="517">
        <f t="shared" ca="1" si="62"/>
        <v>0</v>
      </c>
      <c r="AX124" s="517">
        <f t="shared" ca="1" si="62"/>
        <v>0</v>
      </c>
      <c r="AY124" s="1398">
        <f t="shared" ca="1" si="62"/>
        <v>0</v>
      </c>
      <c r="AZ124" s="1398">
        <f t="shared" ca="1" si="62"/>
        <v>0</v>
      </c>
      <c r="BA124" s="1398">
        <f t="shared" ca="1" si="62"/>
        <v>0</v>
      </c>
      <c r="BB124" s="1398">
        <f t="shared" ca="1" si="62"/>
        <v>0</v>
      </c>
      <c r="BC124" s="1398">
        <f t="shared" ca="1" si="62"/>
        <v>0</v>
      </c>
      <c r="BD124" s="319"/>
      <c r="BE124" s="319"/>
      <c r="BF124" s="319"/>
      <c r="BG124" s="319"/>
      <c r="BH124" s="319"/>
      <c r="BI124" s="319"/>
      <c r="BJ124" s="319"/>
      <c r="BK124" s="319"/>
      <c r="BL124" s="319"/>
      <c r="BM124" s="319"/>
      <c r="BN124" s="1290"/>
      <c r="BO124" s="1290"/>
      <c r="BP124" s="1290"/>
      <c r="BQ124" s="180"/>
      <c r="BR124" s="180"/>
      <c r="BS124" s="1031" t="s">
        <v>1796</v>
      </c>
      <c r="BT124" s="1031"/>
      <c r="BU124" s="1031"/>
      <c r="BV124" s="1032"/>
      <c r="BW124" s="1032"/>
      <c r="BX124" s="1064"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M10546::ТЭ.42.26322895.0003::Неопределено::8.0.5.::Неопределено::Неопределено::Неопределено</v>
      </c>
    </row>
    <row r="125" spans="1:76" s="1229" customFormat="1" ht="14.25" customHeight="1">
      <c r="A125" s="178"/>
      <c r="B125" s="783"/>
      <c r="C125" s="1094" t="s">
        <v>1797</v>
      </c>
      <c r="D125" s="1053" t="s">
        <v>1798</v>
      </c>
      <c r="E125" s="676">
        <v>15</v>
      </c>
      <c r="F125" s="779" t="str" cm="1">
        <f t="array" aca="1" ref="F125" ca="1">OFFSET(G125,-1,-1)</f>
        <v>1</v>
      </c>
      <c r="G125" s="180"/>
      <c r="H125" s="180"/>
      <c r="I125" s="180"/>
      <c r="J125" s="180"/>
      <c r="K125" s="180"/>
      <c r="L125" s="143"/>
      <c r="M125" s="1077"/>
      <c r="N125" s="1077" t="str" cm="1">
        <f t="array" aca="1" ref="N125" ca="1">OFFSET(M125,-1,1)</f>
        <v>ТЭ.42.26322895.0003</v>
      </c>
      <c r="O125" s="1078"/>
      <c r="P125" s="1078"/>
      <c r="Q125" s="1078"/>
      <c r="R125" s="1078"/>
      <c r="T125" s="687" t="b" cm="1">
        <f t="array" aca="1" ref="T125" ca="1">T124</f>
        <v>1</v>
      </c>
      <c r="U125" s="1153"/>
      <c r="V125" s="1153"/>
      <c r="W125" s="1153"/>
      <c r="X125" s="1726"/>
      <c r="Y125" s="1153"/>
      <c r="Z125" s="1726"/>
      <c r="AA125" s="180"/>
      <c r="AB125" s="553" t="str">
        <f>AB120&amp;".5"</f>
        <v>15.5</v>
      </c>
      <c r="AC125" s="261" t="s">
        <v>1799</v>
      </c>
      <c r="AD125" s="258" t="s">
        <v>533</v>
      </c>
      <c r="AE125" s="555">
        <f>IFERROR(AE124/AE122,0)</f>
        <v>0</v>
      </c>
      <c r="AF125" s="516"/>
      <c r="AG125" s="516"/>
      <c r="AH125" s="516"/>
      <c r="AI125" s="555">
        <f t="shared" ref="AI125:BC125" si="63">IFERROR(AI124/AI122,0)</f>
        <v>1.0999591111832474</v>
      </c>
      <c r="AJ125" s="555">
        <f t="shared" ca="1" si="63"/>
        <v>0</v>
      </c>
      <c r="AK125" s="555">
        <f t="shared" ca="1" si="63"/>
        <v>0</v>
      </c>
      <c r="AL125" s="555">
        <f t="shared" ca="1" si="63"/>
        <v>0</v>
      </c>
      <c r="AM125" s="555">
        <f t="shared" ca="1" si="63"/>
        <v>0</v>
      </c>
      <c r="AN125" s="555">
        <f t="shared" ca="1" si="63"/>
        <v>0</v>
      </c>
      <c r="AO125" s="555">
        <f t="shared" ca="1" si="63"/>
        <v>0</v>
      </c>
      <c r="AP125" s="555">
        <f t="shared" ca="1" si="63"/>
        <v>0</v>
      </c>
      <c r="AQ125" s="555">
        <f t="shared" ca="1" si="63"/>
        <v>0</v>
      </c>
      <c r="AR125" s="555">
        <f t="shared" ca="1" si="63"/>
        <v>0</v>
      </c>
      <c r="AS125" s="555">
        <f t="shared" ca="1" si="63"/>
        <v>0</v>
      </c>
      <c r="AT125" s="555">
        <f t="shared" si="63"/>
        <v>1.1200007945381178</v>
      </c>
      <c r="AU125" s="555">
        <f t="shared" ca="1" si="63"/>
        <v>0</v>
      </c>
      <c r="AV125" s="555">
        <f t="shared" ca="1" si="63"/>
        <v>0</v>
      </c>
      <c r="AW125" s="555">
        <f t="shared" ca="1" si="63"/>
        <v>0</v>
      </c>
      <c r="AX125" s="555">
        <f t="shared" ca="1" si="63"/>
        <v>0</v>
      </c>
      <c r="AY125" s="555">
        <f t="shared" ca="1" si="63"/>
        <v>0</v>
      </c>
      <c r="AZ125" s="555">
        <f t="shared" ca="1" si="63"/>
        <v>0</v>
      </c>
      <c r="BA125" s="555">
        <f t="shared" ca="1" si="63"/>
        <v>0</v>
      </c>
      <c r="BB125" s="555">
        <f t="shared" ca="1" si="63"/>
        <v>0</v>
      </c>
      <c r="BC125" s="555">
        <f t="shared" ca="1" si="63"/>
        <v>0</v>
      </c>
      <c r="BD125" s="319"/>
      <c r="BE125" s="319"/>
      <c r="BF125" s="319"/>
      <c r="BG125" s="319"/>
      <c r="BH125" s="319"/>
      <c r="BI125" s="319"/>
      <c r="BJ125" s="319"/>
      <c r="BK125" s="319"/>
      <c r="BL125" s="319"/>
      <c r="BM125" s="319"/>
      <c r="BN125" s="1290"/>
      <c r="BO125" s="1290"/>
      <c r="BP125" s="1290"/>
      <c r="BQ125" s="180"/>
      <c r="BR125" s="180"/>
      <c r="BS125" s="1031" t="s">
        <v>1800</v>
      </c>
      <c r="BT125" s="1031"/>
      <c r="BU125" s="1031"/>
      <c r="BV125" s="1032"/>
      <c r="BW125" s="1032"/>
      <c r="BX125" s="1064"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M11244::ТЭ.42.26322895.0003::Неопределено::Неопределено::Неопределено::Неопределено::Неопределено</v>
      </c>
    </row>
    <row r="126" spans="1:76" s="1229" customFormat="1" ht="14.25" customHeight="1">
      <c r="A126" s="178"/>
      <c r="B126" s="783"/>
      <c r="C126" s="1094" t="s">
        <v>1801</v>
      </c>
      <c r="D126" s="1053" t="s">
        <v>1802</v>
      </c>
      <c r="E126" s="676">
        <v>15</v>
      </c>
      <c r="F126" s="779" t="str" cm="1">
        <f t="array" aca="1" ref="F126" ca="1">OFFSET(G126,-1,-1)</f>
        <v>1</v>
      </c>
      <c r="G126" s="180"/>
      <c r="H126" s="180"/>
      <c r="I126" s="180"/>
      <c r="J126" s="180"/>
      <c r="K126" s="180"/>
      <c r="L126" s="143"/>
      <c r="M126" s="1077"/>
      <c r="N126" s="1077" t="str" cm="1">
        <f t="array" aca="1" ref="N126" ca="1">OFFSET(M126,-1,1)</f>
        <v>ТЭ.42.26322895.0003</v>
      </c>
      <c r="O126" s="1078"/>
      <c r="P126" s="1078"/>
      <c r="Q126" s="1078"/>
      <c r="R126" s="1078"/>
      <c r="T126" s="687" t="b" cm="1">
        <f t="array" aca="1" ref="T126" ca="1">T125</f>
        <v>1</v>
      </c>
      <c r="U126" s="1153"/>
      <c r="V126" s="1153"/>
      <c r="W126" s="1153"/>
      <c r="X126" s="1726"/>
      <c r="Y126" s="1153"/>
      <c r="Z126" s="1726"/>
      <c r="AA126" s="180"/>
      <c r="AB126" s="553" t="str">
        <f>AB120&amp;".6"</f>
        <v>15.6</v>
      </c>
      <c r="AC126" s="261" t="s">
        <v>1803</v>
      </c>
      <c r="AD126" s="258" t="s">
        <v>929</v>
      </c>
      <c r="AE126" s="515">
        <f ca="1">IFERROR(AE117*1000/AE120,0)</f>
        <v>0</v>
      </c>
      <c r="AF126" s="516"/>
      <c r="AG126" s="516"/>
      <c r="AH126" s="516"/>
      <c r="AI126" s="515">
        <f t="shared" ref="AI126:BC126" ca="1" si="64">IFERROR(AI117*1000/AI120,0)</f>
        <v>3343.5973408562172</v>
      </c>
      <c r="AJ126" s="515">
        <f t="shared" ca="1" si="64"/>
        <v>0</v>
      </c>
      <c r="AK126" s="515">
        <f t="shared" ca="1" si="64"/>
        <v>0</v>
      </c>
      <c r="AL126" s="515">
        <f t="shared" ca="1" si="64"/>
        <v>0</v>
      </c>
      <c r="AM126" s="515">
        <f t="shared" ca="1" si="64"/>
        <v>0</v>
      </c>
      <c r="AN126" s="515">
        <f t="shared" ca="1" si="64"/>
        <v>0</v>
      </c>
      <c r="AO126" s="515">
        <f t="shared" ca="1" si="64"/>
        <v>0</v>
      </c>
      <c r="AP126" s="515">
        <f t="shared" ca="1" si="64"/>
        <v>0</v>
      </c>
      <c r="AQ126" s="515">
        <f t="shared" ca="1" si="64"/>
        <v>0</v>
      </c>
      <c r="AR126" s="515">
        <f t="shared" ca="1" si="64"/>
        <v>0</v>
      </c>
      <c r="AS126" s="515">
        <f t="shared" ca="1" si="64"/>
        <v>0</v>
      </c>
      <c r="AT126" s="515">
        <f t="shared" ca="1" si="64"/>
        <v>3662.1818105324583</v>
      </c>
      <c r="AU126" s="515">
        <f t="shared" ca="1" si="64"/>
        <v>0</v>
      </c>
      <c r="AV126" s="515">
        <f t="shared" ca="1" si="64"/>
        <v>0</v>
      </c>
      <c r="AW126" s="515">
        <f t="shared" ca="1" si="64"/>
        <v>0</v>
      </c>
      <c r="AX126" s="515">
        <f t="shared" ca="1" si="64"/>
        <v>0</v>
      </c>
      <c r="AY126" s="515">
        <f t="shared" ca="1" si="64"/>
        <v>0</v>
      </c>
      <c r="AZ126" s="515">
        <f t="shared" ca="1" si="64"/>
        <v>0</v>
      </c>
      <c r="BA126" s="515">
        <f t="shared" ca="1" si="64"/>
        <v>0</v>
      </c>
      <c r="BB126" s="515">
        <f t="shared" ca="1" si="64"/>
        <v>0</v>
      </c>
      <c r="BC126" s="515">
        <f t="shared" ca="1" si="64"/>
        <v>0</v>
      </c>
      <c r="BD126" s="319"/>
      <c r="BE126" s="319"/>
      <c r="BF126" s="319"/>
      <c r="BG126" s="319"/>
      <c r="BH126" s="319"/>
      <c r="BI126" s="319"/>
      <c r="BJ126" s="319"/>
      <c r="BK126" s="319"/>
      <c r="BL126" s="319"/>
      <c r="BM126" s="319"/>
      <c r="BN126" s="1290"/>
      <c r="BO126" s="1290"/>
      <c r="BP126" s="1290"/>
      <c r="BQ126" s="180"/>
      <c r="BR126" s="180"/>
      <c r="BS126" s="1031" t="s">
        <v>1804</v>
      </c>
      <c r="BT126" s="1031"/>
      <c r="BU126" s="1031"/>
      <c r="BV126" s="1032"/>
      <c r="BW126" s="1032"/>
      <c r="BX126" s="1064"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M10552::ТЭ.42.26322895.0003::Неопределено::Неопределено::Неопределено::Неопределено::Неопределено</v>
      </c>
    </row>
    <row r="127" spans="1:76" s="1229" customFormat="1" ht="14.25" hidden="1" customHeight="1">
      <c r="A127" s="178"/>
      <c r="B127" s="783"/>
      <c r="C127" s="1094" t="s">
        <v>1805</v>
      </c>
      <c r="D127" s="1053" t="s">
        <v>1806</v>
      </c>
      <c r="E127" s="676">
        <v>15</v>
      </c>
      <c r="F127" s="779" t="str" cm="1">
        <f t="array" aca="1" ref="F127" ca="1">OFFSET(G127,-1,-1)</f>
        <v>1</v>
      </c>
      <c r="G127" s="180"/>
      <c r="H127" s="180"/>
      <c r="I127" s="180"/>
      <c r="J127" s="180"/>
      <c r="K127" s="180"/>
      <c r="L127" s="143" t="s">
        <v>1768</v>
      </c>
      <c r="M127" s="1077"/>
      <c r="N127" s="1077" t="str" cm="1">
        <f t="array" aca="1" ref="N127" ca="1">OFFSET(M127,-1,1)</f>
        <v>ТЭ.42.26322895.0003</v>
      </c>
      <c r="O127" s="1078"/>
      <c r="P127" s="1078"/>
      <c r="Q127" s="1078"/>
      <c r="R127" s="1078"/>
      <c r="T127" s="687" t="b" cm="1">
        <f t="array" aca="1" ref="T127" ca="1">T118</f>
        <v>0</v>
      </c>
      <c r="U127" s="1153"/>
      <c r="V127" s="1153"/>
      <c r="W127" s="1153"/>
      <c r="X127" s="1726"/>
      <c r="Y127" s="1153"/>
      <c r="Z127" s="1726"/>
      <c r="AA127" s="180"/>
      <c r="AB127" s="263" t="s">
        <v>1807</v>
      </c>
      <c r="AC127" s="753" t="s">
        <v>1808</v>
      </c>
      <c r="AD127" s="557" t="s">
        <v>725</v>
      </c>
      <c r="AE127" s="256">
        <f ca="1">SUMIFS('Баланс Пр'!AE$27:AE$233,'Баланс Пр'!$F$27:$F$233,$F127,'Баланс Пр'!$AB$27:$AB$233,"10")</f>
        <v>0</v>
      </c>
      <c r="AF127" s="516"/>
      <c r="AG127" s="516"/>
      <c r="AH127" s="516"/>
      <c r="AI127" s="256">
        <f ca="1">SUMIFS('Баланс Пр'!AH$27:AH$233,'Баланс Пр'!$F$27:$F$233,$F127,'Баланс Пр'!$AB$27:$AB$233,"10")</f>
        <v>0</v>
      </c>
      <c r="AJ127" s="256">
        <f ca="1">SUMIFS('Баланс Пр'!AI$27:AI$233,'Баланс Пр'!$F$27:$F$233,$F127,'Баланс Пр'!$AB$27:$AB$233,"10")</f>
        <v>0</v>
      </c>
      <c r="AK127" s="256">
        <f ca="1">SUMIFS('Баланс Пр'!AJ$27:AJ$233,'Баланс Пр'!$F$27:$F$233,$F127,'Баланс Пр'!$AB$27:$AB$233,"10")</f>
        <v>0</v>
      </c>
      <c r="AL127" s="256">
        <f ca="1">SUMIFS('Баланс Пр'!AK$27:AK$233,'Баланс Пр'!$F$27:$F$233,$F127,'Баланс Пр'!$AB$27:$AB$233,"10")</f>
        <v>0</v>
      </c>
      <c r="AM127" s="256">
        <f ca="1">SUMIFS('Баланс Пр'!AL$27:AL$233,'Баланс Пр'!$F$27:$F$233,$F127,'Баланс Пр'!$AB$27:$AB$233,"10")</f>
        <v>0</v>
      </c>
      <c r="AN127" s="256">
        <f ca="1">SUMIFS('Баланс Пр'!AM$27:AM$233,'Баланс Пр'!$F$27:$F$233,$F127,'Баланс Пр'!$AB$27:$AB$233,"10")</f>
        <v>0</v>
      </c>
      <c r="AO127" s="256">
        <f ca="1">SUMIFS('Баланс Пр'!AN$27:AN$233,'Баланс Пр'!$F$27:$F$233,$F127,'Баланс Пр'!$AB$27:$AB$233,"10")</f>
        <v>0</v>
      </c>
      <c r="AP127" s="256">
        <f ca="1">SUMIFS('Баланс Пр'!AO$27:AO$233,'Баланс Пр'!$F$27:$F$233,$F127,'Баланс Пр'!$AB$27:$AB$233,"10")</f>
        <v>0</v>
      </c>
      <c r="AQ127" s="256">
        <f ca="1">SUMIFS('Баланс Пр'!AP$27:AP$233,'Баланс Пр'!$F$27:$F$233,$F127,'Баланс Пр'!$AB$27:$AB$233,"10")</f>
        <v>0</v>
      </c>
      <c r="AR127" s="256">
        <f ca="1">SUMIFS('Баланс Пр'!AQ$27:AQ$233,'Баланс Пр'!$F$27:$F$233,$F127,'Баланс Пр'!$AB$27:$AB$233,"10")</f>
        <v>0</v>
      </c>
      <c r="AS127" s="256">
        <f ca="1">SUMIFS('Баланс Пр'!AR$27:AR$233,'Баланс Пр'!$F$27:$F$233,$F127,'Баланс Пр'!$AB$27:$AB$233,"10")</f>
        <v>0</v>
      </c>
      <c r="AT127" s="256">
        <f ca="1">SUMIFS('Баланс Пр'!AS$27:AS$233,'Баланс Пр'!$F$27:$F$233,$F127,'Баланс Пр'!$AB$27:$AB$233,"10")</f>
        <v>0</v>
      </c>
      <c r="AU127" s="256">
        <f ca="1">SUMIFS('Баланс Пр'!AT$27:AT$233,'Баланс Пр'!$F$27:$F$233,$F127,'Баланс Пр'!$AB$27:$AB$233,"10")</f>
        <v>0</v>
      </c>
      <c r="AV127" s="256">
        <f ca="1">SUMIFS('Баланс Пр'!AU$27:AU$233,'Баланс Пр'!$F$27:$F$233,$F127,'Баланс Пр'!$AB$27:$AB$233,"10")</f>
        <v>0</v>
      </c>
      <c r="AW127" s="256">
        <f ca="1">SUMIFS('Баланс Пр'!AV$27:AV$233,'Баланс Пр'!$F$27:$F$233,$F127,'Баланс Пр'!$AB$27:$AB$233,"10")</f>
        <v>0</v>
      </c>
      <c r="AX127" s="256">
        <f ca="1">SUMIFS('Баланс Пр'!AW$27:AW$233,'Баланс Пр'!$F$27:$F$233,$F127,'Баланс Пр'!$AB$27:$AB$233,"10")</f>
        <v>0</v>
      </c>
      <c r="AY127" s="256">
        <f ca="1">SUMIFS('Баланс Пр'!AX$27:AX$233,'Баланс Пр'!$F$27:$F$233,$F127,'Баланс Пр'!$AB$27:$AB$233,"10")</f>
        <v>0</v>
      </c>
      <c r="AZ127" s="256">
        <f ca="1">SUMIFS('Баланс Пр'!AY$27:AY$233,'Баланс Пр'!$F$27:$F$233,$F127,'Баланс Пр'!$AB$27:$AB$233,"10")</f>
        <v>0</v>
      </c>
      <c r="BA127" s="256">
        <f ca="1">SUMIFS('Баланс Пр'!AZ$27:AZ$233,'Баланс Пр'!$F$27:$F$233,$F127,'Баланс Пр'!$AB$27:$AB$233,"10")</f>
        <v>0</v>
      </c>
      <c r="BB127" s="256">
        <f ca="1">SUMIFS('Баланс Пр'!BA$27:BA$233,'Баланс Пр'!$F$27:$F$233,$F127,'Баланс Пр'!$AB$27:$AB$233,"10")</f>
        <v>0</v>
      </c>
      <c r="BC127" s="256">
        <f ca="1">SUMIFS('Баланс Пр'!BB$27:BB$233,'Баланс Пр'!$F$27:$F$233,$F127,'Баланс Пр'!$AB$27:$AB$233,"10")</f>
        <v>0</v>
      </c>
      <c r="BD127" s="319"/>
      <c r="BE127" s="319"/>
      <c r="BF127" s="319"/>
      <c r="BG127" s="319"/>
      <c r="BH127" s="319"/>
      <c r="BI127" s="319"/>
      <c r="BJ127" s="319"/>
      <c r="BK127" s="319"/>
      <c r="BL127" s="319"/>
      <c r="BM127" s="319"/>
      <c r="BN127" s="28"/>
      <c r="BO127" s="28"/>
      <c r="BP127" s="28"/>
      <c r="BQ127" s="180"/>
      <c r="BR127" s="180"/>
      <c r="BS127" s="1031" t="s">
        <v>726</v>
      </c>
      <c r="BT127" s="1031"/>
      <c r="BU127" s="1031"/>
      <c r="BV127" s="1032"/>
      <c r="BW127" s="1032"/>
      <c r="BX127" s="1064"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M10476::ТЭ.42.26322895.0003::Неопределено::Неопределено::Неопределено::Неопределено::Неопределено</v>
      </c>
    </row>
    <row r="128" spans="1:76" s="1229" customFormat="1" ht="14.25" hidden="1" customHeight="1">
      <c r="A128" s="178"/>
      <c r="B128" s="783"/>
      <c r="C128" s="1094" t="s">
        <v>1805</v>
      </c>
      <c r="D128" s="1053" t="s">
        <v>1806</v>
      </c>
      <c r="E128" s="676">
        <v>15</v>
      </c>
      <c r="F128" s="779" t="str" cm="1">
        <f t="array" aca="1" ref="F128" ca="1">OFFSET(G128,-1,-1)</f>
        <v>1</v>
      </c>
      <c r="G128" s="143" t="s">
        <v>1809</v>
      </c>
      <c r="H128" s="180"/>
      <c r="I128" s="180"/>
      <c r="J128" s="180"/>
      <c r="K128" s="180"/>
      <c r="L128" s="143" t="s">
        <v>1768</v>
      </c>
      <c r="M128" s="1077"/>
      <c r="N128" s="1077" t="str" cm="1">
        <f t="array" aca="1" ref="N128" ca="1">OFFSET(M128,-1,1)</f>
        <v>ТЭ.42.26322895.0003</v>
      </c>
      <c r="O128" s="1078" t="s">
        <v>1782</v>
      </c>
      <c r="P128" s="1078"/>
      <c r="Q128" s="1078"/>
      <c r="R128" s="1078"/>
      <c r="T128" s="687" t="b" cm="1">
        <f t="array" aca="1" ref="T128" ca="1">T127</f>
        <v>0</v>
      </c>
      <c r="U128" s="1153"/>
      <c r="V128" s="1153"/>
      <c r="W128" s="1153"/>
      <c r="X128" s="1726"/>
      <c r="Y128" s="1153"/>
      <c r="Z128" s="1726"/>
      <c r="AA128" s="180"/>
      <c r="AB128" s="553" t="str">
        <f>AB127&amp;".1"</f>
        <v>16.1</v>
      </c>
      <c r="AC128" s="608" t="s">
        <v>1810</v>
      </c>
      <c r="AD128" s="523" t="s">
        <v>725</v>
      </c>
      <c r="AE128" s="77" cm="1">
        <f t="array" aca="1" ref="AE128" ca="1">AE127</f>
        <v>0</v>
      </c>
      <c r="AF128" s="516"/>
      <c r="AG128" s="516"/>
      <c r="AH128" s="516"/>
      <c r="AI128" s="77" cm="1">
        <f t="array" aca="1" ref="AI128" ca="1">AI127</f>
        <v>0</v>
      </c>
      <c r="AJ128" s="517" cm="1">
        <f t="array" aca="1" ref="AJ128" ca="1">AJ127</f>
        <v>0</v>
      </c>
      <c r="AK128" s="517" cm="1">
        <f t="array" aca="1" ref="AK128" ca="1">AK127</f>
        <v>0</v>
      </c>
      <c r="AL128" s="517" cm="1">
        <f t="array" aca="1" ref="AL128" ca="1">AL127</f>
        <v>0</v>
      </c>
      <c r="AM128" s="517" cm="1">
        <f t="array" aca="1" ref="AM128" ca="1">AM127</f>
        <v>0</v>
      </c>
      <c r="AN128" s="517" cm="1">
        <f t="array" aca="1" ref="AN128" ca="1">AN127</f>
        <v>0</v>
      </c>
      <c r="AO128" s="77" cm="1">
        <f t="array" aca="1" ref="AO128" ca="1">AO127</f>
        <v>0</v>
      </c>
      <c r="AP128" s="77" cm="1">
        <f t="array" aca="1" ref="AP128" ca="1">AP127</f>
        <v>0</v>
      </c>
      <c r="AQ128" s="77" cm="1">
        <f t="array" aca="1" ref="AQ128" ca="1">AQ127</f>
        <v>0</v>
      </c>
      <c r="AR128" s="77" cm="1">
        <f t="array" aca="1" ref="AR128" ca="1">AR127</f>
        <v>0</v>
      </c>
      <c r="AS128" s="77" cm="1">
        <f t="array" aca="1" ref="AS128" ca="1">AS127</f>
        <v>0</v>
      </c>
      <c r="AT128" s="517" cm="1">
        <f t="array" aca="1" ref="AT128" ca="1">AT127</f>
        <v>0</v>
      </c>
      <c r="AU128" s="517" cm="1">
        <f t="array" aca="1" ref="AU128" ca="1">AU127</f>
        <v>0</v>
      </c>
      <c r="AV128" s="517" cm="1">
        <f t="array" aca="1" ref="AV128" ca="1">AV127</f>
        <v>0</v>
      </c>
      <c r="AW128" s="517" cm="1">
        <f t="array" aca="1" ref="AW128" ca="1">AW127</f>
        <v>0</v>
      </c>
      <c r="AX128" s="517" cm="1">
        <f t="array" aca="1" ref="AX128" ca="1">AX127</f>
        <v>0</v>
      </c>
      <c r="AY128" s="77" cm="1">
        <f t="array" aca="1" ref="AY128" ca="1">AY127</f>
        <v>0</v>
      </c>
      <c r="AZ128" s="77" cm="1">
        <f t="array" aca="1" ref="AZ128" ca="1">AZ127</f>
        <v>0</v>
      </c>
      <c r="BA128" s="77" cm="1">
        <f t="array" aca="1" ref="BA128" ca="1">BA127</f>
        <v>0</v>
      </c>
      <c r="BB128" s="77" cm="1">
        <f t="array" aca="1" ref="BB128" ca="1">BB127</f>
        <v>0</v>
      </c>
      <c r="BC128" s="77" cm="1">
        <f t="array" aca="1" ref="BC128" ca="1">BC127</f>
        <v>0</v>
      </c>
      <c r="BD128" s="319"/>
      <c r="BE128" s="319"/>
      <c r="BF128" s="319"/>
      <c r="BG128" s="319"/>
      <c r="BH128" s="319"/>
      <c r="BI128" s="319"/>
      <c r="BJ128" s="319"/>
      <c r="BK128" s="319"/>
      <c r="BL128" s="319"/>
      <c r="BM128" s="319"/>
      <c r="BN128" s="28"/>
      <c r="BO128" s="28"/>
      <c r="BP128" s="28"/>
      <c r="BQ128" s="180"/>
      <c r="BR128" s="180"/>
      <c r="BS128" s="1031" t="s">
        <v>1811</v>
      </c>
      <c r="BT128" s="1031"/>
      <c r="BU128" s="1031"/>
      <c r="BV128" s="1032"/>
      <c r="BW128" s="1032"/>
      <c r="BX128" s="1064" t="str" cm="1">
        <f t="array" aca="1" ref="BX128" ca="1">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M10476::ТЭ.42.26322895.0003::Неопределено::8.0.3.::Неопределено::Неопределено::Неопределено</v>
      </c>
    </row>
    <row r="129" spans="1:76" s="1229" customFormat="1" ht="14.25" hidden="1" customHeight="1">
      <c r="A129" s="178"/>
      <c r="B129" s="783"/>
      <c r="C129" s="1094" t="s">
        <v>1805</v>
      </c>
      <c r="D129" s="1053" t="s">
        <v>1806</v>
      </c>
      <c r="E129" s="676">
        <v>15</v>
      </c>
      <c r="F129" s="779" t="str" cm="1">
        <f t="array" aca="1" ref="F129" ca="1">OFFSET(G129,-1,-1)</f>
        <v>1</v>
      </c>
      <c r="G129" s="143" t="s">
        <v>1812</v>
      </c>
      <c r="H129" s="180"/>
      <c r="I129" s="180"/>
      <c r="J129" s="180"/>
      <c r="K129" s="180"/>
      <c r="L129" s="143" t="s">
        <v>1768</v>
      </c>
      <c r="M129" s="1077"/>
      <c r="N129" s="1077" t="str" cm="1">
        <f t="array" aca="1" ref="N129" ca="1">OFFSET(M129,-1,1)</f>
        <v>ТЭ.42.26322895.0003</v>
      </c>
      <c r="O129" s="1078" t="s">
        <v>1791</v>
      </c>
      <c r="P129" s="1078"/>
      <c r="Q129" s="1078"/>
      <c r="R129" s="1078"/>
      <c r="T129" s="687" t="b" cm="1">
        <f t="array" aca="1" ref="T129" ca="1">T128</f>
        <v>0</v>
      </c>
      <c r="U129" s="1153"/>
      <c r="V129" s="1153"/>
      <c r="W129" s="1153"/>
      <c r="X129" s="1726"/>
      <c r="Y129" s="1153"/>
      <c r="Z129" s="1726"/>
      <c r="AA129" s="180"/>
      <c r="AB129" s="553" t="str">
        <f>AB127&amp;".2"</f>
        <v>16.2</v>
      </c>
      <c r="AC129" s="608" t="s">
        <v>1813</v>
      </c>
      <c r="AD129" s="523" t="s">
        <v>725</v>
      </c>
      <c r="AE129" s="77" cm="1">
        <f t="array" aca="1" ref="AE129" ca="1">AE127</f>
        <v>0</v>
      </c>
      <c r="AF129" s="516"/>
      <c r="AG129" s="516"/>
      <c r="AH129" s="516"/>
      <c r="AI129" s="77" cm="1">
        <f t="array" aca="1" ref="AI129" ca="1">AI127</f>
        <v>0</v>
      </c>
      <c r="AJ129" s="517" cm="1">
        <f t="array" aca="1" ref="AJ129" ca="1">AJ127</f>
        <v>0</v>
      </c>
      <c r="AK129" s="517" cm="1">
        <f t="array" aca="1" ref="AK129" ca="1">AK127</f>
        <v>0</v>
      </c>
      <c r="AL129" s="517" cm="1">
        <f t="array" aca="1" ref="AL129" ca="1">AL127</f>
        <v>0</v>
      </c>
      <c r="AM129" s="517" cm="1">
        <f t="array" aca="1" ref="AM129" ca="1">AM127</f>
        <v>0</v>
      </c>
      <c r="AN129" s="517" cm="1">
        <f t="array" aca="1" ref="AN129" ca="1">AN127</f>
        <v>0</v>
      </c>
      <c r="AO129" s="77" cm="1">
        <f t="array" aca="1" ref="AO129" ca="1">AO127</f>
        <v>0</v>
      </c>
      <c r="AP129" s="77" cm="1">
        <f t="array" aca="1" ref="AP129" ca="1">AP127</f>
        <v>0</v>
      </c>
      <c r="AQ129" s="77" cm="1">
        <f t="array" aca="1" ref="AQ129" ca="1">AQ127</f>
        <v>0</v>
      </c>
      <c r="AR129" s="77" cm="1">
        <f t="array" aca="1" ref="AR129" ca="1">AR127</f>
        <v>0</v>
      </c>
      <c r="AS129" s="77" cm="1">
        <f t="array" aca="1" ref="AS129" ca="1">AS127</f>
        <v>0</v>
      </c>
      <c r="AT129" s="517" cm="1">
        <f t="array" aca="1" ref="AT129" ca="1">AT127</f>
        <v>0</v>
      </c>
      <c r="AU129" s="517" cm="1">
        <f t="array" aca="1" ref="AU129" ca="1">AU127</f>
        <v>0</v>
      </c>
      <c r="AV129" s="517" cm="1">
        <f t="array" aca="1" ref="AV129" ca="1">AV127</f>
        <v>0</v>
      </c>
      <c r="AW129" s="517" cm="1">
        <f t="array" aca="1" ref="AW129" ca="1">AW127</f>
        <v>0</v>
      </c>
      <c r="AX129" s="517" cm="1">
        <f t="array" aca="1" ref="AX129" ca="1">AX127</f>
        <v>0</v>
      </c>
      <c r="AY129" s="77" cm="1">
        <f t="array" aca="1" ref="AY129" ca="1">AY127</f>
        <v>0</v>
      </c>
      <c r="AZ129" s="77" cm="1">
        <f t="array" aca="1" ref="AZ129" ca="1">AZ127</f>
        <v>0</v>
      </c>
      <c r="BA129" s="77" cm="1">
        <f t="array" aca="1" ref="BA129" ca="1">BA127</f>
        <v>0</v>
      </c>
      <c r="BB129" s="77" cm="1">
        <f t="array" aca="1" ref="BB129" ca="1">BB127</f>
        <v>0</v>
      </c>
      <c r="BC129" s="77" cm="1">
        <f t="array" aca="1" ref="BC129" ca="1">BC127</f>
        <v>0</v>
      </c>
      <c r="BD129" s="319"/>
      <c r="BE129" s="319"/>
      <c r="BF129" s="319"/>
      <c r="BG129" s="319"/>
      <c r="BH129" s="319"/>
      <c r="BI129" s="319"/>
      <c r="BJ129" s="319"/>
      <c r="BK129" s="319"/>
      <c r="BL129" s="319"/>
      <c r="BM129" s="319"/>
      <c r="BN129" s="28"/>
      <c r="BO129" s="28"/>
      <c r="BP129" s="28"/>
      <c r="BQ129" s="180"/>
      <c r="BR129" s="180"/>
      <c r="BS129" s="1031" t="s">
        <v>1814</v>
      </c>
      <c r="BT129" s="1031"/>
      <c r="BU129" s="1031"/>
      <c r="BV129" s="1032"/>
      <c r="BW129" s="1032"/>
      <c r="BX129" s="1064"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M10476::ТЭ.42.26322895.0003::Неопределено::8.0.5.::Неопределено::Неопределено::Неопределено</v>
      </c>
    </row>
    <row r="130" spans="1:76" s="1229" customFormat="1" ht="14.25" hidden="1" customHeight="1">
      <c r="A130" s="178"/>
      <c r="B130" s="783"/>
      <c r="C130" s="1094"/>
      <c r="D130" s="1053"/>
      <c r="E130" s="676">
        <v>15</v>
      </c>
      <c r="F130" s="779" t="str" cm="1">
        <f t="array" aca="1" ref="F130" ca="1">OFFSET(G130,-1,-1)</f>
        <v>1</v>
      </c>
      <c r="G130" s="180"/>
      <c r="H130" s="180"/>
      <c r="I130" s="180"/>
      <c r="J130" s="180"/>
      <c r="K130" s="180"/>
      <c r="L130" s="143" t="s">
        <v>1768</v>
      </c>
      <c r="M130" s="1077"/>
      <c r="N130" s="1077" t="str" cm="1">
        <f t="array" aca="1" ref="N130" ca="1">OFFSET(M130,-1,1)</f>
        <v>ТЭ.42.26322895.0003</v>
      </c>
      <c r="O130" s="1078"/>
      <c r="P130" s="1078"/>
      <c r="Q130" s="1078"/>
      <c r="R130" s="1078"/>
      <c r="T130" s="687" t="b" cm="1">
        <f t="array" aca="1" ref="T130" ca="1">T129</f>
        <v>0</v>
      </c>
      <c r="U130" s="1153"/>
      <c r="V130" s="1153"/>
      <c r="W130" s="1153"/>
      <c r="X130" s="1726"/>
      <c r="Y130" s="1153"/>
      <c r="Z130" s="1726"/>
      <c r="AA130" s="180"/>
      <c r="AB130" s="552" t="s">
        <v>1815</v>
      </c>
      <c r="AC130" s="521" t="s">
        <v>1816</v>
      </c>
      <c r="AD130" s="522"/>
      <c r="AE130" s="516"/>
      <c r="AF130" s="516"/>
      <c r="AG130" s="516"/>
      <c r="AH130" s="516"/>
      <c r="AI130" s="516"/>
      <c r="AJ130" s="516"/>
      <c r="AK130" s="516"/>
      <c r="AL130" s="516"/>
      <c r="AM130" s="516"/>
      <c r="AN130" s="516"/>
      <c r="AO130" s="516"/>
      <c r="AP130" s="516"/>
      <c r="AQ130" s="516"/>
      <c r="AR130" s="516"/>
      <c r="AS130" s="516"/>
      <c r="AT130" s="516"/>
      <c r="AU130" s="516"/>
      <c r="AV130" s="516"/>
      <c r="AW130" s="516"/>
      <c r="AX130" s="516"/>
      <c r="AY130" s="516"/>
      <c r="AZ130" s="516"/>
      <c r="BA130" s="516"/>
      <c r="BB130" s="516"/>
      <c r="BC130" s="516"/>
      <c r="BD130" s="319"/>
      <c r="BE130" s="319"/>
      <c r="BF130" s="319"/>
      <c r="BG130" s="319"/>
      <c r="BH130" s="319"/>
      <c r="BI130" s="319"/>
      <c r="BJ130" s="319"/>
      <c r="BK130" s="319"/>
      <c r="BL130" s="319"/>
      <c r="BM130" s="319"/>
      <c r="BN130" s="28"/>
      <c r="BO130" s="28"/>
      <c r="BP130" s="28"/>
      <c r="BQ130" s="180"/>
      <c r="BR130" s="180"/>
      <c r="BS130" s="1031" t="s">
        <v>1817</v>
      </c>
      <c r="BT130" s="1031"/>
      <c r="BU130" s="1031"/>
      <c r="BV130" s="1032"/>
      <c r="BW130" s="1032"/>
      <c r="BX130" s="1132" t="str" cm="1">
        <f t="array" aca="1" ref="BX130" ca="1">"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M11407::ТЭ.42.26322895.0003::Неопределено::Неопределено::Неопределено::Неопределено::Неопределено</v>
      </c>
    </row>
    <row r="131" spans="1:76" s="1229" customFormat="1" ht="14.25" hidden="1" customHeight="1">
      <c r="A131" s="178"/>
      <c r="B131" s="783"/>
      <c r="C131" s="1094" t="s">
        <v>1818</v>
      </c>
      <c r="D131" s="1053" t="s">
        <v>1819</v>
      </c>
      <c r="E131" s="676">
        <v>15</v>
      </c>
      <c r="F131" s="779" t="str" cm="1">
        <f t="array" aca="1" ref="F131" ca="1">OFFSET(G131,-1,-1)</f>
        <v>1</v>
      </c>
      <c r="G131" s="143" t="s">
        <v>1820</v>
      </c>
      <c r="H131" s="180"/>
      <c r="I131" s="180"/>
      <c r="J131" s="180"/>
      <c r="K131" s="180"/>
      <c r="L131" s="143" t="s">
        <v>1768</v>
      </c>
      <c r="M131" s="1077"/>
      <c r="N131" s="1077" t="str" cm="1">
        <f t="array" aca="1" ref="N131" ca="1">OFFSET(M131,-1,1)</f>
        <v>ТЭ.42.26322895.0003</v>
      </c>
      <c r="O131" s="1078" t="s">
        <v>1782</v>
      </c>
      <c r="P131" s="1078"/>
      <c r="Q131" s="1078"/>
      <c r="R131" s="1078"/>
      <c r="T131" s="687" t="b" cm="1">
        <f t="array" aca="1" ref="T131" ca="1">T130</f>
        <v>0</v>
      </c>
      <c r="U131" s="1153"/>
      <c r="V131" s="1153"/>
      <c r="W131" s="1153"/>
      <c r="X131" s="1726"/>
      <c r="Y131" s="1153"/>
      <c r="Z131" s="1726"/>
      <c r="AA131" s="180"/>
      <c r="AB131" s="553" t="str">
        <f>AB130&amp;".1"</f>
        <v>17.1</v>
      </c>
      <c r="AC131" s="1139" t="s">
        <v>1821</v>
      </c>
      <c r="AD131" s="443" t="s">
        <v>929</v>
      </c>
      <c r="AE131" s="77"/>
      <c r="AF131" s="516"/>
      <c r="AG131" s="516"/>
      <c r="AH131" s="516"/>
      <c r="AI131" s="77">
        <f ca="1">MIN(AE132,IFERROR(AI118*1000/AI120,0))</f>
        <v>0</v>
      </c>
      <c r="AJ131" s="517">
        <f t="shared" ref="AJ131:AS131" ca="1" si="65">MIN(AI132,IFERROR(AJ118*1000/AJ120,0))</f>
        <v>0</v>
      </c>
      <c r="AK131" s="517">
        <f t="shared" ca="1" si="65"/>
        <v>0</v>
      </c>
      <c r="AL131" s="517">
        <f t="shared" ca="1" si="65"/>
        <v>0</v>
      </c>
      <c r="AM131" s="517">
        <f t="shared" ca="1" si="65"/>
        <v>0</v>
      </c>
      <c r="AN131" s="517">
        <f t="shared" ca="1" si="65"/>
        <v>0</v>
      </c>
      <c r="AO131" s="77">
        <f t="shared" ca="1" si="65"/>
        <v>0</v>
      </c>
      <c r="AP131" s="77">
        <f t="shared" ca="1" si="65"/>
        <v>0</v>
      </c>
      <c r="AQ131" s="77">
        <f t="shared" ca="1" si="65"/>
        <v>0</v>
      </c>
      <c r="AR131" s="77">
        <f t="shared" ca="1" si="65"/>
        <v>0</v>
      </c>
      <c r="AS131" s="77">
        <f t="shared" ca="1" si="65"/>
        <v>0</v>
      </c>
      <c r="AT131" s="517">
        <f ca="1">MIN(AI132,IFERROR(AT118*1000/AT120,0))</f>
        <v>1086.4979200524481</v>
      </c>
      <c r="AU131" s="517">
        <f t="shared" ref="AU131:BC131" ca="1" si="66">MIN(AT132,IFERROR(AU118*1000/AU120,0))</f>
        <v>0</v>
      </c>
      <c r="AV131" s="517">
        <f t="shared" ca="1" si="66"/>
        <v>0</v>
      </c>
      <c r="AW131" s="517">
        <f t="shared" ca="1" si="66"/>
        <v>0</v>
      </c>
      <c r="AX131" s="517">
        <f t="shared" ca="1" si="66"/>
        <v>0</v>
      </c>
      <c r="AY131" s="77">
        <f t="shared" ca="1" si="66"/>
        <v>0</v>
      </c>
      <c r="AZ131" s="77">
        <f t="shared" ca="1" si="66"/>
        <v>0</v>
      </c>
      <c r="BA131" s="77">
        <f t="shared" ca="1" si="66"/>
        <v>0</v>
      </c>
      <c r="BB131" s="77">
        <f t="shared" ca="1" si="66"/>
        <v>0</v>
      </c>
      <c r="BC131" s="77">
        <f t="shared" ca="1" si="66"/>
        <v>0</v>
      </c>
      <c r="BD131" s="319"/>
      <c r="BE131" s="319"/>
      <c r="BF131" s="319"/>
      <c r="BG131" s="319"/>
      <c r="BH131" s="319"/>
      <c r="BI131" s="319"/>
      <c r="BJ131" s="319"/>
      <c r="BK131" s="319"/>
      <c r="BL131" s="319"/>
      <c r="BM131" s="319"/>
      <c r="BN131" s="28"/>
      <c r="BO131" s="28"/>
      <c r="BP131" s="28"/>
      <c r="BQ131" s="180"/>
      <c r="BR131" s="180"/>
      <c r="BS131" s="1031" t="s">
        <v>1822</v>
      </c>
      <c r="BT131" s="1031"/>
      <c r="BU131" s="1031"/>
      <c r="BV131" s="1032"/>
      <c r="BW131" s="1032"/>
      <c r="BX131" s="1064"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M11407::ТЭ.42.26322895.0003::Неопределено::8.0.3.::Неопределено::Неопределено::Неопределено</v>
      </c>
    </row>
    <row r="132" spans="1:76" s="1229" customFormat="1" ht="14.25" hidden="1" customHeight="1">
      <c r="A132" s="178"/>
      <c r="B132" s="783"/>
      <c r="C132" s="1094" t="s">
        <v>1818</v>
      </c>
      <c r="D132" s="1053" t="s">
        <v>1819</v>
      </c>
      <c r="E132" s="676">
        <v>15</v>
      </c>
      <c r="F132" s="779" t="str" cm="1">
        <f t="array" aca="1" ref="F132" ca="1">OFFSET(G132,-1,-1)</f>
        <v>1</v>
      </c>
      <c r="G132" s="143" t="s">
        <v>1823</v>
      </c>
      <c r="H132" s="180"/>
      <c r="I132" s="180"/>
      <c r="J132" s="180"/>
      <c r="K132" s="180"/>
      <c r="L132" s="143" t="s">
        <v>1768</v>
      </c>
      <c r="M132" s="1077"/>
      <c r="N132" s="1077" t="str" cm="1">
        <f t="array" aca="1" ref="N132" ca="1">OFFSET(M132,-1,1)</f>
        <v>ТЭ.42.26322895.0003</v>
      </c>
      <c r="O132" s="1078" t="s">
        <v>1791</v>
      </c>
      <c r="P132" s="1078"/>
      <c r="Q132" s="1078"/>
      <c r="R132" s="1078"/>
      <c r="T132" s="687" t="b" cm="1">
        <f t="array" aca="1" ref="T132" ca="1">T131</f>
        <v>0</v>
      </c>
      <c r="U132" s="1153"/>
      <c r="V132" s="1153"/>
      <c r="W132" s="1153"/>
      <c r="X132" s="1726"/>
      <c r="Y132" s="1153"/>
      <c r="Z132" s="1726"/>
      <c r="AA132" s="180"/>
      <c r="AB132" s="553" t="str">
        <f>AB130&amp;".2"</f>
        <v>17.2</v>
      </c>
      <c r="AC132" s="1139" t="s">
        <v>1824</v>
      </c>
      <c r="AD132" s="443" t="s">
        <v>929</v>
      </c>
      <c r="AE132" s="515">
        <f ca="1">IFERROR((AE118*1000-AE121*AE131)/AE123,0)</f>
        <v>0</v>
      </c>
      <c r="AF132" s="516"/>
      <c r="AG132" s="516"/>
      <c r="AH132" s="516"/>
      <c r="AI132" s="515">
        <f t="shared" ref="AI132:BC132" ca="1" si="67">IFERROR((AI118*1000-AI121*AI131)/AI123,0)</f>
        <v>1963.276472546645</v>
      </c>
      <c r="AJ132" s="515">
        <f t="shared" ca="1" si="67"/>
        <v>0</v>
      </c>
      <c r="AK132" s="515">
        <f t="shared" ca="1" si="67"/>
        <v>0</v>
      </c>
      <c r="AL132" s="515">
        <f t="shared" ca="1" si="67"/>
        <v>0</v>
      </c>
      <c r="AM132" s="515">
        <f t="shared" ca="1" si="67"/>
        <v>0</v>
      </c>
      <c r="AN132" s="515">
        <f t="shared" ca="1" si="67"/>
        <v>0</v>
      </c>
      <c r="AO132" s="515">
        <f t="shared" ca="1" si="67"/>
        <v>0</v>
      </c>
      <c r="AP132" s="515">
        <f t="shared" ca="1" si="67"/>
        <v>0</v>
      </c>
      <c r="AQ132" s="515">
        <f t="shared" ca="1" si="67"/>
        <v>0</v>
      </c>
      <c r="AR132" s="515">
        <f t="shared" ca="1" si="67"/>
        <v>0</v>
      </c>
      <c r="AS132" s="515">
        <f t="shared" ca="1" si="67"/>
        <v>0</v>
      </c>
      <c r="AT132" s="515">
        <f t="shared" ca="1" si="67"/>
        <v>1086.4979200524476</v>
      </c>
      <c r="AU132" s="515">
        <f t="shared" ca="1" si="67"/>
        <v>0</v>
      </c>
      <c r="AV132" s="515">
        <f t="shared" ca="1" si="67"/>
        <v>0</v>
      </c>
      <c r="AW132" s="515">
        <f t="shared" ca="1" si="67"/>
        <v>0</v>
      </c>
      <c r="AX132" s="515">
        <f t="shared" ca="1" si="67"/>
        <v>0</v>
      </c>
      <c r="AY132" s="515">
        <f t="shared" ca="1" si="67"/>
        <v>0</v>
      </c>
      <c r="AZ132" s="515">
        <f t="shared" ca="1" si="67"/>
        <v>0</v>
      </c>
      <c r="BA132" s="515">
        <f t="shared" ca="1" si="67"/>
        <v>0</v>
      </c>
      <c r="BB132" s="515">
        <f t="shared" ca="1" si="67"/>
        <v>0</v>
      </c>
      <c r="BC132" s="515">
        <f t="shared" ca="1" si="67"/>
        <v>0</v>
      </c>
      <c r="BD132" s="319"/>
      <c r="BE132" s="319"/>
      <c r="BF132" s="319"/>
      <c r="BG132" s="319"/>
      <c r="BH132" s="319"/>
      <c r="BI132" s="319"/>
      <c r="BJ132" s="319"/>
      <c r="BK132" s="319"/>
      <c r="BL132" s="319"/>
      <c r="BM132" s="319"/>
      <c r="BN132" s="28"/>
      <c r="BO132" s="28"/>
      <c r="BP132" s="28"/>
      <c r="BQ132" s="180"/>
      <c r="BR132" s="180"/>
      <c r="BS132" s="1031" t="s">
        <v>1825</v>
      </c>
      <c r="BT132" s="1031"/>
      <c r="BU132" s="1031"/>
      <c r="BV132" s="1032"/>
      <c r="BW132" s="1032"/>
      <c r="BX132" s="1064" t="str" cm="1">
        <f t="array" aca="1" ref="BX132" ca="1">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M11407::ТЭ.42.26322895.0003::Неопределено::8.0.5.::Неопределено::Неопределено::Неопределено</v>
      </c>
    </row>
    <row r="133" spans="1:76" s="1229" customFormat="1" ht="14.25" hidden="1" customHeight="1">
      <c r="A133" s="178"/>
      <c r="B133" s="783"/>
      <c r="C133" s="1094" t="s">
        <v>1826</v>
      </c>
      <c r="D133" s="1053" t="s">
        <v>1827</v>
      </c>
      <c r="E133" s="676">
        <v>15</v>
      </c>
      <c r="F133" s="779" t="str" cm="1">
        <f t="array" aca="1" ref="F133" ca="1">OFFSET(G133,-1,-1)</f>
        <v>1</v>
      </c>
      <c r="G133" s="180"/>
      <c r="H133" s="180"/>
      <c r="I133" s="180"/>
      <c r="J133" s="180"/>
      <c r="K133" s="180"/>
      <c r="L133" s="143" t="s">
        <v>1768</v>
      </c>
      <c r="M133" s="1077"/>
      <c r="N133" s="1077" t="str" cm="1">
        <f t="array" aca="1" ref="N133" ca="1">OFFSET(M133,-1,1)</f>
        <v>ТЭ.42.26322895.0003</v>
      </c>
      <c r="O133" s="1078"/>
      <c r="P133" s="1078" t="s">
        <v>1828</v>
      </c>
      <c r="Q133" s="1078"/>
      <c r="R133" s="1078"/>
      <c r="T133" s="687" t="b" cm="1">
        <f t="array" aca="1" ref="T133" ca="1">T132</f>
        <v>0</v>
      </c>
      <c r="U133" s="1153"/>
      <c r="V133" s="1153"/>
      <c r="W133" s="1153"/>
      <c r="X133" s="1726"/>
      <c r="Y133" s="1153"/>
      <c r="Z133" s="1726"/>
      <c r="AA133" s="180"/>
      <c r="AB133" s="553" t="str">
        <f>AB130&amp;".3"</f>
        <v>17.3</v>
      </c>
      <c r="AC133" s="261" t="s">
        <v>1829</v>
      </c>
      <c r="AD133" s="443" t="s">
        <v>533</v>
      </c>
      <c r="AE133" s="555">
        <f ca="1">IFERROR(AE132/AE131,0)</f>
        <v>0</v>
      </c>
      <c r="AF133" s="516"/>
      <c r="AG133" s="516"/>
      <c r="AH133" s="516"/>
      <c r="AI133" s="555">
        <f t="shared" ref="AI133:BC133" ca="1" si="68">IFERROR(AI132/AI131,0)</f>
        <v>0</v>
      </c>
      <c r="AJ133" s="555">
        <f t="shared" ca="1" si="68"/>
        <v>0</v>
      </c>
      <c r="AK133" s="555">
        <f t="shared" ca="1" si="68"/>
        <v>0</v>
      </c>
      <c r="AL133" s="555">
        <f t="shared" ca="1" si="68"/>
        <v>0</v>
      </c>
      <c r="AM133" s="555">
        <f t="shared" ca="1" si="68"/>
        <v>0</v>
      </c>
      <c r="AN133" s="555">
        <f t="shared" ca="1" si="68"/>
        <v>0</v>
      </c>
      <c r="AO133" s="555">
        <f t="shared" ca="1" si="68"/>
        <v>0</v>
      </c>
      <c r="AP133" s="555">
        <f t="shared" ca="1" si="68"/>
        <v>0</v>
      </c>
      <c r="AQ133" s="555">
        <f t="shared" ca="1" si="68"/>
        <v>0</v>
      </c>
      <c r="AR133" s="555">
        <f t="shared" ca="1" si="68"/>
        <v>0</v>
      </c>
      <c r="AS133" s="555">
        <f t="shared" ca="1" si="68"/>
        <v>0</v>
      </c>
      <c r="AT133" s="555">
        <f t="shared" ca="1" si="68"/>
        <v>0.99999999999999956</v>
      </c>
      <c r="AU133" s="555">
        <f t="shared" ca="1" si="68"/>
        <v>0</v>
      </c>
      <c r="AV133" s="555">
        <f t="shared" ca="1" si="68"/>
        <v>0</v>
      </c>
      <c r="AW133" s="555">
        <f t="shared" ca="1" si="68"/>
        <v>0</v>
      </c>
      <c r="AX133" s="555">
        <f t="shared" ca="1" si="68"/>
        <v>0</v>
      </c>
      <c r="AY133" s="555">
        <f t="shared" ca="1" si="68"/>
        <v>0</v>
      </c>
      <c r="AZ133" s="555">
        <f t="shared" ca="1" si="68"/>
        <v>0</v>
      </c>
      <c r="BA133" s="555">
        <f t="shared" ca="1" si="68"/>
        <v>0</v>
      </c>
      <c r="BB133" s="555">
        <f t="shared" ca="1" si="68"/>
        <v>0</v>
      </c>
      <c r="BC133" s="555">
        <f t="shared" ca="1" si="68"/>
        <v>0</v>
      </c>
      <c r="BD133" s="319"/>
      <c r="BE133" s="319"/>
      <c r="BF133" s="319"/>
      <c r="BG133" s="319"/>
      <c r="BH133" s="319"/>
      <c r="BI133" s="319"/>
      <c r="BJ133" s="319"/>
      <c r="BK133" s="319"/>
      <c r="BL133" s="319"/>
      <c r="BM133" s="319"/>
      <c r="BN133" s="28"/>
      <c r="BO133" s="28"/>
      <c r="BP133" s="28"/>
      <c r="BQ133" s="180"/>
      <c r="BR133" s="180"/>
      <c r="BS133" s="1031" t="s">
        <v>1830</v>
      </c>
      <c r="BT133" s="1031"/>
      <c r="BU133" s="1031"/>
      <c r="BV133" s="1032"/>
      <c r="BW133" s="1032"/>
      <c r="BX133" s="1064"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M10444::ТЭ.42.26322895.0003::Неопределено::Неопределено::90.0.0.::Неопределено::Неопределено</v>
      </c>
    </row>
    <row r="134" spans="1:76" s="1229" customFormat="1" ht="31.5" hidden="1" customHeight="1">
      <c r="A134" s="178"/>
      <c r="B134" s="783"/>
      <c r="C134" s="1094"/>
      <c r="D134" s="1053"/>
      <c r="E134" s="676">
        <v>33</v>
      </c>
      <c r="F134" s="779" t="str" cm="1">
        <f t="array" aca="1" ref="F134" ca="1">OFFSET(G134,-1,-1)</f>
        <v>1</v>
      </c>
      <c r="G134" s="180"/>
      <c r="H134" s="180"/>
      <c r="I134" s="180"/>
      <c r="J134" s="180"/>
      <c r="K134" s="180"/>
      <c r="L134" s="143" t="s">
        <v>1768</v>
      </c>
      <c r="M134" s="1077"/>
      <c r="N134" s="1077" t="str" cm="1">
        <f t="array" aca="1" ref="N134" ca="1">OFFSET(M134,-1,1)</f>
        <v>ТЭ.42.26322895.0003</v>
      </c>
      <c r="O134" s="1078"/>
      <c r="P134" s="1078"/>
      <c r="Q134" s="1078"/>
      <c r="R134" s="1078"/>
      <c r="T134" s="687" t="b" cm="1">
        <f t="array" aca="1" ref="T134" ca="1">T133</f>
        <v>0</v>
      </c>
      <c r="U134" s="1153"/>
      <c r="V134" s="1153"/>
      <c r="W134" s="1153"/>
      <c r="X134" s="1726"/>
      <c r="Y134" s="1153"/>
      <c r="Z134" s="1726"/>
      <c r="AA134" s="180"/>
      <c r="AB134" s="233" t="s">
        <v>596</v>
      </c>
      <c r="AC134" s="521" t="s">
        <v>1831</v>
      </c>
      <c r="AD134" s="522"/>
      <c r="AE134" s="516"/>
      <c r="AF134" s="516"/>
      <c r="AG134" s="516"/>
      <c r="AH134" s="516"/>
      <c r="AI134" s="516"/>
      <c r="AJ134" s="516"/>
      <c r="AK134" s="516"/>
      <c r="AL134" s="516"/>
      <c r="AM134" s="516"/>
      <c r="AN134" s="516"/>
      <c r="AO134" s="516"/>
      <c r="AP134" s="516"/>
      <c r="AQ134" s="516"/>
      <c r="AR134" s="516"/>
      <c r="AS134" s="516"/>
      <c r="AT134" s="516"/>
      <c r="AU134" s="516"/>
      <c r="AV134" s="516"/>
      <c r="AW134" s="516"/>
      <c r="AX134" s="516"/>
      <c r="AY134" s="516"/>
      <c r="AZ134" s="516"/>
      <c r="BA134" s="516"/>
      <c r="BB134" s="516"/>
      <c r="BC134" s="516"/>
      <c r="BD134" s="319"/>
      <c r="BE134" s="319"/>
      <c r="BF134" s="319"/>
      <c r="BG134" s="319"/>
      <c r="BH134" s="319"/>
      <c r="BI134" s="319"/>
      <c r="BJ134" s="319"/>
      <c r="BK134" s="319"/>
      <c r="BL134" s="319"/>
      <c r="BM134" s="319"/>
      <c r="BN134" s="28"/>
      <c r="BO134" s="28"/>
      <c r="BP134" s="28"/>
      <c r="BQ134" s="180"/>
      <c r="BR134" s="180"/>
      <c r="BS134" s="1031" t="s">
        <v>1832</v>
      </c>
      <c r="BT134" s="1031"/>
      <c r="BU134" s="1031"/>
      <c r="BV134" s="1032"/>
      <c r="BW134" s="1032"/>
      <c r="BX134" s="1132" t="str" cm="1">
        <f t="array" aca="1" ref="BX134" ca="1">"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M11397::ТЭ.42.26322895.0003::Неопределено::Неопределено::Неопределено::Неопределено::Неопределено</v>
      </c>
    </row>
    <row r="135" spans="1:76" s="1229" customFormat="1" ht="31.5" hidden="1" customHeight="1">
      <c r="A135" s="178"/>
      <c r="B135" s="783"/>
      <c r="C135" s="1094" t="s">
        <v>1833</v>
      </c>
      <c r="D135" s="1053" t="s">
        <v>1834</v>
      </c>
      <c r="E135" s="676">
        <v>33</v>
      </c>
      <c r="F135" s="779" t="str" cm="1">
        <f t="array" aca="1" ref="F135" ca="1">OFFSET(G135,-1,-1)</f>
        <v>1</v>
      </c>
      <c r="G135" s="143" t="s">
        <v>1835</v>
      </c>
      <c r="H135" s="180"/>
      <c r="I135" s="180"/>
      <c r="J135" s="180"/>
      <c r="K135" s="180"/>
      <c r="L135" s="143" t="s">
        <v>1768</v>
      </c>
      <c r="M135" s="1077"/>
      <c r="N135" s="1077" t="str" cm="1">
        <f t="array" aca="1" ref="N135" ca="1">OFFSET(M135,-1,1)</f>
        <v>ТЭ.42.26322895.0003</v>
      </c>
      <c r="O135" s="1078" t="s">
        <v>1782</v>
      </c>
      <c r="P135" s="1078"/>
      <c r="Q135" s="1078"/>
      <c r="R135" s="1078"/>
      <c r="T135" s="687" t="b" cm="1">
        <f t="array" aca="1" ref="T135" ca="1">T134</f>
        <v>0</v>
      </c>
      <c r="U135" s="1153"/>
      <c r="V135" s="1153"/>
      <c r="W135" s="1153"/>
      <c r="X135" s="1726"/>
      <c r="Y135" s="1153"/>
      <c r="Z135" s="1726"/>
      <c r="AA135" s="180"/>
      <c r="AB135" s="553" t="str">
        <f>AB134&amp;".1"</f>
        <v>18.1</v>
      </c>
      <c r="AC135" s="115" t="s">
        <v>1836</v>
      </c>
      <c r="AD135" s="443" t="s">
        <v>1837</v>
      </c>
      <c r="AE135" s="53"/>
      <c r="AF135" s="319"/>
      <c r="AG135" s="319"/>
      <c r="AH135" s="319"/>
      <c r="AI135" s="77">
        <f ca="1">MIN(AE136,IFERROR(AI119/AI127/12,0))</f>
        <v>0</v>
      </c>
      <c r="AJ135" s="517">
        <f t="shared" ref="AJ135:AS135" ca="1" si="69">MIN(AI136,IFERROR(AJ119/AJ127/12,0))</f>
        <v>0</v>
      </c>
      <c r="AK135" s="517">
        <f t="shared" ca="1" si="69"/>
        <v>0</v>
      </c>
      <c r="AL135" s="517">
        <f t="shared" ca="1" si="69"/>
        <v>0</v>
      </c>
      <c r="AM135" s="517">
        <f t="shared" ca="1" si="69"/>
        <v>0</v>
      </c>
      <c r="AN135" s="517">
        <f t="shared" ca="1" si="69"/>
        <v>0</v>
      </c>
      <c r="AO135" s="77">
        <f t="shared" ca="1" si="69"/>
        <v>0</v>
      </c>
      <c r="AP135" s="77">
        <f t="shared" ca="1" si="69"/>
        <v>0</v>
      </c>
      <c r="AQ135" s="77">
        <f t="shared" ca="1" si="69"/>
        <v>0</v>
      </c>
      <c r="AR135" s="77">
        <f t="shared" ca="1" si="69"/>
        <v>0</v>
      </c>
      <c r="AS135" s="77">
        <f t="shared" ca="1" si="69"/>
        <v>0</v>
      </c>
      <c r="AT135" s="517">
        <f ca="1">MIN(AI136,IFERROR(AT119/AT127/12,0))</f>
        <v>0</v>
      </c>
      <c r="AU135" s="517">
        <f t="shared" ref="AU135:BC135" ca="1" si="70">MIN(AT136,IFERROR(AU119/AU127/12,0))</f>
        <v>0</v>
      </c>
      <c r="AV135" s="517">
        <f t="shared" ca="1" si="70"/>
        <v>0</v>
      </c>
      <c r="AW135" s="517">
        <f t="shared" ca="1" si="70"/>
        <v>0</v>
      </c>
      <c r="AX135" s="517">
        <f t="shared" ca="1" si="70"/>
        <v>0</v>
      </c>
      <c r="AY135" s="77">
        <f t="shared" ca="1" si="70"/>
        <v>0</v>
      </c>
      <c r="AZ135" s="77">
        <f t="shared" ca="1" si="70"/>
        <v>0</v>
      </c>
      <c r="BA135" s="77">
        <f t="shared" ca="1" si="70"/>
        <v>0</v>
      </c>
      <c r="BB135" s="77">
        <f t="shared" ca="1" si="70"/>
        <v>0</v>
      </c>
      <c r="BC135" s="77">
        <f t="shared" ca="1" si="70"/>
        <v>0</v>
      </c>
      <c r="BD135" s="319"/>
      <c r="BE135" s="319"/>
      <c r="BF135" s="319"/>
      <c r="BG135" s="319"/>
      <c r="BH135" s="319"/>
      <c r="BI135" s="319"/>
      <c r="BJ135" s="319"/>
      <c r="BK135" s="319"/>
      <c r="BL135" s="319"/>
      <c r="BM135" s="319"/>
      <c r="BN135" s="28"/>
      <c r="BO135" s="28"/>
      <c r="BP135" s="28"/>
      <c r="BQ135" s="180"/>
      <c r="BR135" s="180"/>
      <c r="BS135" s="1031" t="s">
        <v>1838</v>
      </c>
      <c r="BT135" s="1031"/>
      <c r="BU135" s="1031"/>
      <c r="BV135" s="1032"/>
      <c r="BW135" s="1032"/>
      <c r="BX135" s="1064"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M11397::ТЭ.42.26322895.0003::Неопределено::8.0.3.::Неопределено::Неопределено::Неопределено</v>
      </c>
    </row>
    <row r="136" spans="1:76" s="1229" customFormat="1" ht="31.5" hidden="1" customHeight="1">
      <c r="A136" s="178"/>
      <c r="B136" s="783"/>
      <c r="C136" s="1094" t="s">
        <v>1833</v>
      </c>
      <c r="D136" s="1053" t="s">
        <v>1834</v>
      </c>
      <c r="E136" s="676">
        <v>33</v>
      </c>
      <c r="F136" s="779" t="str" cm="1">
        <f t="array" aca="1" ref="F136" ca="1">OFFSET(G136,-1,-1)</f>
        <v>1</v>
      </c>
      <c r="G136" s="143" t="s">
        <v>1839</v>
      </c>
      <c r="H136" s="180"/>
      <c r="I136" s="180"/>
      <c r="J136" s="180"/>
      <c r="K136" s="180"/>
      <c r="L136" s="143" t="s">
        <v>1768</v>
      </c>
      <c r="M136" s="1077"/>
      <c r="N136" s="1077" t="str" cm="1">
        <f t="array" aca="1" ref="N136" ca="1">OFFSET(M136,-1,1)</f>
        <v>ТЭ.42.26322895.0003</v>
      </c>
      <c r="O136" s="1078" t="s">
        <v>1791</v>
      </c>
      <c r="P136" s="1078"/>
      <c r="Q136" s="1078"/>
      <c r="R136" s="1078"/>
      <c r="T136" s="687" t="b" cm="1">
        <f t="array" aca="1" ref="T136" ca="1">T135</f>
        <v>0</v>
      </c>
      <c r="U136" s="1153"/>
      <c r="V136" s="1153"/>
      <c r="W136" s="1153"/>
      <c r="X136" s="1726"/>
      <c r="Y136" s="1153"/>
      <c r="Z136" s="1726"/>
      <c r="AA136" s="180"/>
      <c r="AB136" s="553" t="str">
        <f>AB134&amp;".2"</f>
        <v>18.2</v>
      </c>
      <c r="AC136" s="115" t="s">
        <v>1840</v>
      </c>
      <c r="AD136" s="443" t="s">
        <v>1837</v>
      </c>
      <c r="AE136" s="256">
        <f ca="1">IFERROR((AE119-AE128*6*AE135)/AE129/6,0)</f>
        <v>0</v>
      </c>
      <c r="AF136" s="319"/>
      <c r="AG136" s="319"/>
      <c r="AH136" s="319"/>
      <c r="AI136" s="256">
        <f ca="1">IFERROR((AI119-AI128*6*AI135)/AI129/6,0)</f>
        <v>0</v>
      </c>
      <c r="AJ136" s="256">
        <f ca="1">IFERROR((AJ119-AJ128*IF(god=2026,9,6)*AJ135)/AJ129/IF(god=2026,3,6),0)</f>
        <v>0</v>
      </c>
      <c r="AK136" s="256">
        <f ca="1">IFERROR((AK119-AK128*IF(god=2025,9,6)*AK135)/AK129/IF(god=2025,3,6),0)</f>
        <v>0</v>
      </c>
      <c r="AL136" s="256">
        <f t="shared" ref="AL136:AS136" ca="1" si="71">IFERROR((AL119-AL128*6*AL135)/AL129/6,0)</f>
        <v>0</v>
      </c>
      <c r="AM136" s="256">
        <f t="shared" ca="1" si="71"/>
        <v>0</v>
      </c>
      <c r="AN136" s="256">
        <f t="shared" ca="1" si="71"/>
        <v>0</v>
      </c>
      <c r="AO136" s="256">
        <f t="shared" ca="1" si="71"/>
        <v>0</v>
      </c>
      <c r="AP136" s="256">
        <f t="shared" ca="1" si="71"/>
        <v>0</v>
      </c>
      <c r="AQ136" s="256">
        <f t="shared" ca="1" si="71"/>
        <v>0</v>
      </c>
      <c r="AR136" s="256">
        <f t="shared" ca="1" si="71"/>
        <v>0</v>
      </c>
      <c r="AS136" s="256">
        <f t="shared" ca="1" si="71"/>
        <v>0</v>
      </c>
      <c r="AT136" s="256">
        <f ca="1">IFERROR((AT119-AT128*IF(god=2026,9,6)*AT135)/AT129/IF(god=2026,3,6),0)</f>
        <v>0</v>
      </c>
      <c r="AU136" s="256">
        <f ca="1">IFERROR((AU119-AU128*IF(god=2025,9,6)*AU135)/AU129/IF(god=2025,3,6),0)</f>
        <v>0</v>
      </c>
      <c r="AV136" s="256">
        <f t="shared" ref="AV136:BC136" ca="1" si="72">IFERROR((AV119-AV128*6*AV135)/AV129/6,0)</f>
        <v>0</v>
      </c>
      <c r="AW136" s="256">
        <f t="shared" ca="1" si="72"/>
        <v>0</v>
      </c>
      <c r="AX136" s="256">
        <f t="shared" ca="1" si="72"/>
        <v>0</v>
      </c>
      <c r="AY136" s="256">
        <f t="shared" ca="1" si="72"/>
        <v>0</v>
      </c>
      <c r="AZ136" s="256">
        <f t="shared" ca="1" si="72"/>
        <v>0</v>
      </c>
      <c r="BA136" s="256">
        <f t="shared" ca="1" si="72"/>
        <v>0</v>
      </c>
      <c r="BB136" s="256">
        <f t="shared" ca="1" si="72"/>
        <v>0</v>
      </c>
      <c r="BC136" s="256">
        <f t="shared" ca="1" si="72"/>
        <v>0</v>
      </c>
      <c r="BD136" s="319"/>
      <c r="BE136" s="319"/>
      <c r="BF136" s="319"/>
      <c r="BG136" s="319"/>
      <c r="BH136" s="319"/>
      <c r="BI136" s="319"/>
      <c r="BJ136" s="319"/>
      <c r="BK136" s="319"/>
      <c r="BL136" s="319"/>
      <c r="BM136" s="319"/>
      <c r="BN136" s="28"/>
      <c r="BO136" s="28"/>
      <c r="BP136" s="28"/>
      <c r="BQ136" s="180"/>
      <c r="BR136" s="180"/>
      <c r="BS136" s="1031" t="s">
        <v>1841</v>
      </c>
      <c r="BT136" s="1031"/>
      <c r="BU136" s="1031"/>
      <c r="BV136" s="1032"/>
      <c r="BW136" s="1032"/>
      <c r="BX136" s="1064"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M11397::ТЭ.42.26322895.0003::Неопределено::8.0.5.::Неопределено::Неопределено::Неопределено</v>
      </c>
    </row>
    <row r="137" spans="1:76" s="1229" customFormat="1" ht="14.25" hidden="1" customHeight="1">
      <c r="A137" s="178"/>
      <c r="B137" s="783"/>
      <c r="C137" s="1094" t="s">
        <v>1826</v>
      </c>
      <c r="D137" s="1053" t="s">
        <v>1827</v>
      </c>
      <c r="E137" s="676">
        <v>15</v>
      </c>
      <c r="F137" s="779" t="str" cm="1">
        <f t="array" aca="1" ref="F137" ca="1">OFFSET(G137,-1,-1)</f>
        <v>1</v>
      </c>
      <c r="G137" s="180"/>
      <c r="H137" s="180"/>
      <c r="I137" s="180"/>
      <c r="J137" s="180"/>
      <c r="K137" s="180"/>
      <c r="L137" s="143" t="s">
        <v>1768</v>
      </c>
      <c r="M137" s="1077"/>
      <c r="N137" s="1077" t="str" cm="1">
        <f t="array" aca="1" ref="N137" ca="1">OFFSET(M137,-1,1)</f>
        <v>ТЭ.42.26322895.0003</v>
      </c>
      <c r="O137" s="1078"/>
      <c r="P137" s="1078"/>
      <c r="Q137" s="1078" t="s">
        <v>1842</v>
      </c>
      <c r="R137" s="1078"/>
      <c r="T137" s="687" t="b" cm="1">
        <f t="array" aca="1" ref="T137" ca="1">T136</f>
        <v>0</v>
      </c>
      <c r="U137" s="1153"/>
      <c r="V137" s="1153"/>
      <c r="W137" s="1153"/>
      <c r="X137" s="1726"/>
      <c r="Y137" s="1153"/>
      <c r="Z137" s="1726"/>
      <c r="AA137" s="180"/>
      <c r="AB137" s="553" t="str">
        <f>AB134&amp;".3"</f>
        <v>18.3</v>
      </c>
      <c r="AC137" s="261" t="s">
        <v>1843</v>
      </c>
      <c r="AD137" s="605" t="s">
        <v>533</v>
      </c>
      <c r="AE137" s="890">
        <f ca="1">IFERROR(AE136/AE135,0)</f>
        <v>0</v>
      </c>
      <c r="AF137" s="319"/>
      <c r="AG137" s="319"/>
      <c r="AH137" s="891"/>
      <c r="AI137" s="555">
        <f t="shared" ref="AI137:BC137" ca="1" si="73">IFERROR(AI136/AI135,0)</f>
        <v>0</v>
      </c>
      <c r="AJ137" s="555">
        <f t="shared" ca="1" si="73"/>
        <v>0</v>
      </c>
      <c r="AK137" s="555">
        <f t="shared" ca="1" si="73"/>
        <v>0</v>
      </c>
      <c r="AL137" s="555">
        <f t="shared" ca="1" si="73"/>
        <v>0</v>
      </c>
      <c r="AM137" s="555">
        <f t="shared" ca="1" si="73"/>
        <v>0</v>
      </c>
      <c r="AN137" s="555">
        <f t="shared" ca="1" si="73"/>
        <v>0</v>
      </c>
      <c r="AO137" s="555">
        <f t="shared" ca="1" si="73"/>
        <v>0</v>
      </c>
      <c r="AP137" s="555">
        <f t="shared" ca="1" si="73"/>
        <v>0</v>
      </c>
      <c r="AQ137" s="555">
        <f t="shared" ca="1" si="73"/>
        <v>0</v>
      </c>
      <c r="AR137" s="555">
        <f t="shared" ca="1" si="73"/>
        <v>0</v>
      </c>
      <c r="AS137" s="555">
        <f t="shared" ca="1" si="73"/>
        <v>0</v>
      </c>
      <c r="AT137" s="555">
        <f t="shared" ca="1" si="73"/>
        <v>0</v>
      </c>
      <c r="AU137" s="555">
        <f t="shared" ca="1" si="73"/>
        <v>0</v>
      </c>
      <c r="AV137" s="555">
        <f t="shared" ca="1" si="73"/>
        <v>0</v>
      </c>
      <c r="AW137" s="555">
        <f t="shared" ca="1" si="73"/>
        <v>0</v>
      </c>
      <c r="AX137" s="555">
        <f t="shared" ca="1" si="73"/>
        <v>0</v>
      </c>
      <c r="AY137" s="555">
        <f t="shared" ca="1" si="73"/>
        <v>0</v>
      </c>
      <c r="AZ137" s="555">
        <f t="shared" ca="1" si="73"/>
        <v>0</v>
      </c>
      <c r="BA137" s="555">
        <f t="shared" ca="1" si="73"/>
        <v>0</v>
      </c>
      <c r="BB137" s="555">
        <f t="shared" ca="1" si="73"/>
        <v>0</v>
      </c>
      <c r="BC137" s="555">
        <f t="shared" ca="1" si="73"/>
        <v>0</v>
      </c>
      <c r="BD137" s="319"/>
      <c r="BE137" s="319"/>
      <c r="BF137" s="319"/>
      <c r="BG137" s="319"/>
      <c r="BH137" s="319"/>
      <c r="BI137" s="319"/>
      <c r="BJ137" s="319"/>
      <c r="BK137" s="319"/>
      <c r="BL137" s="319"/>
      <c r="BM137" s="319"/>
      <c r="BN137" s="28"/>
      <c r="BO137" s="28"/>
      <c r="BP137" s="28"/>
      <c r="BQ137" s="180"/>
      <c r="BR137" s="180"/>
      <c r="BS137" s="1031" t="s">
        <v>1844</v>
      </c>
      <c r="BT137" s="1031"/>
      <c r="BU137" s="1031"/>
      <c r="BV137" s="1032"/>
      <c r="BW137" s="1032"/>
      <c r="BX137" s="1064" t="str" cm="1">
        <f t="array" aca="1" ref="BX137" ca="1">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M10444::ТЭ.42.26322895.0003::Неопределено::Неопределено::Неопределено::225.0.1.::Неопределено</v>
      </c>
    </row>
    <row r="138" spans="1:76" s="1229" customFormat="1" ht="29.25" customHeight="1">
      <c r="A138" s="178"/>
      <c r="B138" s="783"/>
      <c r="C138" s="1094" t="s">
        <v>1845</v>
      </c>
      <c r="D138" s="1053" t="s">
        <v>1846</v>
      </c>
      <c r="E138" s="676">
        <v>30</v>
      </c>
      <c r="F138" s="779" t="str" cm="1">
        <f t="array" aca="1" ref="F138" ca="1">OFFSET(G138,-1,-1)</f>
        <v>1</v>
      </c>
      <c r="G138" s="180"/>
      <c r="H138" s="180"/>
      <c r="I138" s="180"/>
      <c r="J138" s="180"/>
      <c r="K138" s="180"/>
      <c r="L138" s="143"/>
      <c r="M138" s="1077"/>
      <c r="N138" s="1077" t="str" cm="1">
        <f t="array" aca="1" ref="N138" ca="1">OFFSET(M138,-1,1)</f>
        <v>ТЭ.42.26322895.0003</v>
      </c>
      <c r="O138" s="1078"/>
      <c r="P138" s="1078"/>
      <c r="Q138" s="1078"/>
      <c r="R138" s="1078"/>
      <c r="T138" s="687" t="b" cm="1">
        <f t="array" aca="1" ref="T138" ca="1">T117</f>
        <v>1</v>
      </c>
      <c r="U138" s="1153"/>
      <c r="V138" s="1153"/>
      <c r="W138" s="1153"/>
      <c r="X138" s="1726"/>
      <c r="Y138" s="1153"/>
      <c r="Z138" s="1726"/>
      <c r="AA138" s="180"/>
      <c r="AB138" s="235" t="s">
        <v>1847</v>
      </c>
      <c r="AC138" s="888" t="s">
        <v>1848</v>
      </c>
      <c r="AD138" s="487" t="s">
        <v>1077</v>
      </c>
      <c r="AE138" s="1314"/>
      <c r="AF138" s="1314"/>
      <c r="AG138" s="1426"/>
      <c r="AH138" s="256">
        <f>AG138-AF138</f>
        <v>0</v>
      </c>
      <c r="AI138" s="1427"/>
      <c r="AJ138" s="889"/>
      <c r="AK138" s="889"/>
      <c r="AL138" s="889"/>
      <c r="AM138" s="889"/>
      <c r="AN138" s="889"/>
      <c r="AO138" s="1427"/>
      <c r="AP138" s="1427"/>
      <c r="AQ138" s="1427"/>
      <c r="AR138" s="1427"/>
      <c r="AS138" s="1427"/>
      <c r="AT138" s="889"/>
      <c r="AU138" s="889"/>
      <c r="AV138" s="889"/>
      <c r="AW138" s="889"/>
      <c r="AX138" s="889"/>
      <c r="AY138" s="1427"/>
      <c r="AZ138" s="1427"/>
      <c r="BA138" s="1427"/>
      <c r="BB138" s="1427"/>
      <c r="BC138" s="1427"/>
      <c r="BD138" s="256">
        <f>IF(AI138=0,0,(AT138-AI138)/AI138*100)</f>
        <v>0</v>
      </c>
      <c r="BE138" s="256">
        <f t="shared" ref="BE138:BM138" si="74">IF(AT138=0,0,(AU138-AT138)/AT138*100)</f>
        <v>0</v>
      </c>
      <c r="BF138" s="256">
        <f t="shared" si="74"/>
        <v>0</v>
      </c>
      <c r="BG138" s="256">
        <f t="shared" si="74"/>
        <v>0</v>
      </c>
      <c r="BH138" s="256">
        <f t="shared" si="74"/>
        <v>0</v>
      </c>
      <c r="BI138" s="256">
        <f t="shared" si="74"/>
        <v>0</v>
      </c>
      <c r="BJ138" s="256">
        <f t="shared" si="74"/>
        <v>0</v>
      </c>
      <c r="BK138" s="256">
        <f t="shared" si="74"/>
        <v>0</v>
      </c>
      <c r="BL138" s="256">
        <f t="shared" si="74"/>
        <v>0</v>
      </c>
      <c r="BM138" s="256">
        <f t="shared" si="74"/>
        <v>0</v>
      </c>
      <c r="BN138" s="1290"/>
      <c r="BO138" s="1290"/>
      <c r="BP138" s="1290"/>
      <c r="BQ138" s="180"/>
      <c r="BR138" s="180"/>
      <c r="BS138" s="1031" t="s">
        <v>1849</v>
      </c>
      <c r="BT138" s="1031"/>
      <c r="BU138" s="1031"/>
      <c r="BV138" s="1032"/>
      <c r="BW138" s="1032"/>
      <c r="BX138" s="1064" t="str" cm="1">
        <f t="array" aca="1" ref="BX138" ca="1">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M10591::ТЭ.42.26322895.0003::Неопределено::Неопределено::Неопределено::Неопределено::Неопределено</v>
      </c>
    </row>
    <row r="139" spans="1:76" s="1428" customFormat="1" ht="16.5" customHeight="1">
      <c r="A139" s="170"/>
      <c r="B139" s="170"/>
      <c r="C139" s="1117"/>
      <c r="D139" s="1048"/>
      <c r="E139" s="676">
        <v>17.100000000000001</v>
      </c>
      <c r="F139" s="779" t="str" cm="1">
        <f t="array" ref="F139">X139</f>
        <v>2</v>
      </c>
      <c r="G139" s="620" t="str" cm="1">
        <f t="array" ref="G139">INDEX('Общие сведения'!$AK$187:$AK$236,MATCH($F139,'Общие сведения'!$Z$187:$Z$236,0))</f>
        <v>одноставочный</v>
      </c>
      <c r="H139" s="170"/>
      <c r="I139" s="163" t="str" cm="1">
        <f t="array" ref="I139">INDEX('Общие сведения'!$AE$187:$AE$236,MATCH($F139,'Общие сведения'!$Z$187:$Z$236,0))</f>
        <v>Теплоснабжение</v>
      </c>
      <c r="J139" s="170"/>
      <c r="K139" s="163" t="str" cm="1">
        <f t="array" ref="K139">INDEX('Общие сведения'!$AL$187:$AL$236,MATCH($F139,'Общие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139" s="170"/>
      <c r="M139" s="1066"/>
      <c r="N139" s="1066"/>
      <c r="O139" s="1076"/>
      <c r="P139" s="1076"/>
      <c r="Q139" s="1076"/>
      <c r="R139" s="1076"/>
      <c r="S139" s="170"/>
      <c r="T139" s="687" t="b">
        <f>X139&gt;0</f>
        <v>1</v>
      </c>
      <c r="U139" s="170"/>
      <c r="V139" s="126" t="str" cm="1">
        <f t="array" ref="V139">'Корр Факт'!$AB$122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39" s="170"/>
      <c r="X139" s="1726" t="s">
        <v>348</v>
      </c>
      <c r="Y139" s="170"/>
      <c r="Z139" s="1724"/>
      <c r="AA139" s="170"/>
      <c r="AB139" s="275" t="str" cm="1">
        <f t="array" ref="AB139">IF(ISBLANK('Корр Факт'!$AB$122),"",'Корр Факт'!$AB$122)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9" s="276"/>
      <c r="AD139" s="276"/>
      <c r="AE139" s="276"/>
      <c r="AF139" s="276"/>
      <c r="AG139" s="276"/>
      <c r="AH139" s="276"/>
      <c r="AI139" s="276"/>
      <c r="AJ139" s="276"/>
      <c r="AK139" s="276"/>
      <c r="AL139" s="276"/>
      <c r="AM139" s="276"/>
      <c r="AN139" s="276"/>
      <c r="AO139" s="276"/>
      <c r="AP139" s="276"/>
      <c r="AQ139" s="276"/>
      <c r="AR139" s="276"/>
      <c r="AS139" s="276"/>
      <c r="AT139" s="276"/>
      <c r="AU139" s="276"/>
      <c r="AV139" s="276"/>
      <c r="AW139" s="276"/>
      <c r="AX139" s="276"/>
      <c r="AY139" s="276"/>
      <c r="AZ139" s="276"/>
      <c r="BA139" s="276"/>
      <c r="BB139" s="276"/>
      <c r="BC139" s="276"/>
      <c r="BD139" s="276"/>
      <c r="BE139" s="276"/>
      <c r="BF139" s="276"/>
      <c r="BG139" s="276"/>
      <c r="BH139" s="276"/>
      <c r="BI139" s="276"/>
      <c r="BJ139" s="276"/>
      <c r="BK139" s="276"/>
      <c r="BL139" s="276"/>
      <c r="BM139" s="276"/>
      <c r="BN139" s="276"/>
      <c r="BO139" s="276"/>
      <c r="BP139" s="276"/>
      <c r="BQ139" s="170"/>
      <c r="BR139" s="170"/>
      <c r="BS139" s="981"/>
      <c r="BT139" s="981"/>
      <c r="BU139" s="981"/>
      <c r="BV139" s="984"/>
      <c r="BW139" s="984"/>
      <c r="BX139" s="1092"/>
    </row>
    <row r="140" spans="1:76" s="1229" customFormat="1" ht="16.5" customHeight="1">
      <c r="A140" s="178"/>
      <c r="B140" s="783"/>
      <c r="C140" s="1094" t="s">
        <v>1646</v>
      </c>
      <c r="D140" s="1053" t="s">
        <v>1647</v>
      </c>
      <c r="E140" s="676">
        <v>17.100000000000001</v>
      </c>
      <c r="F140" s="779" t="str" cm="1">
        <f t="array" aca="1" ref="F140" ca="1">OFFSET(G140,-1,-1)</f>
        <v>2</v>
      </c>
      <c r="G140" s="143" t="s">
        <v>1350</v>
      </c>
      <c r="H140" s="180"/>
      <c r="I140" s="180"/>
      <c r="J140" s="180"/>
      <c r="K140" s="180"/>
      <c r="L140" s="143"/>
      <c r="M140" s="1077"/>
      <c r="N140" s="1077" t="str" cm="1">
        <f t="array" aca="1" ref="N140" ca="1">INDEX('Общие сведения'!$N$187:$N$236,MATCH($F140,'Общие сведения'!$Z$187:$Z$236,0)+1)</f>
        <v>ТЭ.42.26322895.0004</v>
      </c>
      <c r="O140" s="1078"/>
      <c r="P140" s="1078"/>
      <c r="Q140" s="1078"/>
      <c r="R140" s="1078"/>
      <c r="T140" s="687" t="b" cm="1">
        <f t="array" ref="T140">T139</f>
        <v>1</v>
      </c>
      <c r="U140" s="1153"/>
      <c r="V140" s="1153"/>
      <c r="W140" s="1153"/>
      <c r="X140" s="1726"/>
      <c r="Y140" s="1153"/>
      <c r="Z140" s="1726"/>
      <c r="AA140" s="180"/>
      <c r="AB140" s="111" t="s">
        <v>341</v>
      </c>
      <c r="AC140" s="622" t="s">
        <v>1404</v>
      </c>
      <c r="AD140" s="419" t="s">
        <v>1077</v>
      </c>
      <c r="AE140" s="515">
        <f ca="1">SUMIFS('Операционные (5.1)'!AE$26:AE$103,'Операционные (5.1)'!$F$26:$F$103,$F140,'Операционные (5.1)'!$G$26:$G$103,$G140)</f>
        <v>0</v>
      </c>
      <c r="AF140" s="515">
        <f ca="1">SUMIFS('Операционные (5.1)'!AF$26:AF$103,'Операционные (5.1)'!$F$26:$F$103,$F140,'Операционные (5.1)'!$G$26:$G$103,$G140)</f>
        <v>0</v>
      </c>
      <c r="AG140" s="515">
        <f ca="1">SUMIFS('Операционные (5.1)'!AG$26:AG$103,'Операционные (5.1)'!$F$26:$F$103,$F140,'Операционные (5.1)'!$G$26:$G$103,$G140)</f>
        <v>0</v>
      </c>
      <c r="AH140" s="256">
        <f t="shared" ref="AH140:AH166" ca="1" si="75">AG140-AF140</f>
        <v>0</v>
      </c>
      <c r="AI140" s="515">
        <f ca="1">SUMIFS('Операционные (5.1)'!AI$26:AI$103,'Операционные (5.1)'!$F$26:$F$103,$F140,'Операционные (5.1)'!$G$26:$G$103,$G140)</f>
        <v>191538</v>
      </c>
      <c r="AJ140" s="621">
        <f ca="1">SUMIFS(INDEX('Операционные (5.2)'!$AJ$26:$BC$54,,MATCH(AJ$8,'Операционные (5.2)'!$AJ$8:$BC$8,0)),'Операционные (5.2)'!$F$26:$F$54,$F140,'Операционные (5.2)'!$G$26:$G$54,$G140)</f>
        <v>189622.62</v>
      </c>
      <c r="AK140" s="621">
        <f ca="1">SUMIFS(INDEX('Операционные (5.2)'!$AJ$26:$BC$54,,MATCH(AK$8,'Операционные (5.2)'!$AJ$8:$BC$8,0)),'Операционные (5.2)'!$F$26:$F$54,$F140,'Операционные (5.2)'!$G$26:$G$54,$G140)</f>
        <v>187726.39379999999</v>
      </c>
      <c r="AL140" s="621">
        <f ca="1">SUMIFS(INDEX('Операционные (5.2)'!$AJ$26:$BC$54,,MATCH(AL$8,'Операционные (5.2)'!$AJ$8:$BC$8,0)),'Операционные (5.2)'!$F$26:$F$54,$F140,'Операционные (5.2)'!$G$26:$G$54,$G140)</f>
        <v>185849.129862</v>
      </c>
      <c r="AM140" s="621">
        <f ca="1">SUMIFS(INDEX('Операционные (5.2)'!$AJ$26:$BC$54,,MATCH(AM$8,'Операционные (5.2)'!$AJ$8:$BC$8,0)),'Операционные (5.2)'!$F$26:$F$54,$F140,'Операционные (5.2)'!$G$26:$G$54,$G140)</f>
        <v>183990.63856337999</v>
      </c>
      <c r="AN140" s="621">
        <f ca="1">SUMIFS(INDEX('Операционные (5.2)'!$AJ$26:$BC$54,,MATCH(AN$8,'Операционные (5.2)'!$AJ$8:$BC$8,0)),'Операционные (5.2)'!$F$26:$F$54,$F140,'Операционные (5.2)'!$G$26:$G$54,$G140)</f>
        <v>182150.73217774619</v>
      </c>
      <c r="AO140" s="621">
        <f ca="1">SUMIFS(INDEX('Операционные (5.2)'!$AJ$26:$BC$54,,MATCH(AO$8,'Операционные (5.2)'!$AJ$8:$BC$8,0)),'Операционные (5.2)'!$F$26:$F$54,$F140,'Операционные (5.2)'!$G$26:$G$54,$G140)</f>
        <v>180329.22485596873</v>
      </c>
      <c r="AP140" s="621">
        <f ca="1">SUMIFS(INDEX('Операционные (5.2)'!$AJ$26:$BC$54,,MATCH(AP$8,'Операционные (5.2)'!$AJ$8:$BC$8,0)),'Операционные (5.2)'!$F$26:$F$54,$F140,'Операционные (5.2)'!$G$26:$G$54,$G140)</f>
        <v>178525.93260740905</v>
      </c>
      <c r="AQ140" s="621">
        <f ca="1">SUMIFS(INDEX('Операционные (5.2)'!$AJ$26:$BC$54,,MATCH(AQ$8,'Операционные (5.2)'!$AJ$8:$BC$8,0)),'Операционные (5.2)'!$F$26:$F$54,$F140,'Операционные (5.2)'!$G$26:$G$54,$G140)</f>
        <v>176740.67328133495</v>
      </c>
      <c r="AR140" s="621">
        <f ca="1">SUMIFS(INDEX('Операционные (5.2)'!$AJ$26:$BC$54,,MATCH(AR$8,'Операционные (5.2)'!$AJ$8:$BC$8,0)),'Операционные (5.2)'!$F$26:$F$54,$F140,'Операционные (5.2)'!$G$26:$G$54,$G140)</f>
        <v>174973.26654852161</v>
      </c>
      <c r="AS140" s="621">
        <f ca="1">SUMIFS(INDEX('Операционные (5.2)'!$AJ$26:$BC$54,,MATCH(AS$8,'Операционные (5.2)'!$AJ$8:$BC$8,0)),'Операционные (5.2)'!$F$26:$F$54,$F140,'Операционные (5.2)'!$G$26:$G$54,$G140)</f>
        <v>173223.53388303641</v>
      </c>
      <c r="AT140" s="621">
        <f ca="1">SUMIFS(INDEX('Операционные (5.2)'!$AJ$26:$BC$54,,MATCH(AT$8,'Операционные (5.2)'!$AJ$8:$BC$8,0)),'Операционные (5.2)'!$F$26:$F$54,$F140,'Операционные (5.2)'!$G$26:$G$54,$G140)</f>
        <v>197839.58</v>
      </c>
      <c r="AU140" s="621">
        <f ca="1">SUMIFS(INDEX('Операционные (5.2)'!$AJ$26:$BC$54,,MATCH(AU$8,'Операционные (5.2)'!$AJ$8:$BC$8,0)),'Операционные (5.2)'!$F$26:$F$54,$F140,'Операционные (5.2)'!$G$26:$G$54,$G140)</f>
        <v>195861.18419999999</v>
      </c>
      <c r="AV140" s="621">
        <f ca="1">SUMIFS(INDEX('Операционные (5.2)'!$AJ$26:$BC$54,,MATCH(AV$8,'Операционные (5.2)'!$AJ$8:$BC$8,0)),'Операционные (5.2)'!$F$26:$F$54,$F140,'Операционные (5.2)'!$G$26:$G$54,$G140)</f>
        <v>193902.57235799998</v>
      </c>
      <c r="AW140" s="621">
        <f ca="1">SUMIFS(INDEX('Операционные (5.2)'!$AJ$26:$BC$54,,MATCH(AW$8,'Операционные (5.2)'!$AJ$8:$BC$8,0)),'Операционные (5.2)'!$F$26:$F$54,$F140,'Операционные (5.2)'!$G$26:$G$54,$G140)</f>
        <v>191963.54663441997</v>
      </c>
      <c r="AX140" s="621">
        <f ca="1">SUMIFS(INDEX('Операционные (5.2)'!$AJ$26:$BC$54,,MATCH(AX$8,'Операционные (5.2)'!$AJ$8:$BC$8,0)),'Операционные (5.2)'!$F$26:$F$54,$F140,'Операционные (5.2)'!$G$26:$G$54,$G140)</f>
        <v>190043.91116807578</v>
      </c>
      <c r="AY140" s="621">
        <f ca="1">SUMIFS(INDEX('Операционные (5.2)'!$AJ$26:$BC$54,,MATCH(AY$8,'Операционные (5.2)'!$AJ$8:$BC$8,0)),'Операционные (5.2)'!$F$26:$F$54,$F140,'Операционные (5.2)'!$G$26:$G$54,$G140)</f>
        <v>188143.47205639502</v>
      </c>
      <c r="AZ140" s="621">
        <f ca="1">SUMIFS(INDEX('Операционные (5.2)'!$AJ$26:$BC$54,,MATCH(AZ$8,'Операционные (5.2)'!$AJ$8:$BC$8,0)),'Операционные (5.2)'!$F$26:$F$54,$F140,'Операционные (5.2)'!$G$26:$G$54,$G140)</f>
        <v>186262.03733583106</v>
      </c>
      <c r="BA140" s="621">
        <f ca="1">SUMIFS(INDEX('Операционные (5.2)'!$AJ$26:$BC$54,,MATCH(BA$8,'Операционные (5.2)'!$AJ$8:$BC$8,0)),'Операционные (5.2)'!$F$26:$F$54,$F140,'Операционные (5.2)'!$G$26:$G$54,$G140)</f>
        <v>184399.41696247275</v>
      </c>
      <c r="BB140" s="621">
        <f ca="1">SUMIFS(INDEX('Операционные (5.2)'!$AJ$26:$BC$54,,MATCH(BB$8,'Операционные (5.2)'!$AJ$8:$BC$8,0)),'Операционные (5.2)'!$F$26:$F$54,$F140,'Операционные (5.2)'!$G$26:$G$54,$G140)</f>
        <v>182555.42279284802</v>
      </c>
      <c r="BC140" s="621">
        <f ca="1">SUMIFS(INDEX('Операционные (5.2)'!$AJ$26:$BC$54,,MATCH(BC$8,'Операционные (5.2)'!$AJ$8:$BC$8,0)),'Операционные (5.2)'!$F$26:$F$54,$F140,'Операционные (5.2)'!$G$26:$G$54,$G140)</f>
        <v>180729.86856491954</v>
      </c>
      <c r="BD140" s="256">
        <f t="shared" ref="BD140:BD166" ca="1" si="76">IF(AI140=0,0,(AT140-AI140)/AI140*100)</f>
        <v>3.289989453789842</v>
      </c>
      <c r="BE140" s="256">
        <f t="shared" ref="BE140:BE166" ca="1" si="77">IF(AT140=0,0,(AU140-AT140)/AT140*100)</f>
        <v>-0.99999999999999933</v>
      </c>
      <c r="BF140" s="256">
        <f t="shared" ref="BF140:BF166" ca="1" si="78">IF(AU140=0,0,(AV140-AU140)/AU140*100)</f>
        <v>-1.0000000000000067</v>
      </c>
      <c r="BG140" s="256">
        <f t="shared" ref="BG140:BG166" ca="1" si="79">IF(AV140=0,0,(AW140-AV140)/AV140*100)</f>
        <v>-1.0000000000000049</v>
      </c>
      <c r="BH140" s="256">
        <f t="shared" ref="BH140:BH166" ca="1" si="80">IF(AW140=0,0,(AX140-AW140)/AW140*100)</f>
        <v>-0.99999999999999445</v>
      </c>
      <c r="BI140" s="256">
        <f t="shared" ref="BI140:BI166" ca="1" si="81">IF(AX140=0,0,(AY140-AX140)/AX140*100)</f>
        <v>-0.99999999999999745</v>
      </c>
      <c r="BJ140" s="256">
        <f t="shared" ref="BJ140:BJ166" ca="1" si="82">IF(AY140=0,0,(AZ140-AY140)/AY140*100)</f>
        <v>-1.0000000000000075</v>
      </c>
      <c r="BK140" s="256">
        <f t="shared" ref="BK140:BK166" ca="1" si="83">IF(AZ140=0,0,(BA140-AZ140)/AZ140*100)</f>
        <v>-0.99999999999999956</v>
      </c>
      <c r="BL140" s="256">
        <f t="shared" ref="BL140:BL166" ca="1" si="84">IF(BA140=0,0,(BB140-BA140)/BA140*100)</f>
        <v>-0.99999999999999911</v>
      </c>
      <c r="BM140" s="256">
        <f t="shared" ref="BM140:BM166" ca="1" si="85">IF(BB140=0,0,(BC140-BB140)/BB140*100)</f>
        <v>-1.0000000000000029</v>
      </c>
      <c r="BN140" s="1290"/>
      <c r="BO140" s="1290"/>
      <c r="BP140" s="1290"/>
      <c r="BQ140" s="180"/>
      <c r="BR140" s="180"/>
      <c r="BS140" s="1031" t="s">
        <v>1648</v>
      </c>
      <c r="BT140" s="1031"/>
      <c r="BU140" s="1031"/>
      <c r="BV140" s="1032"/>
      <c r="BW140" s="1032"/>
      <c r="BX140" s="1064" t="str" cm="1">
        <f t="array" aca="1" ref="BX140" ca="1">D140&amp;"::"&amp;IF(N140&lt;&gt;"",N140,"Неопределено")&amp;"::"&amp;IF(M140&lt;&gt;"",M140,"Неопределено")&amp;"::"&amp;IF(O140&lt;&gt;"",O140,"Неопределено")&amp;"::"&amp;IF(P140&lt;&gt;"",P140,"Неопределено")&amp;"::"&amp;IF(Q140&lt;&gt;"",Q140,"Неопределено")&amp;"::"&amp;IF(R140&lt;&gt;"",R140,"Неопределено")</f>
        <v>M10746::ТЭ.42.26322895.0004::Неопределено::Неопределено::Неопределено::Неопределено::Неопределено</v>
      </c>
    </row>
    <row r="141" spans="1:76" s="1229" customFormat="1" ht="16.5" customHeight="1">
      <c r="A141" s="178"/>
      <c r="B141" s="783"/>
      <c r="C141" s="1094" t="s">
        <v>1649</v>
      </c>
      <c r="D141" s="1053" t="s">
        <v>1650</v>
      </c>
      <c r="E141" s="676">
        <v>17.100000000000001</v>
      </c>
      <c r="F141" s="779" t="str" cm="1">
        <f t="array" aca="1" ref="F141" ca="1">OFFSET(G141,-1,-1)</f>
        <v>2</v>
      </c>
      <c r="G141" s="143" t="s">
        <v>1410</v>
      </c>
      <c r="H141" s="180"/>
      <c r="I141" s="180"/>
      <c r="J141" s="180"/>
      <c r="K141" s="180"/>
      <c r="L141" s="143"/>
      <c r="M141" s="1077"/>
      <c r="N141" s="1077" t="str" cm="1">
        <f t="array" aca="1" ref="N141" ca="1">OFFSET(M141,-1,1)</f>
        <v>ТЭ.42.26322895.0004</v>
      </c>
      <c r="O141" s="1078"/>
      <c r="P141" s="1078"/>
      <c r="Q141" s="1078"/>
      <c r="R141" s="1078"/>
      <c r="T141" s="687" t="b" cm="1">
        <f t="array" ref="T141">T140</f>
        <v>1</v>
      </c>
      <c r="U141" s="1153"/>
      <c r="V141" s="1153"/>
      <c r="W141" s="1153"/>
      <c r="X141" s="1726"/>
      <c r="Y141" s="1153"/>
      <c r="Z141" s="1726"/>
      <c r="AA141" s="180"/>
      <c r="AB141" s="111" t="s">
        <v>348</v>
      </c>
      <c r="AC141" s="548" t="s">
        <v>1651</v>
      </c>
      <c r="AD141" s="419" t="s">
        <v>1077</v>
      </c>
      <c r="AE141" s="515">
        <f ca="1">SUMIFS('Неподконтрольные (5.3)'!AE$26:AE$87,'Неподконтрольные (5.3)'!$F$26:$F$87,$F141,'Неподконтрольные (5.3)'!$G$26:$G$87,$G141)</f>
        <v>0</v>
      </c>
      <c r="AF141" s="515">
        <f ca="1">SUMIFS('Неподконтрольные (5.3)'!AF$26:AF$87,'Неподконтрольные (5.3)'!$F$26:$F$87,$F141,'Неподконтрольные (5.3)'!$G$26:$G$87,$G141)</f>
        <v>0</v>
      </c>
      <c r="AG141" s="515">
        <f ca="1">SUMIFS('Неподконтрольные (5.3)'!AG$26:AG$87,'Неподконтрольные (5.3)'!$F$26:$F$87,$F141,'Неподконтрольные (5.3)'!$G$26:$G$87,$G141)</f>
        <v>0</v>
      </c>
      <c r="AH141" s="256">
        <f t="shared" ca="1" si="75"/>
        <v>0</v>
      </c>
      <c r="AI141" s="515">
        <f ca="1">SUMIFS('Неподконтрольные (5.3)'!AI$26:AI$87,'Неподконтрольные (5.3)'!$F$26:$F$87,$F141,'Неподконтрольные (5.3)'!$G$26:$G$87,$G141)</f>
        <v>18898.999999999902</v>
      </c>
      <c r="AJ141" s="515">
        <f ca="1">SUMIFS('Неподконтрольные (5.3)'!AJ$26:AJ$87,'Неподконтрольные (5.3)'!$F$26:$F$87,$F141,'Неподконтрольные (5.3)'!$G$26:$G$87,$G141)</f>
        <v>0</v>
      </c>
      <c r="AK141" s="515">
        <f ca="1">SUMIFS('Неподконтрольные (5.3)'!AK$26:AK$87,'Неподконтрольные (5.3)'!$F$26:$F$87,$F141,'Неподконтрольные (5.3)'!$G$26:$G$87,$G141)</f>
        <v>0</v>
      </c>
      <c r="AL141" s="515">
        <f ca="1">SUMIFS('Неподконтрольные (5.3)'!AL$26:AL$87,'Неподконтрольные (5.3)'!$F$26:$F$87,$F141,'Неподконтрольные (5.3)'!$G$26:$G$87,$G141)</f>
        <v>0</v>
      </c>
      <c r="AM141" s="515">
        <f ca="1">SUMIFS('Неподконтрольные (5.3)'!AM$26:AM$87,'Неподконтрольные (5.3)'!$F$26:$F$87,$F141,'Неподконтрольные (5.3)'!$G$26:$G$87,$G141)</f>
        <v>0</v>
      </c>
      <c r="AN141" s="515">
        <f ca="1">SUMIFS('Неподконтрольные (5.3)'!AN$26:AN$87,'Неподконтрольные (5.3)'!$F$26:$F$87,$F141,'Неподконтрольные (5.3)'!$G$26:$G$87,$G141)</f>
        <v>0</v>
      </c>
      <c r="AO141" s="515">
        <f ca="1">SUMIFS('Неподконтрольные (5.3)'!AO$26:AO$87,'Неподконтрольные (5.3)'!$F$26:$F$87,$F141,'Неподконтрольные (5.3)'!$G$26:$G$87,$G141)</f>
        <v>0</v>
      </c>
      <c r="AP141" s="515">
        <f ca="1">SUMIFS('Неподконтрольные (5.3)'!AP$26:AP$87,'Неподконтрольные (5.3)'!$F$26:$F$87,$F141,'Неподконтрольные (5.3)'!$G$26:$G$87,$G141)</f>
        <v>0</v>
      </c>
      <c r="AQ141" s="515">
        <f ca="1">SUMIFS('Неподконтрольные (5.3)'!AQ$26:AQ$87,'Неподконтрольные (5.3)'!$F$26:$F$87,$F141,'Неподконтрольные (5.3)'!$G$26:$G$87,$G141)</f>
        <v>0</v>
      </c>
      <c r="AR141" s="515">
        <f ca="1">SUMIFS('Неподконтрольные (5.3)'!AR$26:AR$87,'Неподконтрольные (5.3)'!$F$26:$F$87,$F141,'Неподконтрольные (5.3)'!$G$26:$G$87,$G141)</f>
        <v>0</v>
      </c>
      <c r="AS141" s="515">
        <f ca="1">SUMIFS('Неподконтрольные (5.3)'!AS$26:AS$87,'Неподконтрольные (5.3)'!$F$26:$F$87,$F141,'Неподконтрольные (5.3)'!$G$26:$G$87,$G141)</f>
        <v>0</v>
      </c>
      <c r="AT141" s="515">
        <f ca="1">SUMIFS('Неподконтрольные (5.3)'!AT$26:AT$87,'Неподконтрольные (5.3)'!$F$26:$F$87,$F141,'Неподконтрольные (5.3)'!$G$26:$G$87,$G141)</f>
        <v>31994.365203519999</v>
      </c>
      <c r="AU141" s="515">
        <f ca="1">SUMIFS('Неподконтрольные (5.3)'!AU$26:AU$87,'Неподконтрольные (5.3)'!$F$26:$F$87,$F141,'Неподконтрольные (5.3)'!$G$26:$G$87,$G141)</f>
        <v>0</v>
      </c>
      <c r="AV141" s="515">
        <f ca="1">SUMIFS('Неподконтрольные (5.3)'!AV$26:AV$87,'Неподконтрольные (5.3)'!$F$26:$F$87,$F141,'Неподконтрольные (5.3)'!$G$26:$G$87,$G141)</f>
        <v>0</v>
      </c>
      <c r="AW141" s="515">
        <f ca="1">SUMIFS('Неподконтрольные (5.3)'!AW$26:AW$87,'Неподконтрольные (5.3)'!$F$26:$F$87,$F141,'Неподконтрольные (5.3)'!$G$26:$G$87,$G141)</f>
        <v>0</v>
      </c>
      <c r="AX141" s="515">
        <f ca="1">SUMIFS('Неподконтрольные (5.3)'!AX$26:AX$87,'Неподконтрольные (5.3)'!$F$26:$F$87,$F141,'Неподконтрольные (5.3)'!$G$26:$G$87,$G141)</f>
        <v>0</v>
      </c>
      <c r="AY141" s="515">
        <f ca="1">SUMIFS('Неподконтрольные (5.3)'!AY$26:AY$87,'Неподконтрольные (5.3)'!$F$26:$F$87,$F141,'Неподконтрольные (5.3)'!$G$26:$G$87,$G141)</f>
        <v>0</v>
      </c>
      <c r="AZ141" s="515">
        <f ca="1">SUMIFS('Неподконтрольные (5.3)'!AZ$26:AZ$87,'Неподконтрольные (5.3)'!$F$26:$F$87,$F141,'Неподконтрольные (5.3)'!$G$26:$G$87,$G141)</f>
        <v>0</v>
      </c>
      <c r="BA141" s="515">
        <f ca="1">SUMIFS('Неподконтрольные (5.3)'!BA$26:BA$87,'Неподконтрольные (5.3)'!$F$26:$F$87,$F141,'Неподконтрольные (5.3)'!$G$26:$G$87,$G141)</f>
        <v>0</v>
      </c>
      <c r="BB141" s="515">
        <f ca="1">SUMIFS('Неподконтрольные (5.3)'!BB$26:BB$87,'Неподконтрольные (5.3)'!$F$26:$F$87,$F141,'Неподконтрольные (5.3)'!$G$26:$G$87,$G141)</f>
        <v>0</v>
      </c>
      <c r="BC141" s="515">
        <f ca="1">SUMIFS('Неподконтрольные (5.3)'!BC$26:BC$87,'Неподконтрольные (5.3)'!$F$26:$F$87,$F141,'Неподконтрольные (5.3)'!$G$26:$G$87,$G141)</f>
        <v>0</v>
      </c>
      <c r="BD141" s="256">
        <f t="shared" ca="1" si="76"/>
        <v>69.291312786497514</v>
      </c>
      <c r="BE141" s="256">
        <f t="shared" ca="1" si="77"/>
        <v>-100</v>
      </c>
      <c r="BF141" s="256">
        <f t="shared" ca="1" si="78"/>
        <v>0</v>
      </c>
      <c r="BG141" s="256">
        <f t="shared" ca="1" si="79"/>
        <v>0</v>
      </c>
      <c r="BH141" s="256">
        <f t="shared" ca="1" si="80"/>
        <v>0</v>
      </c>
      <c r="BI141" s="256">
        <f t="shared" ca="1" si="81"/>
        <v>0</v>
      </c>
      <c r="BJ141" s="256">
        <f t="shared" ca="1" si="82"/>
        <v>0</v>
      </c>
      <c r="BK141" s="256">
        <f t="shared" ca="1" si="83"/>
        <v>0</v>
      </c>
      <c r="BL141" s="256">
        <f t="shared" ca="1" si="84"/>
        <v>0</v>
      </c>
      <c r="BM141" s="256">
        <f t="shared" ca="1" si="85"/>
        <v>0</v>
      </c>
      <c r="BN141" s="1290"/>
      <c r="BO141" s="1290"/>
      <c r="BP141" s="1290"/>
      <c r="BQ141" s="180"/>
      <c r="BR141" s="180"/>
      <c r="BS141" s="1031" t="s">
        <v>1652</v>
      </c>
      <c r="BT141" s="1031"/>
      <c r="BU141" s="1031"/>
      <c r="BV141" s="1032"/>
      <c r="BW141" s="1032"/>
      <c r="BX141" s="1064" t="str" cm="1">
        <f t="array" aca="1" ref="BX141" ca="1">D141&amp;"::"&amp;IF(N141&lt;&gt;"",N141,"Неопределено")&amp;"::"&amp;IF(M141&lt;&gt;"",M141,"Неопределено")&amp;"::"&amp;IF(O141&lt;&gt;"",O141,"Неопределено")&amp;"::"&amp;IF(P141&lt;&gt;"",P141,"Неопределено")&amp;"::"&amp;IF(Q141&lt;&gt;"",Q141,"Неопределено")&amp;"::"&amp;IF(R141&lt;&gt;"",R141,"Неопределено")</f>
        <v>M10747::ТЭ.42.26322895.0004::Неопределено::Неопределено::Неопределено::Неопределено::Неопределено</v>
      </c>
    </row>
    <row r="142" spans="1:76" s="1229" customFormat="1" ht="25.5" customHeight="1">
      <c r="A142" s="178"/>
      <c r="B142" s="783"/>
      <c r="C142" s="1094" t="s">
        <v>1653</v>
      </c>
      <c r="D142" s="1053" t="s">
        <v>1654</v>
      </c>
      <c r="E142" s="676">
        <v>26.3</v>
      </c>
      <c r="F142" s="779" t="str" cm="1">
        <f t="array" aca="1" ref="F142" ca="1">OFFSET(G142,-1,-1)</f>
        <v>2</v>
      </c>
      <c r="G142" s="143" t="s">
        <v>1452</v>
      </c>
      <c r="H142" s="180"/>
      <c r="I142" s="180"/>
      <c r="J142" s="180"/>
      <c r="K142" s="180"/>
      <c r="L142" s="143"/>
      <c r="M142" s="1077"/>
      <c r="N142" s="1077" t="str" cm="1">
        <f t="array" aca="1" ref="N142" ca="1">OFFSET(M142,-1,1)</f>
        <v>ТЭ.42.26322895.0004</v>
      </c>
      <c r="O142" s="1078"/>
      <c r="P142" s="1078"/>
      <c r="Q142" s="1078"/>
      <c r="R142" s="1078"/>
      <c r="T142" s="687" t="b" cm="1">
        <f t="array" ref="T142">T141</f>
        <v>1</v>
      </c>
      <c r="U142" s="1153"/>
      <c r="V142" s="1153"/>
      <c r="W142" s="1153"/>
      <c r="X142" s="1726"/>
      <c r="Y142" s="1153"/>
      <c r="Z142" s="1726"/>
      <c r="AA142" s="180"/>
      <c r="AB142" s="111" t="s">
        <v>437</v>
      </c>
      <c r="AC142" s="548" t="s">
        <v>1655</v>
      </c>
      <c r="AD142" s="419" t="s">
        <v>1077</v>
      </c>
      <c r="AE142" s="515">
        <f ca="1">SUMIFS('Ресурсы (5.4)'!AE$26:AE$57,'Ресурсы (5.4)'!$F$26:$F$57,$F142,'Ресурсы (5.4)'!$G$26:$G$57,$G142)</f>
        <v>0</v>
      </c>
      <c r="AF142" s="515">
        <f ca="1">SUMIFS('Ресурсы (5.4)'!AF$26:AF$57,'Ресурсы (5.4)'!$F$26:$F$57,$F142,'Ресурсы (5.4)'!$G$26:$G$57,$G142)</f>
        <v>0</v>
      </c>
      <c r="AG142" s="515">
        <f ca="1">SUMIFS('Ресурсы (5.4)'!AG$26:AG$57,'Ресурсы (5.4)'!$F$26:$F$57,$F142,'Ресурсы (5.4)'!$G$26:$G$57,$G142)</f>
        <v>0</v>
      </c>
      <c r="AH142" s="256">
        <f t="shared" ca="1" si="75"/>
        <v>0</v>
      </c>
      <c r="AI142" s="515">
        <f ca="1">SUMIFS('Ресурсы (5.4)'!AI$26:AI$57,'Ресурсы (5.4)'!$F$26:$F$57,$F142,'Ресурсы (5.4)'!$G$26:$G$57,$G142)</f>
        <v>127918.92994293112</v>
      </c>
      <c r="AJ142" s="515">
        <f ca="1">SUMIFS('Ресурсы (5.4)'!AJ$26:AJ$57,'Ресурсы (5.4)'!$F$26:$F$57,$F142,'Ресурсы (5.4)'!$G$26:$G$57,$G142)</f>
        <v>0</v>
      </c>
      <c r="AK142" s="515">
        <f ca="1">SUMIFS('Ресурсы (5.4)'!AK$26:AK$57,'Ресурсы (5.4)'!$F$26:$F$57,$F142,'Ресурсы (5.4)'!$G$26:$G$57,$G142)</f>
        <v>0</v>
      </c>
      <c r="AL142" s="515">
        <f ca="1">SUMIFS('Ресурсы (5.4)'!AL$26:AL$57,'Ресурсы (5.4)'!$F$26:$F$57,$F142,'Ресурсы (5.4)'!$G$26:$G$57,$G142)</f>
        <v>0</v>
      </c>
      <c r="AM142" s="515">
        <f ca="1">SUMIFS('Ресурсы (5.4)'!AM$26:AM$57,'Ресурсы (5.4)'!$F$26:$F$57,$F142,'Ресурсы (5.4)'!$G$26:$G$57,$G142)</f>
        <v>0</v>
      </c>
      <c r="AN142" s="515">
        <f ca="1">SUMIFS('Ресурсы (5.4)'!AN$26:AN$57,'Ресурсы (5.4)'!$F$26:$F$57,$F142,'Ресурсы (5.4)'!$G$26:$G$57,$G142)</f>
        <v>0</v>
      </c>
      <c r="AO142" s="515">
        <f ca="1">SUMIFS('Ресурсы (5.4)'!AO$26:AO$57,'Ресурсы (5.4)'!$F$26:$F$57,$F142,'Ресурсы (5.4)'!$G$26:$G$57,$G142)</f>
        <v>0</v>
      </c>
      <c r="AP142" s="515">
        <f ca="1">SUMIFS('Ресурсы (5.4)'!AP$26:AP$57,'Ресурсы (5.4)'!$F$26:$F$57,$F142,'Ресурсы (5.4)'!$G$26:$G$57,$G142)</f>
        <v>0</v>
      </c>
      <c r="AQ142" s="515">
        <f ca="1">SUMIFS('Ресурсы (5.4)'!AQ$26:AQ$57,'Ресурсы (5.4)'!$F$26:$F$57,$F142,'Ресурсы (5.4)'!$G$26:$G$57,$G142)</f>
        <v>0</v>
      </c>
      <c r="AR142" s="515">
        <f ca="1">SUMIFS('Ресурсы (5.4)'!AR$26:AR$57,'Ресурсы (5.4)'!$F$26:$F$57,$F142,'Ресурсы (5.4)'!$G$26:$G$57,$G142)</f>
        <v>0</v>
      </c>
      <c r="AS142" s="515">
        <f ca="1">SUMIFS('Ресурсы (5.4)'!AS$26:AS$57,'Ресурсы (5.4)'!$F$26:$F$57,$F142,'Ресурсы (5.4)'!$G$26:$G$57,$G142)</f>
        <v>0</v>
      </c>
      <c r="AT142" s="515">
        <f ca="1">SUMIFS('Ресурсы (5.4)'!AT$26:AT$57,'Ресурсы (5.4)'!$F$26:$F$57,$F142,'Ресурсы (5.4)'!$G$26:$G$57,$G142)</f>
        <v>179589.70824669336</v>
      </c>
      <c r="AU142" s="515">
        <f ca="1">SUMIFS('Ресурсы (5.4)'!AU$26:AU$57,'Ресурсы (5.4)'!$F$26:$F$57,$F142,'Ресурсы (5.4)'!$G$26:$G$57,$G142)</f>
        <v>0</v>
      </c>
      <c r="AV142" s="515">
        <f ca="1">SUMIFS('Ресурсы (5.4)'!AV$26:AV$57,'Ресурсы (5.4)'!$F$26:$F$57,$F142,'Ресурсы (5.4)'!$G$26:$G$57,$G142)</f>
        <v>0</v>
      </c>
      <c r="AW142" s="515">
        <f ca="1">SUMIFS('Ресурсы (5.4)'!AW$26:AW$57,'Ресурсы (5.4)'!$F$26:$F$57,$F142,'Ресурсы (5.4)'!$G$26:$G$57,$G142)</f>
        <v>0</v>
      </c>
      <c r="AX142" s="515">
        <f ca="1">SUMIFS('Ресурсы (5.4)'!AX$26:AX$57,'Ресурсы (5.4)'!$F$26:$F$57,$F142,'Ресурсы (5.4)'!$G$26:$G$57,$G142)</f>
        <v>0</v>
      </c>
      <c r="AY142" s="515">
        <f ca="1">SUMIFS('Ресурсы (5.4)'!AY$26:AY$57,'Ресурсы (5.4)'!$F$26:$F$57,$F142,'Ресурсы (5.4)'!$G$26:$G$57,$G142)</f>
        <v>0</v>
      </c>
      <c r="AZ142" s="515">
        <f ca="1">SUMIFS('Ресурсы (5.4)'!AZ$26:AZ$57,'Ресурсы (5.4)'!$F$26:$F$57,$F142,'Ресурсы (5.4)'!$G$26:$G$57,$G142)</f>
        <v>0</v>
      </c>
      <c r="BA142" s="515">
        <f ca="1">SUMIFS('Ресурсы (5.4)'!BA$26:BA$57,'Ресурсы (5.4)'!$F$26:$F$57,$F142,'Ресурсы (5.4)'!$G$26:$G$57,$G142)</f>
        <v>0</v>
      </c>
      <c r="BB142" s="515">
        <f ca="1">SUMIFS('Ресурсы (5.4)'!BB$26:BB$57,'Ресурсы (5.4)'!$F$26:$F$57,$F142,'Ресурсы (5.4)'!$G$26:$G$57,$G142)</f>
        <v>0</v>
      </c>
      <c r="BC142" s="515">
        <f ca="1">SUMIFS('Ресурсы (5.4)'!BC$26:BC$57,'Ресурсы (5.4)'!$F$26:$F$57,$F142,'Ресурсы (5.4)'!$G$26:$G$57,$G142)</f>
        <v>0</v>
      </c>
      <c r="BD142" s="256">
        <f t="shared" ca="1" si="76"/>
        <v>40.393379093160249</v>
      </c>
      <c r="BE142" s="256">
        <f t="shared" ca="1" si="77"/>
        <v>-100</v>
      </c>
      <c r="BF142" s="256">
        <f t="shared" ca="1" si="78"/>
        <v>0</v>
      </c>
      <c r="BG142" s="256">
        <f t="shared" ca="1" si="79"/>
        <v>0</v>
      </c>
      <c r="BH142" s="256">
        <f t="shared" ca="1" si="80"/>
        <v>0</v>
      </c>
      <c r="BI142" s="256">
        <f t="shared" ca="1" si="81"/>
        <v>0</v>
      </c>
      <c r="BJ142" s="256">
        <f t="shared" ca="1" si="82"/>
        <v>0</v>
      </c>
      <c r="BK142" s="256">
        <f t="shared" ca="1" si="83"/>
        <v>0</v>
      </c>
      <c r="BL142" s="256">
        <f t="shared" ca="1" si="84"/>
        <v>0</v>
      </c>
      <c r="BM142" s="256">
        <f t="shared" ca="1" si="85"/>
        <v>0</v>
      </c>
      <c r="BN142" s="1290"/>
      <c r="BO142" s="1290"/>
      <c r="BP142" s="1290"/>
      <c r="BQ142" s="180"/>
      <c r="BR142" s="180"/>
      <c r="BS142" s="1031" t="s">
        <v>1656</v>
      </c>
      <c r="BT142" s="1031"/>
      <c r="BU142" s="1031"/>
      <c r="BV142" s="1032"/>
      <c r="BW142" s="1032"/>
      <c r="BX142" s="1064" t="str" cm="1">
        <f t="array" aca="1" ref="BX142" ca="1">D142&amp;"::"&amp;IF(N142&lt;&gt;"",N142,"Неопределено")&amp;"::"&amp;IF(M142&lt;&gt;"",M142,"Неопределено")&amp;"::"&amp;IF(O142&lt;&gt;"",O142,"Неопределено")&amp;"::"&amp;IF(P142&lt;&gt;"",P142,"Неопределено")&amp;"::"&amp;IF(Q142&lt;&gt;"",Q142,"Неопределено")&amp;"::"&amp;IF(R142&lt;&gt;"",R142,"Неопределено")</f>
        <v>M10748::ТЭ.42.26322895.0004::Неопределено::Неопределено::Неопределено::Неопределено::Неопределено</v>
      </c>
    </row>
    <row r="143" spans="1:76" s="1229" customFormat="1" ht="16.5" hidden="1" customHeight="1">
      <c r="A143" s="178"/>
      <c r="B143" s="783"/>
      <c r="C143" s="1094" t="s">
        <v>1657</v>
      </c>
      <c r="D143" s="1053" t="s">
        <v>1658</v>
      </c>
      <c r="E143" s="676">
        <v>17.100000000000001</v>
      </c>
      <c r="F143" s="779" t="str" cm="1">
        <f t="array" aca="1" ref="F143" ca="1">OFFSET(G143,-1,-1)</f>
        <v>2</v>
      </c>
      <c r="G143" s="180"/>
      <c r="H143" s="180"/>
      <c r="I143" s="180"/>
      <c r="J143" s="180"/>
      <c r="K143" s="180"/>
      <c r="L143" s="143"/>
      <c r="M143" s="1077"/>
      <c r="N143" s="1077" t="str" cm="1">
        <f t="array" aca="1" ref="N143" ca="1">OFFSET(M143,-1,1)</f>
        <v>ТЭ.42.26322895.0004</v>
      </c>
      <c r="O143" s="1078"/>
      <c r="P143" s="1078"/>
      <c r="Q143" s="1078"/>
      <c r="R143" s="1078"/>
      <c r="T143" s="687" t="b">
        <f t="shared" ref="T143:T154" ca="1" si="86">AND(F143&gt;0,method_reg="Метод обеспечения доходности инвестированного капитала")</f>
        <v>0</v>
      </c>
      <c r="U143" s="1153"/>
      <c r="V143" s="1153"/>
      <c r="W143" s="1153"/>
      <c r="X143" s="1726"/>
      <c r="Y143" s="1153"/>
      <c r="Z143" s="1726"/>
      <c r="AA143" s="180"/>
      <c r="AB143" s="260" t="s">
        <v>440</v>
      </c>
      <c r="AC143" s="719" t="s">
        <v>1659</v>
      </c>
      <c r="AD143" s="258" t="s">
        <v>839</v>
      </c>
      <c r="AE143" s="77"/>
      <c r="AF143" s="77"/>
      <c r="AG143" s="77"/>
      <c r="AH143" s="256">
        <f t="shared" si="75"/>
        <v>0</v>
      </c>
      <c r="AI143" s="77"/>
      <c r="AJ143" s="517"/>
      <c r="AK143" s="517"/>
      <c r="AL143" s="517"/>
      <c r="AM143" s="517"/>
      <c r="AN143" s="517"/>
      <c r="AO143" s="77"/>
      <c r="AP143" s="77"/>
      <c r="AQ143" s="77"/>
      <c r="AR143" s="77"/>
      <c r="AS143" s="77"/>
      <c r="AT143" s="517"/>
      <c r="AU143" s="517"/>
      <c r="AV143" s="517"/>
      <c r="AW143" s="517"/>
      <c r="AX143" s="517"/>
      <c r="AY143" s="77"/>
      <c r="AZ143" s="77"/>
      <c r="BA143" s="77"/>
      <c r="BB143" s="77"/>
      <c r="BC143" s="77"/>
      <c r="BD143" s="256">
        <f t="shared" si="76"/>
        <v>0</v>
      </c>
      <c r="BE143" s="256">
        <f t="shared" si="77"/>
        <v>0</v>
      </c>
      <c r="BF143" s="256">
        <f t="shared" si="78"/>
        <v>0</v>
      </c>
      <c r="BG143" s="256">
        <f t="shared" si="79"/>
        <v>0</v>
      </c>
      <c r="BH143" s="256">
        <f t="shared" si="80"/>
        <v>0</v>
      </c>
      <c r="BI143" s="256">
        <f t="shared" si="81"/>
        <v>0</v>
      </c>
      <c r="BJ143" s="256">
        <f t="shared" si="82"/>
        <v>0</v>
      </c>
      <c r="BK143" s="256">
        <f t="shared" si="83"/>
        <v>0</v>
      </c>
      <c r="BL143" s="256">
        <f t="shared" si="84"/>
        <v>0</v>
      </c>
      <c r="BM143" s="256">
        <f t="shared" si="85"/>
        <v>0</v>
      </c>
      <c r="BN143" s="28"/>
      <c r="BO143" s="28"/>
      <c r="BP143" s="28"/>
      <c r="BQ143" s="180"/>
      <c r="BR143" s="180"/>
      <c r="BS143" s="1031" t="s">
        <v>1660</v>
      </c>
      <c r="BT143" s="1031"/>
      <c r="BU143" s="1031"/>
      <c r="BV143" s="1032"/>
      <c r="BW143" s="1032"/>
      <c r="BX143" s="1064" t="str" cm="1">
        <f t="array" aca="1" ref="BX143" ca="1">D143&amp;"::"&amp;IF(N143&lt;&gt;"",N143,"Неопределено")&amp;"::"&amp;IF(M143&lt;&gt;"",M143,"Неопределено")&amp;"::"&amp;IF(O143&lt;&gt;"",O143,"Неопределено")&amp;"::"&amp;IF(P143&lt;&gt;"",P143,"Неопределено")&amp;"::"&amp;IF(Q143&lt;&gt;"",Q143,"Неопределено")&amp;"::"&amp;IF(R143&lt;&gt;"",R143,"Неопределено")</f>
        <v>M11483::ТЭ.42.26322895.0004::Неопределено::Неопределено::Неопределено::Неопределено::Неопределено</v>
      </c>
    </row>
    <row r="144" spans="1:76" s="1229" customFormat="1" ht="16.5" hidden="1" customHeight="1">
      <c r="A144" s="178"/>
      <c r="B144" s="783"/>
      <c r="C144" s="1094" t="s">
        <v>1661</v>
      </c>
      <c r="D144" s="1053" t="s">
        <v>1662</v>
      </c>
      <c r="E144" s="676">
        <v>17.100000000000001</v>
      </c>
      <c r="F144" s="779" t="str" cm="1">
        <f t="array" aca="1" ref="F144" ca="1">OFFSET(G144,-1,-1)</f>
        <v>2</v>
      </c>
      <c r="G144" s="180"/>
      <c r="H144" s="180"/>
      <c r="I144" s="180"/>
      <c r="J144" s="180"/>
      <c r="K144" s="180"/>
      <c r="L144" s="143"/>
      <c r="M144" s="1077"/>
      <c r="N144" s="1077" t="str" cm="1">
        <f t="array" aca="1" ref="N144" ca="1">OFFSET(M144,-1,1)</f>
        <v>ТЭ.42.26322895.0004</v>
      </c>
      <c r="O144" s="1078"/>
      <c r="P144" s="1078"/>
      <c r="Q144" s="1078"/>
      <c r="R144" s="1078"/>
      <c r="T144" s="687" t="b">
        <f t="shared" ca="1" si="86"/>
        <v>0</v>
      </c>
      <c r="U144" s="1153"/>
      <c r="V144" s="1153"/>
      <c r="W144" s="1153"/>
      <c r="X144" s="1726"/>
      <c r="Y144" s="1153"/>
      <c r="Z144" s="1726"/>
      <c r="AA144" s="180"/>
      <c r="AB144" s="260" t="s">
        <v>780</v>
      </c>
      <c r="AC144" s="261" t="s">
        <v>1663</v>
      </c>
      <c r="AD144" s="258" t="s">
        <v>839</v>
      </c>
      <c r="AE144" s="77"/>
      <c r="AF144" s="77"/>
      <c r="AG144" s="77"/>
      <c r="AH144" s="256">
        <f t="shared" si="75"/>
        <v>0</v>
      </c>
      <c r="AI144" s="77"/>
      <c r="AJ144" s="517"/>
      <c r="AK144" s="517"/>
      <c r="AL144" s="517"/>
      <c r="AM144" s="517"/>
      <c r="AN144" s="517"/>
      <c r="AO144" s="77"/>
      <c r="AP144" s="77"/>
      <c r="AQ144" s="77"/>
      <c r="AR144" s="77"/>
      <c r="AS144" s="77"/>
      <c r="AT144" s="517"/>
      <c r="AU144" s="517"/>
      <c r="AV144" s="517"/>
      <c r="AW144" s="517"/>
      <c r="AX144" s="517"/>
      <c r="AY144" s="77"/>
      <c r="AZ144" s="77"/>
      <c r="BA144" s="77"/>
      <c r="BB144" s="77"/>
      <c r="BC144" s="77"/>
      <c r="BD144" s="256">
        <f t="shared" si="76"/>
        <v>0</v>
      </c>
      <c r="BE144" s="256">
        <f t="shared" si="77"/>
        <v>0</v>
      </c>
      <c r="BF144" s="256">
        <f t="shared" si="78"/>
        <v>0</v>
      </c>
      <c r="BG144" s="256">
        <f t="shared" si="79"/>
        <v>0</v>
      </c>
      <c r="BH144" s="256">
        <f t="shared" si="80"/>
        <v>0</v>
      </c>
      <c r="BI144" s="256">
        <f t="shared" si="81"/>
        <v>0</v>
      </c>
      <c r="BJ144" s="256">
        <f t="shared" si="82"/>
        <v>0</v>
      </c>
      <c r="BK144" s="256">
        <f t="shared" si="83"/>
        <v>0</v>
      </c>
      <c r="BL144" s="256">
        <f t="shared" si="84"/>
        <v>0</v>
      </c>
      <c r="BM144" s="256">
        <f t="shared" si="85"/>
        <v>0</v>
      </c>
      <c r="BN144" s="28"/>
      <c r="BO144" s="28"/>
      <c r="BP144" s="28"/>
      <c r="BQ144" s="180"/>
      <c r="BR144" s="180"/>
      <c r="BS144" s="1031" t="s">
        <v>1664</v>
      </c>
      <c r="BT144" s="1031"/>
      <c r="BU144" s="1031"/>
      <c r="BV144" s="1032"/>
      <c r="BW144" s="1032"/>
      <c r="BX144" s="1064" t="str" cm="1">
        <f t="array" aca="1" ref="BX144" ca="1">D144&amp;"::"&amp;IF(N144&lt;&gt;"",N144,"Неопределено")&amp;"::"&amp;IF(M144&lt;&gt;"",M144,"Неопределено")&amp;"::"&amp;IF(O144&lt;&gt;"",O144,"Неопределено")&amp;"::"&amp;IF(P144&lt;&gt;"",P144,"Неопределено")&amp;"::"&amp;IF(Q144&lt;&gt;"",Q144,"Неопределено")&amp;"::"&amp;IF(R144&lt;&gt;"",R144,"Неопределено")</f>
        <v>M11484::ТЭ.42.26322895.0004::Неопределено::Неопределено::Неопределено::Неопределено::Неопределено</v>
      </c>
    </row>
    <row r="145" spans="1:76" s="1229" customFormat="1" ht="16.5" hidden="1" customHeight="1">
      <c r="A145" s="178"/>
      <c r="B145" s="783"/>
      <c r="C145" s="1094" t="s">
        <v>1665</v>
      </c>
      <c r="D145" s="1053" t="s">
        <v>1666</v>
      </c>
      <c r="E145" s="676">
        <v>17.100000000000001</v>
      </c>
      <c r="F145" s="779" t="str" cm="1">
        <f t="array" aca="1" ref="F145" ca="1">OFFSET(G145,-1,-1)</f>
        <v>2</v>
      </c>
      <c r="G145" s="180"/>
      <c r="H145" s="180"/>
      <c r="I145" s="180"/>
      <c r="J145" s="180"/>
      <c r="K145" s="180"/>
      <c r="L145" s="143"/>
      <c r="M145" s="1077"/>
      <c r="N145" s="1077" t="str" cm="1">
        <f t="array" aca="1" ref="N145" ca="1">OFFSET(M145,-1,1)</f>
        <v>ТЭ.42.26322895.0004</v>
      </c>
      <c r="O145" s="1078"/>
      <c r="P145" s="1078"/>
      <c r="Q145" s="1078"/>
      <c r="R145" s="1078"/>
      <c r="T145" s="687" t="b">
        <f t="shared" ca="1" si="86"/>
        <v>0</v>
      </c>
      <c r="U145" s="1153"/>
      <c r="V145" s="1153"/>
      <c r="W145" s="1153"/>
      <c r="X145" s="1726"/>
      <c r="Y145" s="1153"/>
      <c r="Z145" s="1726"/>
      <c r="AA145" s="180"/>
      <c r="AB145" s="260" t="s">
        <v>1667</v>
      </c>
      <c r="AC145" s="261" t="s">
        <v>1668</v>
      </c>
      <c r="AD145" s="258" t="s">
        <v>1669</v>
      </c>
      <c r="AE145" s="77"/>
      <c r="AF145" s="77"/>
      <c r="AG145" s="77"/>
      <c r="AH145" s="256">
        <f t="shared" si="75"/>
        <v>0</v>
      </c>
      <c r="AI145" s="77"/>
      <c r="AJ145" s="517"/>
      <c r="AK145" s="517"/>
      <c r="AL145" s="517"/>
      <c r="AM145" s="517"/>
      <c r="AN145" s="517"/>
      <c r="AO145" s="77"/>
      <c r="AP145" s="77"/>
      <c r="AQ145" s="77"/>
      <c r="AR145" s="77"/>
      <c r="AS145" s="77"/>
      <c r="AT145" s="517"/>
      <c r="AU145" s="517"/>
      <c r="AV145" s="517"/>
      <c r="AW145" s="517"/>
      <c r="AX145" s="517"/>
      <c r="AY145" s="77"/>
      <c r="AZ145" s="77"/>
      <c r="BA145" s="77"/>
      <c r="BB145" s="77"/>
      <c r="BC145" s="77"/>
      <c r="BD145" s="256">
        <f t="shared" si="76"/>
        <v>0</v>
      </c>
      <c r="BE145" s="256">
        <f t="shared" si="77"/>
        <v>0</v>
      </c>
      <c r="BF145" s="256">
        <f t="shared" si="78"/>
        <v>0</v>
      </c>
      <c r="BG145" s="256">
        <f t="shared" si="79"/>
        <v>0</v>
      </c>
      <c r="BH145" s="256">
        <f t="shared" si="80"/>
        <v>0</v>
      </c>
      <c r="BI145" s="256">
        <f t="shared" si="81"/>
        <v>0</v>
      </c>
      <c r="BJ145" s="256">
        <f t="shared" si="82"/>
        <v>0</v>
      </c>
      <c r="BK145" s="256">
        <f t="shared" si="83"/>
        <v>0</v>
      </c>
      <c r="BL145" s="256">
        <f t="shared" si="84"/>
        <v>0</v>
      </c>
      <c r="BM145" s="256">
        <f t="shared" si="85"/>
        <v>0</v>
      </c>
      <c r="BN145" s="28"/>
      <c r="BO145" s="28"/>
      <c r="BP145" s="28"/>
      <c r="BQ145" s="180"/>
      <c r="BR145" s="180"/>
      <c r="BS145" s="1031" t="s">
        <v>1670</v>
      </c>
      <c r="BT145" s="1031"/>
      <c r="BU145" s="1031"/>
      <c r="BV145" s="1032"/>
      <c r="BW145" s="1032"/>
      <c r="BX145" s="1064" t="str" cm="1">
        <f t="array" aca="1" ref="BX145" ca="1">D145&amp;"::"&amp;IF(N145&lt;&gt;"",N145,"Неопределено")&amp;"::"&amp;IF(M145&lt;&gt;"",M145,"Неопределено")&amp;"::"&amp;IF(O145&lt;&gt;"",O145,"Неопределено")&amp;"::"&amp;IF(P145&lt;&gt;"",P145,"Неопределено")&amp;"::"&amp;IF(Q145&lt;&gt;"",Q145,"Неопределено")&amp;"::"&amp;IF(R145&lt;&gt;"",R145,"Неопределено")</f>
        <v>M11485::ТЭ.42.26322895.0004::Неопределено::Неопределено::Неопределено::Неопределено::Неопределено</v>
      </c>
    </row>
    <row r="146" spans="1:76" s="1229" customFormat="1" ht="16.5" hidden="1" customHeight="1">
      <c r="A146" s="178"/>
      <c r="B146" s="783"/>
      <c r="C146" s="1094" t="s">
        <v>1671</v>
      </c>
      <c r="D146" s="1053" t="s">
        <v>1672</v>
      </c>
      <c r="E146" s="676">
        <v>17.100000000000001</v>
      </c>
      <c r="F146" s="779" t="str" cm="1">
        <f t="array" aca="1" ref="F146" ca="1">OFFSET(G146,-1,-1)</f>
        <v>2</v>
      </c>
      <c r="G146" s="180"/>
      <c r="H146" s="180"/>
      <c r="I146" s="180"/>
      <c r="J146" s="180"/>
      <c r="K146" s="180"/>
      <c r="L146" s="143"/>
      <c r="M146" s="1077"/>
      <c r="N146" s="1077" t="str" cm="1">
        <f t="array" aca="1" ref="N146" ca="1">OFFSET(M146,-1,1)</f>
        <v>ТЭ.42.26322895.0004</v>
      </c>
      <c r="O146" s="1078"/>
      <c r="P146" s="1078"/>
      <c r="Q146" s="1078"/>
      <c r="R146" s="1078"/>
      <c r="T146" s="687" t="b">
        <f t="shared" ca="1" si="86"/>
        <v>0</v>
      </c>
      <c r="U146" s="1153"/>
      <c r="V146" s="1153"/>
      <c r="W146" s="1153"/>
      <c r="X146" s="1726"/>
      <c r="Y146" s="1153"/>
      <c r="Z146" s="1726"/>
      <c r="AA146" s="180"/>
      <c r="AB146" s="260" t="s">
        <v>443</v>
      </c>
      <c r="AC146" s="719" t="s">
        <v>1673</v>
      </c>
      <c r="AD146" s="258" t="s">
        <v>839</v>
      </c>
      <c r="AE146" s="77"/>
      <c r="AF146" s="77"/>
      <c r="AG146" s="77"/>
      <c r="AH146" s="256">
        <f t="shared" si="75"/>
        <v>0</v>
      </c>
      <c r="AI146" s="77"/>
      <c r="AJ146" s="517"/>
      <c r="AK146" s="517"/>
      <c r="AL146" s="517"/>
      <c r="AM146" s="517"/>
      <c r="AN146" s="517"/>
      <c r="AO146" s="77"/>
      <c r="AP146" s="77"/>
      <c r="AQ146" s="77"/>
      <c r="AR146" s="77"/>
      <c r="AS146" s="77"/>
      <c r="AT146" s="517"/>
      <c r="AU146" s="517"/>
      <c r="AV146" s="517"/>
      <c r="AW146" s="517"/>
      <c r="AX146" s="517"/>
      <c r="AY146" s="77"/>
      <c r="AZ146" s="77"/>
      <c r="BA146" s="77"/>
      <c r="BB146" s="77"/>
      <c r="BC146" s="77"/>
      <c r="BD146" s="256">
        <f t="shared" si="76"/>
        <v>0</v>
      </c>
      <c r="BE146" s="256">
        <f t="shared" si="77"/>
        <v>0</v>
      </c>
      <c r="BF146" s="256">
        <f t="shared" si="78"/>
        <v>0</v>
      </c>
      <c r="BG146" s="256">
        <f t="shared" si="79"/>
        <v>0</v>
      </c>
      <c r="BH146" s="256">
        <f t="shared" si="80"/>
        <v>0</v>
      </c>
      <c r="BI146" s="256">
        <f t="shared" si="81"/>
        <v>0</v>
      </c>
      <c r="BJ146" s="256">
        <f t="shared" si="82"/>
        <v>0</v>
      </c>
      <c r="BK146" s="256">
        <f t="shared" si="83"/>
        <v>0</v>
      </c>
      <c r="BL146" s="256">
        <f t="shared" si="84"/>
        <v>0</v>
      </c>
      <c r="BM146" s="256">
        <f t="shared" si="85"/>
        <v>0</v>
      </c>
      <c r="BN146" s="28"/>
      <c r="BO146" s="28"/>
      <c r="BP146" s="28"/>
      <c r="BQ146" s="180"/>
      <c r="BR146" s="180"/>
      <c r="BS146" s="1031" t="s">
        <v>1674</v>
      </c>
      <c r="BT146" s="1031"/>
      <c r="BU146" s="1031"/>
      <c r="BV146" s="1032"/>
      <c r="BW146" s="1032"/>
      <c r="BX146" s="1064" t="str" cm="1">
        <f t="array" aca="1" ref="BX146" ca="1">D146&amp;"::"&amp;IF(N146&lt;&gt;"",N146,"Неопределено")&amp;"::"&amp;IF(M146&lt;&gt;"",M146,"Неопределено")&amp;"::"&amp;IF(O146&lt;&gt;"",O146,"Неопределено")&amp;"::"&amp;IF(P146&lt;&gt;"",P146,"Неопределено")&amp;"::"&amp;IF(Q146&lt;&gt;"",Q146,"Неопределено")&amp;"::"&amp;IF(R146&lt;&gt;"",R146,"Неопределено")</f>
        <v>M11486::ТЭ.42.26322895.0004::Неопределено::Неопределено::Неопределено::Неопределено::Неопределено</v>
      </c>
    </row>
    <row r="147" spans="1:76" s="1229" customFormat="1" ht="16.5" hidden="1" customHeight="1">
      <c r="A147" s="178"/>
      <c r="B147" s="783"/>
      <c r="C147" s="1094" t="s">
        <v>1675</v>
      </c>
      <c r="D147" s="1053" t="s">
        <v>1676</v>
      </c>
      <c r="E147" s="676">
        <v>17.100000000000001</v>
      </c>
      <c r="F147" s="779" t="str" cm="1">
        <f t="array" aca="1" ref="F147" ca="1">OFFSET(G147,-1,-1)</f>
        <v>2</v>
      </c>
      <c r="G147" s="180"/>
      <c r="H147" s="180"/>
      <c r="I147" s="180"/>
      <c r="J147" s="180"/>
      <c r="K147" s="180"/>
      <c r="L147" s="143"/>
      <c r="M147" s="1077"/>
      <c r="N147" s="1077" t="str" cm="1">
        <f t="array" aca="1" ref="N147" ca="1">OFFSET(M147,-1,1)</f>
        <v>ТЭ.42.26322895.0004</v>
      </c>
      <c r="O147" s="1078"/>
      <c r="P147" s="1078"/>
      <c r="Q147" s="1078"/>
      <c r="R147" s="1078"/>
      <c r="T147" s="687" t="b">
        <f t="shared" ca="1" si="86"/>
        <v>0</v>
      </c>
      <c r="U147" s="1153"/>
      <c r="V147" s="1153"/>
      <c r="W147" s="1153"/>
      <c r="X147" s="1726"/>
      <c r="Y147" s="1153"/>
      <c r="Z147" s="1726"/>
      <c r="AA147" s="180"/>
      <c r="AB147" s="260" t="s">
        <v>785</v>
      </c>
      <c r="AC147" s="261" t="s">
        <v>1677</v>
      </c>
      <c r="AD147" s="258" t="s">
        <v>839</v>
      </c>
      <c r="AE147" s="77"/>
      <c r="AF147" s="77"/>
      <c r="AG147" s="77"/>
      <c r="AH147" s="256">
        <f t="shared" si="75"/>
        <v>0</v>
      </c>
      <c r="AI147" s="77"/>
      <c r="AJ147" s="517"/>
      <c r="AK147" s="517"/>
      <c r="AL147" s="517"/>
      <c r="AM147" s="517"/>
      <c r="AN147" s="517"/>
      <c r="AO147" s="77"/>
      <c r="AP147" s="77"/>
      <c r="AQ147" s="77"/>
      <c r="AR147" s="77"/>
      <c r="AS147" s="77"/>
      <c r="AT147" s="517"/>
      <c r="AU147" s="517"/>
      <c r="AV147" s="517"/>
      <c r="AW147" s="517"/>
      <c r="AX147" s="517"/>
      <c r="AY147" s="77"/>
      <c r="AZ147" s="77"/>
      <c r="BA147" s="77"/>
      <c r="BB147" s="77"/>
      <c r="BC147" s="77"/>
      <c r="BD147" s="256">
        <f t="shared" si="76"/>
        <v>0</v>
      </c>
      <c r="BE147" s="256">
        <f t="shared" si="77"/>
        <v>0</v>
      </c>
      <c r="BF147" s="256">
        <f t="shared" si="78"/>
        <v>0</v>
      </c>
      <c r="BG147" s="256">
        <f t="shared" si="79"/>
        <v>0</v>
      </c>
      <c r="BH147" s="256">
        <f t="shared" si="80"/>
        <v>0</v>
      </c>
      <c r="BI147" s="256">
        <f t="shared" si="81"/>
        <v>0</v>
      </c>
      <c r="BJ147" s="256">
        <f t="shared" si="82"/>
        <v>0</v>
      </c>
      <c r="BK147" s="256">
        <f t="shared" si="83"/>
        <v>0</v>
      </c>
      <c r="BL147" s="256">
        <f t="shared" si="84"/>
        <v>0</v>
      </c>
      <c r="BM147" s="256">
        <f t="shared" si="85"/>
        <v>0</v>
      </c>
      <c r="BN147" s="28"/>
      <c r="BO147" s="28"/>
      <c r="BP147" s="28"/>
      <c r="BQ147" s="180"/>
      <c r="BR147" s="180"/>
      <c r="BS147" s="1031" t="s">
        <v>1678</v>
      </c>
      <c r="BT147" s="1031"/>
      <c r="BU147" s="1031"/>
      <c r="BV147" s="1032"/>
      <c r="BW147" s="1032"/>
      <c r="BX147" s="1064" t="str" cm="1">
        <f t="array" aca="1" ref="BX147" ca="1">D147&amp;"::"&amp;IF(N147&lt;&gt;"",N147,"Неопределено")&amp;"::"&amp;IF(M147&lt;&gt;"",M147,"Неопределено")&amp;"::"&amp;IF(O147&lt;&gt;"",O147,"Неопределено")&amp;"::"&amp;IF(P147&lt;&gt;"",P147,"Неопределено")&amp;"::"&amp;IF(Q147&lt;&gt;"",Q147,"Неопределено")&amp;"::"&amp;IF(R147&lt;&gt;"",R147,"Неопределено")</f>
        <v>M11487::ТЭ.42.26322895.0004::Неопределено::Неопределено::Неопределено::Неопределено::Неопределено</v>
      </c>
    </row>
    <row r="148" spans="1:76" s="1229" customFormat="1" ht="16.5" hidden="1" customHeight="1">
      <c r="A148" s="178"/>
      <c r="B148" s="783"/>
      <c r="C148" s="1094" t="s">
        <v>1679</v>
      </c>
      <c r="D148" s="1053" t="s">
        <v>1680</v>
      </c>
      <c r="E148" s="676">
        <v>17.100000000000001</v>
      </c>
      <c r="F148" s="779" t="str" cm="1">
        <f t="array" aca="1" ref="F148" ca="1">OFFSET(G148,-1,-1)</f>
        <v>2</v>
      </c>
      <c r="G148" s="180"/>
      <c r="H148" s="180"/>
      <c r="I148" s="180"/>
      <c r="J148" s="180"/>
      <c r="K148" s="180"/>
      <c r="L148" s="143"/>
      <c r="M148" s="1077"/>
      <c r="N148" s="1077" t="str" cm="1">
        <f t="array" aca="1" ref="N148" ca="1">OFFSET(M148,-1,1)</f>
        <v>ТЭ.42.26322895.0004</v>
      </c>
      <c r="O148" s="1078"/>
      <c r="P148" s="1078"/>
      <c r="Q148" s="1078"/>
      <c r="R148" s="1078"/>
      <c r="T148" s="687" t="b">
        <f t="shared" ca="1" si="86"/>
        <v>0</v>
      </c>
      <c r="U148" s="1153"/>
      <c r="V148" s="1153"/>
      <c r="W148" s="1153"/>
      <c r="X148" s="1726"/>
      <c r="Y148" s="1153"/>
      <c r="Z148" s="1726"/>
      <c r="AA148" s="180"/>
      <c r="AB148" s="260" t="s">
        <v>1364</v>
      </c>
      <c r="AC148" s="261" t="s">
        <v>1681</v>
      </c>
      <c r="AD148" s="258" t="s">
        <v>533</v>
      </c>
      <c r="AE148" s="77"/>
      <c r="AF148" s="77"/>
      <c r="AG148" s="77"/>
      <c r="AH148" s="256">
        <f t="shared" si="75"/>
        <v>0</v>
      </c>
      <c r="AI148" s="77"/>
      <c r="AJ148" s="517"/>
      <c r="AK148" s="517"/>
      <c r="AL148" s="517"/>
      <c r="AM148" s="517"/>
      <c r="AN148" s="517"/>
      <c r="AO148" s="77"/>
      <c r="AP148" s="77"/>
      <c r="AQ148" s="77"/>
      <c r="AR148" s="77"/>
      <c r="AS148" s="77"/>
      <c r="AT148" s="517"/>
      <c r="AU148" s="517"/>
      <c r="AV148" s="517"/>
      <c r="AW148" s="517"/>
      <c r="AX148" s="517"/>
      <c r="AY148" s="77"/>
      <c r="AZ148" s="77"/>
      <c r="BA148" s="77"/>
      <c r="BB148" s="77"/>
      <c r="BC148" s="77"/>
      <c r="BD148" s="256">
        <f t="shared" si="76"/>
        <v>0</v>
      </c>
      <c r="BE148" s="256">
        <f t="shared" si="77"/>
        <v>0</v>
      </c>
      <c r="BF148" s="256">
        <f t="shared" si="78"/>
        <v>0</v>
      </c>
      <c r="BG148" s="256">
        <f t="shared" si="79"/>
        <v>0</v>
      </c>
      <c r="BH148" s="256">
        <f t="shared" si="80"/>
        <v>0</v>
      </c>
      <c r="BI148" s="256">
        <f t="shared" si="81"/>
        <v>0</v>
      </c>
      <c r="BJ148" s="256">
        <f t="shared" si="82"/>
        <v>0</v>
      </c>
      <c r="BK148" s="256">
        <f t="shared" si="83"/>
        <v>0</v>
      </c>
      <c r="BL148" s="256">
        <f t="shared" si="84"/>
        <v>0</v>
      </c>
      <c r="BM148" s="256">
        <f t="shared" si="85"/>
        <v>0</v>
      </c>
      <c r="BN148" s="28"/>
      <c r="BO148" s="28"/>
      <c r="BP148" s="28"/>
      <c r="BQ148" s="180"/>
      <c r="BR148" s="180"/>
      <c r="BS148" s="1031" t="s">
        <v>1682</v>
      </c>
      <c r="BT148" s="1031"/>
      <c r="BU148" s="1031"/>
      <c r="BV148" s="1032"/>
      <c r="BW148" s="1032"/>
      <c r="BX148" s="1064" t="str" cm="1">
        <f t="array" aca="1" ref="BX148" ca="1">D148&amp;"::"&amp;IF(N148&lt;&gt;"",N148,"Неопределено")&amp;"::"&amp;IF(M148&lt;&gt;"",M148,"Неопределено")&amp;"::"&amp;IF(O148&lt;&gt;"",O148,"Неопределено")&amp;"::"&amp;IF(P148&lt;&gt;"",P148,"Неопределено")&amp;"::"&amp;IF(Q148&lt;&gt;"",Q148,"Неопределено")&amp;"::"&amp;IF(R148&lt;&gt;"",R148,"Неопределено")</f>
        <v>M11488::ТЭ.42.26322895.0004::Неопределено::Неопределено::Неопределено::Неопределено::Неопределено</v>
      </c>
    </row>
    <row r="149" spans="1:76" s="1229" customFormat="1" ht="16.5" hidden="1" customHeight="1">
      <c r="A149" s="178"/>
      <c r="B149" s="783"/>
      <c r="C149" s="1094" t="s">
        <v>1683</v>
      </c>
      <c r="D149" s="1053" t="s">
        <v>1684</v>
      </c>
      <c r="E149" s="676">
        <v>17.100000000000001</v>
      </c>
      <c r="F149" s="779" t="str" cm="1">
        <f t="array" aca="1" ref="F149" ca="1">OFFSET(G149,-1,-1)</f>
        <v>2</v>
      </c>
      <c r="G149" s="180"/>
      <c r="H149" s="180"/>
      <c r="I149" s="180"/>
      <c r="J149" s="180"/>
      <c r="K149" s="180"/>
      <c r="L149" s="143"/>
      <c r="M149" s="1077"/>
      <c r="N149" s="1077" t="str" cm="1">
        <f t="array" aca="1" ref="N149" ca="1">OFFSET(M149,-1,1)</f>
        <v>ТЭ.42.26322895.0004</v>
      </c>
      <c r="O149" s="1078"/>
      <c r="P149" s="1078"/>
      <c r="Q149" s="1078"/>
      <c r="R149" s="1078"/>
      <c r="T149" s="687" t="b">
        <f t="shared" ca="1" si="86"/>
        <v>0</v>
      </c>
      <c r="U149" s="1153"/>
      <c r="V149" s="1153"/>
      <c r="W149" s="1153"/>
      <c r="X149" s="1726"/>
      <c r="Y149" s="1153"/>
      <c r="Z149" s="1726"/>
      <c r="AA149" s="180"/>
      <c r="AB149" s="260" t="s">
        <v>1367</v>
      </c>
      <c r="AC149" s="82" t="s">
        <v>1685</v>
      </c>
      <c r="AD149" s="258" t="s">
        <v>839</v>
      </c>
      <c r="AE149" s="77"/>
      <c r="AF149" s="77"/>
      <c r="AG149" s="77"/>
      <c r="AH149" s="256">
        <f t="shared" si="75"/>
        <v>0</v>
      </c>
      <c r="AI149" s="77"/>
      <c r="AJ149" s="517"/>
      <c r="AK149" s="517"/>
      <c r="AL149" s="517"/>
      <c r="AM149" s="517"/>
      <c r="AN149" s="517"/>
      <c r="AO149" s="77"/>
      <c r="AP149" s="77"/>
      <c r="AQ149" s="77"/>
      <c r="AR149" s="77"/>
      <c r="AS149" s="77"/>
      <c r="AT149" s="517"/>
      <c r="AU149" s="517"/>
      <c r="AV149" s="517"/>
      <c r="AW149" s="517"/>
      <c r="AX149" s="517"/>
      <c r="AY149" s="77"/>
      <c r="AZ149" s="77"/>
      <c r="BA149" s="77"/>
      <c r="BB149" s="77"/>
      <c r="BC149" s="77"/>
      <c r="BD149" s="256">
        <f t="shared" si="76"/>
        <v>0</v>
      </c>
      <c r="BE149" s="256">
        <f t="shared" si="77"/>
        <v>0</v>
      </c>
      <c r="BF149" s="256">
        <f t="shared" si="78"/>
        <v>0</v>
      </c>
      <c r="BG149" s="256">
        <f t="shared" si="79"/>
        <v>0</v>
      </c>
      <c r="BH149" s="256">
        <f t="shared" si="80"/>
        <v>0</v>
      </c>
      <c r="BI149" s="256">
        <f t="shared" si="81"/>
        <v>0</v>
      </c>
      <c r="BJ149" s="256">
        <f t="shared" si="82"/>
        <v>0</v>
      </c>
      <c r="BK149" s="256">
        <f t="shared" si="83"/>
        <v>0</v>
      </c>
      <c r="BL149" s="256">
        <f t="shared" si="84"/>
        <v>0</v>
      </c>
      <c r="BM149" s="256">
        <f t="shared" si="85"/>
        <v>0</v>
      </c>
      <c r="BN149" s="28"/>
      <c r="BO149" s="28"/>
      <c r="BP149" s="28"/>
      <c r="BQ149" s="180"/>
      <c r="BR149" s="180"/>
      <c r="BS149" s="1031" t="s">
        <v>1686</v>
      </c>
      <c r="BT149" s="1031"/>
      <c r="BU149" s="1031"/>
      <c r="BV149" s="1032"/>
      <c r="BW149" s="1032"/>
      <c r="BX149" s="1064" t="str" cm="1">
        <f t="array" aca="1" ref="BX149" ca="1">D149&amp;"::"&amp;IF(N149&lt;&gt;"",N149,"Неопределено")&amp;"::"&amp;IF(M149&lt;&gt;"",M149,"Неопределено")&amp;"::"&amp;IF(O149&lt;&gt;"",O149,"Неопределено")&amp;"::"&amp;IF(P149&lt;&gt;"",P149,"Неопределено")&amp;"::"&amp;IF(Q149&lt;&gt;"",Q149,"Неопределено")&amp;"::"&amp;IF(R149&lt;&gt;"",R149,"Неопределено")</f>
        <v>M11489::ТЭ.42.26322895.0004::Неопределено::Неопределено::Неопределено::Неопределено::Неопределено</v>
      </c>
    </row>
    <row r="150" spans="1:76" s="1229" customFormat="1" ht="16.5" hidden="1" customHeight="1">
      <c r="A150" s="178"/>
      <c r="B150" s="783"/>
      <c r="C150" s="1094" t="s">
        <v>1687</v>
      </c>
      <c r="D150" s="1053" t="s">
        <v>1688</v>
      </c>
      <c r="E150" s="676">
        <v>17.100000000000001</v>
      </c>
      <c r="F150" s="779" t="str" cm="1">
        <f t="array" aca="1" ref="F150" ca="1">OFFSET(G150,-1,-1)</f>
        <v>2</v>
      </c>
      <c r="G150" s="180"/>
      <c r="H150" s="180"/>
      <c r="I150" s="180"/>
      <c r="J150" s="180"/>
      <c r="K150" s="180"/>
      <c r="L150" s="143"/>
      <c r="M150" s="1077"/>
      <c r="N150" s="1077" t="str" cm="1">
        <f t="array" aca="1" ref="N150" ca="1">OFFSET(M150,-1,1)</f>
        <v>ТЭ.42.26322895.0004</v>
      </c>
      <c r="O150" s="1078"/>
      <c r="P150" s="1078"/>
      <c r="Q150" s="1078"/>
      <c r="R150" s="1078"/>
      <c r="T150" s="687" t="b">
        <f t="shared" ca="1" si="86"/>
        <v>0</v>
      </c>
      <c r="U150" s="1153"/>
      <c r="V150" s="1153"/>
      <c r="W150" s="1153"/>
      <c r="X150" s="1726"/>
      <c r="Y150" s="1153"/>
      <c r="Z150" s="1726"/>
      <c r="AA150" s="180"/>
      <c r="AB150" s="260" t="s">
        <v>1370</v>
      </c>
      <c r="AC150" s="82" t="s">
        <v>1689</v>
      </c>
      <c r="AD150" s="258" t="s">
        <v>839</v>
      </c>
      <c r="AE150" s="77"/>
      <c r="AF150" s="77"/>
      <c r="AG150" s="77"/>
      <c r="AH150" s="256">
        <f t="shared" si="75"/>
        <v>0</v>
      </c>
      <c r="AI150" s="77"/>
      <c r="AJ150" s="517"/>
      <c r="AK150" s="517"/>
      <c r="AL150" s="517"/>
      <c r="AM150" s="517"/>
      <c r="AN150" s="517"/>
      <c r="AO150" s="77"/>
      <c r="AP150" s="77"/>
      <c r="AQ150" s="77"/>
      <c r="AR150" s="77"/>
      <c r="AS150" s="77"/>
      <c r="AT150" s="517"/>
      <c r="AU150" s="517"/>
      <c r="AV150" s="517"/>
      <c r="AW150" s="517"/>
      <c r="AX150" s="517"/>
      <c r="AY150" s="77"/>
      <c r="AZ150" s="77"/>
      <c r="BA150" s="77"/>
      <c r="BB150" s="77"/>
      <c r="BC150" s="77"/>
      <c r="BD150" s="256">
        <f t="shared" si="76"/>
        <v>0</v>
      </c>
      <c r="BE150" s="256">
        <f t="shared" si="77"/>
        <v>0</v>
      </c>
      <c r="BF150" s="256">
        <f t="shared" si="78"/>
        <v>0</v>
      </c>
      <c r="BG150" s="256">
        <f t="shared" si="79"/>
        <v>0</v>
      </c>
      <c r="BH150" s="256">
        <f t="shared" si="80"/>
        <v>0</v>
      </c>
      <c r="BI150" s="256">
        <f t="shared" si="81"/>
        <v>0</v>
      </c>
      <c r="BJ150" s="256">
        <f t="shared" si="82"/>
        <v>0</v>
      </c>
      <c r="BK150" s="256">
        <f t="shared" si="83"/>
        <v>0</v>
      </c>
      <c r="BL150" s="256">
        <f t="shared" si="84"/>
        <v>0</v>
      </c>
      <c r="BM150" s="256">
        <f t="shared" si="85"/>
        <v>0</v>
      </c>
      <c r="BN150" s="28"/>
      <c r="BO150" s="28"/>
      <c r="BP150" s="28"/>
      <c r="BQ150" s="180"/>
      <c r="BR150" s="180"/>
      <c r="BS150" s="1031" t="s">
        <v>1690</v>
      </c>
      <c r="BT150" s="1031"/>
      <c r="BU150" s="1031"/>
      <c r="BV150" s="1032"/>
      <c r="BW150" s="1032"/>
      <c r="BX150" s="1064" t="str" cm="1">
        <f t="array" aca="1" ref="BX150" ca="1">D150&amp;"::"&amp;IF(N150&lt;&gt;"",N150,"Неопределено")&amp;"::"&amp;IF(M150&lt;&gt;"",M150,"Неопределено")&amp;"::"&amp;IF(O150&lt;&gt;"",O150,"Неопределено")&amp;"::"&amp;IF(P150&lt;&gt;"",P150,"Неопределено")&amp;"::"&amp;IF(Q150&lt;&gt;"",Q150,"Неопределено")&amp;"::"&amp;IF(R150&lt;&gt;"",R150,"Неопределено")</f>
        <v>M11490::ТЭ.42.26322895.0004::Неопределено::Неопределено::Неопределено::Неопределено::Неопределено</v>
      </c>
    </row>
    <row r="151" spans="1:76" s="1229" customFormat="1" ht="16.5" hidden="1" customHeight="1">
      <c r="A151" s="178"/>
      <c r="B151" s="783"/>
      <c r="C151" s="1094" t="s">
        <v>1691</v>
      </c>
      <c r="D151" s="1053" t="s">
        <v>1692</v>
      </c>
      <c r="E151" s="676">
        <v>17.100000000000001</v>
      </c>
      <c r="F151" s="779" t="str" cm="1">
        <f t="array" aca="1" ref="F151" ca="1">OFFSET(G151,-1,-1)</f>
        <v>2</v>
      </c>
      <c r="G151" s="180"/>
      <c r="H151" s="180"/>
      <c r="I151" s="180"/>
      <c r="J151" s="180"/>
      <c r="K151" s="180"/>
      <c r="L151" s="143"/>
      <c r="M151" s="1077"/>
      <c r="N151" s="1077" t="str" cm="1">
        <f t="array" aca="1" ref="N151" ca="1">OFFSET(M151,-1,1)</f>
        <v>ТЭ.42.26322895.0004</v>
      </c>
      <c r="O151" s="1078"/>
      <c r="P151" s="1078"/>
      <c r="Q151" s="1078"/>
      <c r="R151" s="1078"/>
      <c r="T151" s="687" t="b">
        <f t="shared" ca="1" si="86"/>
        <v>0</v>
      </c>
      <c r="U151" s="1153"/>
      <c r="V151" s="1153"/>
      <c r="W151" s="1153"/>
      <c r="X151" s="1726"/>
      <c r="Y151" s="1153"/>
      <c r="Z151" s="1726"/>
      <c r="AA151" s="180"/>
      <c r="AB151" s="260" t="s">
        <v>1693</v>
      </c>
      <c r="AC151" s="83" t="s">
        <v>1694</v>
      </c>
      <c r="AD151" s="258" t="s">
        <v>533</v>
      </c>
      <c r="AE151" s="77"/>
      <c r="AF151" s="77"/>
      <c r="AG151" s="77"/>
      <c r="AH151" s="256">
        <f t="shared" si="75"/>
        <v>0</v>
      </c>
      <c r="AI151" s="77"/>
      <c r="AJ151" s="517"/>
      <c r="AK151" s="517"/>
      <c r="AL151" s="517"/>
      <c r="AM151" s="517"/>
      <c r="AN151" s="517"/>
      <c r="AO151" s="77"/>
      <c r="AP151" s="77"/>
      <c r="AQ151" s="77"/>
      <c r="AR151" s="77"/>
      <c r="AS151" s="77"/>
      <c r="AT151" s="517"/>
      <c r="AU151" s="517"/>
      <c r="AV151" s="517"/>
      <c r="AW151" s="517"/>
      <c r="AX151" s="517"/>
      <c r="AY151" s="77"/>
      <c r="AZ151" s="77"/>
      <c r="BA151" s="77"/>
      <c r="BB151" s="77"/>
      <c r="BC151" s="77"/>
      <c r="BD151" s="256">
        <f t="shared" si="76"/>
        <v>0</v>
      </c>
      <c r="BE151" s="256">
        <f t="shared" si="77"/>
        <v>0</v>
      </c>
      <c r="BF151" s="256">
        <f t="shared" si="78"/>
        <v>0</v>
      </c>
      <c r="BG151" s="256">
        <f t="shared" si="79"/>
        <v>0</v>
      </c>
      <c r="BH151" s="256">
        <f t="shared" si="80"/>
        <v>0</v>
      </c>
      <c r="BI151" s="256">
        <f t="shared" si="81"/>
        <v>0</v>
      </c>
      <c r="BJ151" s="256">
        <f t="shared" si="82"/>
        <v>0</v>
      </c>
      <c r="BK151" s="256">
        <f t="shared" si="83"/>
        <v>0</v>
      </c>
      <c r="BL151" s="256">
        <f t="shared" si="84"/>
        <v>0</v>
      </c>
      <c r="BM151" s="256">
        <f t="shared" si="85"/>
        <v>0</v>
      </c>
      <c r="BN151" s="28"/>
      <c r="BO151" s="28"/>
      <c r="BP151" s="28"/>
      <c r="BQ151" s="180"/>
      <c r="BR151" s="180"/>
      <c r="BS151" s="1031" t="s">
        <v>1695</v>
      </c>
      <c r="BT151" s="1031"/>
      <c r="BU151" s="1031"/>
      <c r="BV151" s="1032"/>
      <c r="BW151" s="1032"/>
      <c r="BX151" s="1064" t="str" cm="1">
        <f t="array" aca="1" ref="BX151" ca="1">D151&amp;"::"&amp;IF(N151&lt;&gt;"",N151,"Неопределено")&amp;"::"&amp;IF(M151&lt;&gt;"",M151,"Неопределено")&amp;"::"&amp;IF(O151&lt;&gt;"",O151,"Неопределено")&amp;"::"&amp;IF(P151&lt;&gt;"",P151,"Неопределено")&amp;"::"&amp;IF(Q151&lt;&gt;"",Q151,"Неопределено")&amp;"::"&amp;IF(R151&lt;&gt;"",R151,"Неопределено")</f>
        <v>M11491::ТЭ.42.26322895.0004::Неопределено::Неопределено::Неопределено::Неопределено::Неопределено</v>
      </c>
    </row>
    <row r="152" spans="1:76" s="1229" customFormat="1" ht="16.5" hidden="1" customHeight="1">
      <c r="A152" s="178"/>
      <c r="B152" s="783"/>
      <c r="C152" s="1094" t="s">
        <v>1696</v>
      </c>
      <c r="D152" s="1053" t="s">
        <v>1697</v>
      </c>
      <c r="E152" s="676">
        <v>17.100000000000001</v>
      </c>
      <c r="F152" s="779" t="str" cm="1">
        <f t="array" aca="1" ref="F152" ca="1">OFFSET(G152,-1,-1)</f>
        <v>2</v>
      </c>
      <c r="G152" s="180"/>
      <c r="H152" s="180"/>
      <c r="I152" s="180"/>
      <c r="J152" s="180"/>
      <c r="K152" s="180"/>
      <c r="L152" s="143"/>
      <c r="M152" s="1077"/>
      <c r="N152" s="1077" t="str" cm="1">
        <f t="array" aca="1" ref="N152" ca="1">OFFSET(M152,-1,1)</f>
        <v>ТЭ.42.26322895.0004</v>
      </c>
      <c r="O152" s="1078"/>
      <c r="P152" s="1078"/>
      <c r="Q152" s="1078"/>
      <c r="R152" s="1078"/>
      <c r="T152" s="687" t="b">
        <f t="shared" ca="1" si="86"/>
        <v>0</v>
      </c>
      <c r="U152" s="1153"/>
      <c r="V152" s="1153"/>
      <c r="W152" s="1153"/>
      <c r="X152" s="1726"/>
      <c r="Y152" s="1153"/>
      <c r="Z152" s="1726"/>
      <c r="AA152" s="180"/>
      <c r="AB152" s="260" t="s">
        <v>1373</v>
      </c>
      <c r="AC152" s="82" t="s">
        <v>1698</v>
      </c>
      <c r="AD152" s="258" t="s">
        <v>533</v>
      </c>
      <c r="AE152" s="77"/>
      <c r="AF152" s="77"/>
      <c r="AG152" s="77"/>
      <c r="AH152" s="256">
        <f t="shared" si="75"/>
        <v>0</v>
      </c>
      <c r="AI152" s="77"/>
      <c r="AJ152" s="517"/>
      <c r="AK152" s="517"/>
      <c r="AL152" s="517"/>
      <c r="AM152" s="517"/>
      <c r="AN152" s="517"/>
      <c r="AO152" s="77"/>
      <c r="AP152" s="77"/>
      <c r="AQ152" s="77"/>
      <c r="AR152" s="77"/>
      <c r="AS152" s="77"/>
      <c r="AT152" s="517"/>
      <c r="AU152" s="517"/>
      <c r="AV152" s="517"/>
      <c r="AW152" s="517"/>
      <c r="AX152" s="517"/>
      <c r="AY152" s="77"/>
      <c r="AZ152" s="77"/>
      <c r="BA152" s="77"/>
      <c r="BB152" s="77"/>
      <c r="BC152" s="77"/>
      <c r="BD152" s="256">
        <f t="shared" si="76"/>
        <v>0</v>
      </c>
      <c r="BE152" s="256">
        <f t="shared" si="77"/>
        <v>0</v>
      </c>
      <c r="BF152" s="256">
        <f t="shared" si="78"/>
        <v>0</v>
      </c>
      <c r="BG152" s="256">
        <f t="shared" si="79"/>
        <v>0</v>
      </c>
      <c r="BH152" s="256">
        <f t="shared" si="80"/>
        <v>0</v>
      </c>
      <c r="BI152" s="256">
        <f t="shared" si="81"/>
        <v>0</v>
      </c>
      <c r="BJ152" s="256">
        <f t="shared" si="82"/>
        <v>0</v>
      </c>
      <c r="BK152" s="256">
        <f t="shared" si="83"/>
        <v>0</v>
      </c>
      <c r="BL152" s="256">
        <f t="shared" si="84"/>
        <v>0</v>
      </c>
      <c r="BM152" s="256">
        <f t="shared" si="85"/>
        <v>0</v>
      </c>
      <c r="BN152" s="28"/>
      <c r="BO152" s="28"/>
      <c r="BP152" s="28"/>
      <c r="BQ152" s="180"/>
      <c r="BR152" s="180"/>
      <c r="BS152" s="1031" t="s">
        <v>1699</v>
      </c>
      <c r="BT152" s="1031"/>
      <c r="BU152" s="1031"/>
      <c r="BV152" s="1032"/>
      <c r="BW152" s="1032"/>
      <c r="BX152" s="1064" t="str" cm="1">
        <f t="array" aca="1" ref="BX152" ca="1">D152&amp;"::"&amp;IF(N152&lt;&gt;"",N152,"Неопределено")&amp;"::"&amp;IF(M152&lt;&gt;"",M152,"Неопределено")&amp;"::"&amp;IF(O152&lt;&gt;"",O152,"Неопределено")&amp;"::"&amp;IF(P152&lt;&gt;"",P152,"Неопределено")&amp;"::"&amp;IF(Q152&lt;&gt;"",Q152,"Неопределено")&amp;"::"&amp;IF(R152&lt;&gt;"",R152,"Неопределено")</f>
        <v>M11493::ТЭ.42.26322895.0004::Неопределено::Неопределено::Неопределено::Неопределено::Неопределено</v>
      </c>
    </row>
    <row r="153" spans="1:76" s="1229" customFormat="1" ht="16.5" hidden="1" customHeight="1">
      <c r="A153" s="178"/>
      <c r="B153" s="783"/>
      <c r="C153" s="1094" t="s">
        <v>1700</v>
      </c>
      <c r="D153" s="1053" t="s">
        <v>1701</v>
      </c>
      <c r="E153" s="676">
        <v>17.100000000000001</v>
      </c>
      <c r="F153" s="779" t="str" cm="1">
        <f t="array" aca="1" ref="F153" ca="1">OFFSET(G153,-1,-1)</f>
        <v>2</v>
      </c>
      <c r="G153" s="180"/>
      <c r="H153" s="180"/>
      <c r="I153" s="180"/>
      <c r="J153" s="180"/>
      <c r="K153" s="180"/>
      <c r="L153" s="143"/>
      <c r="M153" s="1077"/>
      <c r="N153" s="1077" t="str" cm="1">
        <f t="array" aca="1" ref="N153" ca="1">OFFSET(M153,-1,1)</f>
        <v>ТЭ.42.26322895.0004</v>
      </c>
      <c r="O153" s="1078"/>
      <c r="P153" s="1078"/>
      <c r="Q153" s="1078"/>
      <c r="R153" s="1078"/>
      <c r="T153" s="687" t="b">
        <f t="shared" ca="1" si="86"/>
        <v>0</v>
      </c>
      <c r="U153" s="1153"/>
      <c r="V153" s="1153"/>
      <c r="W153" s="1153"/>
      <c r="X153" s="1726"/>
      <c r="Y153" s="1153"/>
      <c r="Z153" s="1726"/>
      <c r="AA153" s="180"/>
      <c r="AB153" s="260" t="s">
        <v>1702</v>
      </c>
      <c r="AC153" s="83" t="s">
        <v>1703</v>
      </c>
      <c r="AD153" s="258" t="s">
        <v>533</v>
      </c>
      <c r="AE153" s="77"/>
      <c r="AF153" s="77"/>
      <c r="AG153" s="77"/>
      <c r="AH153" s="256">
        <f t="shared" si="75"/>
        <v>0</v>
      </c>
      <c r="AI153" s="77"/>
      <c r="AJ153" s="517"/>
      <c r="AK153" s="517"/>
      <c r="AL153" s="517"/>
      <c r="AM153" s="517"/>
      <c r="AN153" s="517"/>
      <c r="AO153" s="77"/>
      <c r="AP153" s="77"/>
      <c r="AQ153" s="77"/>
      <c r="AR153" s="77"/>
      <c r="AS153" s="77"/>
      <c r="AT153" s="517"/>
      <c r="AU153" s="517"/>
      <c r="AV153" s="517"/>
      <c r="AW153" s="517"/>
      <c r="AX153" s="517"/>
      <c r="AY153" s="77"/>
      <c r="AZ153" s="77"/>
      <c r="BA153" s="77"/>
      <c r="BB153" s="77"/>
      <c r="BC153" s="77"/>
      <c r="BD153" s="256">
        <f t="shared" si="76"/>
        <v>0</v>
      </c>
      <c r="BE153" s="256">
        <f t="shared" si="77"/>
        <v>0</v>
      </c>
      <c r="BF153" s="256">
        <f t="shared" si="78"/>
        <v>0</v>
      </c>
      <c r="BG153" s="256">
        <f t="shared" si="79"/>
        <v>0</v>
      </c>
      <c r="BH153" s="256">
        <f t="shared" si="80"/>
        <v>0</v>
      </c>
      <c r="BI153" s="256">
        <f t="shared" si="81"/>
        <v>0</v>
      </c>
      <c r="BJ153" s="256">
        <f t="shared" si="82"/>
        <v>0</v>
      </c>
      <c r="BK153" s="256">
        <f t="shared" si="83"/>
        <v>0</v>
      </c>
      <c r="BL153" s="256">
        <f t="shared" si="84"/>
        <v>0</v>
      </c>
      <c r="BM153" s="256">
        <f t="shared" si="85"/>
        <v>0</v>
      </c>
      <c r="BN153" s="28"/>
      <c r="BO153" s="28"/>
      <c r="BP153" s="28"/>
      <c r="BQ153" s="180"/>
      <c r="BR153" s="180"/>
      <c r="BS153" s="1031" t="s">
        <v>1704</v>
      </c>
      <c r="BT153" s="1031"/>
      <c r="BU153" s="1031"/>
      <c r="BV153" s="1032"/>
      <c r="BW153" s="1032"/>
      <c r="BX153" s="1064" t="str" cm="1">
        <f t="array" aca="1" ref="BX153" ca="1">D153&amp;"::"&amp;IF(N153&lt;&gt;"",N153,"Неопределено")&amp;"::"&amp;IF(M153&lt;&gt;"",M153,"Неопределено")&amp;"::"&amp;IF(O153&lt;&gt;"",O153,"Неопределено")&amp;"::"&amp;IF(P153&lt;&gt;"",P153,"Неопределено")&amp;"::"&amp;IF(Q153&lt;&gt;"",Q153,"Неопределено")&amp;"::"&amp;IF(R153&lt;&gt;"",R153,"Неопределено")</f>
        <v>M11494::ТЭ.42.26322895.0004::Неопределено::Неопределено::Неопределено::Неопределено::Неопределено</v>
      </c>
    </row>
    <row r="154" spans="1:76" s="1229" customFormat="1" ht="16.5" hidden="1" customHeight="1">
      <c r="A154" s="178"/>
      <c r="B154" s="783"/>
      <c r="C154" s="1094" t="s">
        <v>1705</v>
      </c>
      <c r="D154" s="1053" t="s">
        <v>1706</v>
      </c>
      <c r="E154" s="676">
        <v>17.100000000000001</v>
      </c>
      <c r="F154" s="779" t="str" cm="1">
        <f t="array" aca="1" ref="F154" ca="1">OFFSET(G154,-1,-1)</f>
        <v>2</v>
      </c>
      <c r="G154" s="180"/>
      <c r="H154" s="180"/>
      <c r="I154" s="180"/>
      <c r="J154" s="180"/>
      <c r="K154" s="180"/>
      <c r="L154" s="143"/>
      <c r="M154" s="1077"/>
      <c r="N154" s="1077" t="str" cm="1">
        <f t="array" aca="1" ref="N154" ca="1">OFFSET(M154,-1,1)</f>
        <v>ТЭ.42.26322895.0004</v>
      </c>
      <c r="O154" s="1078"/>
      <c r="P154" s="1078"/>
      <c r="Q154" s="1078"/>
      <c r="R154" s="1078"/>
      <c r="T154" s="687" t="b">
        <f t="shared" ca="1" si="86"/>
        <v>0</v>
      </c>
      <c r="U154" s="1153"/>
      <c r="V154" s="1153"/>
      <c r="W154" s="1153"/>
      <c r="X154" s="1726"/>
      <c r="Y154" s="1153"/>
      <c r="Z154" s="1726"/>
      <c r="AA154" s="180"/>
      <c r="AB154" s="260" t="s">
        <v>1707</v>
      </c>
      <c r="AC154" s="83" t="s">
        <v>1708</v>
      </c>
      <c r="AD154" s="258" t="s">
        <v>533</v>
      </c>
      <c r="AE154" s="77"/>
      <c r="AF154" s="77"/>
      <c r="AG154" s="77"/>
      <c r="AH154" s="256">
        <f t="shared" si="75"/>
        <v>0</v>
      </c>
      <c r="AI154" s="77"/>
      <c r="AJ154" s="517"/>
      <c r="AK154" s="517"/>
      <c r="AL154" s="517"/>
      <c r="AM154" s="517"/>
      <c r="AN154" s="517"/>
      <c r="AO154" s="77"/>
      <c r="AP154" s="77"/>
      <c r="AQ154" s="77"/>
      <c r="AR154" s="77"/>
      <c r="AS154" s="77"/>
      <c r="AT154" s="517"/>
      <c r="AU154" s="517"/>
      <c r="AV154" s="517"/>
      <c r="AW154" s="517"/>
      <c r="AX154" s="517"/>
      <c r="AY154" s="77"/>
      <c r="AZ154" s="77"/>
      <c r="BA154" s="77"/>
      <c r="BB154" s="77"/>
      <c r="BC154" s="77"/>
      <c r="BD154" s="256">
        <f t="shared" si="76"/>
        <v>0</v>
      </c>
      <c r="BE154" s="256">
        <f t="shared" si="77"/>
        <v>0</v>
      </c>
      <c r="BF154" s="256">
        <f t="shared" si="78"/>
        <v>0</v>
      </c>
      <c r="BG154" s="256">
        <f t="shared" si="79"/>
        <v>0</v>
      </c>
      <c r="BH154" s="256">
        <f t="shared" si="80"/>
        <v>0</v>
      </c>
      <c r="BI154" s="256">
        <f t="shared" si="81"/>
        <v>0</v>
      </c>
      <c r="BJ154" s="256">
        <f t="shared" si="82"/>
        <v>0</v>
      </c>
      <c r="BK154" s="256">
        <f t="shared" si="83"/>
        <v>0</v>
      </c>
      <c r="BL154" s="256">
        <f t="shared" si="84"/>
        <v>0</v>
      </c>
      <c r="BM154" s="256">
        <f t="shared" si="85"/>
        <v>0</v>
      </c>
      <c r="BN154" s="28"/>
      <c r="BO154" s="28"/>
      <c r="BP154" s="28"/>
      <c r="BQ154" s="180"/>
      <c r="BR154" s="180"/>
      <c r="BS154" s="1031" t="s">
        <v>1709</v>
      </c>
      <c r="BT154" s="1031"/>
      <c r="BU154" s="1031"/>
      <c r="BV154" s="1032"/>
      <c r="BW154" s="1032"/>
      <c r="BX154" s="1064" t="str" cm="1">
        <f t="array" aca="1" ref="BX154" ca="1">D154&amp;"::"&amp;IF(N154&lt;&gt;"",N154,"Неопределено")&amp;"::"&amp;IF(M154&lt;&gt;"",M154,"Неопределено")&amp;"::"&amp;IF(O154&lt;&gt;"",O154,"Неопределено")&amp;"::"&amp;IF(P154&lt;&gt;"",P154,"Неопределено")&amp;"::"&amp;IF(Q154&lt;&gt;"",Q154,"Неопределено")&amp;"::"&amp;IF(R154&lt;&gt;"",R154,"Неопределено")</f>
        <v>M11495::ТЭ.42.26322895.0004::Неопределено::Неопределено::Неопределено::Неопределено::Неопределено</v>
      </c>
    </row>
    <row r="155" spans="1:76" s="1229" customFormat="1" ht="16.5" customHeight="1">
      <c r="A155" s="178"/>
      <c r="B155" s="783"/>
      <c r="C155" s="1094" t="s">
        <v>1710</v>
      </c>
      <c r="D155" s="1053" t="s">
        <v>1711</v>
      </c>
      <c r="E155" s="676">
        <v>17.100000000000001</v>
      </c>
      <c r="F155" s="779" t="str" cm="1">
        <f t="array" aca="1" ref="F155" ca="1">OFFSET(G155,-1,-1)</f>
        <v>2</v>
      </c>
      <c r="G155" s="143" t="s">
        <v>1557</v>
      </c>
      <c r="H155" s="180"/>
      <c r="I155" s="180"/>
      <c r="J155" s="180"/>
      <c r="K155" s="180"/>
      <c r="L155" s="143"/>
      <c r="M155" s="1077"/>
      <c r="N155" s="1077" t="str" cm="1">
        <f t="array" aca="1" ref="N155" ca="1">OFFSET(M155,-1,1)</f>
        <v>ТЭ.42.26322895.0004</v>
      </c>
      <c r="O155" s="1078"/>
      <c r="P155" s="1078"/>
      <c r="Q155" s="1078"/>
      <c r="R155" s="1078"/>
      <c r="T155" s="687" t="b">
        <f t="shared" ref="T155:T160" ca="1" si="87">AND(F155&gt;0,method_reg="Метод индексации")</f>
        <v>1</v>
      </c>
      <c r="U155" s="1153"/>
      <c r="V155" s="1153"/>
      <c r="W155" s="1153"/>
      <c r="X155" s="1726"/>
      <c r="Y155" s="1153"/>
      <c r="Z155" s="1726"/>
      <c r="AA155" s="180"/>
      <c r="AB155" s="111" t="s">
        <v>440</v>
      </c>
      <c r="AC155" s="513" t="s">
        <v>1559</v>
      </c>
      <c r="AD155" s="419" t="s">
        <v>1077</v>
      </c>
      <c r="AE155" s="1398">
        <f>AE156+AE157+AE158</f>
        <v>0</v>
      </c>
      <c r="AF155" s="1398">
        <f>AF156+AF157+AF158</f>
        <v>0</v>
      </c>
      <c r="AG155" s="1398">
        <f>AG156+AG157+AG158</f>
        <v>0</v>
      </c>
      <c r="AH155" s="256">
        <f t="shared" si="75"/>
        <v>0</v>
      </c>
      <c r="AI155" s="1398">
        <f t="shared" ref="AI155:BC155" si="88">AI156+AI157+AI158</f>
        <v>42358</v>
      </c>
      <c r="AJ155" s="517">
        <f t="shared" si="88"/>
        <v>0</v>
      </c>
      <c r="AK155" s="517">
        <f t="shared" si="88"/>
        <v>0</v>
      </c>
      <c r="AL155" s="517">
        <f t="shared" si="88"/>
        <v>0</v>
      </c>
      <c r="AM155" s="517">
        <f t="shared" si="88"/>
        <v>0</v>
      </c>
      <c r="AN155" s="517">
        <f t="shared" si="88"/>
        <v>0</v>
      </c>
      <c r="AO155" s="1398">
        <f t="shared" si="88"/>
        <v>0</v>
      </c>
      <c r="AP155" s="1398">
        <f t="shared" si="88"/>
        <v>0</v>
      </c>
      <c r="AQ155" s="1398">
        <f t="shared" si="88"/>
        <v>0</v>
      </c>
      <c r="AR155" s="1398">
        <f t="shared" si="88"/>
        <v>0</v>
      </c>
      <c r="AS155" s="1398">
        <f t="shared" si="88"/>
        <v>0</v>
      </c>
      <c r="AT155" s="517">
        <f t="shared" si="88"/>
        <v>57769.68</v>
      </c>
      <c r="AU155" s="517">
        <f t="shared" si="88"/>
        <v>0</v>
      </c>
      <c r="AV155" s="517">
        <f t="shared" si="88"/>
        <v>0</v>
      </c>
      <c r="AW155" s="517">
        <f t="shared" si="88"/>
        <v>0</v>
      </c>
      <c r="AX155" s="517">
        <f t="shared" si="88"/>
        <v>0</v>
      </c>
      <c r="AY155" s="1398">
        <f t="shared" si="88"/>
        <v>0</v>
      </c>
      <c r="AZ155" s="1398">
        <f t="shared" si="88"/>
        <v>0</v>
      </c>
      <c r="BA155" s="1398">
        <f t="shared" si="88"/>
        <v>0</v>
      </c>
      <c r="BB155" s="1398">
        <f t="shared" si="88"/>
        <v>0</v>
      </c>
      <c r="BC155" s="1398">
        <f t="shared" si="88"/>
        <v>0</v>
      </c>
      <c r="BD155" s="256">
        <f t="shared" si="76"/>
        <v>36.384342981255017</v>
      </c>
      <c r="BE155" s="256">
        <f t="shared" si="77"/>
        <v>-100</v>
      </c>
      <c r="BF155" s="256">
        <f t="shared" si="78"/>
        <v>0</v>
      </c>
      <c r="BG155" s="256">
        <f t="shared" si="79"/>
        <v>0</v>
      </c>
      <c r="BH155" s="256">
        <f t="shared" si="80"/>
        <v>0</v>
      </c>
      <c r="BI155" s="256">
        <f t="shared" si="81"/>
        <v>0</v>
      </c>
      <c r="BJ155" s="256">
        <f t="shared" si="82"/>
        <v>0</v>
      </c>
      <c r="BK155" s="256">
        <f t="shared" si="83"/>
        <v>0</v>
      </c>
      <c r="BL155" s="256">
        <f t="shared" si="84"/>
        <v>0</v>
      </c>
      <c r="BM155" s="256">
        <f t="shared" si="85"/>
        <v>0</v>
      </c>
      <c r="BN155" s="1290"/>
      <c r="BO155" s="1290"/>
      <c r="BP155" s="1290"/>
      <c r="BQ155" s="180"/>
      <c r="BR155" s="180"/>
      <c r="BS155" s="1031" t="s">
        <v>1560</v>
      </c>
      <c r="BT155" s="1031"/>
      <c r="BU155" s="1031"/>
      <c r="BV155" s="1032"/>
      <c r="BW155" s="1032"/>
      <c r="BX155" s="1064" t="str" cm="1">
        <f t="array" aca="1" ref="BX155" ca="1">D155&amp;"::"&amp;IF(N155&lt;&gt;"",N155,"Неопределено")&amp;"::"&amp;IF(M155&lt;&gt;"",M155,"Неопределено")&amp;"::"&amp;IF(O155&lt;&gt;"",O155,"Неопределено")&amp;"::"&amp;IF(P155&lt;&gt;"",P155,"Неопределено")&amp;"::"&amp;IF(Q155&lt;&gt;"",Q155,"Неопределено")&amp;"::"&amp;IF(R155&lt;&gt;"",R155,"Неопределено")</f>
        <v>M10606::ТЭ.42.26322895.0004::Неопределено::Неопределено::Неопределено::Неопределено::Неопределено</v>
      </c>
    </row>
    <row r="156" spans="1:76" s="1229" customFormat="1" ht="58.5" customHeight="1">
      <c r="A156" s="178"/>
      <c r="B156" s="783"/>
      <c r="C156" s="1094" t="s">
        <v>1712</v>
      </c>
      <c r="D156" s="1053" t="s">
        <v>1713</v>
      </c>
      <c r="E156" s="676">
        <v>60</v>
      </c>
      <c r="F156" s="779" t="str" cm="1">
        <f t="array" aca="1" ref="F156" ca="1">OFFSET(G156,-1,-1)</f>
        <v>2</v>
      </c>
      <c r="G156" s="180"/>
      <c r="H156" s="180"/>
      <c r="I156" s="180"/>
      <c r="J156" s="180"/>
      <c r="K156" s="180"/>
      <c r="L156" s="143"/>
      <c r="M156" s="1077"/>
      <c r="N156" s="1077" t="str" cm="1">
        <f t="array" aca="1" ref="N156" ca="1">OFFSET(M156,-1,1)</f>
        <v>ТЭ.42.26322895.0004</v>
      </c>
      <c r="O156" s="1078"/>
      <c r="P156" s="1078"/>
      <c r="Q156" s="1078"/>
      <c r="R156" s="1078"/>
      <c r="T156" s="687" t="b">
        <f t="shared" ca="1" si="87"/>
        <v>1</v>
      </c>
      <c r="U156" s="1153"/>
      <c r="V156" s="1153"/>
      <c r="W156" s="1153"/>
      <c r="X156" s="1726"/>
      <c r="Y156" s="1153"/>
      <c r="Z156" s="1726"/>
      <c r="AA156" s="180"/>
      <c r="AB156" s="111" t="s">
        <v>780</v>
      </c>
      <c r="AC156" s="862" t="s">
        <v>1714</v>
      </c>
      <c r="AD156" s="419" t="s">
        <v>1460</v>
      </c>
      <c r="AE156" s="1398"/>
      <c r="AF156" s="1398"/>
      <c r="AG156" s="1398"/>
      <c r="AH156" s="256">
        <f t="shared" si="75"/>
        <v>0</v>
      </c>
      <c r="AI156" s="1398">
        <v>42358</v>
      </c>
      <c r="AJ156" s="517"/>
      <c r="AK156" s="517"/>
      <c r="AL156" s="517"/>
      <c r="AM156" s="517"/>
      <c r="AN156" s="517"/>
      <c r="AO156" s="1398"/>
      <c r="AP156" s="1398"/>
      <c r="AQ156" s="1398"/>
      <c r="AR156" s="1398"/>
      <c r="AS156" s="1398"/>
      <c r="AT156" s="517">
        <v>57769.68</v>
      </c>
      <c r="AU156" s="517"/>
      <c r="AV156" s="517"/>
      <c r="AW156" s="517"/>
      <c r="AX156" s="517"/>
      <c r="AY156" s="1398"/>
      <c r="AZ156" s="1398"/>
      <c r="BA156" s="1398"/>
      <c r="BB156" s="1398"/>
      <c r="BC156" s="1398"/>
      <c r="BD156" s="256">
        <f t="shared" si="76"/>
        <v>36.384342981255017</v>
      </c>
      <c r="BE156" s="256">
        <f t="shared" si="77"/>
        <v>-100</v>
      </c>
      <c r="BF156" s="256">
        <f t="shared" si="78"/>
        <v>0</v>
      </c>
      <c r="BG156" s="256">
        <f t="shared" si="79"/>
        <v>0</v>
      </c>
      <c r="BH156" s="256">
        <f t="shared" si="80"/>
        <v>0</v>
      </c>
      <c r="BI156" s="256">
        <f t="shared" si="81"/>
        <v>0</v>
      </c>
      <c r="BJ156" s="256">
        <f t="shared" si="82"/>
        <v>0</v>
      </c>
      <c r="BK156" s="256">
        <f t="shared" si="83"/>
        <v>0</v>
      </c>
      <c r="BL156" s="256">
        <f t="shared" si="84"/>
        <v>0</v>
      </c>
      <c r="BM156" s="256">
        <f t="shared" si="85"/>
        <v>0</v>
      </c>
      <c r="BN156" s="1290"/>
      <c r="BO156" s="1290"/>
      <c r="BP156" s="1290"/>
      <c r="BQ156" s="180"/>
      <c r="BR156" s="180"/>
      <c r="BS156" s="1031" t="s">
        <v>1715</v>
      </c>
      <c r="BT156" s="1031"/>
      <c r="BU156" s="1031"/>
      <c r="BV156" s="1032"/>
      <c r="BW156" s="1032"/>
      <c r="BX156" s="1064" t="str" cm="1">
        <f t="array" aca="1" ref="BX156" ca="1">D156&amp;"::"&amp;IF(N156&lt;&gt;"",N156,"Неопределено")&amp;"::"&amp;IF(M156&lt;&gt;"",M156,"Неопределено")&amp;"::"&amp;IF(O156&lt;&gt;"",O156,"Неопределено")&amp;"::"&amp;IF(P156&lt;&gt;"",P156,"Неопределено")&amp;"::"&amp;IF(Q156&lt;&gt;"",Q156,"Неопределено")&amp;"::"&amp;IF(R156&lt;&gt;"",R156,"Неопределено")</f>
        <v>M10614::ТЭ.42.26322895.0004::Неопределено::Неопределено::Неопределено::Неопределено::Неопределено</v>
      </c>
    </row>
    <row r="157" spans="1:76" s="1229" customFormat="1" ht="29.25" customHeight="1">
      <c r="A157" s="178"/>
      <c r="B157" s="783"/>
      <c r="C157" s="1094" t="s">
        <v>1716</v>
      </c>
      <c r="D157" s="1053" t="s">
        <v>1717</v>
      </c>
      <c r="E157" s="676">
        <v>30</v>
      </c>
      <c r="F157" s="779" t="str" cm="1">
        <f t="array" aca="1" ref="F157" ca="1">OFFSET(G157,-1,-1)</f>
        <v>2</v>
      </c>
      <c r="G157" s="180"/>
      <c r="H157" s="180"/>
      <c r="I157" s="180"/>
      <c r="J157" s="180"/>
      <c r="K157" s="180"/>
      <c r="L157" s="143"/>
      <c r="M157" s="1077"/>
      <c r="N157" s="1077" t="str" cm="1">
        <f t="array" aca="1" ref="N157" ca="1">OFFSET(M157,-1,1)</f>
        <v>ТЭ.42.26322895.0004</v>
      </c>
      <c r="O157" s="1078"/>
      <c r="P157" s="1078"/>
      <c r="Q157" s="1078"/>
      <c r="R157" s="1078"/>
      <c r="T157" s="687" t="b">
        <f t="shared" ca="1" si="87"/>
        <v>1</v>
      </c>
      <c r="U157" s="1153"/>
      <c r="V157" s="1153"/>
      <c r="W157" s="1153"/>
      <c r="X157" s="1726"/>
      <c r="Y157" s="1153"/>
      <c r="Z157" s="1726"/>
      <c r="AA157" s="180"/>
      <c r="AB157" s="111" t="s">
        <v>1667</v>
      </c>
      <c r="AC157" s="513" t="s">
        <v>1718</v>
      </c>
      <c r="AD157" s="419" t="s">
        <v>1460</v>
      </c>
      <c r="AE157" s="1398"/>
      <c r="AF157" s="1398"/>
      <c r="AG157" s="1398"/>
      <c r="AH157" s="256">
        <f t="shared" si="75"/>
        <v>0</v>
      </c>
      <c r="AI157" s="1398"/>
      <c r="AJ157" s="517"/>
      <c r="AK157" s="517"/>
      <c r="AL157" s="517"/>
      <c r="AM157" s="517"/>
      <c r="AN157" s="517"/>
      <c r="AO157" s="1398"/>
      <c r="AP157" s="1398"/>
      <c r="AQ157" s="1398"/>
      <c r="AR157" s="1398"/>
      <c r="AS157" s="1398"/>
      <c r="AT157" s="517"/>
      <c r="AU157" s="517"/>
      <c r="AV157" s="517"/>
      <c r="AW157" s="517"/>
      <c r="AX157" s="517"/>
      <c r="AY157" s="1398"/>
      <c r="AZ157" s="1398"/>
      <c r="BA157" s="1398"/>
      <c r="BB157" s="1398"/>
      <c r="BC157" s="1398"/>
      <c r="BD157" s="256">
        <f t="shared" si="76"/>
        <v>0</v>
      </c>
      <c r="BE157" s="256">
        <f t="shared" si="77"/>
        <v>0</v>
      </c>
      <c r="BF157" s="256">
        <f t="shared" si="78"/>
        <v>0</v>
      </c>
      <c r="BG157" s="256">
        <f t="shared" si="79"/>
        <v>0</v>
      </c>
      <c r="BH157" s="256">
        <f t="shared" si="80"/>
        <v>0</v>
      </c>
      <c r="BI157" s="256">
        <f t="shared" si="81"/>
        <v>0</v>
      </c>
      <c r="BJ157" s="256">
        <f t="shared" si="82"/>
        <v>0</v>
      </c>
      <c r="BK157" s="256">
        <f t="shared" si="83"/>
        <v>0</v>
      </c>
      <c r="BL157" s="256">
        <f t="shared" si="84"/>
        <v>0</v>
      </c>
      <c r="BM157" s="256">
        <f t="shared" si="85"/>
        <v>0</v>
      </c>
      <c r="BN157" s="1290"/>
      <c r="BO157" s="1290"/>
      <c r="BP157" s="1290"/>
      <c r="BQ157" s="180"/>
      <c r="BR157" s="180"/>
      <c r="BS157" s="1031" t="s">
        <v>1719</v>
      </c>
      <c r="BT157" s="1031"/>
      <c r="BU157" s="1031"/>
      <c r="BV157" s="1032"/>
      <c r="BW157" s="1032"/>
      <c r="BX157" s="1064" t="str" cm="1">
        <f t="array" aca="1" ref="BX157" ca="1">D157&amp;"::"&amp;IF(N157&lt;&gt;"",N157,"Неопределено")&amp;"::"&amp;IF(M157&lt;&gt;"",M157,"Неопределено")&amp;"::"&amp;IF(O157&lt;&gt;"",O157,"Неопределено")&amp;"::"&amp;IF(P157&lt;&gt;"",P157,"Неопределено")&amp;"::"&amp;IF(Q157&lt;&gt;"",Q157,"Неопределено")&amp;"::"&amp;IF(R157&lt;&gt;"",R157,"Неопределено")</f>
        <v>M10608::ТЭ.42.26322895.0004::Неопределено::Неопределено::Неопределено::Неопределено::Неопределено</v>
      </c>
    </row>
    <row r="158" spans="1:76" s="1229" customFormat="1" ht="43.5" customHeight="1">
      <c r="A158" s="178"/>
      <c r="B158" s="783"/>
      <c r="C158" s="1094" t="s">
        <v>1720</v>
      </c>
      <c r="D158" s="1053" t="s">
        <v>1721</v>
      </c>
      <c r="E158" s="676">
        <v>45</v>
      </c>
      <c r="F158" s="779" t="str" cm="1">
        <f t="array" aca="1" ref="F158" ca="1">OFFSET(G158,-1,-1)</f>
        <v>2</v>
      </c>
      <c r="G158" s="180"/>
      <c r="H158" s="180"/>
      <c r="I158" s="180"/>
      <c r="J158" s="180"/>
      <c r="K158" s="180"/>
      <c r="L158" s="143"/>
      <c r="M158" s="1077"/>
      <c r="N158" s="1077" t="str" cm="1">
        <f t="array" aca="1" ref="N158" ca="1">OFFSET(M158,-1,1)</f>
        <v>ТЭ.42.26322895.0004</v>
      </c>
      <c r="O158" s="1078"/>
      <c r="P158" s="1078"/>
      <c r="Q158" s="1078"/>
      <c r="R158" s="1078"/>
      <c r="T158" s="687" t="b">
        <f t="shared" ca="1" si="87"/>
        <v>1</v>
      </c>
      <c r="U158" s="1153"/>
      <c r="V158" s="1153"/>
      <c r="W158" s="1153"/>
      <c r="X158" s="1726"/>
      <c r="Y158" s="1153"/>
      <c r="Z158" s="1726"/>
      <c r="AA158" s="180"/>
      <c r="AB158" s="111" t="s">
        <v>1722</v>
      </c>
      <c r="AC158" s="513" t="s">
        <v>1723</v>
      </c>
      <c r="AD158" s="419" t="s">
        <v>1460</v>
      </c>
      <c r="AE158" s="1398"/>
      <c r="AF158" s="1398"/>
      <c r="AG158" s="1398"/>
      <c r="AH158" s="256">
        <f t="shared" si="75"/>
        <v>0</v>
      </c>
      <c r="AI158" s="1398"/>
      <c r="AJ158" s="517"/>
      <c r="AK158" s="517"/>
      <c r="AL158" s="517"/>
      <c r="AM158" s="517"/>
      <c r="AN158" s="517"/>
      <c r="AO158" s="1398"/>
      <c r="AP158" s="1398"/>
      <c r="AQ158" s="1398"/>
      <c r="AR158" s="1398"/>
      <c r="AS158" s="1398"/>
      <c r="AT158" s="517"/>
      <c r="AU158" s="517"/>
      <c r="AV158" s="517"/>
      <c r="AW158" s="517"/>
      <c r="AX158" s="517"/>
      <c r="AY158" s="1398"/>
      <c r="AZ158" s="1398"/>
      <c r="BA158" s="1398"/>
      <c r="BB158" s="1398"/>
      <c r="BC158" s="1398"/>
      <c r="BD158" s="256">
        <f t="shared" si="76"/>
        <v>0</v>
      </c>
      <c r="BE158" s="256">
        <f t="shared" si="77"/>
        <v>0</v>
      </c>
      <c r="BF158" s="256">
        <f t="shared" si="78"/>
        <v>0</v>
      </c>
      <c r="BG158" s="256">
        <f t="shared" si="79"/>
        <v>0</v>
      </c>
      <c r="BH158" s="256">
        <f t="shared" si="80"/>
        <v>0</v>
      </c>
      <c r="BI158" s="256">
        <f t="shared" si="81"/>
        <v>0</v>
      </c>
      <c r="BJ158" s="256">
        <f t="shared" si="82"/>
        <v>0</v>
      </c>
      <c r="BK158" s="256">
        <f t="shared" si="83"/>
        <v>0</v>
      </c>
      <c r="BL158" s="256">
        <f t="shared" si="84"/>
        <v>0</v>
      </c>
      <c r="BM158" s="256">
        <f t="shared" si="85"/>
        <v>0</v>
      </c>
      <c r="BN158" s="1290"/>
      <c r="BO158" s="1290"/>
      <c r="BP158" s="1290"/>
      <c r="BQ158" s="180"/>
      <c r="BR158" s="180"/>
      <c r="BS158" s="1031" t="s">
        <v>1724</v>
      </c>
      <c r="BT158" s="1031"/>
      <c r="BU158" s="1031"/>
      <c r="BV158" s="1032"/>
      <c r="BW158" s="1032"/>
      <c r="BX158" s="1064" t="str" cm="1">
        <f t="array" aca="1" ref="BX158" ca="1">D158&amp;"::"&amp;IF(N158&lt;&gt;"",N158,"Неопределено")&amp;"::"&amp;IF(M158&lt;&gt;"",M158,"Неопределено")&amp;"::"&amp;IF(O158&lt;&gt;"",O158,"Неопределено")&amp;"::"&amp;IF(P158&lt;&gt;"",P158,"Неопределено")&amp;"::"&amp;IF(Q158&lt;&gt;"",Q158,"Неопределено")&amp;"::"&amp;IF(R158&lt;&gt;"",R158,"Неопределено")</f>
        <v>M10610::ТЭ.42.26322895.0004::Неопределено::Неопределено::Неопределено::Неопределено::Неопределено</v>
      </c>
    </row>
    <row r="159" spans="1:76" s="1229" customFormat="1" ht="14.25" customHeight="1">
      <c r="A159" s="178"/>
      <c r="B159" s="783"/>
      <c r="C159" s="1094" t="s">
        <v>1725</v>
      </c>
      <c r="D159" s="1053" t="s">
        <v>1726</v>
      </c>
      <c r="E159" s="676">
        <v>15</v>
      </c>
      <c r="F159" s="779" t="str" cm="1">
        <f t="array" aca="1" ref="F159" ca="1">OFFSET(G159,-1,-1)</f>
        <v>2</v>
      </c>
      <c r="G159" s="143" t="s">
        <v>1564</v>
      </c>
      <c r="H159" s="180"/>
      <c r="I159" s="180"/>
      <c r="J159" s="180"/>
      <c r="K159" s="180"/>
      <c r="L159" s="143"/>
      <c r="M159" s="1077"/>
      <c r="N159" s="1077" t="str" cm="1">
        <f t="array" aca="1" ref="N159" ca="1">OFFSET(M159,-1,1)</f>
        <v>ТЭ.42.26322895.0004</v>
      </c>
      <c r="O159" s="1078"/>
      <c r="P159" s="1078"/>
      <c r="Q159" s="1078"/>
      <c r="R159" s="1078"/>
      <c r="T159" s="687" t="b">
        <f t="shared" ca="1" si="87"/>
        <v>1</v>
      </c>
      <c r="U159" s="1153"/>
      <c r="V159" s="1153"/>
      <c r="W159" s="1153"/>
      <c r="X159" s="1726"/>
      <c r="Y159" s="1153"/>
      <c r="Z159" s="1726"/>
      <c r="AA159" s="180"/>
      <c r="AB159" s="111" t="s">
        <v>443</v>
      </c>
      <c r="AC159" s="513" t="s">
        <v>1566</v>
      </c>
      <c r="AD159" s="419" t="s">
        <v>1077</v>
      </c>
      <c r="AE159" s="1398"/>
      <c r="AF159" s="1398"/>
      <c r="AG159" s="1398"/>
      <c r="AH159" s="256">
        <f t="shared" si="75"/>
        <v>0</v>
      </c>
      <c r="AI159" s="1398">
        <v>12102</v>
      </c>
      <c r="AJ159" s="517"/>
      <c r="AK159" s="517"/>
      <c r="AL159" s="517"/>
      <c r="AM159" s="517"/>
      <c r="AN159" s="517"/>
      <c r="AO159" s="1398"/>
      <c r="AP159" s="1398"/>
      <c r="AQ159" s="1398"/>
      <c r="AR159" s="1398"/>
      <c r="AS159" s="1398"/>
      <c r="AT159" s="517">
        <v>14447.287399999999</v>
      </c>
      <c r="AU159" s="517"/>
      <c r="AV159" s="517"/>
      <c r="AW159" s="517"/>
      <c r="AX159" s="517"/>
      <c r="AY159" s="1398"/>
      <c r="AZ159" s="1398"/>
      <c r="BA159" s="1398"/>
      <c r="BB159" s="1398"/>
      <c r="BC159" s="1398"/>
      <c r="BD159" s="256">
        <f t="shared" si="76"/>
        <v>19.379337299619891</v>
      </c>
      <c r="BE159" s="256">
        <f t="shared" si="77"/>
        <v>-100</v>
      </c>
      <c r="BF159" s="256">
        <f t="shared" si="78"/>
        <v>0</v>
      </c>
      <c r="BG159" s="256">
        <f t="shared" si="79"/>
        <v>0</v>
      </c>
      <c r="BH159" s="256">
        <f t="shared" si="80"/>
        <v>0</v>
      </c>
      <c r="BI159" s="256">
        <f t="shared" si="81"/>
        <v>0</v>
      </c>
      <c r="BJ159" s="256">
        <f t="shared" si="82"/>
        <v>0</v>
      </c>
      <c r="BK159" s="256">
        <f t="shared" si="83"/>
        <v>0</v>
      </c>
      <c r="BL159" s="256">
        <f t="shared" si="84"/>
        <v>0</v>
      </c>
      <c r="BM159" s="256">
        <f t="shared" si="85"/>
        <v>0</v>
      </c>
      <c r="BN159" s="1290"/>
      <c r="BO159" s="1290"/>
      <c r="BP159" s="1290"/>
      <c r="BQ159" s="180"/>
      <c r="BR159" s="180"/>
      <c r="BS159" s="1031" t="s">
        <v>1727</v>
      </c>
      <c r="BT159" s="1031"/>
      <c r="BU159" s="1031"/>
      <c r="BV159" s="1032"/>
      <c r="BW159" s="1032"/>
      <c r="BX159" s="1064" t="str" cm="1">
        <f t="array" aca="1" ref="BX159" ca="1">D159&amp;"::"&amp;IF(N159&lt;&gt;"",N159,"Неопределено")&amp;"::"&amp;IF(M159&lt;&gt;"",M159,"Неопределено")&amp;"::"&amp;IF(O159&lt;&gt;"",O159,"Неопределено")&amp;"::"&amp;IF(P159&lt;&gt;"",P159,"Неопределено")&amp;"::"&amp;IF(Q159&lt;&gt;"",Q159,"Неопределено")&amp;"::"&amp;IF(R159&lt;&gt;"",R159,"Неопределено")</f>
        <v>M11281::ТЭ.42.26322895.0004::Неопределено::Неопределено::Неопределено::Неопределено::Неопределено</v>
      </c>
    </row>
    <row r="160" spans="1:76" s="1229" customFormat="1" ht="14.25" customHeight="1">
      <c r="A160" s="178"/>
      <c r="B160" s="783"/>
      <c r="C160" s="1094" t="s">
        <v>1728</v>
      </c>
      <c r="D160" s="1053" t="s">
        <v>1729</v>
      </c>
      <c r="E160" s="676">
        <v>15</v>
      </c>
      <c r="F160" s="779" t="str" cm="1">
        <f t="array" aca="1" ref="F160" ca="1">OFFSET(G160,-1,-1)</f>
        <v>2</v>
      </c>
      <c r="G160" s="180"/>
      <c r="H160" s="180"/>
      <c r="I160" s="180"/>
      <c r="J160" s="180"/>
      <c r="K160" s="180"/>
      <c r="L160" s="143"/>
      <c r="M160" s="1077"/>
      <c r="N160" s="1077" t="str" cm="1">
        <f t="array" aca="1" ref="N160" ca="1">OFFSET(M160,-1,1)</f>
        <v>ТЭ.42.26322895.0004</v>
      </c>
      <c r="O160" s="1078"/>
      <c r="P160" s="1078"/>
      <c r="Q160" s="1078"/>
      <c r="R160" s="1078"/>
      <c r="T160" s="687" t="b">
        <f t="shared" ca="1" si="87"/>
        <v>1</v>
      </c>
      <c r="U160" s="1153"/>
      <c r="V160" s="1153"/>
      <c r="W160" s="1153"/>
      <c r="X160" s="1726"/>
      <c r="Y160" s="1153"/>
      <c r="Z160" s="1726"/>
      <c r="AA160" s="180"/>
      <c r="AB160" s="111" t="s">
        <v>785</v>
      </c>
      <c r="AC160" s="116" t="s">
        <v>1562</v>
      </c>
      <c r="AD160" s="419" t="s">
        <v>533</v>
      </c>
      <c r="AE160" s="1388"/>
      <c r="AF160" s="1388"/>
      <c r="AG160" s="1388"/>
      <c r="AH160" s="256">
        <f t="shared" si="75"/>
        <v>0</v>
      </c>
      <c r="AI160" s="1388"/>
      <c r="AJ160" s="934"/>
      <c r="AK160" s="934"/>
      <c r="AL160" s="934"/>
      <c r="AM160" s="934"/>
      <c r="AN160" s="934"/>
      <c r="AO160" s="1388"/>
      <c r="AP160" s="1388"/>
      <c r="AQ160" s="1388"/>
      <c r="AR160" s="1388"/>
      <c r="AS160" s="1388"/>
      <c r="AT160" s="934"/>
      <c r="AU160" s="934"/>
      <c r="AV160" s="934"/>
      <c r="AW160" s="934"/>
      <c r="AX160" s="934"/>
      <c r="AY160" s="1388"/>
      <c r="AZ160" s="1388"/>
      <c r="BA160" s="1388"/>
      <c r="BB160" s="1388"/>
      <c r="BC160" s="1388"/>
      <c r="BD160" s="256">
        <f t="shared" si="76"/>
        <v>0</v>
      </c>
      <c r="BE160" s="256">
        <f t="shared" si="77"/>
        <v>0</v>
      </c>
      <c r="BF160" s="256">
        <f t="shared" si="78"/>
        <v>0</v>
      </c>
      <c r="BG160" s="256">
        <f t="shared" si="79"/>
        <v>0</v>
      </c>
      <c r="BH160" s="256">
        <f t="shared" si="80"/>
        <v>0</v>
      </c>
      <c r="BI160" s="256">
        <f t="shared" si="81"/>
        <v>0</v>
      </c>
      <c r="BJ160" s="256">
        <f t="shared" si="82"/>
        <v>0</v>
      </c>
      <c r="BK160" s="256">
        <f t="shared" si="83"/>
        <v>0</v>
      </c>
      <c r="BL160" s="256">
        <f t="shared" si="84"/>
        <v>0</v>
      </c>
      <c r="BM160" s="256">
        <f t="shared" si="85"/>
        <v>0</v>
      </c>
      <c r="BN160" s="1290"/>
      <c r="BO160" s="1290"/>
      <c r="BP160" s="1290"/>
      <c r="BQ160" s="180"/>
      <c r="BR160" s="180"/>
      <c r="BS160" s="1031" t="s">
        <v>1730</v>
      </c>
      <c r="BT160" s="1031"/>
      <c r="BU160" s="1031"/>
      <c r="BV160" s="1032"/>
      <c r="BW160" s="1032"/>
      <c r="BX160" s="1064" t="str" cm="1">
        <f t="array" aca="1" ref="BX160" ca="1">D160&amp;"::"&amp;IF(N160&lt;&gt;"",N160,"Неопределено")&amp;"::"&amp;IF(M160&lt;&gt;"",M160,"Неопределено")&amp;"::"&amp;IF(O160&lt;&gt;"",O160,"Неопределено")&amp;"::"&amp;IF(P160&lt;&gt;"",P160,"Неопределено")&amp;"::"&amp;IF(Q160&lt;&gt;"",Q160,"Неопределено")&amp;"::"&amp;IF(R160&lt;&gt;"",R160,"Неопределено")</f>
        <v>M10607::ТЭ.42.26322895.0004::Неопределено::Неопределено::Неопределено::Неопределено::Неопределено</v>
      </c>
    </row>
    <row r="161" spans="1:76" s="1229" customFormat="1" ht="28.5" customHeight="1">
      <c r="A161" s="178"/>
      <c r="B161" s="783"/>
      <c r="C161" s="1094" t="s">
        <v>1731</v>
      </c>
      <c r="D161" s="1053" t="s">
        <v>1732</v>
      </c>
      <c r="E161" s="676">
        <v>29.3</v>
      </c>
      <c r="F161" s="779" t="str" cm="1">
        <f t="array" aca="1" ref="F161" ca="1">OFFSET(G161,-1,-1)</f>
        <v>2</v>
      </c>
      <c r="G161" s="143">
        <v>6</v>
      </c>
      <c r="H161" s="180"/>
      <c r="I161" s="180"/>
      <c r="J161" s="180"/>
      <c r="K161" s="180"/>
      <c r="L161" s="143"/>
      <c r="M161" s="1077"/>
      <c r="N161" s="1077" t="str" cm="1">
        <f t="array" aca="1" ref="N161" ca="1">OFFSET(M161,-1,1)</f>
        <v>ТЭ.42.26322895.0004</v>
      </c>
      <c r="O161" s="1078"/>
      <c r="P161" s="1078"/>
      <c r="Q161" s="1078"/>
      <c r="R161" s="1078"/>
      <c r="T161" s="687" t="b">
        <f ca="1">F161&gt;0</f>
        <v>1</v>
      </c>
      <c r="U161" s="1153"/>
      <c r="V161" s="1153"/>
      <c r="W161" s="1153"/>
      <c r="X161" s="1726"/>
      <c r="Y161" s="1153"/>
      <c r="Z161" s="1726"/>
      <c r="AA161" s="180"/>
      <c r="AB161" s="111" t="s">
        <v>448</v>
      </c>
      <c r="AC161" s="513" t="s">
        <v>1569</v>
      </c>
      <c r="AD161" s="419" t="s">
        <v>1077</v>
      </c>
      <c r="AE161" s="1398"/>
      <c r="AF161" s="1398"/>
      <c r="AG161" s="1398"/>
      <c r="AH161" s="256">
        <f t="shared" si="75"/>
        <v>0</v>
      </c>
      <c r="AI161" s="1398">
        <v>13053.09</v>
      </c>
      <c r="AJ161" s="517"/>
      <c r="AK161" s="517"/>
      <c r="AL161" s="517"/>
      <c r="AM161" s="517"/>
      <c r="AN161" s="517"/>
      <c r="AO161" s="1398"/>
      <c r="AP161" s="1398"/>
      <c r="AQ161" s="1398"/>
      <c r="AR161" s="1398"/>
      <c r="AS161" s="1398"/>
      <c r="AT161" s="517"/>
      <c r="AU161" s="517"/>
      <c r="AV161" s="517"/>
      <c r="AW161" s="517"/>
      <c r="AX161" s="517"/>
      <c r="AY161" s="1398"/>
      <c r="AZ161" s="1398"/>
      <c r="BA161" s="1398"/>
      <c r="BB161" s="1398"/>
      <c r="BC161" s="1398"/>
      <c r="BD161" s="256">
        <f t="shared" si="76"/>
        <v>-100</v>
      </c>
      <c r="BE161" s="256">
        <f t="shared" si="77"/>
        <v>0</v>
      </c>
      <c r="BF161" s="256">
        <f t="shared" si="78"/>
        <v>0</v>
      </c>
      <c r="BG161" s="256">
        <f t="shared" si="79"/>
        <v>0</v>
      </c>
      <c r="BH161" s="256">
        <f t="shared" si="80"/>
        <v>0</v>
      </c>
      <c r="BI161" s="256">
        <f t="shared" si="81"/>
        <v>0</v>
      </c>
      <c r="BJ161" s="256">
        <f t="shared" si="82"/>
        <v>0</v>
      </c>
      <c r="BK161" s="256">
        <f t="shared" si="83"/>
        <v>0</v>
      </c>
      <c r="BL161" s="256">
        <f t="shared" si="84"/>
        <v>0</v>
      </c>
      <c r="BM161" s="256">
        <f t="shared" si="85"/>
        <v>0</v>
      </c>
      <c r="BN161" s="1290"/>
      <c r="BO161" s="1290"/>
      <c r="BP161" s="1290"/>
      <c r="BQ161" s="180"/>
      <c r="BR161" s="180"/>
      <c r="BS161" s="1031" t="s">
        <v>1733</v>
      </c>
      <c r="BT161" s="1031"/>
      <c r="BU161" s="1031"/>
      <c r="BV161" s="1032"/>
      <c r="BW161" s="1032"/>
      <c r="BX161" s="1064" t="str" cm="1">
        <f t="array" aca="1" ref="BX161" ca="1">D161&amp;"::"&amp;IF(N161&lt;&gt;"",N161,"Неопределено")&amp;"::"&amp;IF(M161&lt;&gt;"",M161,"Неопределено")&amp;"::"&amp;IF(O161&lt;&gt;"",O161,"Неопределено")&amp;"::"&amp;IF(P161&lt;&gt;"",P161,"Неопределено")&amp;"::"&amp;IF(Q161&lt;&gt;"",Q161,"Неопределено")&amp;"::"&amp;IF(R161&lt;&gt;"",R161,"Неопределено")</f>
        <v>M11584::ТЭ.42.26322895.0004::Неопределено::Неопределено::Неопределено::Неопределено::Неопределено</v>
      </c>
    </row>
    <row r="162" spans="1:76" s="1229" customFormat="1" ht="28.5" customHeight="1">
      <c r="A162" s="178"/>
      <c r="B162" s="783"/>
      <c r="C162" s="1094" t="s">
        <v>1734</v>
      </c>
      <c r="D162" s="1053" t="s">
        <v>1735</v>
      </c>
      <c r="E162" s="676">
        <v>29.3</v>
      </c>
      <c r="F162" s="779" t="str" cm="1">
        <f t="array" aca="1" ref="F162" ca="1">OFFSET(G162,-1,-1)</f>
        <v>2</v>
      </c>
      <c r="G162" s="143" t="s">
        <v>1596</v>
      </c>
      <c r="H162" s="180"/>
      <c r="I162" s="180"/>
      <c r="J162" s="180"/>
      <c r="K162" s="180"/>
      <c r="L162" s="143"/>
      <c r="M162" s="1077"/>
      <c r="N162" s="1077" t="str" cm="1">
        <f t="array" aca="1" ref="N162" ca="1">OFFSET(M162,-1,1)</f>
        <v>ТЭ.42.26322895.0004</v>
      </c>
      <c r="O162" s="1078"/>
      <c r="P162" s="1078"/>
      <c r="Q162" s="1078"/>
      <c r="R162" s="1078"/>
      <c r="T162" s="687" t="b" cm="1">
        <f t="array" aca="1" ref="T162" ca="1">T161</f>
        <v>1</v>
      </c>
      <c r="U162" s="1153"/>
      <c r="V162" s="1153"/>
      <c r="W162" s="1153"/>
      <c r="X162" s="1726"/>
      <c r="Y162" s="1153"/>
      <c r="Z162" s="1726"/>
      <c r="AA162" s="180"/>
      <c r="AB162" s="111" t="s">
        <v>451</v>
      </c>
      <c r="AC162" s="622" t="s">
        <v>1736</v>
      </c>
      <c r="AD162" s="419" t="s">
        <v>1077</v>
      </c>
      <c r="AE162" s="1398"/>
      <c r="AF162" s="1398"/>
      <c r="AG162" s="1398"/>
      <c r="AH162" s="256">
        <f t="shared" si="75"/>
        <v>0</v>
      </c>
      <c r="AI162" s="1398"/>
      <c r="AJ162" s="517"/>
      <c r="AK162" s="517"/>
      <c r="AL162" s="517"/>
      <c r="AM162" s="517"/>
      <c r="AN162" s="517"/>
      <c r="AO162" s="1398"/>
      <c r="AP162" s="1398"/>
      <c r="AQ162" s="1398"/>
      <c r="AR162" s="1398"/>
      <c r="AS162" s="1398"/>
      <c r="AT162" s="517">
        <f ca="1">SUMIFS('Корр Факт'!AN$27:AN$169,'Корр Факт'!$F$27:$F$169,$F162,'Корр Факт'!$G$27:$G$169,$G162)</f>
        <v>0</v>
      </c>
      <c r="AU162" s="517"/>
      <c r="AV162" s="517"/>
      <c r="AW162" s="517"/>
      <c r="AX162" s="517"/>
      <c r="AY162" s="1398"/>
      <c r="AZ162" s="1398"/>
      <c r="BA162" s="1398"/>
      <c r="BB162" s="1398"/>
      <c r="BC162" s="1398"/>
      <c r="BD162" s="256">
        <f t="shared" si="76"/>
        <v>0</v>
      </c>
      <c r="BE162" s="256">
        <f t="shared" ca="1" si="77"/>
        <v>0</v>
      </c>
      <c r="BF162" s="256">
        <f t="shared" si="78"/>
        <v>0</v>
      </c>
      <c r="BG162" s="256">
        <f t="shared" si="79"/>
        <v>0</v>
      </c>
      <c r="BH162" s="256">
        <f t="shared" si="80"/>
        <v>0</v>
      </c>
      <c r="BI162" s="256">
        <f t="shared" si="81"/>
        <v>0</v>
      </c>
      <c r="BJ162" s="256">
        <f t="shared" si="82"/>
        <v>0</v>
      </c>
      <c r="BK162" s="256">
        <f t="shared" si="83"/>
        <v>0</v>
      </c>
      <c r="BL162" s="256">
        <f t="shared" si="84"/>
        <v>0</v>
      </c>
      <c r="BM162" s="256">
        <f t="shared" si="85"/>
        <v>0</v>
      </c>
      <c r="BN162" s="1290"/>
      <c r="BO162" s="1290"/>
      <c r="BP162" s="1290"/>
      <c r="BQ162" s="180"/>
      <c r="BR162" s="180"/>
      <c r="BS162" s="1031" t="s">
        <v>1737</v>
      </c>
      <c r="BT162" s="1031"/>
      <c r="BU162" s="1031"/>
      <c r="BV162" s="1032"/>
      <c r="BW162" s="1032"/>
      <c r="BX162" s="1064" t="str" cm="1">
        <f t="array" aca="1" ref="BX162" ca="1">D162&amp;"::"&amp;IF(N162&lt;&gt;"",N162,"Неопределено")&amp;"::"&amp;IF(M162&lt;&gt;"",M162,"Неопределено")&amp;"::"&amp;IF(O162&lt;&gt;"",O162,"Неопределено")&amp;"::"&amp;IF(P162&lt;&gt;"",P162,"Неопределено")&amp;"::"&amp;IF(Q162&lt;&gt;"",Q162,"Неопределено")&amp;"::"&amp;IF(R162&lt;&gt;"",R162,"Неопределено")</f>
        <v>M11585::ТЭ.42.26322895.0004::Неопределено::Неопределено::Неопределено::Неопределено::Неопределено</v>
      </c>
    </row>
    <row r="163" spans="1:76" s="1429" customFormat="1" ht="63.75" customHeight="1">
      <c r="A163" s="185"/>
      <c r="B163" s="185"/>
      <c r="C163" s="1094" t="s">
        <v>1738</v>
      </c>
      <c r="D163" s="1053" t="s">
        <v>1739</v>
      </c>
      <c r="E163" s="676">
        <v>66</v>
      </c>
      <c r="F163" s="779" t="str" cm="1">
        <f t="array" aca="1" ref="F163" ca="1">OFFSET(G163,-1,-1)</f>
        <v>2</v>
      </c>
      <c r="G163" s="185"/>
      <c r="H163" s="185"/>
      <c r="I163" s="185"/>
      <c r="J163" s="185"/>
      <c r="K163" s="185"/>
      <c r="L163" s="185"/>
      <c r="M163" s="1077"/>
      <c r="N163" s="1077" t="str" cm="1">
        <f t="array" aca="1" ref="N163" ca="1">OFFSET(M163,-1,1)</f>
        <v>ТЭ.42.26322895.0004</v>
      </c>
      <c r="O163" s="1079"/>
      <c r="P163" s="1079"/>
      <c r="Q163" s="1079"/>
      <c r="R163" s="1079"/>
      <c r="S163" s="185"/>
      <c r="T163" s="687" t="b" cm="1">
        <f t="array" aca="1" ref="T163" ca="1">T162</f>
        <v>1</v>
      </c>
      <c r="U163" s="185"/>
      <c r="V163" s="185"/>
      <c r="W163" s="185"/>
      <c r="X163" s="1823"/>
      <c r="Y163" s="185"/>
      <c r="Z163" s="1823"/>
      <c r="AA163" s="185"/>
      <c r="AB163" s="111" t="s">
        <v>454</v>
      </c>
      <c r="AC163" s="513" t="s">
        <v>1740</v>
      </c>
      <c r="AD163" s="419" t="s">
        <v>1077</v>
      </c>
      <c r="AE163" s="1398"/>
      <c r="AF163" s="1398"/>
      <c r="AG163" s="1398"/>
      <c r="AH163" s="256">
        <f t="shared" si="75"/>
        <v>0</v>
      </c>
      <c r="AI163" s="1398"/>
      <c r="AJ163" s="517"/>
      <c r="AK163" s="517"/>
      <c r="AL163" s="517"/>
      <c r="AM163" s="517"/>
      <c r="AN163" s="517"/>
      <c r="AO163" s="1398"/>
      <c r="AP163" s="1398"/>
      <c r="AQ163" s="1398"/>
      <c r="AR163" s="1398"/>
      <c r="AS163" s="1398"/>
      <c r="AT163" s="517"/>
      <c r="AU163" s="517"/>
      <c r="AV163" s="517"/>
      <c r="AW163" s="517"/>
      <c r="AX163" s="517"/>
      <c r="AY163" s="1398"/>
      <c r="AZ163" s="1398"/>
      <c r="BA163" s="1398"/>
      <c r="BB163" s="1398"/>
      <c r="BC163" s="1398"/>
      <c r="BD163" s="256">
        <f t="shared" si="76"/>
        <v>0</v>
      </c>
      <c r="BE163" s="256">
        <f t="shared" si="77"/>
        <v>0</v>
      </c>
      <c r="BF163" s="256">
        <f t="shared" si="78"/>
        <v>0</v>
      </c>
      <c r="BG163" s="256">
        <f t="shared" si="79"/>
        <v>0</v>
      </c>
      <c r="BH163" s="256">
        <f t="shared" si="80"/>
        <v>0</v>
      </c>
      <c r="BI163" s="256">
        <f t="shared" si="81"/>
        <v>0</v>
      </c>
      <c r="BJ163" s="256">
        <f t="shared" si="82"/>
        <v>0</v>
      </c>
      <c r="BK163" s="256">
        <f t="shared" si="83"/>
        <v>0</v>
      </c>
      <c r="BL163" s="256">
        <f t="shared" si="84"/>
        <v>0</v>
      </c>
      <c r="BM163" s="256">
        <f t="shared" si="85"/>
        <v>0</v>
      </c>
      <c r="BN163" s="1290"/>
      <c r="BO163" s="1290"/>
      <c r="BP163" s="1290"/>
      <c r="BQ163" s="185"/>
      <c r="BR163" s="185"/>
      <c r="BS163" s="1031" t="s">
        <v>1573</v>
      </c>
      <c r="BT163" s="1039"/>
      <c r="BU163" s="1039"/>
      <c r="BV163" s="1040"/>
      <c r="BW163" s="1040"/>
      <c r="BX163" s="1064" t="str" cm="1">
        <f t="array" aca="1" ref="BX163" ca="1">D163&amp;"::"&amp;IF(N163&lt;&gt;"",N163,"Неопределено")&amp;"::"&amp;IF(M163&lt;&gt;"",M163,"Неопределено")&amp;"::"&amp;IF(O163&lt;&gt;"",O163,"Неопределено")&amp;"::"&amp;IF(P163&lt;&gt;"",P163,"Неопределено")&amp;"::"&amp;IF(Q163&lt;&gt;"",Q163,"Неопределено")&amp;"::"&amp;IF(R163&lt;&gt;"",R163,"Неопределено")</f>
        <v>M11583::ТЭ.42.26322895.0004::Неопределено::Неопределено::Неопределено::Неопределено::Неопределено</v>
      </c>
    </row>
    <row r="164" spans="1:76" s="1430" customFormat="1" ht="32.25" customHeight="1">
      <c r="A164" s="185"/>
      <c r="B164" s="185"/>
      <c r="C164" s="1094" t="s">
        <v>1741</v>
      </c>
      <c r="D164" s="1053" t="s">
        <v>1742</v>
      </c>
      <c r="E164" s="676">
        <v>33.799999999999997</v>
      </c>
      <c r="F164" s="779" t="str" cm="1">
        <f t="array" aca="1" ref="F164" ca="1">OFFSET(G164,-1,-1)</f>
        <v>2</v>
      </c>
      <c r="G164" s="185"/>
      <c r="H164" s="185"/>
      <c r="I164" s="185"/>
      <c r="J164" s="185"/>
      <c r="K164" s="185"/>
      <c r="L164" s="185"/>
      <c r="M164" s="1077"/>
      <c r="N164" s="1077" t="str" cm="1">
        <f t="array" aca="1" ref="N164" ca="1">OFFSET(M164,-1,1)</f>
        <v>ТЭ.42.26322895.0004</v>
      </c>
      <c r="O164" s="1079"/>
      <c r="P164" s="1079"/>
      <c r="Q164" s="1079"/>
      <c r="R164" s="1079"/>
      <c r="S164" s="185"/>
      <c r="T164" s="687" t="b" cm="1">
        <f t="array" aca="1" ref="T164" ca="1">T163</f>
        <v>1</v>
      </c>
      <c r="U164" s="185"/>
      <c r="V164" s="185"/>
      <c r="W164" s="185"/>
      <c r="X164" s="1823"/>
      <c r="Y164" s="185"/>
      <c r="Z164" s="1823"/>
      <c r="AA164" s="185"/>
      <c r="AB164" s="111" t="s">
        <v>457</v>
      </c>
      <c r="AC164" s="513" t="s">
        <v>1743</v>
      </c>
      <c r="AD164" s="419" t="s">
        <v>1077</v>
      </c>
      <c r="AE164" s="1398"/>
      <c r="AF164" s="1398"/>
      <c r="AG164" s="1398"/>
      <c r="AH164" s="256">
        <f t="shared" si="75"/>
        <v>0</v>
      </c>
      <c r="AI164" s="1398"/>
      <c r="AJ164" s="517"/>
      <c r="AK164" s="517"/>
      <c r="AL164" s="517"/>
      <c r="AM164" s="517"/>
      <c r="AN164" s="517"/>
      <c r="AO164" s="1398"/>
      <c r="AP164" s="1398"/>
      <c r="AQ164" s="1398"/>
      <c r="AR164" s="1398"/>
      <c r="AS164" s="1398"/>
      <c r="AT164" s="517"/>
      <c r="AU164" s="517"/>
      <c r="AV164" s="517"/>
      <c r="AW164" s="517"/>
      <c r="AX164" s="517"/>
      <c r="AY164" s="1398"/>
      <c r="AZ164" s="1398"/>
      <c r="BA164" s="1398"/>
      <c r="BB164" s="1398"/>
      <c r="BC164" s="1398"/>
      <c r="BD164" s="256">
        <f t="shared" si="76"/>
        <v>0</v>
      </c>
      <c r="BE164" s="256">
        <f t="shared" si="77"/>
        <v>0</v>
      </c>
      <c r="BF164" s="256">
        <f t="shared" si="78"/>
        <v>0</v>
      </c>
      <c r="BG164" s="256">
        <f t="shared" si="79"/>
        <v>0</v>
      </c>
      <c r="BH164" s="256">
        <f t="shared" si="80"/>
        <v>0</v>
      </c>
      <c r="BI164" s="256">
        <f t="shared" si="81"/>
        <v>0</v>
      </c>
      <c r="BJ164" s="256">
        <f t="shared" si="82"/>
        <v>0</v>
      </c>
      <c r="BK164" s="256">
        <f t="shared" si="83"/>
        <v>0</v>
      </c>
      <c r="BL164" s="256">
        <f t="shared" si="84"/>
        <v>0</v>
      </c>
      <c r="BM164" s="256">
        <f t="shared" si="85"/>
        <v>0</v>
      </c>
      <c r="BN164" s="1290"/>
      <c r="BO164" s="1290"/>
      <c r="BP164" s="1290"/>
      <c r="BQ164" s="185"/>
      <c r="BR164" s="185"/>
      <c r="BS164" s="1031" t="s">
        <v>1744</v>
      </c>
      <c r="BT164" s="1039"/>
      <c r="BU164" s="1039"/>
      <c r="BV164" s="1040"/>
      <c r="BW164" s="1040"/>
      <c r="BX164" s="1064" t="str" cm="1">
        <f t="array" aca="1" ref="BX164" ca="1">D164&amp;"::"&amp;IF(N164&lt;&gt;"",N164,"Неопределено")&amp;"::"&amp;IF(M164&lt;&gt;"",M164,"Неопределено")&amp;"::"&amp;IF(O164&lt;&gt;"",O164,"Неопределено")&amp;"::"&amp;IF(P164&lt;&gt;"",P164,"Неопределено")&amp;"::"&amp;IF(Q164&lt;&gt;"",Q164,"Неопределено")&amp;"::"&amp;IF(R164&lt;&gt;"",R164,"Неопределено")</f>
        <v>M10742::ТЭ.42.26322895.0004::Неопределено::Неопределено::Неопределено::Неопределено::Неопределено</v>
      </c>
    </row>
    <row r="165" spans="1:76" s="1229" customFormat="1" ht="61.5" customHeight="1">
      <c r="A165" s="178"/>
      <c r="B165" s="783"/>
      <c r="C165" s="1094" t="s">
        <v>1745</v>
      </c>
      <c r="D165" s="1053" t="s">
        <v>1746</v>
      </c>
      <c r="E165" s="676">
        <v>63.8</v>
      </c>
      <c r="F165" s="779" t="str" cm="1">
        <f t="array" aca="1" ref="F165" ca="1">OFFSET(G165,-1,-1)</f>
        <v>2</v>
      </c>
      <c r="G165" s="180"/>
      <c r="H165" s="180"/>
      <c r="I165" s="180"/>
      <c r="J165" s="180"/>
      <c r="K165" s="180"/>
      <c r="L165" s="143"/>
      <c r="M165" s="1077"/>
      <c r="N165" s="1077" t="str" cm="1">
        <f t="array" aca="1" ref="N165" ca="1">OFFSET(M165,-1,1)</f>
        <v>ТЭ.42.26322895.0004</v>
      </c>
      <c r="O165" s="1078"/>
      <c r="P165" s="1078"/>
      <c r="Q165" s="1078"/>
      <c r="R165" s="1078"/>
      <c r="T165" s="687" t="b" cm="1">
        <f t="array" aca="1" ref="T165" ca="1">T164</f>
        <v>1</v>
      </c>
      <c r="U165" s="1153"/>
      <c r="V165" s="1153"/>
      <c r="W165" s="1153"/>
      <c r="X165" s="1726"/>
      <c r="Y165" s="1153"/>
      <c r="Z165" s="1726"/>
      <c r="AA165" s="180"/>
      <c r="AB165" s="539" t="s">
        <v>460</v>
      </c>
      <c r="AC165" s="541" t="s">
        <v>1747</v>
      </c>
      <c r="AD165" s="424" t="s">
        <v>1077</v>
      </c>
      <c r="AE165" s="1419"/>
      <c r="AF165" s="1398"/>
      <c r="AG165" s="1398"/>
      <c r="AH165" s="256">
        <f t="shared" si="75"/>
        <v>0</v>
      </c>
      <c r="AI165" s="1398"/>
      <c r="AJ165" s="517"/>
      <c r="AK165" s="517"/>
      <c r="AL165" s="517"/>
      <c r="AM165" s="517"/>
      <c r="AN165" s="517"/>
      <c r="AO165" s="1398"/>
      <c r="AP165" s="1398"/>
      <c r="AQ165" s="1398"/>
      <c r="AR165" s="1398"/>
      <c r="AS165" s="1398"/>
      <c r="AT165" s="517"/>
      <c r="AU165" s="517"/>
      <c r="AV165" s="517"/>
      <c r="AW165" s="517"/>
      <c r="AX165" s="517"/>
      <c r="AY165" s="1398"/>
      <c r="AZ165" s="1398"/>
      <c r="BA165" s="1398"/>
      <c r="BB165" s="1398"/>
      <c r="BC165" s="1398"/>
      <c r="BD165" s="256">
        <f t="shared" si="76"/>
        <v>0</v>
      </c>
      <c r="BE165" s="256">
        <f t="shared" si="77"/>
        <v>0</v>
      </c>
      <c r="BF165" s="256">
        <f t="shared" si="78"/>
        <v>0</v>
      </c>
      <c r="BG165" s="256">
        <f t="shared" si="79"/>
        <v>0</v>
      </c>
      <c r="BH165" s="256">
        <f t="shared" si="80"/>
        <v>0</v>
      </c>
      <c r="BI165" s="256">
        <f t="shared" si="81"/>
        <v>0</v>
      </c>
      <c r="BJ165" s="256">
        <f t="shared" si="82"/>
        <v>0</v>
      </c>
      <c r="BK165" s="256">
        <f t="shared" si="83"/>
        <v>0</v>
      </c>
      <c r="BL165" s="256">
        <f t="shared" si="84"/>
        <v>0</v>
      </c>
      <c r="BM165" s="256">
        <f t="shared" si="85"/>
        <v>0</v>
      </c>
      <c r="BN165" s="1296"/>
      <c r="BO165" s="1296"/>
      <c r="BP165" s="1296"/>
      <c r="BQ165" s="180"/>
      <c r="BR165" s="180"/>
      <c r="BS165" s="1031" t="s">
        <v>1748</v>
      </c>
      <c r="BT165" s="1031"/>
      <c r="BU165" s="1031"/>
      <c r="BV165" s="1032"/>
      <c r="BW165" s="1032"/>
      <c r="BX165" s="1064" t="str" cm="1">
        <f t="array" aca="1" ref="BX165" ca="1">D165&amp;"::"&amp;IF(N165&lt;&gt;"",N165,"Неопределено")&amp;"::"&amp;IF(M165&lt;&gt;"",M165,"Неопределено")&amp;"::"&amp;IF(O165&lt;&gt;"",O165,"Неопределено")&amp;"::"&amp;IF(P165&lt;&gt;"",P165,"Неопределено")&amp;"::"&amp;IF(Q165&lt;&gt;"",Q165,"Неопределено")&amp;"::"&amp;IF(R165&lt;&gt;"",R165,"Неопределено")</f>
        <v>M10743::ТЭ.42.26322895.0004::Неопределено::Неопределено::Неопределено::Неопределено::Неопределено</v>
      </c>
    </row>
    <row r="166" spans="1:76" s="1229" customFormat="1" ht="16.5" customHeight="1">
      <c r="A166" s="178"/>
      <c r="B166" s="783"/>
      <c r="C166" s="1094" t="s">
        <v>1749</v>
      </c>
      <c r="D166" s="1053" t="s">
        <v>1750</v>
      </c>
      <c r="E166" s="676">
        <v>17.100000000000001</v>
      </c>
      <c r="F166" s="779" t="str" cm="1">
        <f t="array" aca="1" ref="F166" ca="1">OFFSET(G166,-1,-1)</f>
        <v>2</v>
      </c>
      <c r="G166" s="180"/>
      <c r="H166" s="180"/>
      <c r="I166" s="180"/>
      <c r="J166" s="180"/>
      <c r="K166" s="180"/>
      <c r="L166" s="143"/>
      <c r="M166" s="1077"/>
      <c r="N166" s="1077" t="str" cm="1">
        <f t="array" aca="1" ref="N166" ca="1">OFFSET(M166,-1,1)</f>
        <v>ТЭ.42.26322895.0004</v>
      </c>
      <c r="O166" s="1078"/>
      <c r="P166" s="1078"/>
      <c r="Q166" s="1078"/>
      <c r="R166" s="1078"/>
      <c r="T166" s="687" t="b" cm="1">
        <f t="array" aca="1" ref="T166" ca="1">T165</f>
        <v>1</v>
      </c>
      <c r="U166" s="1153"/>
      <c r="V166" s="1153"/>
      <c r="W166" s="1153"/>
      <c r="X166" s="1726"/>
      <c r="Y166" s="1153"/>
      <c r="Z166" s="1726"/>
      <c r="AA166" s="180"/>
      <c r="AB166" s="111" t="s">
        <v>463</v>
      </c>
      <c r="AC166" s="513" t="s">
        <v>1751</v>
      </c>
      <c r="AD166" s="549" t="s">
        <v>1077</v>
      </c>
      <c r="AE166" s="515">
        <f>SUM(AE167:AE169)</f>
        <v>0</v>
      </c>
      <c r="AF166" s="515">
        <f>SUM(AF167:AF169)</f>
        <v>0</v>
      </c>
      <c r="AG166" s="550">
        <f>SUM(AG167:AG169)</f>
        <v>0</v>
      </c>
      <c r="AH166" s="256">
        <f t="shared" si="75"/>
        <v>0</v>
      </c>
      <c r="AI166" s="551">
        <f t="shared" ref="AI166:BC166" si="89">SUM(AI167:AI169)</f>
        <v>0</v>
      </c>
      <c r="AJ166" s="515">
        <f t="shared" si="89"/>
        <v>0</v>
      </c>
      <c r="AK166" s="515">
        <f t="shared" si="89"/>
        <v>0</v>
      </c>
      <c r="AL166" s="515">
        <f t="shared" si="89"/>
        <v>0</v>
      </c>
      <c r="AM166" s="515">
        <f t="shared" si="89"/>
        <v>0</v>
      </c>
      <c r="AN166" s="515">
        <f t="shared" si="89"/>
        <v>0</v>
      </c>
      <c r="AO166" s="515">
        <f t="shared" si="89"/>
        <v>0</v>
      </c>
      <c r="AP166" s="515">
        <f t="shared" si="89"/>
        <v>0</v>
      </c>
      <c r="AQ166" s="515">
        <f t="shared" si="89"/>
        <v>0</v>
      </c>
      <c r="AR166" s="515">
        <f t="shared" si="89"/>
        <v>0</v>
      </c>
      <c r="AS166" s="515">
        <f t="shared" si="89"/>
        <v>0</v>
      </c>
      <c r="AT166" s="515">
        <f t="shared" si="89"/>
        <v>0</v>
      </c>
      <c r="AU166" s="515">
        <f t="shared" si="89"/>
        <v>0</v>
      </c>
      <c r="AV166" s="515">
        <f t="shared" si="89"/>
        <v>0</v>
      </c>
      <c r="AW166" s="515">
        <f t="shared" si="89"/>
        <v>0</v>
      </c>
      <c r="AX166" s="515">
        <f t="shared" si="89"/>
        <v>0</v>
      </c>
      <c r="AY166" s="515">
        <f t="shared" si="89"/>
        <v>0</v>
      </c>
      <c r="AZ166" s="515">
        <f t="shared" si="89"/>
        <v>0</v>
      </c>
      <c r="BA166" s="515">
        <f t="shared" si="89"/>
        <v>0</v>
      </c>
      <c r="BB166" s="515">
        <f t="shared" si="89"/>
        <v>0</v>
      </c>
      <c r="BC166" s="515">
        <f t="shared" si="89"/>
        <v>0</v>
      </c>
      <c r="BD166" s="256">
        <f t="shared" si="76"/>
        <v>0</v>
      </c>
      <c r="BE166" s="256">
        <f t="shared" si="77"/>
        <v>0</v>
      </c>
      <c r="BF166" s="256">
        <f t="shared" si="78"/>
        <v>0</v>
      </c>
      <c r="BG166" s="256">
        <f t="shared" si="79"/>
        <v>0</v>
      </c>
      <c r="BH166" s="256">
        <f t="shared" si="80"/>
        <v>0</v>
      </c>
      <c r="BI166" s="256">
        <f t="shared" si="81"/>
        <v>0</v>
      </c>
      <c r="BJ166" s="256">
        <f t="shared" si="82"/>
        <v>0</v>
      </c>
      <c r="BK166" s="256">
        <f t="shared" si="83"/>
        <v>0</v>
      </c>
      <c r="BL166" s="256">
        <f t="shared" si="84"/>
        <v>0</v>
      </c>
      <c r="BM166" s="256">
        <f t="shared" si="85"/>
        <v>0</v>
      </c>
      <c r="BN166" s="1297"/>
      <c r="BO166" s="1297"/>
      <c r="BP166" s="1297"/>
      <c r="BQ166" s="180"/>
      <c r="BR166" s="180"/>
      <c r="BS166" s="1031" t="s">
        <v>1326</v>
      </c>
      <c r="BT166" s="1031"/>
      <c r="BU166" s="1031"/>
      <c r="BV166" s="1032"/>
      <c r="BW166" s="1032"/>
      <c r="BX166" s="1064" t="str" cm="1">
        <f t="array" aca="1" ref="BX166" ca="1">D166&amp;"::"&amp;IF(N166&lt;&gt;"",N166,"Неопределено")&amp;"::"&amp;IF(M166&lt;&gt;"",M166,"Неопределено")&amp;"::"&amp;IF(O166&lt;&gt;"",O166,"Неопределено")&amp;"::"&amp;IF(P166&lt;&gt;"",P166,"Неопределено")&amp;"::"&amp;IF(Q166&lt;&gt;"",Q166,"Неопределено")&amp;"::"&amp;IF(R166&lt;&gt;"",R166,"Неопределено")</f>
        <v>M10895::ТЭ.42.26322895.0004::Неопределено::Неопределено::Неопределено::Неопределено::Неопределено</v>
      </c>
    </row>
    <row r="167" spans="1:76" s="1431" customFormat="1" ht="17.25" hidden="1" customHeight="1">
      <c r="A167" s="543"/>
      <c r="B167" s="543"/>
      <c r="C167" s="1094"/>
      <c r="D167" s="1053"/>
      <c r="E167" s="676">
        <v>0</v>
      </c>
      <c r="F167" s="779" t="str" cm="1">
        <f t="array" aca="1" ref="F167" ca="1">OFFSET(G167,-1,-1)</f>
        <v>2</v>
      </c>
      <c r="G167" s="543"/>
      <c r="H167" s="543"/>
      <c r="I167" s="543"/>
      <c r="J167" s="543"/>
      <c r="K167" s="543"/>
      <c r="L167" s="543"/>
      <c r="M167" s="1077"/>
      <c r="N167" s="1077" t="str" cm="1">
        <f t="array" aca="1" ref="N167" ca="1">OFFSET(M167,-1,1)</f>
        <v>ТЭ.42.26322895.0004</v>
      </c>
      <c r="O167" s="1080"/>
      <c r="P167" s="1080"/>
      <c r="Q167" s="1080"/>
      <c r="R167" s="1080"/>
      <c r="S167" s="543"/>
      <c r="T167" s="687" t="b" cm="1">
        <f t="array" aca="1" ref="T167" ca="1">T166</f>
        <v>1</v>
      </c>
      <c r="U167" s="543"/>
      <c r="V167" s="543"/>
      <c r="W167" s="543"/>
      <c r="X167" s="1837"/>
      <c r="Y167" s="543"/>
      <c r="Z167" s="1837"/>
      <c r="AA167" s="543"/>
      <c r="AB167" s="547"/>
      <c r="AC167" s="548"/>
      <c r="AD167" s="487"/>
      <c r="AE167" s="516"/>
      <c r="AF167" s="516"/>
      <c r="AG167" s="85"/>
      <c r="AH167" s="516"/>
      <c r="AI167" s="861"/>
      <c r="AJ167" s="516"/>
      <c r="AK167" s="516"/>
      <c r="AL167" s="516"/>
      <c r="AM167" s="516"/>
      <c r="AN167" s="516"/>
      <c r="AO167" s="516"/>
      <c r="AP167" s="516"/>
      <c r="AQ167" s="516"/>
      <c r="AR167" s="516"/>
      <c r="AS167" s="516"/>
      <c r="AT167" s="516"/>
      <c r="AU167" s="516"/>
      <c r="AV167" s="516"/>
      <c r="AW167" s="516"/>
      <c r="AX167" s="516"/>
      <c r="AY167" s="516"/>
      <c r="AZ167" s="516"/>
      <c r="BA167" s="516"/>
      <c r="BB167" s="516"/>
      <c r="BC167" s="516"/>
      <c r="BD167" s="544"/>
      <c r="BE167" s="544"/>
      <c r="BF167" s="544"/>
      <c r="BG167" s="544"/>
      <c r="BH167" s="544"/>
      <c r="BI167" s="544"/>
      <c r="BJ167" s="544"/>
      <c r="BK167" s="544"/>
      <c r="BL167" s="544"/>
      <c r="BM167" s="544"/>
      <c r="BN167" s="719"/>
      <c r="BO167" s="719"/>
      <c r="BP167" s="719"/>
      <c r="BQ167" s="543"/>
      <c r="BR167" s="543"/>
      <c r="BS167" s="1031" t="str">
        <f>IF(AND(ISNUMBER(VALUE(TRIM(SUBSTITUTE(AB167,".","")))),TRIM(SUBSTITUTE(AB167,".",""))&lt;&gt;""),"P"&amp;SUBSTITUTE(AB167,".",""),"")</f>
        <v/>
      </c>
      <c r="BT167" s="1044"/>
      <c r="BU167" s="1044"/>
      <c r="BV167" s="1045"/>
      <c r="BW167" s="1045"/>
      <c r="BX167" s="1064"/>
    </row>
    <row r="168" spans="1:76" s="1229" customFormat="1" ht="16.5" hidden="1" customHeight="1">
      <c r="A168" s="178"/>
      <c r="B168" s="783"/>
      <c r="C168" s="1094" t="s">
        <v>1749</v>
      </c>
      <c r="D168" s="1053" t="s">
        <v>1750</v>
      </c>
      <c r="E168" s="676">
        <v>17.100000000000001</v>
      </c>
      <c r="F168" s="779" t="str" cm="1">
        <f t="array" aca="1" ref="F168" ca="1">OFFSET(G168,-1,-1)</f>
        <v>2</v>
      </c>
      <c r="G168" s="180"/>
      <c r="H168" s="180"/>
      <c r="I168" s="180"/>
      <c r="J168" s="180"/>
      <c r="K168" s="180"/>
      <c r="L168" s="143"/>
      <c r="M168" s="1081" cm="1">
        <f t="array" ref="M168">AC168</f>
        <v>0</v>
      </c>
      <c r="N168" s="1077" t="str" cm="1">
        <f t="array" aca="1" ref="N168" ca="1">OFFSET(M168,-1,1)</f>
        <v>ТЭ.42.26322895.0004</v>
      </c>
      <c r="O168" s="1078"/>
      <c r="P168" s="1078"/>
      <c r="Q168" s="1078"/>
      <c r="R168" s="1078"/>
      <c r="T168" s="687" t="b">
        <f ca="1">AND(F168&gt;0,Y168&gt;0)</f>
        <v>0</v>
      </c>
      <c r="U168" s="1153"/>
      <c r="V168" s="1153"/>
      <c r="W168" s="126" t="s">
        <v>236</v>
      </c>
      <c r="X168" s="1726"/>
      <c r="Y168" s="126">
        <v>0</v>
      </c>
      <c r="Z168" s="1726"/>
      <c r="AA168" s="69" t="s">
        <v>218</v>
      </c>
      <c r="AB168" s="539" t="str">
        <f>"11."&amp;Y168</f>
        <v>11.0</v>
      </c>
      <c r="AC168" s="86"/>
      <c r="AD168" s="549" t="s">
        <v>1077</v>
      </c>
      <c r="AE168" s="77"/>
      <c r="AF168" s="77"/>
      <c r="AG168" s="87"/>
      <c r="AH168" s="256">
        <f>AG168-AF168</f>
        <v>0</v>
      </c>
      <c r="AI168" s="88"/>
      <c r="AJ168" s="517"/>
      <c r="AK168" s="517"/>
      <c r="AL168" s="517"/>
      <c r="AM168" s="517"/>
      <c r="AN168" s="517"/>
      <c r="AO168" s="77"/>
      <c r="AP168" s="77"/>
      <c r="AQ168" s="77"/>
      <c r="AR168" s="77"/>
      <c r="AS168" s="77"/>
      <c r="AT168" s="517"/>
      <c r="AU168" s="517"/>
      <c r="AV168" s="517"/>
      <c r="AW168" s="517"/>
      <c r="AX168" s="517"/>
      <c r="AY168" s="77"/>
      <c r="AZ168" s="77"/>
      <c r="BA168" s="77"/>
      <c r="BB168" s="77"/>
      <c r="BC168" s="77"/>
      <c r="BD168" s="256">
        <f>IF(AI168=0,0,(AT168-AI168)/AI168*100)</f>
        <v>0</v>
      </c>
      <c r="BE168" s="256">
        <f t="shared" ref="BE168:BM168" si="90">IF(AT168=0,0,(AU168-AT168)/AT168*100)</f>
        <v>0</v>
      </c>
      <c r="BF168" s="256">
        <f t="shared" si="90"/>
        <v>0</v>
      </c>
      <c r="BG168" s="256">
        <f t="shared" si="90"/>
        <v>0</v>
      </c>
      <c r="BH168" s="256">
        <f t="shared" si="90"/>
        <v>0</v>
      </c>
      <c r="BI168" s="256">
        <f t="shared" si="90"/>
        <v>0</v>
      </c>
      <c r="BJ168" s="256">
        <f t="shared" si="90"/>
        <v>0</v>
      </c>
      <c r="BK168" s="256">
        <f t="shared" si="90"/>
        <v>0</v>
      </c>
      <c r="BL168" s="256">
        <f t="shared" si="90"/>
        <v>0</v>
      </c>
      <c r="BM168" s="256">
        <f t="shared" si="90"/>
        <v>0</v>
      </c>
      <c r="BN168" s="34"/>
      <c r="BO168" s="34"/>
      <c r="BP168" s="34"/>
      <c r="BQ168" s="180"/>
      <c r="BR168" s="180"/>
      <c r="BS168" s="1031" t="s">
        <v>1326</v>
      </c>
      <c r="BT168" s="1031" t="s">
        <v>1254</v>
      </c>
      <c r="BU168" s="1041" cm="1">
        <f t="array" ref="BU168">AC168</f>
        <v>0</v>
      </c>
      <c r="BV168" s="1032"/>
      <c r="BW168" s="1032" t="b">
        <v>1</v>
      </c>
      <c r="BX168" s="1064" t="str" cm="1">
        <f t="array" aca="1" ref="BX168" ca="1">D168&amp;"::"&amp;IF(N168&lt;&gt;"",N168,"Неопределено")&amp;"::"&amp;IF(M168&lt;&gt;"",M168,"Неопределено")&amp;"::"&amp;IF(O168&lt;&gt;"",O168,"Неопределено")&amp;"::"&amp;IF(P168&lt;&gt;"",P168,"Неопределено")&amp;"::"&amp;IF(Q168&lt;&gt;"",Q168,"Неопределено")&amp;"::"&amp;IF(R168&lt;&gt;"",R168,"Неопределено")</f>
        <v>M10895::ТЭ.42.26322895.0004::0::Неопределено::Неопределено::Неопределено::Неопределено</v>
      </c>
    </row>
    <row r="169" spans="1:76" s="1432" customFormat="1" ht="16.5" customHeight="1">
      <c r="A169" s="543"/>
      <c r="B169" s="543"/>
      <c r="C169" s="1094"/>
      <c r="D169" s="1053"/>
      <c r="E169" s="676">
        <v>17.100000000000001</v>
      </c>
      <c r="F169" s="779" t="str" cm="1">
        <f t="array" aca="1" ref="F169" ca="1">OFFSET(G169,-1,-1)</f>
        <v>2</v>
      </c>
      <c r="G169" s="543"/>
      <c r="H169" s="543"/>
      <c r="I169" s="543"/>
      <c r="J169" s="543"/>
      <c r="K169" s="543"/>
      <c r="L169" s="543"/>
      <c r="M169" s="1077"/>
      <c r="N169" s="1077" t="str" cm="1">
        <f t="array" aca="1" ref="N169" ca="1">OFFSET(M169,-1,1)</f>
        <v>ТЭ.42.26322895.0004</v>
      </c>
      <c r="O169" s="1080"/>
      <c r="P169" s="1080"/>
      <c r="Q169" s="1080"/>
      <c r="R169" s="1080"/>
      <c r="S169" s="543"/>
      <c r="T169" s="687" t="b">
        <f ca="1">F169&gt;0</f>
        <v>1</v>
      </c>
      <c r="U169" s="543"/>
      <c r="V169" s="543"/>
      <c r="W169" s="318" t="s">
        <v>1752</v>
      </c>
      <c r="X169" s="1837"/>
      <c r="Y169" s="543"/>
      <c r="Z169" s="1837"/>
      <c r="AA169" s="543"/>
      <c r="AB169" s="249"/>
      <c r="AC169" s="616" t="s">
        <v>238</v>
      </c>
      <c r="AD169" s="250"/>
      <c r="AE169" s="250"/>
      <c r="AF169" s="250"/>
      <c r="AG169" s="250"/>
      <c r="AH169" s="250"/>
      <c r="AI169" s="250"/>
      <c r="AJ169" s="250"/>
      <c r="AK169" s="250"/>
      <c r="AL169" s="250"/>
      <c r="AM169" s="250"/>
      <c r="AN169" s="250"/>
      <c r="AO169" s="250"/>
      <c r="AP169" s="250"/>
      <c r="AQ169" s="250"/>
      <c r="AR169" s="250"/>
      <c r="AS169" s="250"/>
      <c r="AT169" s="250"/>
      <c r="AU169" s="250"/>
      <c r="AV169" s="250"/>
      <c r="AW169" s="250"/>
      <c r="AX169" s="250"/>
      <c r="AY169" s="250"/>
      <c r="AZ169" s="250"/>
      <c r="BA169" s="250"/>
      <c r="BB169" s="250"/>
      <c r="BC169" s="250"/>
      <c r="BD169" s="250"/>
      <c r="BE169" s="250"/>
      <c r="BF169" s="250"/>
      <c r="BG169" s="250"/>
      <c r="BH169" s="250"/>
      <c r="BI169" s="250"/>
      <c r="BJ169" s="250"/>
      <c r="BK169" s="250"/>
      <c r="BL169" s="250"/>
      <c r="BM169" s="250"/>
      <c r="BN169" s="912"/>
      <c r="BO169" s="912"/>
      <c r="BP169" s="909"/>
      <c r="BQ169" s="543"/>
      <c r="BR169" s="543"/>
      <c r="BS169" s="1031" t="str">
        <f>IF(AND(ISNUMBER(VALUE(TRIM(SUBSTITUTE(AB169,".","")))),TRIM(SUBSTITUTE(AB169,".",""))&lt;&gt;""),"P"&amp;SUBSTITUTE(AB169,".",""),"")</f>
        <v/>
      </c>
      <c r="BT169" s="1044"/>
      <c r="BU169" s="1044"/>
      <c r="BV169" s="1045" t="s">
        <v>1254</v>
      </c>
      <c r="BW169" s="1045"/>
      <c r="BX169" s="1064"/>
    </row>
    <row r="170" spans="1:76" s="1229" customFormat="1" ht="14.25" customHeight="1">
      <c r="A170" s="178"/>
      <c r="B170" s="783"/>
      <c r="C170" s="1094" t="s">
        <v>1753</v>
      </c>
      <c r="D170" s="1053" t="s">
        <v>1754</v>
      </c>
      <c r="E170" s="676">
        <v>15</v>
      </c>
      <c r="F170" s="779" t="str" cm="1">
        <f t="array" aca="1" ref="F170" ca="1">OFFSET(G170,-1,-1)</f>
        <v>2</v>
      </c>
      <c r="G170" s="180"/>
      <c r="H170" s="180"/>
      <c r="I170" s="180"/>
      <c r="J170" s="180"/>
      <c r="K170" s="180"/>
      <c r="L170" s="143"/>
      <c r="M170" s="1077"/>
      <c r="N170" s="1077" t="str" cm="1">
        <f t="array" aca="1" ref="N170" ca="1">OFFSET(M170,-1,1)</f>
        <v>ТЭ.42.26322895.0004</v>
      </c>
      <c r="O170" s="1078"/>
      <c r="P170" s="1078"/>
      <c r="Q170" s="1078"/>
      <c r="R170" s="1078"/>
      <c r="T170" s="687" t="b" cm="1">
        <f t="array" aca="1" ref="T170" ca="1">T169</f>
        <v>1</v>
      </c>
      <c r="U170" s="1153"/>
      <c r="V170" s="1153"/>
      <c r="W170" s="1153"/>
      <c r="X170" s="1726"/>
      <c r="Y170" s="1153"/>
      <c r="Z170" s="1726"/>
      <c r="AA170" s="180"/>
      <c r="AB170" s="545" t="s">
        <v>466</v>
      </c>
      <c r="AC170" s="546" t="s">
        <v>1755</v>
      </c>
      <c r="AD170" s="554" t="s">
        <v>1077</v>
      </c>
      <c r="AE170" s="515">
        <f ca="1">AE140+AE141+AE142+IF(method_reg="Метод индексации",AE155+AE159,AE143+AE146)+AE161+AE162+AE163+AE164+AE165+AE166</f>
        <v>0</v>
      </c>
      <c r="AF170" s="515">
        <f ca="1">AF140+AF141+AF142+IF(method_reg="Метод индексации",AF155+AF159,AF143+AF146)+AF161+AF162+AF163+AF164+AF165+AF166</f>
        <v>0</v>
      </c>
      <c r="AG170" s="515">
        <f ca="1">AG140+AG141+AG142+IF(method_reg="Метод индексации",AG155+AG159,AG143+AG146)+AG161+AG162+AG163+AG164+AG165+AG166</f>
        <v>0</v>
      </c>
      <c r="AH170" s="256">
        <f ca="1">AG170-AF170</f>
        <v>0</v>
      </c>
      <c r="AI170" s="515">
        <f t="shared" ref="AI170:BC170" ca="1" si="91">AI140+AI141+AI142+IF(method_reg="Метод индексации",AI155+AI159,AI143+AI146)+AI161+AI162+AI163+AI164+AI165+AI166</f>
        <v>405869.01994293107</v>
      </c>
      <c r="AJ170" s="515">
        <f t="shared" ca="1" si="91"/>
        <v>189622.62</v>
      </c>
      <c r="AK170" s="515">
        <f t="shared" ca="1" si="91"/>
        <v>187726.39379999999</v>
      </c>
      <c r="AL170" s="515">
        <f t="shared" ca="1" si="91"/>
        <v>185849.129862</v>
      </c>
      <c r="AM170" s="515">
        <f t="shared" ca="1" si="91"/>
        <v>183990.63856337999</v>
      </c>
      <c r="AN170" s="515">
        <f t="shared" ca="1" si="91"/>
        <v>182150.73217774619</v>
      </c>
      <c r="AO170" s="515">
        <f t="shared" ca="1" si="91"/>
        <v>180329.22485596873</v>
      </c>
      <c r="AP170" s="515">
        <f t="shared" ca="1" si="91"/>
        <v>178525.93260740905</v>
      </c>
      <c r="AQ170" s="515">
        <f t="shared" ca="1" si="91"/>
        <v>176740.67328133495</v>
      </c>
      <c r="AR170" s="515">
        <f t="shared" ca="1" si="91"/>
        <v>174973.26654852161</v>
      </c>
      <c r="AS170" s="515">
        <f t="shared" ca="1" si="91"/>
        <v>173223.53388303641</v>
      </c>
      <c r="AT170" s="515">
        <f t="shared" ca="1" si="91"/>
        <v>481640.62085021334</v>
      </c>
      <c r="AU170" s="515">
        <f t="shared" ca="1" si="91"/>
        <v>195861.18419999999</v>
      </c>
      <c r="AV170" s="515">
        <f t="shared" ca="1" si="91"/>
        <v>193902.57235799998</v>
      </c>
      <c r="AW170" s="515">
        <f t="shared" ca="1" si="91"/>
        <v>191963.54663441997</v>
      </c>
      <c r="AX170" s="515">
        <f t="shared" ca="1" si="91"/>
        <v>190043.91116807578</v>
      </c>
      <c r="AY170" s="515">
        <f t="shared" ca="1" si="91"/>
        <v>188143.47205639502</v>
      </c>
      <c r="AZ170" s="515">
        <f t="shared" ca="1" si="91"/>
        <v>186262.03733583106</v>
      </c>
      <c r="BA170" s="515">
        <f t="shared" ca="1" si="91"/>
        <v>184399.41696247275</v>
      </c>
      <c r="BB170" s="515">
        <f t="shared" ca="1" si="91"/>
        <v>182555.42279284802</v>
      </c>
      <c r="BC170" s="515">
        <f t="shared" ca="1" si="91"/>
        <v>180729.86856491954</v>
      </c>
      <c r="BD170" s="256">
        <f ca="1">IF(AI170=0,0,(AT170-AI170)/AI170*100)</f>
        <v>18.668978705971806</v>
      </c>
      <c r="BE170" s="256">
        <f t="shared" ref="BE170:BM174" ca="1" si="92">IF(AT170=0,0,(AU170-AT170)/AT170*100)</f>
        <v>-59.334579410213117</v>
      </c>
      <c r="BF170" s="256">
        <f t="shared" ca="1" si="92"/>
        <v>-1.0000000000000067</v>
      </c>
      <c r="BG170" s="256">
        <f t="shared" ca="1" si="92"/>
        <v>-1.0000000000000049</v>
      </c>
      <c r="BH170" s="256">
        <f t="shared" ca="1" si="92"/>
        <v>-0.99999999999999445</v>
      </c>
      <c r="BI170" s="256">
        <f t="shared" ca="1" si="92"/>
        <v>-0.99999999999999745</v>
      </c>
      <c r="BJ170" s="256">
        <f t="shared" ca="1" si="92"/>
        <v>-1.0000000000000075</v>
      </c>
      <c r="BK170" s="256">
        <f t="shared" ca="1" si="92"/>
        <v>-0.99999999999999956</v>
      </c>
      <c r="BL170" s="256">
        <f t="shared" ca="1" si="92"/>
        <v>-0.99999999999999911</v>
      </c>
      <c r="BM170" s="256">
        <f t="shared" ca="1" si="92"/>
        <v>-1.0000000000000029</v>
      </c>
      <c r="BN170" s="1298"/>
      <c r="BO170" s="1298"/>
      <c r="BP170" s="1298"/>
      <c r="BQ170" s="180"/>
      <c r="BR170" s="180"/>
      <c r="BS170" s="1031" t="s">
        <v>1756</v>
      </c>
      <c r="BT170" s="1031"/>
      <c r="BU170" s="1031"/>
      <c r="BV170" s="1032"/>
      <c r="BW170" s="1032"/>
      <c r="BX170" s="1064" t="str" cm="1">
        <f t="array" aca="1" ref="BX170" ca="1">D170&amp;"::"&amp;IF(N170&lt;&gt;"",N170,"Неопределено")&amp;"::"&amp;IF(M170&lt;&gt;"",M170,"Неопределено")&amp;"::"&amp;IF(O170&lt;&gt;"",O170,"Неопределено")&amp;"::"&amp;IF(P170&lt;&gt;"",P170,"Неопределено")&amp;"::"&amp;IF(Q170&lt;&gt;"",Q170,"Неопределено")&amp;"::"&amp;IF(R170&lt;&gt;"",R170,"Неопределено")</f>
        <v>M10655::ТЭ.42.26322895.0004::Неопределено::Неопределено::Неопределено::Неопределено::Неопределено</v>
      </c>
    </row>
    <row r="171" spans="1:76" s="1229" customFormat="1" ht="48.75" customHeight="1">
      <c r="A171" s="178"/>
      <c r="B171" s="783"/>
      <c r="C171" s="1123" t="s">
        <v>1757</v>
      </c>
      <c r="D171" s="1053" t="s">
        <v>1758</v>
      </c>
      <c r="E171" s="676">
        <v>50</v>
      </c>
      <c r="F171" s="779" t="str" cm="1">
        <f t="array" aca="1" ref="F171" ca="1">OFFSET(G171,-1,-1)</f>
        <v>2</v>
      </c>
      <c r="G171" s="180"/>
      <c r="H171" s="180"/>
      <c r="I171" s="180"/>
      <c r="J171" s="180"/>
      <c r="K171" s="180"/>
      <c r="L171" s="143"/>
      <c r="M171" s="1077"/>
      <c r="N171" s="1077" t="str" cm="1">
        <f t="array" aca="1" ref="N171" ca="1">OFFSET(M171,-1,1)</f>
        <v>ТЭ.42.26322895.0004</v>
      </c>
      <c r="O171" s="1078"/>
      <c r="P171" s="1078"/>
      <c r="Q171" s="1078"/>
      <c r="R171" s="1078"/>
      <c r="T171" s="687" t="b" cm="1">
        <f t="array" aca="1" ref="T171" ca="1">T170</f>
        <v>1</v>
      </c>
      <c r="U171" s="1153"/>
      <c r="V171" s="1153"/>
      <c r="W171" s="1153"/>
      <c r="X171" s="1726"/>
      <c r="Y171" s="1153"/>
      <c r="Z171" s="1726"/>
      <c r="AA171" s="180"/>
      <c r="AB171" s="540" t="s">
        <v>469</v>
      </c>
      <c r="AC171" s="903" t="s">
        <v>1757</v>
      </c>
      <c r="AD171" s="549" t="s">
        <v>1077</v>
      </c>
      <c r="AE171" s="1425"/>
      <c r="AF171" s="1425"/>
      <c r="AG171" s="1425"/>
      <c r="AH171" s="256">
        <f>AG171-AF171</f>
        <v>0</v>
      </c>
      <c r="AI171" s="1425">
        <v>-15728.51</v>
      </c>
      <c r="AJ171" s="558"/>
      <c r="AK171" s="558"/>
      <c r="AL171" s="558"/>
      <c r="AM171" s="558"/>
      <c r="AN171" s="558"/>
      <c r="AO171" s="1425"/>
      <c r="AP171" s="1425"/>
      <c r="AQ171" s="1425"/>
      <c r="AR171" s="1425"/>
      <c r="AS171" s="1425"/>
      <c r="AT171" s="558">
        <v>-89194.02</v>
      </c>
      <c r="AU171" s="558"/>
      <c r="AV171" s="558"/>
      <c r="AW171" s="558"/>
      <c r="AX171" s="558"/>
      <c r="AY171" s="1425"/>
      <c r="AZ171" s="1425"/>
      <c r="BA171" s="1425"/>
      <c r="BB171" s="1425"/>
      <c r="BC171" s="1425"/>
      <c r="BD171" s="256">
        <f>IF(AI171=0,0,(AT171-AI171)/AI171*100)</f>
        <v>467.08499406491785</v>
      </c>
      <c r="BE171" s="256">
        <f t="shared" si="92"/>
        <v>-100</v>
      </c>
      <c r="BF171" s="256">
        <f t="shared" si="92"/>
        <v>0</v>
      </c>
      <c r="BG171" s="256">
        <f t="shared" si="92"/>
        <v>0</v>
      </c>
      <c r="BH171" s="256">
        <f t="shared" si="92"/>
        <v>0</v>
      </c>
      <c r="BI171" s="256">
        <f t="shared" si="92"/>
        <v>0</v>
      </c>
      <c r="BJ171" s="256">
        <f t="shared" si="92"/>
        <v>0</v>
      </c>
      <c r="BK171" s="256">
        <f t="shared" si="92"/>
        <v>0</v>
      </c>
      <c r="BL171" s="256">
        <f t="shared" si="92"/>
        <v>0</v>
      </c>
      <c r="BM171" s="256">
        <f t="shared" si="92"/>
        <v>0</v>
      </c>
      <c r="BN171" s="1298"/>
      <c r="BO171" s="1298"/>
      <c r="BP171" s="1298"/>
      <c r="BQ171" s="180"/>
      <c r="BR171" s="180"/>
      <c r="BS171" s="1031" t="s">
        <v>1759</v>
      </c>
      <c r="BT171" s="1031"/>
      <c r="BU171" s="1031"/>
      <c r="BV171" s="1032"/>
      <c r="BW171" s="1032"/>
      <c r="BX171" s="1064" t="str" cm="1">
        <f t="array" aca="1" ref="BX171" ca="1">D171&amp;"::"&amp;IF(N171&lt;&gt;"",N171,"Неопределено")&amp;"::"&amp;IF(M171&lt;&gt;"",M171,"Неопределено")&amp;"::"&amp;IF(O171&lt;&gt;"",O171,"Неопределено")&amp;"::"&amp;IF(P171&lt;&gt;"",P171,"Неопределено")&amp;"::"&amp;IF(Q171&lt;&gt;"",Q171,"Неопределено")&amp;"::"&amp;IF(R171&lt;&gt;"",R171,"Неопределено")</f>
        <v>M11579::ТЭ.42.26322895.0004::Неопределено::Неопределено::Неопределено::Неопределено::Неопределено</v>
      </c>
    </row>
    <row r="172" spans="1:76" s="1229" customFormat="1" ht="14.25" customHeight="1">
      <c r="A172" s="178"/>
      <c r="B172" s="783"/>
      <c r="C172" s="1094" t="s">
        <v>1760</v>
      </c>
      <c r="D172" s="1053" t="s">
        <v>1761</v>
      </c>
      <c r="E172" s="676">
        <v>15</v>
      </c>
      <c r="F172" s="779" t="str" cm="1">
        <f t="array" aca="1" ref="F172" ca="1">OFFSET(G172,-1,-1)</f>
        <v>2</v>
      </c>
      <c r="G172" s="143" t="s">
        <v>1762</v>
      </c>
      <c r="H172" s="180"/>
      <c r="I172" s="180"/>
      <c r="J172" s="180"/>
      <c r="K172" s="180"/>
      <c r="L172" s="143"/>
      <c r="M172" s="1077"/>
      <c r="N172" s="1077" t="str" cm="1">
        <f t="array" aca="1" ref="N172" ca="1">OFFSET(M172,-1,1)</f>
        <v>ТЭ.42.26322895.0004</v>
      </c>
      <c r="O172" s="1082"/>
      <c r="P172" s="1078"/>
      <c r="Q172" s="1078"/>
      <c r="R172" s="1082"/>
      <c r="T172" s="687" t="b" cm="1">
        <f t="array" aca="1" ref="T172" ca="1">T171</f>
        <v>1</v>
      </c>
      <c r="U172" s="1153"/>
      <c r="V172" s="1153"/>
      <c r="W172" s="1153"/>
      <c r="X172" s="1726"/>
      <c r="Y172" s="1153"/>
      <c r="Z172" s="1726"/>
      <c r="AA172" s="180"/>
      <c r="AB172" s="545" t="s">
        <v>1763</v>
      </c>
      <c r="AC172" s="895" t="s">
        <v>1764</v>
      </c>
      <c r="AD172" s="549" t="s">
        <v>1077</v>
      </c>
      <c r="AE172" s="579">
        <f ca="1">AE170+AE171</f>
        <v>0</v>
      </c>
      <c r="AF172" s="579">
        <f ca="1">AF170+AF171</f>
        <v>0</v>
      </c>
      <c r="AG172" s="579">
        <f ca="1">AG170+AG171</f>
        <v>0</v>
      </c>
      <c r="AH172" s="256">
        <f ca="1">AG172-AF172</f>
        <v>0</v>
      </c>
      <c r="AI172" s="579">
        <f t="shared" ref="AI172:BC172" ca="1" si="93">AI170+AI171</f>
        <v>390140.50994293106</v>
      </c>
      <c r="AJ172" s="579">
        <f t="shared" ca="1" si="93"/>
        <v>189622.62</v>
      </c>
      <c r="AK172" s="579">
        <f t="shared" ca="1" si="93"/>
        <v>187726.39379999999</v>
      </c>
      <c r="AL172" s="579">
        <f t="shared" ca="1" si="93"/>
        <v>185849.129862</v>
      </c>
      <c r="AM172" s="579">
        <f t="shared" ca="1" si="93"/>
        <v>183990.63856337999</v>
      </c>
      <c r="AN172" s="579">
        <f t="shared" ca="1" si="93"/>
        <v>182150.73217774619</v>
      </c>
      <c r="AO172" s="579">
        <f t="shared" ca="1" si="93"/>
        <v>180329.22485596873</v>
      </c>
      <c r="AP172" s="579">
        <f t="shared" ca="1" si="93"/>
        <v>178525.93260740905</v>
      </c>
      <c r="AQ172" s="579">
        <f t="shared" ca="1" si="93"/>
        <v>176740.67328133495</v>
      </c>
      <c r="AR172" s="579">
        <f t="shared" ca="1" si="93"/>
        <v>174973.26654852161</v>
      </c>
      <c r="AS172" s="579">
        <f t="shared" ca="1" si="93"/>
        <v>173223.53388303641</v>
      </c>
      <c r="AT172" s="579">
        <f t="shared" ca="1" si="93"/>
        <v>392446.60085021332</v>
      </c>
      <c r="AU172" s="579">
        <f t="shared" ca="1" si="93"/>
        <v>195861.18419999999</v>
      </c>
      <c r="AV172" s="579">
        <f t="shared" ca="1" si="93"/>
        <v>193902.57235799998</v>
      </c>
      <c r="AW172" s="579">
        <f t="shared" ca="1" si="93"/>
        <v>191963.54663441997</v>
      </c>
      <c r="AX172" s="579">
        <f t="shared" ca="1" si="93"/>
        <v>190043.91116807578</v>
      </c>
      <c r="AY172" s="579">
        <f t="shared" ca="1" si="93"/>
        <v>188143.47205639502</v>
      </c>
      <c r="AZ172" s="579">
        <f t="shared" ca="1" si="93"/>
        <v>186262.03733583106</v>
      </c>
      <c r="BA172" s="579">
        <f t="shared" ca="1" si="93"/>
        <v>184399.41696247275</v>
      </c>
      <c r="BB172" s="579">
        <f t="shared" ca="1" si="93"/>
        <v>182555.42279284802</v>
      </c>
      <c r="BC172" s="579">
        <f t="shared" ca="1" si="93"/>
        <v>180729.86856491954</v>
      </c>
      <c r="BD172" s="256">
        <f ca="1">IF(AI172=0,0,(AT172-AI172)/AI172*100)</f>
        <v>0.59109240094538873</v>
      </c>
      <c r="BE172" s="256">
        <f t="shared" ca="1" si="92"/>
        <v>-50.092271464276209</v>
      </c>
      <c r="BF172" s="256">
        <f t="shared" ca="1" si="92"/>
        <v>-1.0000000000000067</v>
      </c>
      <c r="BG172" s="256">
        <f t="shared" ca="1" si="92"/>
        <v>-1.0000000000000049</v>
      </c>
      <c r="BH172" s="256">
        <f t="shared" ca="1" si="92"/>
        <v>-0.99999999999999445</v>
      </c>
      <c r="BI172" s="256">
        <f t="shared" ca="1" si="92"/>
        <v>-0.99999999999999745</v>
      </c>
      <c r="BJ172" s="256">
        <f t="shared" ca="1" si="92"/>
        <v>-1.0000000000000075</v>
      </c>
      <c r="BK172" s="256">
        <f t="shared" ca="1" si="92"/>
        <v>-0.99999999999999956</v>
      </c>
      <c r="BL172" s="256">
        <f t="shared" ca="1" si="92"/>
        <v>-0.99999999999999911</v>
      </c>
      <c r="BM172" s="256">
        <f t="shared" ca="1" si="92"/>
        <v>-1.0000000000000029</v>
      </c>
      <c r="BN172" s="1298"/>
      <c r="BO172" s="1298"/>
      <c r="BP172" s="1298"/>
      <c r="BQ172" s="180"/>
      <c r="BR172" s="180"/>
      <c r="BS172" s="1031" t="s">
        <v>1765</v>
      </c>
      <c r="BT172" s="1031"/>
      <c r="BU172" s="1031"/>
      <c r="BV172" s="1032"/>
      <c r="BW172" s="1032"/>
      <c r="BX172" s="1064" t="str" cm="1">
        <f t="array" aca="1" ref="BX172" ca="1">D172&amp;"::"&amp;IF(N172&lt;&gt;"",N172,"Неопределено")&amp;"::"&amp;IF(M172&lt;&gt;"",M172,"Неопределено")&amp;"::"&amp;IF(O172&lt;&gt;"",O172,"Неопределено")&amp;"::"&amp;IF(P172&lt;&gt;"",P172,"Неопределено")&amp;"::"&amp;IF(Q172&lt;&gt;"",Q172,"Неопределено")&amp;"::"&amp;IF(R172&lt;&gt;"",R172,"Неопределено")</f>
        <v>M11580::ТЭ.42.26322895.0004::Неопределено::Неопределено::Неопределено::Неопределено::Неопределено</v>
      </c>
    </row>
    <row r="173" spans="1:76" s="1229" customFormat="1" ht="14.25" hidden="1" customHeight="1">
      <c r="A173" s="178"/>
      <c r="B173" s="783"/>
      <c r="C173" s="1123" t="s">
        <v>1766</v>
      </c>
      <c r="D173" s="1053" t="s">
        <v>1767</v>
      </c>
      <c r="E173" s="676">
        <v>15</v>
      </c>
      <c r="F173" s="779" t="str" cm="1">
        <f t="array" aca="1" ref="F173" ca="1">OFFSET(G173,-1,-1)</f>
        <v>2</v>
      </c>
      <c r="G173" s="143" t="s">
        <v>1020</v>
      </c>
      <c r="H173" s="180"/>
      <c r="I173" s="180"/>
      <c r="J173" s="180"/>
      <c r="K173" s="180"/>
      <c r="L173" s="143" t="s">
        <v>1768</v>
      </c>
      <c r="M173" s="1077"/>
      <c r="N173" s="1077" t="str" cm="1">
        <f t="array" aca="1" ref="N173" ca="1">OFFSET(M173,-1,1)</f>
        <v>ТЭ.42.26322895.0004</v>
      </c>
      <c r="O173" s="1082"/>
      <c r="P173" s="1078"/>
      <c r="Q173" s="1078"/>
      <c r="R173" s="1082"/>
      <c r="T173" s="687" t="b">
        <f ca="1">AND(F173&gt;0,G139="двухставочный")</f>
        <v>0</v>
      </c>
      <c r="U173" s="1153"/>
      <c r="V173" s="1153"/>
      <c r="W173" s="1153"/>
      <c r="X173" s="1726"/>
      <c r="Y173" s="1153"/>
      <c r="Z173" s="1726"/>
      <c r="AA173" s="180"/>
      <c r="AB173" s="553" t="str">
        <f>AB172&amp;".1"</f>
        <v>14.1</v>
      </c>
      <c r="AC173" s="519" t="s">
        <v>1769</v>
      </c>
      <c r="AD173" s="258" t="s">
        <v>839</v>
      </c>
      <c r="AE173" s="77">
        <f ca="1">SUMIFS('Ресурсы (5.4)'!AE$26:AE$57,'Ресурсы (5.4)'!$F$26:$F$57,$F173,'Ресурсы (5.4)'!$AB$26:$AB$57,"6.1")</f>
        <v>0</v>
      </c>
      <c r="AF173" s="77">
        <f ca="1">SUMIFS('Ресурсы (5.4)'!AF$26:AF$57,'Ресурсы (5.4)'!$F$26:$F$57,$F173,'Ресурсы (5.4)'!$AB$26:$AB$57,"6.1")</f>
        <v>0</v>
      </c>
      <c r="AG173" s="77">
        <f ca="1">SUMIFS('Ресурсы (5.4)'!AG$26:AG$57,'Ресурсы (5.4)'!$F$26:$F$57,$F173,'Ресурсы (5.4)'!$AB$26:$AB$57,"6.1")</f>
        <v>0</v>
      </c>
      <c r="AH173" s="256">
        <f ca="1">AG173-AF173</f>
        <v>0</v>
      </c>
      <c r="AI173" s="77">
        <f ca="1">SUMIFS('Ресурсы (5.4)'!AI$26:AI$57,'Ресурсы (5.4)'!$F$26:$F$57,$F173,'Ресурсы (5.4)'!$AB$26:$AB$57,"6.1")</f>
        <v>140370.00024773445</v>
      </c>
      <c r="AJ173" s="517">
        <f ca="1">SUMIFS('Ресурсы (5.4)'!AJ$26:AJ$57,'Ресурсы (5.4)'!$F$26:$F$57,$F173,'Ресурсы (5.4)'!$AB$26:$AB$57,"6.1")</f>
        <v>0</v>
      </c>
      <c r="AK173" s="517">
        <f ca="1">SUMIFS('Ресурсы (5.4)'!AK$26:AK$57,'Ресурсы (5.4)'!$F$26:$F$57,$F173,'Ресурсы (5.4)'!$AB$26:$AB$57,"6.1")</f>
        <v>0</v>
      </c>
      <c r="AL173" s="517">
        <f ca="1">SUMIFS('Ресурсы (5.4)'!AL$26:AL$57,'Ресурсы (5.4)'!$F$26:$F$57,$F173,'Ресурсы (5.4)'!$AB$26:$AB$57,"6.1")</f>
        <v>0</v>
      </c>
      <c r="AM173" s="517">
        <f ca="1">SUMIFS('Ресурсы (5.4)'!AM$26:AM$57,'Ресурсы (5.4)'!$F$26:$F$57,$F173,'Ресурсы (5.4)'!$AB$26:$AB$57,"6.1")</f>
        <v>0</v>
      </c>
      <c r="AN173" s="517">
        <f ca="1">SUMIFS('Ресурсы (5.4)'!AN$26:AN$57,'Ресурсы (5.4)'!$F$26:$F$57,$F173,'Ресурсы (5.4)'!$AB$26:$AB$57,"6.1")</f>
        <v>0</v>
      </c>
      <c r="AO173" s="77">
        <f ca="1">SUMIFS('Ресурсы (5.4)'!AO$26:AO$57,'Ресурсы (5.4)'!$F$26:$F$57,$F173,'Ресурсы (5.4)'!$AB$26:$AB$57,"6.1")</f>
        <v>0</v>
      </c>
      <c r="AP173" s="77">
        <f ca="1">SUMIFS('Ресурсы (5.4)'!AP$26:AP$57,'Ресурсы (5.4)'!$F$26:$F$57,$F173,'Ресурсы (5.4)'!$AB$26:$AB$57,"6.1")</f>
        <v>0</v>
      </c>
      <c r="AQ173" s="77">
        <f ca="1">SUMIFS('Ресурсы (5.4)'!AQ$26:AQ$57,'Ресурсы (5.4)'!$F$26:$F$57,$F173,'Ресурсы (5.4)'!$AB$26:$AB$57,"6.1")</f>
        <v>0</v>
      </c>
      <c r="AR173" s="77">
        <f ca="1">SUMIFS('Ресурсы (5.4)'!AR$26:AR$57,'Ресурсы (5.4)'!$F$26:$F$57,$F173,'Ресурсы (5.4)'!$AB$26:$AB$57,"6.1")</f>
        <v>0</v>
      </c>
      <c r="AS173" s="77">
        <f ca="1">SUMIFS('Ресурсы (5.4)'!AS$26:AS$57,'Ресурсы (5.4)'!$F$26:$F$57,$F173,'Ресурсы (5.4)'!$AB$26:$AB$57,"6.1")</f>
        <v>0</v>
      </c>
      <c r="AT173" s="517">
        <f ca="1">SUMIFS('Ресурсы (5.4)'!AT$26:AT$57,'Ресурсы (5.4)'!$F$26:$F$57,$F173,'Ресурсы (5.4)'!$AB$26:$AB$57,"6.1")</f>
        <v>176891.38351320985</v>
      </c>
      <c r="AU173" s="517">
        <f ca="1">SUMIFS('Ресурсы (5.4)'!AU$26:AU$57,'Ресурсы (5.4)'!$F$26:$F$57,$F173,'Ресурсы (5.4)'!$AB$26:$AB$57,"6.1")</f>
        <v>0</v>
      </c>
      <c r="AV173" s="517">
        <f ca="1">SUMIFS('Ресурсы (5.4)'!AV$26:AV$57,'Ресурсы (5.4)'!$F$26:$F$57,$F173,'Ресурсы (5.4)'!$AB$26:$AB$57,"6.1")</f>
        <v>0</v>
      </c>
      <c r="AW173" s="517">
        <f ca="1">SUMIFS('Ресурсы (5.4)'!AW$26:AW$57,'Ресурсы (5.4)'!$F$26:$F$57,$F173,'Ресурсы (5.4)'!$AB$26:$AB$57,"6.1")</f>
        <v>0</v>
      </c>
      <c r="AX173" s="517">
        <f ca="1">SUMIFS('Ресурсы (5.4)'!AX$26:AX$57,'Ресурсы (5.4)'!$F$26:$F$57,$F173,'Ресурсы (5.4)'!$AB$26:$AB$57,"6.1")</f>
        <v>0</v>
      </c>
      <c r="AY173" s="77">
        <f ca="1">SUMIFS('Ресурсы (5.4)'!AY$26:AY$57,'Ресурсы (5.4)'!$F$26:$F$57,$F173,'Ресурсы (5.4)'!$AB$26:$AB$57,"6.1")</f>
        <v>0</v>
      </c>
      <c r="AZ173" s="77">
        <f ca="1">SUMIFS('Ресурсы (5.4)'!AZ$26:AZ$57,'Ресурсы (5.4)'!$F$26:$F$57,$F173,'Ресурсы (5.4)'!$AB$26:$AB$57,"6.1")</f>
        <v>0</v>
      </c>
      <c r="BA173" s="77">
        <f ca="1">SUMIFS('Ресурсы (5.4)'!BA$26:BA$57,'Ресурсы (5.4)'!$F$26:$F$57,$F173,'Ресурсы (5.4)'!$AB$26:$AB$57,"6.1")</f>
        <v>0</v>
      </c>
      <c r="BB173" s="77">
        <f ca="1">SUMIFS('Ресурсы (5.4)'!BB$26:BB$57,'Ресурсы (5.4)'!$F$26:$F$57,$F173,'Ресурсы (5.4)'!$AB$26:$AB$57,"6.1")</f>
        <v>0</v>
      </c>
      <c r="BC173" s="77">
        <f ca="1">SUMIFS('Ресурсы (5.4)'!BC$26:BC$57,'Ресурсы (5.4)'!$F$26:$F$57,$F173,'Ресурсы (5.4)'!$AB$26:$AB$57,"6.1")</f>
        <v>0</v>
      </c>
      <c r="BD173" s="256">
        <f ca="1">IF(AI173=0,0,(AT173-AI173)/AI173*100)</f>
        <v>26.01794058632186</v>
      </c>
      <c r="BE173" s="256">
        <f t="shared" ca="1" si="92"/>
        <v>-100</v>
      </c>
      <c r="BF173" s="256">
        <f t="shared" ca="1" si="92"/>
        <v>0</v>
      </c>
      <c r="BG173" s="256">
        <f t="shared" ca="1" si="92"/>
        <v>0</v>
      </c>
      <c r="BH173" s="256">
        <f t="shared" ca="1" si="92"/>
        <v>0</v>
      </c>
      <c r="BI173" s="256">
        <f t="shared" ca="1" si="92"/>
        <v>0</v>
      </c>
      <c r="BJ173" s="256">
        <f t="shared" ca="1" si="92"/>
        <v>0</v>
      </c>
      <c r="BK173" s="256">
        <f t="shared" ca="1" si="92"/>
        <v>0</v>
      </c>
      <c r="BL173" s="256">
        <f t="shared" ca="1" si="92"/>
        <v>0</v>
      </c>
      <c r="BM173" s="256">
        <f t="shared" ca="1" si="92"/>
        <v>0</v>
      </c>
      <c r="BN173" s="28"/>
      <c r="BO173" s="28"/>
      <c r="BP173" s="28"/>
      <c r="BQ173" s="180"/>
      <c r="BR173" s="180"/>
      <c r="BS173" s="1031" t="s">
        <v>1770</v>
      </c>
      <c r="BT173" s="1031"/>
      <c r="BU173" s="1031"/>
      <c r="BV173" s="1032"/>
      <c r="BW173" s="1032"/>
      <c r="BX173" s="1064" t="str" cm="1">
        <f t="array" aca="1" ref="BX173" ca="1">D173&amp;"::"&amp;IF(N173&lt;&gt;"",N173,"Неопределено")&amp;"::"&amp;IF(M173&lt;&gt;"",M173,"Неопределено")&amp;"::"&amp;IF(O173&lt;&gt;"",O173,"Неопределено")&amp;"::"&amp;IF(P173&lt;&gt;"",P173,"Неопределено")&amp;"::"&amp;IF(Q173&lt;&gt;"",Q173,"Неопределено")&amp;"::"&amp;IF(R173&lt;&gt;"",R173,"Неопределено")</f>
        <v>M11581::ТЭ.42.26322895.0004::Неопределено::Неопределено::Неопределено::Неопределено::Неопределено</v>
      </c>
    </row>
    <row r="174" spans="1:76" s="1229" customFormat="1" ht="14.25" hidden="1" customHeight="1">
      <c r="A174" s="178"/>
      <c r="B174" s="783"/>
      <c r="C174" s="1123" t="s">
        <v>1771</v>
      </c>
      <c r="D174" s="1053" t="s">
        <v>1772</v>
      </c>
      <c r="E174" s="676">
        <v>15</v>
      </c>
      <c r="F174" s="779" t="str" cm="1">
        <f t="array" aca="1" ref="F174" ca="1">OFFSET(G174,-1,-1)</f>
        <v>2</v>
      </c>
      <c r="G174" s="180"/>
      <c r="H174" s="180"/>
      <c r="I174" s="180"/>
      <c r="J174" s="180"/>
      <c r="K174" s="180"/>
      <c r="L174" s="143" t="s">
        <v>1768</v>
      </c>
      <c r="M174" s="1077"/>
      <c r="N174" s="1077" t="str" cm="1">
        <f t="array" aca="1" ref="N174" ca="1">OFFSET(M174,-1,1)</f>
        <v>ТЭ.42.26322895.0004</v>
      </c>
      <c r="O174" s="1082"/>
      <c r="P174" s="1078"/>
      <c r="Q174" s="1078"/>
      <c r="R174" s="1082"/>
      <c r="T174" s="687" t="b" cm="1">
        <f t="array" aca="1" ref="T174" ca="1">T173</f>
        <v>0</v>
      </c>
      <c r="U174" s="1153"/>
      <c r="V174" s="1153"/>
      <c r="W174" s="1153"/>
      <c r="X174" s="1726"/>
      <c r="Y174" s="1153"/>
      <c r="Z174" s="1726"/>
      <c r="AA174" s="180"/>
      <c r="AB174" s="553" t="str">
        <f>AB172&amp;".2"</f>
        <v>14.2</v>
      </c>
      <c r="AC174" s="519" t="s">
        <v>1771</v>
      </c>
      <c r="AD174" s="258" t="s">
        <v>839</v>
      </c>
      <c r="AE174" s="515">
        <f ca="1">AE172-AE173</f>
        <v>0</v>
      </c>
      <c r="AF174" s="515">
        <f ca="1">AF172-AF173</f>
        <v>0</v>
      </c>
      <c r="AG174" s="515">
        <f ca="1">AG172-AG173</f>
        <v>0</v>
      </c>
      <c r="AH174" s="256">
        <f ca="1">AG174-AF174</f>
        <v>0</v>
      </c>
      <c r="AI174" s="515">
        <f t="shared" ref="AI174:BC174" ca="1" si="94">AI172-AI173</f>
        <v>249770.50969519661</v>
      </c>
      <c r="AJ174" s="515">
        <f t="shared" ca="1" si="94"/>
        <v>189622.62</v>
      </c>
      <c r="AK174" s="515">
        <f t="shared" ca="1" si="94"/>
        <v>187726.39379999999</v>
      </c>
      <c r="AL174" s="515">
        <f t="shared" ca="1" si="94"/>
        <v>185849.129862</v>
      </c>
      <c r="AM174" s="515">
        <f t="shared" ca="1" si="94"/>
        <v>183990.63856337999</v>
      </c>
      <c r="AN174" s="515">
        <f t="shared" ca="1" si="94"/>
        <v>182150.73217774619</v>
      </c>
      <c r="AO174" s="515">
        <f t="shared" ca="1" si="94"/>
        <v>180329.22485596873</v>
      </c>
      <c r="AP174" s="515">
        <f t="shared" ca="1" si="94"/>
        <v>178525.93260740905</v>
      </c>
      <c r="AQ174" s="515">
        <f t="shared" ca="1" si="94"/>
        <v>176740.67328133495</v>
      </c>
      <c r="AR174" s="515">
        <f t="shared" ca="1" si="94"/>
        <v>174973.26654852161</v>
      </c>
      <c r="AS174" s="515">
        <f t="shared" ca="1" si="94"/>
        <v>173223.53388303641</v>
      </c>
      <c r="AT174" s="515">
        <f t="shared" ca="1" si="94"/>
        <v>215555.21733700347</v>
      </c>
      <c r="AU174" s="515">
        <f t="shared" ca="1" si="94"/>
        <v>195861.18419999999</v>
      </c>
      <c r="AV174" s="515">
        <f t="shared" ca="1" si="94"/>
        <v>193902.57235799998</v>
      </c>
      <c r="AW174" s="515">
        <f t="shared" ca="1" si="94"/>
        <v>191963.54663441997</v>
      </c>
      <c r="AX174" s="515">
        <f t="shared" ca="1" si="94"/>
        <v>190043.91116807578</v>
      </c>
      <c r="AY174" s="515">
        <f t="shared" ca="1" si="94"/>
        <v>188143.47205639502</v>
      </c>
      <c r="AZ174" s="515">
        <f t="shared" ca="1" si="94"/>
        <v>186262.03733583106</v>
      </c>
      <c r="BA174" s="515">
        <f t="shared" ca="1" si="94"/>
        <v>184399.41696247275</v>
      </c>
      <c r="BB174" s="515">
        <f t="shared" ca="1" si="94"/>
        <v>182555.42279284802</v>
      </c>
      <c r="BC174" s="550">
        <f t="shared" ca="1" si="94"/>
        <v>180729.86856491954</v>
      </c>
      <c r="BD174" s="256">
        <f ca="1">IF(AI174=0,0,(AT174-AI174)/AI174*100)</f>
        <v>-13.698691811113816</v>
      </c>
      <c r="BE174" s="256">
        <f t="shared" ca="1" si="92"/>
        <v>-9.1364214609630281</v>
      </c>
      <c r="BF174" s="256">
        <f t="shared" ca="1" si="92"/>
        <v>-1.0000000000000067</v>
      </c>
      <c r="BG174" s="256">
        <f t="shared" ca="1" si="92"/>
        <v>-1.0000000000000049</v>
      </c>
      <c r="BH174" s="256">
        <f t="shared" ca="1" si="92"/>
        <v>-0.99999999999999445</v>
      </c>
      <c r="BI174" s="256">
        <f t="shared" ca="1" si="92"/>
        <v>-0.99999999999999745</v>
      </c>
      <c r="BJ174" s="256">
        <f t="shared" ca="1" si="92"/>
        <v>-1.0000000000000075</v>
      </c>
      <c r="BK174" s="256">
        <f t="shared" ca="1" si="92"/>
        <v>-0.99999999999999956</v>
      </c>
      <c r="BL174" s="256">
        <f t="shared" ca="1" si="92"/>
        <v>-0.99999999999999911</v>
      </c>
      <c r="BM174" s="256">
        <f t="shared" ca="1" si="92"/>
        <v>-1.0000000000000029</v>
      </c>
      <c r="BN174" s="28"/>
      <c r="BO174" s="28"/>
      <c r="BP174" s="28"/>
      <c r="BQ174" s="180"/>
      <c r="BR174" s="180"/>
      <c r="BS174" s="1031" t="s">
        <v>1773</v>
      </c>
      <c r="BT174" s="1031"/>
      <c r="BU174" s="1031"/>
      <c r="BV174" s="1032"/>
      <c r="BW174" s="1032"/>
      <c r="BX174" s="1064" t="str" cm="1">
        <f t="array" aca="1" ref="BX174" ca="1">D174&amp;"::"&amp;IF(N174&lt;&gt;"",N174,"Неопределено")&amp;"::"&amp;IF(M174&lt;&gt;"",M174,"Неопределено")&amp;"::"&amp;IF(O174&lt;&gt;"",O174,"Неопределено")&amp;"::"&amp;IF(P174&lt;&gt;"",P174,"Неопределено")&amp;"::"&amp;IF(Q174&lt;&gt;"",Q174,"Неопределено")&amp;"::"&amp;IF(R174&lt;&gt;"",R174,"Неопределено")</f>
        <v>M11582::ТЭ.42.26322895.0004::Неопределено::Неопределено::Неопределено::Неопределено::Неопределено</v>
      </c>
    </row>
    <row r="175" spans="1:76" s="1229" customFormat="1" ht="14.25" customHeight="1">
      <c r="A175" s="178"/>
      <c r="B175" s="783"/>
      <c r="C175" s="1094" t="s">
        <v>1774</v>
      </c>
      <c r="D175" s="1053" t="s">
        <v>1775</v>
      </c>
      <c r="E175" s="676">
        <v>15</v>
      </c>
      <c r="F175" s="779" t="str" cm="1">
        <f t="array" aca="1" ref="F175" ca="1">OFFSET(G175,-1,-1)</f>
        <v>2</v>
      </c>
      <c r="G175" s="180"/>
      <c r="H175" s="180"/>
      <c r="I175" s="180"/>
      <c r="J175" s="180"/>
      <c r="K175" s="180"/>
      <c r="L175" s="143"/>
      <c r="M175" s="1077"/>
      <c r="N175" s="1077" t="str" cm="1">
        <f t="array" aca="1" ref="N175" ca="1">OFFSET(M175,-1,1)</f>
        <v>ТЭ.42.26322895.0004</v>
      </c>
      <c r="O175" s="1078"/>
      <c r="P175" s="1078"/>
      <c r="Q175" s="1078"/>
      <c r="R175" s="1078"/>
      <c r="T175" s="687" t="b" cm="1">
        <f t="array" aca="1" ref="T175" ca="1">T172</f>
        <v>1</v>
      </c>
      <c r="U175" s="1153"/>
      <c r="V175" s="1153"/>
      <c r="W175" s="1153"/>
      <c r="X175" s="1726"/>
      <c r="Y175" s="1153"/>
      <c r="Z175" s="1726"/>
      <c r="AA175" s="180"/>
      <c r="AB175" s="263" t="s">
        <v>1776</v>
      </c>
      <c r="AC175" s="259" t="s">
        <v>1777</v>
      </c>
      <c r="AD175" s="264" t="s">
        <v>634</v>
      </c>
      <c r="AE175" s="256">
        <f ca="1">IF($K139="передача тепловой энергии",SUMIFS('Баланс Тр'!AE$27:AE$50,'Баланс Тр'!$F$27:$F$50,$F175,'Баланс Тр'!$AB$27:$AB$50,"3"),SUMIFS('Баланс Пр'!AE$27:AE$233,'Баланс Пр'!$F$27:$F$233,$F175,'Баланс Пр'!$AB$27:$AB$233,"9.1"))</f>
        <v>0</v>
      </c>
      <c r="AF175" s="516"/>
      <c r="AG175" s="516"/>
      <c r="AH175" s="516"/>
      <c r="AI175" s="256">
        <f ca="1">IF($K139="передача тепловой энергии",SUMIFS('Баланс Тр'!AH$27:AH$50,'Баланс Тр'!$F$27:$F$50,$F175,'Баланс Тр'!$AB$27:$AB$50,"3"),SUMIFS('Баланс Пр'!AH$27:AH$233,'Баланс Пр'!$F$27:$F$233,$F175,'Баланс Пр'!$AB$27:$AB$233,"9.1"))</f>
        <v>111706</v>
      </c>
      <c r="AJ175" s="256">
        <f ca="1">IF($K139="передача тепловой энергии",SUMIFS('Баланс Тр'!AI$27:AI$50,'Баланс Тр'!$F$27:$F$50,$F175,'Баланс Тр'!$AB$27:$AB$50,"3"),SUMIFS('Баланс Пр'!AI$27:AI$233,'Баланс Пр'!$F$27:$F$233,$F175,'Баланс Пр'!$AB$27:$AB$233,"9.1"))</f>
        <v>0</v>
      </c>
      <c r="AK175" s="256">
        <f ca="1">IF($K139="передача тепловой энергии",SUMIFS('Баланс Тр'!AJ$27:AJ$50,'Баланс Тр'!$F$27:$F$50,$F175,'Баланс Тр'!$AB$27:$AB$50,"3"),SUMIFS('Баланс Пр'!AJ$27:AJ$233,'Баланс Пр'!$F$27:$F$233,$F175,'Баланс Пр'!$AB$27:$AB$233,"9.1"))</f>
        <v>0</v>
      </c>
      <c r="AL175" s="256">
        <f ca="1">IF($K139="передача тепловой энергии",SUMIFS('Баланс Тр'!AK$27:AK$50,'Баланс Тр'!$F$27:$F$50,$F175,'Баланс Тр'!$AB$27:$AB$50,"3"),SUMIFS('Баланс Пр'!AK$27:AK$233,'Баланс Пр'!$F$27:$F$233,$F175,'Баланс Пр'!$AB$27:$AB$233,"9.1"))</f>
        <v>0</v>
      </c>
      <c r="AM175" s="256">
        <f ca="1">IF($K139="передача тепловой энергии",SUMIFS('Баланс Тр'!AL$27:AL$50,'Баланс Тр'!$F$27:$F$50,$F175,'Баланс Тр'!$AB$27:$AB$50,"3"),SUMIFS('Баланс Пр'!AL$27:AL$233,'Баланс Пр'!$F$27:$F$233,$F175,'Баланс Пр'!$AB$27:$AB$233,"9.1"))</f>
        <v>0</v>
      </c>
      <c r="AN175" s="256">
        <f ca="1">IF($K139="передача тепловой энергии",SUMIFS('Баланс Тр'!AM$27:AM$50,'Баланс Тр'!$F$27:$F$50,$F175,'Баланс Тр'!$AB$27:$AB$50,"3"),SUMIFS('Баланс Пр'!AM$27:AM$233,'Баланс Пр'!$F$27:$F$233,$F175,'Баланс Пр'!$AB$27:$AB$233,"9.1"))</f>
        <v>0</v>
      </c>
      <c r="AO175" s="256">
        <f ca="1">IF($K139="передача тепловой энергии",SUMIFS('Баланс Тр'!AN$27:AN$50,'Баланс Тр'!$F$27:$F$50,$F175,'Баланс Тр'!$AB$27:$AB$50,"3"),SUMIFS('Баланс Пр'!AN$27:AN$233,'Баланс Пр'!$F$27:$F$233,$F175,'Баланс Пр'!$AB$27:$AB$233,"9.1"))</f>
        <v>0</v>
      </c>
      <c r="AP175" s="256">
        <f ca="1">IF($K139="передача тепловой энергии",SUMIFS('Баланс Тр'!AO$27:AO$50,'Баланс Тр'!$F$27:$F$50,$F175,'Баланс Тр'!$AB$27:$AB$50,"3"),SUMIFS('Баланс Пр'!AO$27:AO$233,'Баланс Пр'!$F$27:$F$233,$F175,'Баланс Пр'!$AB$27:$AB$233,"9.1"))</f>
        <v>0</v>
      </c>
      <c r="AQ175" s="256">
        <f ca="1">IF($K139="передача тепловой энергии",SUMIFS('Баланс Тр'!AP$27:AP$50,'Баланс Тр'!$F$27:$F$50,$F175,'Баланс Тр'!$AB$27:$AB$50,"3"),SUMIFS('Баланс Пр'!AP$27:AP$233,'Баланс Пр'!$F$27:$F$233,$F175,'Баланс Пр'!$AB$27:$AB$233,"9.1"))</f>
        <v>0</v>
      </c>
      <c r="AR175" s="256">
        <f ca="1">IF($K139="передача тепловой энергии",SUMIFS('Баланс Тр'!AQ$27:AQ$50,'Баланс Тр'!$F$27:$F$50,$F175,'Баланс Тр'!$AB$27:$AB$50,"3"),SUMIFS('Баланс Пр'!AQ$27:AQ$233,'Баланс Пр'!$F$27:$F$233,$F175,'Баланс Пр'!$AB$27:$AB$233,"9.1"))</f>
        <v>0</v>
      </c>
      <c r="AS175" s="256">
        <f ca="1">IF($K139="передача тепловой энергии",SUMIFS('Баланс Тр'!AR$27:AR$50,'Баланс Тр'!$F$27:$F$50,$F175,'Баланс Тр'!$AB$27:$AB$50,"3"),SUMIFS('Баланс Пр'!AR$27:AR$233,'Баланс Пр'!$F$27:$F$233,$F175,'Баланс Пр'!$AB$27:$AB$233,"9.1"))</f>
        <v>0</v>
      </c>
      <c r="AT175" s="256">
        <f ca="1">IF($K139="передача тепловой энергии",SUMIFS('Баланс Тр'!AS$27:AS$50,'Баланс Тр'!$F$27:$F$50,$F175,'Баланс Тр'!$AB$27:$AB$50,"3"),SUMIFS('Баланс Пр'!AS$27:AS$233,'Баланс Пр'!$F$27:$F$233,$F175,'Баланс Пр'!$AB$27:$AB$233,"9.1"))</f>
        <v>112183.11</v>
      </c>
      <c r="AU175" s="256">
        <f ca="1">IF($K139="передача тепловой энергии",SUMIFS('Баланс Тр'!AT$27:AT$50,'Баланс Тр'!$F$27:$F$50,$F175,'Баланс Тр'!$AB$27:$AB$50,"3"),SUMIFS('Баланс Пр'!AT$27:AT$233,'Баланс Пр'!$F$27:$F$233,$F175,'Баланс Пр'!$AB$27:$AB$233,"9.1"))</f>
        <v>0</v>
      </c>
      <c r="AV175" s="256">
        <f ca="1">IF($K139="передача тепловой энергии",SUMIFS('Баланс Тр'!AU$27:AU$50,'Баланс Тр'!$F$27:$F$50,$F175,'Баланс Тр'!$AB$27:$AB$50,"3"),SUMIFS('Баланс Пр'!AU$27:AU$233,'Баланс Пр'!$F$27:$F$233,$F175,'Баланс Пр'!$AB$27:$AB$233,"9.1"))</f>
        <v>0</v>
      </c>
      <c r="AW175" s="256">
        <f ca="1">IF($K139="передача тепловой энергии",SUMIFS('Баланс Тр'!AV$27:AV$50,'Баланс Тр'!$F$27:$F$50,$F175,'Баланс Тр'!$AB$27:$AB$50,"3"),SUMIFS('Баланс Пр'!AV$27:AV$233,'Баланс Пр'!$F$27:$F$233,$F175,'Баланс Пр'!$AB$27:$AB$233,"9.1"))</f>
        <v>0</v>
      </c>
      <c r="AX175" s="256">
        <f ca="1">IF($K139="передача тепловой энергии",SUMIFS('Баланс Тр'!AW$27:AW$50,'Баланс Тр'!$F$27:$F$50,$F175,'Баланс Тр'!$AB$27:$AB$50,"3"),SUMIFS('Баланс Пр'!AW$27:AW$233,'Баланс Пр'!$F$27:$F$233,$F175,'Баланс Пр'!$AB$27:$AB$233,"9.1"))</f>
        <v>0</v>
      </c>
      <c r="AY175" s="256">
        <f ca="1">IF($K139="передача тепловой энергии",SUMIFS('Баланс Тр'!AX$27:AX$50,'Баланс Тр'!$F$27:$F$50,$F175,'Баланс Тр'!$AB$27:$AB$50,"3"),SUMIFS('Баланс Пр'!AX$27:AX$233,'Баланс Пр'!$F$27:$F$233,$F175,'Баланс Пр'!$AB$27:$AB$233,"9.1"))</f>
        <v>0</v>
      </c>
      <c r="AZ175" s="256">
        <f ca="1">IF($K139="передача тепловой энергии",SUMIFS('Баланс Тр'!AY$27:AY$50,'Баланс Тр'!$F$27:$F$50,$F175,'Баланс Тр'!$AB$27:$AB$50,"3"),SUMIFS('Баланс Пр'!AY$27:AY$233,'Баланс Пр'!$F$27:$F$233,$F175,'Баланс Пр'!$AB$27:$AB$233,"9.1"))</f>
        <v>0</v>
      </c>
      <c r="BA175" s="256">
        <f ca="1">IF($K139="передача тепловой энергии",SUMIFS('Баланс Тр'!AZ$27:AZ$50,'Баланс Тр'!$F$27:$F$50,$F175,'Баланс Тр'!$AB$27:$AB$50,"3"),SUMIFS('Баланс Пр'!AZ$27:AZ$233,'Баланс Пр'!$F$27:$F$233,$F175,'Баланс Пр'!$AB$27:$AB$233,"9.1"))</f>
        <v>0</v>
      </c>
      <c r="BB175" s="256">
        <f ca="1">IF($K139="передача тепловой энергии",SUMIFS('Баланс Тр'!BA$27:BA$50,'Баланс Тр'!$F$27:$F$50,$F175,'Баланс Тр'!$AB$27:$AB$50,"3"),SUMIFS('Баланс Пр'!BA$27:BA$233,'Баланс Пр'!$F$27:$F$233,$F175,'Баланс Пр'!$AB$27:$AB$233,"9.1"))</f>
        <v>0</v>
      </c>
      <c r="BC175" s="256">
        <f ca="1">IF($K139="передача тепловой энергии",SUMIFS('Баланс Тр'!BB$27:BB$50,'Баланс Тр'!$F$27:$F$50,$F175,'Баланс Тр'!$AB$27:$AB$50,"3"),SUMIFS('Баланс Пр'!BB$27:BB$233,'Баланс Пр'!$F$27:$F$233,$F175,'Баланс Пр'!$AB$27:$AB$233,"9.1"))</f>
        <v>0</v>
      </c>
      <c r="BD175" s="556"/>
      <c r="BE175" s="556"/>
      <c r="BF175" s="556"/>
      <c r="BG175" s="556"/>
      <c r="BH175" s="556"/>
      <c r="BI175" s="556"/>
      <c r="BJ175" s="556"/>
      <c r="BK175" s="556"/>
      <c r="BL175" s="556"/>
      <c r="BM175" s="556"/>
      <c r="BN175" s="1290"/>
      <c r="BO175" s="1290"/>
      <c r="BP175" s="1290"/>
      <c r="BQ175" s="180"/>
      <c r="BR175" s="180"/>
      <c r="BS175" s="1031" t="s">
        <v>1778</v>
      </c>
      <c r="BT175" s="1031"/>
      <c r="BU175" s="1031"/>
      <c r="BV175" s="1032"/>
      <c r="BW175" s="1032"/>
      <c r="BX175" s="1064" t="str" cm="1">
        <f t="array" aca="1" ref="BX175" ca="1">D175&amp;"::"&amp;IF(N175&lt;&gt;"",N175,"Неопределено")&amp;"::"&amp;IF(M175&lt;&gt;"",M175,"Неопределено")&amp;"::"&amp;IF(O175&lt;&gt;"",O175,"Неопределено")&amp;"::"&amp;IF(P175&lt;&gt;"",P175,"Неопределено")&amp;"::"&amp;IF(Q175&lt;&gt;"",Q175,"Неопределено")&amp;"::"&amp;IF(R175&lt;&gt;"",R175,"Неопределено")</f>
        <v>M10502::ТЭ.42.26322895.0004::Неопределено::Неопределено::Неопределено::Неопределено::Неопределено</v>
      </c>
    </row>
    <row r="176" spans="1:76" s="1229" customFormat="1" ht="14.25" customHeight="1">
      <c r="A176" s="178"/>
      <c r="B176" s="783"/>
      <c r="C176" s="1094" t="s">
        <v>1779</v>
      </c>
      <c r="D176" s="1053" t="s">
        <v>1780</v>
      </c>
      <c r="E176" s="676">
        <v>15</v>
      </c>
      <c r="F176" s="779" t="str" cm="1">
        <f t="array" aca="1" ref="F176" ca="1">OFFSET(G176,-1,-1)</f>
        <v>2</v>
      </c>
      <c r="G176" s="143" t="s">
        <v>1781</v>
      </c>
      <c r="H176" s="180"/>
      <c r="I176" s="180"/>
      <c r="J176" s="180"/>
      <c r="K176" s="180"/>
      <c r="L176" s="143"/>
      <c r="M176" s="1077"/>
      <c r="N176" s="1077" t="str" cm="1">
        <f t="array" aca="1" ref="N176" ca="1">OFFSET(M176,-1,1)</f>
        <v>ТЭ.42.26322895.0004</v>
      </c>
      <c r="O176" s="1078" t="s">
        <v>1782</v>
      </c>
      <c r="P176" s="1078"/>
      <c r="Q176" s="1078"/>
      <c r="R176" s="1078"/>
      <c r="T176" s="687" t="b" cm="1">
        <f t="array" aca="1" ref="T176" ca="1">T175</f>
        <v>1</v>
      </c>
      <c r="U176" s="1153"/>
      <c r="V176" s="1153"/>
      <c r="W176" s="1153"/>
      <c r="X176" s="1726"/>
      <c r="Y176" s="1153"/>
      <c r="Z176" s="1726"/>
      <c r="AA176" s="180"/>
      <c r="AB176" s="553" t="str">
        <f>AB175&amp;".1"</f>
        <v>15.1</v>
      </c>
      <c r="AC176" s="236" t="s">
        <v>1783</v>
      </c>
      <c r="AD176" s="258" t="s">
        <v>634</v>
      </c>
      <c r="AE176" s="1398"/>
      <c r="AF176" s="516"/>
      <c r="AG176" s="516"/>
      <c r="AH176" s="516"/>
      <c r="AI176" s="1398">
        <v>60991.48</v>
      </c>
      <c r="AJ176" s="517"/>
      <c r="AK176" s="517"/>
      <c r="AL176" s="517"/>
      <c r="AM176" s="517"/>
      <c r="AN176" s="517"/>
      <c r="AO176" s="1398"/>
      <c r="AP176" s="1398"/>
      <c r="AQ176" s="1398"/>
      <c r="AR176" s="1398"/>
      <c r="AS176" s="1398"/>
      <c r="AT176" s="517">
        <f ca="1">AT175*0.7137</f>
        <v>80065.085607000001</v>
      </c>
      <c r="AU176" s="517"/>
      <c r="AV176" s="517"/>
      <c r="AW176" s="517"/>
      <c r="AX176" s="517"/>
      <c r="AY176" s="1398"/>
      <c r="AZ176" s="1398"/>
      <c r="BA176" s="1398"/>
      <c r="BB176" s="1398"/>
      <c r="BC176" s="1398"/>
      <c r="BD176" s="319"/>
      <c r="BE176" s="319"/>
      <c r="BF176" s="319"/>
      <c r="BG176" s="319"/>
      <c r="BH176" s="319"/>
      <c r="BI176" s="319"/>
      <c r="BJ176" s="319"/>
      <c r="BK176" s="319"/>
      <c r="BL176" s="319"/>
      <c r="BM176" s="319"/>
      <c r="BN176" s="1290"/>
      <c r="BO176" s="1290"/>
      <c r="BP176" s="1290"/>
      <c r="BQ176" s="180"/>
      <c r="BR176" s="180"/>
      <c r="BS176" s="1031" t="s">
        <v>1784</v>
      </c>
      <c r="BT176" s="1031"/>
      <c r="BU176" s="1031"/>
      <c r="BV176" s="1032"/>
      <c r="BW176" s="1032"/>
      <c r="BX176" s="1064" t="str" cm="1">
        <f t="array" aca="1" ref="BX176" ca="1">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M10670::ТЭ.42.26322895.0004::Неопределено::8.0.3.::Неопределено::Неопределено::Неопределено</v>
      </c>
    </row>
    <row r="177" spans="1:76" s="1229" customFormat="1" ht="14.25" customHeight="1">
      <c r="A177" s="178"/>
      <c r="B177" s="783"/>
      <c r="C177" s="1094" t="s">
        <v>1785</v>
      </c>
      <c r="D177" s="1053" t="s">
        <v>1786</v>
      </c>
      <c r="E177" s="676">
        <v>15</v>
      </c>
      <c r="F177" s="779" t="str" cm="1">
        <f t="array" aca="1" ref="F177" ca="1">OFFSET(G177,-1,-1)</f>
        <v>2</v>
      </c>
      <c r="G177" s="143" t="s">
        <v>1787</v>
      </c>
      <c r="H177" s="180"/>
      <c r="I177" s="180"/>
      <c r="J177" s="180"/>
      <c r="K177" s="180"/>
      <c r="L177" s="143"/>
      <c r="M177" s="1077"/>
      <c r="N177" s="1077" t="str" cm="1">
        <f t="array" aca="1" ref="N177" ca="1">OFFSET(M177,-1,1)</f>
        <v>ТЭ.42.26322895.0004</v>
      </c>
      <c r="O177" s="1078" t="s">
        <v>1782</v>
      </c>
      <c r="P177" s="1078"/>
      <c r="Q177" s="1078"/>
      <c r="R177" s="1078"/>
      <c r="T177" s="687" t="b" cm="1">
        <f t="array" aca="1" ref="T177" ca="1">T176</f>
        <v>1</v>
      </c>
      <c r="U177" s="1153"/>
      <c r="V177" s="1153"/>
      <c r="W177" s="1153"/>
      <c r="X177" s="1726"/>
      <c r="Y177" s="1153"/>
      <c r="Z177" s="1726"/>
      <c r="AA177" s="180"/>
      <c r="AB177" s="553" t="str">
        <f>AB175&amp;".2"</f>
        <v>15.2</v>
      </c>
      <c r="AC177" s="236" t="s">
        <v>1788</v>
      </c>
      <c r="AD177" s="258" t="s">
        <v>929</v>
      </c>
      <c r="AE177" s="1398"/>
      <c r="AF177" s="516"/>
      <c r="AG177" s="516"/>
      <c r="AH177" s="516"/>
      <c r="AI177" s="1398">
        <v>2784.42</v>
      </c>
      <c r="AJ177" s="517">
        <f t="shared" ref="AJ177:AS177" ca="1" si="95">MIN(AI179,AJ181)</f>
        <v>0</v>
      </c>
      <c r="AK177" s="517">
        <f t="shared" ca="1" si="95"/>
        <v>0</v>
      </c>
      <c r="AL177" s="517">
        <f t="shared" ca="1" si="95"/>
        <v>0</v>
      </c>
      <c r="AM177" s="517">
        <f t="shared" ca="1" si="95"/>
        <v>0</v>
      </c>
      <c r="AN177" s="517">
        <f t="shared" ca="1" si="95"/>
        <v>0</v>
      </c>
      <c r="AO177" s="1398">
        <f t="shared" ca="1" si="95"/>
        <v>0</v>
      </c>
      <c r="AP177" s="1398">
        <f t="shared" ca="1" si="95"/>
        <v>0</v>
      </c>
      <c r="AQ177" s="1398">
        <f t="shared" ca="1" si="95"/>
        <v>0</v>
      </c>
      <c r="AR177" s="1398">
        <f t="shared" ca="1" si="95"/>
        <v>0</v>
      </c>
      <c r="AS177" s="1398">
        <f t="shared" ca="1" si="95"/>
        <v>0</v>
      </c>
      <c r="AT177" s="517">
        <v>3062.82</v>
      </c>
      <c r="AU177" s="517">
        <f t="shared" ref="AU177:BC177" ca="1" si="96">MIN(AT179,AU181)</f>
        <v>0</v>
      </c>
      <c r="AV177" s="517">
        <f t="shared" ca="1" si="96"/>
        <v>0</v>
      </c>
      <c r="AW177" s="517">
        <f t="shared" ca="1" si="96"/>
        <v>0</v>
      </c>
      <c r="AX177" s="517">
        <f t="shared" ca="1" si="96"/>
        <v>0</v>
      </c>
      <c r="AY177" s="1398">
        <f t="shared" ca="1" si="96"/>
        <v>0</v>
      </c>
      <c r="AZ177" s="1398">
        <f t="shared" ca="1" si="96"/>
        <v>0</v>
      </c>
      <c r="BA177" s="1398">
        <f t="shared" ca="1" si="96"/>
        <v>0</v>
      </c>
      <c r="BB177" s="1398">
        <f t="shared" ca="1" si="96"/>
        <v>0</v>
      </c>
      <c r="BC177" s="1398">
        <f t="shared" ca="1" si="96"/>
        <v>0</v>
      </c>
      <c r="BD177" s="319"/>
      <c r="BE177" s="319"/>
      <c r="BF177" s="319"/>
      <c r="BG177" s="319"/>
      <c r="BH177" s="319"/>
      <c r="BI177" s="319"/>
      <c r="BJ177" s="319"/>
      <c r="BK177" s="319"/>
      <c r="BL177" s="319"/>
      <c r="BM177" s="319"/>
      <c r="BN177" s="1290"/>
      <c r="BO177" s="1290"/>
      <c r="BP177" s="1290"/>
      <c r="BQ177" s="180"/>
      <c r="BR177" s="180"/>
      <c r="BS177" s="1031" t="s">
        <v>1789</v>
      </c>
      <c r="BT177" s="1031"/>
      <c r="BU177" s="1031"/>
      <c r="BV177" s="1032"/>
      <c r="BW177" s="1032"/>
      <c r="BX177" s="1064" t="str" cm="1">
        <f t="array" aca="1" ref="BX177" ca="1">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M10546::ТЭ.42.26322895.0004::Неопределено::8.0.3.::Неопределено::Неопределено::Неопределено</v>
      </c>
    </row>
    <row r="178" spans="1:76" s="1229" customFormat="1" ht="14.25" customHeight="1">
      <c r="A178" s="178"/>
      <c r="B178" s="783"/>
      <c r="C178" s="1094" t="s">
        <v>1779</v>
      </c>
      <c r="D178" s="1053" t="s">
        <v>1780</v>
      </c>
      <c r="E178" s="676">
        <v>15</v>
      </c>
      <c r="F178" s="779" t="str" cm="1">
        <f t="array" aca="1" ref="F178" ca="1">OFFSET(G178,-1,-1)</f>
        <v>2</v>
      </c>
      <c r="G178" s="143" t="s">
        <v>1790</v>
      </c>
      <c r="H178" s="180"/>
      <c r="I178" s="180"/>
      <c r="J178" s="180"/>
      <c r="K178" s="180"/>
      <c r="L178" s="143"/>
      <c r="M178" s="1077"/>
      <c r="N178" s="1077" t="str" cm="1">
        <f t="array" aca="1" ref="N178" ca="1">OFFSET(M178,-1,1)</f>
        <v>ТЭ.42.26322895.0004</v>
      </c>
      <c r="O178" s="1078" t="s">
        <v>1791</v>
      </c>
      <c r="P178" s="1078"/>
      <c r="Q178" s="1078"/>
      <c r="R178" s="1078"/>
      <c r="T178" s="687" t="b" cm="1">
        <f t="array" aca="1" ref="T178" ca="1">T177</f>
        <v>1</v>
      </c>
      <c r="U178" s="1153"/>
      <c r="V178" s="1153"/>
      <c r="W178" s="1153"/>
      <c r="X178" s="1726"/>
      <c r="Y178" s="1153"/>
      <c r="Z178" s="1726"/>
      <c r="AA178" s="180"/>
      <c r="AB178" s="553" t="str">
        <f>AB175&amp;".3"</f>
        <v>15.3</v>
      </c>
      <c r="AC178" s="236" t="s">
        <v>1792</v>
      </c>
      <c r="AD178" s="258" t="s">
        <v>634</v>
      </c>
      <c r="AE178" s="515">
        <f ca="1">AE175-AE176</f>
        <v>0</v>
      </c>
      <c r="AF178" s="516"/>
      <c r="AG178" s="516"/>
      <c r="AH178" s="516"/>
      <c r="AI178" s="515">
        <f t="shared" ref="AI178:BC178" ca="1" si="97">AI175-AI176</f>
        <v>50714.52</v>
      </c>
      <c r="AJ178" s="515">
        <f t="shared" ca="1" si="97"/>
        <v>0</v>
      </c>
      <c r="AK178" s="515">
        <f t="shared" ca="1" si="97"/>
        <v>0</v>
      </c>
      <c r="AL178" s="515">
        <f t="shared" ca="1" si="97"/>
        <v>0</v>
      </c>
      <c r="AM178" s="515">
        <f t="shared" ca="1" si="97"/>
        <v>0</v>
      </c>
      <c r="AN178" s="515">
        <f t="shared" ca="1" si="97"/>
        <v>0</v>
      </c>
      <c r="AO178" s="515">
        <f t="shared" ca="1" si="97"/>
        <v>0</v>
      </c>
      <c r="AP178" s="515">
        <f t="shared" ca="1" si="97"/>
        <v>0</v>
      </c>
      <c r="AQ178" s="515">
        <f t="shared" ca="1" si="97"/>
        <v>0</v>
      </c>
      <c r="AR178" s="515">
        <f t="shared" ca="1" si="97"/>
        <v>0</v>
      </c>
      <c r="AS178" s="515">
        <f t="shared" ca="1" si="97"/>
        <v>0</v>
      </c>
      <c r="AT178" s="515">
        <f t="shared" ca="1" si="97"/>
        <v>32118.024393</v>
      </c>
      <c r="AU178" s="515">
        <f t="shared" ca="1" si="97"/>
        <v>0</v>
      </c>
      <c r="AV178" s="515">
        <f t="shared" ca="1" si="97"/>
        <v>0</v>
      </c>
      <c r="AW178" s="515">
        <f t="shared" ca="1" si="97"/>
        <v>0</v>
      </c>
      <c r="AX178" s="515">
        <f t="shared" ca="1" si="97"/>
        <v>0</v>
      </c>
      <c r="AY178" s="515">
        <f t="shared" ca="1" si="97"/>
        <v>0</v>
      </c>
      <c r="AZ178" s="515">
        <f t="shared" ca="1" si="97"/>
        <v>0</v>
      </c>
      <c r="BA178" s="515">
        <f t="shared" ca="1" si="97"/>
        <v>0</v>
      </c>
      <c r="BB178" s="515">
        <f t="shared" ca="1" si="97"/>
        <v>0</v>
      </c>
      <c r="BC178" s="515">
        <f t="shared" ca="1" si="97"/>
        <v>0</v>
      </c>
      <c r="BD178" s="319"/>
      <c r="BE178" s="319"/>
      <c r="BF178" s="319"/>
      <c r="BG178" s="319"/>
      <c r="BH178" s="319"/>
      <c r="BI178" s="319"/>
      <c r="BJ178" s="319"/>
      <c r="BK178" s="319"/>
      <c r="BL178" s="319"/>
      <c r="BM178" s="319"/>
      <c r="BN178" s="1290"/>
      <c r="BO178" s="1290"/>
      <c r="BP178" s="1290"/>
      <c r="BQ178" s="180"/>
      <c r="BR178" s="180"/>
      <c r="BS178" s="1031" t="s">
        <v>1793</v>
      </c>
      <c r="BT178" s="1031"/>
      <c r="BU178" s="1031"/>
      <c r="BV178" s="1032"/>
      <c r="BW178" s="1032"/>
      <c r="BX178" s="1064" t="str" cm="1">
        <f t="array" aca="1" ref="BX178" ca="1">D178&amp;"::"&amp;IF(N178&lt;&gt;"",N178,"Неопределено")&amp;"::"&amp;IF(M178&lt;&gt;"",M178,"Неопределено")&amp;"::"&amp;IF(O178&lt;&gt;"",O178,"Неопределено")&amp;"::"&amp;IF(P178&lt;&gt;"",P178,"Неопределено")&amp;"::"&amp;IF(Q178&lt;&gt;"",Q178,"Неопределено")&amp;"::"&amp;IF(R178&lt;&gt;"",R178,"Неопределено")</f>
        <v>M10670::ТЭ.42.26322895.0004::Неопределено::8.0.5.::Неопределено::Неопределено::Неопределено</v>
      </c>
    </row>
    <row r="179" spans="1:76" s="1229" customFormat="1" ht="14.25" customHeight="1">
      <c r="A179" s="178"/>
      <c r="B179" s="783"/>
      <c r="C179" s="1094" t="s">
        <v>1785</v>
      </c>
      <c r="D179" s="1053" t="s">
        <v>1786</v>
      </c>
      <c r="E179" s="676">
        <v>15</v>
      </c>
      <c r="F179" s="779" t="str" cm="1">
        <f t="array" aca="1" ref="F179" ca="1">OFFSET(G179,-1,-1)</f>
        <v>2</v>
      </c>
      <c r="G179" s="143" t="s">
        <v>1794</v>
      </c>
      <c r="H179" s="180"/>
      <c r="I179" s="180"/>
      <c r="J179" s="180"/>
      <c r="K179" s="180"/>
      <c r="L179" s="143"/>
      <c r="M179" s="1077"/>
      <c r="N179" s="1077" t="str" cm="1">
        <f t="array" aca="1" ref="N179" ca="1">OFFSET(M179,-1,1)</f>
        <v>ТЭ.42.26322895.0004</v>
      </c>
      <c r="O179" s="1078" t="s">
        <v>1791</v>
      </c>
      <c r="P179" s="1078"/>
      <c r="Q179" s="1078"/>
      <c r="R179" s="1078"/>
      <c r="T179" s="687" t="b" cm="1">
        <f t="array" aca="1" ref="T179" ca="1">T178</f>
        <v>1</v>
      </c>
      <c r="U179" s="1153"/>
      <c r="V179" s="1153"/>
      <c r="W179" s="1153"/>
      <c r="X179" s="1726"/>
      <c r="Y179" s="1153"/>
      <c r="Z179" s="1726"/>
      <c r="AA179" s="180"/>
      <c r="AB179" s="553" t="str">
        <f>AB175&amp;".4"</f>
        <v>15.4</v>
      </c>
      <c r="AC179" s="236" t="s">
        <v>1795</v>
      </c>
      <c r="AD179" s="258" t="s">
        <v>929</v>
      </c>
      <c r="AE179" s="1398"/>
      <c r="AF179" s="516"/>
      <c r="AG179" s="516"/>
      <c r="AH179" s="516"/>
      <c r="AI179" s="1398">
        <v>3062.82</v>
      </c>
      <c r="AJ179" s="517">
        <f t="shared" ref="AJ179:AS179" ca="1" si="98">IFERROR((AJ172*1000-AJ176*AJ177)/AJ178,0)</f>
        <v>0</v>
      </c>
      <c r="AK179" s="517">
        <f t="shared" ca="1" si="98"/>
        <v>0</v>
      </c>
      <c r="AL179" s="517">
        <f t="shared" ca="1" si="98"/>
        <v>0</v>
      </c>
      <c r="AM179" s="517">
        <f t="shared" ca="1" si="98"/>
        <v>0</v>
      </c>
      <c r="AN179" s="517">
        <f t="shared" ca="1" si="98"/>
        <v>0</v>
      </c>
      <c r="AO179" s="1398">
        <f t="shared" ca="1" si="98"/>
        <v>0</v>
      </c>
      <c r="AP179" s="1398">
        <f t="shared" ca="1" si="98"/>
        <v>0</v>
      </c>
      <c r="AQ179" s="1398">
        <f t="shared" ca="1" si="98"/>
        <v>0</v>
      </c>
      <c r="AR179" s="1398">
        <f t="shared" ca="1" si="98"/>
        <v>0</v>
      </c>
      <c r="AS179" s="1398">
        <f t="shared" ca="1" si="98"/>
        <v>0</v>
      </c>
      <c r="AT179" s="517">
        <v>3870</v>
      </c>
      <c r="AU179" s="517">
        <f t="shared" ref="AU179:BC179" ca="1" si="99">IFERROR((AU172*1000-AU176*AU177)/AU178,0)</f>
        <v>0</v>
      </c>
      <c r="AV179" s="517">
        <f t="shared" ca="1" si="99"/>
        <v>0</v>
      </c>
      <c r="AW179" s="517">
        <f t="shared" ca="1" si="99"/>
        <v>0</v>
      </c>
      <c r="AX179" s="517">
        <f t="shared" ca="1" si="99"/>
        <v>0</v>
      </c>
      <c r="AY179" s="1398">
        <f t="shared" ca="1" si="99"/>
        <v>0</v>
      </c>
      <c r="AZ179" s="1398">
        <f t="shared" ca="1" si="99"/>
        <v>0</v>
      </c>
      <c r="BA179" s="1398">
        <f t="shared" ca="1" si="99"/>
        <v>0</v>
      </c>
      <c r="BB179" s="1398">
        <f t="shared" ca="1" si="99"/>
        <v>0</v>
      </c>
      <c r="BC179" s="1398">
        <f t="shared" ca="1" si="99"/>
        <v>0</v>
      </c>
      <c r="BD179" s="319"/>
      <c r="BE179" s="319"/>
      <c r="BF179" s="319"/>
      <c r="BG179" s="319"/>
      <c r="BH179" s="319"/>
      <c r="BI179" s="319"/>
      <c r="BJ179" s="319"/>
      <c r="BK179" s="319"/>
      <c r="BL179" s="319"/>
      <c r="BM179" s="319"/>
      <c r="BN179" s="1290"/>
      <c r="BO179" s="1290"/>
      <c r="BP179" s="1290"/>
      <c r="BQ179" s="180"/>
      <c r="BR179" s="180"/>
      <c r="BS179" s="1031" t="s">
        <v>1796</v>
      </c>
      <c r="BT179" s="1031"/>
      <c r="BU179" s="1031"/>
      <c r="BV179" s="1032"/>
      <c r="BW179" s="1032"/>
      <c r="BX179" s="1064" t="str" cm="1">
        <f t="array" aca="1" ref="BX179" ca="1">D179&amp;"::"&amp;IF(N179&lt;&gt;"",N179,"Неопределено")&amp;"::"&amp;IF(M179&lt;&gt;"",M179,"Неопределено")&amp;"::"&amp;IF(O179&lt;&gt;"",O179,"Неопределено")&amp;"::"&amp;IF(P179&lt;&gt;"",P179,"Неопределено")&amp;"::"&amp;IF(Q179&lt;&gt;"",Q179,"Неопределено")&amp;"::"&amp;IF(R179&lt;&gt;"",R179,"Неопределено")</f>
        <v>M10546::ТЭ.42.26322895.0004::Неопределено::8.0.5.::Неопределено::Неопределено::Неопределено</v>
      </c>
    </row>
    <row r="180" spans="1:76" s="1229" customFormat="1" ht="14.25" customHeight="1">
      <c r="A180" s="178"/>
      <c r="B180" s="783"/>
      <c r="C180" s="1094" t="s">
        <v>1797</v>
      </c>
      <c r="D180" s="1053" t="s">
        <v>1798</v>
      </c>
      <c r="E180" s="676">
        <v>15</v>
      </c>
      <c r="F180" s="779" t="str" cm="1">
        <f t="array" aca="1" ref="F180" ca="1">OFFSET(G180,-1,-1)</f>
        <v>2</v>
      </c>
      <c r="G180" s="180"/>
      <c r="H180" s="180"/>
      <c r="I180" s="180"/>
      <c r="J180" s="180"/>
      <c r="K180" s="180"/>
      <c r="L180" s="143"/>
      <c r="M180" s="1077"/>
      <c r="N180" s="1077" t="str" cm="1">
        <f t="array" aca="1" ref="N180" ca="1">OFFSET(M180,-1,1)</f>
        <v>ТЭ.42.26322895.0004</v>
      </c>
      <c r="O180" s="1078"/>
      <c r="P180" s="1078"/>
      <c r="Q180" s="1078"/>
      <c r="R180" s="1078"/>
      <c r="T180" s="687" t="b" cm="1">
        <f t="array" aca="1" ref="T180" ca="1">T179</f>
        <v>1</v>
      </c>
      <c r="U180" s="1153"/>
      <c r="V180" s="1153"/>
      <c r="W180" s="1153"/>
      <c r="X180" s="1726"/>
      <c r="Y180" s="1153"/>
      <c r="Z180" s="1726"/>
      <c r="AA180" s="180"/>
      <c r="AB180" s="553" t="str">
        <f>AB175&amp;".5"</f>
        <v>15.5</v>
      </c>
      <c r="AC180" s="261" t="s">
        <v>1799</v>
      </c>
      <c r="AD180" s="258" t="s">
        <v>533</v>
      </c>
      <c r="AE180" s="555">
        <f>IFERROR(AE179/AE177,0)</f>
        <v>0</v>
      </c>
      <c r="AF180" s="516"/>
      <c r="AG180" s="516"/>
      <c r="AH180" s="516"/>
      <c r="AI180" s="555">
        <f t="shared" ref="AI180:BC180" si="100">IFERROR(AI179/AI177,0)</f>
        <v>1.0999849160686965</v>
      </c>
      <c r="AJ180" s="555">
        <f t="shared" ca="1" si="100"/>
        <v>0</v>
      </c>
      <c r="AK180" s="555">
        <f t="shared" ca="1" si="100"/>
        <v>0</v>
      </c>
      <c r="AL180" s="555">
        <f t="shared" ca="1" si="100"/>
        <v>0</v>
      </c>
      <c r="AM180" s="555">
        <f t="shared" ca="1" si="100"/>
        <v>0</v>
      </c>
      <c r="AN180" s="555">
        <f t="shared" ca="1" si="100"/>
        <v>0</v>
      </c>
      <c r="AO180" s="555">
        <f t="shared" ca="1" si="100"/>
        <v>0</v>
      </c>
      <c r="AP180" s="555">
        <f t="shared" ca="1" si="100"/>
        <v>0</v>
      </c>
      <c r="AQ180" s="555">
        <f t="shared" ca="1" si="100"/>
        <v>0</v>
      </c>
      <c r="AR180" s="555">
        <f t="shared" ca="1" si="100"/>
        <v>0</v>
      </c>
      <c r="AS180" s="555">
        <f t="shared" ca="1" si="100"/>
        <v>0</v>
      </c>
      <c r="AT180" s="555">
        <f t="shared" si="100"/>
        <v>1.263541442200325</v>
      </c>
      <c r="AU180" s="555">
        <f t="shared" ca="1" si="100"/>
        <v>0</v>
      </c>
      <c r="AV180" s="555">
        <f t="shared" ca="1" si="100"/>
        <v>0</v>
      </c>
      <c r="AW180" s="555">
        <f t="shared" ca="1" si="100"/>
        <v>0</v>
      </c>
      <c r="AX180" s="555">
        <f t="shared" ca="1" si="100"/>
        <v>0</v>
      </c>
      <c r="AY180" s="555">
        <f t="shared" ca="1" si="100"/>
        <v>0</v>
      </c>
      <c r="AZ180" s="555">
        <f t="shared" ca="1" si="100"/>
        <v>0</v>
      </c>
      <c r="BA180" s="555">
        <f t="shared" ca="1" si="100"/>
        <v>0</v>
      </c>
      <c r="BB180" s="555">
        <f t="shared" ca="1" si="100"/>
        <v>0</v>
      </c>
      <c r="BC180" s="555">
        <f t="shared" ca="1" si="100"/>
        <v>0</v>
      </c>
      <c r="BD180" s="319"/>
      <c r="BE180" s="319"/>
      <c r="BF180" s="319"/>
      <c r="BG180" s="319"/>
      <c r="BH180" s="319"/>
      <c r="BI180" s="319"/>
      <c r="BJ180" s="319"/>
      <c r="BK180" s="319"/>
      <c r="BL180" s="319"/>
      <c r="BM180" s="319"/>
      <c r="BN180" s="1290"/>
      <c r="BO180" s="1290"/>
      <c r="BP180" s="1290"/>
      <c r="BQ180" s="180"/>
      <c r="BR180" s="180"/>
      <c r="BS180" s="1031" t="s">
        <v>1800</v>
      </c>
      <c r="BT180" s="1031"/>
      <c r="BU180" s="1031"/>
      <c r="BV180" s="1032"/>
      <c r="BW180" s="1032"/>
      <c r="BX180" s="1064" t="str" cm="1">
        <f t="array" aca="1" ref="BX180" ca="1">D180&amp;"::"&amp;IF(N180&lt;&gt;"",N180,"Неопределено")&amp;"::"&amp;IF(M180&lt;&gt;"",M180,"Неопределено")&amp;"::"&amp;IF(O180&lt;&gt;"",O180,"Неопределено")&amp;"::"&amp;IF(P180&lt;&gt;"",P180,"Неопределено")&amp;"::"&amp;IF(Q180&lt;&gt;"",Q180,"Неопределено")&amp;"::"&amp;IF(R180&lt;&gt;"",R180,"Неопределено")</f>
        <v>M11244::ТЭ.42.26322895.0004::Неопределено::Неопределено::Неопределено::Неопределено::Неопределено</v>
      </c>
    </row>
    <row r="181" spans="1:76" s="1229" customFormat="1" ht="14.25" customHeight="1">
      <c r="A181" s="178"/>
      <c r="B181" s="783"/>
      <c r="C181" s="1094" t="s">
        <v>1801</v>
      </c>
      <c r="D181" s="1053" t="s">
        <v>1802</v>
      </c>
      <c r="E181" s="676">
        <v>15</v>
      </c>
      <c r="F181" s="779" t="str" cm="1">
        <f t="array" aca="1" ref="F181" ca="1">OFFSET(G181,-1,-1)</f>
        <v>2</v>
      </c>
      <c r="G181" s="180"/>
      <c r="H181" s="180"/>
      <c r="I181" s="180"/>
      <c r="J181" s="180"/>
      <c r="K181" s="180"/>
      <c r="L181" s="143"/>
      <c r="M181" s="1077"/>
      <c r="N181" s="1077" t="str" cm="1">
        <f t="array" aca="1" ref="N181" ca="1">OFFSET(M181,-1,1)</f>
        <v>ТЭ.42.26322895.0004</v>
      </c>
      <c r="O181" s="1078"/>
      <c r="P181" s="1078"/>
      <c r="Q181" s="1078"/>
      <c r="R181" s="1078"/>
      <c r="T181" s="687" t="b" cm="1">
        <f t="array" aca="1" ref="T181" ca="1">T180</f>
        <v>1</v>
      </c>
      <c r="U181" s="1153"/>
      <c r="V181" s="1153"/>
      <c r="W181" s="1153"/>
      <c r="X181" s="1726"/>
      <c r="Y181" s="1153"/>
      <c r="Z181" s="1726"/>
      <c r="AA181" s="180"/>
      <c r="AB181" s="553" t="str">
        <f>AB175&amp;".6"</f>
        <v>15.6</v>
      </c>
      <c r="AC181" s="261" t="s">
        <v>1803</v>
      </c>
      <c r="AD181" s="258" t="s">
        <v>929</v>
      </c>
      <c r="AE181" s="515">
        <f ca="1">IFERROR(AE172*1000/AE175,0)</f>
        <v>0</v>
      </c>
      <c r="AF181" s="516"/>
      <c r="AG181" s="516"/>
      <c r="AH181" s="516"/>
      <c r="AI181" s="515">
        <f t="shared" ref="AI181:BC181" ca="1" si="101">IFERROR(AI172*1000/AI175,0)</f>
        <v>3492.5653943649495</v>
      </c>
      <c r="AJ181" s="515">
        <f t="shared" ca="1" si="101"/>
        <v>0</v>
      </c>
      <c r="AK181" s="515">
        <f t="shared" ca="1" si="101"/>
        <v>0</v>
      </c>
      <c r="AL181" s="515">
        <f t="shared" ca="1" si="101"/>
        <v>0</v>
      </c>
      <c r="AM181" s="515">
        <f t="shared" ca="1" si="101"/>
        <v>0</v>
      </c>
      <c r="AN181" s="515">
        <f t="shared" ca="1" si="101"/>
        <v>0</v>
      </c>
      <c r="AO181" s="515">
        <f t="shared" ca="1" si="101"/>
        <v>0</v>
      </c>
      <c r="AP181" s="515">
        <f t="shared" ca="1" si="101"/>
        <v>0</v>
      </c>
      <c r="AQ181" s="515">
        <f t="shared" ca="1" si="101"/>
        <v>0</v>
      </c>
      <c r="AR181" s="515">
        <f t="shared" ca="1" si="101"/>
        <v>0</v>
      </c>
      <c r="AS181" s="515">
        <f t="shared" ca="1" si="101"/>
        <v>0</v>
      </c>
      <c r="AT181" s="515">
        <f t="shared" ca="1" si="101"/>
        <v>3498.2681515088439</v>
      </c>
      <c r="AU181" s="515">
        <f t="shared" ca="1" si="101"/>
        <v>0</v>
      </c>
      <c r="AV181" s="515">
        <f t="shared" ca="1" si="101"/>
        <v>0</v>
      </c>
      <c r="AW181" s="515">
        <f t="shared" ca="1" si="101"/>
        <v>0</v>
      </c>
      <c r="AX181" s="515">
        <f t="shared" ca="1" si="101"/>
        <v>0</v>
      </c>
      <c r="AY181" s="515">
        <f t="shared" ca="1" si="101"/>
        <v>0</v>
      </c>
      <c r="AZ181" s="515">
        <f t="shared" ca="1" si="101"/>
        <v>0</v>
      </c>
      <c r="BA181" s="515">
        <f t="shared" ca="1" si="101"/>
        <v>0</v>
      </c>
      <c r="BB181" s="515">
        <f t="shared" ca="1" si="101"/>
        <v>0</v>
      </c>
      <c r="BC181" s="515">
        <f t="shared" ca="1" si="101"/>
        <v>0</v>
      </c>
      <c r="BD181" s="319"/>
      <c r="BE181" s="319"/>
      <c r="BF181" s="319"/>
      <c r="BG181" s="319"/>
      <c r="BH181" s="319"/>
      <c r="BI181" s="319"/>
      <c r="BJ181" s="319"/>
      <c r="BK181" s="319"/>
      <c r="BL181" s="319"/>
      <c r="BM181" s="319"/>
      <c r="BN181" s="1290"/>
      <c r="BO181" s="1290"/>
      <c r="BP181" s="1290"/>
      <c r="BQ181" s="180"/>
      <c r="BR181" s="180"/>
      <c r="BS181" s="1031" t="s">
        <v>1804</v>
      </c>
      <c r="BT181" s="1031"/>
      <c r="BU181" s="1031"/>
      <c r="BV181" s="1032"/>
      <c r="BW181" s="1032"/>
      <c r="BX181" s="1064" t="str" cm="1">
        <f t="array" aca="1" ref="BX181" ca="1">D181&amp;"::"&amp;IF(N181&lt;&gt;"",N181,"Неопределено")&amp;"::"&amp;IF(M181&lt;&gt;"",M181,"Неопределено")&amp;"::"&amp;IF(O181&lt;&gt;"",O181,"Неопределено")&amp;"::"&amp;IF(P181&lt;&gt;"",P181,"Неопределено")&amp;"::"&amp;IF(Q181&lt;&gt;"",Q181,"Неопределено")&amp;"::"&amp;IF(R181&lt;&gt;"",R181,"Неопределено")</f>
        <v>M10552::ТЭ.42.26322895.0004::Неопределено::Неопределено::Неопределено::Неопределено::Неопределено</v>
      </c>
    </row>
    <row r="182" spans="1:76" s="1229" customFormat="1" ht="14.25" hidden="1" customHeight="1">
      <c r="A182" s="178"/>
      <c r="B182" s="783"/>
      <c r="C182" s="1094" t="s">
        <v>1805</v>
      </c>
      <c r="D182" s="1053" t="s">
        <v>1806</v>
      </c>
      <c r="E182" s="676">
        <v>15</v>
      </c>
      <c r="F182" s="779" t="str" cm="1">
        <f t="array" aca="1" ref="F182" ca="1">OFFSET(G182,-1,-1)</f>
        <v>2</v>
      </c>
      <c r="G182" s="180"/>
      <c r="H182" s="180"/>
      <c r="I182" s="180"/>
      <c r="J182" s="180"/>
      <c r="K182" s="180"/>
      <c r="L182" s="143" t="s">
        <v>1768</v>
      </c>
      <c r="M182" s="1077"/>
      <c r="N182" s="1077" t="str" cm="1">
        <f t="array" aca="1" ref="N182" ca="1">OFFSET(M182,-1,1)</f>
        <v>ТЭ.42.26322895.0004</v>
      </c>
      <c r="O182" s="1078"/>
      <c r="P182" s="1078"/>
      <c r="Q182" s="1078"/>
      <c r="R182" s="1078"/>
      <c r="T182" s="687" t="b" cm="1">
        <f t="array" aca="1" ref="T182" ca="1">T173</f>
        <v>0</v>
      </c>
      <c r="U182" s="1153"/>
      <c r="V182" s="1153"/>
      <c r="W182" s="1153"/>
      <c r="X182" s="1726"/>
      <c r="Y182" s="1153"/>
      <c r="Z182" s="1726"/>
      <c r="AA182" s="180"/>
      <c r="AB182" s="263" t="s">
        <v>1807</v>
      </c>
      <c r="AC182" s="753" t="s">
        <v>1808</v>
      </c>
      <c r="AD182" s="557" t="s">
        <v>725</v>
      </c>
      <c r="AE182" s="256">
        <f ca="1">SUMIFS('Баланс Пр'!AE$27:AE$233,'Баланс Пр'!$F$27:$F$233,$F182,'Баланс Пр'!$AB$27:$AB$233,"10")</f>
        <v>0</v>
      </c>
      <c r="AF182" s="516"/>
      <c r="AG182" s="516"/>
      <c r="AH182" s="516"/>
      <c r="AI182" s="256">
        <f ca="1">SUMIFS('Баланс Пр'!AH$27:AH$233,'Баланс Пр'!$F$27:$F$233,$F182,'Баланс Пр'!$AB$27:$AB$233,"10")</f>
        <v>0</v>
      </c>
      <c r="AJ182" s="256">
        <f ca="1">SUMIFS('Баланс Пр'!AI$27:AI$233,'Баланс Пр'!$F$27:$F$233,$F182,'Баланс Пр'!$AB$27:$AB$233,"10")</f>
        <v>0</v>
      </c>
      <c r="AK182" s="256">
        <f ca="1">SUMIFS('Баланс Пр'!AJ$27:AJ$233,'Баланс Пр'!$F$27:$F$233,$F182,'Баланс Пр'!$AB$27:$AB$233,"10")</f>
        <v>0</v>
      </c>
      <c r="AL182" s="256">
        <f ca="1">SUMIFS('Баланс Пр'!AK$27:AK$233,'Баланс Пр'!$F$27:$F$233,$F182,'Баланс Пр'!$AB$27:$AB$233,"10")</f>
        <v>0</v>
      </c>
      <c r="AM182" s="256">
        <f ca="1">SUMIFS('Баланс Пр'!AL$27:AL$233,'Баланс Пр'!$F$27:$F$233,$F182,'Баланс Пр'!$AB$27:$AB$233,"10")</f>
        <v>0</v>
      </c>
      <c r="AN182" s="256">
        <f ca="1">SUMIFS('Баланс Пр'!AM$27:AM$233,'Баланс Пр'!$F$27:$F$233,$F182,'Баланс Пр'!$AB$27:$AB$233,"10")</f>
        <v>0</v>
      </c>
      <c r="AO182" s="256">
        <f ca="1">SUMIFS('Баланс Пр'!AN$27:AN$233,'Баланс Пр'!$F$27:$F$233,$F182,'Баланс Пр'!$AB$27:$AB$233,"10")</f>
        <v>0</v>
      </c>
      <c r="AP182" s="256">
        <f ca="1">SUMIFS('Баланс Пр'!AO$27:AO$233,'Баланс Пр'!$F$27:$F$233,$F182,'Баланс Пр'!$AB$27:$AB$233,"10")</f>
        <v>0</v>
      </c>
      <c r="AQ182" s="256">
        <f ca="1">SUMIFS('Баланс Пр'!AP$27:AP$233,'Баланс Пр'!$F$27:$F$233,$F182,'Баланс Пр'!$AB$27:$AB$233,"10")</f>
        <v>0</v>
      </c>
      <c r="AR182" s="256">
        <f ca="1">SUMIFS('Баланс Пр'!AQ$27:AQ$233,'Баланс Пр'!$F$27:$F$233,$F182,'Баланс Пр'!$AB$27:$AB$233,"10")</f>
        <v>0</v>
      </c>
      <c r="AS182" s="256">
        <f ca="1">SUMIFS('Баланс Пр'!AR$27:AR$233,'Баланс Пр'!$F$27:$F$233,$F182,'Баланс Пр'!$AB$27:$AB$233,"10")</f>
        <v>0</v>
      </c>
      <c r="AT182" s="256">
        <f ca="1">SUMIFS('Баланс Пр'!AS$27:AS$233,'Баланс Пр'!$F$27:$F$233,$F182,'Баланс Пр'!$AB$27:$AB$233,"10")</f>
        <v>0</v>
      </c>
      <c r="AU182" s="256">
        <f ca="1">SUMIFS('Баланс Пр'!AT$27:AT$233,'Баланс Пр'!$F$27:$F$233,$F182,'Баланс Пр'!$AB$27:$AB$233,"10")</f>
        <v>0</v>
      </c>
      <c r="AV182" s="256">
        <f ca="1">SUMIFS('Баланс Пр'!AU$27:AU$233,'Баланс Пр'!$F$27:$F$233,$F182,'Баланс Пр'!$AB$27:$AB$233,"10")</f>
        <v>0</v>
      </c>
      <c r="AW182" s="256">
        <f ca="1">SUMIFS('Баланс Пр'!AV$27:AV$233,'Баланс Пр'!$F$27:$F$233,$F182,'Баланс Пр'!$AB$27:$AB$233,"10")</f>
        <v>0</v>
      </c>
      <c r="AX182" s="256">
        <f ca="1">SUMIFS('Баланс Пр'!AW$27:AW$233,'Баланс Пр'!$F$27:$F$233,$F182,'Баланс Пр'!$AB$27:$AB$233,"10")</f>
        <v>0</v>
      </c>
      <c r="AY182" s="256">
        <f ca="1">SUMIFS('Баланс Пр'!AX$27:AX$233,'Баланс Пр'!$F$27:$F$233,$F182,'Баланс Пр'!$AB$27:$AB$233,"10")</f>
        <v>0</v>
      </c>
      <c r="AZ182" s="256">
        <f ca="1">SUMIFS('Баланс Пр'!AY$27:AY$233,'Баланс Пр'!$F$27:$F$233,$F182,'Баланс Пр'!$AB$27:$AB$233,"10")</f>
        <v>0</v>
      </c>
      <c r="BA182" s="256">
        <f ca="1">SUMIFS('Баланс Пр'!AZ$27:AZ$233,'Баланс Пр'!$F$27:$F$233,$F182,'Баланс Пр'!$AB$27:$AB$233,"10")</f>
        <v>0</v>
      </c>
      <c r="BB182" s="256">
        <f ca="1">SUMIFS('Баланс Пр'!BA$27:BA$233,'Баланс Пр'!$F$27:$F$233,$F182,'Баланс Пр'!$AB$27:$AB$233,"10")</f>
        <v>0</v>
      </c>
      <c r="BC182" s="256">
        <f ca="1">SUMIFS('Баланс Пр'!BB$27:BB$233,'Баланс Пр'!$F$27:$F$233,$F182,'Баланс Пр'!$AB$27:$AB$233,"10")</f>
        <v>0</v>
      </c>
      <c r="BD182" s="319"/>
      <c r="BE182" s="319"/>
      <c r="BF182" s="319"/>
      <c r="BG182" s="319"/>
      <c r="BH182" s="319"/>
      <c r="BI182" s="319"/>
      <c r="BJ182" s="319"/>
      <c r="BK182" s="319"/>
      <c r="BL182" s="319"/>
      <c r="BM182" s="319"/>
      <c r="BN182" s="28"/>
      <c r="BO182" s="28"/>
      <c r="BP182" s="28"/>
      <c r="BQ182" s="180"/>
      <c r="BR182" s="180"/>
      <c r="BS182" s="1031" t="s">
        <v>726</v>
      </c>
      <c r="BT182" s="1031"/>
      <c r="BU182" s="1031"/>
      <c r="BV182" s="1032"/>
      <c r="BW182" s="1032"/>
      <c r="BX182" s="1064" t="str" cm="1">
        <f t="array" aca="1" ref="BX182" ca="1">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M10476::ТЭ.42.26322895.0004::Неопределено::Неопределено::Неопределено::Неопределено::Неопределено</v>
      </c>
    </row>
    <row r="183" spans="1:76" s="1229" customFormat="1" ht="14.25" hidden="1" customHeight="1">
      <c r="A183" s="178"/>
      <c r="B183" s="783"/>
      <c r="C183" s="1094" t="s">
        <v>1805</v>
      </c>
      <c r="D183" s="1053" t="s">
        <v>1806</v>
      </c>
      <c r="E183" s="676">
        <v>15</v>
      </c>
      <c r="F183" s="779" t="str" cm="1">
        <f t="array" aca="1" ref="F183" ca="1">OFFSET(G183,-1,-1)</f>
        <v>2</v>
      </c>
      <c r="G183" s="143" t="s">
        <v>1809</v>
      </c>
      <c r="H183" s="180"/>
      <c r="I183" s="180"/>
      <c r="J183" s="180"/>
      <c r="K183" s="180"/>
      <c r="L183" s="143" t="s">
        <v>1768</v>
      </c>
      <c r="M183" s="1077"/>
      <c r="N183" s="1077" t="str" cm="1">
        <f t="array" aca="1" ref="N183" ca="1">OFFSET(M183,-1,1)</f>
        <v>ТЭ.42.26322895.0004</v>
      </c>
      <c r="O183" s="1078" t="s">
        <v>1782</v>
      </c>
      <c r="P183" s="1078"/>
      <c r="Q183" s="1078"/>
      <c r="R183" s="1078"/>
      <c r="T183" s="687" t="b" cm="1">
        <f t="array" aca="1" ref="T183" ca="1">T182</f>
        <v>0</v>
      </c>
      <c r="U183" s="1153"/>
      <c r="V183" s="1153"/>
      <c r="W183" s="1153"/>
      <c r="X183" s="1726"/>
      <c r="Y183" s="1153"/>
      <c r="Z183" s="1726"/>
      <c r="AA183" s="180"/>
      <c r="AB183" s="553" t="str">
        <f>AB182&amp;".1"</f>
        <v>16.1</v>
      </c>
      <c r="AC183" s="608" t="s">
        <v>1810</v>
      </c>
      <c r="AD183" s="523" t="s">
        <v>725</v>
      </c>
      <c r="AE183" s="77" cm="1">
        <f t="array" aca="1" ref="AE183" ca="1">AE182</f>
        <v>0</v>
      </c>
      <c r="AF183" s="516"/>
      <c r="AG183" s="516"/>
      <c r="AH183" s="516"/>
      <c r="AI183" s="77" cm="1">
        <f t="array" aca="1" ref="AI183" ca="1">AI182</f>
        <v>0</v>
      </c>
      <c r="AJ183" s="517" cm="1">
        <f t="array" aca="1" ref="AJ183" ca="1">AJ182</f>
        <v>0</v>
      </c>
      <c r="AK183" s="517" cm="1">
        <f t="array" aca="1" ref="AK183" ca="1">AK182</f>
        <v>0</v>
      </c>
      <c r="AL183" s="517" cm="1">
        <f t="array" aca="1" ref="AL183" ca="1">AL182</f>
        <v>0</v>
      </c>
      <c r="AM183" s="517" cm="1">
        <f t="array" aca="1" ref="AM183" ca="1">AM182</f>
        <v>0</v>
      </c>
      <c r="AN183" s="517" cm="1">
        <f t="array" aca="1" ref="AN183" ca="1">AN182</f>
        <v>0</v>
      </c>
      <c r="AO183" s="77" cm="1">
        <f t="array" aca="1" ref="AO183" ca="1">AO182</f>
        <v>0</v>
      </c>
      <c r="AP183" s="77" cm="1">
        <f t="array" aca="1" ref="AP183" ca="1">AP182</f>
        <v>0</v>
      </c>
      <c r="AQ183" s="77" cm="1">
        <f t="array" aca="1" ref="AQ183" ca="1">AQ182</f>
        <v>0</v>
      </c>
      <c r="AR183" s="77" cm="1">
        <f t="array" aca="1" ref="AR183" ca="1">AR182</f>
        <v>0</v>
      </c>
      <c r="AS183" s="77" cm="1">
        <f t="array" aca="1" ref="AS183" ca="1">AS182</f>
        <v>0</v>
      </c>
      <c r="AT183" s="517" cm="1">
        <f t="array" aca="1" ref="AT183" ca="1">AT182</f>
        <v>0</v>
      </c>
      <c r="AU183" s="517" cm="1">
        <f t="array" aca="1" ref="AU183" ca="1">AU182</f>
        <v>0</v>
      </c>
      <c r="AV183" s="517" cm="1">
        <f t="array" aca="1" ref="AV183" ca="1">AV182</f>
        <v>0</v>
      </c>
      <c r="AW183" s="517" cm="1">
        <f t="array" aca="1" ref="AW183" ca="1">AW182</f>
        <v>0</v>
      </c>
      <c r="AX183" s="517" cm="1">
        <f t="array" aca="1" ref="AX183" ca="1">AX182</f>
        <v>0</v>
      </c>
      <c r="AY183" s="77" cm="1">
        <f t="array" aca="1" ref="AY183" ca="1">AY182</f>
        <v>0</v>
      </c>
      <c r="AZ183" s="77" cm="1">
        <f t="array" aca="1" ref="AZ183" ca="1">AZ182</f>
        <v>0</v>
      </c>
      <c r="BA183" s="77" cm="1">
        <f t="array" aca="1" ref="BA183" ca="1">BA182</f>
        <v>0</v>
      </c>
      <c r="BB183" s="77" cm="1">
        <f t="array" aca="1" ref="BB183" ca="1">BB182</f>
        <v>0</v>
      </c>
      <c r="BC183" s="77" cm="1">
        <f t="array" aca="1" ref="BC183" ca="1">BC182</f>
        <v>0</v>
      </c>
      <c r="BD183" s="319"/>
      <c r="BE183" s="319"/>
      <c r="BF183" s="319"/>
      <c r="BG183" s="319"/>
      <c r="BH183" s="319"/>
      <c r="BI183" s="319"/>
      <c r="BJ183" s="319"/>
      <c r="BK183" s="319"/>
      <c r="BL183" s="319"/>
      <c r="BM183" s="319"/>
      <c r="BN183" s="28"/>
      <c r="BO183" s="28"/>
      <c r="BP183" s="28"/>
      <c r="BQ183" s="180"/>
      <c r="BR183" s="180"/>
      <c r="BS183" s="1031" t="s">
        <v>1811</v>
      </c>
      <c r="BT183" s="1031"/>
      <c r="BU183" s="1031"/>
      <c r="BV183" s="1032"/>
      <c r="BW183" s="1032"/>
      <c r="BX183" s="1064" t="str" cm="1">
        <f t="array" aca="1" ref="BX183" ca="1">D183&amp;"::"&amp;IF(N183&lt;&gt;"",N183,"Неопределено")&amp;"::"&amp;IF(M183&lt;&gt;"",M183,"Неопределено")&amp;"::"&amp;IF(O183&lt;&gt;"",O183,"Неопределено")&amp;"::"&amp;IF(P183&lt;&gt;"",P183,"Неопределено")&amp;"::"&amp;IF(Q183&lt;&gt;"",Q183,"Неопределено")&amp;"::"&amp;IF(R183&lt;&gt;"",R183,"Неопределено")</f>
        <v>M10476::ТЭ.42.26322895.0004::Неопределено::8.0.3.::Неопределено::Неопределено::Неопределено</v>
      </c>
    </row>
    <row r="184" spans="1:76" s="1229" customFormat="1" ht="14.25" hidden="1" customHeight="1">
      <c r="A184" s="178"/>
      <c r="B184" s="783"/>
      <c r="C184" s="1094" t="s">
        <v>1805</v>
      </c>
      <c r="D184" s="1053" t="s">
        <v>1806</v>
      </c>
      <c r="E184" s="676">
        <v>15</v>
      </c>
      <c r="F184" s="779" t="str" cm="1">
        <f t="array" aca="1" ref="F184" ca="1">OFFSET(G184,-1,-1)</f>
        <v>2</v>
      </c>
      <c r="G184" s="143" t="s">
        <v>1812</v>
      </c>
      <c r="H184" s="180"/>
      <c r="I184" s="180"/>
      <c r="J184" s="180"/>
      <c r="K184" s="180"/>
      <c r="L184" s="143" t="s">
        <v>1768</v>
      </c>
      <c r="M184" s="1077"/>
      <c r="N184" s="1077" t="str" cm="1">
        <f t="array" aca="1" ref="N184" ca="1">OFFSET(M184,-1,1)</f>
        <v>ТЭ.42.26322895.0004</v>
      </c>
      <c r="O184" s="1078" t="s">
        <v>1791</v>
      </c>
      <c r="P184" s="1078"/>
      <c r="Q184" s="1078"/>
      <c r="R184" s="1078"/>
      <c r="T184" s="687" t="b" cm="1">
        <f t="array" aca="1" ref="T184" ca="1">T183</f>
        <v>0</v>
      </c>
      <c r="U184" s="1153"/>
      <c r="V184" s="1153"/>
      <c r="W184" s="1153"/>
      <c r="X184" s="1726"/>
      <c r="Y184" s="1153"/>
      <c r="Z184" s="1726"/>
      <c r="AA184" s="180"/>
      <c r="AB184" s="553" t="str">
        <f>AB182&amp;".2"</f>
        <v>16.2</v>
      </c>
      <c r="AC184" s="608" t="s">
        <v>1813</v>
      </c>
      <c r="AD184" s="523" t="s">
        <v>725</v>
      </c>
      <c r="AE184" s="77" cm="1">
        <f t="array" aca="1" ref="AE184" ca="1">AE182</f>
        <v>0</v>
      </c>
      <c r="AF184" s="516"/>
      <c r="AG184" s="516"/>
      <c r="AH184" s="516"/>
      <c r="AI184" s="77" cm="1">
        <f t="array" aca="1" ref="AI184" ca="1">AI182</f>
        <v>0</v>
      </c>
      <c r="AJ184" s="517" cm="1">
        <f t="array" aca="1" ref="AJ184" ca="1">AJ182</f>
        <v>0</v>
      </c>
      <c r="AK184" s="517" cm="1">
        <f t="array" aca="1" ref="AK184" ca="1">AK182</f>
        <v>0</v>
      </c>
      <c r="AL184" s="517" cm="1">
        <f t="array" aca="1" ref="AL184" ca="1">AL182</f>
        <v>0</v>
      </c>
      <c r="AM184" s="517" cm="1">
        <f t="array" aca="1" ref="AM184" ca="1">AM182</f>
        <v>0</v>
      </c>
      <c r="AN184" s="517" cm="1">
        <f t="array" aca="1" ref="AN184" ca="1">AN182</f>
        <v>0</v>
      </c>
      <c r="AO184" s="77" cm="1">
        <f t="array" aca="1" ref="AO184" ca="1">AO182</f>
        <v>0</v>
      </c>
      <c r="AP184" s="77" cm="1">
        <f t="array" aca="1" ref="AP184" ca="1">AP182</f>
        <v>0</v>
      </c>
      <c r="AQ184" s="77" cm="1">
        <f t="array" aca="1" ref="AQ184" ca="1">AQ182</f>
        <v>0</v>
      </c>
      <c r="AR184" s="77" cm="1">
        <f t="array" aca="1" ref="AR184" ca="1">AR182</f>
        <v>0</v>
      </c>
      <c r="AS184" s="77" cm="1">
        <f t="array" aca="1" ref="AS184" ca="1">AS182</f>
        <v>0</v>
      </c>
      <c r="AT184" s="517" cm="1">
        <f t="array" aca="1" ref="AT184" ca="1">AT182</f>
        <v>0</v>
      </c>
      <c r="AU184" s="517" cm="1">
        <f t="array" aca="1" ref="AU184" ca="1">AU182</f>
        <v>0</v>
      </c>
      <c r="AV184" s="517" cm="1">
        <f t="array" aca="1" ref="AV184" ca="1">AV182</f>
        <v>0</v>
      </c>
      <c r="AW184" s="517" cm="1">
        <f t="array" aca="1" ref="AW184" ca="1">AW182</f>
        <v>0</v>
      </c>
      <c r="AX184" s="517" cm="1">
        <f t="array" aca="1" ref="AX184" ca="1">AX182</f>
        <v>0</v>
      </c>
      <c r="AY184" s="77" cm="1">
        <f t="array" aca="1" ref="AY184" ca="1">AY182</f>
        <v>0</v>
      </c>
      <c r="AZ184" s="77" cm="1">
        <f t="array" aca="1" ref="AZ184" ca="1">AZ182</f>
        <v>0</v>
      </c>
      <c r="BA184" s="77" cm="1">
        <f t="array" aca="1" ref="BA184" ca="1">BA182</f>
        <v>0</v>
      </c>
      <c r="BB184" s="77" cm="1">
        <f t="array" aca="1" ref="BB184" ca="1">BB182</f>
        <v>0</v>
      </c>
      <c r="BC184" s="77" cm="1">
        <f t="array" aca="1" ref="BC184" ca="1">BC182</f>
        <v>0</v>
      </c>
      <c r="BD184" s="319"/>
      <c r="BE184" s="319"/>
      <c r="BF184" s="319"/>
      <c r="BG184" s="319"/>
      <c r="BH184" s="319"/>
      <c r="BI184" s="319"/>
      <c r="BJ184" s="319"/>
      <c r="BK184" s="319"/>
      <c r="BL184" s="319"/>
      <c r="BM184" s="319"/>
      <c r="BN184" s="28"/>
      <c r="BO184" s="28"/>
      <c r="BP184" s="28"/>
      <c r="BQ184" s="180"/>
      <c r="BR184" s="180"/>
      <c r="BS184" s="1031" t="s">
        <v>1814</v>
      </c>
      <c r="BT184" s="1031"/>
      <c r="BU184" s="1031"/>
      <c r="BV184" s="1032"/>
      <c r="BW184" s="1032"/>
      <c r="BX184" s="1064" t="str" cm="1">
        <f t="array" aca="1" ref="BX184" ca="1">D184&amp;"::"&amp;IF(N184&lt;&gt;"",N184,"Неопределено")&amp;"::"&amp;IF(M184&lt;&gt;"",M184,"Неопределено")&amp;"::"&amp;IF(O184&lt;&gt;"",O184,"Неопределено")&amp;"::"&amp;IF(P184&lt;&gt;"",P184,"Неопределено")&amp;"::"&amp;IF(Q184&lt;&gt;"",Q184,"Неопределено")&amp;"::"&amp;IF(R184&lt;&gt;"",R184,"Неопределено")</f>
        <v>M10476::ТЭ.42.26322895.0004::Неопределено::8.0.5.::Неопределено::Неопределено::Неопределено</v>
      </c>
    </row>
    <row r="185" spans="1:76" s="1229" customFormat="1" ht="14.25" hidden="1" customHeight="1">
      <c r="A185" s="178"/>
      <c r="B185" s="783"/>
      <c r="C185" s="1094"/>
      <c r="D185" s="1053"/>
      <c r="E185" s="676">
        <v>15</v>
      </c>
      <c r="F185" s="779" t="str" cm="1">
        <f t="array" aca="1" ref="F185" ca="1">OFFSET(G185,-1,-1)</f>
        <v>2</v>
      </c>
      <c r="G185" s="180"/>
      <c r="H185" s="180"/>
      <c r="I185" s="180"/>
      <c r="J185" s="180"/>
      <c r="K185" s="180"/>
      <c r="L185" s="143" t="s">
        <v>1768</v>
      </c>
      <c r="M185" s="1077"/>
      <c r="N185" s="1077" t="str" cm="1">
        <f t="array" aca="1" ref="N185" ca="1">OFFSET(M185,-1,1)</f>
        <v>ТЭ.42.26322895.0004</v>
      </c>
      <c r="O185" s="1078"/>
      <c r="P185" s="1078"/>
      <c r="Q185" s="1078"/>
      <c r="R185" s="1078"/>
      <c r="T185" s="687" t="b" cm="1">
        <f t="array" aca="1" ref="T185" ca="1">T184</f>
        <v>0</v>
      </c>
      <c r="U185" s="1153"/>
      <c r="V185" s="1153"/>
      <c r="W185" s="1153"/>
      <c r="X185" s="1726"/>
      <c r="Y185" s="1153"/>
      <c r="Z185" s="1726"/>
      <c r="AA185" s="180"/>
      <c r="AB185" s="552" t="s">
        <v>1815</v>
      </c>
      <c r="AC185" s="521" t="s">
        <v>1816</v>
      </c>
      <c r="AD185" s="522"/>
      <c r="AE185" s="516"/>
      <c r="AF185" s="516"/>
      <c r="AG185" s="516"/>
      <c r="AH185" s="516"/>
      <c r="AI185" s="516"/>
      <c r="AJ185" s="516"/>
      <c r="AK185" s="516"/>
      <c r="AL185" s="516"/>
      <c r="AM185" s="516"/>
      <c r="AN185" s="516"/>
      <c r="AO185" s="516"/>
      <c r="AP185" s="516"/>
      <c r="AQ185" s="516"/>
      <c r="AR185" s="516"/>
      <c r="AS185" s="516"/>
      <c r="AT185" s="516"/>
      <c r="AU185" s="516"/>
      <c r="AV185" s="516"/>
      <c r="AW185" s="516"/>
      <c r="AX185" s="516"/>
      <c r="AY185" s="516"/>
      <c r="AZ185" s="516"/>
      <c r="BA185" s="516"/>
      <c r="BB185" s="516"/>
      <c r="BC185" s="516"/>
      <c r="BD185" s="319"/>
      <c r="BE185" s="319"/>
      <c r="BF185" s="319"/>
      <c r="BG185" s="319"/>
      <c r="BH185" s="319"/>
      <c r="BI185" s="319"/>
      <c r="BJ185" s="319"/>
      <c r="BK185" s="319"/>
      <c r="BL185" s="319"/>
      <c r="BM185" s="319"/>
      <c r="BN185" s="28"/>
      <c r="BO185" s="28"/>
      <c r="BP185" s="28"/>
      <c r="BQ185" s="180"/>
      <c r="BR185" s="180"/>
      <c r="BS185" s="1031" t="s">
        <v>1817</v>
      </c>
      <c r="BT185" s="1031"/>
      <c r="BU185" s="1031"/>
      <c r="BV185" s="1032"/>
      <c r="BW185" s="1032"/>
      <c r="BX185" s="1132" t="str" cm="1">
        <f t="array" aca="1" ref="BX185" ca="1">"M11407"&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M11407::ТЭ.42.26322895.0004::Неопределено::Неопределено::Неопределено::Неопределено::Неопределено</v>
      </c>
    </row>
    <row r="186" spans="1:76" s="1229" customFormat="1" ht="14.25" hidden="1" customHeight="1">
      <c r="A186" s="178"/>
      <c r="B186" s="783"/>
      <c r="C186" s="1094" t="s">
        <v>1818</v>
      </c>
      <c r="D186" s="1053" t="s">
        <v>1819</v>
      </c>
      <c r="E186" s="676">
        <v>15</v>
      </c>
      <c r="F186" s="779" t="str" cm="1">
        <f t="array" aca="1" ref="F186" ca="1">OFFSET(G186,-1,-1)</f>
        <v>2</v>
      </c>
      <c r="G186" s="143" t="s">
        <v>1820</v>
      </c>
      <c r="H186" s="180"/>
      <c r="I186" s="180"/>
      <c r="J186" s="180"/>
      <c r="K186" s="180"/>
      <c r="L186" s="143" t="s">
        <v>1768</v>
      </c>
      <c r="M186" s="1077"/>
      <c r="N186" s="1077" t="str" cm="1">
        <f t="array" aca="1" ref="N186" ca="1">OFFSET(M186,-1,1)</f>
        <v>ТЭ.42.26322895.0004</v>
      </c>
      <c r="O186" s="1078" t="s">
        <v>1782</v>
      </c>
      <c r="P186" s="1078"/>
      <c r="Q186" s="1078"/>
      <c r="R186" s="1078"/>
      <c r="T186" s="687" t="b" cm="1">
        <f t="array" aca="1" ref="T186" ca="1">T185</f>
        <v>0</v>
      </c>
      <c r="U186" s="1153"/>
      <c r="V186" s="1153"/>
      <c r="W186" s="1153"/>
      <c r="X186" s="1726"/>
      <c r="Y186" s="1153"/>
      <c r="Z186" s="1726"/>
      <c r="AA186" s="180"/>
      <c r="AB186" s="553" t="str">
        <f>AB185&amp;".1"</f>
        <v>17.1</v>
      </c>
      <c r="AC186" s="1139" t="s">
        <v>1821</v>
      </c>
      <c r="AD186" s="443" t="s">
        <v>929</v>
      </c>
      <c r="AE186" s="77"/>
      <c r="AF186" s="516"/>
      <c r="AG186" s="516"/>
      <c r="AH186" s="516"/>
      <c r="AI186" s="77">
        <f ca="1">MIN(AE187,IFERROR(AI173*1000/AI175,0))</f>
        <v>0</v>
      </c>
      <c r="AJ186" s="517">
        <f t="shared" ref="AJ186:AS186" ca="1" si="102">MIN(AI187,IFERROR(AJ173*1000/AJ175,0))</f>
        <v>0</v>
      </c>
      <c r="AK186" s="517">
        <f t="shared" ca="1" si="102"/>
        <v>0</v>
      </c>
      <c r="AL186" s="517">
        <f t="shared" ca="1" si="102"/>
        <v>0</v>
      </c>
      <c r="AM186" s="517">
        <f t="shared" ca="1" si="102"/>
        <v>0</v>
      </c>
      <c r="AN186" s="517">
        <f t="shared" ca="1" si="102"/>
        <v>0</v>
      </c>
      <c r="AO186" s="77">
        <f t="shared" ca="1" si="102"/>
        <v>0</v>
      </c>
      <c r="AP186" s="77">
        <f t="shared" ca="1" si="102"/>
        <v>0</v>
      </c>
      <c r="AQ186" s="77">
        <f t="shared" ca="1" si="102"/>
        <v>0</v>
      </c>
      <c r="AR186" s="77">
        <f t="shared" ca="1" si="102"/>
        <v>0</v>
      </c>
      <c r="AS186" s="77">
        <f t="shared" ca="1" si="102"/>
        <v>0</v>
      </c>
      <c r="AT186" s="517">
        <f ca="1">MIN(AI187,IFERROR(AT173*1000/AT175,0))</f>
        <v>1576.8094101973982</v>
      </c>
      <c r="AU186" s="517">
        <f t="shared" ref="AU186:BC186" ca="1" si="103">MIN(AT187,IFERROR(AU173*1000/AU175,0))</f>
        <v>0</v>
      </c>
      <c r="AV186" s="517">
        <f t="shared" ca="1" si="103"/>
        <v>0</v>
      </c>
      <c r="AW186" s="517">
        <f t="shared" ca="1" si="103"/>
        <v>0</v>
      </c>
      <c r="AX186" s="517">
        <f t="shared" ca="1" si="103"/>
        <v>0</v>
      </c>
      <c r="AY186" s="77">
        <f t="shared" ca="1" si="103"/>
        <v>0</v>
      </c>
      <c r="AZ186" s="77">
        <f t="shared" ca="1" si="103"/>
        <v>0</v>
      </c>
      <c r="BA186" s="77">
        <f t="shared" ca="1" si="103"/>
        <v>0</v>
      </c>
      <c r="BB186" s="77">
        <f t="shared" ca="1" si="103"/>
        <v>0</v>
      </c>
      <c r="BC186" s="77">
        <f t="shared" ca="1" si="103"/>
        <v>0</v>
      </c>
      <c r="BD186" s="319"/>
      <c r="BE186" s="319"/>
      <c r="BF186" s="319"/>
      <c r="BG186" s="319"/>
      <c r="BH186" s="319"/>
      <c r="BI186" s="319"/>
      <c r="BJ186" s="319"/>
      <c r="BK186" s="319"/>
      <c r="BL186" s="319"/>
      <c r="BM186" s="319"/>
      <c r="BN186" s="28"/>
      <c r="BO186" s="28"/>
      <c r="BP186" s="28"/>
      <c r="BQ186" s="180"/>
      <c r="BR186" s="180"/>
      <c r="BS186" s="1031" t="s">
        <v>1822</v>
      </c>
      <c r="BT186" s="1031"/>
      <c r="BU186" s="1031"/>
      <c r="BV186" s="1032"/>
      <c r="BW186" s="1032"/>
      <c r="BX186" s="1064" t="str" cm="1">
        <f t="array" aca="1" ref="BX186" ca="1">D186&amp;"::"&amp;IF(N186&lt;&gt;"",N186,"Неопределено")&amp;"::"&amp;IF(M186&lt;&gt;"",M186,"Неопределено")&amp;"::"&amp;IF(O186&lt;&gt;"",O186,"Неопределено")&amp;"::"&amp;IF(P186&lt;&gt;"",P186,"Неопределено")&amp;"::"&amp;IF(Q186&lt;&gt;"",Q186,"Неопределено")&amp;"::"&amp;IF(R186&lt;&gt;"",R186,"Неопределено")</f>
        <v>M11407::ТЭ.42.26322895.0004::Неопределено::8.0.3.::Неопределено::Неопределено::Неопределено</v>
      </c>
    </row>
    <row r="187" spans="1:76" s="1229" customFormat="1" ht="14.25" hidden="1" customHeight="1">
      <c r="A187" s="178"/>
      <c r="B187" s="783"/>
      <c r="C187" s="1094" t="s">
        <v>1818</v>
      </c>
      <c r="D187" s="1053" t="s">
        <v>1819</v>
      </c>
      <c r="E187" s="676">
        <v>15</v>
      </c>
      <c r="F187" s="779" t="str" cm="1">
        <f t="array" aca="1" ref="F187" ca="1">OFFSET(G187,-1,-1)</f>
        <v>2</v>
      </c>
      <c r="G187" s="143" t="s">
        <v>1823</v>
      </c>
      <c r="H187" s="180"/>
      <c r="I187" s="180"/>
      <c r="J187" s="180"/>
      <c r="K187" s="180"/>
      <c r="L187" s="143" t="s">
        <v>1768</v>
      </c>
      <c r="M187" s="1077"/>
      <c r="N187" s="1077" t="str" cm="1">
        <f t="array" aca="1" ref="N187" ca="1">OFFSET(M187,-1,1)</f>
        <v>ТЭ.42.26322895.0004</v>
      </c>
      <c r="O187" s="1078" t="s">
        <v>1791</v>
      </c>
      <c r="P187" s="1078"/>
      <c r="Q187" s="1078"/>
      <c r="R187" s="1078"/>
      <c r="T187" s="687" t="b" cm="1">
        <f t="array" aca="1" ref="T187" ca="1">T186</f>
        <v>0</v>
      </c>
      <c r="U187" s="1153"/>
      <c r="V187" s="1153"/>
      <c r="W187" s="1153"/>
      <c r="X187" s="1726"/>
      <c r="Y187" s="1153"/>
      <c r="Z187" s="1726"/>
      <c r="AA187" s="180"/>
      <c r="AB187" s="553" t="str">
        <f>AB185&amp;".2"</f>
        <v>17.2</v>
      </c>
      <c r="AC187" s="1139" t="s">
        <v>1824</v>
      </c>
      <c r="AD187" s="443" t="s">
        <v>929</v>
      </c>
      <c r="AE187" s="515">
        <f ca="1">IFERROR((AE173*1000-AE176*AE186)/AE178,0)</f>
        <v>0</v>
      </c>
      <c r="AF187" s="516"/>
      <c r="AG187" s="516"/>
      <c r="AH187" s="516"/>
      <c r="AI187" s="515">
        <f t="shared" ref="AI187:BC187" ca="1" si="104">IFERROR((AI173*1000-AI176*AI186)/AI178,0)</f>
        <v>2767.8463731439138</v>
      </c>
      <c r="AJ187" s="515">
        <f t="shared" ca="1" si="104"/>
        <v>0</v>
      </c>
      <c r="AK187" s="515">
        <f t="shared" ca="1" si="104"/>
        <v>0</v>
      </c>
      <c r="AL187" s="515">
        <f t="shared" ca="1" si="104"/>
        <v>0</v>
      </c>
      <c r="AM187" s="515">
        <f t="shared" ca="1" si="104"/>
        <v>0</v>
      </c>
      <c r="AN187" s="515">
        <f t="shared" ca="1" si="104"/>
        <v>0</v>
      </c>
      <c r="AO187" s="515">
        <f t="shared" ca="1" si="104"/>
        <v>0</v>
      </c>
      <c r="AP187" s="515">
        <f t="shared" ca="1" si="104"/>
        <v>0</v>
      </c>
      <c r="AQ187" s="515">
        <f t="shared" ca="1" si="104"/>
        <v>0</v>
      </c>
      <c r="AR187" s="515">
        <f t="shared" ca="1" si="104"/>
        <v>0</v>
      </c>
      <c r="AS187" s="515">
        <f t="shared" ca="1" si="104"/>
        <v>0</v>
      </c>
      <c r="AT187" s="515">
        <f t="shared" ca="1" si="104"/>
        <v>1576.8094101973984</v>
      </c>
      <c r="AU187" s="515">
        <f t="shared" ca="1" si="104"/>
        <v>0</v>
      </c>
      <c r="AV187" s="515">
        <f t="shared" ca="1" si="104"/>
        <v>0</v>
      </c>
      <c r="AW187" s="515">
        <f t="shared" ca="1" si="104"/>
        <v>0</v>
      </c>
      <c r="AX187" s="515">
        <f t="shared" ca="1" si="104"/>
        <v>0</v>
      </c>
      <c r="AY187" s="515">
        <f t="shared" ca="1" si="104"/>
        <v>0</v>
      </c>
      <c r="AZ187" s="515">
        <f t="shared" ca="1" si="104"/>
        <v>0</v>
      </c>
      <c r="BA187" s="515">
        <f t="shared" ca="1" si="104"/>
        <v>0</v>
      </c>
      <c r="BB187" s="515">
        <f t="shared" ca="1" si="104"/>
        <v>0</v>
      </c>
      <c r="BC187" s="515">
        <f t="shared" ca="1" si="104"/>
        <v>0</v>
      </c>
      <c r="BD187" s="319"/>
      <c r="BE187" s="319"/>
      <c r="BF187" s="319"/>
      <c r="BG187" s="319"/>
      <c r="BH187" s="319"/>
      <c r="BI187" s="319"/>
      <c r="BJ187" s="319"/>
      <c r="BK187" s="319"/>
      <c r="BL187" s="319"/>
      <c r="BM187" s="319"/>
      <c r="BN187" s="28"/>
      <c r="BO187" s="28"/>
      <c r="BP187" s="28"/>
      <c r="BQ187" s="180"/>
      <c r="BR187" s="180"/>
      <c r="BS187" s="1031" t="s">
        <v>1825</v>
      </c>
      <c r="BT187" s="1031"/>
      <c r="BU187" s="1031"/>
      <c r="BV187" s="1032"/>
      <c r="BW187" s="1032"/>
      <c r="BX187" s="1064" t="str" cm="1">
        <f t="array" aca="1" ref="BX187" ca="1">D187&amp;"::"&amp;IF(N187&lt;&gt;"",N187,"Неопределено")&amp;"::"&amp;IF(M187&lt;&gt;"",M187,"Неопределено")&amp;"::"&amp;IF(O187&lt;&gt;"",O187,"Неопределено")&amp;"::"&amp;IF(P187&lt;&gt;"",P187,"Неопределено")&amp;"::"&amp;IF(Q187&lt;&gt;"",Q187,"Неопределено")&amp;"::"&amp;IF(R187&lt;&gt;"",R187,"Неопределено")</f>
        <v>M11407::ТЭ.42.26322895.0004::Неопределено::8.0.5.::Неопределено::Неопределено::Неопределено</v>
      </c>
    </row>
    <row r="188" spans="1:76" s="1229" customFormat="1" ht="14.25" hidden="1" customHeight="1">
      <c r="A188" s="178"/>
      <c r="B188" s="783"/>
      <c r="C188" s="1094" t="s">
        <v>1826</v>
      </c>
      <c r="D188" s="1053" t="s">
        <v>1827</v>
      </c>
      <c r="E188" s="676">
        <v>15</v>
      </c>
      <c r="F188" s="779" t="str" cm="1">
        <f t="array" aca="1" ref="F188" ca="1">OFFSET(G188,-1,-1)</f>
        <v>2</v>
      </c>
      <c r="G188" s="180"/>
      <c r="H188" s="180"/>
      <c r="I188" s="180"/>
      <c r="J188" s="180"/>
      <c r="K188" s="180"/>
      <c r="L188" s="143" t="s">
        <v>1768</v>
      </c>
      <c r="M188" s="1077"/>
      <c r="N188" s="1077" t="str" cm="1">
        <f t="array" aca="1" ref="N188" ca="1">OFFSET(M188,-1,1)</f>
        <v>ТЭ.42.26322895.0004</v>
      </c>
      <c r="O188" s="1078"/>
      <c r="P188" s="1078" t="s">
        <v>1828</v>
      </c>
      <c r="Q188" s="1078"/>
      <c r="R188" s="1078"/>
      <c r="T188" s="687" t="b" cm="1">
        <f t="array" aca="1" ref="T188" ca="1">T187</f>
        <v>0</v>
      </c>
      <c r="U188" s="1153"/>
      <c r="V188" s="1153"/>
      <c r="W188" s="1153"/>
      <c r="X188" s="1726"/>
      <c r="Y188" s="1153"/>
      <c r="Z188" s="1726"/>
      <c r="AA188" s="180"/>
      <c r="AB188" s="553" t="str">
        <f>AB185&amp;".3"</f>
        <v>17.3</v>
      </c>
      <c r="AC188" s="261" t="s">
        <v>1829</v>
      </c>
      <c r="AD188" s="443" t="s">
        <v>533</v>
      </c>
      <c r="AE188" s="555">
        <f ca="1">IFERROR(AE187/AE186,0)</f>
        <v>0</v>
      </c>
      <c r="AF188" s="516"/>
      <c r="AG188" s="516"/>
      <c r="AH188" s="516"/>
      <c r="AI188" s="555">
        <f t="shared" ref="AI188:BC188" ca="1" si="105">IFERROR(AI187/AI186,0)</f>
        <v>0</v>
      </c>
      <c r="AJ188" s="555">
        <f t="shared" ca="1" si="105"/>
        <v>0</v>
      </c>
      <c r="AK188" s="555">
        <f t="shared" ca="1" si="105"/>
        <v>0</v>
      </c>
      <c r="AL188" s="555">
        <f t="shared" ca="1" si="105"/>
        <v>0</v>
      </c>
      <c r="AM188" s="555">
        <f t="shared" ca="1" si="105"/>
        <v>0</v>
      </c>
      <c r="AN188" s="555">
        <f t="shared" ca="1" si="105"/>
        <v>0</v>
      </c>
      <c r="AO188" s="555">
        <f t="shared" ca="1" si="105"/>
        <v>0</v>
      </c>
      <c r="AP188" s="555">
        <f t="shared" ca="1" si="105"/>
        <v>0</v>
      </c>
      <c r="AQ188" s="555">
        <f t="shared" ca="1" si="105"/>
        <v>0</v>
      </c>
      <c r="AR188" s="555">
        <f t="shared" ca="1" si="105"/>
        <v>0</v>
      </c>
      <c r="AS188" s="555">
        <f t="shared" ca="1" si="105"/>
        <v>0</v>
      </c>
      <c r="AT188" s="555">
        <f t="shared" ca="1" si="105"/>
        <v>1.0000000000000002</v>
      </c>
      <c r="AU188" s="555">
        <f t="shared" ca="1" si="105"/>
        <v>0</v>
      </c>
      <c r="AV188" s="555">
        <f t="shared" ca="1" si="105"/>
        <v>0</v>
      </c>
      <c r="AW188" s="555">
        <f t="shared" ca="1" si="105"/>
        <v>0</v>
      </c>
      <c r="AX188" s="555">
        <f t="shared" ca="1" si="105"/>
        <v>0</v>
      </c>
      <c r="AY188" s="555">
        <f t="shared" ca="1" si="105"/>
        <v>0</v>
      </c>
      <c r="AZ188" s="555">
        <f t="shared" ca="1" si="105"/>
        <v>0</v>
      </c>
      <c r="BA188" s="555">
        <f t="shared" ca="1" si="105"/>
        <v>0</v>
      </c>
      <c r="BB188" s="555">
        <f t="shared" ca="1" si="105"/>
        <v>0</v>
      </c>
      <c r="BC188" s="555">
        <f t="shared" ca="1" si="105"/>
        <v>0</v>
      </c>
      <c r="BD188" s="319"/>
      <c r="BE188" s="319"/>
      <c r="BF188" s="319"/>
      <c r="BG188" s="319"/>
      <c r="BH188" s="319"/>
      <c r="BI188" s="319"/>
      <c r="BJ188" s="319"/>
      <c r="BK188" s="319"/>
      <c r="BL188" s="319"/>
      <c r="BM188" s="319"/>
      <c r="BN188" s="28"/>
      <c r="BO188" s="28"/>
      <c r="BP188" s="28"/>
      <c r="BQ188" s="180"/>
      <c r="BR188" s="180"/>
      <c r="BS188" s="1031" t="s">
        <v>1830</v>
      </c>
      <c r="BT188" s="1031"/>
      <c r="BU188" s="1031"/>
      <c r="BV188" s="1032"/>
      <c r="BW188" s="1032"/>
      <c r="BX188" s="1064" t="str" cm="1">
        <f t="array" aca="1" ref="BX188" ca="1">D188&amp;"::"&amp;IF(N188&lt;&gt;"",N188,"Неопределено")&amp;"::"&amp;IF(M188&lt;&gt;"",M188,"Неопределено")&amp;"::"&amp;IF(O188&lt;&gt;"",O188,"Неопределено")&amp;"::"&amp;IF(P188&lt;&gt;"",P188,"Неопределено")&amp;"::"&amp;IF(Q188&lt;&gt;"",Q188,"Неопределено")&amp;"::"&amp;IF(R188&lt;&gt;"",R188,"Неопределено")</f>
        <v>M10444::ТЭ.42.26322895.0004::Неопределено::Неопределено::90.0.0.::Неопределено::Неопределено</v>
      </c>
    </row>
    <row r="189" spans="1:76" s="1229" customFormat="1" ht="31.5" hidden="1" customHeight="1">
      <c r="A189" s="178"/>
      <c r="B189" s="783"/>
      <c r="C189" s="1094"/>
      <c r="D189" s="1053"/>
      <c r="E189" s="676">
        <v>33</v>
      </c>
      <c r="F189" s="779" t="str" cm="1">
        <f t="array" aca="1" ref="F189" ca="1">OFFSET(G189,-1,-1)</f>
        <v>2</v>
      </c>
      <c r="G189" s="180"/>
      <c r="H189" s="180"/>
      <c r="I189" s="180"/>
      <c r="J189" s="180"/>
      <c r="K189" s="180"/>
      <c r="L189" s="143" t="s">
        <v>1768</v>
      </c>
      <c r="M189" s="1077"/>
      <c r="N189" s="1077" t="str" cm="1">
        <f t="array" aca="1" ref="N189" ca="1">OFFSET(M189,-1,1)</f>
        <v>ТЭ.42.26322895.0004</v>
      </c>
      <c r="O189" s="1078"/>
      <c r="P189" s="1078"/>
      <c r="Q189" s="1078"/>
      <c r="R189" s="1078"/>
      <c r="T189" s="687" t="b" cm="1">
        <f t="array" aca="1" ref="T189" ca="1">T188</f>
        <v>0</v>
      </c>
      <c r="U189" s="1153"/>
      <c r="V189" s="1153"/>
      <c r="W189" s="1153"/>
      <c r="X189" s="1726"/>
      <c r="Y189" s="1153"/>
      <c r="Z189" s="1726"/>
      <c r="AA189" s="180"/>
      <c r="AB189" s="233" t="s">
        <v>596</v>
      </c>
      <c r="AC189" s="521" t="s">
        <v>1831</v>
      </c>
      <c r="AD189" s="522"/>
      <c r="AE189" s="516"/>
      <c r="AF189" s="516"/>
      <c r="AG189" s="516"/>
      <c r="AH189" s="516"/>
      <c r="AI189" s="516"/>
      <c r="AJ189" s="516"/>
      <c r="AK189" s="516"/>
      <c r="AL189" s="516"/>
      <c r="AM189" s="516"/>
      <c r="AN189" s="516"/>
      <c r="AO189" s="516"/>
      <c r="AP189" s="516"/>
      <c r="AQ189" s="516"/>
      <c r="AR189" s="516"/>
      <c r="AS189" s="516"/>
      <c r="AT189" s="516"/>
      <c r="AU189" s="516"/>
      <c r="AV189" s="516"/>
      <c r="AW189" s="516"/>
      <c r="AX189" s="516"/>
      <c r="AY189" s="516"/>
      <c r="AZ189" s="516"/>
      <c r="BA189" s="516"/>
      <c r="BB189" s="516"/>
      <c r="BC189" s="516"/>
      <c r="BD189" s="319"/>
      <c r="BE189" s="319"/>
      <c r="BF189" s="319"/>
      <c r="BG189" s="319"/>
      <c r="BH189" s="319"/>
      <c r="BI189" s="319"/>
      <c r="BJ189" s="319"/>
      <c r="BK189" s="319"/>
      <c r="BL189" s="319"/>
      <c r="BM189" s="319"/>
      <c r="BN189" s="28"/>
      <c r="BO189" s="28"/>
      <c r="BP189" s="28"/>
      <c r="BQ189" s="180"/>
      <c r="BR189" s="180"/>
      <c r="BS189" s="1031" t="s">
        <v>1832</v>
      </c>
      <c r="BT189" s="1031"/>
      <c r="BU189" s="1031"/>
      <c r="BV189" s="1032"/>
      <c r="BW189" s="1032"/>
      <c r="BX189" s="1132" t="str" cm="1">
        <f t="array" aca="1" ref="BX189" ca="1">"M11397"&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M11397::ТЭ.42.26322895.0004::Неопределено::Неопределено::Неопределено::Неопределено::Неопределено</v>
      </c>
    </row>
    <row r="190" spans="1:76" s="1229" customFormat="1" ht="31.5" hidden="1" customHeight="1">
      <c r="A190" s="178"/>
      <c r="B190" s="783"/>
      <c r="C190" s="1094" t="s">
        <v>1833</v>
      </c>
      <c r="D190" s="1053" t="s">
        <v>1834</v>
      </c>
      <c r="E190" s="676">
        <v>33</v>
      </c>
      <c r="F190" s="779" t="str" cm="1">
        <f t="array" aca="1" ref="F190" ca="1">OFFSET(G190,-1,-1)</f>
        <v>2</v>
      </c>
      <c r="G190" s="143" t="s">
        <v>1835</v>
      </c>
      <c r="H190" s="180"/>
      <c r="I190" s="180"/>
      <c r="J190" s="180"/>
      <c r="K190" s="180"/>
      <c r="L190" s="143" t="s">
        <v>1768</v>
      </c>
      <c r="M190" s="1077"/>
      <c r="N190" s="1077" t="str" cm="1">
        <f t="array" aca="1" ref="N190" ca="1">OFFSET(M190,-1,1)</f>
        <v>ТЭ.42.26322895.0004</v>
      </c>
      <c r="O190" s="1078" t="s">
        <v>1782</v>
      </c>
      <c r="P190" s="1078"/>
      <c r="Q190" s="1078"/>
      <c r="R190" s="1078"/>
      <c r="T190" s="687" t="b" cm="1">
        <f t="array" aca="1" ref="T190" ca="1">T189</f>
        <v>0</v>
      </c>
      <c r="U190" s="1153"/>
      <c r="V190" s="1153"/>
      <c r="W190" s="1153"/>
      <c r="X190" s="1726"/>
      <c r="Y190" s="1153"/>
      <c r="Z190" s="1726"/>
      <c r="AA190" s="180"/>
      <c r="AB190" s="553" t="str">
        <f>AB189&amp;".1"</f>
        <v>18.1</v>
      </c>
      <c r="AC190" s="115" t="s">
        <v>1836</v>
      </c>
      <c r="AD190" s="443" t="s">
        <v>1837</v>
      </c>
      <c r="AE190" s="53"/>
      <c r="AF190" s="319"/>
      <c r="AG190" s="319"/>
      <c r="AH190" s="319"/>
      <c r="AI190" s="77">
        <f ca="1">MIN(AE191,IFERROR(AI174/AI182/12,0))</f>
        <v>0</v>
      </c>
      <c r="AJ190" s="517">
        <f t="shared" ref="AJ190:AS190" ca="1" si="106">MIN(AI191,IFERROR(AJ174/AJ182/12,0))</f>
        <v>0</v>
      </c>
      <c r="AK190" s="517">
        <f t="shared" ca="1" si="106"/>
        <v>0</v>
      </c>
      <c r="AL190" s="517">
        <f t="shared" ca="1" si="106"/>
        <v>0</v>
      </c>
      <c r="AM190" s="517">
        <f t="shared" ca="1" si="106"/>
        <v>0</v>
      </c>
      <c r="AN190" s="517">
        <f t="shared" ca="1" si="106"/>
        <v>0</v>
      </c>
      <c r="AO190" s="77">
        <f t="shared" ca="1" si="106"/>
        <v>0</v>
      </c>
      <c r="AP190" s="77">
        <f t="shared" ca="1" si="106"/>
        <v>0</v>
      </c>
      <c r="AQ190" s="77">
        <f t="shared" ca="1" si="106"/>
        <v>0</v>
      </c>
      <c r="AR190" s="77">
        <f t="shared" ca="1" si="106"/>
        <v>0</v>
      </c>
      <c r="AS190" s="77">
        <f t="shared" ca="1" si="106"/>
        <v>0</v>
      </c>
      <c r="AT190" s="517">
        <f ca="1">MIN(AI191,IFERROR(AT174/AT182/12,0))</f>
        <v>0</v>
      </c>
      <c r="AU190" s="517">
        <f t="shared" ref="AU190:BC190" ca="1" si="107">MIN(AT191,IFERROR(AU174/AU182/12,0))</f>
        <v>0</v>
      </c>
      <c r="AV190" s="517">
        <f t="shared" ca="1" si="107"/>
        <v>0</v>
      </c>
      <c r="AW190" s="517">
        <f t="shared" ca="1" si="107"/>
        <v>0</v>
      </c>
      <c r="AX190" s="517">
        <f t="shared" ca="1" si="107"/>
        <v>0</v>
      </c>
      <c r="AY190" s="77">
        <f t="shared" ca="1" si="107"/>
        <v>0</v>
      </c>
      <c r="AZ190" s="77">
        <f t="shared" ca="1" si="107"/>
        <v>0</v>
      </c>
      <c r="BA190" s="77">
        <f t="shared" ca="1" si="107"/>
        <v>0</v>
      </c>
      <c r="BB190" s="77">
        <f t="shared" ca="1" si="107"/>
        <v>0</v>
      </c>
      <c r="BC190" s="77">
        <f t="shared" ca="1" si="107"/>
        <v>0</v>
      </c>
      <c r="BD190" s="319"/>
      <c r="BE190" s="319"/>
      <c r="BF190" s="319"/>
      <c r="BG190" s="319"/>
      <c r="BH190" s="319"/>
      <c r="BI190" s="319"/>
      <c r="BJ190" s="319"/>
      <c r="BK190" s="319"/>
      <c r="BL190" s="319"/>
      <c r="BM190" s="319"/>
      <c r="BN190" s="28"/>
      <c r="BO190" s="28"/>
      <c r="BP190" s="28"/>
      <c r="BQ190" s="180"/>
      <c r="BR190" s="180"/>
      <c r="BS190" s="1031" t="s">
        <v>1838</v>
      </c>
      <c r="BT190" s="1031"/>
      <c r="BU190" s="1031"/>
      <c r="BV190" s="1032"/>
      <c r="BW190" s="1032"/>
      <c r="BX190" s="1064" t="str" cm="1">
        <f t="array" aca="1" ref="BX190" ca="1">D190&amp;"::"&amp;IF(N190&lt;&gt;"",N190,"Неопределено")&amp;"::"&amp;IF(M190&lt;&gt;"",M190,"Неопределено")&amp;"::"&amp;IF(O190&lt;&gt;"",O190,"Неопределено")&amp;"::"&amp;IF(P190&lt;&gt;"",P190,"Неопределено")&amp;"::"&amp;IF(Q190&lt;&gt;"",Q190,"Неопределено")&amp;"::"&amp;IF(R190&lt;&gt;"",R190,"Неопределено")</f>
        <v>M11397::ТЭ.42.26322895.0004::Неопределено::8.0.3.::Неопределено::Неопределено::Неопределено</v>
      </c>
    </row>
    <row r="191" spans="1:76" s="1229" customFormat="1" ht="31.5" hidden="1" customHeight="1">
      <c r="A191" s="178"/>
      <c r="B191" s="783"/>
      <c r="C191" s="1094" t="s">
        <v>1833</v>
      </c>
      <c r="D191" s="1053" t="s">
        <v>1834</v>
      </c>
      <c r="E191" s="676">
        <v>33</v>
      </c>
      <c r="F191" s="779" t="str" cm="1">
        <f t="array" aca="1" ref="F191" ca="1">OFFSET(G191,-1,-1)</f>
        <v>2</v>
      </c>
      <c r="G191" s="143" t="s">
        <v>1839</v>
      </c>
      <c r="H191" s="180"/>
      <c r="I191" s="180"/>
      <c r="J191" s="180"/>
      <c r="K191" s="180"/>
      <c r="L191" s="143" t="s">
        <v>1768</v>
      </c>
      <c r="M191" s="1077"/>
      <c r="N191" s="1077" t="str" cm="1">
        <f t="array" aca="1" ref="N191" ca="1">OFFSET(M191,-1,1)</f>
        <v>ТЭ.42.26322895.0004</v>
      </c>
      <c r="O191" s="1078" t="s">
        <v>1791</v>
      </c>
      <c r="P191" s="1078"/>
      <c r="Q191" s="1078"/>
      <c r="R191" s="1078"/>
      <c r="T191" s="687" t="b" cm="1">
        <f t="array" aca="1" ref="T191" ca="1">T190</f>
        <v>0</v>
      </c>
      <c r="U191" s="1153"/>
      <c r="V191" s="1153"/>
      <c r="W191" s="1153"/>
      <c r="X191" s="1726"/>
      <c r="Y191" s="1153"/>
      <c r="Z191" s="1726"/>
      <c r="AA191" s="180"/>
      <c r="AB191" s="553" t="str">
        <f>AB189&amp;".2"</f>
        <v>18.2</v>
      </c>
      <c r="AC191" s="115" t="s">
        <v>1840</v>
      </c>
      <c r="AD191" s="443" t="s">
        <v>1837</v>
      </c>
      <c r="AE191" s="256">
        <f ca="1">IFERROR((AE174-AE183*6*AE190)/AE184/6,0)</f>
        <v>0</v>
      </c>
      <c r="AF191" s="319"/>
      <c r="AG191" s="319"/>
      <c r="AH191" s="319"/>
      <c r="AI191" s="256">
        <f ca="1">IFERROR((AI174-AI183*6*AI190)/AI184/6,0)</f>
        <v>0</v>
      </c>
      <c r="AJ191" s="256">
        <f ca="1">IFERROR((AJ174-AJ183*IF(god=2026,9,6)*AJ190)/AJ184/IF(god=2026,3,6),0)</f>
        <v>0</v>
      </c>
      <c r="AK191" s="256">
        <f ca="1">IFERROR((AK174-AK183*IF(god=2025,9,6)*AK190)/AK184/IF(god=2025,3,6),0)</f>
        <v>0</v>
      </c>
      <c r="AL191" s="256">
        <f t="shared" ref="AL191:AS191" ca="1" si="108">IFERROR((AL174-AL183*6*AL190)/AL184/6,0)</f>
        <v>0</v>
      </c>
      <c r="AM191" s="256">
        <f t="shared" ca="1" si="108"/>
        <v>0</v>
      </c>
      <c r="AN191" s="256">
        <f t="shared" ca="1" si="108"/>
        <v>0</v>
      </c>
      <c r="AO191" s="256">
        <f t="shared" ca="1" si="108"/>
        <v>0</v>
      </c>
      <c r="AP191" s="256">
        <f t="shared" ca="1" si="108"/>
        <v>0</v>
      </c>
      <c r="AQ191" s="256">
        <f t="shared" ca="1" si="108"/>
        <v>0</v>
      </c>
      <c r="AR191" s="256">
        <f t="shared" ca="1" si="108"/>
        <v>0</v>
      </c>
      <c r="AS191" s="256">
        <f t="shared" ca="1" si="108"/>
        <v>0</v>
      </c>
      <c r="AT191" s="256">
        <f ca="1">IFERROR((AT174-AT183*IF(god=2026,9,6)*AT190)/AT184/IF(god=2026,3,6),0)</f>
        <v>0</v>
      </c>
      <c r="AU191" s="256">
        <f ca="1">IFERROR((AU174-AU183*IF(god=2025,9,6)*AU190)/AU184/IF(god=2025,3,6),0)</f>
        <v>0</v>
      </c>
      <c r="AV191" s="256">
        <f t="shared" ref="AV191:BC191" ca="1" si="109">IFERROR((AV174-AV183*6*AV190)/AV184/6,0)</f>
        <v>0</v>
      </c>
      <c r="AW191" s="256">
        <f t="shared" ca="1" si="109"/>
        <v>0</v>
      </c>
      <c r="AX191" s="256">
        <f t="shared" ca="1" si="109"/>
        <v>0</v>
      </c>
      <c r="AY191" s="256">
        <f t="shared" ca="1" si="109"/>
        <v>0</v>
      </c>
      <c r="AZ191" s="256">
        <f t="shared" ca="1" si="109"/>
        <v>0</v>
      </c>
      <c r="BA191" s="256">
        <f t="shared" ca="1" si="109"/>
        <v>0</v>
      </c>
      <c r="BB191" s="256">
        <f t="shared" ca="1" si="109"/>
        <v>0</v>
      </c>
      <c r="BC191" s="256">
        <f t="shared" ca="1" si="109"/>
        <v>0</v>
      </c>
      <c r="BD191" s="319"/>
      <c r="BE191" s="319"/>
      <c r="BF191" s="319"/>
      <c r="BG191" s="319"/>
      <c r="BH191" s="319"/>
      <c r="BI191" s="319"/>
      <c r="BJ191" s="319"/>
      <c r="BK191" s="319"/>
      <c r="BL191" s="319"/>
      <c r="BM191" s="319"/>
      <c r="BN191" s="28"/>
      <c r="BO191" s="28"/>
      <c r="BP191" s="28"/>
      <c r="BQ191" s="180"/>
      <c r="BR191" s="180"/>
      <c r="BS191" s="1031" t="s">
        <v>1841</v>
      </c>
      <c r="BT191" s="1031"/>
      <c r="BU191" s="1031"/>
      <c r="BV191" s="1032"/>
      <c r="BW191" s="1032"/>
      <c r="BX191" s="1064" t="str" cm="1">
        <f t="array" aca="1" ref="BX191" ca="1">D191&amp;"::"&amp;IF(N191&lt;&gt;"",N191,"Неопределено")&amp;"::"&amp;IF(M191&lt;&gt;"",M191,"Неопределено")&amp;"::"&amp;IF(O191&lt;&gt;"",O191,"Неопределено")&amp;"::"&amp;IF(P191&lt;&gt;"",P191,"Неопределено")&amp;"::"&amp;IF(Q191&lt;&gt;"",Q191,"Неопределено")&amp;"::"&amp;IF(R191&lt;&gt;"",R191,"Неопределено")</f>
        <v>M11397::ТЭ.42.26322895.0004::Неопределено::8.0.5.::Неопределено::Неопределено::Неопределено</v>
      </c>
    </row>
    <row r="192" spans="1:76" s="1229" customFormat="1" ht="14.25" hidden="1" customHeight="1">
      <c r="A192" s="178"/>
      <c r="B192" s="783"/>
      <c r="C192" s="1094" t="s">
        <v>1826</v>
      </c>
      <c r="D192" s="1053" t="s">
        <v>1827</v>
      </c>
      <c r="E192" s="676">
        <v>15</v>
      </c>
      <c r="F192" s="779" t="str" cm="1">
        <f t="array" aca="1" ref="F192" ca="1">OFFSET(G192,-1,-1)</f>
        <v>2</v>
      </c>
      <c r="G192" s="180"/>
      <c r="H192" s="180"/>
      <c r="I192" s="180"/>
      <c r="J192" s="180"/>
      <c r="K192" s="180"/>
      <c r="L192" s="143" t="s">
        <v>1768</v>
      </c>
      <c r="M192" s="1077"/>
      <c r="N192" s="1077" t="str" cm="1">
        <f t="array" aca="1" ref="N192" ca="1">OFFSET(M192,-1,1)</f>
        <v>ТЭ.42.26322895.0004</v>
      </c>
      <c r="O192" s="1078"/>
      <c r="P192" s="1078"/>
      <c r="Q192" s="1078" t="s">
        <v>1842</v>
      </c>
      <c r="R192" s="1078"/>
      <c r="T192" s="687" t="b" cm="1">
        <f t="array" aca="1" ref="T192" ca="1">T191</f>
        <v>0</v>
      </c>
      <c r="U192" s="1153"/>
      <c r="V192" s="1153"/>
      <c r="W192" s="1153"/>
      <c r="X192" s="1726"/>
      <c r="Y192" s="1153"/>
      <c r="Z192" s="1726"/>
      <c r="AA192" s="180"/>
      <c r="AB192" s="553" t="str">
        <f>AB189&amp;".3"</f>
        <v>18.3</v>
      </c>
      <c r="AC192" s="261" t="s">
        <v>1843</v>
      </c>
      <c r="AD192" s="605" t="s">
        <v>533</v>
      </c>
      <c r="AE192" s="890">
        <f ca="1">IFERROR(AE191/AE190,0)</f>
        <v>0</v>
      </c>
      <c r="AF192" s="319"/>
      <c r="AG192" s="319"/>
      <c r="AH192" s="891"/>
      <c r="AI192" s="555">
        <f t="shared" ref="AI192:BC192" ca="1" si="110">IFERROR(AI191/AI190,0)</f>
        <v>0</v>
      </c>
      <c r="AJ192" s="555">
        <f t="shared" ca="1" si="110"/>
        <v>0</v>
      </c>
      <c r="AK192" s="555">
        <f t="shared" ca="1" si="110"/>
        <v>0</v>
      </c>
      <c r="AL192" s="555">
        <f t="shared" ca="1" si="110"/>
        <v>0</v>
      </c>
      <c r="AM192" s="555">
        <f t="shared" ca="1" si="110"/>
        <v>0</v>
      </c>
      <c r="AN192" s="555">
        <f t="shared" ca="1" si="110"/>
        <v>0</v>
      </c>
      <c r="AO192" s="555">
        <f t="shared" ca="1" si="110"/>
        <v>0</v>
      </c>
      <c r="AP192" s="555">
        <f t="shared" ca="1" si="110"/>
        <v>0</v>
      </c>
      <c r="AQ192" s="555">
        <f t="shared" ca="1" si="110"/>
        <v>0</v>
      </c>
      <c r="AR192" s="555">
        <f t="shared" ca="1" si="110"/>
        <v>0</v>
      </c>
      <c r="AS192" s="555">
        <f t="shared" ca="1" si="110"/>
        <v>0</v>
      </c>
      <c r="AT192" s="555">
        <f t="shared" ca="1" si="110"/>
        <v>0</v>
      </c>
      <c r="AU192" s="555">
        <f t="shared" ca="1" si="110"/>
        <v>0</v>
      </c>
      <c r="AV192" s="555">
        <f t="shared" ca="1" si="110"/>
        <v>0</v>
      </c>
      <c r="AW192" s="555">
        <f t="shared" ca="1" si="110"/>
        <v>0</v>
      </c>
      <c r="AX192" s="555">
        <f t="shared" ca="1" si="110"/>
        <v>0</v>
      </c>
      <c r="AY192" s="555">
        <f t="shared" ca="1" si="110"/>
        <v>0</v>
      </c>
      <c r="AZ192" s="555">
        <f t="shared" ca="1" si="110"/>
        <v>0</v>
      </c>
      <c r="BA192" s="555">
        <f t="shared" ca="1" si="110"/>
        <v>0</v>
      </c>
      <c r="BB192" s="555">
        <f t="shared" ca="1" si="110"/>
        <v>0</v>
      </c>
      <c r="BC192" s="555">
        <f t="shared" ca="1" si="110"/>
        <v>0</v>
      </c>
      <c r="BD192" s="319"/>
      <c r="BE192" s="319"/>
      <c r="BF192" s="319"/>
      <c r="BG192" s="319"/>
      <c r="BH192" s="319"/>
      <c r="BI192" s="319"/>
      <c r="BJ192" s="319"/>
      <c r="BK192" s="319"/>
      <c r="BL192" s="319"/>
      <c r="BM192" s="319"/>
      <c r="BN192" s="28"/>
      <c r="BO192" s="28"/>
      <c r="BP192" s="28"/>
      <c r="BQ192" s="180"/>
      <c r="BR192" s="180"/>
      <c r="BS192" s="1031" t="s">
        <v>1844</v>
      </c>
      <c r="BT192" s="1031"/>
      <c r="BU192" s="1031"/>
      <c r="BV192" s="1032"/>
      <c r="BW192" s="1032"/>
      <c r="BX192" s="1064" t="str" cm="1">
        <f t="array" aca="1" ref="BX192" ca="1">D192&amp;"::"&amp;IF(N192&lt;&gt;"",N192,"Неопределено")&amp;"::"&amp;IF(M192&lt;&gt;"",M192,"Неопределено")&amp;"::"&amp;IF(O192&lt;&gt;"",O192,"Неопределено")&amp;"::"&amp;IF(P192&lt;&gt;"",P192,"Неопределено")&amp;"::"&amp;IF(Q192&lt;&gt;"",Q192,"Неопределено")&amp;"::"&amp;IF(R192&lt;&gt;"",R192,"Неопределено")</f>
        <v>M10444::ТЭ.42.26322895.0004::Неопределено::Неопределено::Неопределено::225.0.1.::Неопределено</v>
      </c>
    </row>
    <row r="193" spans="1:76" s="1229" customFormat="1" ht="29.25" customHeight="1">
      <c r="A193" s="178"/>
      <c r="B193" s="783"/>
      <c r="C193" s="1094" t="s">
        <v>1845</v>
      </c>
      <c r="D193" s="1053" t="s">
        <v>1846</v>
      </c>
      <c r="E193" s="676">
        <v>30</v>
      </c>
      <c r="F193" s="779" t="str" cm="1">
        <f t="array" aca="1" ref="F193" ca="1">OFFSET(G193,-1,-1)</f>
        <v>2</v>
      </c>
      <c r="G193" s="180"/>
      <c r="H193" s="180"/>
      <c r="I193" s="180"/>
      <c r="J193" s="180"/>
      <c r="K193" s="180"/>
      <c r="L193" s="143"/>
      <c r="M193" s="1077"/>
      <c r="N193" s="1077" t="str" cm="1">
        <f t="array" aca="1" ref="N193" ca="1">OFFSET(M193,-1,1)</f>
        <v>ТЭ.42.26322895.0004</v>
      </c>
      <c r="O193" s="1078"/>
      <c r="P193" s="1078"/>
      <c r="Q193" s="1078"/>
      <c r="R193" s="1078"/>
      <c r="T193" s="687" t="b" cm="1">
        <f t="array" aca="1" ref="T193" ca="1">T172</f>
        <v>1</v>
      </c>
      <c r="U193" s="1153"/>
      <c r="V193" s="1153"/>
      <c r="W193" s="1153"/>
      <c r="X193" s="1726"/>
      <c r="Y193" s="1153"/>
      <c r="Z193" s="1726"/>
      <c r="AA193" s="180"/>
      <c r="AB193" s="235" t="s">
        <v>1847</v>
      </c>
      <c r="AC193" s="888" t="s">
        <v>1848</v>
      </c>
      <c r="AD193" s="487" t="s">
        <v>1077</v>
      </c>
      <c r="AE193" s="1314"/>
      <c r="AF193" s="1314"/>
      <c r="AG193" s="1426"/>
      <c r="AH193" s="256">
        <f>AG193-AF193</f>
        <v>0</v>
      </c>
      <c r="AI193" s="1427"/>
      <c r="AJ193" s="889"/>
      <c r="AK193" s="889"/>
      <c r="AL193" s="889"/>
      <c r="AM193" s="889"/>
      <c r="AN193" s="889"/>
      <c r="AO193" s="1427"/>
      <c r="AP193" s="1427"/>
      <c r="AQ193" s="1427"/>
      <c r="AR193" s="1427"/>
      <c r="AS193" s="1427"/>
      <c r="AT193" s="889"/>
      <c r="AU193" s="889"/>
      <c r="AV193" s="889"/>
      <c r="AW193" s="889"/>
      <c r="AX193" s="889"/>
      <c r="AY193" s="1427"/>
      <c r="AZ193" s="1427"/>
      <c r="BA193" s="1427"/>
      <c r="BB193" s="1427"/>
      <c r="BC193" s="1427"/>
      <c r="BD193" s="256">
        <f>IF(AI193=0,0,(AT193-AI193)/AI193*100)</f>
        <v>0</v>
      </c>
      <c r="BE193" s="256">
        <f t="shared" ref="BE193:BM193" si="111">IF(AT193=0,0,(AU193-AT193)/AT193*100)</f>
        <v>0</v>
      </c>
      <c r="BF193" s="256">
        <f t="shared" si="111"/>
        <v>0</v>
      </c>
      <c r="BG193" s="256">
        <f t="shared" si="111"/>
        <v>0</v>
      </c>
      <c r="BH193" s="256">
        <f t="shared" si="111"/>
        <v>0</v>
      </c>
      <c r="BI193" s="256">
        <f t="shared" si="111"/>
        <v>0</v>
      </c>
      <c r="BJ193" s="256">
        <f t="shared" si="111"/>
        <v>0</v>
      </c>
      <c r="BK193" s="256">
        <f t="shared" si="111"/>
        <v>0</v>
      </c>
      <c r="BL193" s="256">
        <f t="shared" si="111"/>
        <v>0</v>
      </c>
      <c r="BM193" s="256">
        <f t="shared" si="111"/>
        <v>0</v>
      </c>
      <c r="BN193" s="1290"/>
      <c r="BO193" s="1290"/>
      <c r="BP193" s="1290"/>
      <c r="BQ193" s="180"/>
      <c r="BR193" s="180"/>
      <c r="BS193" s="1031" t="s">
        <v>1849</v>
      </c>
      <c r="BT193" s="1031"/>
      <c r="BU193" s="1031"/>
      <c r="BV193" s="1032"/>
      <c r="BW193" s="1032"/>
      <c r="BX193" s="1064" t="str" cm="1">
        <f t="array" aca="1" ref="BX193" ca="1">D193&amp;"::"&amp;IF(N193&lt;&gt;"",N193,"Неопределено")&amp;"::"&amp;IF(M193&lt;&gt;"",M193,"Неопределено")&amp;"::"&amp;IF(O193&lt;&gt;"",O193,"Неопределено")&amp;"::"&amp;IF(P193&lt;&gt;"",P193,"Неопределено")&amp;"::"&amp;IF(Q193&lt;&gt;"",Q193,"Неопределено")&amp;"::"&amp;IF(R193&lt;&gt;"",R193,"Неопределено")</f>
        <v>M10591::ТЭ.42.26322895.0004::Неопределено::Неопределено::Неопределено::Неопределено::Неопределено</v>
      </c>
    </row>
    <row r="194" spans="1:76" ht="9.9499999999999993" customHeight="1">
      <c r="E194" s="676">
        <v>10.199999999999999</v>
      </c>
      <c r="U194" s="129" t="s">
        <v>238</v>
      </c>
      <c r="V194" s="122" t="s">
        <v>1852</v>
      </c>
    </row>
    <row r="195" spans="1:76" ht="11.25" hidden="1" customHeight="1">
      <c r="E195" s="676">
        <v>0</v>
      </c>
    </row>
    <row r="196" spans="1:76" ht="14.65" customHeight="1">
      <c r="E196" s="676">
        <v>15</v>
      </c>
      <c r="AB196" s="1802" t="s">
        <v>734</v>
      </c>
      <c r="AC196" s="1802"/>
      <c r="AD196" s="1802"/>
      <c r="AE196" s="1802"/>
      <c r="AF196" s="1802"/>
      <c r="AG196" s="1802"/>
      <c r="AH196" s="1802"/>
      <c r="AI196" s="1802"/>
      <c r="AJ196" s="1802"/>
      <c r="AK196" s="1802"/>
      <c r="AL196" s="1802"/>
      <c r="AM196" s="1802"/>
      <c r="AN196" s="1802"/>
      <c r="AO196" s="1802"/>
      <c r="AP196" s="1802"/>
      <c r="AQ196" s="1802"/>
      <c r="AR196" s="1802"/>
      <c r="AS196" s="1802"/>
      <c r="AT196" s="1802"/>
      <c r="AU196" s="1802"/>
      <c r="AV196" s="1802"/>
      <c r="AW196" s="1802"/>
      <c r="AX196" s="1802"/>
      <c r="AY196" s="1802"/>
      <c r="AZ196" s="1802"/>
      <c r="BA196" s="1802"/>
      <c r="BB196" s="1802"/>
      <c r="BC196" s="1802"/>
      <c r="BD196" s="1802"/>
      <c r="BE196" s="1802"/>
      <c r="BF196" s="1802"/>
      <c r="BG196" s="1802"/>
      <c r="BH196" s="1802"/>
      <c r="BI196" s="1802"/>
      <c r="BJ196" s="1802"/>
      <c r="BK196" s="1802"/>
      <c r="BL196" s="1802"/>
      <c r="BM196" s="1802"/>
      <c r="BN196" s="1802"/>
      <c r="BO196" s="1802"/>
      <c r="BP196" s="1802"/>
    </row>
    <row r="197" spans="1:76" ht="14.65" customHeight="1">
      <c r="E197" s="676">
        <v>15</v>
      </c>
      <c r="AA197" s="778"/>
      <c r="AB197" s="1817"/>
      <c r="AC197" s="1818"/>
      <c r="AD197" s="1818"/>
      <c r="AE197" s="1818"/>
      <c r="AF197" s="1818"/>
      <c r="AG197" s="1818"/>
      <c r="AH197" s="1818"/>
      <c r="AI197" s="1818"/>
      <c r="AJ197" s="1818"/>
      <c r="AK197" s="1818"/>
      <c r="AL197" s="1818"/>
      <c r="AM197" s="1818"/>
      <c r="AN197" s="1818"/>
      <c r="AO197" s="1818"/>
      <c r="AP197" s="1818"/>
      <c r="AQ197" s="1818"/>
      <c r="AR197" s="1818"/>
      <c r="AS197" s="1818"/>
      <c r="AT197" s="1818"/>
      <c r="AU197" s="1818"/>
      <c r="AV197" s="1818"/>
      <c r="AW197" s="1818"/>
      <c r="AX197" s="1818"/>
      <c r="AY197" s="1818"/>
      <c r="AZ197" s="1818"/>
      <c r="BA197" s="1818"/>
      <c r="BB197" s="1818"/>
      <c r="BC197" s="1818"/>
      <c r="BD197" s="1818"/>
      <c r="BE197" s="1818"/>
      <c r="BF197" s="1818"/>
      <c r="BG197" s="1818"/>
      <c r="BH197" s="1818"/>
      <c r="BI197" s="1818"/>
      <c r="BJ197" s="1818"/>
      <c r="BK197" s="1818"/>
      <c r="BL197" s="1818"/>
      <c r="BM197" s="1818"/>
      <c r="BN197" s="1818"/>
      <c r="BO197" s="1818"/>
      <c r="BP197" s="1818"/>
    </row>
    <row r="198" spans="1:76" ht="14.65" hidden="1" customHeight="1">
      <c r="E198" s="676">
        <v>15</v>
      </c>
      <c r="S198" s="1301"/>
      <c r="T198" s="687" t="b">
        <f>ROW(W198)&gt;ROW(W$198)</f>
        <v>0</v>
      </c>
      <c r="W198" s="126" t="s">
        <v>236</v>
      </c>
      <c r="AA198" s="774" t="s">
        <v>218</v>
      </c>
      <c r="AB198" s="1820"/>
      <c r="AC198" s="1818"/>
      <c r="AD198" s="1818"/>
      <c r="AE198" s="1818"/>
      <c r="AF198" s="1818"/>
      <c r="AG198" s="1818"/>
      <c r="AH198" s="1818"/>
      <c r="AI198" s="1818"/>
      <c r="AJ198" s="1818"/>
      <c r="AK198" s="1818"/>
      <c r="AL198" s="1818"/>
      <c r="AM198" s="1818"/>
      <c r="AN198" s="1818"/>
      <c r="AO198" s="1818"/>
      <c r="AP198" s="1818"/>
      <c r="AQ198" s="1818"/>
      <c r="AR198" s="1818"/>
      <c r="AS198" s="1818"/>
      <c r="AT198" s="1818"/>
      <c r="AU198" s="1818"/>
      <c r="AV198" s="1818"/>
      <c r="AW198" s="1818"/>
      <c r="AX198" s="1818"/>
      <c r="AY198" s="1818"/>
      <c r="AZ198" s="1818"/>
      <c r="BA198" s="1818"/>
      <c r="BB198" s="1818"/>
      <c r="BC198" s="1818"/>
      <c r="BD198" s="1818"/>
      <c r="BE198" s="1818"/>
      <c r="BF198" s="1818"/>
      <c r="BG198" s="1818"/>
      <c r="BH198" s="1818"/>
      <c r="BI198" s="1818"/>
      <c r="BJ198" s="1818"/>
      <c r="BK198" s="1818"/>
      <c r="BL198" s="1818"/>
      <c r="BM198" s="1818"/>
      <c r="BN198" s="1818"/>
      <c r="BO198" s="1818"/>
      <c r="BP198" s="1818"/>
    </row>
    <row r="199" spans="1:76" ht="14.65" customHeight="1">
      <c r="E199" s="676">
        <v>15</v>
      </c>
      <c r="W199" s="122" t="s">
        <v>237</v>
      </c>
      <c r="AA199" s="163"/>
      <c r="AB199" s="1736" t="s">
        <v>735</v>
      </c>
      <c r="AC199" s="1737"/>
      <c r="AD199" s="324"/>
      <c r="AE199" s="324"/>
      <c r="AF199" s="324"/>
      <c r="AG199" s="324"/>
      <c r="AH199" s="324"/>
      <c r="AI199" s="324"/>
      <c r="AJ199" s="324"/>
      <c r="AK199" s="324"/>
      <c r="AL199" s="324"/>
      <c r="AM199" s="324"/>
      <c r="AN199" s="324"/>
      <c r="AO199" s="324"/>
      <c r="AP199" s="324"/>
      <c r="AQ199" s="324"/>
      <c r="AR199" s="324"/>
      <c r="AS199" s="324"/>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294"/>
    </row>
  </sheetData>
  <sheetProtection formatColumns="0" formatRows="0" insertRows="0" deleteColumns="0" deleteRows="0" sort="0" autoFilter="0"/>
  <mergeCells count="17">
    <mergeCell ref="Z139:Z193"/>
    <mergeCell ref="X27:X81"/>
    <mergeCell ref="Z27:Z81"/>
    <mergeCell ref="AB199:AC199"/>
    <mergeCell ref="AB197:BP197"/>
    <mergeCell ref="BP24:BP25"/>
    <mergeCell ref="BN24:BN25"/>
    <mergeCell ref="BO24:BO25"/>
    <mergeCell ref="AB196:BP196"/>
    <mergeCell ref="AB24:AB25"/>
    <mergeCell ref="AC24:AC25"/>
    <mergeCell ref="AD24:AD25"/>
    <mergeCell ref="BD25:BM25"/>
    <mergeCell ref="AB198:BP198"/>
    <mergeCell ref="X82:X138"/>
    <mergeCell ref="Z82:Z138"/>
    <mergeCell ref="X139:X193"/>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F97C-F542-F848-2368-6CF5350C5BA8}">
  <sheetPr>
    <tabColor rgb="FF92D050"/>
    <outlinePr summaryBelow="0" summaryRight="0"/>
    <pageSetUpPr fitToPage="1"/>
  </sheetPr>
  <dimension ref="A1:AS23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3" hidden="1" customWidth="1"/>
    <col min="2" max="2" width="8.5703125" style="783" hidden="1" customWidth="1"/>
    <col min="3" max="3" width="12.140625" style="1099" hidden="1" customWidth="1"/>
    <col min="4" max="4" width="12.140625" style="1059" hidden="1" customWidth="1"/>
    <col min="5" max="5" width="8.42578125" style="782" hidden="1" customWidth="1"/>
    <col min="6" max="6" width="6.42578125" style="178" hidden="1" customWidth="1"/>
    <col min="7" max="11" width="3.5703125" style="180" hidden="1" customWidth="1"/>
    <col min="12" max="19" width="8.7109375" style="1124"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7" width="12.5703125" style="180" customWidth="1"/>
    <col min="38" max="38" width="36" style="180" customWidth="1"/>
    <col min="39" max="39" width="19" style="180" customWidth="1"/>
    <col min="40" max="40" width="17.28515625" style="180" customWidth="1"/>
    <col min="41" max="41" width="31.28515625" style="180" customWidth="1"/>
    <col min="42" max="42" width="3" style="180" customWidth="1"/>
    <col min="43" max="43" width="9.140625" style="180" hidden="1"/>
    <col min="44" max="44" width="9.140625" style="1029" hidden="1"/>
    <col min="45" max="45" width="9.140625" style="1126" hidden="1"/>
  </cols>
  <sheetData>
    <row r="1" spans="1:45" s="178" customFormat="1" ht="12" hidden="1" customHeight="1">
      <c r="A1" s="983"/>
      <c r="B1" s="667"/>
      <c r="C1" s="1099" t="s">
        <v>84</v>
      </c>
      <c r="D1" s="1059" t="s">
        <v>85</v>
      </c>
      <c r="E1" s="667"/>
      <c r="F1" s="698" t="s">
        <v>83</v>
      </c>
      <c r="G1" s="180"/>
      <c r="H1" s="180"/>
      <c r="I1" s="180"/>
      <c r="J1" s="180"/>
      <c r="K1" s="180"/>
      <c r="L1" s="1072" t="s">
        <v>1853</v>
      </c>
      <c r="M1" s="1072" t="s">
        <v>1626</v>
      </c>
      <c r="N1" s="1072" t="s">
        <v>1854</v>
      </c>
      <c r="O1" s="1072" t="s">
        <v>1855</v>
      </c>
      <c r="P1" s="1072" t="s">
        <v>1856</v>
      </c>
      <c r="Q1" s="1072" t="s">
        <v>1857</v>
      </c>
      <c r="R1" s="1072" t="s">
        <v>1629</v>
      </c>
      <c r="S1" s="1062" t="s">
        <v>1627</v>
      </c>
      <c r="T1" s="687" t="s">
        <v>86</v>
      </c>
      <c r="U1" s="687" t="s">
        <v>91</v>
      </c>
      <c r="V1" s="687" t="s">
        <v>87</v>
      </c>
      <c r="W1" s="687" t="s">
        <v>88</v>
      </c>
      <c r="X1" s="687" t="s">
        <v>89</v>
      </c>
      <c r="Y1" s="698" t="s">
        <v>382</v>
      </c>
      <c r="Z1" s="687" t="s">
        <v>93</v>
      </c>
      <c r="AA1" s="698" t="s">
        <v>90</v>
      </c>
      <c r="AB1" s="698" t="s">
        <v>92</v>
      </c>
      <c r="AR1" s="1029" t="s">
        <v>383</v>
      </c>
      <c r="AS1" s="1072" t="s">
        <v>1630</v>
      </c>
    </row>
    <row r="2" spans="1:45" s="783" customFormat="1" ht="12" hidden="1" customHeight="1">
      <c r="A2" s="991"/>
      <c r="B2" s="768" t="s">
        <v>15</v>
      </c>
      <c r="C2" s="1096"/>
      <c r="D2" s="1055"/>
      <c r="G2" s="786"/>
      <c r="H2" s="786"/>
      <c r="I2" s="786"/>
      <c r="J2" s="786"/>
      <c r="K2" s="786"/>
      <c r="L2" s="1088"/>
      <c r="M2" s="1088"/>
      <c r="N2" s="1088"/>
      <c r="O2" s="1088"/>
      <c r="P2" s="1088"/>
      <c r="Q2" s="1088"/>
      <c r="R2" s="1088"/>
      <c r="S2" s="1088"/>
      <c r="AC2" s="671"/>
      <c r="AJ2" s="688" t="b">
        <f>AJ6&lt;=last_year_vis</f>
        <v>1</v>
      </c>
      <c r="AK2" s="688" t="b">
        <f>AK6&lt;=last_year_vis</f>
        <v>1</v>
      </c>
      <c r="AL2" s="688" t="b">
        <f>AL6&lt;=last_year_vis</f>
        <v>1</v>
      </c>
      <c r="AR2" s="957"/>
      <c r="AS2" s="1051"/>
    </row>
    <row r="3" spans="1:45" s="178" customFormat="1" ht="12" hidden="1" customHeight="1">
      <c r="A3" s="983"/>
      <c r="B3" s="667"/>
      <c r="C3" s="1093"/>
      <c r="D3" s="1056"/>
      <c r="E3" s="667"/>
      <c r="G3" s="180"/>
      <c r="H3" s="180"/>
      <c r="I3" s="180"/>
      <c r="J3" s="180"/>
      <c r="K3" s="180"/>
      <c r="L3" s="1072"/>
      <c r="M3" s="1072"/>
      <c r="N3" s="1072"/>
      <c r="O3" s="1072"/>
      <c r="P3" s="1072"/>
      <c r="Q3" s="1072"/>
      <c r="R3" s="1072"/>
      <c r="S3" s="1072"/>
      <c r="T3" s="126"/>
      <c r="U3" s="126"/>
      <c r="V3" s="126"/>
      <c r="W3" s="126"/>
      <c r="X3" s="126"/>
      <c r="Y3" s="126"/>
      <c r="Z3" s="126"/>
      <c r="AC3" s="182"/>
      <c r="AR3" s="1029"/>
      <c r="AS3" s="1062"/>
    </row>
    <row r="4" spans="1:45" s="178" customFormat="1" ht="12" hidden="1" customHeight="1">
      <c r="A4" s="983"/>
      <c r="B4" s="667"/>
      <c r="C4" s="1093"/>
      <c r="D4" s="1056"/>
      <c r="E4" s="667"/>
      <c r="G4" s="180"/>
      <c r="H4" s="180"/>
      <c r="I4" s="180"/>
      <c r="J4" s="180"/>
      <c r="K4" s="180"/>
      <c r="L4" s="1072"/>
      <c r="M4" s="1072"/>
      <c r="N4" s="1072"/>
      <c r="O4" s="1072"/>
      <c r="P4" s="1072"/>
      <c r="Q4" s="1072"/>
      <c r="R4" s="1072"/>
      <c r="S4" s="1072"/>
      <c r="T4" s="126"/>
      <c r="U4" s="126"/>
      <c r="V4" s="126"/>
      <c r="W4" s="126"/>
      <c r="X4" s="126"/>
      <c r="Y4" s="126"/>
      <c r="Z4" s="126"/>
      <c r="AC4" s="182"/>
      <c r="AR4" s="1029"/>
      <c r="AS4" s="1062"/>
    </row>
    <row r="5" spans="1:45" s="782" customFormat="1" ht="12" hidden="1" customHeight="1">
      <c r="A5" s="991"/>
      <c r="B5" s="667"/>
      <c r="C5" s="1096"/>
      <c r="D5" s="1055"/>
      <c r="E5" s="676" t="s">
        <v>16</v>
      </c>
      <c r="G5" s="787"/>
      <c r="H5" s="787"/>
      <c r="I5" s="787"/>
      <c r="J5" s="787"/>
      <c r="K5" s="787"/>
      <c r="L5" s="1088"/>
      <c r="M5" s="1088"/>
      <c r="N5" s="1088"/>
      <c r="O5" s="1088"/>
      <c r="P5" s="1088"/>
      <c r="Q5" s="1088"/>
      <c r="R5" s="1088"/>
      <c r="S5" s="1088"/>
      <c r="AA5" s="676">
        <v>3</v>
      </c>
      <c r="AB5" s="676">
        <v>8.1300000000000008</v>
      </c>
      <c r="AC5" s="682">
        <v>70.13</v>
      </c>
      <c r="AD5" s="676">
        <v>14.38</v>
      </c>
      <c r="AE5" s="676">
        <v>12.63</v>
      </c>
      <c r="AF5" s="676">
        <v>12.63</v>
      </c>
      <c r="AG5" s="676">
        <v>12.63</v>
      </c>
      <c r="AH5" s="676">
        <v>19.13</v>
      </c>
      <c r="AI5" s="676">
        <v>12.63</v>
      </c>
      <c r="AJ5" s="676">
        <v>12.63</v>
      </c>
      <c r="AK5" s="676">
        <v>12.63</v>
      </c>
      <c r="AL5" s="676">
        <v>36</v>
      </c>
      <c r="AM5" s="676">
        <v>19</v>
      </c>
      <c r="AN5" s="676">
        <v>17.25</v>
      </c>
      <c r="AO5" s="676">
        <v>31.25</v>
      </c>
      <c r="AP5" s="676">
        <v>3</v>
      </c>
      <c r="AR5" s="957"/>
      <c r="AS5" s="1051"/>
    </row>
    <row r="6" spans="1:45" s="178" customFormat="1" ht="12" hidden="1" customHeight="1">
      <c r="A6" s="983"/>
      <c r="B6" s="667"/>
      <c r="C6" s="1093"/>
      <c r="D6" s="1056"/>
      <c r="E6" s="676"/>
      <c r="G6" s="180"/>
      <c r="H6" s="180"/>
      <c r="I6" s="180"/>
      <c r="J6" s="180"/>
      <c r="K6" s="180"/>
      <c r="L6" s="1072"/>
      <c r="M6" s="1072"/>
      <c r="N6" s="1072"/>
      <c r="O6" s="1072"/>
      <c r="P6" s="1072"/>
      <c r="Q6" s="1072"/>
      <c r="R6" s="1072"/>
      <c r="S6" s="1072"/>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cm="1">
        <f t="array" ref="AK6">god</f>
        <v>2026</v>
      </c>
      <c r="AL6" s="126" cm="1">
        <f t="array" ref="AL6">god</f>
        <v>2026</v>
      </c>
      <c r="AR6" s="1029"/>
      <c r="AS6" s="1062"/>
    </row>
    <row r="7" spans="1:45" ht="12" hidden="1" customHeight="1">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$AK$25</f>
        <v>Принято органом регулирования</v>
      </c>
      <c r="AL7" s="163"/>
    </row>
    <row r="8" spans="1:45" ht="12" hidden="1" customHeight="1">
      <c r="F8" s="180"/>
      <c r="T8" s="163"/>
      <c r="U8" s="163"/>
      <c r="V8" s="163"/>
      <c r="W8" s="163"/>
      <c r="X8" s="163"/>
      <c r="Y8" s="163"/>
      <c r="Z8" s="163"/>
      <c r="AB8" s="180"/>
      <c r="AD8" s="180"/>
      <c r="AE8" s="163" t="str">
        <f t="shared" ref="AE8:AK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2024отклонение факта по данным организации к факту принятому органом регулирования</v>
      </c>
      <c r="AI8" s="163" t="str">
        <f t="shared" si="0"/>
        <v>2025Принято органом регулирования</v>
      </c>
      <c r="AJ8" s="163" t="str">
        <f t="shared" si="0"/>
        <v>2026Предложение организации</v>
      </c>
      <c r="AK8" s="163" t="str">
        <f t="shared" si="0"/>
        <v>2026Принято органом регулирования</v>
      </c>
      <c r="AL8" s="163"/>
    </row>
    <row r="9" spans="1:45" s="1030" customFormat="1" ht="12" hidden="1" customHeight="1">
      <c r="A9" s="958" t="s">
        <v>472</v>
      </c>
      <c r="B9" s="951"/>
      <c r="C9" s="1093"/>
      <c r="D9" s="1056"/>
      <c r="E9" s="951"/>
      <c r="L9" s="1057"/>
      <c r="M9" s="1057"/>
      <c r="N9" s="1057"/>
      <c r="O9" s="1057"/>
      <c r="P9" s="1057"/>
      <c r="Q9" s="1057"/>
      <c r="R9" s="1057"/>
      <c r="S9" s="1057"/>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cm="1">
        <f t="array" ref="AK9">god</f>
        <v>2026</v>
      </c>
      <c r="AL9" s="1030" cm="1">
        <f t="array" ref="AL9">god</f>
        <v>2026</v>
      </c>
      <c r="AR9" s="1029"/>
      <c r="AS9" s="1062"/>
    </row>
    <row r="10" spans="1:45" s="1030" customFormat="1" ht="12" hidden="1" customHeight="1">
      <c r="A10" s="958" t="s">
        <v>473</v>
      </c>
      <c r="B10" s="951"/>
      <c r="C10" s="1093"/>
      <c r="D10" s="1056"/>
      <c r="E10" s="951"/>
      <c r="L10" s="1057"/>
      <c r="M10" s="1057"/>
      <c r="N10" s="1057"/>
      <c r="O10" s="1057"/>
      <c r="P10" s="1057"/>
      <c r="Q10" s="1057"/>
      <c r="R10" s="1057"/>
      <c r="S10" s="1057"/>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Принято органом регулирования</v>
      </c>
      <c r="AL10" s="103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9"/>
      <c r="AS10" s="1062"/>
    </row>
    <row r="11" spans="1:45" s="1030" customFormat="1" ht="12" hidden="1" customHeight="1">
      <c r="A11" s="958" t="s">
        <v>474</v>
      </c>
      <c r="B11" s="951"/>
      <c r="C11" s="1093"/>
      <c r="D11" s="1056"/>
      <c r="E11" s="951"/>
      <c r="G11" s="1033"/>
      <c r="H11" s="1033"/>
      <c r="I11" s="1033"/>
      <c r="J11" s="1033"/>
      <c r="K11" s="1033"/>
      <c r="L11" s="1072"/>
      <c r="M11" s="1072"/>
      <c r="N11" s="1072"/>
      <c r="O11" s="1072"/>
      <c r="P11" s="1072"/>
      <c r="Q11" s="1072"/>
      <c r="R11" s="1072"/>
      <c r="S11" s="1072"/>
      <c r="T11" s="959"/>
      <c r="U11" s="959"/>
      <c r="V11" s="959"/>
      <c r="W11" s="959"/>
      <c r="X11" s="959"/>
      <c r="Y11" s="959"/>
      <c r="Z11" s="959"/>
      <c r="AC11" s="1034"/>
      <c r="AM11" s="1030" t="str" cm="1">
        <f t="array" ref="AM11">AM24</f>
        <v>Указание на подтверждающие документы / URL-ссылка на копии подтверждающих документов</v>
      </c>
      <c r="AN11" s="1030" t="str" cm="1">
        <f t="array" ref="AN11">AN24</f>
        <v>Ссылка на правовую норму (основание для принятия показателя в расчет тарифа)</v>
      </c>
      <c r="AO11" s="103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9"/>
      <c r="AS11" s="1062"/>
    </row>
    <row r="12" spans="1:45" s="1063" customFormat="1" ht="12" hidden="1" customHeight="1">
      <c r="A12" s="1069" t="s">
        <v>103</v>
      </c>
      <c r="B12" s="1051"/>
      <c r="C12" s="1093"/>
      <c r="D12" s="1056"/>
      <c r="E12" s="1051"/>
      <c r="G12" s="1064"/>
      <c r="H12" s="1064"/>
      <c r="I12" s="1064"/>
      <c r="J12" s="1064"/>
      <c r="K12" s="1064"/>
      <c r="L12" s="1072"/>
      <c r="M12" s="1072"/>
      <c r="N12" s="1072"/>
      <c r="O12" s="1072"/>
      <c r="P12" s="1072"/>
      <c r="Q12" s="1072"/>
      <c r="R12" s="1072"/>
      <c r="S12" s="1072"/>
      <c r="T12" s="1066"/>
      <c r="U12" s="1066"/>
      <c r="V12" s="1066"/>
      <c r="W12" s="1066"/>
      <c r="X12" s="1066"/>
      <c r="Y12" s="1066"/>
      <c r="Z12" s="1066"/>
      <c r="AC12" s="1067"/>
      <c r="AE12" s="1062" t="s">
        <v>1631</v>
      </c>
      <c r="AF12" s="1062" t="s">
        <v>1631</v>
      </c>
      <c r="AG12" s="1062" t="s">
        <v>1631</v>
      </c>
      <c r="AH12" s="1062" t="s">
        <v>1631</v>
      </c>
      <c r="AI12" s="1062" t="s">
        <v>1631</v>
      </c>
      <c r="AJ12" s="1062" t="s">
        <v>1631</v>
      </c>
      <c r="AK12" s="1062" t="s">
        <v>1631</v>
      </c>
      <c r="AL12" s="1062" t="s">
        <v>1631</v>
      </c>
    </row>
    <row r="13" spans="1:45" s="1063" customFormat="1" ht="12" hidden="1" customHeight="1">
      <c r="A13" s="1069" t="s">
        <v>1632</v>
      </c>
      <c r="B13" s="1051"/>
      <c r="C13" s="1093"/>
      <c r="D13" s="1056"/>
      <c r="E13" s="1051"/>
      <c r="G13" s="1064"/>
      <c r="H13" s="1064"/>
      <c r="I13" s="1064"/>
      <c r="J13" s="1064"/>
      <c r="K13" s="1064"/>
      <c r="L13" s="1072"/>
      <c r="M13" s="1072"/>
      <c r="N13" s="1072"/>
      <c r="O13" s="1072"/>
      <c r="P13" s="1072"/>
      <c r="Q13" s="1072"/>
      <c r="R13" s="1072"/>
      <c r="S13" s="1072"/>
      <c r="T13" s="1066"/>
      <c r="U13" s="1066"/>
      <c r="V13" s="1066"/>
      <c r="W13" s="1066"/>
      <c r="X13" s="1066"/>
      <c r="Y13" s="1066"/>
      <c r="Z13" s="1066"/>
      <c r="AC13" s="1067"/>
      <c r="AE13" s="1062" cm="1">
        <f t="array" ref="AE13">AE6</f>
        <v>2024</v>
      </c>
      <c r="AF13" s="1062" cm="1">
        <f t="array" ref="AF13">AF6</f>
        <v>2024</v>
      </c>
      <c r="AG13" s="1062" cm="1">
        <f t="array" ref="AG13">AG6</f>
        <v>2024</v>
      </c>
      <c r="AH13" s="1062" cm="1">
        <f t="array" ref="AH13">AH6</f>
        <v>2024</v>
      </c>
      <c r="AI13" s="1062" cm="1">
        <f t="array" ref="AI13">AI6</f>
        <v>2025</v>
      </c>
      <c r="AJ13" s="1062" cm="1">
        <f t="array" ref="AJ13">AJ6</f>
        <v>2026</v>
      </c>
      <c r="AK13" s="1062" cm="1">
        <f t="array" ref="AK13">AK6</f>
        <v>2026</v>
      </c>
      <c r="AL13" s="1062" cm="1">
        <f t="array" ref="AL13">AL6</f>
        <v>2026</v>
      </c>
    </row>
    <row r="14" spans="1:45" s="1063" customFormat="1" ht="12" hidden="1" customHeight="1">
      <c r="A14" s="1069" t="s">
        <v>1633</v>
      </c>
      <c r="B14" s="1051"/>
      <c r="C14" s="1093"/>
      <c r="D14" s="1056"/>
      <c r="E14" s="1051"/>
      <c r="G14" s="1064"/>
      <c r="H14" s="1064"/>
      <c r="I14" s="1064"/>
      <c r="J14" s="1064"/>
      <c r="K14" s="1064"/>
      <c r="L14" s="1072"/>
      <c r="M14" s="1072"/>
      <c r="N14" s="1072"/>
      <c r="O14" s="1072"/>
      <c r="P14" s="1072"/>
      <c r="Q14" s="1072"/>
      <c r="R14" s="1072"/>
      <c r="S14" s="1072"/>
      <c r="T14" s="1066"/>
      <c r="U14" s="1066"/>
      <c r="V14" s="1066"/>
      <c r="W14" s="1066"/>
      <c r="X14" s="1066"/>
      <c r="Y14" s="1066"/>
      <c r="Z14" s="1066"/>
      <c r="AC14" s="1067"/>
      <c r="AE14" s="1062" t="s">
        <v>1634</v>
      </c>
      <c r="AF14" s="1062" t="s">
        <v>1635</v>
      </c>
      <c r="AG14" s="1062" t="s">
        <v>1634</v>
      </c>
      <c r="AH14" s="1062" t="s">
        <v>1636</v>
      </c>
      <c r="AI14" s="1062" t="s">
        <v>1634</v>
      </c>
      <c r="AJ14" s="1062" t="s">
        <v>1635</v>
      </c>
      <c r="AK14" s="1062" t="s">
        <v>1634</v>
      </c>
      <c r="AL14" s="1062" t="s">
        <v>1636</v>
      </c>
    </row>
    <row r="15" spans="1:45" s="1063" customFormat="1" ht="12" hidden="1" customHeight="1">
      <c r="A15" s="1069" t="s">
        <v>1637</v>
      </c>
      <c r="B15" s="1051"/>
      <c r="C15" s="1093"/>
      <c r="D15" s="1056"/>
      <c r="E15" s="1051"/>
      <c r="G15" s="1064"/>
      <c r="H15" s="1064"/>
      <c r="I15" s="1064"/>
      <c r="J15" s="1064"/>
      <c r="K15" s="1064"/>
      <c r="L15" s="1072"/>
      <c r="M15" s="1072"/>
      <c r="N15" s="1072"/>
      <c r="O15" s="1072"/>
      <c r="P15" s="1072"/>
      <c r="Q15" s="1072"/>
      <c r="R15" s="1072"/>
      <c r="S15" s="1072"/>
      <c r="T15" s="1066"/>
      <c r="U15" s="1066"/>
      <c r="V15" s="1066"/>
      <c r="W15" s="1066"/>
      <c r="X15" s="1066"/>
      <c r="Y15" s="1066"/>
      <c r="Z15" s="1066"/>
      <c r="AC15" s="1067"/>
      <c r="AE15" s="1062" t="s">
        <v>1638</v>
      </c>
      <c r="AF15" s="1062" t="s">
        <v>1639</v>
      </c>
      <c r="AG15" s="1062" t="s">
        <v>1639</v>
      </c>
      <c r="AH15" s="1062" t="s">
        <v>1640</v>
      </c>
      <c r="AJ15" s="1066"/>
      <c r="AK15" s="1066"/>
      <c r="AL15" s="1066"/>
    </row>
    <row r="16" spans="1:45" s="1063" customFormat="1" ht="12" hidden="1" customHeight="1">
      <c r="A16" s="1101" t="s">
        <v>1641</v>
      </c>
      <c r="B16" s="1051"/>
      <c r="C16" s="1093"/>
      <c r="D16" s="1056"/>
      <c r="E16" s="1051"/>
      <c r="G16" s="1064"/>
      <c r="H16" s="1064"/>
      <c r="I16" s="1064"/>
      <c r="J16" s="1064"/>
      <c r="K16" s="1064"/>
      <c r="L16" s="1072"/>
      <c r="M16" s="1072"/>
      <c r="N16" s="1072"/>
      <c r="O16" s="1072"/>
      <c r="P16" s="1072"/>
      <c r="Q16" s="1072"/>
      <c r="R16" s="1072"/>
      <c r="S16" s="1072"/>
      <c r="T16" s="1066"/>
      <c r="U16" s="1066"/>
      <c r="V16" s="1066"/>
      <c r="W16" s="1066"/>
      <c r="X16" s="1066"/>
      <c r="Y16" s="1066"/>
      <c r="Z16" s="1066"/>
      <c r="AC16" s="1067"/>
      <c r="AJ16" s="1066"/>
      <c r="AK16" s="1066"/>
      <c r="AL16" s="1066"/>
      <c r="AM16" s="1062" t="s">
        <v>1642</v>
      </c>
      <c r="AN16" s="1062" t="s">
        <v>1643</v>
      </c>
      <c r="AO16" s="1062" t="s">
        <v>1644</v>
      </c>
      <c r="AR16" s="1101"/>
    </row>
    <row r="17" spans="1:45" s="178" customFormat="1" ht="12" hidden="1" customHeight="1">
      <c r="A17" s="983"/>
      <c r="B17" s="667"/>
      <c r="C17" s="1093"/>
      <c r="D17" s="1056"/>
      <c r="E17" s="676"/>
      <c r="G17" s="180"/>
      <c r="H17" s="180"/>
      <c r="I17" s="180"/>
      <c r="J17" s="180"/>
      <c r="K17" s="180"/>
      <c r="L17" s="1072"/>
      <c r="M17" s="1072"/>
      <c r="N17" s="1072"/>
      <c r="O17" s="1072"/>
      <c r="P17" s="1072"/>
      <c r="Q17" s="1072"/>
      <c r="R17" s="1072"/>
      <c r="S17" s="1072"/>
      <c r="T17" s="126"/>
      <c r="U17" s="126"/>
      <c r="V17" s="126"/>
      <c r="W17" s="126"/>
      <c r="X17" s="126"/>
      <c r="Y17" s="126"/>
      <c r="Z17" s="126"/>
      <c r="AC17" s="182"/>
      <c r="AR17" s="1029"/>
      <c r="AS17" s="1062"/>
    </row>
    <row r="18" spans="1:45" s="178" customFormat="1" ht="12" hidden="1" customHeight="1">
      <c r="A18" s="983"/>
      <c r="B18" s="667"/>
      <c r="C18" s="1093"/>
      <c r="D18" s="1056"/>
      <c r="E18" s="676"/>
      <c r="G18" s="180"/>
      <c r="H18" s="180"/>
      <c r="I18" s="180"/>
      <c r="J18" s="180"/>
      <c r="K18" s="180"/>
      <c r="L18" s="1072"/>
      <c r="M18" s="1072"/>
      <c r="N18" s="1072"/>
      <c r="O18" s="1072"/>
      <c r="P18" s="1072"/>
      <c r="Q18" s="1072"/>
      <c r="R18" s="1072"/>
      <c r="S18" s="1072"/>
      <c r="T18" s="126"/>
      <c r="U18" s="126"/>
      <c r="V18" s="126"/>
      <c r="W18" s="126"/>
      <c r="X18" s="126"/>
      <c r="Y18" s="126"/>
      <c r="Z18" s="126"/>
      <c r="AC18" s="182"/>
      <c r="AR18" s="1029"/>
      <c r="AS18" s="1062"/>
    </row>
    <row r="19" spans="1:45" s="178" customFormat="1" ht="12" hidden="1" customHeight="1">
      <c r="A19" s="983"/>
      <c r="B19" s="667"/>
      <c r="C19" s="1093"/>
      <c r="D19" s="1056"/>
      <c r="E19" s="676"/>
      <c r="G19" s="180"/>
      <c r="H19" s="180"/>
      <c r="I19" s="180"/>
      <c r="J19" s="180"/>
      <c r="K19" s="180"/>
      <c r="L19" s="1072"/>
      <c r="M19" s="1072"/>
      <c r="N19" s="1072"/>
      <c r="O19" s="1072"/>
      <c r="P19" s="1072"/>
      <c r="Q19" s="1072"/>
      <c r="R19" s="1072"/>
      <c r="S19" s="1072"/>
      <c r="T19" s="126"/>
      <c r="U19" s="126"/>
      <c r="V19" s="126"/>
      <c r="W19" s="126"/>
      <c r="X19" s="126"/>
      <c r="Y19" s="126"/>
      <c r="Z19" s="126"/>
      <c r="AC19" s="182"/>
      <c r="AR19" s="1029"/>
      <c r="AS19" s="1062"/>
    </row>
    <row r="20" spans="1:45" s="178" customFormat="1" ht="12" hidden="1" customHeight="1">
      <c r="A20" s="983"/>
      <c r="B20" s="667"/>
      <c r="C20" s="1093"/>
      <c r="D20" s="1056"/>
      <c r="E20" s="676"/>
      <c r="G20" s="180"/>
      <c r="H20" s="180"/>
      <c r="I20" s="180"/>
      <c r="J20" s="180"/>
      <c r="K20" s="180"/>
      <c r="L20" s="1072"/>
      <c r="M20" s="1072"/>
      <c r="N20" s="1072"/>
      <c r="O20" s="1072"/>
      <c r="P20" s="1072"/>
      <c r="Q20" s="1072"/>
      <c r="R20" s="1072"/>
      <c r="S20" s="1072"/>
      <c r="T20" s="126"/>
      <c r="U20" s="126"/>
      <c r="V20" s="126"/>
      <c r="W20" s="126"/>
      <c r="X20" s="126"/>
      <c r="Y20" s="126"/>
      <c r="Z20" s="126"/>
      <c r="AC20" s="182"/>
      <c r="AR20" s="1029"/>
      <c r="AS20" s="1062"/>
    </row>
    <row r="21" spans="1:45" ht="14.65" customHeight="1">
      <c r="E21" s="676">
        <v>15</v>
      </c>
      <c r="AA21" s="699"/>
      <c r="AB21" s="180"/>
      <c r="AC21" s="343" t="str" cm="1">
        <f t="array" ref="AC21">tpl_title</f>
        <v>Кемеровская область / 2026 / ОАО «СКЭК» (ИНН:4205153492, КПП:420501001) / ДПР: 2021-2030</v>
      </c>
      <c r="AD21" s="180"/>
    </row>
    <row r="22" spans="1:45" s="1156" customFormat="1" ht="19.5" customHeight="1">
      <c r="A22" s="833"/>
      <c r="B22" s="667"/>
      <c r="C22" s="1097"/>
      <c r="D22" s="1056"/>
      <c r="E22" s="676">
        <v>20.100000000000001</v>
      </c>
      <c r="F22" s="133"/>
      <c r="L22" s="1072"/>
      <c r="M22" s="1072"/>
      <c r="N22" s="1072"/>
      <c r="O22" s="1072"/>
      <c r="P22" s="1072"/>
      <c r="Q22" s="1072"/>
      <c r="R22" s="1072"/>
      <c r="S22" s="1072"/>
      <c r="T22" s="129"/>
      <c r="U22" s="129"/>
      <c r="V22" s="129"/>
      <c r="W22" s="129"/>
      <c r="X22" s="129"/>
      <c r="Y22" s="129"/>
      <c r="Z22" s="129"/>
      <c r="AB22" s="333" t="s">
        <v>65</v>
      </c>
      <c r="AC22" s="274"/>
      <c r="AD22" s="274"/>
      <c r="AE22" s="274"/>
      <c r="AF22" s="274"/>
      <c r="AG22" s="274"/>
      <c r="AH22" s="274"/>
      <c r="AI22" s="274"/>
      <c r="AJ22" s="274"/>
      <c r="AK22" s="274"/>
      <c r="AL22" s="274"/>
      <c r="AM22" s="274"/>
      <c r="AN22" s="274"/>
      <c r="AO22" s="274"/>
      <c r="AR22" s="1019"/>
      <c r="AS22" s="1072"/>
    </row>
    <row r="23" spans="1:45" s="1156" customFormat="1" ht="9.9499999999999993" customHeight="1">
      <c r="A23" s="833"/>
      <c r="B23" s="667"/>
      <c r="C23" s="1097"/>
      <c r="D23" s="1056"/>
      <c r="E23" s="676">
        <v>10.199999999999999</v>
      </c>
      <c r="F23" s="133"/>
      <c r="L23" s="1072"/>
      <c r="M23" s="1072"/>
      <c r="N23" s="1072"/>
      <c r="O23" s="1072"/>
      <c r="P23" s="1072"/>
      <c r="Q23" s="1072"/>
      <c r="R23" s="1072"/>
      <c r="S23" s="1072"/>
      <c r="T23" s="129"/>
      <c r="U23" s="129"/>
      <c r="V23" s="129"/>
      <c r="W23" s="129"/>
      <c r="X23" s="129"/>
      <c r="Y23" s="129"/>
      <c r="Z23" s="129"/>
      <c r="AB23" s="181"/>
      <c r="AC23" s="181"/>
      <c r="AD23" s="181"/>
      <c r="AE23" s="181"/>
      <c r="AF23" s="181"/>
      <c r="AG23" s="181"/>
      <c r="AH23" s="181"/>
      <c r="AI23" s="181"/>
      <c r="AJ23" s="181"/>
      <c r="AK23" s="181"/>
      <c r="AL23" s="181"/>
      <c r="AM23" s="181"/>
      <c r="AN23" s="181"/>
      <c r="AO23" s="181"/>
      <c r="AR23" s="1019"/>
      <c r="AS23" s="1072"/>
    </row>
    <row r="24" spans="1:45" s="179" customFormat="1" ht="24.2" customHeight="1">
      <c r="A24" s="277"/>
      <c r="B24" s="671"/>
      <c r="C24" s="1093"/>
      <c r="D24" s="1086"/>
      <c r="E24" s="682">
        <v>24.8</v>
      </c>
      <c r="F24" s="182"/>
      <c r="L24" s="1089"/>
      <c r="M24" s="1089"/>
      <c r="N24" s="1089"/>
      <c r="O24" s="1089"/>
      <c r="P24" s="1089"/>
      <c r="Q24" s="1089"/>
      <c r="R24" s="1089"/>
      <c r="S24" s="1089"/>
      <c r="T24" s="122"/>
      <c r="U24" s="122"/>
      <c r="V24" s="122"/>
      <c r="W24" s="122"/>
      <c r="X24" s="122"/>
      <c r="Y24" s="122"/>
      <c r="Z24" s="122"/>
      <c r="AB24" s="1827" t="s">
        <v>396</v>
      </c>
      <c r="AC24" s="1827" t="s">
        <v>475</v>
      </c>
      <c r="AD24" s="1827" t="s">
        <v>476</v>
      </c>
      <c r="AE24" s="211" t="str">
        <f>god-2&amp;" год"</f>
        <v>2024 год</v>
      </c>
      <c r="AF24" s="1147" t="str">
        <f>god-2&amp;" год"</f>
        <v>2024 год</v>
      </c>
      <c r="AG24" s="211" t="str">
        <f>god-2&amp;" год"</f>
        <v>2024 год</v>
      </c>
      <c r="AH24" s="211" t="str">
        <f>god-2&amp;" год"</f>
        <v>2024 год</v>
      </c>
      <c r="AI24" s="120" t="str">
        <f>god-1&amp;" год"</f>
        <v>2025 год</v>
      </c>
      <c r="AJ24" s="1141" t="str">
        <f>god&amp;" год"</f>
        <v>2026 год</v>
      </c>
      <c r="AK24" s="121" t="str">
        <f>god&amp;" год"</f>
        <v>2026 год</v>
      </c>
      <c r="AL24" s="121" t="str">
        <f>god&amp;" год"</f>
        <v>2026 год</v>
      </c>
      <c r="AM24" s="1826" t="s">
        <v>1346</v>
      </c>
      <c r="AN24" s="1826" t="s">
        <v>630</v>
      </c>
      <c r="AO24" s="1826" t="s">
        <v>1347</v>
      </c>
      <c r="AR24" s="1029"/>
      <c r="AS24" s="1074"/>
    </row>
    <row r="25" spans="1:45" s="179" customFormat="1" ht="44.65" customHeight="1">
      <c r="A25" s="277"/>
      <c r="B25" s="671"/>
      <c r="C25" s="1093"/>
      <c r="D25" s="1086"/>
      <c r="E25" s="682">
        <v>45.8</v>
      </c>
      <c r="F25" s="182"/>
      <c r="L25" s="1089"/>
      <c r="M25" s="1089"/>
      <c r="N25" s="1089"/>
      <c r="O25" s="1089"/>
      <c r="P25" s="1089"/>
      <c r="Q25" s="1089"/>
      <c r="R25" s="1089"/>
      <c r="S25" s="1089"/>
      <c r="T25" s="122"/>
      <c r="U25" s="122"/>
      <c r="V25" s="122"/>
      <c r="W25" s="122"/>
      <c r="X25" s="122"/>
      <c r="Y25" s="122"/>
      <c r="Z25" s="122"/>
      <c r="AB25" s="1827"/>
      <c r="AC25" s="1827"/>
      <c r="AD25" s="1827"/>
      <c r="AE25" s="120" t="s">
        <v>412</v>
      </c>
      <c r="AF25" s="1143" t="s">
        <v>631</v>
      </c>
      <c r="AG25" s="120" t="s">
        <v>632</v>
      </c>
      <c r="AH25" s="211" t="s">
        <v>1348</v>
      </c>
      <c r="AI25" s="120" t="s">
        <v>412</v>
      </c>
      <c r="AJ25" s="1142" t="s">
        <v>413</v>
      </c>
      <c r="AK25" s="351" t="s">
        <v>412</v>
      </c>
      <c r="AL25" s="211" t="s">
        <v>1349</v>
      </c>
      <c r="AM25" s="1826"/>
      <c r="AN25" s="1826"/>
      <c r="AO25" s="1826"/>
      <c r="AR25" s="1029"/>
      <c r="AS25" s="1074"/>
    </row>
    <row r="26" spans="1:45" s="179" customFormat="1" ht="14.25" hidden="1" customHeight="1">
      <c r="A26" s="277"/>
      <c r="B26" s="671"/>
      <c r="C26" s="1093"/>
      <c r="D26" s="1086"/>
      <c r="E26" s="682">
        <v>0</v>
      </c>
      <c r="F26" s="182"/>
      <c r="L26" s="1089"/>
      <c r="M26" s="1089"/>
      <c r="N26" s="1089"/>
      <c r="O26" s="1089"/>
      <c r="P26" s="1089"/>
      <c r="Q26" s="1089"/>
      <c r="R26" s="1089"/>
      <c r="S26" s="1089"/>
      <c r="T26" s="122"/>
      <c r="U26" s="122"/>
      <c r="V26" s="122"/>
      <c r="W26" s="122"/>
      <c r="X26" s="122"/>
      <c r="Y26" s="122"/>
      <c r="Z26" s="122"/>
      <c r="AB26" s="597"/>
      <c r="AC26" s="597"/>
      <c r="AD26" s="597"/>
      <c r="AE26" s="122"/>
      <c r="AF26" s="122"/>
      <c r="AG26" s="122"/>
      <c r="AH26" s="182"/>
      <c r="AI26" s="122"/>
      <c r="AJ26" s="122"/>
      <c r="AK26" s="122"/>
      <c r="AL26" s="182"/>
      <c r="AM26" s="182"/>
      <c r="AN26" s="182"/>
      <c r="AO26" s="182"/>
      <c r="AR26" s="1029"/>
      <c r="AS26" s="1074"/>
    </row>
    <row r="27" spans="1:45" s="170" customFormat="1" ht="16.7" hidden="1" customHeight="1">
      <c r="C27" s="1098"/>
      <c r="D27" s="1048"/>
      <c r="E27" s="676">
        <v>17.100000000000001</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K27" s="163" cm="1">
        <f t="array" ref="K27">INDEX('Общие сведения'!$AL$187:$AL$236,MATCH($F27,'Общие сведения'!$Z$187:$Z$236,0))</f>
        <v>0</v>
      </c>
      <c r="L27" s="1088"/>
      <c r="M27" s="1088"/>
      <c r="N27" s="1088"/>
      <c r="O27" s="1088"/>
      <c r="P27" s="1088"/>
      <c r="Q27" s="1088"/>
      <c r="R27" s="1088"/>
      <c r="S27" s="1088"/>
      <c r="T27" s="687" t="b">
        <f>X27&gt;0</f>
        <v>0</v>
      </c>
      <c r="V27" s="126" t="s">
        <v>315</v>
      </c>
      <c r="X27" s="1838">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R27" s="1002"/>
      <c r="AS27" s="1076"/>
    </row>
    <row r="28" spans="1:45" ht="34.15" hidden="1" customHeight="1">
      <c r="C28" s="1094" t="s">
        <v>1858</v>
      </c>
      <c r="D28" s="1053" t="s">
        <v>1859</v>
      </c>
      <c r="E28" s="676">
        <v>35</v>
      </c>
      <c r="F28" s="779" cm="1">
        <f t="array" aca="1" ref="F28" ca="1">OFFSET(G28,-1,-1)</f>
        <v>0</v>
      </c>
      <c r="L28" s="1082"/>
      <c r="M28" s="1082" cm="1">
        <f t="array" ref="M28">INDEX('Общие сведения'!$N$187:$N$236,MATCH($F27,'Общие сведения'!$Z$187:$Z$236,0)+1)</f>
        <v>0</v>
      </c>
      <c r="N28" s="1082"/>
      <c r="O28" s="1082"/>
      <c r="P28" s="1082"/>
      <c r="Q28" s="1082"/>
      <c r="R28" s="1082"/>
      <c r="S28" s="1082"/>
      <c r="T28" s="687" t="b" cm="1">
        <f t="array" ref="T28">T27</f>
        <v>0</v>
      </c>
      <c r="X28" s="1726"/>
      <c r="Z28" s="1726"/>
      <c r="AB28" s="834">
        <v>1</v>
      </c>
      <c r="AC28" s="835" t="s">
        <v>1860</v>
      </c>
      <c r="AD28" s="836" t="s">
        <v>1077</v>
      </c>
      <c r="AE28" s="515">
        <f ca="1">AE29+AE30+AE31+AE34+AE35+AE36+AE37+AE38+AE40+AE41+AE42+AE43+AE44+AE45+AE46+AE47+AE48+AE49</f>
        <v>0</v>
      </c>
      <c r="AF28" s="515">
        <f ca="1">AF29+AF30+AF31+AF34+AF35+AF36+AF37+AF38+AF40+AF41+AF42+AF43+AF44+AF45+AF46+AF47+AF48+AF49</f>
        <v>0</v>
      </c>
      <c r="AG28" s="515">
        <f ca="1">AG29+AG30+AG31+AG34+AG35+AG36+AG37+AG38+AG40+AG41+AG42+AG43+AG44+AG45+AG46+AG47+AG48+AG49</f>
        <v>0</v>
      </c>
      <c r="AH28" s="256">
        <f t="shared" ref="AH28:AH74" ca="1" si="1">AG28-AF28</f>
        <v>0</v>
      </c>
      <c r="AI28" s="515">
        <f ca="1">AI29+AI30+AI31+AI34+AI35+AI36+AI37+AI38+AI40+AI41+AI42+AI43+AI44+AI45+AI46+AI47+AI48+AI49</f>
        <v>0</v>
      </c>
      <c r="AJ28" s="515">
        <f ca="1">AJ29+AJ30+AJ31+AJ34+AJ35+AJ36+AJ37+AJ38+AJ40+AJ41+AJ42+AJ43+AJ44+AJ45+AJ46+AJ47+AJ48+AJ49</f>
        <v>0</v>
      </c>
      <c r="AK28" s="515">
        <f ca="1">AK29+AK30+AK31+AK34+AK35+AK36+AK37+AK38+AK40+AK41+AK42+AK43+AK44+AK45+AK46+AK47+AK48+AK49</f>
        <v>0</v>
      </c>
      <c r="AL28" s="256">
        <f t="shared" ref="AL28:AL59" ca="1" si="2">IF(AI28=0,0,(AK28-AI28)/AI28*100)</f>
        <v>0</v>
      </c>
      <c r="AM28" s="28"/>
      <c r="AN28" s="28"/>
      <c r="AO28" s="28"/>
      <c r="AR28" s="1029" t="s">
        <v>1861</v>
      </c>
      <c r="AS28" s="1064"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94" t="s">
        <v>1858</v>
      </c>
      <c r="D29" s="1053" t="s">
        <v>1859</v>
      </c>
      <c r="E29" s="676">
        <v>17.100000000000001</v>
      </c>
      <c r="F29" s="779" cm="1">
        <f t="array" aca="1" ref="F29" ca="1">OFFSET(G29,-1,-1)</f>
        <v>0</v>
      </c>
      <c r="L29" s="1082" t="s">
        <v>1862</v>
      </c>
      <c r="M29" s="1080" cm="1">
        <f t="array" aca="1" ref="M29" ca="1">OFFSET(L29,-1,1)</f>
        <v>0</v>
      </c>
      <c r="N29" s="1082"/>
      <c r="O29" s="1082"/>
      <c r="P29" s="1082"/>
      <c r="Q29" s="1082"/>
      <c r="R29" s="1082"/>
      <c r="S29" s="1082"/>
      <c r="T29" s="687" t="b" cm="1">
        <f t="array" ref="T29">T28</f>
        <v>0</v>
      </c>
      <c r="X29" s="1726"/>
      <c r="Z29" s="1726"/>
      <c r="AB29" s="837" t="s">
        <v>484</v>
      </c>
      <c r="AC29" s="838" t="s">
        <v>1863</v>
      </c>
      <c r="AD29" s="839" t="s">
        <v>1077</v>
      </c>
      <c r="AE29" s="77"/>
      <c r="AF29" s="77"/>
      <c r="AG29" s="77"/>
      <c r="AH29" s="256">
        <f t="shared" si="1"/>
        <v>0</v>
      </c>
      <c r="AI29" s="77"/>
      <c r="AJ29" s="517"/>
      <c r="AK29" s="517"/>
      <c r="AL29" s="256">
        <f t="shared" si="2"/>
        <v>0</v>
      </c>
      <c r="AM29" s="28"/>
      <c r="AN29" s="28"/>
      <c r="AO29" s="28"/>
      <c r="AR29" s="1029" t="s">
        <v>1354</v>
      </c>
      <c r="AS29" s="1064"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94" t="s">
        <v>1858</v>
      </c>
      <c r="D30" s="1053" t="s">
        <v>1859</v>
      </c>
      <c r="E30" s="676">
        <v>26.3</v>
      </c>
      <c r="F30" s="779" cm="1">
        <f t="array" aca="1" ref="F30" ca="1">OFFSET(G30,-1,-1)</f>
        <v>0</v>
      </c>
      <c r="G30" s="143" t="s">
        <v>1445</v>
      </c>
      <c r="L30" s="1082" t="s">
        <v>1864</v>
      </c>
      <c r="M30" s="1080" cm="1">
        <f t="array" aca="1" ref="M30" ca="1">OFFSET(L30,-1,1)</f>
        <v>0</v>
      </c>
      <c r="N30" s="1082"/>
      <c r="O30" s="1082"/>
      <c r="P30" s="1082"/>
      <c r="Q30" s="1082"/>
      <c r="R30" s="1082"/>
      <c r="S30" s="1082"/>
      <c r="T30" s="687" t="b" cm="1">
        <f t="array" ref="T30">T29</f>
        <v>0</v>
      </c>
      <c r="X30" s="1726"/>
      <c r="Z30" s="1726"/>
      <c r="AB30" s="837" t="s">
        <v>989</v>
      </c>
      <c r="AC30" s="838" t="s">
        <v>1446</v>
      </c>
      <c r="AD30" s="839" t="s">
        <v>1077</v>
      </c>
      <c r="AE30" s="256">
        <f ca="1">SUMIFS('Топливо 4.4'!AH$27:AH$436,'Топливо 4.4'!$F$27:$F$436,$F30,'Топливо 4.4'!$G$27:$G$436,$G30)</f>
        <v>0</v>
      </c>
      <c r="AF30" s="256">
        <f ca="1">SUMIFS('Топливо 4.4'!AI$27:AI$436,'Топливо 4.4'!$F$27:$F$436,$F30,'Топливо 4.4'!$G$27:$G$436,$G30)</f>
        <v>0</v>
      </c>
      <c r="AG30" s="256">
        <f ca="1">SUMIFS('Топливо 4.4'!AJ$27:AJ$436,'Топливо 4.4'!$F$27:$F$436,$F30,'Топливо 4.4'!$G$27:$G$436,$G30)</f>
        <v>0</v>
      </c>
      <c r="AH30" s="256">
        <f t="shared" ca="1" si="1"/>
        <v>0</v>
      </c>
      <c r="AI30" s="256">
        <f ca="1">SUMIFS('Топливо 4.4'!AK$27:AK$436,'Топливо 4.4'!$F$27:$F$436,$F30,'Топливо 4.4'!$G$27:$G$436,$G30)</f>
        <v>0</v>
      </c>
      <c r="AJ30" s="256">
        <f ca="1">SUMIFS('Топливо 4.4'!AL$27:AL$436,'Топливо 4.4'!$F$27:$F$436,$F30,'Топливо 4.4'!$G$27:$G$436,$G30)</f>
        <v>0</v>
      </c>
      <c r="AK30" s="256">
        <f ca="1">SUMIFS('Топливо 4.4'!BP$27:BP$436,'Топливо 4.4'!$F$27:$F$436,$F30,'Топливо 4.4'!$G$27:$G$436,$G30)</f>
        <v>0</v>
      </c>
      <c r="AL30" s="256">
        <f t="shared" ca="1" si="2"/>
        <v>0</v>
      </c>
      <c r="AM30" s="28"/>
      <c r="AN30" s="28"/>
      <c r="AO30" s="28"/>
      <c r="AR30" s="1029" t="s">
        <v>1440</v>
      </c>
      <c r="AS30" s="1064"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94" t="s">
        <v>1858</v>
      </c>
      <c r="D31" s="1053" t="s">
        <v>1859</v>
      </c>
      <c r="E31" s="676">
        <v>17.100000000000001</v>
      </c>
      <c r="F31" s="779" cm="1">
        <f t="array" aca="1" ref="F31" ca="1">OFFSET(G31,-1,-1)</f>
        <v>0</v>
      </c>
      <c r="L31" s="1082" t="s">
        <v>1865</v>
      </c>
      <c r="M31" s="1080" cm="1">
        <f t="array" aca="1" ref="M31" ca="1">OFFSET(L31,-1,1)</f>
        <v>0</v>
      </c>
      <c r="N31" s="1082"/>
      <c r="O31" s="1082"/>
      <c r="P31" s="1082"/>
      <c r="Q31" s="1082"/>
      <c r="R31" s="1082"/>
      <c r="S31" s="1082"/>
      <c r="T31" s="687" t="b" cm="1">
        <f t="array" ref="T31">T30</f>
        <v>0</v>
      </c>
      <c r="X31" s="1726"/>
      <c r="Z31" s="1726"/>
      <c r="AB31" s="837" t="s">
        <v>991</v>
      </c>
      <c r="AC31" s="838" t="s">
        <v>39</v>
      </c>
      <c r="AD31" s="839" t="s">
        <v>1077</v>
      </c>
      <c r="AE31" s="515">
        <f ca="1">SUM(AE32:AE33)</f>
        <v>0</v>
      </c>
      <c r="AF31" s="515">
        <f ca="1">SUM(AF32:AF33)</f>
        <v>0</v>
      </c>
      <c r="AG31" s="515">
        <f ca="1">SUM(AG32:AG33)</f>
        <v>0</v>
      </c>
      <c r="AH31" s="256">
        <f t="shared" ca="1" si="1"/>
        <v>0</v>
      </c>
      <c r="AI31" s="515">
        <f ca="1">SUM(AI32:AI33)</f>
        <v>0</v>
      </c>
      <c r="AJ31" s="515">
        <f ca="1">SUM(AJ32:AJ33)</f>
        <v>0</v>
      </c>
      <c r="AK31" s="515">
        <f ca="1">SUM(AK32:AK33)</f>
        <v>0</v>
      </c>
      <c r="AL31" s="256">
        <f t="shared" ca="1" si="2"/>
        <v>0</v>
      </c>
      <c r="AM31" s="28"/>
      <c r="AN31" s="28"/>
      <c r="AO31" s="28"/>
      <c r="AR31" s="1029" t="s">
        <v>1866</v>
      </c>
      <c r="AS31" s="1064"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94" t="s">
        <v>1858</v>
      </c>
      <c r="D32" s="1053" t="s">
        <v>1859</v>
      </c>
      <c r="E32" s="676">
        <v>17.100000000000001</v>
      </c>
      <c r="F32" s="779" cm="1">
        <f t="array" aca="1" ref="F32" ca="1">OFFSET(G32,-1,-1)</f>
        <v>0</v>
      </c>
      <c r="G32" s="143" t="s">
        <v>983</v>
      </c>
      <c r="L32" s="1082" t="s">
        <v>1867</v>
      </c>
      <c r="M32" s="1080" cm="1">
        <f t="array" aca="1" ref="M32" ca="1">OFFSET(L32,-1,1)</f>
        <v>0</v>
      </c>
      <c r="N32" s="1082"/>
      <c r="O32" s="1082"/>
      <c r="P32" s="1082"/>
      <c r="Q32" s="1082"/>
      <c r="R32" s="1082"/>
      <c r="S32" s="1082"/>
      <c r="T32" s="687" t="b" cm="1">
        <f t="array" ref="T32">T31</f>
        <v>0</v>
      </c>
      <c r="X32" s="1726"/>
      <c r="Z32" s="1726"/>
      <c r="AB32" s="837" t="s">
        <v>1223</v>
      </c>
      <c r="AC32" s="573" t="s">
        <v>1868</v>
      </c>
      <c r="AD32" s="839" t="s">
        <v>1077</v>
      </c>
      <c r="AE32" s="256">
        <f ca="1">SUMIFS(ЭнергоРесурсы!AE$26:AE$156,ЭнергоРесурсы!$F$26:$F$156,$F32,ЭнергоРесурсы!$G$26:$G$156,$G32)</f>
        <v>0</v>
      </c>
      <c r="AF32" s="256">
        <f ca="1">SUMIFS(ЭнергоРесурсы!AF$26:AF$156,ЭнергоРесурсы!$F$26:$F$156,$F32,ЭнергоРесурсы!$G$26:$G$156,$G32)</f>
        <v>0</v>
      </c>
      <c r="AG32" s="256">
        <f ca="1">SUMIFS(ЭнергоРесурсы!AG$26:AG$156,ЭнергоРесурсы!$F$26:$F$156,$F32,ЭнергоРесурсы!$G$26:$G$156,$G32)</f>
        <v>0</v>
      </c>
      <c r="AH32" s="256">
        <f t="shared" ca="1" si="1"/>
        <v>0</v>
      </c>
      <c r="AI32" s="256">
        <f ca="1">SUMIFS(ЭнергоРесурсы!AH$26:AH$156,ЭнергоРесурсы!$F$26:$F$156,$F32,ЭнергоРесурсы!$G$26:$G$156,$G32)</f>
        <v>0</v>
      </c>
      <c r="AJ32" s="256">
        <f ca="1">SUMIFS(ЭнергоРесурсы!AI$26:AI$156,ЭнергоРесурсы!$F$26:$F$156,$F32,ЭнергоРесурсы!$G$26:$G$156,$G32)</f>
        <v>0</v>
      </c>
      <c r="AK32" s="256">
        <f ca="1">SUMIFS(ЭнергоРесурсы!AS$26:AS$156,ЭнергоРесурсы!$F$26:$F$156,$F32,ЭнергоРесурсы!$G$26:$G$156,$G32)</f>
        <v>0</v>
      </c>
      <c r="AL32" s="256">
        <f t="shared" ca="1" si="2"/>
        <v>0</v>
      </c>
      <c r="AM32" s="28"/>
      <c r="AN32" s="28"/>
      <c r="AO32" s="28"/>
      <c r="AR32" s="1029" t="s">
        <v>1869</v>
      </c>
      <c r="AS32" s="1064"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94" t="s">
        <v>1858</v>
      </c>
      <c r="D33" s="1053" t="s">
        <v>1859</v>
      </c>
      <c r="E33" s="676">
        <v>17.100000000000001</v>
      </c>
      <c r="F33" s="779" cm="1">
        <f t="array" aca="1" ref="F33" ca="1">OFFSET(G33,-1,-1)</f>
        <v>0</v>
      </c>
      <c r="G33" s="143" t="s">
        <v>1018</v>
      </c>
      <c r="L33" s="1082" t="s">
        <v>1870</v>
      </c>
      <c r="M33" s="1080" cm="1">
        <f t="array" aca="1" ref="M33" ca="1">OFFSET(L33,-1,1)</f>
        <v>0</v>
      </c>
      <c r="N33" s="1082"/>
      <c r="O33" s="1082"/>
      <c r="P33" s="1082"/>
      <c r="Q33" s="1082"/>
      <c r="R33" s="1082"/>
      <c r="S33" s="1082"/>
      <c r="T33" s="687" t="b" cm="1">
        <f t="array" ref="T33">T32</f>
        <v>0</v>
      </c>
      <c r="X33" s="1726"/>
      <c r="Z33" s="1726"/>
      <c r="AB33" s="837" t="s">
        <v>1227</v>
      </c>
      <c r="AC33" s="573" t="s">
        <v>1871</v>
      </c>
      <c r="AD33" s="839" t="s">
        <v>1077</v>
      </c>
      <c r="AE33" s="256">
        <f ca="1">SUMIFS(ЭнергоРесурсы!AE$26:AE$156,ЭнергоРесурсы!$F$26:$F$156,$F33,ЭнергоРесурсы!$G$26:$G$156,$G33)</f>
        <v>0</v>
      </c>
      <c r="AF33" s="256">
        <f ca="1">SUMIFS(ЭнергоРесурсы!AF$26:AF$156,ЭнергоРесурсы!$F$26:$F$156,$F33,ЭнергоРесурсы!$G$26:$G$156,$G33)</f>
        <v>0</v>
      </c>
      <c r="AG33" s="256">
        <f ca="1">SUMIFS(ЭнергоРесурсы!AG$26:AG$156,ЭнергоРесурсы!$F$26:$F$156,$F33,ЭнергоРесурсы!$G$26:$G$156,$G33)</f>
        <v>0</v>
      </c>
      <c r="AH33" s="256">
        <f t="shared" ca="1" si="1"/>
        <v>0</v>
      </c>
      <c r="AI33" s="256">
        <f ca="1">SUMIFS(ЭнергоРесурсы!AH$26:AH$156,ЭнергоРесурсы!$F$26:$F$156,$F33,ЭнергоРесурсы!$G$26:$G$156,$G33)</f>
        <v>0</v>
      </c>
      <c r="AJ33" s="256">
        <f ca="1">SUMIFS(ЭнергоРесурсы!AI$26:AI$156,ЭнергоРесурсы!$F$26:$F$156,$F33,ЭнергоРесурсы!$G$26:$G$156,$G33)</f>
        <v>0</v>
      </c>
      <c r="AK33" s="256">
        <f ca="1">SUMIFS(ЭнергоРесурсы!AS$26:AS$156,ЭнергоРесурсы!$F$26:$F$156,$F33,ЭнергоРесурсы!$G$26:$G$156,$G33)</f>
        <v>0</v>
      </c>
      <c r="AL33" s="256">
        <f t="shared" ca="1" si="2"/>
        <v>0</v>
      </c>
      <c r="AM33" s="28"/>
      <c r="AN33" s="28"/>
      <c r="AO33" s="28"/>
      <c r="AR33" s="1029" t="s">
        <v>1872</v>
      </c>
      <c r="AS33" s="1064"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94" t="s">
        <v>1858</v>
      </c>
      <c r="D34" s="1053" t="s">
        <v>1859</v>
      </c>
      <c r="E34" s="676">
        <v>17.100000000000001</v>
      </c>
      <c r="F34" s="779" cm="1">
        <f t="array" aca="1" ref="F34" ca="1">OFFSET(G34,-1,-1)</f>
        <v>0</v>
      </c>
      <c r="G34" s="143" t="s">
        <v>1050</v>
      </c>
      <c r="L34" s="1082" t="s">
        <v>1873</v>
      </c>
      <c r="M34" s="1080" cm="1">
        <f t="array" aca="1" ref="M34" ca="1">OFFSET(L34,-1,1)</f>
        <v>0</v>
      </c>
      <c r="N34" s="1082"/>
      <c r="O34" s="1082"/>
      <c r="P34" s="1082"/>
      <c r="Q34" s="1082"/>
      <c r="R34" s="1082"/>
      <c r="S34" s="1082"/>
      <c r="T34" s="687" t="b" cm="1">
        <f t="array" ref="T34">T33</f>
        <v>0</v>
      </c>
      <c r="X34" s="1726"/>
      <c r="Z34" s="1726"/>
      <c r="AB34" s="837" t="s">
        <v>995</v>
      </c>
      <c r="AC34" s="838" t="s">
        <v>1051</v>
      </c>
      <c r="AD34" s="839" t="s">
        <v>1077</v>
      </c>
      <c r="AE34" s="463">
        <f ca="1">SUMIFS('ХВС, ТН'!AE$26:AE$72,'ХВС, ТН'!$F$26:$F$72,$F34,'ХВС, ТН'!$G$26:$G$72,$G34)</f>
        <v>0</v>
      </c>
      <c r="AF34" s="463">
        <f ca="1">SUMIFS('ХВС, ТН'!AF$26:AF$72,'ХВС, ТН'!$F$26:$F$72,$F34,'ХВС, ТН'!$G$26:$G$72,$G34)</f>
        <v>0</v>
      </c>
      <c r="AG34" s="463">
        <f ca="1">SUMIFS('ХВС, ТН'!AG$26:AG$72,'ХВС, ТН'!$F$26:$F$72,$F34,'ХВС, ТН'!$G$26:$G$72,$G34)</f>
        <v>0</v>
      </c>
      <c r="AH34" s="256">
        <f t="shared" ca="1" si="1"/>
        <v>0</v>
      </c>
      <c r="AI34" s="463">
        <f ca="1">SUMIFS('ХВС, ТН'!AH$26:AH$72,'ХВС, ТН'!$F$26:$F$72,$F34,'ХВС, ТН'!$G$26:$G$72,$G34)</f>
        <v>0</v>
      </c>
      <c r="AJ34" s="463">
        <f ca="1">SUMIFS('ХВС, ТН'!AI$26:AI$72,'ХВС, ТН'!$F$26:$F$72,$F34,'ХВС, ТН'!$G$26:$G$72,$G34)</f>
        <v>0</v>
      </c>
      <c r="AK34" s="463">
        <f ca="1">SUMIFS('ХВС, ТН'!AS$26:AS$72,'ХВС, ТН'!$F$26:$F$72,$F34,'ХВС, ТН'!$G$26:$G$72,$G34)</f>
        <v>0</v>
      </c>
      <c r="AL34" s="256">
        <f t="shared" ca="1" si="2"/>
        <v>0</v>
      </c>
      <c r="AM34" s="28"/>
      <c r="AN34" s="28"/>
      <c r="AO34" s="28"/>
      <c r="AR34" s="1029" t="s">
        <v>1450</v>
      </c>
      <c r="AS34" s="1064"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94" t="s">
        <v>1858</v>
      </c>
      <c r="D35" s="1053" t="s">
        <v>1859</v>
      </c>
      <c r="E35" s="676">
        <v>17.100000000000001</v>
      </c>
      <c r="F35" s="779" cm="1">
        <f t="array" aca="1" ref="F35" ca="1">OFFSET(G35,-1,-1)</f>
        <v>0</v>
      </c>
      <c r="G35" s="143" t="s">
        <v>1061</v>
      </c>
      <c r="L35" s="1082" t="s">
        <v>1874</v>
      </c>
      <c r="M35" s="1080" cm="1">
        <f t="array" aca="1" ref="M35" ca="1">OFFSET(L35,-1,1)</f>
        <v>0</v>
      </c>
      <c r="N35" s="1082"/>
      <c r="O35" s="1082"/>
      <c r="P35" s="1082"/>
      <c r="Q35" s="1082"/>
      <c r="R35" s="1082"/>
      <c r="S35" s="1082"/>
      <c r="T35" s="687" t="b" cm="1">
        <f t="array" ref="T35">T34</f>
        <v>0</v>
      </c>
      <c r="X35" s="1726"/>
      <c r="Z35" s="1726"/>
      <c r="AB35" s="837" t="s">
        <v>1100</v>
      </c>
      <c r="AC35" s="838" t="s">
        <v>1062</v>
      </c>
      <c r="AD35" s="839" t="s">
        <v>1077</v>
      </c>
      <c r="AE35" s="463">
        <f ca="1">SUMIFS('ХВС, ТН'!AE$26:AE$72,'ХВС, ТН'!$F$26:$F$72,$F35,'ХВС, ТН'!$G$26:$G$72,$G35)</f>
        <v>0</v>
      </c>
      <c r="AF35" s="463">
        <f ca="1">SUMIFS('ХВС, ТН'!AF$26:AF$72,'ХВС, ТН'!$F$26:$F$72,$F35,'ХВС, ТН'!$G$26:$G$72,$G35)</f>
        <v>0</v>
      </c>
      <c r="AG35" s="463">
        <f ca="1">SUMIFS('ХВС, ТН'!AG$26:AG$72,'ХВС, ТН'!$F$26:$F$72,$F35,'ХВС, ТН'!$G$26:$G$72,$G35)</f>
        <v>0</v>
      </c>
      <c r="AH35" s="256">
        <f t="shared" ca="1" si="1"/>
        <v>0</v>
      </c>
      <c r="AI35" s="463">
        <f ca="1">SUMIFS('ХВС, ТН'!AH$26:AH$72,'ХВС, ТН'!$F$26:$F$72,$F35,'ХВС, ТН'!$G$26:$G$72,$G35)</f>
        <v>0</v>
      </c>
      <c r="AJ35" s="463">
        <f ca="1">SUMIFS('ХВС, ТН'!AI$26:AI$72,'ХВС, ТН'!$F$26:$F$72,$F35,'ХВС, ТН'!$G$26:$G$72,$G35)</f>
        <v>0</v>
      </c>
      <c r="AK35" s="463">
        <f ca="1">SUMIFS('ХВС, ТН'!AS$26:AS$72,'ХВС, ТН'!$F$26:$F$72,$F35,'ХВС, ТН'!$G$26:$G$72,$G35)</f>
        <v>0</v>
      </c>
      <c r="AL35" s="256">
        <f t="shared" ca="1" si="2"/>
        <v>0</v>
      </c>
      <c r="AM35" s="28"/>
      <c r="AN35" s="28"/>
      <c r="AO35" s="28"/>
      <c r="AR35" s="1029" t="s">
        <v>1451</v>
      </c>
      <c r="AS35" s="1064"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94" t="s">
        <v>1858</v>
      </c>
      <c r="D36" s="1053" t="s">
        <v>1859</v>
      </c>
      <c r="E36" s="676">
        <v>17.100000000000001</v>
      </c>
      <c r="F36" s="779" cm="1">
        <f t="array" aca="1" ref="F36" ca="1">OFFSET(G36,-1,-1)</f>
        <v>0</v>
      </c>
      <c r="G36" s="143" t="s">
        <v>1187</v>
      </c>
      <c r="L36" s="1082" t="s">
        <v>1875</v>
      </c>
      <c r="M36" s="1080" cm="1">
        <f t="array" aca="1" ref="M36" ca="1">OFFSET(L36,-1,1)</f>
        <v>0</v>
      </c>
      <c r="N36" s="1082"/>
      <c r="O36" s="1082"/>
      <c r="P36" s="1082"/>
      <c r="Q36" s="1082"/>
      <c r="R36" s="1082"/>
      <c r="S36" s="1082"/>
      <c r="T36" s="687" t="b" cm="1">
        <f t="array" ref="T36">T35</f>
        <v>0</v>
      </c>
      <c r="X36" s="1726"/>
      <c r="Z36" s="1726"/>
      <c r="AB36" s="837" t="s">
        <v>1103</v>
      </c>
      <c r="AC36" s="838" t="s">
        <v>1429</v>
      </c>
      <c r="AD36" s="839" t="s">
        <v>1077</v>
      </c>
      <c r="AE36" s="515">
        <f ca="1">SUMIFS(Амортизация!AE$26:AE$324,Амортизация!$F$26:$F$324,$F36,Амортизация!$G$26:$G$324,$G36)</f>
        <v>0</v>
      </c>
      <c r="AF36" s="515">
        <f ca="1">SUMIFS(Амортизация!AF$26:AF$324,Амортизация!$F$26:$F$324,$F36,Амортизация!$G$26:$G$324,$G36)</f>
        <v>0</v>
      </c>
      <c r="AG36" s="515">
        <f ca="1">SUMIFS(Амортизация!AG$26:AG$324,Амортизация!$F$26:$F$324,$F36,Амортизация!$G$26:$G$324,$G36)</f>
        <v>0</v>
      </c>
      <c r="AH36" s="256">
        <f t="shared" ca="1" si="1"/>
        <v>0</v>
      </c>
      <c r="AI36" s="515">
        <f ca="1">SUMIFS(Амортизация!AH$26:AH$324,Амортизация!$F$26:$F$324,$F36,Амортизация!$G$26:$G$324,$G36)</f>
        <v>0</v>
      </c>
      <c r="AJ36" s="515">
        <f ca="1">SUMIFS(Амортизация!AI$26:AI$324,Амортизация!$F$26:$F$324,$F36,Амортизация!$G$26:$G$324,$G36)</f>
        <v>0</v>
      </c>
      <c r="AK36" s="515">
        <f ca="1">SUMIFS(Амортизация!AS$26:AS$324,Амортизация!$F$26:$F$324,$F36,Амортизация!$G$26:$G$324,$G36)</f>
        <v>0</v>
      </c>
      <c r="AL36" s="256">
        <f t="shared" ca="1" si="2"/>
        <v>0</v>
      </c>
      <c r="AM36" s="28"/>
      <c r="AN36" s="28"/>
      <c r="AO36" s="28"/>
      <c r="AR36" s="1029" t="s">
        <v>1430</v>
      </c>
      <c r="AS36" s="1064"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94" t="s">
        <v>1858</v>
      </c>
      <c r="D37" s="1053" t="s">
        <v>1859</v>
      </c>
      <c r="E37" s="676">
        <v>17.100000000000001</v>
      </c>
      <c r="F37" s="779" cm="1">
        <f t="array" aca="1" ref="F37" ca="1">OFFSET(G37,-1,-1)</f>
        <v>0</v>
      </c>
      <c r="G37" s="143" t="s">
        <v>48</v>
      </c>
      <c r="L37" s="1082" t="s">
        <v>1876</v>
      </c>
      <c r="M37" s="1080" cm="1">
        <f t="array" aca="1" ref="M37" ca="1">OFFSET(L37,-1,1)</f>
        <v>0</v>
      </c>
      <c r="N37" s="1082"/>
      <c r="O37" s="1082"/>
      <c r="P37" s="1082"/>
      <c r="Q37" s="1082"/>
      <c r="R37" s="1082"/>
      <c r="S37" s="1082"/>
      <c r="T37" s="687" t="b" cm="1">
        <f t="array" ref="T37">T36</f>
        <v>0</v>
      </c>
      <c r="X37" s="1726"/>
      <c r="Z37" s="1726"/>
      <c r="AB37" s="837" t="s">
        <v>1106</v>
      </c>
      <c r="AC37" s="838" t="s">
        <v>1877</v>
      </c>
      <c r="AD37" s="839" t="s">
        <v>1077</v>
      </c>
      <c r="AE37" s="256">
        <f ca="1">SUMIFS(ФОТ!AE$26:AE$114,ФОТ!$F$26:$F$114,$F37,ФОТ!$G$26:$G$114,$G37)</f>
        <v>0</v>
      </c>
      <c r="AF37" s="256">
        <f ca="1">SUMIFS(ФОТ!AF$26:AF$114,ФОТ!$F$26:$F$114,$F37,ФОТ!$G$26:$G$114,$G37)</f>
        <v>0</v>
      </c>
      <c r="AG37" s="256">
        <f ca="1">SUMIFS(ФОТ!AG$26:AG$114,ФОТ!$F$26:$F$114,$F37,ФОТ!$G$26:$G$114,$G37)</f>
        <v>0</v>
      </c>
      <c r="AH37" s="256">
        <f t="shared" ca="1" si="1"/>
        <v>0</v>
      </c>
      <c r="AI37" s="256">
        <f ca="1">SUMIFS(ФОТ!AH$26:AH$114,ФОТ!$F$26:$F$114,$F37,ФОТ!$G$26:$G$114,$G37)</f>
        <v>0</v>
      </c>
      <c r="AJ37" s="256">
        <f ca="1">SUMIFS(ФОТ!AI$26:AI$114,ФОТ!$F$26:$F$114,$F37,ФОТ!$G$26:$G$114,$G37)</f>
        <v>0</v>
      </c>
      <c r="AK37" s="256">
        <f ca="1">SUMIFS(ФОТ!AJ$26:AJ$114,ФОТ!$F$26:$F$114,$F37,ФОТ!$G$26:$G$114,$G37)</f>
        <v>0</v>
      </c>
      <c r="AL37" s="256">
        <f t="shared" ca="1" si="2"/>
        <v>0</v>
      </c>
      <c r="AM37" s="28"/>
      <c r="AN37" s="28"/>
      <c r="AO37" s="28"/>
      <c r="AR37" s="1029" t="s">
        <v>1357</v>
      </c>
      <c r="AS37" s="1064"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94" t="s">
        <v>1858</v>
      </c>
      <c r="D38" s="1053" t="s">
        <v>1859</v>
      </c>
      <c r="E38" s="676">
        <v>17.100000000000001</v>
      </c>
      <c r="F38" s="779" cm="1">
        <f t="array" aca="1" ref="F38" ca="1">OFFSET(G38,-1,-1)</f>
        <v>0</v>
      </c>
      <c r="L38" s="1082" t="s">
        <v>1878</v>
      </c>
      <c r="M38" s="1080" cm="1">
        <f t="array" aca="1" ref="M38" ca="1">OFFSET(L38,-1,1)</f>
        <v>0</v>
      </c>
      <c r="N38" s="1082"/>
      <c r="O38" s="1082"/>
      <c r="P38" s="1082"/>
      <c r="Q38" s="1082"/>
      <c r="R38" s="1082"/>
      <c r="S38" s="1082"/>
      <c r="T38" s="687" t="b" cm="1">
        <f t="array" ref="T38">T37</f>
        <v>0</v>
      </c>
      <c r="X38" s="1726"/>
      <c r="Z38" s="1726"/>
      <c r="AB38" s="837" t="s">
        <v>1109</v>
      </c>
      <c r="AC38" s="838" t="s">
        <v>1422</v>
      </c>
      <c r="AD38" s="839" t="s">
        <v>1077</v>
      </c>
      <c r="AE38" s="77"/>
      <c r="AF38" s="77"/>
      <c r="AG38" s="77"/>
      <c r="AH38" s="256">
        <f t="shared" si="1"/>
        <v>0</v>
      </c>
      <c r="AI38" s="77"/>
      <c r="AJ38" s="517"/>
      <c r="AK38" s="517"/>
      <c r="AL38" s="256">
        <f t="shared" si="2"/>
        <v>0</v>
      </c>
      <c r="AM38" s="28"/>
      <c r="AN38" s="28"/>
      <c r="AO38" s="28"/>
      <c r="AR38" s="1029" t="s">
        <v>1423</v>
      </c>
      <c r="AS38" s="1064"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94" t="s">
        <v>1879</v>
      </c>
      <c r="D39" s="1053" t="s">
        <v>1880</v>
      </c>
      <c r="E39" s="676">
        <v>17.100000000000001</v>
      </c>
      <c r="F39" s="779" cm="1">
        <f t="array" aca="1" ref="F39" ca="1">OFFSET(G39,-1,-1)</f>
        <v>0</v>
      </c>
      <c r="L39" s="1082" t="s">
        <v>1881</v>
      </c>
      <c r="M39" s="1080" cm="1">
        <f t="array" aca="1" ref="M39" ca="1">OFFSET(L39,-1,1)</f>
        <v>0</v>
      </c>
      <c r="N39" s="1082"/>
      <c r="O39" s="1082"/>
      <c r="P39" s="1082"/>
      <c r="Q39" s="1082"/>
      <c r="R39" s="1082"/>
      <c r="S39" s="1082"/>
      <c r="T39" s="687" t="b" cm="1">
        <f t="array" ref="T39">T38</f>
        <v>0</v>
      </c>
      <c r="X39" s="1726"/>
      <c r="Z39" s="1726"/>
      <c r="AB39" s="837" t="s">
        <v>1882</v>
      </c>
      <c r="AC39" s="573" t="s">
        <v>1883</v>
      </c>
      <c r="AD39" s="839" t="s">
        <v>533</v>
      </c>
      <c r="AE39" s="77"/>
      <c r="AF39" s="77"/>
      <c r="AG39" s="77"/>
      <c r="AH39" s="256">
        <f t="shared" si="1"/>
        <v>0</v>
      </c>
      <c r="AI39" s="77"/>
      <c r="AJ39" s="517"/>
      <c r="AK39" s="517"/>
      <c r="AL39" s="256">
        <f t="shared" si="2"/>
        <v>0</v>
      </c>
      <c r="AM39" s="28"/>
      <c r="AN39" s="28"/>
      <c r="AO39" s="28"/>
      <c r="AR39" s="1029" t="s">
        <v>1420</v>
      </c>
      <c r="AS39" s="1064"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94" t="s">
        <v>1884</v>
      </c>
      <c r="D40" s="1053" t="s">
        <v>1885</v>
      </c>
      <c r="E40" s="676">
        <v>17.100000000000001</v>
      </c>
      <c r="F40" s="779" cm="1">
        <f t="array" aca="1" ref="F40" ca="1">OFFSET(G40,-1,-1)</f>
        <v>0</v>
      </c>
      <c r="L40" s="1082"/>
      <c r="M40" s="1080" cm="1">
        <f t="array" aca="1" ref="M40" ca="1">OFFSET(L40,-1,1)</f>
        <v>0</v>
      </c>
      <c r="N40" s="1082" t="s">
        <v>1886</v>
      </c>
      <c r="O40" s="1082"/>
      <c r="P40" s="1082"/>
      <c r="Q40" s="1082"/>
      <c r="R40" s="1082"/>
      <c r="S40" s="1082"/>
      <c r="T40" s="687" t="b" cm="1">
        <f t="array" ref="T40">T39</f>
        <v>0</v>
      </c>
      <c r="X40" s="1726"/>
      <c r="Z40" s="1726"/>
      <c r="AB40" s="837" t="s">
        <v>1324</v>
      </c>
      <c r="AC40" s="838" t="s">
        <v>1887</v>
      </c>
      <c r="AD40" s="839" t="s">
        <v>1077</v>
      </c>
      <c r="AE40" s="77"/>
      <c r="AF40" s="77"/>
      <c r="AG40" s="77"/>
      <c r="AH40" s="256">
        <f t="shared" si="1"/>
        <v>0</v>
      </c>
      <c r="AI40" s="77"/>
      <c r="AJ40" s="517"/>
      <c r="AK40" s="517"/>
      <c r="AL40" s="256">
        <f t="shared" si="2"/>
        <v>0</v>
      </c>
      <c r="AM40" s="28"/>
      <c r="AN40" s="28"/>
      <c r="AO40" s="28"/>
      <c r="AR40" s="1029" t="s">
        <v>1888</v>
      </c>
      <c r="AS40" s="1064"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94" t="s">
        <v>47</v>
      </c>
      <c r="D41" s="1053" t="s">
        <v>1889</v>
      </c>
      <c r="E41" s="676">
        <v>35</v>
      </c>
      <c r="F41" s="779" cm="1">
        <f t="array" aca="1" ref="F41" ca="1">OFFSET(G41,-1,-1)</f>
        <v>0</v>
      </c>
      <c r="G41" s="143" t="s">
        <v>1237</v>
      </c>
      <c r="L41" s="1082"/>
      <c r="M41" s="1080" cm="1">
        <f t="array" aca="1" ref="M41" ca="1">OFFSET(L41,-1,1)</f>
        <v>0</v>
      </c>
      <c r="N41" s="1082" t="s">
        <v>1890</v>
      </c>
      <c r="O41" s="1082"/>
      <c r="P41" s="1082"/>
      <c r="Q41" s="1082"/>
      <c r="R41" s="1082"/>
      <c r="S41" s="1082"/>
      <c r="T41" s="687" t="b" cm="1">
        <f t="array" ref="T41">T40</f>
        <v>0</v>
      </c>
      <c r="X41" s="1726"/>
      <c r="Z41" s="1726"/>
      <c r="AB41" s="837" t="s">
        <v>1891</v>
      </c>
      <c r="AC41" s="838" t="s">
        <v>1892</v>
      </c>
      <c r="AD41" s="839" t="s">
        <v>1077</v>
      </c>
      <c r="AE41" s="515">
        <f ca="1">SUMIFS('Покупка услуг'!AE$26:AE$96,'Покупка услуг'!$F$26:$F$96,$F41,'Покупка услуг'!$G$26:$G$96,$G41)</f>
        <v>0</v>
      </c>
      <c r="AF41" s="515">
        <f ca="1">SUMIFS('Покупка услуг'!AF$26:AF$96,'Покупка услуг'!$F$26:$F$96,$F41,'Покупка услуг'!$G$26:$G$96,$G41)</f>
        <v>0</v>
      </c>
      <c r="AG41" s="515">
        <f ca="1">SUMIFS('Покупка услуг'!AG$26:AG$96,'Покупка услуг'!$F$26:$F$96,$F41,'Покупка услуг'!$G$26:$G$96,$G41)</f>
        <v>0</v>
      </c>
      <c r="AH41" s="256">
        <f t="shared" ca="1" si="1"/>
        <v>0</v>
      </c>
      <c r="AI41" s="515">
        <f ca="1">SUMIFS('Покупка услуг'!AH$26:AH$96,'Покупка услуг'!$F$26:$F$96,$F41,'Покупка услуг'!$G$26:$G$96,$G41)</f>
        <v>0</v>
      </c>
      <c r="AJ41" s="515">
        <f ca="1">SUMIFS('Покупка услуг'!AI$26:AI$96,'Покупка услуг'!$F$26:$F$96,$F41,'Покупка услуг'!$G$26:$G$96,$G41)</f>
        <v>0</v>
      </c>
      <c r="AK41" s="515">
        <f ca="1">SUMIFS('Покупка услуг'!AS$26:AS$96,'Покупка услуг'!$F$26:$F$96,$F41,'Покупка услуг'!$G$26:$G$96,$G41)</f>
        <v>0</v>
      </c>
      <c r="AL41" s="256">
        <f t="shared" ca="1" si="2"/>
        <v>0</v>
      </c>
      <c r="AM41" s="28"/>
      <c r="AN41" s="28"/>
      <c r="AO41" s="28"/>
      <c r="AR41" s="1029" t="s">
        <v>1893</v>
      </c>
      <c r="AS41" s="1064"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94" t="s">
        <v>1858</v>
      </c>
      <c r="D42" s="1053" t="s">
        <v>1859</v>
      </c>
      <c r="E42" s="676">
        <v>35</v>
      </c>
      <c r="F42" s="779" cm="1">
        <f t="array" aca="1" ref="F42" ca="1">OFFSET(G42,-1,-1)</f>
        <v>0</v>
      </c>
      <c r="L42" s="1082" t="s">
        <v>1894</v>
      </c>
      <c r="M42" s="1080" cm="1">
        <f t="array" aca="1" ref="M42" ca="1">OFFSET(L42,-1,1)</f>
        <v>0</v>
      </c>
      <c r="N42" s="1082"/>
      <c r="O42" s="1082"/>
      <c r="P42" s="1082"/>
      <c r="Q42" s="1082"/>
      <c r="R42" s="1082"/>
      <c r="S42" s="1082"/>
      <c r="T42" s="687" t="b" cm="1">
        <f t="array" ref="T42">T41</f>
        <v>0</v>
      </c>
      <c r="X42" s="1726"/>
      <c r="Z42" s="1726"/>
      <c r="AB42" s="837" t="s">
        <v>1895</v>
      </c>
      <c r="AC42" s="838" t="s">
        <v>1896</v>
      </c>
      <c r="AD42" s="839" t="s">
        <v>1077</v>
      </c>
      <c r="AE42" s="77"/>
      <c r="AF42" s="77"/>
      <c r="AG42" s="77"/>
      <c r="AH42" s="256">
        <f t="shared" si="1"/>
        <v>0</v>
      </c>
      <c r="AI42" s="77"/>
      <c r="AJ42" s="517"/>
      <c r="AK42" s="517"/>
      <c r="AL42" s="256">
        <f t="shared" si="2"/>
        <v>0</v>
      </c>
      <c r="AM42" s="28"/>
      <c r="AN42" s="28"/>
      <c r="AO42" s="28"/>
      <c r="AR42" s="1029" t="s">
        <v>1897</v>
      </c>
      <c r="AS42" s="1064"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94" t="s">
        <v>1858</v>
      </c>
      <c r="D43" s="1053" t="s">
        <v>1859</v>
      </c>
      <c r="E43" s="676">
        <v>55</v>
      </c>
      <c r="F43" s="779" cm="1">
        <f t="array" aca="1" ref="F43" ca="1">OFFSET(G43,-1,-1)</f>
        <v>0</v>
      </c>
      <c r="L43" s="1082" t="s">
        <v>1898</v>
      </c>
      <c r="M43" s="1080" cm="1">
        <f t="array" aca="1" ref="M43" ca="1">OFFSET(L43,-1,1)</f>
        <v>0</v>
      </c>
      <c r="N43" s="1082"/>
      <c r="O43" s="1082"/>
      <c r="P43" s="1082"/>
      <c r="Q43" s="1082"/>
      <c r="R43" s="1082"/>
      <c r="S43" s="1082"/>
      <c r="T43" s="687" t="b" cm="1">
        <f t="array" ref="T43">T42</f>
        <v>0</v>
      </c>
      <c r="X43" s="1726"/>
      <c r="Z43" s="1726"/>
      <c r="AB43" s="837" t="s">
        <v>1899</v>
      </c>
      <c r="AC43" s="838" t="s">
        <v>1900</v>
      </c>
      <c r="AD43" s="839" t="s">
        <v>1077</v>
      </c>
      <c r="AE43" s="77"/>
      <c r="AF43" s="77"/>
      <c r="AG43" s="77"/>
      <c r="AH43" s="256">
        <f t="shared" si="1"/>
        <v>0</v>
      </c>
      <c r="AI43" s="77"/>
      <c r="AJ43" s="517"/>
      <c r="AK43" s="517"/>
      <c r="AL43" s="256">
        <f t="shared" si="2"/>
        <v>0</v>
      </c>
      <c r="AM43" s="28"/>
      <c r="AN43" s="28"/>
      <c r="AO43" s="28"/>
      <c r="AR43" s="1029" t="s">
        <v>1901</v>
      </c>
      <c r="AS43" s="1064"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94" t="s">
        <v>1858</v>
      </c>
      <c r="D44" s="1053" t="s">
        <v>1859</v>
      </c>
      <c r="E44" s="676">
        <v>40</v>
      </c>
      <c r="F44" s="779" cm="1">
        <f t="array" aca="1" ref="F44" ca="1">OFFSET(G44,-1,-1)</f>
        <v>0</v>
      </c>
      <c r="G44" s="143" t="s">
        <v>1303</v>
      </c>
      <c r="L44" s="1082" t="s">
        <v>1902</v>
      </c>
      <c r="M44" s="1080" cm="1">
        <f t="array" aca="1" ref="M44" ca="1">OFFSET(L44,-1,1)</f>
        <v>0</v>
      </c>
      <c r="N44" s="1082"/>
      <c r="O44" s="1082"/>
      <c r="P44" s="1082"/>
      <c r="Q44" s="1082"/>
      <c r="R44" s="1082"/>
      <c r="S44" s="1082"/>
      <c r="T44" s="687" t="b" cm="1">
        <f t="array" ref="T44">T43</f>
        <v>0</v>
      </c>
      <c r="X44" s="1726"/>
      <c r="Z44" s="1726"/>
      <c r="AB44" s="837" t="s">
        <v>1903</v>
      </c>
      <c r="AC44" s="838" t="s">
        <v>1904</v>
      </c>
      <c r="AD44" s="839" t="s">
        <v>1077</v>
      </c>
      <c r="AE44" s="515">
        <f ca="1">SUMIFS(Налоги!AE$26:AE$69,Налоги!$F$26:$F$69,$F44,Налоги!$G$26:$G$69,$G44)</f>
        <v>0</v>
      </c>
      <c r="AF44" s="515">
        <f ca="1">SUMIFS(Налоги!AF$26:AF$69,Налоги!$F$26:$F$69,$F44,Налоги!$G$26:$G$69,$G44)</f>
        <v>0</v>
      </c>
      <c r="AG44" s="515">
        <f ca="1">SUMIFS(Налоги!AG$26:AG$69,Налоги!$F$26:$F$69,$F44,Налоги!$G$26:$G$69,$G44)</f>
        <v>0</v>
      </c>
      <c r="AH44" s="256">
        <f t="shared" ca="1" si="1"/>
        <v>0</v>
      </c>
      <c r="AI44" s="515">
        <f ca="1">SUMIFS(Налоги!AH$26:AH$69,Налоги!$F$26:$F$69,$F44,Налоги!$G$26:$G$69,$G44)</f>
        <v>0</v>
      </c>
      <c r="AJ44" s="515">
        <f ca="1">SUMIFS(Налоги!AI$26:AI$69,Налоги!$F$26:$F$69,$F44,Налоги!$G$26:$G$69,$G44)</f>
        <v>0</v>
      </c>
      <c r="AK44" s="515">
        <f ca="1">SUMIFS(Налоги!AS$26:AS$69,Налоги!$F$26:$F$69,$F44,Налоги!$G$26:$G$69,$G44)</f>
        <v>0</v>
      </c>
      <c r="AL44" s="256">
        <f t="shared" ca="1" si="2"/>
        <v>0</v>
      </c>
      <c r="AM44" s="28"/>
      <c r="AN44" s="28"/>
      <c r="AO44" s="28"/>
      <c r="AR44" s="1029" t="s">
        <v>1418</v>
      </c>
      <c r="AS44" s="1064"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94" t="s">
        <v>1858</v>
      </c>
      <c r="D45" s="1053" t="s">
        <v>1859</v>
      </c>
      <c r="E45" s="676">
        <v>17.100000000000001</v>
      </c>
      <c r="F45" s="779" cm="1">
        <f t="array" aca="1" ref="F45" ca="1">OFFSET(G45,-1,-1)</f>
        <v>0</v>
      </c>
      <c r="G45" s="143" t="s">
        <v>1205</v>
      </c>
      <c r="L45" s="1082"/>
      <c r="M45" s="1080" cm="1">
        <f t="array" aca="1" ref="M45" ca="1">OFFSET(L45,-1,1)</f>
        <v>0</v>
      </c>
      <c r="N45" s="1082" t="s">
        <v>1905</v>
      </c>
      <c r="O45" s="1082"/>
      <c r="P45" s="1082"/>
      <c r="Q45" s="1082"/>
      <c r="R45" s="1082"/>
      <c r="S45" s="1082"/>
      <c r="T45" s="687" t="b" cm="1">
        <f t="array" ref="T45">T44</f>
        <v>0</v>
      </c>
      <c r="X45" s="1726"/>
      <c r="Z45" s="1726"/>
      <c r="AB45" s="837" t="s">
        <v>1906</v>
      </c>
      <c r="AC45" s="838" t="s">
        <v>1907</v>
      </c>
      <c r="AD45" s="839" t="s">
        <v>1077</v>
      </c>
      <c r="AE45" s="256">
        <f ca="1">SUMIFS(Аренда!AE$26:AE$63,Аренда!$F$26:$F$63,$F45,Аренда!$G$26:$G$63,$G45)</f>
        <v>0</v>
      </c>
      <c r="AF45" s="256">
        <f ca="1">SUMIFS(Аренда!AF$26:AF$63,Аренда!$F$26:$F$63,$F45,Аренда!$G$26:$G$63,$G45)</f>
        <v>0</v>
      </c>
      <c r="AG45" s="256">
        <f ca="1">SUMIFS(Аренда!AG$26:AG$63,Аренда!$F$26:$F$63,$F45,Аренда!$G$26:$G$63,$G45)</f>
        <v>0</v>
      </c>
      <c r="AH45" s="256">
        <f t="shared" ca="1" si="1"/>
        <v>0</v>
      </c>
      <c r="AI45" s="256">
        <f ca="1">SUMIFS(Аренда!AH$26:AH$63,Аренда!$F$26:$F$63,$F45,Аренда!$G$26:$G$63,$G45)</f>
        <v>0</v>
      </c>
      <c r="AJ45" s="256">
        <f ca="1">SUMIFS(Аренда!AI$26:AI$63,Аренда!$F$26:$F$63,$F45,Аренда!$G$26:$G$63,$G45)</f>
        <v>0</v>
      </c>
      <c r="AK45" s="256">
        <f ca="1">SUMIFS(Аренда!AS$26:AS$63,Аренда!$F$26:$F$63,$F45,Аренда!$G$26:$G$63,$G45)</f>
        <v>0</v>
      </c>
      <c r="AL45" s="256">
        <f t="shared" ca="1" si="2"/>
        <v>0</v>
      </c>
      <c r="AM45" s="28"/>
      <c r="AN45" s="28"/>
      <c r="AO45" s="28"/>
      <c r="AR45" s="1029" t="s">
        <v>1908</v>
      </c>
      <c r="AS45" s="1064"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94" t="s">
        <v>1858</v>
      </c>
      <c r="D46" s="1053" t="s">
        <v>1859</v>
      </c>
      <c r="E46" s="676">
        <v>17.100000000000001</v>
      </c>
      <c r="F46" s="779" cm="1">
        <f t="array" aca="1" ref="F46" ca="1">OFFSET(G46,-1,-1)</f>
        <v>0</v>
      </c>
      <c r="L46" s="1082"/>
      <c r="M46" s="1080" cm="1">
        <f t="array" aca="1" ref="M46" ca="1">OFFSET(L46,-1,1)</f>
        <v>0</v>
      </c>
      <c r="N46" s="1082"/>
      <c r="O46" s="1082" t="s">
        <v>1909</v>
      </c>
      <c r="P46" s="1082"/>
      <c r="Q46" s="1082"/>
      <c r="R46" s="1082"/>
      <c r="S46" s="1082"/>
      <c r="T46" s="687" t="b" cm="1">
        <f t="array" ref="T46">T45</f>
        <v>0</v>
      </c>
      <c r="X46" s="1726"/>
      <c r="Z46" s="1726"/>
      <c r="AB46" s="837" t="s">
        <v>1910</v>
      </c>
      <c r="AC46" s="838" t="s">
        <v>1376</v>
      </c>
      <c r="AD46" s="839" t="s">
        <v>1077</v>
      </c>
      <c r="AE46" s="77"/>
      <c r="AF46" s="77"/>
      <c r="AG46" s="77"/>
      <c r="AH46" s="256">
        <f t="shared" si="1"/>
        <v>0</v>
      </c>
      <c r="AI46" s="77"/>
      <c r="AJ46" s="517"/>
      <c r="AK46" s="517"/>
      <c r="AL46" s="256">
        <f t="shared" si="2"/>
        <v>0</v>
      </c>
      <c r="AM46" s="28"/>
      <c r="AN46" s="28"/>
      <c r="AO46" s="28"/>
      <c r="AR46" s="1029" t="s">
        <v>1911</v>
      </c>
      <c r="AS46" s="1064"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94" t="s">
        <v>1858</v>
      </c>
      <c r="D47" s="1053" t="s">
        <v>1859</v>
      </c>
      <c r="E47" s="676">
        <v>17.100000000000001</v>
      </c>
      <c r="F47" s="779" cm="1">
        <f t="array" aca="1" ref="F47" ca="1">OFFSET(G47,-1,-1)</f>
        <v>0</v>
      </c>
      <c r="L47" s="1082"/>
      <c r="M47" s="1080" cm="1">
        <f t="array" aca="1" ref="M47" ca="1">OFFSET(L47,-1,1)</f>
        <v>0</v>
      </c>
      <c r="N47" s="1082"/>
      <c r="O47" s="1082" t="s">
        <v>1912</v>
      </c>
      <c r="P47" s="1082"/>
      <c r="Q47" s="1082"/>
      <c r="R47" s="1082"/>
      <c r="S47" s="1082"/>
      <c r="T47" s="687" t="b" cm="1">
        <f t="array" ref="T47">T46</f>
        <v>0</v>
      </c>
      <c r="X47" s="1726"/>
      <c r="Z47" s="1726"/>
      <c r="AB47" s="837" t="s">
        <v>1913</v>
      </c>
      <c r="AC47" s="838" t="s">
        <v>1378</v>
      </c>
      <c r="AD47" s="839" t="s">
        <v>1077</v>
      </c>
      <c r="AE47" s="77"/>
      <c r="AF47" s="77"/>
      <c r="AG47" s="77"/>
      <c r="AH47" s="256">
        <f t="shared" si="1"/>
        <v>0</v>
      </c>
      <c r="AI47" s="77"/>
      <c r="AJ47" s="517"/>
      <c r="AK47" s="517"/>
      <c r="AL47" s="256">
        <f t="shared" si="2"/>
        <v>0</v>
      </c>
      <c r="AM47" s="28"/>
      <c r="AN47" s="28"/>
      <c r="AO47" s="28"/>
      <c r="AR47" s="1029" t="s">
        <v>1379</v>
      </c>
      <c r="AS47" s="1064"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94" t="s">
        <v>1858</v>
      </c>
      <c r="D48" s="1053" t="s">
        <v>1859</v>
      </c>
      <c r="E48" s="676">
        <v>35</v>
      </c>
      <c r="F48" s="779" cm="1">
        <f t="array" aca="1" ref="F48" ca="1">OFFSET(G48,-1,-1)</f>
        <v>0</v>
      </c>
      <c r="G48" s="143" t="s">
        <v>1310</v>
      </c>
      <c r="L48" s="1082"/>
      <c r="M48" s="1080" cm="1">
        <f t="array" aca="1" ref="M48" ca="1">OFFSET(L48,-1,1)</f>
        <v>0</v>
      </c>
      <c r="N48" s="1082"/>
      <c r="O48" s="1082" t="s">
        <v>1914</v>
      </c>
      <c r="P48" s="1082"/>
      <c r="Q48" s="1082"/>
      <c r="R48" s="1082"/>
      <c r="S48" s="1082"/>
      <c r="T48" s="687" t="b" cm="1">
        <f t="array" ref="T48">T47</f>
        <v>0</v>
      </c>
      <c r="X48" s="1726"/>
      <c r="Z48" s="1726"/>
      <c r="AB48" s="837" t="s">
        <v>1915</v>
      </c>
      <c r="AC48" s="838" t="s">
        <v>1916</v>
      </c>
      <c r="AD48" s="839" t="s">
        <v>1077</v>
      </c>
      <c r="AE48" s="515">
        <f ca="1">SUMIFS(Налоги!AE$26:AE$69,Налоги!$F$26:$F$69,$F48,Налоги!$G$26:$G$69,$G48)</f>
        <v>0</v>
      </c>
      <c r="AF48" s="515">
        <f ca="1">SUMIFS(Налоги!AF$26:AF$69,Налоги!$F$26:$F$69,$F48,Налоги!$G$26:$G$69,$G48)</f>
        <v>0</v>
      </c>
      <c r="AG48" s="515">
        <f ca="1">SUMIFS(Налоги!AG$26:AG$69,Налоги!$F$26:$F$69,$F48,Налоги!$G$26:$G$69,$G48)</f>
        <v>0</v>
      </c>
      <c r="AH48" s="256">
        <f t="shared" ca="1" si="1"/>
        <v>0</v>
      </c>
      <c r="AI48" s="515">
        <f ca="1">SUMIFS(Налоги!AH$26:AH$69,Налоги!$F$26:$F$69,$F48,Налоги!$G$26:$G$69,$G48)</f>
        <v>0</v>
      </c>
      <c r="AJ48" s="515">
        <f ca="1">SUMIFS(Налоги!AI$26:AI$69,Налоги!$F$26:$F$69,$F48,Налоги!$G$26:$G$69,$G48)</f>
        <v>0</v>
      </c>
      <c r="AK48" s="515">
        <f ca="1">SUMIFS(Налоги!AS$26:AS$69,Налоги!$F$26:$F$69,$F48,Налоги!$G$26:$G$69,$G48)</f>
        <v>0</v>
      </c>
      <c r="AL48" s="256">
        <f t="shared" ca="1" si="2"/>
        <v>0</v>
      </c>
      <c r="AM48" s="28"/>
      <c r="AN48" s="28"/>
      <c r="AO48" s="28"/>
      <c r="AR48" s="1029" t="s">
        <v>1917</v>
      </c>
      <c r="AS48" s="1064"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94" t="s">
        <v>1858</v>
      </c>
      <c r="D49" s="1053" t="s">
        <v>1859</v>
      </c>
      <c r="E49" s="676">
        <v>35</v>
      </c>
      <c r="F49" s="779" cm="1">
        <f t="array" aca="1" ref="F49" ca="1">OFFSET(G49,-1,-1)</f>
        <v>0</v>
      </c>
      <c r="L49" s="1082" t="s">
        <v>1918</v>
      </c>
      <c r="M49" s="1080" cm="1">
        <f t="array" aca="1" ref="M49" ca="1">OFFSET(L49,-1,1)</f>
        <v>0</v>
      </c>
      <c r="N49" s="1082"/>
      <c r="O49" s="1082"/>
      <c r="P49" s="1082"/>
      <c r="Q49" s="1082"/>
      <c r="R49" s="1082"/>
      <c r="S49" s="1082"/>
      <c r="T49" s="687" t="b" cm="1">
        <f t="array" ref="T49">T48</f>
        <v>0</v>
      </c>
      <c r="X49" s="1726"/>
      <c r="Z49" s="1726"/>
      <c r="AB49" s="837" t="s">
        <v>1919</v>
      </c>
      <c r="AC49" s="838" t="s">
        <v>1920</v>
      </c>
      <c r="AD49" s="839" t="s">
        <v>1077</v>
      </c>
      <c r="AE49" s="515">
        <f ca="1">SUM(AE50:AE54)</f>
        <v>0</v>
      </c>
      <c r="AF49" s="515">
        <f ca="1">SUM(AF50:AF54)</f>
        <v>0</v>
      </c>
      <c r="AG49" s="515">
        <f ca="1">SUM(AG50:AG54)</f>
        <v>0</v>
      </c>
      <c r="AH49" s="256">
        <f t="shared" ca="1" si="1"/>
        <v>0</v>
      </c>
      <c r="AI49" s="515">
        <f ca="1">SUM(AI50:AI54)</f>
        <v>0</v>
      </c>
      <c r="AJ49" s="515">
        <f ca="1">SUM(AJ50:AJ54)</f>
        <v>0</v>
      </c>
      <c r="AK49" s="515">
        <f ca="1">SUM(AK50:AK54)</f>
        <v>0</v>
      </c>
      <c r="AL49" s="256">
        <f t="shared" ca="1" si="2"/>
        <v>0</v>
      </c>
      <c r="AM49" s="28"/>
      <c r="AN49" s="28"/>
      <c r="AO49" s="28"/>
      <c r="AR49" s="1029" t="s">
        <v>1326</v>
      </c>
      <c r="AS49" s="1064"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94" t="s">
        <v>1858</v>
      </c>
      <c r="D50" s="1053" t="s">
        <v>1859</v>
      </c>
      <c r="E50" s="676">
        <v>17.100000000000001</v>
      </c>
      <c r="F50" s="779" cm="1">
        <f t="array" aca="1" ref="F50" ca="1">OFFSET(G50,-1,-1)</f>
        <v>0</v>
      </c>
      <c r="G50" s="143" t="s">
        <v>1314</v>
      </c>
      <c r="L50" s="1082" t="s">
        <v>1921</v>
      </c>
      <c r="M50" s="1080" cm="1">
        <f t="array" aca="1" ref="M50" ca="1">OFFSET(L50,-1,1)</f>
        <v>0</v>
      </c>
      <c r="N50" s="1082"/>
      <c r="O50" s="1082"/>
      <c r="P50" s="1082"/>
      <c r="Q50" s="1082"/>
      <c r="R50" s="1082"/>
      <c r="S50" s="1082"/>
      <c r="T50" s="687" t="b" cm="1">
        <f t="array" ref="T50">T49</f>
        <v>0</v>
      </c>
      <c r="X50" s="1726"/>
      <c r="Z50" s="1726"/>
      <c r="AB50" s="837" t="s">
        <v>1922</v>
      </c>
      <c r="AC50" s="838" t="s">
        <v>1923</v>
      </c>
      <c r="AD50" s="839" t="s">
        <v>1077</v>
      </c>
      <c r="AE50" s="515">
        <f ca="1">SUMIFS(Налоги!AE$26:AE$69,Налоги!$F$26:$F$69,$F50,Налоги!$H$26:$H$69,$G50)</f>
        <v>0</v>
      </c>
      <c r="AF50" s="515">
        <f ca="1">SUMIFS(Налоги!AF$26:AF$69,Налоги!$F$26:$F$69,$F50,Налоги!$H$26:$H$69,$G50)</f>
        <v>0</v>
      </c>
      <c r="AG50" s="515">
        <f ca="1">SUMIFS(Налоги!AG$26:AG$69,Налоги!$F$26:$F$69,$F50,Налоги!$H$26:$H$69,$G50)</f>
        <v>0</v>
      </c>
      <c r="AH50" s="256">
        <f t="shared" ca="1" si="1"/>
        <v>0</v>
      </c>
      <c r="AI50" s="515">
        <f ca="1">SUMIFS(Налоги!AH$26:AH$69,Налоги!$F$26:$F$69,$F50,Налоги!$H$26:$H$69,$G50)</f>
        <v>0</v>
      </c>
      <c r="AJ50" s="515">
        <f ca="1">SUMIFS(Налоги!AI$26:AI$69,Налоги!$F$26:$F$69,$F50,Налоги!$H$26:$H$69,$G50)</f>
        <v>0</v>
      </c>
      <c r="AK50" s="515">
        <f ca="1">SUMIFS(Налоги!AS$26:AS$69,Налоги!$F$26:$F$69,$F50,Налоги!$H$26:$H$69,$G50)</f>
        <v>0</v>
      </c>
      <c r="AL50" s="256">
        <f t="shared" ca="1" si="2"/>
        <v>0</v>
      </c>
      <c r="AM50" s="28"/>
      <c r="AN50" s="28"/>
      <c r="AO50" s="28"/>
      <c r="AR50" s="1029" t="s">
        <v>606</v>
      </c>
      <c r="AS50" s="1064"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94" t="s">
        <v>1858</v>
      </c>
      <c r="D51" s="1053" t="s">
        <v>1859</v>
      </c>
      <c r="E51" s="676">
        <v>17.100000000000001</v>
      </c>
      <c r="F51" s="779" cm="1">
        <f t="array" aca="1" ref="F51" ca="1">OFFSET(G51,-1,-1)</f>
        <v>0</v>
      </c>
      <c r="G51" s="143" t="s">
        <v>1316</v>
      </c>
      <c r="L51" s="1082" t="s">
        <v>1924</v>
      </c>
      <c r="M51" s="1080" cm="1">
        <f t="array" aca="1" ref="M51" ca="1">OFFSET(L51,-1,1)</f>
        <v>0</v>
      </c>
      <c r="N51" s="1082"/>
      <c r="O51" s="1082"/>
      <c r="P51" s="1082"/>
      <c r="Q51" s="1082"/>
      <c r="R51" s="1082"/>
      <c r="S51" s="1082"/>
      <c r="T51" s="687" t="b" cm="1">
        <f t="array" ref="T51">T50</f>
        <v>0</v>
      </c>
      <c r="X51" s="1726"/>
      <c r="Z51" s="1726"/>
      <c r="AB51" s="837" t="s">
        <v>1925</v>
      </c>
      <c r="AC51" s="838" t="s">
        <v>1317</v>
      </c>
      <c r="AD51" s="839" t="s">
        <v>1077</v>
      </c>
      <c r="AE51" s="515">
        <f ca="1">SUMIFS(Налоги!AE$26:AE$69,Налоги!$F$26:$F$69,$F51,Налоги!$H$26:$H$69,$G51)</f>
        <v>0</v>
      </c>
      <c r="AF51" s="515">
        <f ca="1">SUMIFS(Налоги!AF$26:AF$69,Налоги!$F$26:$F$69,$F51,Налоги!$H$26:$H$69,$G51)</f>
        <v>0</v>
      </c>
      <c r="AG51" s="515">
        <f ca="1">SUMIFS(Налоги!AG$26:AG$69,Налоги!$F$26:$F$69,$F51,Налоги!$H$26:$H$69,$G51)</f>
        <v>0</v>
      </c>
      <c r="AH51" s="256">
        <f t="shared" ca="1" si="1"/>
        <v>0</v>
      </c>
      <c r="AI51" s="515">
        <f ca="1">SUMIFS(Налоги!AH$26:AH$69,Налоги!$F$26:$F$69,$F51,Налоги!$H$26:$H$69,$G51)</f>
        <v>0</v>
      </c>
      <c r="AJ51" s="515">
        <f ca="1">SUMIFS(Налоги!AI$26:AI$69,Налоги!$F$26:$F$69,$F51,Налоги!$H$26:$H$69,$G51)</f>
        <v>0</v>
      </c>
      <c r="AK51" s="515">
        <f ca="1">SUMIFS(Налоги!AS$26:AS$69,Налоги!$F$26:$F$69,$F51,Налоги!$H$26:$H$69,$G51)</f>
        <v>0</v>
      </c>
      <c r="AL51" s="256">
        <f t="shared" ca="1" si="2"/>
        <v>0</v>
      </c>
      <c r="AM51" s="28"/>
      <c r="AN51" s="28"/>
      <c r="AO51" s="28"/>
      <c r="AR51" s="1029" t="s">
        <v>1318</v>
      </c>
      <c r="AS51" s="1064"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94" t="s">
        <v>1858</v>
      </c>
      <c r="D52" s="1053" t="s">
        <v>1859</v>
      </c>
      <c r="E52" s="676">
        <v>17.100000000000001</v>
      </c>
      <c r="F52" s="779" cm="1">
        <f t="array" aca="1" ref="F52" ca="1">OFFSET(G52,-1,-1)</f>
        <v>0</v>
      </c>
      <c r="G52" s="143" t="s">
        <v>1307</v>
      </c>
      <c r="L52" s="1082" t="s">
        <v>1926</v>
      </c>
      <c r="M52" s="1080" cm="1">
        <f t="array" aca="1" ref="M52" ca="1">OFFSET(L52,-1,1)</f>
        <v>0</v>
      </c>
      <c r="N52" s="1082"/>
      <c r="O52" s="1082"/>
      <c r="P52" s="1082"/>
      <c r="Q52" s="1082"/>
      <c r="R52" s="1082"/>
      <c r="S52" s="1082"/>
      <c r="T52" s="687" t="b" cm="1">
        <f t="array" ref="T52">T51</f>
        <v>0</v>
      </c>
      <c r="X52" s="1726"/>
      <c r="Z52" s="1726"/>
      <c r="AB52" s="840" t="s">
        <v>1927</v>
      </c>
      <c r="AC52" s="841" t="s">
        <v>1308</v>
      </c>
      <c r="AD52" s="842" t="s">
        <v>1077</v>
      </c>
      <c r="AE52" s="515">
        <f ca="1">SUMIFS(Налоги!AE$26:AE$69,Налоги!$F$26:$F$69,$F52,Налоги!$H$26:$H$69,$G52)</f>
        <v>0</v>
      </c>
      <c r="AF52" s="515">
        <f ca="1">SUMIFS(Налоги!AF$26:AF$69,Налоги!$F$26:$F$69,$F52,Налоги!$H$26:$H$69,$G52)</f>
        <v>0</v>
      </c>
      <c r="AG52" s="515">
        <f ca="1">SUMIFS(Налоги!AG$26:AG$69,Налоги!$F$26:$F$69,$F52,Налоги!$H$26:$H$69,$G52)</f>
        <v>0</v>
      </c>
      <c r="AH52" s="256">
        <f t="shared" ca="1" si="1"/>
        <v>0</v>
      </c>
      <c r="AI52" s="515">
        <f ca="1">SUMIFS(Налоги!AH$26:AH$69,Налоги!$F$26:$F$69,$F52,Налоги!$H$26:$H$69,$G52)</f>
        <v>0</v>
      </c>
      <c r="AJ52" s="515">
        <f ca="1">SUMIFS(Налоги!AI$26:AI$69,Налоги!$F$26:$F$69,$F52,Налоги!$H$26:$H$69,$G52)</f>
        <v>0</v>
      </c>
      <c r="AK52" s="515">
        <f ca="1">SUMIFS(Налоги!AS$26:AS$69,Налоги!$F$26:$F$69,$F52,Налоги!$H$26:$H$69,$G52)</f>
        <v>0</v>
      </c>
      <c r="AL52" s="256">
        <f t="shared" ca="1" si="2"/>
        <v>0</v>
      </c>
      <c r="AM52" s="28"/>
      <c r="AN52" s="28"/>
      <c r="AO52" s="28"/>
      <c r="AR52" s="1029" t="s">
        <v>1928</v>
      </c>
      <c r="AS52" s="1064"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94" t="s">
        <v>1858</v>
      </c>
      <c r="D53" s="1053" t="s">
        <v>1859</v>
      </c>
      <c r="E53" s="676">
        <v>17.100000000000001</v>
      </c>
      <c r="F53" s="779" cm="1">
        <f t="array" aca="1" ref="F53" ca="1">OFFSET(G53,-1,-1)</f>
        <v>0</v>
      </c>
      <c r="G53" s="143" t="s">
        <v>1321</v>
      </c>
      <c r="L53" s="1082" t="s">
        <v>1929</v>
      </c>
      <c r="M53" s="1080" cm="1">
        <f t="array" aca="1" ref="M53" ca="1">OFFSET(L53,-1,1)</f>
        <v>0</v>
      </c>
      <c r="N53" s="1082"/>
      <c r="O53" s="1082"/>
      <c r="P53" s="1082"/>
      <c r="Q53" s="1082"/>
      <c r="R53" s="1082"/>
      <c r="S53" s="1082"/>
      <c r="T53" s="687" t="b" cm="1">
        <f t="array" ref="T53">T52</f>
        <v>0</v>
      </c>
      <c r="X53" s="1726"/>
      <c r="Z53" s="1726"/>
      <c r="AB53" s="733" t="s">
        <v>1930</v>
      </c>
      <c r="AC53" s="843" t="s">
        <v>1322</v>
      </c>
      <c r="AD53" s="733" t="s">
        <v>1077</v>
      </c>
      <c r="AE53" s="515">
        <f ca="1">SUMIFS(Налоги!AE$26:AE$69,Налоги!$F$26:$F$69,$F53,Налоги!$H$26:$H$69,$G53)</f>
        <v>0</v>
      </c>
      <c r="AF53" s="515">
        <f ca="1">SUMIFS(Налоги!AF$26:AF$69,Налоги!$F$26:$F$69,$F53,Налоги!$H$26:$H$69,$G53)</f>
        <v>0</v>
      </c>
      <c r="AG53" s="515">
        <f ca="1">SUMIFS(Налоги!AG$26:AG$69,Налоги!$F$26:$F$69,$F53,Налоги!$H$26:$H$69,$G53)</f>
        <v>0</v>
      </c>
      <c r="AH53" s="256">
        <f t="shared" ca="1" si="1"/>
        <v>0</v>
      </c>
      <c r="AI53" s="515">
        <f ca="1">SUMIFS(Налоги!AH$26:AH$69,Налоги!$F$26:$F$69,$F53,Налоги!$H$26:$H$69,$G53)</f>
        <v>0</v>
      </c>
      <c r="AJ53" s="515">
        <f ca="1">SUMIFS(Налоги!AI$26:AI$69,Налоги!$F$26:$F$69,$F53,Налоги!$H$26:$H$69,$G53)</f>
        <v>0</v>
      </c>
      <c r="AK53" s="515">
        <f ca="1">SUMIFS(Налоги!AS$26:AS$69,Налоги!$F$26:$F$69,$F53,Налоги!$H$26:$H$69,$G53)</f>
        <v>0</v>
      </c>
      <c r="AL53" s="256">
        <f t="shared" ca="1" si="2"/>
        <v>0</v>
      </c>
      <c r="AM53" s="28"/>
      <c r="AN53" s="28"/>
      <c r="AO53" s="28"/>
      <c r="AR53" s="1029" t="s">
        <v>1323</v>
      </c>
      <c r="AS53" s="1064"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94" t="s">
        <v>1858</v>
      </c>
      <c r="D54" s="1053" t="s">
        <v>1859</v>
      </c>
      <c r="E54" s="676">
        <v>17.100000000000001</v>
      </c>
      <c r="F54" s="779" cm="1">
        <f t="array" aca="1" ref="F54" ca="1">OFFSET(G54,-1,-1)</f>
        <v>0</v>
      </c>
      <c r="G54" s="143" t="s">
        <v>1306</v>
      </c>
      <c r="L54" s="1082" t="s">
        <v>1931</v>
      </c>
      <c r="M54" s="1080" cm="1">
        <f t="array" aca="1" ref="M54" ca="1">OFFSET(L54,-1,1)</f>
        <v>0</v>
      </c>
      <c r="N54" s="1082"/>
      <c r="O54" s="1082"/>
      <c r="P54" s="1082"/>
      <c r="Q54" s="1082"/>
      <c r="R54" s="1082"/>
      <c r="S54" s="1082"/>
      <c r="T54" s="687" t="b" cm="1">
        <f t="array" ref="T54">T53</f>
        <v>0</v>
      </c>
      <c r="X54" s="1726"/>
      <c r="Z54" s="1726"/>
      <c r="AB54" s="733" t="s">
        <v>1932</v>
      </c>
      <c r="AC54" s="843" t="s">
        <v>1933</v>
      </c>
      <c r="AD54" s="733" t="s">
        <v>1077</v>
      </c>
      <c r="AE54" s="515">
        <f ca="1">SUMIFS(Налоги!AE$26:AE$69,Налоги!$F$26:$F$69,$F54,Налоги!$H$26:$H$69,$G54)</f>
        <v>0</v>
      </c>
      <c r="AF54" s="515">
        <f ca="1">SUMIFS(Налоги!AF$26:AF$69,Налоги!$F$26:$F$69,$F54,Налоги!$H$26:$H$69,$G54)</f>
        <v>0</v>
      </c>
      <c r="AG54" s="515">
        <f ca="1">SUMIFS(Налоги!AG$26:AG$69,Налоги!$F$26:$F$69,$F54,Налоги!$H$26:$H$69,$G54)</f>
        <v>0</v>
      </c>
      <c r="AH54" s="256">
        <f t="shared" ca="1" si="1"/>
        <v>0</v>
      </c>
      <c r="AI54" s="515">
        <f ca="1">SUMIFS(Налоги!AH$26:AH$69,Налоги!$F$26:$F$69,$F54,Налоги!$H$26:$H$69,$G54)</f>
        <v>0</v>
      </c>
      <c r="AJ54" s="515">
        <f ca="1">SUMIFS(Налоги!AI$26:AI$69,Налоги!$F$26:$F$69,$F54,Налоги!$H$26:$H$69,$G54)</f>
        <v>0</v>
      </c>
      <c r="AK54" s="515">
        <f ca="1">SUMIFS(Налоги!AS$26:AS$69,Налоги!$F$26:$F$69,$F54,Налоги!$H$26:$H$69,$G54)</f>
        <v>0</v>
      </c>
      <c r="AL54" s="256">
        <f t="shared" ca="1" si="2"/>
        <v>0</v>
      </c>
      <c r="AM54" s="28"/>
      <c r="AN54" s="28"/>
      <c r="AO54" s="28"/>
      <c r="AR54" s="1029" t="s">
        <v>1934</v>
      </c>
      <c r="AS54" s="1064"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94" t="s">
        <v>1858</v>
      </c>
      <c r="D55" s="1053" t="s">
        <v>1859</v>
      </c>
      <c r="E55" s="676">
        <v>17.100000000000001</v>
      </c>
      <c r="F55" s="779" cm="1">
        <f t="array" aca="1" ref="F55" ca="1">OFFSET(G55,-1,-1)</f>
        <v>0</v>
      </c>
      <c r="L55" s="1082" t="s">
        <v>1935</v>
      </c>
      <c r="M55" s="1080" cm="1">
        <f t="array" aca="1" ref="M55" ca="1">OFFSET(L55,-1,1)</f>
        <v>0</v>
      </c>
      <c r="N55" s="1082"/>
      <c r="O55" s="1082"/>
      <c r="P55" s="1082"/>
      <c r="Q55" s="1082"/>
      <c r="R55" s="1082"/>
      <c r="S55" s="1082"/>
      <c r="T55" s="687" t="b" cm="1">
        <f t="array" ref="T55">T54</f>
        <v>0</v>
      </c>
      <c r="X55" s="1726"/>
      <c r="Z55" s="1726"/>
      <c r="AB55" s="752">
        <v>2</v>
      </c>
      <c r="AC55" s="844" t="s">
        <v>1936</v>
      </c>
      <c r="AD55" s="752" t="s">
        <v>1077</v>
      </c>
      <c r="AE55" s="515">
        <f>AE56+AE57+AE58+AE59</f>
        <v>0</v>
      </c>
      <c r="AF55" s="515">
        <f>AF56+AF57+AF58+AF59</f>
        <v>0</v>
      </c>
      <c r="AG55" s="515">
        <f>AG56+AG57+AG58+AG59</f>
        <v>0</v>
      </c>
      <c r="AH55" s="256">
        <f t="shared" si="1"/>
        <v>0</v>
      </c>
      <c r="AI55" s="515">
        <f>AI56+AI57+AI58+AI59</f>
        <v>0</v>
      </c>
      <c r="AJ55" s="515">
        <f>AJ56+AJ57+AJ58+AJ59</f>
        <v>0</v>
      </c>
      <c r="AK55" s="515">
        <f>AK56+AK57+AK58+AK59</f>
        <v>0</v>
      </c>
      <c r="AL55" s="256">
        <f t="shared" si="2"/>
        <v>0</v>
      </c>
      <c r="AM55" s="28"/>
      <c r="AN55" s="28"/>
      <c r="AO55" s="28"/>
      <c r="AR55" s="1029" t="s">
        <v>1937</v>
      </c>
      <c r="AS55" s="1064"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94" t="s">
        <v>1858</v>
      </c>
      <c r="D56" s="1053" t="s">
        <v>1859</v>
      </c>
      <c r="E56" s="676">
        <v>45</v>
      </c>
      <c r="F56" s="779" cm="1">
        <f t="array" aca="1" ref="F56" ca="1">OFFSET(G56,-1,-1)</f>
        <v>0</v>
      </c>
      <c r="L56" s="1082"/>
      <c r="M56" s="1080" cm="1">
        <f t="array" aca="1" ref="M56" ca="1">OFFSET(L56,-1,1)</f>
        <v>0</v>
      </c>
      <c r="N56" s="1082"/>
      <c r="O56" s="1082"/>
      <c r="P56" s="1082" t="s">
        <v>1938</v>
      </c>
      <c r="Q56" s="1082"/>
      <c r="R56" s="1082"/>
      <c r="S56" s="1082"/>
      <c r="T56" s="687" t="b" cm="1">
        <f t="array" ref="T56">T55</f>
        <v>0</v>
      </c>
      <c r="X56" s="1726"/>
      <c r="Z56" s="1726"/>
      <c r="AB56" s="733" t="s">
        <v>491</v>
      </c>
      <c r="AC56" s="845" t="s">
        <v>1939</v>
      </c>
      <c r="AD56" s="733" t="s">
        <v>1077</v>
      </c>
      <c r="AE56" s="77"/>
      <c r="AF56" s="77"/>
      <c r="AG56" s="77"/>
      <c r="AH56" s="256">
        <f t="shared" si="1"/>
        <v>0</v>
      </c>
      <c r="AI56" s="77"/>
      <c r="AJ56" s="517"/>
      <c r="AK56" s="517"/>
      <c r="AL56" s="256">
        <f t="shared" si="2"/>
        <v>0</v>
      </c>
      <c r="AM56" s="28"/>
      <c r="AN56" s="28"/>
      <c r="AO56" s="28"/>
      <c r="AR56" s="1029" t="s">
        <v>1940</v>
      </c>
      <c r="AS56" s="1064"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94" t="s">
        <v>1858</v>
      </c>
      <c r="D57" s="1053" t="s">
        <v>1859</v>
      </c>
      <c r="E57" s="676">
        <v>17.100000000000001</v>
      </c>
      <c r="F57" s="779" cm="1">
        <f t="array" aca="1" ref="F57" ca="1">OFFSET(G57,-1,-1)</f>
        <v>0</v>
      </c>
      <c r="L57" s="1082"/>
      <c r="M57" s="1080" cm="1">
        <f t="array" aca="1" ref="M57" ca="1">OFFSET(L57,-1,1)</f>
        <v>0</v>
      </c>
      <c r="N57" s="1082" t="s">
        <v>1941</v>
      </c>
      <c r="O57" s="1082"/>
      <c r="P57" s="1082"/>
      <c r="Q57" s="1082"/>
      <c r="R57" s="1082"/>
      <c r="S57" s="1082"/>
      <c r="T57" s="687" t="b" cm="1">
        <f t="array" ref="T57">T56</f>
        <v>0</v>
      </c>
      <c r="X57" s="1726"/>
      <c r="Z57" s="1726"/>
      <c r="AB57" s="468" t="s">
        <v>518</v>
      </c>
      <c r="AC57" s="846" t="s">
        <v>1427</v>
      </c>
      <c r="AD57" s="481" t="s">
        <v>1077</v>
      </c>
      <c r="AE57" s="77"/>
      <c r="AF57" s="77"/>
      <c r="AG57" s="77"/>
      <c r="AH57" s="256">
        <f t="shared" si="1"/>
        <v>0</v>
      </c>
      <c r="AI57" s="77"/>
      <c r="AJ57" s="517"/>
      <c r="AK57" s="517"/>
      <c r="AL57" s="256">
        <f t="shared" si="2"/>
        <v>0</v>
      </c>
      <c r="AM57" s="28"/>
      <c r="AN57" s="28"/>
      <c r="AO57" s="28"/>
      <c r="AR57" s="1029" t="s">
        <v>1942</v>
      </c>
      <c r="AS57" s="1064"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94" t="s">
        <v>1858</v>
      </c>
      <c r="D58" s="1053" t="s">
        <v>1859</v>
      </c>
      <c r="E58" s="676">
        <v>35</v>
      </c>
      <c r="F58" s="779" cm="1">
        <f t="array" aca="1" ref="F58" ca="1">OFFSET(G58,-1,-1)</f>
        <v>0</v>
      </c>
      <c r="L58" s="1082" t="s">
        <v>1943</v>
      </c>
      <c r="M58" s="1080" cm="1">
        <f t="array" aca="1" ref="M58" ca="1">OFFSET(L58,-1,1)</f>
        <v>0</v>
      </c>
      <c r="N58" s="1082"/>
      <c r="O58" s="1082"/>
      <c r="P58" s="1082"/>
      <c r="Q58" s="1082"/>
      <c r="R58" s="1082"/>
      <c r="S58" s="1082"/>
      <c r="T58" s="687" t="b" cm="1">
        <f t="array" ref="T58">T57</f>
        <v>0</v>
      </c>
      <c r="X58" s="1726"/>
      <c r="Z58" s="1726"/>
      <c r="AB58" s="419" t="s">
        <v>522</v>
      </c>
      <c r="AC58" s="847" t="s">
        <v>1439</v>
      </c>
      <c r="AD58" s="482" t="s">
        <v>1077</v>
      </c>
      <c r="AE58" s="77"/>
      <c r="AF58" s="77"/>
      <c r="AG58" s="77"/>
      <c r="AH58" s="256">
        <f t="shared" si="1"/>
        <v>0</v>
      </c>
      <c r="AI58" s="77"/>
      <c r="AJ58" s="517"/>
      <c r="AK58" s="517"/>
      <c r="AL58" s="256">
        <f t="shared" si="2"/>
        <v>0</v>
      </c>
      <c r="AM58" s="28"/>
      <c r="AN58" s="28"/>
      <c r="AO58" s="28"/>
      <c r="AR58" s="1029" t="s">
        <v>1944</v>
      </c>
      <c r="AS58" s="1064"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94" t="s">
        <v>1858</v>
      </c>
      <c r="D59" s="1053" t="s">
        <v>1859</v>
      </c>
      <c r="E59" s="676">
        <v>17.100000000000001</v>
      </c>
      <c r="F59" s="779" cm="1">
        <f t="array" aca="1" ref="F59" ca="1">OFFSET(G59,-1,-1)</f>
        <v>0</v>
      </c>
      <c r="L59" s="1082"/>
      <c r="M59" s="1080" cm="1">
        <f t="array" aca="1" ref="M59" ca="1">OFFSET(L59,-1,1)</f>
        <v>0</v>
      </c>
      <c r="N59" s="1072" t="s">
        <v>1945</v>
      </c>
      <c r="O59" s="1082"/>
      <c r="P59" s="1082"/>
      <c r="Q59" s="1082"/>
      <c r="R59" s="1082"/>
      <c r="S59" s="1082"/>
      <c r="T59" s="687" t="b" cm="1">
        <f t="array" ref="T59">T58</f>
        <v>0</v>
      </c>
      <c r="X59" s="1726"/>
      <c r="Z59" s="1726"/>
      <c r="AB59" s="419" t="s">
        <v>526</v>
      </c>
      <c r="AC59" s="847" t="s">
        <v>1946</v>
      </c>
      <c r="AD59" s="482" t="s">
        <v>1077</v>
      </c>
      <c r="AE59" s="515">
        <f>AE60+AE61</f>
        <v>0</v>
      </c>
      <c r="AF59" s="515">
        <f>AF60+AF61</f>
        <v>0</v>
      </c>
      <c r="AG59" s="515">
        <f>AG60+AG61</f>
        <v>0</v>
      </c>
      <c r="AH59" s="256">
        <f t="shared" si="1"/>
        <v>0</v>
      </c>
      <c r="AI59" s="515">
        <f>AI60+AI61</f>
        <v>0</v>
      </c>
      <c r="AJ59" s="515">
        <f>AJ60+AJ61</f>
        <v>0</v>
      </c>
      <c r="AK59" s="515">
        <f>AK60+AK61</f>
        <v>0</v>
      </c>
      <c r="AL59" s="256">
        <f t="shared" si="2"/>
        <v>0</v>
      </c>
      <c r="AM59" s="28"/>
      <c r="AN59" s="28"/>
      <c r="AO59" s="28"/>
      <c r="AR59" s="1029" t="s">
        <v>1947</v>
      </c>
      <c r="AS59" s="1064"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94" t="s">
        <v>1858</v>
      </c>
      <c r="D60" s="1053" t="s">
        <v>1859</v>
      </c>
      <c r="E60" s="676">
        <v>17.100000000000001</v>
      </c>
      <c r="F60" s="779" cm="1">
        <f t="array" aca="1" ref="F60" ca="1">OFFSET(G60,-1,-1)</f>
        <v>0</v>
      </c>
      <c r="L60" s="1082" t="s">
        <v>1948</v>
      </c>
      <c r="M60" s="1080" cm="1">
        <f t="array" aca="1" ref="M60" ca="1">OFFSET(L60,-1,1)</f>
        <v>0</v>
      </c>
      <c r="N60" s="1082"/>
      <c r="O60" s="1082"/>
      <c r="P60" s="1082"/>
      <c r="Q60" s="1082"/>
      <c r="R60" s="1082"/>
      <c r="S60" s="1082"/>
      <c r="T60" s="687" t="b" cm="1">
        <f t="array" ref="T60">T59</f>
        <v>0</v>
      </c>
      <c r="X60" s="1726"/>
      <c r="Z60" s="1726"/>
      <c r="AB60" s="424" t="s">
        <v>1949</v>
      </c>
      <c r="AC60" s="848" t="s">
        <v>1950</v>
      </c>
      <c r="AD60" s="549" t="s">
        <v>1077</v>
      </c>
      <c r="AE60" s="77"/>
      <c r="AF60" s="77"/>
      <c r="AG60" s="77"/>
      <c r="AH60" s="256">
        <f t="shared" si="1"/>
        <v>0</v>
      </c>
      <c r="AI60" s="77"/>
      <c r="AJ60" s="517"/>
      <c r="AK60" s="517"/>
      <c r="AL60" s="256">
        <f t="shared" ref="AL60:AL91" si="3">IF(AI60=0,0,(AK60-AI60)/AI60*100)</f>
        <v>0</v>
      </c>
      <c r="AM60" s="28"/>
      <c r="AN60" s="28"/>
      <c r="AO60" s="28"/>
      <c r="AR60" s="1029" t="s">
        <v>1951</v>
      </c>
      <c r="AS60" s="1064"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94" t="s">
        <v>1858</v>
      </c>
      <c r="D61" s="1053" t="s">
        <v>1859</v>
      </c>
      <c r="E61" s="676">
        <v>17.100000000000001</v>
      </c>
      <c r="F61" s="779" cm="1">
        <f t="array" aca="1" ref="F61" ca="1">OFFSET(G61,-1,-1)</f>
        <v>0</v>
      </c>
      <c r="L61" s="1082"/>
      <c r="M61" s="1080" cm="1">
        <f t="array" aca="1" ref="M61" ca="1">OFFSET(L61,-1,1)</f>
        <v>0</v>
      </c>
      <c r="N61" s="1082" t="s">
        <v>1952</v>
      </c>
      <c r="O61" s="1082"/>
      <c r="P61" s="1082"/>
      <c r="Q61" s="1082"/>
      <c r="R61" s="1082"/>
      <c r="S61" s="1082"/>
      <c r="T61" s="687" t="b" cm="1">
        <f t="array" ref="T61">T60</f>
        <v>0</v>
      </c>
      <c r="X61" s="1726"/>
      <c r="Z61" s="1726"/>
      <c r="AB61" s="733" t="s">
        <v>1953</v>
      </c>
      <c r="AC61" s="845" t="s">
        <v>1954</v>
      </c>
      <c r="AD61" s="733" t="s">
        <v>1077</v>
      </c>
      <c r="AE61" s="77"/>
      <c r="AF61" s="77"/>
      <c r="AG61" s="77"/>
      <c r="AH61" s="256">
        <f t="shared" si="1"/>
        <v>0</v>
      </c>
      <c r="AI61" s="77"/>
      <c r="AJ61" s="517"/>
      <c r="AK61" s="517"/>
      <c r="AL61" s="256">
        <f t="shared" si="3"/>
        <v>0</v>
      </c>
      <c r="AM61" s="28"/>
      <c r="AN61" s="28"/>
      <c r="AO61" s="28"/>
      <c r="AR61" s="1029" t="s">
        <v>1955</v>
      </c>
      <c r="AS61" s="1064"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94" t="s">
        <v>1858</v>
      </c>
      <c r="D62" s="1053" t="s">
        <v>1859</v>
      </c>
      <c r="E62" s="676">
        <v>35</v>
      </c>
      <c r="F62" s="779" cm="1">
        <f t="array" aca="1" ref="F62" ca="1">OFFSET(G62,-1,-1)</f>
        <v>0</v>
      </c>
      <c r="L62" s="1082"/>
      <c r="M62" s="1080" cm="1">
        <f t="array" aca="1" ref="M62" ca="1">OFFSET(L62,-1,1)</f>
        <v>0</v>
      </c>
      <c r="N62" s="1082" t="s">
        <v>1956</v>
      </c>
      <c r="O62" s="1082"/>
      <c r="P62" s="1082"/>
      <c r="Q62" s="1082"/>
      <c r="R62" s="1082"/>
      <c r="S62" s="1082"/>
      <c r="T62" s="687" t="b" cm="1">
        <f t="array" ref="T62">T61</f>
        <v>0</v>
      </c>
      <c r="X62" s="1726"/>
      <c r="Z62" s="1726"/>
      <c r="AB62" s="752">
        <v>3</v>
      </c>
      <c r="AC62" s="849" t="s">
        <v>1957</v>
      </c>
      <c r="AD62" s="752" t="s">
        <v>1077</v>
      </c>
      <c r="AE62" s="515">
        <f>AE63+AE64+AE65+AE66</f>
        <v>0</v>
      </c>
      <c r="AF62" s="515">
        <f>AF63+AF64+AF65+AF66</f>
        <v>0</v>
      </c>
      <c r="AG62" s="515">
        <f>AG63+AG64+AG65+AG66</f>
        <v>0</v>
      </c>
      <c r="AH62" s="256">
        <f t="shared" si="1"/>
        <v>0</v>
      </c>
      <c r="AI62" s="515">
        <f>AI63+AI64+AI65+AI66</f>
        <v>0</v>
      </c>
      <c r="AJ62" s="515">
        <f>AJ63+AJ64+AJ65+AJ66</f>
        <v>0</v>
      </c>
      <c r="AK62" s="515">
        <f>AK63+AK64+AK65+AK66</f>
        <v>0</v>
      </c>
      <c r="AL62" s="256">
        <f t="shared" si="3"/>
        <v>0</v>
      </c>
      <c r="AM62" s="28"/>
      <c r="AN62" s="28"/>
      <c r="AO62" s="28"/>
      <c r="AR62" s="1029" t="s">
        <v>1958</v>
      </c>
      <c r="AS62" s="1064"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94" t="s">
        <v>1858</v>
      </c>
      <c r="D63" s="1053" t="s">
        <v>1859</v>
      </c>
      <c r="E63" s="676">
        <v>17.100000000000001</v>
      </c>
      <c r="F63" s="779" cm="1">
        <f t="array" aca="1" ref="F63" ca="1">OFFSET(G63,-1,-1)</f>
        <v>0</v>
      </c>
      <c r="L63" s="1082"/>
      <c r="M63" s="1080" cm="1">
        <f t="array" aca="1" ref="M63" ca="1">OFFSET(L63,-1,1)</f>
        <v>0</v>
      </c>
      <c r="N63" s="1082" t="s">
        <v>1959</v>
      </c>
      <c r="O63" s="1082"/>
      <c r="P63" s="1082"/>
      <c r="Q63" s="1082"/>
      <c r="R63" s="1082"/>
      <c r="S63" s="1082"/>
      <c r="T63" s="687" t="b" cm="1">
        <f t="array" ref="T63">T62</f>
        <v>0</v>
      </c>
      <c r="X63" s="1726"/>
      <c r="Z63" s="1726"/>
      <c r="AB63" s="733" t="s">
        <v>744</v>
      </c>
      <c r="AC63" s="843" t="s">
        <v>1960</v>
      </c>
      <c r="AD63" s="733" t="s">
        <v>1077</v>
      </c>
      <c r="AE63" s="77"/>
      <c r="AF63" s="77"/>
      <c r="AG63" s="77"/>
      <c r="AH63" s="256">
        <f t="shared" si="1"/>
        <v>0</v>
      </c>
      <c r="AI63" s="77"/>
      <c r="AJ63" s="517"/>
      <c r="AK63" s="517"/>
      <c r="AL63" s="256">
        <f t="shared" si="3"/>
        <v>0</v>
      </c>
      <c r="AM63" s="28"/>
      <c r="AN63" s="28"/>
      <c r="AO63" s="28"/>
      <c r="AR63" s="1029" t="s">
        <v>1961</v>
      </c>
      <c r="AS63" s="1064"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94" t="s">
        <v>1858</v>
      </c>
      <c r="D64" s="1053" t="s">
        <v>1859</v>
      </c>
      <c r="E64" s="676">
        <v>17.100000000000001</v>
      </c>
      <c r="F64" s="779" cm="1">
        <f t="array" aca="1" ref="F64" ca="1">OFFSET(G64,-1,-1)</f>
        <v>0</v>
      </c>
      <c r="L64" s="1082"/>
      <c r="M64" s="1080" cm="1">
        <f t="array" aca="1" ref="M64" ca="1">OFFSET(L64,-1,1)</f>
        <v>0</v>
      </c>
      <c r="N64" s="1082" t="s">
        <v>1962</v>
      </c>
      <c r="O64" s="1082"/>
      <c r="P64" s="1082"/>
      <c r="Q64" s="1082"/>
      <c r="R64" s="1082"/>
      <c r="S64" s="1082"/>
      <c r="T64" s="687" t="b" cm="1">
        <f t="array" ref="T64">T63</f>
        <v>0</v>
      </c>
      <c r="X64" s="1726"/>
      <c r="Z64" s="1726"/>
      <c r="AB64" s="733" t="s">
        <v>747</v>
      </c>
      <c r="AC64" s="843" t="s">
        <v>1963</v>
      </c>
      <c r="AD64" s="733" t="s">
        <v>1077</v>
      </c>
      <c r="AE64" s="77"/>
      <c r="AF64" s="77"/>
      <c r="AG64" s="77"/>
      <c r="AH64" s="256">
        <f t="shared" si="1"/>
        <v>0</v>
      </c>
      <c r="AI64" s="77"/>
      <c r="AJ64" s="517"/>
      <c r="AK64" s="517"/>
      <c r="AL64" s="256">
        <f t="shared" si="3"/>
        <v>0</v>
      </c>
      <c r="AM64" s="28"/>
      <c r="AN64" s="28"/>
      <c r="AO64" s="28"/>
      <c r="AR64" s="1029" t="s">
        <v>1964</v>
      </c>
      <c r="AS64" s="1064"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94" t="s">
        <v>1858</v>
      </c>
      <c r="D65" s="1053" t="s">
        <v>1859</v>
      </c>
      <c r="E65" s="676">
        <v>17.100000000000001</v>
      </c>
      <c r="F65" s="779" cm="1">
        <f t="array" aca="1" ref="F65" ca="1">OFFSET(G65,-1,-1)</f>
        <v>0</v>
      </c>
      <c r="L65" s="1082"/>
      <c r="M65" s="1080" cm="1">
        <f t="array" aca="1" ref="M65" ca="1">OFFSET(L65,-1,1)</f>
        <v>0</v>
      </c>
      <c r="N65" s="1082"/>
      <c r="O65" s="1082"/>
      <c r="P65" s="1082"/>
      <c r="Q65" s="1082" t="s">
        <v>1965</v>
      </c>
      <c r="R65" s="1082"/>
      <c r="S65" s="1082"/>
      <c r="T65" s="687" t="b" cm="1">
        <f t="array" ref="T65">T64</f>
        <v>0</v>
      </c>
      <c r="X65" s="1726"/>
      <c r="Z65" s="1726"/>
      <c r="AB65" s="733" t="s">
        <v>1966</v>
      </c>
      <c r="AC65" s="843" t="s">
        <v>1967</v>
      </c>
      <c r="AD65" s="733" t="s">
        <v>1077</v>
      </c>
      <c r="AE65" s="77"/>
      <c r="AF65" s="77"/>
      <c r="AG65" s="77"/>
      <c r="AH65" s="256">
        <f t="shared" si="1"/>
        <v>0</v>
      </c>
      <c r="AI65" s="77"/>
      <c r="AJ65" s="517"/>
      <c r="AK65" s="517"/>
      <c r="AL65" s="256">
        <f t="shared" si="3"/>
        <v>0</v>
      </c>
      <c r="AM65" s="28"/>
      <c r="AN65" s="28"/>
      <c r="AO65" s="28"/>
      <c r="AR65" s="1029" t="s">
        <v>1968</v>
      </c>
      <c r="AS65" s="1064"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94" t="s">
        <v>1858</v>
      </c>
      <c r="D66" s="1053" t="s">
        <v>1859</v>
      </c>
      <c r="E66" s="676">
        <v>17.100000000000001</v>
      </c>
      <c r="F66" s="779" cm="1">
        <f t="array" aca="1" ref="F66" ca="1">OFFSET(G66,-1,-1)</f>
        <v>0</v>
      </c>
      <c r="L66" s="1082" t="s">
        <v>1918</v>
      </c>
      <c r="M66" s="1080" cm="1">
        <f t="array" aca="1" ref="M66" ca="1">OFFSET(L66,-1,1)</f>
        <v>0</v>
      </c>
      <c r="N66" s="1082" t="s">
        <v>1945</v>
      </c>
      <c r="O66" s="1082"/>
      <c r="P66" s="1082"/>
      <c r="Q66" s="1082"/>
      <c r="R66" s="1082"/>
      <c r="S66" s="1082"/>
      <c r="T66" s="687" t="b" cm="1">
        <f t="array" ref="T66">T65</f>
        <v>0</v>
      </c>
      <c r="X66" s="1726"/>
      <c r="Z66" s="1726"/>
      <c r="AB66" s="733" t="s">
        <v>1969</v>
      </c>
      <c r="AC66" s="843" t="s">
        <v>1325</v>
      </c>
      <c r="AD66" s="733" t="s">
        <v>1077</v>
      </c>
      <c r="AE66" s="77"/>
      <c r="AF66" s="77"/>
      <c r="AG66" s="77"/>
      <c r="AH66" s="256">
        <f t="shared" si="1"/>
        <v>0</v>
      </c>
      <c r="AI66" s="77"/>
      <c r="AJ66" s="517"/>
      <c r="AK66" s="517"/>
      <c r="AL66" s="256">
        <f t="shared" si="3"/>
        <v>0</v>
      </c>
      <c r="AM66" s="28"/>
      <c r="AN66" s="28"/>
      <c r="AO66" s="28"/>
      <c r="AR66" s="1029" t="s">
        <v>1970</v>
      </c>
      <c r="AS66" s="1064"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94" t="s">
        <v>1858</v>
      </c>
      <c r="D67" s="1053" t="s">
        <v>1859</v>
      </c>
      <c r="E67" s="676">
        <v>17.100000000000001</v>
      </c>
      <c r="F67" s="779" cm="1">
        <f t="array" aca="1" ref="F67" ca="1">OFFSET(G67,-1,-1)</f>
        <v>0</v>
      </c>
      <c r="G67" s="620" t="s">
        <v>1319</v>
      </c>
      <c r="L67" s="1082" t="s">
        <v>1971</v>
      </c>
      <c r="M67" s="1080" cm="1">
        <f t="array" aca="1" ref="M67" ca="1">OFFSET(L67,-1,1)</f>
        <v>0</v>
      </c>
      <c r="N67" s="1082"/>
      <c r="O67" s="1082"/>
      <c r="P67" s="1082"/>
      <c r="Q67" s="1082"/>
      <c r="R67" s="1082"/>
      <c r="S67" s="1082"/>
      <c r="T67" s="687" t="b" cm="1">
        <f t="array" ref="T67">T66</f>
        <v>0</v>
      </c>
      <c r="X67" s="1726"/>
      <c r="Z67" s="1726"/>
      <c r="AB67" s="752">
        <v>4</v>
      </c>
      <c r="AC67" s="849" t="s">
        <v>1436</v>
      </c>
      <c r="AD67" s="752" t="s">
        <v>1077</v>
      </c>
      <c r="AE67" s="515">
        <f ca="1">SUMIFS(Налоги!AE$26:AE$69,Налоги!$F$26:$F$69,$F67,Налоги!$G$26:$G$69,$G67)</f>
        <v>0</v>
      </c>
      <c r="AF67" s="515">
        <f ca="1">SUMIFS(Налоги!AF$26:AF$69,Налоги!$F$26:$F$69,$F67,Налоги!$G$26:$G$69,$G67)</f>
        <v>0</v>
      </c>
      <c r="AG67" s="515">
        <f ca="1">SUMIFS(Налоги!AG$26:AG$69,Налоги!$F$26:$F$69,$F67,Налоги!$G$26:$G$69,$G67)</f>
        <v>0</v>
      </c>
      <c r="AH67" s="256">
        <f t="shared" ca="1" si="1"/>
        <v>0</v>
      </c>
      <c r="AI67" s="515">
        <f ca="1">SUMIFS(Налоги!AH$26:AH$69,Налоги!$F$26:$F$69,$F67,Налоги!$G$26:$G$69,$G67)</f>
        <v>0</v>
      </c>
      <c r="AJ67" s="515">
        <f ca="1">SUMIFS(Налоги!AI$26:AI$69,Налоги!$F$26:$F$69,$F67,Налоги!$G$26:$G$69,$G67)</f>
        <v>0</v>
      </c>
      <c r="AK67" s="515">
        <f ca="1">SUMIFS(Налоги!AS$26:AS$69,Налоги!$F$26:$F$69,$F67,Налоги!$G$26:$G$69,$G67)</f>
        <v>0</v>
      </c>
      <c r="AL67" s="256">
        <f t="shared" ca="1" si="3"/>
        <v>0</v>
      </c>
      <c r="AM67" s="28"/>
      <c r="AN67" s="28"/>
      <c r="AO67" s="28"/>
      <c r="AR67" s="1029" t="s">
        <v>614</v>
      </c>
      <c r="AS67" s="1064"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94" t="s">
        <v>1725</v>
      </c>
      <c r="D68" s="1053" t="s">
        <v>1726</v>
      </c>
      <c r="E68" s="676">
        <v>35</v>
      </c>
      <c r="F68" s="779" cm="1">
        <f t="array" aca="1" ref="F68" ca="1">OFFSET(G68,-1,-1)</f>
        <v>0</v>
      </c>
      <c r="L68" s="1082"/>
      <c r="M68" s="1080" cm="1">
        <f t="array" aca="1" ref="M68" ca="1">OFFSET(L68,-1,1)</f>
        <v>0</v>
      </c>
      <c r="N68" s="1082" t="s">
        <v>1972</v>
      </c>
      <c r="O68" s="1082"/>
      <c r="P68" s="1082"/>
      <c r="Q68" s="1082"/>
      <c r="R68" s="1082"/>
      <c r="S68" s="1082"/>
      <c r="T68" s="687" t="b" cm="1">
        <f t="array" ref="T68">T67</f>
        <v>0</v>
      </c>
      <c r="X68" s="1726"/>
      <c r="Z68" s="1726"/>
      <c r="AB68" s="752">
        <v>5</v>
      </c>
      <c r="AC68" s="849" t="s">
        <v>1973</v>
      </c>
      <c r="AD68" s="752" t="s">
        <v>1077</v>
      </c>
      <c r="AE68" s="77"/>
      <c r="AF68" s="77"/>
      <c r="AG68" s="77"/>
      <c r="AH68" s="256">
        <f t="shared" si="1"/>
        <v>0</v>
      </c>
      <c r="AI68" s="77"/>
      <c r="AJ68" s="517"/>
      <c r="AK68" s="517"/>
      <c r="AL68" s="256">
        <f t="shared" si="3"/>
        <v>0</v>
      </c>
      <c r="AM68" s="28"/>
      <c r="AN68" s="28"/>
      <c r="AO68" s="28"/>
      <c r="AR68" s="1029" t="s">
        <v>1567</v>
      </c>
      <c r="AS68" s="1064"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94" t="s">
        <v>1858</v>
      </c>
      <c r="D69" s="1053" t="s">
        <v>1859</v>
      </c>
      <c r="E69" s="676">
        <v>17.100000000000001</v>
      </c>
      <c r="F69" s="779" cm="1">
        <f t="array" aca="1" ref="F69" ca="1">OFFSET(G69,-1,-1)</f>
        <v>0</v>
      </c>
      <c r="L69" s="1082"/>
      <c r="M69" s="1080" cm="1">
        <f t="array" aca="1" ref="M69" ca="1">OFFSET(L69,-1,1)</f>
        <v>0</v>
      </c>
      <c r="N69" s="1082" t="s">
        <v>1974</v>
      </c>
      <c r="O69" s="1082"/>
      <c r="P69" s="1082"/>
      <c r="Q69" s="1082"/>
      <c r="R69" s="1082"/>
      <c r="S69" s="1082"/>
      <c r="T69" s="687" t="b" cm="1">
        <f t="array" ref="T69">T68</f>
        <v>0</v>
      </c>
      <c r="X69" s="1726"/>
      <c r="Z69" s="1726"/>
      <c r="AB69" s="752">
        <v>6</v>
      </c>
      <c r="AC69" s="849" t="s">
        <v>1975</v>
      </c>
      <c r="AD69" s="752" t="s">
        <v>1077</v>
      </c>
      <c r="AE69" s="77"/>
      <c r="AF69" s="77"/>
      <c r="AG69" s="77"/>
      <c r="AH69" s="256">
        <f t="shared" si="1"/>
        <v>0</v>
      </c>
      <c r="AI69" s="77"/>
      <c r="AJ69" s="517"/>
      <c r="AK69" s="517"/>
      <c r="AL69" s="256">
        <f t="shared" si="3"/>
        <v>0</v>
      </c>
      <c r="AM69" s="28"/>
      <c r="AN69" s="28"/>
      <c r="AO69" s="28"/>
      <c r="AR69" s="1029" t="s">
        <v>1438</v>
      </c>
      <c r="AS69" s="1064"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94" t="s">
        <v>1753</v>
      </c>
      <c r="D70" s="1053" t="s">
        <v>1754</v>
      </c>
      <c r="E70" s="676">
        <v>17.100000000000001</v>
      </c>
      <c r="F70" s="779" cm="1">
        <f t="array" aca="1" ref="F70" ca="1">OFFSET(G70,-1,-1)</f>
        <v>0</v>
      </c>
      <c r="L70" s="1082"/>
      <c r="M70" s="1080" cm="1">
        <f t="array" aca="1" ref="M70" ca="1">OFFSET(L70,-1,1)</f>
        <v>0</v>
      </c>
      <c r="N70" s="1082"/>
      <c r="O70" s="1082"/>
      <c r="P70" s="1082"/>
      <c r="Q70" s="1082"/>
      <c r="R70" s="1082"/>
      <c r="S70" s="1082"/>
      <c r="T70" s="687" t="b" cm="1">
        <f t="array" ref="T70">T69</f>
        <v>0</v>
      </c>
      <c r="X70" s="1726"/>
      <c r="Z70" s="1726"/>
      <c r="AB70" s="850" t="s">
        <v>451</v>
      </c>
      <c r="AC70" s="851" t="s">
        <v>1755</v>
      </c>
      <c r="AD70" s="852" t="s">
        <v>1077</v>
      </c>
      <c r="AE70" s="515">
        <f ca="1">AE28+AE55+AE62+AE67+AE68+AE69</f>
        <v>0</v>
      </c>
      <c r="AF70" s="515">
        <f ca="1">AF28+AF55+AF62+AF67+AF68+AF69</f>
        <v>0</v>
      </c>
      <c r="AG70" s="515">
        <f ca="1">AG28+AG55+AG62+AG67+AG68+AG69</f>
        <v>0</v>
      </c>
      <c r="AH70" s="256">
        <f t="shared" ca="1" si="1"/>
        <v>0</v>
      </c>
      <c r="AI70" s="515">
        <f ca="1">AI28+AI55+AI62+AI67+AI68+AI69</f>
        <v>0</v>
      </c>
      <c r="AJ70" s="515">
        <f ca="1">AJ28+AJ55+AJ62+AJ67+AJ68+AJ69</f>
        <v>0</v>
      </c>
      <c r="AK70" s="515">
        <f ca="1">AK28+AK55+AK62+AK67+AK68+AK69</f>
        <v>0</v>
      </c>
      <c r="AL70" s="256">
        <f t="shared" ca="1" si="3"/>
        <v>0</v>
      </c>
      <c r="AM70" s="28"/>
      <c r="AN70" s="28"/>
      <c r="AO70" s="28"/>
      <c r="AR70" s="1029" t="s">
        <v>1976</v>
      </c>
      <c r="AS70" s="1064"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94" t="s">
        <v>1757</v>
      </c>
      <c r="D71" s="1053" t="s">
        <v>1758</v>
      </c>
      <c r="E71" s="676">
        <v>50</v>
      </c>
      <c r="F71" s="779" cm="1">
        <f t="array" aca="1" ref="F71" ca="1">OFFSET(G71,-1,-1)</f>
        <v>0</v>
      </c>
      <c r="L71" s="1082"/>
      <c r="M71" s="1080" cm="1">
        <f t="array" aca="1" ref="M71" ca="1">OFFSET(L71,-1,1)</f>
        <v>0</v>
      </c>
      <c r="N71" s="1082"/>
      <c r="O71" s="1082"/>
      <c r="P71" s="1082"/>
      <c r="Q71" s="1082"/>
      <c r="R71" s="1082"/>
      <c r="S71" s="1082"/>
      <c r="T71" s="687" t="b" cm="1">
        <f t="array" ref="T71">T70</f>
        <v>0</v>
      </c>
      <c r="X71" s="1726"/>
      <c r="Z71" s="1726"/>
      <c r="AB71" s="853" t="s">
        <v>454</v>
      </c>
      <c r="AC71" s="903" t="s">
        <v>1757</v>
      </c>
      <c r="AD71" s="733" t="s">
        <v>1077</v>
      </c>
      <c r="AE71" s="77"/>
      <c r="AF71" s="77"/>
      <c r="AG71" s="77"/>
      <c r="AH71" s="256">
        <f t="shared" si="1"/>
        <v>0</v>
      </c>
      <c r="AI71" s="77"/>
      <c r="AJ71" s="517"/>
      <c r="AK71" s="517"/>
      <c r="AL71" s="256">
        <f t="shared" si="3"/>
        <v>0</v>
      </c>
      <c r="AM71" s="28"/>
      <c r="AN71" s="28"/>
      <c r="AO71" s="28"/>
      <c r="AR71" s="1029" t="s">
        <v>1977</v>
      </c>
      <c r="AS71" s="1064"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94" t="s">
        <v>1760</v>
      </c>
      <c r="D72" s="1053" t="s">
        <v>1761</v>
      </c>
      <c r="E72" s="676">
        <v>17.100000000000001</v>
      </c>
      <c r="F72" s="779" cm="1">
        <f t="array" aca="1" ref="F72" ca="1">OFFSET(G72,-1,-1)</f>
        <v>0</v>
      </c>
      <c r="L72" s="1082"/>
      <c r="M72" s="1080" cm="1">
        <f t="array" aca="1" ref="M72" ca="1">OFFSET(L72,-1,1)</f>
        <v>0</v>
      </c>
      <c r="N72" s="1082"/>
      <c r="O72" s="1082"/>
      <c r="P72" s="1082"/>
      <c r="Q72" s="1082"/>
      <c r="R72" s="1082"/>
      <c r="S72" s="1082"/>
      <c r="T72" s="687" t="b" cm="1">
        <f t="array" ref="T72">T71</f>
        <v>0</v>
      </c>
      <c r="X72" s="1726"/>
      <c r="Z72" s="1726"/>
      <c r="AB72" s="545" t="s">
        <v>457</v>
      </c>
      <c r="AC72" s="895" t="s">
        <v>1764</v>
      </c>
      <c r="AD72" s="854" t="s">
        <v>1077</v>
      </c>
      <c r="AE72" s="515">
        <f ca="1">AE70+AE71</f>
        <v>0</v>
      </c>
      <c r="AF72" s="515">
        <f ca="1">AF70+AF71</f>
        <v>0</v>
      </c>
      <c r="AG72" s="515">
        <f ca="1">AG70+AG71</f>
        <v>0</v>
      </c>
      <c r="AH72" s="256">
        <f t="shared" ca="1" si="1"/>
        <v>0</v>
      </c>
      <c r="AI72" s="515">
        <f ca="1">AI70+AI71</f>
        <v>0</v>
      </c>
      <c r="AJ72" s="515">
        <f ca="1">AJ70+AJ71</f>
        <v>0</v>
      </c>
      <c r="AK72" s="515">
        <f ca="1">AK70+AK71</f>
        <v>0</v>
      </c>
      <c r="AL72" s="256">
        <f t="shared" ca="1" si="3"/>
        <v>0</v>
      </c>
      <c r="AM72" s="28"/>
      <c r="AN72" s="28"/>
      <c r="AO72" s="28"/>
      <c r="AR72" s="1029" t="s">
        <v>1978</v>
      </c>
      <c r="AS72" s="1064"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94" t="s">
        <v>1766</v>
      </c>
      <c r="D73" s="1053" t="s">
        <v>1767</v>
      </c>
      <c r="E73" s="676">
        <v>17.100000000000001</v>
      </c>
      <c r="F73" s="779" cm="1">
        <f t="array" aca="1" ref="F73" ca="1">OFFSET(G73,-1,-1)</f>
        <v>0</v>
      </c>
      <c r="H73" s="143" cm="1">
        <f t="array" ref="H73">G27</f>
        <v>0</v>
      </c>
      <c r="L73" s="1082"/>
      <c r="M73" s="1080" cm="1">
        <f t="array" aca="1" ref="M73" ca="1">OFFSET(L73,-1,1)</f>
        <v>0</v>
      </c>
      <c r="N73" s="1082"/>
      <c r="O73" s="1082"/>
      <c r="P73" s="1082"/>
      <c r="Q73" s="1082"/>
      <c r="R73" s="1082"/>
      <c r="S73" s="1082"/>
      <c r="T73" s="687" t="b">
        <f ca="1">AND(F73&gt;0,H73="двухставочный")</f>
        <v>0</v>
      </c>
      <c r="X73" s="1726"/>
      <c r="Z73" s="1726"/>
      <c r="AB73" s="553" t="str">
        <f>AB72&amp;".1"</f>
        <v>9.1</v>
      </c>
      <c r="AC73" s="519" t="s">
        <v>1769</v>
      </c>
      <c r="AD73" s="258" t="s">
        <v>839</v>
      </c>
      <c r="AE73" s="77"/>
      <c r="AF73" s="77"/>
      <c r="AG73" s="77"/>
      <c r="AH73" s="256">
        <f t="shared" si="1"/>
        <v>0</v>
      </c>
      <c r="AI73" s="77"/>
      <c r="AJ73" s="517"/>
      <c r="AK73" s="517"/>
      <c r="AL73" s="256">
        <f t="shared" si="3"/>
        <v>0</v>
      </c>
      <c r="AM73" s="28"/>
      <c r="AN73" s="28"/>
      <c r="AO73" s="28"/>
      <c r="AR73" s="1029" t="s">
        <v>1979</v>
      </c>
      <c r="AS73" s="1064"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94" t="s">
        <v>1771</v>
      </c>
      <c r="D74" s="1053" t="s">
        <v>1772</v>
      </c>
      <c r="E74" s="676">
        <v>17.100000000000001</v>
      </c>
      <c r="F74" s="779" cm="1">
        <f t="array" aca="1" ref="F74" ca="1">OFFSET(G74,-1,-1)</f>
        <v>0</v>
      </c>
      <c r="H74" s="143" cm="1">
        <f t="array" ref="H74">G27</f>
        <v>0</v>
      </c>
      <c r="L74" s="1082"/>
      <c r="M74" s="1080" cm="1">
        <f t="array" aca="1" ref="M74" ca="1">OFFSET(L74,-1,1)</f>
        <v>0</v>
      </c>
      <c r="N74" s="1082"/>
      <c r="O74" s="1082"/>
      <c r="P74" s="1082"/>
      <c r="Q74" s="1082"/>
      <c r="R74" s="1082"/>
      <c r="S74" s="1082"/>
      <c r="T74" s="687" t="b">
        <f ca="1">AND(F74&gt;0,H74="двухставочный")</f>
        <v>0</v>
      </c>
      <c r="X74" s="1726"/>
      <c r="Z74" s="1726"/>
      <c r="AB74" s="553" t="str">
        <f>AB72&amp;".2"</f>
        <v>9.2</v>
      </c>
      <c r="AC74" s="519" t="s">
        <v>1771</v>
      </c>
      <c r="AD74" s="258" t="s">
        <v>839</v>
      </c>
      <c r="AE74" s="515">
        <f ca="1">AE72-AE73</f>
        <v>0</v>
      </c>
      <c r="AF74" s="515">
        <f ca="1">AF72-AF73</f>
        <v>0</v>
      </c>
      <c r="AG74" s="515">
        <f ca="1">AG72-AG73</f>
        <v>0</v>
      </c>
      <c r="AH74" s="256">
        <f t="shared" ca="1" si="1"/>
        <v>0</v>
      </c>
      <c r="AI74" s="515">
        <f ca="1">AI72-AI73</f>
        <v>0</v>
      </c>
      <c r="AJ74" s="515">
        <f ca="1">AJ72-AJ73</f>
        <v>0</v>
      </c>
      <c r="AK74" s="515">
        <f ca="1">AK72-AK73</f>
        <v>0</v>
      </c>
      <c r="AL74" s="256">
        <f t="shared" ca="1" si="3"/>
        <v>0</v>
      </c>
      <c r="AM74" s="28"/>
      <c r="AN74" s="28"/>
      <c r="AO74" s="28"/>
      <c r="AR74" s="1029" t="s">
        <v>1980</v>
      </c>
      <c r="AS74" s="1064"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94" t="s">
        <v>1774</v>
      </c>
      <c r="D75" s="1053" t="s">
        <v>1775</v>
      </c>
      <c r="E75" s="676">
        <v>17.100000000000001</v>
      </c>
      <c r="F75" s="779" cm="1">
        <f t="array" aca="1" ref="F75" ca="1">OFFSET(G75,-1,-1)</f>
        <v>0</v>
      </c>
      <c r="L75" s="1082"/>
      <c r="M75" s="1080" cm="1">
        <f t="array" aca="1" ref="M75" ca="1">OFFSET(L75,-1,1)</f>
        <v>0</v>
      </c>
      <c r="N75" s="1082"/>
      <c r="O75" s="1082"/>
      <c r="P75" s="1082"/>
      <c r="Q75" s="1082"/>
      <c r="R75" s="1082"/>
      <c r="S75" s="1082"/>
      <c r="T75" s="687" t="b" cm="1">
        <f t="array" ref="T75">T72</f>
        <v>0</v>
      </c>
      <c r="X75" s="1726"/>
      <c r="Z75" s="1726"/>
      <c r="AB75" s="263" t="s">
        <v>460</v>
      </c>
      <c r="AC75" s="259" t="s">
        <v>1777</v>
      </c>
      <c r="AD75" s="264" t="s">
        <v>634</v>
      </c>
      <c r="AE75" s="256">
        <f ca="1">IF($K27="передача тепловой энергии",SUMIFS('Баланс Тр'!AE$27:AE$50,'Баланс Тр'!$F$27:$F$50,$F75,'Баланс Тр'!$AB$27:$AB$50,"3"),SUMIFS('Баланс Пр'!AE$27:AE$233,'Баланс Пр'!$F$27:$F$233,$F75,'Баланс Пр'!$AB$27:$AB$233,"9.1"))</f>
        <v>0</v>
      </c>
      <c r="AF75" s="516"/>
      <c r="AG75" s="516"/>
      <c r="AH75" s="319"/>
      <c r="AI75" s="256">
        <f ca="1">IF($K27="передача тепловой энергии",SUMIFS('Баланс Тр'!AH$27:AH$50,'Баланс Тр'!$F$27:$F$50,$F75,'Баланс Тр'!$AB$27:$AB$50,"3"),SUMIFS('Баланс Пр'!AH$27:AH$233,'Баланс Пр'!$F$27:$F$233,$F75,'Баланс Пр'!$AB$27:$AB$233,"9.1"))</f>
        <v>0</v>
      </c>
      <c r="AJ75" s="256">
        <f ca="1">IF($K27="передача тепловой энергии",SUMIFS('Баланс Тр'!AI$27:AI$50,'Баланс Тр'!$F$27:$F$50,$F75,'Баланс Тр'!$AB$27:$AB$50,"3"),SUMIFS('Баланс Пр'!AI$27:AI$233,'Баланс Пр'!$F$27:$F$233,$F75,'Баланс Пр'!$AB$27:$AB$233,"9.1"))</f>
        <v>0</v>
      </c>
      <c r="AK75" s="256">
        <f ca="1">IF($K27="передача тепловой энергии",SUMIFS('Баланс Тр'!AS$27:AS$50,'Баланс Тр'!$F$27:$F$50,$F75,'Баланс Тр'!$AB$27:$AB$50,"3"),SUMIFS('Баланс Пр'!AS$27:AS$233,'Баланс Пр'!$F$27:$F$233,$F75,'Баланс Пр'!$AB$27:$AB$233,"9.1"))</f>
        <v>0</v>
      </c>
      <c r="AL75" s="256">
        <f t="shared" ca="1" si="3"/>
        <v>0</v>
      </c>
      <c r="AM75" s="28"/>
      <c r="AN75" s="28"/>
      <c r="AO75" s="28"/>
      <c r="AR75" s="1029" t="s">
        <v>1778</v>
      </c>
      <c r="AS75" s="1064"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5" customFormat="1" ht="16.7" hidden="1" customHeight="1">
      <c r="C76" s="1094" t="s">
        <v>1779</v>
      </c>
      <c r="D76" s="1053" t="s">
        <v>1780</v>
      </c>
      <c r="E76" s="676">
        <v>17.100000000000001</v>
      </c>
      <c r="F76" s="779" cm="1">
        <f t="array" aca="1" ref="F76" ca="1">OFFSET(G76,-1,-1)</f>
        <v>0</v>
      </c>
      <c r="G76" s="143" t="s">
        <v>1781</v>
      </c>
      <c r="L76" s="1090"/>
      <c r="M76" s="1080" cm="1">
        <f t="array" aca="1" ref="M76" ca="1">OFFSET(L76,-1,1)</f>
        <v>0</v>
      </c>
      <c r="N76" s="1090"/>
      <c r="O76" s="1090"/>
      <c r="P76" s="1090"/>
      <c r="Q76" s="1082"/>
      <c r="R76" s="1082"/>
      <c r="S76" s="1082" t="s">
        <v>1782</v>
      </c>
      <c r="T76" s="687" t="b" cm="1">
        <f t="array" ref="T76">T75</f>
        <v>0</v>
      </c>
      <c r="X76" s="1823"/>
      <c r="Z76" s="1823"/>
      <c r="AB76" s="553" t="str">
        <f>AB75&amp;".1"</f>
        <v>10.1</v>
      </c>
      <c r="AC76" s="236" t="s">
        <v>1783</v>
      </c>
      <c r="AD76" s="258" t="s">
        <v>634</v>
      </c>
      <c r="AE76" s="77"/>
      <c r="AF76" s="516"/>
      <c r="AG76" s="516"/>
      <c r="AH76" s="319"/>
      <c r="AI76" s="77"/>
      <c r="AJ76" s="517"/>
      <c r="AK76" s="517"/>
      <c r="AL76" s="256">
        <f t="shared" si="3"/>
        <v>0</v>
      </c>
      <c r="AM76" s="28"/>
      <c r="AN76" s="28"/>
      <c r="AO76" s="28"/>
      <c r="AR76" s="1029" t="s">
        <v>1784</v>
      </c>
      <c r="AS76" s="1064"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5" customFormat="1" ht="16.7" hidden="1" customHeight="1">
      <c r="C77" s="1094" t="s">
        <v>1785</v>
      </c>
      <c r="D77" s="1053" t="s">
        <v>1786</v>
      </c>
      <c r="E77" s="676">
        <v>17.100000000000001</v>
      </c>
      <c r="F77" s="779" cm="1">
        <f t="array" aca="1" ref="F77" ca="1">OFFSET(G77,-1,-1)</f>
        <v>0</v>
      </c>
      <c r="G77" s="620" t="s">
        <v>1787</v>
      </c>
      <c r="L77" s="1090"/>
      <c r="M77" s="1080" cm="1">
        <f t="array" aca="1" ref="M77" ca="1">OFFSET(L77,-1,1)</f>
        <v>0</v>
      </c>
      <c r="N77" s="1090"/>
      <c r="O77" s="1090"/>
      <c r="P77" s="1090"/>
      <c r="Q77" s="1082"/>
      <c r="R77" s="1082"/>
      <c r="S77" s="1082" t="s">
        <v>1782</v>
      </c>
      <c r="T77" s="687" t="b" cm="1">
        <f t="array" ref="T77">T76</f>
        <v>0</v>
      </c>
      <c r="X77" s="1823"/>
      <c r="Z77" s="1823"/>
      <c r="AB77" s="553" t="str">
        <f>AB75&amp;".2"</f>
        <v>10.2</v>
      </c>
      <c r="AC77" s="236" t="s">
        <v>1788</v>
      </c>
      <c r="AD77" s="258" t="s">
        <v>929</v>
      </c>
      <c r="AE77" s="77"/>
      <c r="AF77" s="516"/>
      <c r="AG77" s="516"/>
      <c r="AH77" s="319"/>
      <c r="AI77" s="77"/>
      <c r="AJ77" s="517"/>
      <c r="AK77" s="517"/>
      <c r="AL77" s="256">
        <f t="shared" si="3"/>
        <v>0</v>
      </c>
      <c r="AM77" s="28"/>
      <c r="AN77" s="28"/>
      <c r="AO77" s="28"/>
      <c r="AR77" s="1029" t="s">
        <v>1789</v>
      </c>
      <c r="AS77" s="1064"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94" t="s">
        <v>1779</v>
      </c>
      <c r="D78" s="1053" t="s">
        <v>1780</v>
      </c>
      <c r="E78" s="676">
        <v>17.100000000000001</v>
      </c>
      <c r="F78" s="779" cm="1">
        <f t="array" aca="1" ref="F78" ca="1">OFFSET(G78,-1,-1)</f>
        <v>0</v>
      </c>
      <c r="G78" s="143" t="s">
        <v>1790</v>
      </c>
      <c r="L78" s="1082"/>
      <c r="M78" s="1080" cm="1">
        <f t="array" aca="1" ref="M78" ca="1">OFFSET(L78,-1,1)</f>
        <v>0</v>
      </c>
      <c r="N78" s="1082"/>
      <c r="O78" s="1082"/>
      <c r="P78" s="1082"/>
      <c r="Q78" s="1082"/>
      <c r="R78" s="1082"/>
      <c r="S78" s="1082" t="s">
        <v>1791</v>
      </c>
      <c r="T78" s="687" t="b" cm="1">
        <f t="array" ref="T78">T77</f>
        <v>0</v>
      </c>
      <c r="X78" s="1726"/>
      <c r="Z78" s="1726"/>
      <c r="AB78" s="553" t="str">
        <f>AB75&amp;".3"</f>
        <v>10.3</v>
      </c>
      <c r="AC78" s="236" t="s">
        <v>1792</v>
      </c>
      <c r="AD78" s="258" t="s">
        <v>634</v>
      </c>
      <c r="AE78" s="860">
        <f ca="1">AE75-AE76</f>
        <v>0</v>
      </c>
      <c r="AF78" s="516"/>
      <c r="AG78" s="516"/>
      <c r="AH78" s="319"/>
      <c r="AI78" s="860">
        <f ca="1">AI75-AI76</f>
        <v>0</v>
      </c>
      <c r="AJ78" s="860">
        <f ca="1">AJ75-AJ76</f>
        <v>0</v>
      </c>
      <c r="AK78" s="860">
        <f ca="1">AK75-AK76</f>
        <v>0</v>
      </c>
      <c r="AL78" s="256">
        <f t="shared" ca="1" si="3"/>
        <v>0</v>
      </c>
      <c r="AM78" s="24"/>
      <c r="AN78" s="24"/>
      <c r="AO78" s="24"/>
      <c r="AR78" s="1029" t="s">
        <v>1793</v>
      </c>
      <c r="AS78" s="1064"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94" t="s">
        <v>1785</v>
      </c>
      <c r="D79" s="1053" t="s">
        <v>1786</v>
      </c>
      <c r="E79" s="676">
        <v>17.100000000000001</v>
      </c>
      <c r="F79" s="779" cm="1">
        <f t="array" aca="1" ref="F79" ca="1">OFFSET(G79,-1,-1)</f>
        <v>0</v>
      </c>
      <c r="G79" s="620" t="s">
        <v>1794</v>
      </c>
      <c r="L79" s="1082"/>
      <c r="M79" s="1080" cm="1">
        <f t="array" aca="1" ref="M79" ca="1">OFFSET(L79,-1,1)</f>
        <v>0</v>
      </c>
      <c r="N79" s="1082"/>
      <c r="O79" s="1082"/>
      <c r="P79" s="1082"/>
      <c r="Q79" s="1082"/>
      <c r="R79" s="1082"/>
      <c r="S79" s="1082" t="s">
        <v>1791</v>
      </c>
      <c r="T79" s="687" t="b" cm="1">
        <f t="array" ref="T79">T78</f>
        <v>0</v>
      </c>
      <c r="X79" s="1726"/>
      <c r="Z79" s="1726"/>
      <c r="AB79" s="553" t="str">
        <f>AB75&amp;".4"</f>
        <v>10.4</v>
      </c>
      <c r="AC79" s="236" t="s">
        <v>1795</v>
      </c>
      <c r="AD79" s="258" t="s">
        <v>929</v>
      </c>
      <c r="AE79" s="77">
        <f ca="1">IFERROR((AE72*1000-AE76*AE77)/AE78,0)</f>
        <v>0</v>
      </c>
      <c r="AF79" s="516"/>
      <c r="AG79" s="516"/>
      <c r="AH79" s="319"/>
      <c r="AI79" s="77">
        <f ca="1">IFERROR((AI72*1000-AI76*AI77)/AI78,0)</f>
        <v>0</v>
      </c>
      <c r="AJ79" s="517">
        <f ca="1">IFERROR((AJ72*1000-AJ76*AJ77)/AJ78,0)</f>
        <v>0</v>
      </c>
      <c r="AK79" s="517">
        <f ca="1">IFERROR((AK72*1000-AK76*AK77)/AK78,0)</f>
        <v>0</v>
      </c>
      <c r="AL79" s="256">
        <f t="shared" ca="1" si="3"/>
        <v>0</v>
      </c>
      <c r="AM79" s="34"/>
      <c r="AN79" s="34"/>
      <c r="AO79" s="34"/>
      <c r="AR79" s="1029" t="s">
        <v>1796</v>
      </c>
      <c r="AS79" s="1064"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43" customFormat="1" ht="16.7" hidden="1" customHeight="1">
      <c r="C80" s="1094" t="s">
        <v>1797</v>
      </c>
      <c r="D80" s="1053" t="s">
        <v>1798</v>
      </c>
      <c r="E80" s="676">
        <v>17.100000000000001</v>
      </c>
      <c r="F80" s="779" cm="1">
        <f t="array" aca="1" ref="F80" ca="1">OFFSET(G80,-1,-1)</f>
        <v>0</v>
      </c>
      <c r="L80" s="1082"/>
      <c r="M80" s="1080" cm="1">
        <f t="array" aca="1" ref="M80" ca="1">OFFSET(L80,-1,1)</f>
        <v>0</v>
      </c>
      <c r="N80" s="1082"/>
      <c r="O80" s="1082"/>
      <c r="P80" s="1082"/>
      <c r="Q80" s="1082"/>
      <c r="R80" s="1082"/>
      <c r="S80" s="1082"/>
      <c r="T80" s="687" t="b" cm="1">
        <f t="array" ref="T80">T79</f>
        <v>0</v>
      </c>
      <c r="X80" s="1837"/>
      <c r="Z80" s="1837"/>
      <c r="AB80" s="553" t="str">
        <f>AB75&amp;".5"</f>
        <v>10.5</v>
      </c>
      <c r="AC80" s="261" t="s">
        <v>1799</v>
      </c>
      <c r="AD80" s="258" t="s">
        <v>533</v>
      </c>
      <c r="AE80" s="555">
        <f ca="1">IFERROR(AE79/AE77,0)</f>
        <v>0</v>
      </c>
      <c r="AF80" s="516"/>
      <c r="AG80" s="516"/>
      <c r="AH80" s="319"/>
      <c r="AI80" s="555">
        <f ca="1">IFERROR(AI79/AI77,0)</f>
        <v>0</v>
      </c>
      <c r="AJ80" s="555">
        <f ca="1">IFERROR(AJ79/AJ77,0)</f>
        <v>0</v>
      </c>
      <c r="AK80" s="555">
        <f ca="1">IFERROR(AK79/AK77,0)</f>
        <v>0</v>
      </c>
      <c r="AL80" s="256">
        <f t="shared" ca="1" si="3"/>
        <v>0</v>
      </c>
      <c r="AM80" s="719"/>
      <c r="AN80" s="719"/>
      <c r="AO80" s="719"/>
      <c r="AR80" s="1029" t="s">
        <v>1800</v>
      </c>
      <c r="AS80" s="1064"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94" t="s">
        <v>1801</v>
      </c>
      <c r="D81" s="1053" t="s">
        <v>1802</v>
      </c>
      <c r="E81" s="676">
        <v>17.100000000000001</v>
      </c>
      <c r="F81" s="779" cm="1">
        <f t="array" aca="1" ref="F81" ca="1">OFFSET(G81,-1,-1)</f>
        <v>0</v>
      </c>
      <c r="L81" s="1082"/>
      <c r="M81" s="1080" cm="1">
        <f t="array" aca="1" ref="M81" ca="1">OFFSET(L81,-1,1)</f>
        <v>0</v>
      </c>
      <c r="N81" s="1082"/>
      <c r="O81" s="1082"/>
      <c r="P81" s="1082"/>
      <c r="Q81" s="1082"/>
      <c r="R81" s="1082"/>
      <c r="S81" s="1082"/>
      <c r="T81" s="687" t="b" cm="1">
        <f t="array" ref="T81">T80</f>
        <v>0</v>
      </c>
      <c r="X81" s="1726"/>
      <c r="Z81" s="1726"/>
      <c r="AB81" s="553" t="str">
        <f>AB75&amp;".6"</f>
        <v>10.6</v>
      </c>
      <c r="AC81" s="261" t="s">
        <v>1803</v>
      </c>
      <c r="AD81" s="258" t="s">
        <v>929</v>
      </c>
      <c r="AE81" s="860">
        <f ca="1">IFERROR(AE72/AE75*1000,0)</f>
        <v>0</v>
      </c>
      <c r="AF81" s="516"/>
      <c r="AG81" s="516"/>
      <c r="AH81" s="319"/>
      <c r="AI81" s="860">
        <f ca="1">IFERROR(AI72/AI75*1000,0)</f>
        <v>0</v>
      </c>
      <c r="AJ81" s="860">
        <f ca="1">IFERROR(AJ72/AJ75*1000,0)</f>
        <v>0</v>
      </c>
      <c r="AK81" s="860">
        <f ca="1">IFERROR(AK72/AK75*1000,0)</f>
        <v>0</v>
      </c>
      <c r="AL81" s="256">
        <f t="shared" ca="1" si="3"/>
        <v>0</v>
      </c>
      <c r="AM81" s="34"/>
      <c r="AN81" s="34"/>
      <c r="AO81" s="34"/>
      <c r="AR81" s="1029" t="s">
        <v>1804</v>
      </c>
      <c r="AS81" s="1064"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43" customFormat="1" ht="16.7" hidden="1" customHeight="1">
      <c r="C82" s="1094" t="s">
        <v>1805</v>
      </c>
      <c r="D82" s="1053" t="s">
        <v>1806</v>
      </c>
      <c r="E82" s="676">
        <v>17.100000000000001</v>
      </c>
      <c r="F82" s="779" cm="1">
        <f t="array" aca="1" ref="F82" ca="1">OFFSET(G82,-1,-1)</f>
        <v>0</v>
      </c>
      <c r="H82" s="143" cm="1">
        <f t="array" ref="H82">G27</f>
        <v>0</v>
      </c>
      <c r="L82" s="1082"/>
      <c r="M82" s="1080" cm="1">
        <f t="array" aca="1" ref="M82" ca="1">OFFSET(L82,-1,1)</f>
        <v>0</v>
      </c>
      <c r="N82" s="1082"/>
      <c r="O82" s="1082"/>
      <c r="P82" s="1082"/>
      <c r="Q82" s="1082"/>
      <c r="R82" s="1082"/>
      <c r="S82" s="1082"/>
      <c r="T82" s="687" t="b">
        <f t="shared" ref="T82:T92" ca="1" si="4">AND(F82&gt;0,H82="двухставочный")</f>
        <v>0</v>
      </c>
      <c r="X82" s="1837"/>
      <c r="Z82" s="1837"/>
      <c r="AB82" s="263" t="s">
        <v>463</v>
      </c>
      <c r="AC82" s="753" t="s">
        <v>1808</v>
      </c>
      <c r="AD82" s="557" t="s">
        <v>725</v>
      </c>
      <c r="AE82" s="53">
        <f ca="1">SUMIFS('Баланс Пр'!AE$27:AE$233,'Баланс Пр'!$F$27:$F$233,$F82,'Баланс Пр'!$AB$27:$AB$233,"10")</f>
        <v>0</v>
      </c>
      <c r="AF82" s="516"/>
      <c r="AG82" s="516"/>
      <c r="AH82" s="319"/>
      <c r="AI82" s="53">
        <f ca="1">SUMIFS('Баланс Пр'!AH$27:AH$233,'Баланс Пр'!$F$27:$F$233,$F82,'Баланс Пр'!$AB$27:$AB$233,"10")</f>
        <v>0</v>
      </c>
      <c r="AJ82" s="257">
        <f ca="1">SUMIFS('Баланс Пр'!AI$27:AI$233,'Баланс Пр'!$F$27:$F$233,$F82,'Баланс Пр'!$AB$27:$AB$233,"10")</f>
        <v>0</v>
      </c>
      <c r="AK82" s="257">
        <f ca="1">SUMIFS('Баланс Пр'!AS$27:AS$233,'Баланс Пр'!$F$27:$F$233,$F82,'Баланс Пр'!$AB$27:$AB$233,"10")</f>
        <v>0</v>
      </c>
      <c r="AL82" s="256">
        <f t="shared" ca="1" si="3"/>
        <v>0</v>
      </c>
      <c r="AM82" s="912"/>
      <c r="AN82" s="912"/>
      <c r="AO82" s="909"/>
      <c r="AR82" s="1029" t="s">
        <v>726</v>
      </c>
      <c r="AS82" s="1064"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94" t="s">
        <v>1805</v>
      </c>
      <c r="D83" s="1053" t="s">
        <v>1806</v>
      </c>
      <c r="E83" s="676">
        <v>17.100000000000001</v>
      </c>
      <c r="F83" s="779" cm="1">
        <f t="array" aca="1" ref="F83" ca="1">OFFSET(G83,-1,-1)</f>
        <v>0</v>
      </c>
      <c r="H83" s="143" cm="1">
        <f t="array" ref="H83">G27</f>
        <v>0</v>
      </c>
      <c r="L83" s="1082"/>
      <c r="M83" s="1080" cm="1">
        <f t="array" aca="1" ref="M83" ca="1">OFFSET(L83,-1,1)</f>
        <v>0</v>
      </c>
      <c r="N83" s="1082"/>
      <c r="O83" s="1082"/>
      <c r="P83" s="1082"/>
      <c r="Q83" s="1082"/>
      <c r="R83" s="1082"/>
      <c r="S83" s="1082" t="s">
        <v>1782</v>
      </c>
      <c r="T83" s="687" t="b">
        <f t="shared" ca="1" si="4"/>
        <v>0</v>
      </c>
      <c r="X83" s="1726"/>
      <c r="Z83" s="1726"/>
      <c r="AB83" s="553" t="str">
        <f>AB82&amp;".1"</f>
        <v>11.1</v>
      </c>
      <c r="AC83" s="608" t="s">
        <v>1810</v>
      </c>
      <c r="AD83" s="523" t="s">
        <v>725</v>
      </c>
      <c r="AE83" s="84" cm="1">
        <f t="array" aca="1" ref="AE83" ca="1">AE82</f>
        <v>0</v>
      </c>
      <c r="AF83" s="516"/>
      <c r="AG83" s="516"/>
      <c r="AH83" s="319"/>
      <c r="AI83" s="84" cm="1">
        <f t="array" aca="1" ref="AI83" ca="1">AI82</f>
        <v>0</v>
      </c>
      <c r="AJ83" s="538" cm="1">
        <f t="array" aca="1" ref="AJ83" ca="1">AJ82</f>
        <v>0</v>
      </c>
      <c r="AK83" s="538" cm="1">
        <f t="array" aca="1" ref="AK83" ca="1">AK82</f>
        <v>0</v>
      </c>
      <c r="AL83" s="256">
        <f t="shared" ca="1" si="3"/>
        <v>0</v>
      </c>
      <c r="AM83" s="35"/>
      <c r="AN83" s="35"/>
      <c r="AO83" s="35"/>
      <c r="AR83" s="1029" t="s">
        <v>1811</v>
      </c>
      <c r="AS83" s="1064"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94" t="s">
        <v>1805</v>
      </c>
      <c r="D84" s="1053" t="s">
        <v>1806</v>
      </c>
      <c r="E84" s="676">
        <v>17.100000000000001</v>
      </c>
      <c r="F84" s="779" cm="1">
        <f t="array" aca="1" ref="F84" ca="1">OFFSET(G84,-1,-1)</f>
        <v>0</v>
      </c>
      <c r="H84" s="143" cm="1">
        <f t="array" ref="H84">G27</f>
        <v>0</v>
      </c>
      <c r="L84" s="1082"/>
      <c r="M84" s="1080" cm="1">
        <f t="array" aca="1" ref="M84" ca="1">OFFSET(L84,-1,1)</f>
        <v>0</v>
      </c>
      <c r="N84" s="1082"/>
      <c r="O84" s="1082"/>
      <c r="P84" s="1082"/>
      <c r="Q84" s="1082"/>
      <c r="R84" s="1082"/>
      <c r="S84" s="1082" t="s">
        <v>1791</v>
      </c>
      <c r="T84" s="687" t="b">
        <f t="shared" ca="1" si="4"/>
        <v>0</v>
      </c>
      <c r="X84" s="1726"/>
      <c r="Z84" s="1726"/>
      <c r="AB84" s="553" t="str">
        <f>AB82&amp;".2"</f>
        <v>11.2</v>
      </c>
      <c r="AC84" s="608" t="s">
        <v>1813</v>
      </c>
      <c r="AD84" s="523" t="s">
        <v>725</v>
      </c>
      <c r="AE84" s="84" cm="1">
        <f t="array" aca="1" ref="AE84" ca="1">AE82</f>
        <v>0</v>
      </c>
      <c r="AF84" s="516"/>
      <c r="AG84" s="516"/>
      <c r="AH84" s="319"/>
      <c r="AI84" s="84" cm="1">
        <f t="array" aca="1" ref="AI84" ca="1">AI82</f>
        <v>0</v>
      </c>
      <c r="AJ84" s="538" cm="1">
        <f t="array" aca="1" ref="AJ84" ca="1">AJ82</f>
        <v>0</v>
      </c>
      <c r="AK84" s="538" cm="1">
        <f t="array" aca="1" ref="AK84" ca="1">AK82</f>
        <v>0</v>
      </c>
      <c r="AL84" s="256">
        <f t="shared" ca="1" si="3"/>
        <v>0</v>
      </c>
      <c r="AM84" s="35"/>
      <c r="AN84" s="35"/>
      <c r="AO84" s="35"/>
      <c r="AR84" s="1029" t="s">
        <v>1814</v>
      </c>
      <c r="AS84" s="1064"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94"/>
      <c r="D85" s="1053"/>
      <c r="E85" s="676">
        <v>17.100000000000001</v>
      </c>
      <c r="F85" s="779" cm="1">
        <f t="array" aca="1" ref="F85" ca="1">OFFSET(G85,-1,-1)</f>
        <v>0</v>
      </c>
      <c r="H85" s="143" cm="1">
        <f t="array" ref="H85">G27</f>
        <v>0</v>
      </c>
      <c r="L85" s="1082"/>
      <c r="M85" s="1080" cm="1">
        <f t="array" aca="1" ref="M85" ca="1">OFFSET(L85,-1,1)</f>
        <v>0</v>
      </c>
      <c r="N85" s="1082"/>
      <c r="O85" s="1082"/>
      <c r="P85" s="1082"/>
      <c r="Q85" s="1082"/>
      <c r="R85" s="1082"/>
      <c r="S85" s="1082"/>
      <c r="T85" s="687" t="b">
        <f t="shared" ca="1" si="4"/>
        <v>0</v>
      </c>
      <c r="X85" s="1726"/>
      <c r="Z85" s="1726"/>
      <c r="AB85" s="552" t="s">
        <v>466</v>
      </c>
      <c r="AC85" s="114" t="s">
        <v>1816</v>
      </c>
      <c r="AD85" s="598"/>
      <c r="AE85" s="619"/>
      <c r="AF85" s="516"/>
      <c r="AG85" s="516"/>
      <c r="AH85" s="319"/>
      <c r="AI85" s="619"/>
      <c r="AJ85" s="619"/>
      <c r="AK85" s="619"/>
      <c r="AL85" s="319"/>
      <c r="AM85" s="28"/>
      <c r="AN85" s="28"/>
      <c r="AO85" s="28"/>
      <c r="AR85" s="1029" t="s">
        <v>1817</v>
      </c>
      <c r="AS85" s="1132"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94" t="s">
        <v>1818</v>
      </c>
      <c r="D86" s="1053" t="s">
        <v>1819</v>
      </c>
      <c r="E86" s="676">
        <v>17.100000000000001</v>
      </c>
      <c r="F86" s="779" cm="1">
        <f t="array" aca="1" ref="F86" ca="1">OFFSET(G86,-1,-1)</f>
        <v>0</v>
      </c>
      <c r="G86" s="620" t="s">
        <v>1820</v>
      </c>
      <c r="H86" s="143" cm="1">
        <f t="array" ref="H86">G27</f>
        <v>0</v>
      </c>
      <c r="L86" s="1082"/>
      <c r="M86" s="1080" cm="1">
        <f t="array" aca="1" ref="M86" ca="1">OFFSET(L86,-1,1)</f>
        <v>0</v>
      </c>
      <c r="N86" s="1082"/>
      <c r="O86" s="1082"/>
      <c r="P86" s="1082"/>
      <c r="Q86" s="1082"/>
      <c r="R86" s="1082"/>
      <c r="S86" s="1082" t="s">
        <v>1782</v>
      </c>
      <c r="T86" s="687" t="b">
        <f t="shared" ca="1" si="4"/>
        <v>0</v>
      </c>
      <c r="X86" s="1726"/>
      <c r="Z86" s="1726"/>
      <c r="AB86" s="553" t="str">
        <f>AB85&amp;".1"</f>
        <v>12.1</v>
      </c>
      <c r="AC86" s="1139" t="s">
        <v>1821</v>
      </c>
      <c r="AD86" s="443" t="s">
        <v>929</v>
      </c>
      <c r="AE86" s="84"/>
      <c r="AF86" s="516"/>
      <c r="AG86" s="516"/>
      <c r="AH86" s="319"/>
      <c r="AI86" s="84"/>
      <c r="AJ86" s="538"/>
      <c r="AK86" s="538"/>
      <c r="AL86" s="256">
        <f>IF(AI86=0,0,(AK86-AI86)/AI86*100)</f>
        <v>0</v>
      </c>
      <c r="AM86" s="28"/>
      <c r="AN86" s="28"/>
      <c r="AO86" s="28"/>
      <c r="AR86" s="1029" t="s">
        <v>1822</v>
      </c>
      <c r="AS86" s="1064"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94" t="s">
        <v>1818</v>
      </c>
      <c r="D87" s="1053" t="s">
        <v>1819</v>
      </c>
      <c r="E87" s="676">
        <v>17.100000000000001</v>
      </c>
      <c r="F87" s="779" cm="1">
        <f t="array" aca="1" ref="F87" ca="1">OFFSET(G87,-1,-1)</f>
        <v>0</v>
      </c>
      <c r="G87" s="620" t="s">
        <v>1823</v>
      </c>
      <c r="H87" s="143" cm="1">
        <f t="array" ref="H87">G27</f>
        <v>0</v>
      </c>
      <c r="L87" s="1082"/>
      <c r="M87" s="1080" cm="1">
        <f t="array" aca="1" ref="M87" ca="1">OFFSET(L87,-1,1)</f>
        <v>0</v>
      </c>
      <c r="N87" s="1082"/>
      <c r="O87" s="1082"/>
      <c r="P87" s="1082"/>
      <c r="Q87" s="1082"/>
      <c r="R87" s="1082"/>
      <c r="S87" s="1082" t="s">
        <v>1791</v>
      </c>
      <c r="T87" s="687" t="b">
        <f t="shared" ca="1" si="4"/>
        <v>0</v>
      </c>
      <c r="X87" s="1726"/>
      <c r="Z87" s="1726"/>
      <c r="AB87" s="553" t="str">
        <f>AB85&amp;".2"</f>
        <v>12.2</v>
      </c>
      <c r="AC87" s="1139" t="s">
        <v>1824</v>
      </c>
      <c r="AD87" s="443" t="s">
        <v>929</v>
      </c>
      <c r="AE87" s="515">
        <f ca="1">IFERROR((AE73*1000-AE76*AE86)/AE78,0)</f>
        <v>0</v>
      </c>
      <c r="AF87" s="516"/>
      <c r="AG87" s="516"/>
      <c r="AH87" s="319"/>
      <c r="AI87" s="515">
        <f ca="1">IFERROR((AI73*1000-AI76*AI86)/AI78,0)</f>
        <v>0</v>
      </c>
      <c r="AJ87" s="515">
        <f ca="1">IFERROR((AJ73*1000-AJ76*AJ86)/AJ78,0)</f>
        <v>0</v>
      </c>
      <c r="AK87" s="515">
        <f ca="1">IFERROR((AK73*1000-AK76*AK86)/AK78,0)</f>
        <v>0</v>
      </c>
      <c r="AL87" s="256">
        <f ca="1">IF(AI87=0,0,(AK87-AI87)/AI87*100)</f>
        <v>0</v>
      </c>
      <c r="AM87" s="28"/>
      <c r="AN87" s="28"/>
      <c r="AO87" s="28"/>
      <c r="AR87" s="1029" t="s">
        <v>1825</v>
      </c>
      <c r="AS87" s="1064"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94" t="s">
        <v>1826</v>
      </c>
      <c r="D88" s="1053" t="s">
        <v>1827</v>
      </c>
      <c r="E88" s="676">
        <v>17.100000000000001</v>
      </c>
      <c r="F88" s="779" cm="1">
        <f t="array" aca="1" ref="F88" ca="1">OFFSET(G88,-1,-1)</f>
        <v>0</v>
      </c>
      <c r="H88" s="143" cm="1">
        <f t="array" ref="H88">G27</f>
        <v>0</v>
      </c>
      <c r="L88" s="1082" t="s">
        <v>1981</v>
      </c>
      <c r="M88" s="1080" cm="1">
        <f t="array" aca="1" ref="M88" ca="1">OFFSET(L88,-1,1)</f>
        <v>0</v>
      </c>
      <c r="N88" s="1082"/>
      <c r="O88" s="1082"/>
      <c r="P88" s="1082"/>
      <c r="Q88" s="1082"/>
      <c r="R88" s="1082"/>
      <c r="S88" s="1082"/>
      <c r="T88" s="687" t="b">
        <f t="shared" ca="1" si="4"/>
        <v>0</v>
      </c>
      <c r="X88" s="1726"/>
      <c r="Z88" s="1726"/>
      <c r="AB88" s="553" t="str">
        <f>AB85&amp;".3"</f>
        <v>12.3</v>
      </c>
      <c r="AC88" s="261" t="s">
        <v>1829</v>
      </c>
      <c r="AD88" s="443" t="s">
        <v>533</v>
      </c>
      <c r="AE88" s="555">
        <f ca="1">IFERROR(AE87/AE86,0)</f>
        <v>0</v>
      </c>
      <c r="AF88" s="516"/>
      <c r="AG88" s="516"/>
      <c r="AH88" s="516"/>
      <c r="AI88" s="555">
        <f ca="1">IFERROR(AI87/AI86,0)</f>
        <v>0</v>
      </c>
      <c r="AJ88" s="555">
        <f ca="1">IFERROR(AJ87/AJ86,0)</f>
        <v>0</v>
      </c>
      <c r="AK88" s="555">
        <f ca="1">IFERROR(AK87/AK86,0)</f>
        <v>0</v>
      </c>
      <c r="AL88" s="319"/>
      <c r="AM88" s="28"/>
      <c r="AN88" s="28"/>
      <c r="AO88" s="28"/>
      <c r="AR88" s="1029" t="s">
        <v>1830</v>
      </c>
      <c r="AS88" s="1064"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94"/>
      <c r="D89" s="1053"/>
      <c r="E89" s="676">
        <v>35</v>
      </c>
      <c r="F89" s="779" cm="1">
        <f t="array" aca="1" ref="F89" ca="1">OFFSET(G89,-1,-1)</f>
        <v>0</v>
      </c>
      <c r="H89" s="143" cm="1">
        <f t="array" ref="H89">G27</f>
        <v>0</v>
      </c>
      <c r="L89" s="1082"/>
      <c r="M89" s="1080" cm="1">
        <f t="array" aca="1" ref="M89" ca="1">OFFSET(L89,-1,1)</f>
        <v>0</v>
      </c>
      <c r="N89" s="1082"/>
      <c r="O89" s="1082"/>
      <c r="P89" s="1082"/>
      <c r="Q89" s="1082"/>
      <c r="R89" s="1082"/>
      <c r="S89" s="1082"/>
      <c r="T89" s="687" t="b">
        <f t="shared" ca="1" si="4"/>
        <v>0</v>
      </c>
      <c r="X89" s="1726"/>
      <c r="Z89" s="1726"/>
      <c r="AB89" s="233" t="s">
        <v>469</v>
      </c>
      <c r="AC89" s="114" t="s">
        <v>1831</v>
      </c>
      <c r="AD89" s="522"/>
      <c r="AE89" s="619"/>
      <c r="AF89" s="516"/>
      <c r="AG89" s="516"/>
      <c r="AH89" s="516"/>
      <c r="AI89" s="619"/>
      <c r="AJ89" s="619"/>
      <c r="AK89" s="619"/>
      <c r="AL89" s="319"/>
      <c r="AM89" s="28"/>
      <c r="AN89" s="28"/>
      <c r="AO89" s="28"/>
      <c r="AR89" s="1029" t="s">
        <v>1832</v>
      </c>
      <c r="AS89" s="1132"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94" t="s">
        <v>1833</v>
      </c>
      <c r="D90" s="1053" t="s">
        <v>1834</v>
      </c>
      <c r="E90" s="676">
        <v>17.100000000000001</v>
      </c>
      <c r="F90" s="779" cm="1">
        <f t="array" aca="1" ref="F90" ca="1">OFFSET(G90,-1,-1)</f>
        <v>0</v>
      </c>
      <c r="G90" s="620" t="s">
        <v>1835</v>
      </c>
      <c r="H90" s="143" cm="1">
        <f t="array" ref="H90">G27</f>
        <v>0</v>
      </c>
      <c r="L90" s="1082"/>
      <c r="M90" s="1080" cm="1">
        <f t="array" aca="1" ref="M90" ca="1">OFFSET(L90,-1,1)</f>
        <v>0</v>
      </c>
      <c r="N90" s="1082"/>
      <c r="O90" s="1082"/>
      <c r="P90" s="1082"/>
      <c r="Q90" s="1082"/>
      <c r="R90" s="1082"/>
      <c r="S90" s="1082"/>
      <c r="T90" s="687" t="b">
        <f t="shared" ca="1" si="4"/>
        <v>0</v>
      </c>
      <c r="X90" s="1726"/>
      <c r="Z90" s="1726"/>
      <c r="AB90" s="553" t="str">
        <f>AB89&amp;".1"</f>
        <v>13.1</v>
      </c>
      <c r="AC90" s="115" t="s">
        <v>1836</v>
      </c>
      <c r="AD90" s="443" t="s">
        <v>1837</v>
      </c>
      <c r="AE90" s="53"/>
      <c r="AF90" s="516"/>
      <c r="AG90" s="516"/>
      <c r="AH90" s="319"/>
      <c r="AI90" s="53"/>
      <c r="AJ90" s="257"/>
      <c r="AK90" s="257"/>
      <c r="AL90" s="256">
        <f>IF(AI90=0,0,(AK90-AI90)/AI90*100)</f>
        <v>0</v>
      </c>
      <c r="AM90" s="28"/>
      <c r="AN90" s="28"/>
      <c r="AO90" s="28"/>
      <c r="AR90" s="1029" t="s">
        <v>1838</v>
      </c>
      <c r="AS90" s="1064"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94" t="s">
        <v>1833</v>
      </c>
      <c r="D91" s="1053" t="s">
        <v>1834</v>
      </c>
      <c r="E91" s="676">
        <v>17.100000000000001</v>
      </c>
      <c r="F91" s="779" cm="1">
        <f t="array" aca="1" ref="F91" ca="1">OFFSET(G91,-1,-1)</f>
        <v>0</v>
      </c>
      <c r="G91" s="620" t="s">
        <v>1839</v>
      </c>
      <c r="H91" s="143" cm="1">
        <f t="array" ref="H91">G27</f>
        <v>0</v>
      </c>
      <c r="L91" s="1082"/>
      <c r="M91" s="1080" cm="1">
        <f t="array" aca="1" ref="M91" ca="1">OFFSET(L91,-1,1)</f>
        <v>0</v>
      </c>
      <c r="N91" s="1082"/>
      <c r="O91" s="1082"/>
      <c r="P91" s="1082"/>
      <c r="Q91" s="1082"/>
      <c r="R91" s="1082"/>
      <c r="S91" s="1082"/>
      <c r="T91" s="687" t="b">
        <f t="shared" ca="1" si="4"/>
        <v>0</v>
      </c>
      <c r="X91" s="1726"/>
      <c r="Z91" s="1726"/>
      <c r="AB91" s="553" t="str">
        <f>AB89&amp;".2"</f>
        <v>13.2</v>
      </c>
      <c r="AC91" s="115" t="s">
        <v>1840</v>
      </c>
      <c r="AD91" s="443" t="s">
        <v>1837</v>
      </c>
      <c r="AE91" s="256">
        <f ca="1">IFERROR((AE74-AE83*6*AE90)/AE84/6,0)</f>
        <v>0</v>
      </c>
      <c r="AF91" s="516"/>
      <c r="AG91" s="516"/>
      <c r="AH91" s="319"/>
      <c r="AI91" s="256">
        <f ca="1">IFERROR((AI74-AI83*6*AI90)/AI84/6,0)</f>
        <v>0</v>
      </c>
      <c r="AJ91" s="256">
        <f ca="1">IFERROR((AJ74-AJ83*IF(god=2026,9,6)*AJ90)/AJ84/IF(god=2026,3,6),0)</f>
        <v>0</v>
      </c>
      <c r="AK91" s="256">
        <f ca="1">IFERROR((AK74-AK83*IF(god=2026,9,6)*AK90)/AK84/IF(god=2026,3,6),0)</f>
        <v>0</v>
      </c>
      <c r="AL91" s="256">
        <f ca="1">IF(AI91=0,0,(AK91-AI91)/AI91*100)</f>
        <v>0</v>
      </c>
      <c r="AM91" s="28"/>
      <c r="AN91" s="28"/>
      <c r="AO91" s="28"/>
      <c r="AR91" s="1029" t="s">
        <v>1841</v>
      </c>
      <c r="AS91" s="1064"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94" t="s">
        <v>1826</v>
      </c>
      <c r="D92" s="1053" t="s">
        <v>1827</v>
      </c>
      <c r="E92" s="676">
        <v>17.100000000000001</v>
      </c>
      <c r="F92" s="779" cm="1">
        <f t="array" aca="1" ref="F92" ca="1">OFFSET(G92,-1,-1)</f>
        <v>0</v>
      </c>
      <c r="H92" s="143" cm="1">
        <f t="array" ref="H92">G27</f>
        <v>0</v>
      </c>
      <c r="L92" s="1082"/>
      <c r="M92" s="1080" cm="1">
        <f t="array" aca="1" ref="M92" ca="1">OFFSET(L92,-1,1)</f>
        <v>0</v>
      </c>
      <c r="N92" s="1082"/>
      <c r="O92" s="1082"/>
      <c r="P92" s="1082"/>
      <c r="Q92" s="1082"/>
      <c r="R92" s="1082" t="s">
        <v>1842</v>
      </c>
      <c r="S92" s="1082"/>
      <c r="T92" s="687" t="b">
        <f t="shared" ca="1" si="4"/>
        <v>0</v>
      </c>
      <c r="X92" s="1726"/>
      <c r="Z92" s="1726"/>
      <c r="AB92" s="553" t="str">
        <f>AB89&amp;".3"</f>
        <v>13.3</v>
      </c>
      <c r="AC92" s="261" t="s">
        <v>1843</v>
      </c>
      <c r="AD92" s="443" t="s">
        <v>533</v>
      </c>
      <c r="AE92" s="555">
        <f ca="1">IFERROR(AE91/AE90,0)</f>
        <v>0</v>
      </c>
      <c r="AF92" s="861"/>
      <c r="AG92" s="516"/>
      <c r="AH92" s="516"/>
      <c r="AI92" s="555">
        <f ca="1">IFERROR(AI91/AI90,0)</f>
        <v>0</v>
      </c>
      <c r="AJ92" s="555">
        <f ca="1">IFERROR(AJ91/AJ90,0)</f>
        <v>0</v>
      </c>
      <c r="AK92" s="555">
        <f ca="1">IFERROR(AK91/AK90,0)</f>
        <v>0</v>
      </c>
      <c r="AL92" s="319"/>
      <c r="AM92" s="28"/>
      <c r="AN92" s="28"/>
      <c r="AO92" s="28"/>
      <c r="AR92" s="1029" t="s">
        <v>1844</v>
      </c>
      <c r="AS92" s="1064"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94" t="s">
        <v>1845</v>
      </c>
      <c r="D93" s="1053" t="s">
        <v>1846</v>
      </c>
      <c r="E93" s="676">
        <v>30</v>
      </c>
      <c r="F93" s="779" cm="1">
        <f t="array" aca="1" ref="F93" ca="1">OFFSET(G93,-1,-1)</f>
        <v>0</v>
      </c>
      <c r="L93" s="1082"/>
      <c r="M93" s="1080" cm="1">
        <f t="array" aca="1" ref="M93" ca="1">OFFSET(L93,-1,1)</f>
        <v>0</v>
      </c>
      <c r="N93" s="1082"/>
      <c r="O93" s="1082"/>
      <c r="P93" s="1082"/>
      <c r="Q93" s="1082"/>
      <c r="R93" s="1082"/>
      <c r="S93" s="1082"/>
      <c r="T93" s="687" t="b" cm="1">
        <f t="array" ref="T93">T72</f>
        <v>0</v>
      </c>
      <c r="X93" s="1726"/>
      <c r="Z93" s="1726"/>
      <c r="AB93" s="235" t="s">
        <v>1763</v>
      </c>
      <c r="AC93" s="888" t="s">
        <v>1848</v>
      </c>
      <c r="AD93" s="487" t="s">
        <v>1077</v>
      </c>
      <c r="AE93" s="53"/>
      <c r="AF93" s="77"/>
      <c r="AG93" s="77"/>
      <c r="AH93" s="256">
        <f>AG93-AF93</f>
        <v>0</v>
      </c>
      <c r="AI93" s="53"/>
      <c r="AJ93" s="257"/>
      <c r="AK93" s="257"/>
      <c r="AL93" s="256">
        <f>IF(AI93=0,0,(AK93-AI93)/AI93*100)</f>
        <v>0</v>
      </c>
      <c r="AM93" s="28"/>
      <c r="AN93" s="28"/>
      <c r="AO93" s="28"/>
      <c r="AR93" s="1029" t="s">
        <v>1849</v>
      </c>
      <c r="AS93" s="1064"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433" customFormat="1" ht="16.5" customHeight="1">
      <c r="A94" s="170"/>
      <c r="B94" s="170"/>
      <c r="C94" s="1098"/>
      <c r="D94" s="1048"/>
      <c r="E94" s="676">
        <v>17.100000000000001</v>
      </c>
      <c r="F94" s="779" t="str" cm="1">
        <f t="array" ref="F94">X94</f>
        <v>1</v>
      </c>
      <c r="G94" s="620" t="str" cm="1">
        <f t="array" ref="G94">INDEX('Общие сведения'!$AK$187:$AK$236,MATCH($F94,'Общие сведения'!$Z$187:$Z$236,0))</f>
        <v>одноставочный</v>
      </c>
      <c r="H94" s="170"/>
      <c r="I94" s="163" t="str" cm="1">
        <f t="array" ref="I94">INDEX('Общие сведения'!$AE$187:$AE$236,MATCH($F94,'Общие сведения'!$Z$187:$Z$236,0))</f>
        <v>Теплоснабжение</v>
      </c>
      <c r="J94" s="170"/>
      <c r="K94" s="163" t="str" cm="1">
        <f t="array" ref="K94">INDEX('Общие сведения'!$AL$187:$AL$236,MATCH($F94,'Общие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088"/>
      <c r="M94" s="1088"/>
      <c r="N94" s="1088"/>
      <c r="O94" s="1088"/>
      <c r="P94" s="1088"/>
      <c r="Q94" s="1088"/>
      <c r="R94" s="1088"/>
      <c r="S94" s="1088"/>
      <c r="T94" s="687" t="b">
        <f>X94&gt;0</f>
        <v>1</v>
      </c>
      <c r="U94" s="170"/>
      <c r="V94" s="126" t="str" cm="1">
        <f t="array" ref="V94">'Калькуляция (5.9)'!$AB$82</f>
        <v>Тариф 1 (Теплоснабжение) - Тариф на тепловую энергию (мощность), поставляемую потребителям (Не определено)</v>
      </c>
      <c r="W94" s="170"/>
      <c r="X94" s="1838" t="s">
        <v>341</v>
      </c>
      <c r="Y94" s="170"/>
      <c r="Z94" s="1724"/>
      <c r="AA94" s="170"/>
      <c r="AB94" s="275"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6"/>
      <c r="AD94" s="276"/>
      <c r="AE94" s="276"/>
      <c r="AF94" s="276"/>
      <c r="AG94" s="276"/>
      <c r="AH94" s="276"/>
      <c r="AI94" s="276"/>
      <c r="AJ94" s="276"/>
      <c r="AK94" s="276"/>
      <c r="AL94" s="276"/>
      <c r="AM94" s="276"/>
      <c r="AN94" s="276"/>
      <c r="AO94" s="276"/>
      <c r="AP94" s="170"/>
      <c r="AQ94" s="170"/>
      <c r="AR94" s="1002"/>
      <c r="AS94" s="1076"/>
    </row>
    <row r="95" spans="1:45" s="1229" customFormat="1" ht="33.75" customHeight="1">
      <c r="A95" s="983"/>
      <c r="B95" s="783"/>
      <c r="C95" s="1094" t="s">
        <v>1858</v>
      </c>
      <c r="D95" s="1053" t="s">
        <v>1859</v>
      </c>
      <c r="E95" s="676">
        <v>35</v>
      </c>
      <c r="F95" s="779" t="str" cm="1">
        <f t="array" aca="1" ref="F95" ca="1">OFFSET(G95,-1,-1)</f>
        <v>1</v>
      </c>
      <c r="G95" s="180"/>
      <c r="H95" s="180"/>
      <c r="I95" s="180"/>
      <c r="J95" s="180"/>
      <c r="K95" s="180"/>
      <c r="L95" s="1082"/>
      <c r="M95" s="1082" t="str" cm="1">
        <f t="array" ref="M95">INDEX('Общие сведения'!$N$187:$N$236,MATCH($F94,'Общие сведения'!$Z$187:$Z$236,0)+1)</f>
        <v>ТЭ.42.26322895.0003</v>
      </c>
      <c r="N95" s="1082"/>
      <c r="O95" s="1082"/>
      <c r="P95" s="1082"/>
      <c r="Q95" s="1082"/>
      <c r="R95" s="1082"/>
      <c r="S95" s="1082"/>
      <c r="T95" s="687" t="b" cm="1">
        <f t="array" ref="T95">T94</f>
        <v>1</v>
      </c>
      <c r="U95" s="1153"/>
      <c r="V95" s="1153"/>
      <c r="W95" s="1153"/>
      <c r="X95" s="1726"/>
      <c r="Y95" s="1153"/>
      <c r="Z95" s="1726"/>
      <c r="AA95" s="180"/>
      <c r="AB95" s="834">
        <v>1</v>
      </c>
      <c r="AC95" s="835" t="s">
        <v>1860</v>
      </c>
      <c r="AD95" s="836" t="s">
        <v>1077</v>
      </c>
      <c r="AE95" s="515">
        <f ca="1">AE96+AE97+AE98+AE101+AE102+AE103+AE104+AE105+AE107+AE108+AE109+AE110+AE111+AE112+AE113+AE114+AE115+AE116</f>
        <v>0</v>
      </c>
      <c r="AF95" s="515">
        <f ca="1">AF96+AF97+AF98+AF101+AF102+AF103+AF104+AF105+AF107+AF108+AF109+AF110+AF111+AF112+AF113+AF114+AF115+AF116</f>
        <v>0</v>
      </c>
      <c r="AG95" s="515">
        <f ca="1">AG96+AG97+AG98+AG101+AG102+AG103+AG104+AG105+AG107+AG108+AG109+AG110+AG111+AG112+AG113+AG114+AG115+AG116</f>
        <v>0</v>
      </c>
      <c r="AH95" s="256">
        <f t="shared" ref="AH95:AH141" ca="1" si="5">AG95-AF95</f>
        <v>0</v>
      </c>
      <c r="AI95" s="515">
        <f ca="1">AI96+AI97+AI98+AI101+AI102+AI103+AI104+AI105+AI107+AI108+AI109+AI110+AI111+AI112+AI113+AI114+AI115+AI116</f>
        <v>202638.03623918744</v>
      </c>
      <c r="AJ95" s="515">
        <f ca="1">AJ96+AJ97+AJ98+AJ101+AJ102+AJ103+AJ104+AJ105+AJ107+AJ108+AJ109+AJ110+AJ111+AJ112+AJ113+AJ114+AJ115+AJ116</f>
        <v>0</v>
      </c>
      <c r="AK95" s="515">
        <f ca="1">AK96+AK97+AK98+AK101+AK102+AK103+AK104+AK105+AK107+AK108+AK109+AK110+AK111+AK112+AK113+AK114+AK115+AK116</f>
        <v>260153.91234096265</v>
      </c>
      <c r="AL95" s="256">
        <f t="shared" ref="AL95:AL126" ca="1" si="6">IF(AI95=0,0,(AK95-AI95)/AI95*100)</f>
        <v>28.383553832847706</v>
      </c>
      <c r="AM95" s="1290"/>
      <c r="AN95" s="1290"/>
      <c r="AO95" s="1290"/>
      <c r="AP95" s="180"/>
      <c r="AQ95" s="180"/>
      <c r="AR95" s="1029" t="s">
        <v>1861</v>
      </c>
      <c r="AS95" s="1064"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M10558::ТЭ.42.26322895.0003::Неопределено::Неопределено::Неопределено::Неопределено::Неопределено::Неопределено::Неопределено</v>
      </c>
    </row>
    <row r="96" spans="1:45" s="1229" customFormat="1" ht="16.5" customHeight="1">
      <c r="A96" s="983"/>
      <c r="B96" s="783"/>
      <c r="C96" s="1094" t="s">
        <v>1858</v>
      </c>
      <c r="D96" s="1053" t="s">
        <v>1859</v>
      </c>
      <c r="E96" s="676">
        <v>17.100000000000001</v>
      </c>
      <c r="F96" s="779" t="str" cm="1">
        <f t="array" aca="1" ref="F96" ca="1">OFFSET(G96,-1,-1)</f>
        <v>1</v>
      </c>
      <c r="G96" s="180"/>
      <c r="H96" s="180"/>
      <c r="I96" s="180"/>
      <c r="J96" s="180"/>
      <c r="K96" s="180"/>
      <c r="L96" s="1082" t="s">
        <v>1862</v>
      </c>
      <c r="M96" s="1080" t="str" cm="1">
        <f t="array" aca="1" ref="M96" ca="1">OFFSET(L96,-1,1)</f>
        <v>ТЭ.42.26322895.0003</v>
      </c>
      <c r="N96" s="1082"/>
      <c r="O96" s="1082"/>
      <c r="P96" s="1082"/>
      <c r="Q96" s="1082"/>
      <c r="R96" s="1082"/>
      <c r="S96" s="1082"/>
      <c r="T96" s="687" t="b" cm="1">
        <f t="array" ref="T96">T95</f>
        <v>1</v>
      </c>
      <c r="U96" s="1153"/>
      <c r="V96" s="1153"/>
      <c r="W96" s="1153"/>
      <c r="X96" s="1726"/>
      <c r="Y96" s="1153"/>
      <c r="Z96" s="1726"/>
      <c r="AA96" s="180"/>
      <c r="AB96" s="837" t="s">
        <v>484</v>
      </c>
      <c r="AC96" s="838" t="s">
        <v>1863</v>
      </c>
      <c r="AD96" s="839" t="s">
        <v>1077</v>
      </c>
      <c r="AE96" s="1398"/>
      <c r="AF96" s="1398"/>
      <c r="AG96" s="1398"/>
      <c r="AH96" s="256">
        <f t="shared" si="5"/>
        <v>0</v>
      </c>
      <c r="AI96" s="1398"/>
      <c r="AJ96" s="517"/>
      <c r="AK96" s="517"/>
      <c r="AL96" s="256">
        <f t="shared" si="6"/>
        <v>0</v>
      </c>
      <c r="AM96" s="1290"/>
      <c r="AN96" s="1290"/>
      <c r="AO96" s="1290"/>
      <c r="AP96" s="180"/>
      <c r="AQ96" s="180"/>
      <c r="AR96" s="1029" t="s">
        <v>1354</v>
      </c>
      <c r="AS96" s="1064"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M10558::ТЭ.42.26322895.0003::1.0.64.::Неопределено::Неопределено::Неопределено::Неопределено::Неопределено::Неопределено</v>
      </c>
    </row>
    <row r="97" spans="1:45" s="1229" customFormat="1" ht="25.5" customHeight="1">
      <c r="A97" s="983"/>
      <c r="B97" s="783"/>
      <c r="C97" s="1094" t="s">
        <v>1858</v>
      </c>
      <c r="D97" s="1053" t="s">
        <v>1859</v>
      </c>
      <c r="E97" s="676">
        <v>26.3</v>
      </c>
      <c r="F97" s="779" t="str" cm="1">
        <f t="array" aca="1" ref="F97" ca="1">OFFSET(G97,-1,-1)</f>
        <v>1</v>
      </c>
      <c r="G97" s="143" t="s">
        <v>1445</v>
      </c>
      <c r="H97" s="180"/>
      <c r="I97" s="180"/>
      <c r="J97" s="180"/>
      <c r="K97" s="180"/>
      <c r="L97" s="1082" t="s">
        <v>1864</v>
      </c>
      <c r="M97" s="1080" t="str" cm="1">
        <f t="array" aca="1" ref="M97" ca="1">OFFSET(L97,-1,1)</f>
        <v>ТЭ.42.26322895.0003</v>
      </c>
      <c r="N97" s="1082"/>
      <c r="O97" s="1082"/>
      <c r="P97" s="1082"/>
      <c r="Q97" s="1082"/>
      <c r="R97" s="1082"/>
      <c r="S97" s="1082"/>
      <c r="T97" s="687" t="b" cm="1">
        <f t="array" ref="T97">T96</f>
        <v>1</v>
      </c>
      <c r="U97" s="1153"/>
      <c r="V97" s="1153"/>
      <c r="W97" s="1153"/>
      <c r="X97" s="1726"/>
      <c r="Y97" s="1153"/>
      <c r="Z97" s="1726"/>
      <c r="AA97" s="180"/>
      <c r="AB97" s="837" t="s">
        <v>989</v>
      </c>
      <c r="AC97" s="838" t="s">
        <v>1446</v>
      </c>
      <c r="AD97" s="839" t="s">
        <v>1077</v>
      </c>
      <c r="AE97" s="256">
        <f ca="1">SUMIFS('Топливо 4.4'!AH$27:AH$436,'Топливо 4.4'!$F$27:$F$436,$F97,'Топливо 4.4'!$G$27:$G$436,$G97)</f>
        <v>0</v>
      </c>
      <c r="AF97" s="256">
        <f ca="1">SUMIFS('Топливо 4.4'!AI$27:AI$436,'Топливо 4.4'!$F$27:$F$436,$F97,'Топливо 4.4'!$G$27:$G$436,$G97)</f>
        <v>0</v>
      </c>
      <c r="AG97" s="256">
        <f ca="1">SUMIFS('Топливо 4.4'!AJ$27:AJ$436,'Топливо 4.4'!$F$27:$F$436,$F97,'Топливо 4.4'!$G$27:$G$436,$G97)</f>
        <v>0</v>
      </c>
      <c r="AH97" s="256">
        <f t="shared" ca="1" si="5"/>
        <v>0</v>
      </c>
      <c r="AI97" s="256">
        <f ca="1">SUMIFS('Топливо 4.4'!AK$27:AK$436,'Топливо 4.4'!$F$27:$F$436,$F97,'Топливо 4.4'!$G$27:$G$436,$G97)</f>
        <v>115427.62042996501</v>
      </c>
      <c r="AJ97" s="256">
        <f ca="1">SUMIFS('Топливо 4.4'!AL$27:AL$436,'Топливо 4.4'!$F$27:$F$436,$F97,'Топливо 4.4'!$G$27:$G$436,$G97)</f>
        <v>0</v>
      </c>
      <c r="AK97" s="256">
        <f ca="1">SUMIFS('Топливо 4.4'!BP$27:BP$436,'Топливо 4.4'!$F$27:$F$436,$F97,'Топливо 4.4'!$G$27:$G$436,$G97)</f>
        <v>140975.39763741643</v>
      </c>
      <c r="AL97" s="256">
        <f t="shared" ca="1" si="6"/>
        <v>22.133157655235884</v>
      </c>
      <c r="AM97" s="1290"/>
      <c r="AN97" s="1290"/>
      <c r="AO97" s="1290"/>
      <c r="AP97" s="180"/>
      <c r="AQ97" s="180"/>
      <c r="AR97" s="1029" t="s">
        <v>1440</v>
      </c>
      <c r="AS97" s="1064"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M10558::ТЭ.42.26322895.0003::1.0.66.::Неопределено::Неопределено::Неопределено::Неопределено::Неопределено::Неопределено</v>
      </c>
    </row>
    <row r="98" spans="1:45" s="1229" customFormat="1" ht="16.5" customHeight="1">
      <c r="A98" s="983"/>
      <c r="B98" s="783"/>
      <c r="C98" s="1094" t="s">
        <v>1858</v>
      </c>
      <c r="D98" s="1053" t="s">
        <v>1859</v>
      </c>
      <c r="E98" s="676">
        <v>17.100000000000001</v>
      </c>
      <c r="F98" s="779" t="str" cm="1">
        <f t="array" aca="1" ref="F98" ca="1">OFFSET(G98,-1,-1)</f>
        <v>1</v>
      </c>
      <c r="G98" s="180"/>
      <c r="H98" s="180"/>
      <c r="I98" s="180"/>
      <c r="J98" s="180"/>
      <c r="K98" s="180"/>
      <c r="L98" s="1082" t="s">
        <v>1865</v>
      </c>
      <c r="M98" s="1080" t="str" cm="1">
        <f t="array" aca="1" ref="M98" ca="1">OFFSET(L98,-1,1)</f>
        <v>ТЭ.42.26322895.0003</v>
      </c>
      <c r="N98" s="1082"/>
      <c r="O98" s="1082"/>
      <c r="P98" s="1082"/>
      <c r="Q98" s="1082"/>
      <c r="R98" s="1082"/>
      <c r="S98" s="1082"/>
      <c r="T98" s="687" t="b" cm="1">
        <f t="array" ref="T98">T97</f>
        <v>1</v>
      </c>
      <c r="U98" s="1153"/>
      <c r="V98" s="1153"/>
      <c r="W98" s="1153"/>
      <c r="X98" s="1726"/>
      <c r="Y98" s="1153"/>
      <c r="Z98" s="1726"/>
      <c r="AA98" s="180"/>
      <c r="AB98" s="837" t="s">
        <v>991</v>
      </c>
      <c r="AC98" s="838" t="s">
        <v>39</v>
      </c>
      <c r="AD98" s="839" t="s">
        <v>1077</v>
      </c>
      <c r="AE98" s="515">
        <f ca="1">SUM(AE99:AE100)</f>
        <v>0</v>
      </c>
      <c r="AF98" s="515">
        <f ca="1">SUM(AF99:AF100)</f>
        <v>0</v>
      </c>
      <c r="AG98" s="515">
        <f ca="1">SUM(AG99:AG100)</f>
        <v>0</v>
      </c>
      <c r="AH98" s="256">
        <f t="shared" ca="1" si="5"/>
        <v>0</v>
      </c>
      <c r="AI98" s="515">
        <f ca="1">SUM(AI99:AI100)</f>
        <v>45966.000247734446</v>
      </c>
      <c r="AJ98" s="515">
        <f ca="1">SUM(AJ99:AJ100)</f>
        <v>0</v>
      </c>
      <c r="AK98" s="515">
        <f ca="1">SUM(AK99:AK100)</f>
        <v>57922.277725183892</v>
      </c>
      <c r="AL98" s="256">
        <f t="shared" ca="1" si="6"/>
        <v>26.011133039661726</v>
      </c>
      <c r="AM98" s="1290"/>
      <c r="AN98" s="1290"/>
      <c r="AO98" s="1290"/>
      <c r="AP98" s="180"/>
      <c r="AQ98" s="180"/>
      <c r="AR98" s="1029" t="s">
        <v>1866</v>
      </c>
      <c r="AS98" s="1064"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M10558::ТЭ.42.26322895.0003::1.0.69.::Неопределено::Неопределено::Неопределено::Неопределено::Неопределено::Неопределено</v>
      </c>
    </row>
    <row r="99" spans="1:45" s="1229" customFormat="1" ht="16.5" customHeight="1">
      <c r="A99" s="983"/>
      <c r="B99" s="783"/>
      <c r="C99" s="1094" t="s">
        <v>1858</v>
      </c>
      <c r="D99" s="1053" t="s">
        <v>1859</v>
      </c>
      <c r="E99" s="676">
        <v>17.100000000000001</v>
      </c>
      <c r="F99" s="779" t="str" cm="1">
        <f t="array" aca="1" ref="F99" ca="1">OFFSET(G99,-1,-1)</f>
        <v>1</v>
      </c>
      <c r="G99" s="143" t="s">
        <v>983</v>
      </c>
      <c r="H99" s="180"/>
      <c r="I99" s="180"/>
      <c r="J99" s="180"/>
      <c r="K99" s="180"/>
      <c r="L99" s="1082" t="s">
        <v>1867</v>
      </c>
      <c r="M99" s="1080" t="str" cm="1">
        <f t="array" aca="1" ref="M99" ca="1">OFFSET(L99,-1,1)</f>
        <v>ТЭ.42.26322895.0003</v>
      </c>
      <c r="N99" s="1082"/>
      <c r="O99" s="1082"/>
      <c r="P99" s="1082"/>
      <c r="Q99" s="1082"/>
      <c r="R99" s="1082"/>
      <c r="S99" s="1082"/>
      <c r="T99" s="687" t="b" cm="1">
        <f t="array" ref="T99">T98</f>
        <v>1</v>
      </c>
      <c r="U99" s="1153"/>
      <c r="V99" s="1153"/>
      <c r="W99" s="1153"/>
      <c r="X99" s="1726"/>
      <c r="Y99" s="1153"/>
      <c r="Z99" s="1726"/>
      <c r="AA99" s="180"/>
      <c r="AB99" s="837" t="s">
        <v>1223</v>
      </c>
      <c r="AC99" s="573" t="s">
        <v>1868</v>
      </c>
      <c r="AD99" s="839" t="s">
        <v>1077</v>
      </c>
      <c r="AE99" s="256">
        <f ca="1">SUMIFS(ЭнергоРесурсы!AE$26:AE$156,ЭнергоРесурсы!$F$26:$F$156,$F99,ЭнергоРесурсы!$G$26:$G$156,$G99)</f>
        <v>0</v>
      </c>
      <c r="AF99" s="256">
        <f ca="1">SUMIFS(ЭнергоРесурсы!AF$26:AF$156,ЭнергоРесурсы!$F$26:$F$156,$F99,ЭнергоРесурсы!$G$26:$G$156,$G99)</f>
        <v>0</v>
      </c>
      <c r="AG99" s="256">
        <f ca="1">SUMIFS(ЭнергоРесурсы!AG$26:AG$156,ЭнергоРесурсы!$F$26:$F$156,$F99,ЭнергоРесурсы!$G$26:$G$156,$G99)</f>
        <v>0</v>
      </c>
      <c r="AH99" s="256">
        <f t="shared" ca="1" si="5"/>
        <v>0</v>
      </c>
      <c r="AI99" s="256">
        <f ca="1">SUMIFS(ЭнергоРесурсы!AH$26:AH$156,ЭнергоРесурсы!$F$26:$F$156,$F99,ЭнергоРесурсы!$G$26:$G$156,$G99)</f>
        <v>45966.000247734446</v>
      </c>
      <c r="AJ99" s="256">
        <f ca="1">SUMIFS(ЭнергоРесурсы!AI$26:AI$156,ЭнергоРесурсы!$F$26:$F$156,$F99,ЭнергоРесурсы!$G$26:$G$156,$G99)</f>
        <v>0</v>
      </c>
      <c r="AK99" s="256">
        <f ca="1">SUMIFS(ЭнергоРесурсы!AS$26:AS$156,ЭнергоРесурсы!$F$26:$F$156,$F99,ЭнергоРесурсы!$G$26:$G$156,$G99)</f>
        <v>57922.277725183892</v>
      </c>
      <c r="AL99" s="256">
        <f t="shared" ca="1" si="6"/>
        <v>26.011133039661726</v>
      </c>
      <c r="AM99" s="1290"/>
      <c r="AN99" s="1290"/>
      <c r="AO99" s="1290"/>
      <c r="AP99" s="180"/>
      <c r="AQ99" s="180"/>
      <c r="AR99" s="1029" t="s">
        <v>1869</v>
      </c>
      <c r="AS99" s="1064"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M10558::ТЭ.42.26322895.0003::1.0.82.::Неопределено::Неопределено::Неопределено::Неопределено::Неопределено::Неопределено</v>
      </c>
    </row>
    <row r="100" spans="1:45" s="1229" customFormat="1" ht="16.5" customHeight="1">
      <c r="A100" s="983"/>
      <c r="B100" s="783"/>
      <c r="C100" s="1094" t="s">
        <v>1858</v>
      </c>
      <c r="D100" s="1053" t="s">
        <v>1859</v>
      </c>
      <c r="E100" s="676">
        <v>17.100000000000001</v>
      </c>
      <c r="F100" s="779" t="str" cm="1">
        <f t="array" aca="1" ref="F100" ca="1">OFFSET(G100,-1,-1)</f>
        <v>1</v>
      </c>
      <c r="G100" s="143" t="s">
        <v>1018</v>
      </c>
      <c r="H100" s="180"/>
      <c r="I100" s="180"/>
      <c r="J100" s="180"/>
      <c r="K100" s="180"/>
      <c r="L100" s="1082" t="s">
        <v>1870</v>
      </c>
      <c r="M100" s="1080" t="str" cm="1">
        <f t="array" aca="1" ref="M100" ca="1">OFFSET(L100,-1,1)</f>
        <v>ТЭ.42.26322895.0003</v>
      </c>
      <c r="N100" s="1082"/>
      <c r="O100" s="1082"/>
      <c r="P100" s="1082"/>
      <c r="Q100" s="1082"/>
      <c r="R100" s="1082"/>
      <c r="S100" s="1082"/>
      <c r="T100" s="687" t="b" cm="1">
        <f t="array" ref="T100">T99</f>
        <v>1</v>
      </c>
      <c r="U100" s="1153"/>
      <c r="V100" s="1153"/>
      <c r="W100" s="1153"/>
      <c r="X100" s="1726"/>
      <c r="Y100" s="1153"/>
      <c r="Z100" s="1726"/>
      <c r="AA100" s="180"/>
      <c r="AB100" s="837" t="s">
        <v>1227</v>
      </c>
      <c r="AC100" s="573" t="s">
        <v>1871</v>
      </c>
      <c r="AD100" s="839" t="s">
        <v>1077</v>
      </c>
      <c r="AE100" s="256">
        <f ca="1">SUMIFS(ЭнергоРесурсы!AE$26:AE$156,ЭнергоРесурсы!$F$26:$F$156,$F100,ЭнергоРесурсы!$G$26:$G$156,$G100)</f>
        <v>0</v>
      </c>
      <c r="AF100" s="256">
        <f ca="1">SUMIFS(ЭнергоРесурсы!AF$26:AF$156,ЭнергоРесурсы!$F$26:$F$156,$F100,ЭнергоРесурсы!$G$26:$G$156,$G100)</f>
        <v>0</v>
      </c>
      <c r="AG100" s="256">
        <f ca="1">SUMIFS(ЭнергоРесурсы!AG$26:AG$156,ЭнергоРесурсы!$F$26:$F$156,$F100,ЭнергоРесурсы!$G$26:$G$156,$G100)</f>
        <v>0</v>
      </c>
      <c r="AH100" s="256">
        <f t="shared" ca="1" si="5"/>
        <v>0</v>
      </c>
      <c r="AI100" s="256">
        <f ca="1">SUMIFS(ЭнергоРесурсы!AH$26:AH$156,ЭнергоРесурсы!$F$26:$F$156,$F100,ЭнергоРесурсы!$G$26:$G$156,$G100)</f>
        <v>0</v>
      </c>
      <c r="AJ100" s="256">
        <f ca="1">SUMIFS(ЭнергоРесурсы!AI$26:AI$156,ЭнергоРесурсы!$F$26:$F$156,$F100,ЭнергоРесурсы!$G$26:$G$156,$G100)</f>
        <v>0</v>
      </c>
      <c r="AK100" s="256">
        <f ca="1">SUMIFS(ЭнергоРесурсы!AS$26:AS$156,ЭнергоРесурсы!$F$26:$F$156,$F100,ЭнергоРесурсы!$G$26:$G$156,$G100)</f>
        <v>0</v>
      </c>
      <c r="AL100" s="256">
        <f t="shared" ca="1" si="6"/>
        <v>0</v>
      </c>
      <c r="AM100" s="1290"/>
      <c r="AN100" s="1290"/>
      <c r="AO100" s="1290"/>
      <c r="AP100" s="180"/>
      <c r="AQ100" s="180"/>
      <c r="AR100" s="1029" t="s">
        <v>1872</v>
      </c>
      <c r="AS100" s="1064"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M10558::ТЭ.42.26322895.0003::1.0.80.::Неопределено::Неопределено::Неопределено::Неопределено::Неопределено::Неопределено</v>
      </c>
    </row>
    <row r="101" spans="1:45" s="1229" customFormat="1" ht="16.5" customHeight="1">
      <c r="A101" s="983"/>
      <c r="B101" s="783"/>
      <c r="C101" s="1094" t="s">
        <v>1858</v>
      </c>
      <c r="D101" s="1053" t="s">
        <v>1859</v>
      </c>
      <c r="E101" s="676">
        <v>17.100000000000001</v>
      </c>
      <c r="F101" s="779" t="str" cm="1">
        <f t="array" aca="1" ref="F101" ca="1">OFFSET(G101,-1,-1)</f>
        <v>1</v>
      </c>
      <c r="G101" s="143" t="s">
        <v>1050</v>
      </c>
      <c r="H101" s="180"/>
      <c r="I101" s="180"/>
      <c r="J101" s="180"/>
      <c r="K101" s="180"/>
      <c r="L101" s="1082" t="s">
        <v>1873</v>
      </c>
      <c r="M101" s="1080" t="str" cm="1">
        <f t="array" aca="1" ref="M101" ca="1">OFFSET(L101,-1,1)</f>
        <v>ТЭ.42.26322895.0003</v>
      </c>
      <c r="N101" s="1082"/>
      <c r="O101" s="1082"/>
      <c r="P101" s="1082"/>
      <c r="Q101" s="1082"/>
      <c r="R101" s="1082"/>
      <c r="S101" s="1082"/>
      <c r="T101" s="687" t="b" cm="1">
        <f t="array" ref="T101">T100</f>
        <v>1</v>
      </c>
      <c r="U101" s="1153"/>
      <c r="V101" s="1153"/>
      <c r="W101" s="1153"/>
      <c r="X101" s="1726"/>
      <c r="Y101" s="1153"/>
      <c r="Z101" s="1726"/>
      <c r="AA101" s="180"/>
      <c r="AB101" s="837" t="s">
        <v>995</v>
      </c>
      <c r="AC101" s="838" t="s">
        <v>1051</v>
      </c>
      <c r="AD101" s="839" t="s">
        <v>1077</v>
      </c>
      <c r="AE101" s="463">
        <f ca="1">SUMIFS('ХВС, ТН'!AE$26:AE$72,'ХВС, ТН'!$F$26:$F$72,$F101,'ХВС, ТН'!$G$26:$G$72,$G101)</f>
        <v>0</v>
      </c>
      <c r="AF101" s="463">
        <f ca="1">SUMIFS('ХВС, ТН'!AF$26:AF$72,'ХВС, ТН'!$F$26:$F$72,$F101,'ХВС, ТН'!$G$26:$G$72,$G101)</f>
        <v>0</v>
      </c>
      <c r="AG101" s="463">
        <f ca="1">SUMIFS('ХВС, ТН'!AG$26:AG$72,'ХВС, ТН'!$F$26:$F$72,$F101,'ХВС, ТН'!$G$26:$G$72,$G101)</f>
        <v>0</v>
      </c>
      <c r="AH101" s="256">
        <f t="shared" ca="1" si="5"/>
        <v>0</v>
      </c>
      <c r="AI101" s="463">
        <f ca="1">SUMIFS('ХВС, ТН'!AH$26:AH$72,'ХВС, ТН'!$F$26:$F$72,$F101,'ХВС, ТН'!$G$26:$G$72,$G101)</f>
        <v>11768.99556440798</v>
      </c>
      <c r="AJ101" s="463">
        <f ca="1">SUMIFS('ХВС, ТН'!AI$26:AI$72,'ХВС, ТН'!$F$26:$F$72,$F101,'ХВС, ТН'!$G$26:$G$72,$G101)</f>
        <v>0</v>
      </c>
      <c r="AK101" s="463">
        <f ca="1">SUMIFS('ХВС, ТН'!AS$26:AS$72,'ХВС, ТН'!$F$26:$F$72,$F101,'ХВС, ТН'!$G$26:$G$72,$G101)</f>
        <v>15588.424354086299</v>
      </c>
      <c r="AL101" s="256">
        <f t="shared" ca="1" si="6"/>
        <v>32.453311489292325</v>
      </c>
      <c r="AM101" s="1290"/>
      <c r="AN101" s="1290"/>
      <c r="AO101" s="1290"/>
      <c r="AP101" s="180"/>
      <c r="AQ101" s="180"/>
      <c r="AR101" s="1029" t="s">
        <v>1450</v>
      </c>
      <c r="AS101" s="1064"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M10558::ТЭ.42.26322895.0003::1.0.86.::Неопределено::Неопределено::Неопределено::Неопределено::Неопределено::Неопределено</v>
      </c>
    </row>
    <row r="102" spans="1:45" s="1229" customFormat="1" ht="16.5" customHeight="1">
      <c r="A102" s="983"/>
      <c r="B102" s="783"/>
      <c r="C102" s="1094" t="s">
        <v>1858</v>
      </c>
      <c r="D102" s="1053" t="s">
        <v>1859</v>
      </c>
      <c r="E102" s="676">
        <v>17.100000000000001</v>
      </c>
      <c r="F102" s="779" t="str" cm="1">
        <f t="array" aca="1" ref="F102" ca="1">OFFSET(G102,-1,-1)</f>
        <v>1</v>
      </c>
      <c r="G102" s="143" t="s">
        <v>1061</v>
      </c>
      <c r="H102" s="180"/>
      <c r="I102" s="180"/>
      <c r="J102" s="180"/>
      <c r="K102" s="180"/>
      <c r="L102" s="1082" t="s">
        <v>1874</v>
      </c>
      <c r="M102" s="1080" t="str" cm="1">
        <f t="array" aca="1" ref="M102" ca="1">OFFSET(L102,-1,1)</f>
        <v>ТЭ.42.26322895.0003</v>
      </c>
      <c r="N102" s="1082"/>
      <c r="O102" s="1082"/>
      <c r="P102" s="1082"/>
      <c r="Q102" s="1082"/>
      <c r="R102" s="1082"/>
      <c r="S102" s="1082"/>
      <c r="T102" s="687" t="b" cm="1">
        <f t="array" ref="T102">T101</f>
        <v>1</v>
      </c>
      <c r="U102" s="1153"/>
      <c r="V102" s="1153"/>
      <c r="W102" s="1153"/>
      <c r="X102" s="1726"/>
      <c r="Y102" s="1153"/>
      <c r="Z102" s="1726"/>
      <c r="AA102" s="180"/>
      <c r="AB102" s="837" t="s">
        <v>1100</v>
      </c>
      <c r="AC102" s="838" t="s">
        <v>1062</v>
      </c>
      <c r="AD102" s="839" t="s">
        <v>1077</v>
      </c>
      <c r="AE102" s="463">
        <f ca="1">SUMIFS('ХВС, ТН'!AE$26:AE$72,'ХВС, ТН'!$F$26:$F$72,$F102,'ХВС, ТН'!$G$26:$G$72,$G102)</f>
        <v>0</v>
      </c>
      <c r="AF102" s="463">
        <f ca="1">SUMIFS('ХВС, ТН'!AF$26:AF$72,'ХВС, ТН'!$F$26:$F$72,$F102,'ХВС, ТН'!$G$26:$G$72,$G102)</f>
        <v>0</v>
      </c>
      <c r="AG102" s="463">
        <f ca="1">SUMIFS('ХВС, ТН'!AG$26:AG$72,'ХВС, ТН'!$F$26:$F$72,$F102,'ХВС, ТН'!$G$26:$G$72,$G102)</f>
        <v>0</v>
      </c>
      <c r="AH102" s="256">
        <f t="shared" ca="1" si="5"/>
        <v>0</v>
      </c>
      <c r="AI102" s="463">
        <f ca="1">SUMIFS('ХВС, ТН'!AH$26:AH$72,'ХВС, ТН'!$F$26:$F$72,$F102,'ХВС, ТН'!$G$26:$G$72,$G102)</f>
        <v>0</v>
      </c>
      <c r="AJ102" s="463">
        <f ca="1">SUMIFS('ХВС, ТН'!AI$26:AI$72,'ХВС, ТН'!$F$26:$F$72,$F102,'ХВС, ТН'!$G$26:$G$72,$G102)</f>
        <v>0</v>
      </c>
      <c r="AK102" s="463">
        <f ca="1">SUMIFS('ХВС, ТН'!AS$26:AS$72,'ХВС, ТН'!$F$26:$F$72,$F102,'ХВС, ТН'!$G$26:$G$72,$G102)</f>
        <v>0</v>
      </c>
      <c r="AL102" s="256">
        <f t="shared" ca="1" si="6"/>
        <v>0</v>
      </c>
      <c r="AM102" s="1290"/>
      <c r="AN102" s="1290"/>
      <c r="AO102" s="1290"/>
      <c r="AP102" s="180"/>
      <c r="AQ102" s="180"/>
      <c r="AR102" s="1029" t="s">
        <v>1451</v>
      </c>
      <c r="AS102" s="1064"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M10558::ТЭ.42.26322895.0003::1.0.88.::Неопределено::Неопределено::Неопределено::Неопределено::Неопределено::Неопределено</v>
      </c>
    </row>
    <row r="103" spans="1:45" s="1229" customFormat="1" ht="16.5" customHeight="1">
      <c r="A103" s="983"/>
      <c r="B103" s="783"/>
      <c r="C103" s="1094" t="s">
        <v>1858</v>
      </c>
      <c r="D103" s="1053" t="s">
        <v>1859</v>
      </c>
      <c r="E103" s="676">
        <v>17.100000000000001</v>
      </c>
      <c r="F103" s="779" t="str" cm="1">
        <f t="array" aca="1" ref="F103" ca="1">OFFSET(G103,-1,-1)</f>
        <v>1</v>
      </c>
      <c r="G103" s="143" t="s">
        <v>1187</v>
      </c>
      <c r="H103" s="180"/>
      <c r="I103" s="180"/>
      <c r="J103" s="180"/>
      <c r="K103" s="180"/>
      <c r="L103" s="1082" t="s">
        <v>1875</v>
      </c>
      <c r="M103" s="1080" t="str" cm="1">
        <f t="array" aca="1" ref="M103" ca="1">OFFSET(L103,-1,1)</f>
        <v>ТЭ.42.26322895.0003</v>
      </c>
      <c r="N103" s="1082"/>
      <c r="O103" s="1082"/>
      <c r="P103" s="1082"/>
      <c r="Q103" s="1082"/>
      <c r="R103" s="1082"/>
      <c r="S103" s="1082"/>
      <c r="T103" s="687" t="b" cm="1">
        <f t="array" ref="T103">T102</f>
        <v>1</v>
      </c>
      <c r="U103" s="1153"/>
      <c r="V103" s="1153"/>
      <c r="W103" s="1153"/>
      <c r="X103" s="1726"/>
      <c r="Y103" s="1153"/>
      <c r="Z103" s="1726"/>
      <c r="AA103" s="180"/>
      <c r="AB103" s="837" t="s">
        <v>1103</v>
      </c>
      <c r="AC103" s="838" t="s">
        <v>1429</v>
      </c>
      <c r="AD103" s="839" t="s">
        <v>1077</v>
      </c>
      <c r="AE103" s="515">
        <f ca="1">SUMIFS(Амортизация!AE$26:AE$324,Амортизация!$F$26:$F$324,$F103,Амортизация!$G$26:$G$324,$G103)</f>
        <v>0</v>
      </c>
      <c r="AF103" s="515">
        <f ca="1">SUMIFS(Амортизация!AF$26:AF$324,Амортизация!$F$26:$F$324,$F103,Амортизация!$G$26:$G$324,$G103)</f>
        <v>0</v>
      </c>
      <c r="AG103" s="515">
        <f ca="1">SUMIFS(Амортизация!AG$26:AG$324,Амортизация!$F$26:$F$324,$F103,Амортизация!$G$26:$G$324,$G103)</f>
        <v>0</v>
      </c>
      <c r="AH103" s="256">
        <f t="shared" ca="1" si="5"/>
        <v>0</v>
      </c>
      <c r="AI103" s="515">
        <f ca="1">SUMIFS(Амортизация!AH$26:AH$324,Амортизация!$F$26:$F$324,$F103,Амортизация!$G$26:$G$324,$G103)</f>
        <v>8685</v>
      </c>
      <c r="AJ103" s="515">
        <f ca="1">SUMIFS(Амортизация!AI$26:AI$324,Амортизация!$F$26:$F$324,$F103,Амортизация!$G$26:$G$324,$G103)</f>
        <v>0</v>
      </c>
      <c r="AK103" s="515">
        <f ca="1">SUMIFS(Амортизация!AS$26:AS$324,Амортизация!$F$26:$F$324,$F103,Амортизация!$G$26:$G$324,$G103)</f>
        <v>18706.05</v>
      </c>
      <c r="AL103" s="256">
        <f t="shared" ca="1" si="6"/>
        <v>115.38341968911917</v>
      </c>
      <c r="AM103" s="1290"/>
      <c r="AN103" s="1290"/>
      <c r="AO103" s="1290"/>
      <c r="AP103" s="180"/>
      <c r="AQ103" s="180"/>
      <c r="AR103" s="1029" t="s">
        <v>1430</v>
      </c>
      <c r="AS103" s="1064"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M10558::ТЭ.42.26322895.0003::1.0.2.::Неопределено::Неопределено::Неопределено::Неопределено::Неопределено::Неопределено</v>
      </c>
    </row>
    <row r="104" spans="1:45" s="1229" customFormat="1" ht="16.5" customHeight="1">
      <c r="A104" s="983"/>
      <c r="B104" s="783"/>
      <c r="C104" s="1094" t="s">
        <v>1858</v>
      </c>
      <c r="D104" s="1053" t="s">
        <v>1859</v>
      </c>
      <c r="E104" s="676">
        <v>17.100000000000001</v>
      </c>
      <c r="F104" s="779" t="str" cm="1">
        <f t="array" aca="1" ref="F104" ca="1">OFFSET(G104,-1,-1)</f>
        <v>1</v>
      </c>
      <c r="G104" s="143" t="s">
        <v>48</v>
      </c>
      <c r="H104" s="180"/>
      <c r="I104" s="180"/>
      <c r="J104" s="180"/>
      <c r="K104" s="180"/>
      <c r="L104" s="1082" t="s">
        <v>1876</v>
      </c>
      <c r="M104" s="1080" t="str" cm="1">
        <f t="array" aca="1" ref="M104" ca="1">OFFSET(L104,-1,1)</f>
        <v>ТЭ.42.26322895.0003</v>
      </c>
      <c r="N104" s="1082"/>
      <c r="O104" s="1082"/>
      <c r="P104" s="1082"/>
      <c r="Q104" s="1082"/>
      <c r="R104" s="1082"/>
      <c r="S104" s="1082"/>
      <c r="T104" s="687" t="b" cm="1">
        <f t="array" ref="T104">T103</f>
        <v>1</v>
      </c>
      <c r="U104" s="1153"/>
      <c r="V104" s="1153"/>
      <c r="W104" s="1153"/>
      <c r="X104" s="1726"/>
      <c r="Y104" s="1153"/>
      <c r="Z104" s="1726"/>
      <c r="AA104" s="180"/>
      <c r="AB104" s="837" t="s">
        <v>1106</v>
      </c>
      <c r="AC104" s="838" t="s">
        <v>1877</v>
      </c>
      <c r="AD104" s="839" t="s">
        <v>1077</v>
      </c>
      <c r="AE104" s="256">
        <f ca="1">SUMIFS(ФОТ!AE$26:AE$114,ФОТ!$F$26:$F$114,$F104,ФОТ!$G$26:$G$114,$G104)</f>
        <v>0</v>
      </c>
      <c r="AF104" s="256">
        <f ca="1">SUMIFS(ФОТ!AF$26:AF$114,ФОТ!$F$26:$F$114,$F104,ФОТ!$G$26:$G$114,$G104)</f>
        <v>0</v>
      </c>
      <c r="AG104" s="256">
        <f ca="1">SUMIFS(ФОТ!AG$26:AG$114,ФОТ!$F$26:$F$114,$F104,ФОТ!$G$26:$G$114,$G104)</f>
        <v>0</v>
      </c>
      <c r="AH104" s="256">
        <f t="shared" ca="1" si="5"/>
        <v>0</v>
      </c>
      <c r="AI104" s="256">
        <f ca="1">SUMIFS(ФОТ!AH$26:AH$114,ФОТ!$F$26:$F$114,$F104,ФОТ!$G$26:$G$114,$G104)</f>
        <v>9526.7199999999993</v>
      </c>
      <c r="AJ104" s="256">
        <f ca="1">SUMIFS(ФОТ!AI$26:AI$114,ФОТ!$F$26:$F$114,$F104,ФОТ!$G$26:$G$114,$G104)</f>
        <v>0</v>
      </c>
      <c r="AK104" s="256">
        <f ca="1">SUMIFS(ФОТ!AJ$26:AJ$114,ФОТ!$F$26:$F$114,$F104,ФОТ!$G$26:$G$114,$G104)</f>
        <v>9906.3952207559978</v>
      </c>
      <c r="AL104" s="256">
        <f t="shared" ca="1" si="6"/>
        <v>3.9853718882889231</v>
      </c>
      <c r="AM104" s="1290"/>
      <c r="AN104" s="1290"/>
      <c r="AO104" s="1290"/>
      <c r="AP104" s="180"/>
      <c r="AQ104" s="180"/>
      <c r="AR104" s="1029" t="s">
        <v>1357</v>
      </c>
      <c r="AS104" s="1064"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M10558::ТЭ.42.26322895.0003::1.0.15.::Неопределено::Неопределено::Неопределено::Неопределено::Неопределено::Неопределено</v>
      </c>
    </row>
    <row r="105" spans="1:45" s="1229" customFormat="1" ht="16.5" customHeight="1">
      <c r="A105" s="983"/>
      <c r="B105" s="783"/>
      <c r="C105" s="1094" t="s">
        <v>1858</v>
      </c>
      <c r="D105" s="1053" t="s">
        <v>1859</v>
      </c>
      <c r="E105" s="676">
        <v>17.100000000000001</v>
      </c>
      <c r="F105" s="779" t="str" cm="1">
        <f t="array" aca="1" ref="F105" ca="1">OFFSET(G105,-1,-1)</f>
        <v>1</v>
      </c>
      <c r="G105" s="180"/>
      <c r="H105" s="180"/>
      <c r="I105" s="180"/>
      <c r="J105" s="180"/>
      <c r="K105" s="180"/>
      <c r="L105" s="1082" t="s">
        <v>1878</v>
      </c>
      <c r="M105" s="1080" t="str" cm="1">
        <f t="array" aca="1" ref="M105" ca="1">OFFSET(L105,-1,1)</f>
        <v>ТЭ.42.26322895.0003</v>
      </c>
      <c r="N105" s="1082"/>
      <c r="O105" s="1082"/>
      <c r="P105" s="1082"/>
      <c r="Q105" s="1082"/>
      <c r="R105" s="1082"/>
      <c r="S105" s="1082"/>
      <c r="T105" s="687" t="b" cm="1">
        <f t="array" ref="T105">T104</f>
        <v>1</v>
      </c>
      <c r="U105" s="1153"/>
      <c r="V105" s="1153"/>
      <c r="W105" s="1153"/>
      <c r="X105" s="1726"/>
      <c r="Y105" s="1153"/>
      <c r="Z105" s="1726"/>
      <c r="AA105" s="180"/>
      <c r="AB105" s="837" t="s">
        <v>1109</v>
      </c>
      <c r="AC105" s="838" t="s">
        <v>1422</v>
      </c>
      <c r="AD105" s="839" t="s">
        <v>1077</v>
      </c>
      <c r="AE105" s="1398"/>
      <c r="AF105" s="1398"/>
      <c r="AG105" s="1398"/>
      <c r="AH105" s="256">
        <f t="shared" si="5"/>
        <v>0</v>
      </c>
      <c r="AI105" s="1398"/>
      <c r="AJ105" s="517"/>
      <c r="AK105" s="517"/>
      <c r="AL105" s="256">
        <f t="shared" si="6"/>
        <v>0</v>
      </c>
      <c r="AM105" s="1290"/>
      <c r="AN105" s="1290"/>
      <c r="AO105" s="1290"/>
      <c r="AP105" s="180"/>
      <c r="AQ105" s="180"/>
      <c r="AR105" s="1029" t="s">
        <v>1423</v>
      </c>
      <c r="AS105" s="1064"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M10558::ТЭ.42.26322895.0003::1.0.85.::Неопределено::Неопределено::Неопределено::Неопределено::Неопределено::Неопределено</v>
      </c>
    </row>
    <row r="106" spans="1:45" s="1229" customFormat="1" ht="16.5" customHeight="1">
      <c r="A106" s="983"/>
      <c r="B106" s="783"/>
      <c r="C106" s="1094" t="s">
        <v>1879</v>
      </c>
      <c r="D106" s="1053" t="s">
        <v>1880</v>
      </c>
      <c r="E106" s="676">
        <v>17.100000000000001</v>
      </c>
      <c r="F106" s="779" t="str" cm="1">
        <f t="array" aca="1" ref="F106" ca="1">OFFSET(G106,-1,-1)</f>
        <v>1</v>
      </c>
      <c r="G106" s="180"/>
      <c r="H106" s="180"/>
      <c r="I106" s="180"/>
      <c r="J106" s="180"/>
      <c r="K106" s="180"/>
      <c r="L106" s="1082" t="s">
        <v>1881</v>
      </c>
      <c r="M106" s="1080" t="str" cm="1">
        <f t="array" aca="1" ref="M106" ca="1">OFFSET(L106,-1,1)</f>
        <v>ТЭ.42.26322895.0003</v>
      </c>
      <c r="N106" s="1082"/>
      <c r="O106" s="1082"/>
      <c r="P106" s="1082"/>
      <c r="Q106" s="1082"/>
      <c r="R106" s="1082"/>
      <c r="S106" s="1082"/>
      <c r="T106" s="687" t="b" cm="1">
        <f t="array" ref="T106">T105</f>
        <v>1</v>
      </c>
      <c r="U106" s="1153"/>
      <c r="V106" s="1153"/>
      <c r="W106" s="1153"/>
      <c r="X106" s="1726"/>
      <c r="Y106" s="1153"/>
      <c r="Z106" s="1726"/>
      <c r="AA106" s="180"/>
      <c r="AB106" s="837" t="s">
        <v>1882</v>
      </c>
      <c r="AC106" s="573" t="s">
        <v>1883</v>
      </c>
      <c r="AD106" s="839" t="s">
        <v>533</v>
      </c>
      <c r="AE106" s="1398"/>
      <c r="AF106" s="1398"/>
      <c r="AG106" s="1398"/>
      <c r="AH106" s="256">
        <f t="shared" si="5"/>
        <v>0</v>
      </c>
      <c r="AI106" s="1398"/>
      <c r="AJ106" s="517"/>
      <c r="AK106" s="517"/>
      <c r="AL106" s="256">
        <f t="shared" si="6"/>
        <v>0</v>
      </c>
      <c r="AM106" s="1290"/>
      <c r="AN106" s="1290"/>
      <c r="AO106" s="1290"/>
      <c r="AP106" s="180"/>
      <c r="AQ106" s="180"/>
      <c r="AR106" s="1029" t="s">
        <v>1420</v>
      </c>
      <c r="AS106" s="1064"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M10532::ТЭ.42.26322895.0003::1.0.76.::Неопределено::Неопределено::Неопределено::Неопределено::Неопределено::Неопределено</v>
      </c>
    </row>
    <row r="107" spans="1:45" s="1229" customFormat="1" ht="16.5" customHeight="1">
      <c r="A107" s="983"/>
      <c r="B107" s="783"/>
      <c r="C107" s="1094" t="s">
        <v>1884</v>
      </c>
      <c r="D107" s="1053" t="s">
        <v>1885</v>
      </c>
      <c r="E107" s="676">
        <v>17.100000000000001</v>
      </c>
      <c r="F107" s="779" t="str" cm="1">
        <f t="array" aca="1" ref="F107" ca="1">OFFSET(G107,-1,-1)</f>
        <v>1</v>
      </c>
      <c r="G107" s="180"/>
      <c r="H107" s="180"/>
      <c r="I107" s="180"/>
      <c r="J107" s="180"/>
      <c r="K107" s="180"/>
      <c r="L107" s="1082"/>
      <c r="M107" s="1080" t="str" cm="1">
        <f t="array" aca="1" ref="M107" ca="1">OFFSET(L107,-1,1)</f>
        <v>ТЭ.42.26322895.0003</v>
      </c>
      <c r="N107" s="1082" t="s">
        <v>1886</v>
      </c>
      <c r="O107" s="1082"/>
      <c r="P107" s="1082"/>
      <c r="Q107" s="1082"/>
      <c r="R107" s="1082"/>
      <c r="S107" s="1082"/>
      <c r="T107" s="687" t="b" cm="1">
        <f t="array" ref="T107">T106</f>
        <v>1</v>
      </c>
      <c r="U107" s="1153"/>
      <c r="V107" s="1153"/>
      <c r="W107" s="1153"/>
      <c r="X107" s="1726"/>
      <c r="Y107" s="1153"/>
      <c r="Z107" s="1726"/>
      <c r="AA107" s="180"/>
      <c r="AB107" s="837" t="s">
        <v>1324</v>
      </c>
      <c r="AC107" s="838" t="s">
        <v>1887</v>
      </c>
      <c r="AD107" s="839" t="s">
        <v>1077</v>
      </c>
      <c r="AE107" s="1398"/>
      <c r="AF107" s="1398"/>
      <c r="AG107" s="1398"/>
      <c r="AH107" s="256">
        <f t="shared" si="5"/>
        <v>0</v>
      </c>
      <c r="AI107" s="1398"/>
      <c r="AJ107" s="517"/>
      <c r="AK107" s="517"/>
      <c r="AL107" s="256">
        <f t="shared" si="6"/>
        <v>0</v>
      </c>
      <c r="AM107" s="1290"/>
      <c r="AN107" s="1290"/>
      <c r="AO107" s="1290"/>
      <c r="AP107" s="180"/>
      <c r="AQ107" s="180"/>
      <c r="AR107" s="1029" t="s">
        <v>1888</v>
      </c>
      <c r="AS107" s="1064"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M10699::ТЭ.42.26322895.0003::Неопределено::110.0.7.::Неопределено::Неопределено::Неопределено::Неопределено::Неопределено</v>
      </c>
    </row>
    <row r="108" spans="1:45" s="1229" customFormat="1" ht="33.75" customHeight="1">
      <c r="A108" s="983"/>
      <c r="B108" s="783"/>
      <c r="C108" s="1094" t="s">
        <v>47</v>
      </c>
      <c r="D108" s="1053" t="s">
        <v>1889</v>
      </c>
      <c r="E108" s="676">
        <v>35</v>
      </c>
      <c r="F108" s="779" t="str" cm="1">
        <f t="array" aca="1" ref="F108" ca="1">OFFSET(G108,-1,-1)</f>
        <v>1</v>
      </c>
      <c r="G108" s="143" t="s">
        <v>1237</v>
      </c>
      <c r="H108" s="180"/>
      <c r="I108" s="180"/>
      <c r="J108" s="180"/>
      <c r="K108" s="180"/>
      <c r="L108" s="1082"/>
      <c r="M108" s="1080" t="str" cm="1">
        <f t="array" aca="1" ref="M108" ca="1">OFFSET(L108,-1,1)</f>
        <v>ТЭ.42.26322895.0003</v>
      </c>
      <c r="N108" s="1082" t="s">
        <v>1890</v>
      </c>
      <c r="O108" s="1082"/>
      <c r="P108" s="1082"/>
      <c r="Q108" s="1082"/>
      <c r="R108" s="1082"/>
      <c r="S108" s="1082"/>
      <c r="T108" s="687" t="b" cm="1">
        <f t="array" ref="T108">T107</f>
        <v>1</v>
      </c>
      <c r="U108" s="1153"/>
      <c r="V108" s="1153"/>
      <c r="W108" s="1153"/>
      <c r="X108" s="1726"/>
      <c r="Y108" s="1153"/>
      <c r="Z108" s="1726"/>
      <c r="AA108" s="180"/>
      <c r="AB108" s="837" t="s">
        <v>1891</v>
      </c>
      <c r="AC108" s="838" t="s">
        <v>1892</v>
      </c>
      <c r="AD108" s="839" t="s">
        <v>1077</v>
      </c>
      <c r="AE108" s="515">
        <f ca="1">SUMIFS('Покупка услуг'!AE$26:AE$96,'Покупка услуг'!$F$26:$F$96,$F108,'Покупка услуг'!$G$26:$G$96,$G108)</f>
        <v>0</v>
      </c>
      <c r="AF108" s="515">
        <f ca="1">SUMIFS('Покупка услуг'!AF$26:AF$96,'Покупка услуг'!$F$26:$F$96,$F108,'Покупка услуг'!$G$26:$G$96,$G108)</f>
        <v>0</v>
      </c>
      <c r="AG108" s="515">
        <f ca="1">SUMIFS('Покупка услуг'!AG$26:AG$96,'Покупка услуг'!$F$26:$F$96,$F108,'Покупка услуг'!$G$26:$G$96,$G108)</f>
        <v>0</v>
      </c>
      <c r="AH108" s="256">
        <f t="shared" ca="1" si="5"/>
        <v>0</v>
      </c>
      <c r="AI108" s="515">
        <f ca="1">SUMIFS('Покупка услуг'!AH$26:AH$96,'Покупка услуг'!$F$26:$F$96,$F108,'Покупка услуг'!$G$26:$G$96,$G108)</f>
        <v>6776.9999970799954</v>
      </c>
      <c r="AJ108" s="515">
        <f ca="1">SUMIFS('Покупка услуг'!AI$26:AI$96,'Покупка услуг'!$F$26:$F$96,$F108,'Покупка услуг'!$G$26:$G$96,$G108)</f>
        <v>0</v>
      </c>
      <c r="AK108" s="515">
        <f ca="1">SUMIFS('Покупка услуг'!AS$26:AS$96,'Покупка услуг'!$F$26:$F$96,$F108,'Покупка услуг'!$G$26:$G$96,$G108)</f>
        <v>9469.6144035199995</v>
      </c>
      <c r="AL108" s="256">
        <f t="shared" ca="1" si="6"/>
        <v>39.731657187548628</v>
      </c>
      <c r="AM108" s="1290"/>
      <c r="AN108" s="1290"/>
      <c r="AO108" s="1290"/>
      <c r="AP108" s="180"/>
      <c r="AQ108" s="180"/>
      <c r="AR108" s="1029" t="s">
        <v>1893</v>
      </c>
      <c r="AS108" s="1064"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M10712::ТЭ.42.26322895.0003::Неопределено::110.0.13.::Неопределено::Неопределено::Неопределено::Неопределено::Неопределено</v>
      </c>
    </row>
    <row r="109" spans="1:45" s="1229" customFormat="1" ht="33.75" customHeight="1">
      <c r="A109" s="983"/>
      <c r="B109" s="783"/>
      <c r="C109" s="1094" t="s">
        <v>1858</v>
      </c>
      <c r="D109" s="1053" t="s">
        <v>1859</v>
      </c>
      <c r="E109" s="676">
        <v>35</v>
      </c>
      <c r="F109" s="779" t="str" cm="1">
        <f t="array" aca="1" ref="F109" ca="1">OFFSET(G109,-1,-1)</f>
        <v>1</v>
      </c>
      <c r="G109" s="180"/>
      <c r="H109" s="180"/>
      <c r="I109" s="180"/>
      <c r="J109" s="180"/>
      <c r="K109" s="180"/>
      <c r="L109" s="1082" t="s">
        <v>1894</v>
      </c>
      <c r="M109" s="1080" t="str" cm="1">
        <f t="array" aca="1" ref="M109" ca="1">OFFSET(L109,-1,1)</f>
        <v>ТЭ.42.26322895.0003</v>
      </c>
      <c r="N109" s="1082"/>
      <c r="O109" s="1082"/>
      <c r="P109" s="1082"/>
      <c r="Q109" s="1082"/>
      <c r="R109" s="1082"/>
      <c r="S109" s="1082"/>
      <c r="T109" s="687" t="b" cm="1">
        <f t="array" ref="T109">T108</f>
        <v>1</v>
      </c>
      <c r="U109" s="1153"/>
      <c r="V109" s="1153"/>
      <c r="W109" s="1153"/>
      <c r="X109" s="1726"/>
      <c r="Y109" s="1153"/>
      <c r="Z109" s="1726"/>
      <c r="AA109" s="180"/>
      <c r="AB109" s="837" t="s">
        <v>1895</v>
      </c>
      <c r="AC109" s="838" t="s">
        <v>1896</v>
      </c>
      <c r="AD109" s="839" t="s">
        <v>1077</v>
      </c>
      <c r="AE109" s="1398"/>
      <c r="AF109" s="1398"/>
      <c r="AG109" s="1398"/>
      <c r="AH109" s="256">
        <f t="shared" si="5"/>
        <v>0</v>
      </c>
      <c r="AI109" s="1398"/>
      <c r="AJ109" s="517"/>
      <c r="AK109" s="517"/>
      <c r="AL109" s="256">
        <f t="shared" si="6"/>
        <v>0</v>
      </c>
      <c r="AM109" s="1290"/>
      <c r="AN109" s="1290"/>
      <c r="AO109" s="1290"/>
      <c r="AP109" s="180"/>
      <c r="AQ109" s="180"/>
      <c r="AR109" s="1029" t="s">
        <v>1897</v>
      </c>
      <c r="AS109" s="1064"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M10558::ТЭ.42.26322895.0003::1.0.70.::Неопределено::Неопределено::Неопределено::Неопределено::Неопределено::Неопределено</v>
      </c>
    </row>
    <row r="110" spans="1:45" s="1229" customFormat="1" ht="53.25" customHeight="1">
      <c r="A110" s="983"/>
      <c r="B110" s="783"/>
      <c r="C110" s="1094" t="s">
        <v>1858</v>
      </c>
      <c r="D110" s="1053" t="s">
        <v>1859</v>
      </c>
      <c r="E110" s="676">
        <v>55</v>
      </c>
      <c r="F110" s="779" t="str" cm="1">
        <f t="array" aca="1" ref="F110" ca="1">OFFSET(G110,-1,-1)</f>
        <v>1</v>
      </c>
      <c r="G110" s="180"/>
      <c r="H110" s="180"/>
      <c r="I110" s="180"/>
      <c r="J110" s="180"/>
      <c r="K110" s="180"/>
      <c r="L110" s="1082" t="s">
        <v>1898</v>
      </c>
      <c r="M110" s="1080" t="str" cm="1">
        <f t="array" aca="1" ref="M110" ca="1">OFFSET(L110,-1,1)</f>
        <v>ТЭ.42.26322895.0003</v>
      </c>
      <c r="N110" s="1082"/>
      <c r="O110" s="1082"/>
      <c r="P110" s="1082"/>
      <c r="Q110" s="1082"/>
      <c r="R110" s="1082"/>
      <c r="S110" s="1082"/>
      <c r="T110" s="687" t="b" cm="1">
        <f t="array" ref="T110">T109</f>
        <v>1</v>
      </c>
      <c r="U110" s="1153"/>
      <c r="V110" s="1153"/>
      <c r="W110" s="1153"/>
      <c r="X110" s="1726"/>
      <c r="Y110" s="1153"/>
      <c r="Z110" s="1726"/>
      <c r="AA110" s="180"/>
      <c r="AB110" s="837" t="s">
        <v>1899</v>
      </c>
      <c r="AC110" s="838" t="s">
        <v>1900</v>
      </c>
      <c r="AD110" s="839" t="s">
        <v>1077</v>
      </c>
      <c r="AE110" s="1398"/>
      <c r="AF110" s="1398"/>
      <c r="AG110" s="1398"/>
      <c r="AH110" s="256">
        <f t="shared" si="5"/>
        <v>0</v>
      </c>
      <c r="AI110" s="1398"/>
      <c r="AJ110" s="517"/>
      <c r="AK110" s="517"/>
      <c r="AL110" s="256">
        <f t="shared" si="6"/>
        <v>0</v>
      </c>
      <c r="AM110" s="1290"/>
      <c r="AN110" s="1290"/>
      <c r="AO110" s="1290"/>
      <c r="AP110" s="180"/>
      <c r="AQ110" s="180"/>
      <c r="AR110" s="1029" t="s">
        <v>1901</v>
      </c>
      <c r="AS110" s="1064"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M10558::ТЭ.42.26322895.0003::1.0.102.::Неопределено::Неопределено::Неопределено::Неопределено::Неопределено::Неопределено</v>
      </c>
    </row>
    <row r="111" spans="1:45" s="1229" customFormat="1" ht="39" customHeight="1">
      <c r="A111" s="983"/>
      <c r="B111" s="783"/>
      <c r="C111" s="1094" t="s">
        <v>1858</v>
      </c>
      <c r="D111" s="1053" t="s">
        <v>1859</v>
      </c>
      <c r="E111" s="676">
        <v>40</v>
      </c>
      <c r="F111" s="779" t="str" cm="1">
        <f t="array" aca="1" ref="F111" ca="1">OFFSET(G111,-1,-1)</f>
        <v>1</v>
      </c>
      <c r="G111" s="143" t="s">
        <v>1303</v>
      </c>
      <c r="H111" s="180"/>
      <c r="I111" s="180"/>
      <c r="J111" s="180"/>
      <c r="K111" s="180"/>
      <c r="L111" s="1082" t="s">
        <v>1902</v>
      </c>
      <c r="M111" s="1080" t="str" cm="1">
        <f t="array" aca="1" ref="M111" ca="1">OFFSET(L111,-1,1)</f>
        <v>ТЭ.42.26322895.0003</v>
      </c>
      <c r="N111" s="1082"/>
      <c r="O111" s="1082"/>
      <c r="P111" s="1082"/>
      <c r="Q111" s="1082"/>
      <c r="R111" s="1082"/>
      <c r="S111" s="1082"/>
      <c r="T111" s="687" t="b" cm="1">
        <f t="array" ref="T111">T110</f>
        <v>1</v>
      </c>
      <c r="U111" s="1153"/>
      <c r="V111" s="1153"/>
      <c r="W111" s="1153"/>
      <c r="X111" s="1726"/>
      <c r="Y111" s="1153"/>
      <c r="Z111" s="1726"/>
      <c r="AA111" s="180"/>
      <c r="AB111" s="837" t="s">
        <v>1903</v>
      </c>
      <c r="AC111" s="838" t="s">
        <v>1904</v>
      </c>
      <c r="AD111" s="839" t="s">
        <v>1077</v>
      </c>
      <c r="AE111" s="515">
        <f ca="1">SUMIFS(Налоги!AE$26:AE$69,Налоги!$F$26:$F$69,$F111,Налоги!$G$26:$G$69,$G111)</f>
        <v>0</v>
      </c>
      <c r="AF111" s="515">
        <f ca="1">SUMIFS(Налоги!AF$26:AF$69,Налоги!$F$26:$F$69,$F111,Налоги!$G$26:$G$69,$G111)</f>
        <v>0</v>
      </c>
      <c r="AG111" s="515">
        <f ca="1">SUMIFS(Налоги!AG$26:AG$69,Налоги!$F$26:$F$69,$F111,Налоги!$G$26:$G$69,$G111)</f>
        <v>0</v>
      </c>
      <c r="AH111" s="256">
        <f t="shared" ca="1" si="5"/>
        <v>0</v>
      </c>
      <c r="AI111" s="515">
        <f ca="1">SUMIFS(Налоги!AH$26:AH$69,Налоги!$F$26:$F$69,$F111,Налоги!$G$26:$G$69,$G111)</f>
        <v>33.47</v>
      </c>
      <c r="AJ111" s="515">
        <f ca="1">SUMIFS(Налоги!AI$26:AI$69,Налоги!$F$26:$F$69,$F111,Налоги!$G$26:$G$69,$G111)</f>
        <v>0</v>
      </c>
      <c r="AK111" s="515">
        <f ca="1">SUMIFS(Налоги!AS$26:AS$69,Налоги!$F$26:$F$69,$F111,Налоги!$G$26:$G$69,$G111)</f>
        <v>51.668999999999997</v>
      </c>
      <c r="AL111" s="256">
        <f t="shared" ca="1" si="6"/>
        <v>54.374066328054973</v>
      </c>
      <c r="AM111" s="1290"/>
      <c r="AN111" s="1290"/>
      <c r="AO111" s="1290"/>
      <c r="AP111" s="180"/>
      <c r="AQ111" s="180"/>
      <c r="AR111" s="1029" t="s">
        <v>1418</v>
      </c>
      <c r="AS111" s="1064"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M10558::ТЭ.42.26322895.0003::1.0.99.::Неопределено::Неопределено::Неопределено::Неопределено::Неопределено::Неопределено</v>
      </c>
    </row>
    <row r="112" spans="1:45" s="1229" customFormat="1" ht="16.5" customHeight="1">
      <c r="A112" s="983"/>
      <c r="B112" s="783"/>
      <c r="C112" s="1094" t="s">
        <v>1858</v>
      </c>
      <c r="D112" s="1053" t="s">
        <v>1859</v>
      </c>
      <c r="E112" s="676">
        <v>17.100000000000001</v>
      </c>
      <c r="F112" s="779" t="str" cm="1">
        <f t="array" aca="1" ref="F112" ca="1">OFFSET(G112,-1,-1)</f>
        <v>1</v>
      </c>
      <c r="G112" s="143" t="s">
        <v>1205</v>
      </c>
      <c r="H112" s="180"/>
      <c r="I112" s="180"/>
      <c r="J112" s="180"/>
      <c r="K112" s="180"/>
      <c r="L112" s="1082"/>
      <c r="M112" s="1080" t="str" cm="1">
        <f t="array" aca="1" ref="M112" ca="1">OFFSET(L112,-1,1)</f>
        <v>ТЭ.42.26322895.0003</v>
      </c>
      <c r="N112" s="1082" t="s">
        <v>1905</v>
      </c>
      <c r="O112" s="1082"/>
      <c r="P112" s="1082"/>
      <c r="Q112" s="1082"/>
      <c r="R112" s="1082"/>
      <c r="S112" s="1082"/>
      <c r="T112" s="687" t="b" cm="1">
        <f t="array" ref="T112">T111</f>
        <v>1</v>
      </c>
      <c r="U112" s="1153"/>
      <c r="V112" s="1153"/>
      <c r="W112" s="1153"/>
      <c r="X112" s="1726"/>
      <c r="Y112" s="1153"/>
      <c r="Z112" s="1726"/>
      <c r="AA112" s="180"/>
      <c r="AB112" s="837" t="s">
        <v>1906</v>
      </c>
      <c r="AC112" s="838" t="s">
        <v>1907</v>
      </c>
      <c r="AD112" s="839" t="s">
        <v>1077</v>
      </c>
      <c r="AE112" s="256">
        <f ca="1">SUMIFS(Аренда!AE$26:AE$63,Аренда!$F$26:$F$63,$F112,Аренда!$G$26:$G$63,$G112)</f>
        <v>0</v>
      </c>
      <c r="AF112" s="256">
        <f ca="1">SUMIFS(Аренда!AF$26:AF$63,Аренда!$F$26:$F$63,$F112,Аренда!$G$26:$G$63,$G112)</f>
        <v>0</v>
      </c>
      <c r="AG112" s="256">
        <f ca="1">SUMIFS(Аренда!AG$26:AG$63,Аренда!$F$26:$F$63,$F112,Аренда!$G$26:$G$63,$G112)</f>
        <v>0</v>
      </c>
      <c r="AH112" s="256">
        <f t="shared" ca="1" si="5"/>
        <v>0</v>
      </c>
      <c r="AI112" s="256">
        <f ca="1">SUMIFS(Аренда!AH$26:AH$63,Аренда!$F$26:$F$63,$F112,Аренда!$G$26:$G$63,$G112)</f>
        <v>377.26</v>
      </c>
      <c r="AJ112" s="256">
        <f ca="1">SUMIFS(Аренда!AI$26:AI$63,Аренда!$F$26:$F$63,$F112,Аренда!$G$26:$G$63,$G112)</f>
        <v>0</v>
      </c>
      <c r="AK112" s="256">
        <f ca="1">SUMIFS(Аренда!AS$26:AS$63,Аренда!$F$26:$F$63,$F112,Аренда!$G$26:$G$63,$G112)</f>
        <v>398.71000000000004</v>
      </c>
      <c r="AL112" s="256">
        <f t="shared" ca="1" si="6"/>
        <v>5.6857339765678967</v>
      </c>
      <c r="AM112" s="1290"/>
      <c r="AN112" s="1290"/>
      <c r="AO112" s="1290"/>
      <c r="AP112" s="180"/>
      <c r="AQ112" s="180"/>
      <c r="AR112" s="1029" t="s">
        <v>1908</v>
      </c>
      <c r="AS112" s="1064"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M10558::ТЭ.42.26322895.0003::Неопределено::110.0.26.::Неопределено::Неопределено::Неопределено::Неопределено::Неопределено</v>
      </c>
    </row>
    <row r="113" spans="1:45" s="1229" customFormat="1" ht="16.5" customHeight="1">
      <c r="A113" s="983"/>
      <c r="B113" s="783"/>
      <c r="C113" s="1094" t="s">
        <v>1858</v>
      </c>
      <c r="D113" s="1053" t="s">
        <v>1859</v>
      </c>
      <c r="E113" s="676">
        <v>17.100000000000001</v>
      </c>
      <c r="F113" s="779" t="str" cm="1">
        <f t="array" aca="1" ref="F113" ca="1">OFFSET(G113,-1,-1)</f>
        <v>1</v>
      </c>
      <c r="G113" s="180"/>
      <c r="H113" s="180"/>
      <c r="I113" s="180"/>
      <c r="J113" s="180"/>
      <c r="K113" s="180"/>
      <c r="L113" s="1082"/>
      <c r="M113" s="1080" t="str" cm="1">
        <f t="array" aca="1" ref="M113" ca="1">OFFSET(L113,-1,1)</f>
        <v>ТЭ.42.26322895.0003</v>
      </c>
      <c r="N113" s="1082"/>
      <c r="O113" s="1082" t="s">
        <v>1909</v>
      </c>
      <c r="P113" s="1082"/>
      <c r="Q113" s="1082"/>
      <c r="R113" s="1082"/>
      <c r="S113" s="1082"/>
      <c r="T113" s="687" t="b" cm="1">
        <f t="array" ref="T113">T112</f>
        <v>1</v>
      </c>
      <c r="U113" s="1153"/>
      <c r="V113" s="1153"/>
      <c r="W113" s="1153"/>
      <c r="X113" s="1726"/>
      <c r="Y113" s="1153"/>
      <c r="Z113" s="1726"/>
      <c r="AA113" s="180"/>
      <c r="AB113" s="837" t="s">
        <v>1910</v>
      </c>
      <c r="AC113" s="838" t="s">
        <v>1376</v>
      </c>
      <c r="AD113" s="839" t="s">
        <v>1077</v>
      </c>
      <c r="AE113" s="1398"/>
      <c r="AF113" s="1398"/>
      <c r="AG113" s="1398"/>
      <c r="AH113" s="256">
        <f t="shared" si="5"/>
        <v>0</v>
      </c>
      <c r="AI113" s="1398"/>
      <c r="AJ113" s="517"/>
      <c r="AK113" s="517"/>
      <c r="AL113" s="256">
        <f t="shared" si="6"/>
        <v>0</v>
      </c>
      <c r="AM113" s="1290"/>
      <c r="AN113" s="1290"/>
      <c r="AO113" s="1290"/>
      <c r="AP113" s="180"/>
      <c r="AQ113" s="180"/>
      <c r="AR113" s="1029" t="s">
        <v>1911</v>
      </c>
      <c r="AS113" s="1064"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M10558::ТЭ.42.26322895.0003::Неопределено::Неопределено::122.0.4.::Неопределено::Неопределено::Неопределено::Неопределено</v>
      </c>
    </row>
    <row r="114" spans="1:45" s="1229" customFormat="1" ht="16.5" customHeight="1">
      <c r="A114" s="983"/>
      <c r="B114" s="783"/>
      <c r="C114" s="1094" t="s">
        <v>1858</v>
      </c>
      <c r="D114" s="1053" t="s">
        <v>1859</v>
      </c>
      <c r="E114" s="676">
        <v>17.100000000000001</v>
      </c>
      <c r="F114" s="779" t="str" cm="1">
        <f t="array" aca="1" ref="F114" ca="1">OFFSET(G114,-1,-1)</f>
        <v>1</v>
      </c>
      <c r="G114" s="180"/>
      <c r="H114" s="180"/>
      <c r="I114" s="180"/>
      <c r="J114" s="180"/>
      <c r="K114" s="180"/>
      <c r="L114" s="1082"/>
      <c r="M114" s="1080" t="str" cm="1">
        <f t="array" aca="1" ref="M114" ca="1">OFFSET(L114,-1,1)</f>
        <v>ТЭ.42.26322895.0003</v>
      </c>
      <c r="N114" s="1082"/>
      <c r="O114" s="1082" t="s">
        <v>1912</v>
      </c>
      <c r="P114" s="1082"/>
      <c r="Q114" s="1082"/>
      <c r="R114" s="1082"/>
      <c r="S114" s="1082"/>
      <c r="T114" s="687" t="b" cm="1">
        <f t="array" ref="T114">T113</f>
        <v>1</v>
      </c>
      <c r="U114" s="1153"/>
      <c r="V114" s="1153"/>
      <c r="W114" s="1153"/>
      <c r="X114" s="1726"/>
      <c r="Y114" s="1153"/>
      <c r="Z114" s="1726"/>
      <c r="AA114" s="180"/>
      <c r="AB114" s="837" t="s">
        <v>1913</v>
      </c>
      <c r="AC114" s="838" t="s">
        <v>1378</v>
      </c>
      <c r="AD114" s="839" t="s">
        <v>1077</v>
      </c>
      <c r="AE114" s="1398"/>
      <c r="AF114" s="1398"/>
      <c r="AG114" s="1398"/>
      <c r="AH114" s="256">
        <f t="shared" si="5"/>
        <v>0</v>
      </c>
      <c r="AI114" s="1398"/>
      <c r="AJ114" s="517"/>
      <c r="AK114" s="517"/>
      <c r="AL114" s="256">
        <f t="shared" si="6"/>
        <v>0</v>
      </c>
      <c r="AM114" s="1290"/>
      <c r="AN114" s="1290"/>
      <c r="AO114" s="1290"/>
      <c r="AP114" s="180"/>
      <c r="AQ114" s="180"/>
      <c r="AR114" s="1029" t="s">
        <v>1379</v>
      </c>
      <c r="AS114" s="1064"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M10558::ТЭ.42.26322895.0003::Неопределено::Неопределено::122.0.5.::Неопределено::Неопределено::Неопределено::Неопределено</v>
      </c>
    </row>
    <row r="115" spans="1:45" s="1229" customFormat="1" ht="33.75" customHeight="1">
      <c r="A115" s="983"/>
      <c r="B115" s="783"/>
      <c r="C115" s="1094" t="s">
        <v>1858</v>
      </c>
      <c r="D115" s="1053" t="s">
        <v>1859</v>
      </c>
      <c r="E115" s="676">
        <v>35</v>
      </c>
      <c r="F115" s="779" t="str" cm="1">
        <f t="array" aca="1" ref="F115" ca="1">OFFSET(G115,-1,-1)</f>
        <v>1</v>
      </c>
      <c r="G115" s="143" t="s">
        <v>1310</v>
      </c>
      <c r="H115" s="180"/>
      <c r="I115" s="180"/>
      <c r="J115" s="180"/>
      <c r="K115" s="180"/>
      <c r="L115" s="1082"/>
      <c r="M115" s="1080" t="str" cm="1">
        <f t="array" aca="1" ref="M115" ca="1">OFFSET(L115,-1,1)</f>
        <v>ТЭ.42.26322895.0003</v>
      </c>
      <c r="N115" s="1082"/>
      <c r="O115" s="1082" t="s">
        <v>1914</v>
      </c>
      <c r="P115" s="1082"/>
      <c r="Q115" s="1082"/>
      <c r="R115" s="1082"/>
      <c r="S115" s="1082"/>
      <c r="T115" s="687" t="b" cm="1">
        <f t="array" ref="T115">T114</f>
        <v>1</v>
      </c>
      <c r="U115" s="1153"/>
      <c r="V115" s="1153"/>
      <c r="W115" s="1153"/>
      <c r="X115" s="1726"/>
      <c r="Y115" s="1153"/>
      <c r="Z115" s="1726"/>
      <c r="AA115" s="180"/>
      <c r="AB115" s="837" t="s">
        <v>1915</v>
      </c>
      <c r="AC115" s="838" t="s">
        <v>1916</v>
      </c>
      <c r="AD115" s="839" t="s">
        <v>1077</v>
      </c>
      <c r="AE115" s="515">
        <f ca="1">SUMIFS(Налоги!AE$26:AE$69,Налоги!$F$26:$F$69,$F115,Налоги!$G$26:$G$69,$G115)</f>
        <v>0</v>
      </c>
      <c r="AF115" s="515">
        <f ca="1">SUMIFS(Налоги!AF$26:AF$69,Налоги!$F$26:$F$69,$F115,Налоги!$G$26:$G$69,$G115)</f>
        <v>0</v>
      </c>
      <c r="AG115" s="515">
        <f ca="1">SUMIFS(Налоги!AG$26:AG$69,Налоги!$F$26:$F$69,$F115,Налоги!$G$26:$G$69,$G115)</f>
        <v>0</v>
      </c>
      <c r="AH115" s="256">
        <f t="shared" ca="1" si="5"/>
        <v>0</v>
      </c>
      <c r="AI115" s="515">
        <f ca="1">SUMIFS(Налоги!AH$26:AH$69,Налоги!$F$26:$F$69,$F115,Налоги!$G$26:$G$69,$G115)</f>
        <v>4.99</v>
      </c>
      <c r="AJ115" s="515">
        <f ca="1">SUMIFS(Налоги!AI$26:AI$69,Налоги!$F$26:$F$69,$F115,Налоги!$G$26:$G$69,$G115)</f>
        <v>0</v>
      </c>
      <c r="AK115" s="515">
        <f ca="1">SUMIFS(Налоги!AS$26:AS$69,Налоги!$F$26:$F$69,$F115,Налоги!$G$26:$G$69,$G115)</f>
        <v>4.95</v>
      </c>
      <c r="AL115" s="256">
        <f t="shared" ca="1" si="6"/>
        <v>-0.80160320641282623</v>
      </c>
      <c r="AM115" s="1290"/>
      <c r="AN115" s="1290"/>
      <c r="AO115" s="1290"/>
      <c r="AP115" s="180"/>
      <c r="AQ115" s="180"/>
      <c r="AR115" s="1029" t="s">
        <v>1917</v>
      </c>
      <c r="AS115" s="1064"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M10558::ТЭ.42.26322895.0003::Неопределено::Неопределено::122.0.6.::Неопределено::Неопределено::Неопределено::Неопределено</v>
      </c>
    </row>
    <row r="116" spans="1:45" s="1229" customFormat="1" ht="33.75" customHeight="1">
      <c r="A116" s="983"/>
      <c r="B116" s="783"/>
      <c r="C116" s="1094" t="s">
        <v>1858</v>
      </c>
      <c r="D116" s="1053" t="s">
        <v>1859</v>
      </c>
      <c r="E116" s="676">
        <v>35</v>
      </c>
      <c r="F116" s="779" t="str" cm="1">
        <f t="array" aca="1" ref="F116" ca="1">OFFSET(G116,-1,-1)</f>
        <v>1</v>
      </c>
      <c r="G116" s="180"/>
      <c r="H116" s="180"/>
      <c r="I116" s="180"/>
      <c r="J116" s="180"/>
      <c r="K116" s="180"/>
      <c r="L116" s="1082" t="s">
        <v>1918</v>
      </c>
      <c r="M116" s="1080" t="str" cm="1">
        <f t="array" aca="1" ref="M116" ca="1">OFFSET(L116,-1,1)</f>
        <v>ТЭ.42.26322895.0003</v>
      </c>
      <c r="N116" s="1082"/>
      <c r="O116" s="1082"/>
      <c r="P116" s="1082"/>
      <c r="Q116" s="1082"/>
      <c r="R116" s="1082"/>
      <c r="S116" s="1082"/>
      <c r="T116" s="687" t="b" cm="1">
        <f t="array" ref="T116">T115</f>
        <v>1</v>
      </c>
      <c r="U116" s="1153"/>
      <c r="V116" s="1153"/>
      <c r="W116" s="1153"/>
      <c r="X116" s="1726"/>
      <c r="Y116" s="1153"/>
      <c r="Z116" s="1726"/>
      <c r="AA116" s="180"/>
      <c r="AB116" s="837" t="s">
        <v>1919</v>
      </c>
      <c r="AC116" s="838" t="s">
        <v>1920</v>
      </c>
      <c r="AD116" s="839" t="s">
        <v>1077</v>
      </c>
      <c r="AE116" s="515">
        <f ca="1">SUM(AE117:AE121)</f>
        <v>0</v>
      </c>
      <c r="AF116" s="515">
        <f ca="1">SUM(AF117:AF121)</f>
        <v>0</v>
      </c>
      <c r="AG116" s="515">
        <f ca="1">SUM(AG117:AG121)</f>
        <v>0</v>
      </c>
      <c r="AH116" s="256">
        <f t="shared" ca="1" si="5"/>
        <v>0</v>
      </c>
      <c r="AI116" s="515">
        <f ca="1">SUM(AI117:AI121)</f>
        <v>4070.98</v>
      </c>
      <c r="AJ116" s="515">
        <f ca="1">SUM(AJ117:AJ121)</f>
        <v>0</v>
      </c>
      <c r="AK116" s="515">
        <f ca="1">SUM(AK117:AK121)</f>
        <v>7130.424</v>
      </c>
      <c r="AL116" s="256">
        <f t="shared" ca="1" si="6"/>
        <v>75.152518558185008</v>
      </c>
      <c r="AM116" s="1290"/>
      <c r="AN116" s="1290"/>
      <c r="AO116" s="1290"/>
      <c r="AP116" s="180"/>
      <c r="AQ116" s="180"/>
      <c r="AR116" s="1029" t="s">
        <v>1326</v>
      </c>
      <c r="AS116" s="1064"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M10558::ТЭ.42.26322895.0003::1.0.49.::Неопределено::Неопределено::Неопределено::Неопределено::Неопределено::Неопределено</v>
      </c>
    </row>
    <row r="117" spans="1:45" s="1229" customFormat="1" ht="16.5" customHeight="1">
      <c r="A117" s="983"/>
      <c r="B117" s="783"/>
      <c r="C117" s="1094" t="s">
        <v>1858</v>
      </c>
      <c r="D117" s="1053" t="s">
        <v>1859</v>
      </c>
      <c r="E117" s="676">
        <v>17.100000000000001</v>
      </c>
      <c r="F117" s="779" t="str" cm="1">
        <f t="array" aca="1" ref="F117" ca="1">OFFSET(G117,-1,-1)</f>
        <v>1</v>
      </c>
      <c r="G117" s="143" t="s">
        <v>1314</v>
      </c>
      <c r="H117" s="180"/>
      <c r="I117" s="180"/>
      <c r="J117" s="180"/>
      <c r="K117" s="180"/>
      <c r="L117" s="1082" t="s">
        <v>1921</v>
      </c>
      <c r="M117" s="1080" t="str" cm="1">
        <f t="array" aca="1" ref="M117" ca="1">OFFSET(L117,-1,1)</f>
        <v>ТЭ.42.26322895.0003</v>
      </c>
      <c r="N117" s="1082"/>
      <c r="O117" s="1082"/>
      <c r="P117" s="1082"/>
      <c r="Q117" s="1082"/>
      <c r="R117" s="1082"/>
      <c r="S117" s="1082"/>
      <c r="T117" s="687" t="b" cm="1">
        <f t="array" ref="T117">T116</f>
        <v>1</v>
      </c>
      <c r="U117" s="1153"/>
      <c r="V117" s="1153"/>
      <c r="W117" s="1153"/>
      <c r="X117" s="1726"/>
      <c r="Y117" s="1153"/>
      <c r="Z117" s="1726"/>
      <c r="AA117" s="180"/>
      <c r="AB117" s="837" t="s">
        <v>1922</v>
      </c>
      <c r="AC117" s="838" t="s">
        <v>1923</v>
      </c>
      <c r="AD117" s="839" t="s">
        <v>1077</v>
      </c>
      <c r="AE117" s="515">
        <f ca="1">SUMIFS(Налоги!AE$26:AE$69,Налоги!$F$26:$F$69,$F117,Налоги!$H$26:$H$69,$G117)</f>
        <v>0</v>
      </c>
      <c r="AF117" s="515">
        <f ca="1">SUMIFS(Налоги!AF$26:AF$69,Налоги!$F$26:$F$69,$F117,Налоги!$H$26:$H$69,$G117)</f>
        <v>0</v>
      </c>
      <c r="AG117" s="515">
        <f ca="1">SUMIFS(Налоги!AG$26:AG$69,Налоги!$F$26:$F$69,$F117,Налоги!$H$26:$H$69,$G117)</f>
        <v>0</v>
      </c>
      <c r="AH117" s="256">
        <f t="shared" ca="1" si="5"/>
        <v>0</v>
      </c>
      <c r="AI117" s="515">
        <f ca="1">SUMIFS(Налоги!AH$26:AH$69,Налоги!$F$26:$F$69,$F117,Налоги!$H$26:$H$69,$G117)</f>
        <v>4057</v>
      </c>
      <c r="AJ117" s="515">
        <f ca="1">SUMIFS(Налоги!AI$26:AI$69,Налоги!$F$26:$F$69,$F117,Налоги!$H$26:$H$69,$G117)</f>
        <v>0</v>
      </c>
      <c r="AK117" s="515">
        <f ca="1">SUMIFS(Налоги!AS$26:AS$69,Налоги!$F$26:$F$69,$F117,Налоги!$H$26:$H$69,$G117)</f>
        <v>7122.64</v>
      </c>
      <c r="AL117" s="256">
        <f t="shared" ca="1" si="6"/>
        <v>75.564210007394635</v>
      </c>
      <c r="AM117" s="1290"/>
      <c r="AN117" s="1290"/>
      <c r="AO117" s="1290"/>
      <c r="AP117" s="180"/>
      <c r="AQ117" s="180"/>
      <c r="AR117" s="1029" t="s">
        <v>606</v>
      </c>
      <c r="AS117" s="1064"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M10558::ТЭ.42.26322895.0003::1.0.25.::Неопределено::Неопределено::Неопределено::Неопределено::Неопределено::Неопределено</v>
      </c>
    </row>
    <row r="118" spans="1:45" s="1229" customFormat="1" ht="16.5" customHeight="1">
      <c r="A118" s="983"/>
      <c r="B118" s="783"/>
      <c r="C118" s="1094" t="s">
        <v>1858</v>
      </c>
      <c r="D118" s="1053" t="s">
        <v>1859</v>
      </c>
      <c r="E118" s="676">
        <v>17.100000000000001</v>
      </c>
      <c r="F118" s="779" t="str" cm="1">
        <f t="array" aca="1" ref="F118" ca="1">OFFSET(G118,-1,-1)</f>
        <v>1</v>
      </c>
      <c r="G118" s="143" t="s">
        <v>1316</v>
      </c>
      <c r="H118" s="180"/>
      <c r="I118" s="180"/>
      <c r="J118" s="180"/>
      <c r="K118" s="180"/>
      <c r="L118" s="1082" t="s">
        <v>1924</v>
      </c>
      <c r="M118" s="1080" t="str" cm="1">
        <f t="array" aca="1" ref="M118" ca="1">OFFSET(L118,-1,1)</f>
        <v>ТЭ.42.26322895.0003</v>
      </c>
      <c r="N118" s="1082"/>
      <c r="O118" s="1082"/>
      <c r="P118" s="1082"/>
      <c r="Q118" s="1082"/>
      <c r="R118" s="1082"/>
      <c r="S118" s="1082"/>
      <c r="T118" s="687" t="b" cm="1">
        <f t="array" ref="T118">T117</f>
        <v>1</v>
      </c>
      <c r="U118" s="1153"/>
      <c r="V118" s="1153"/>
      <c r="W118" s="1153"/>
      <c r="X118" s="1726"/>
      <c r="Y118" s="1153"/>
      <c r="Z118" s="1726"/>
      <c r="AA118" s="180"/>
      <c r="AB118" s="837" t="s">
        <v>1925</v>
      </c>
      <c r="AC118" s="838" t="s">
        <v>1317</v>
      </c>
      <c r="AD118" s="839" t="s">
        <v>1077</v>
      </c>
      <c r="AE118" s="515">
        <f ca="1">SUMIFS(Налоги!AE$26:AE$69,Налоги!$F$26:$F$69,$F118,Налоги!$H$26:$H$69,$G118)</f>
        <v>0</v>
      </c>
      <c r="AF118" s="515">
        <f ca="1">SUMIFS(Налоги!AF$26:AF$69,Налоги!$F$26:$F$69,$F118,Налоги!$H$26:$H$69,$G118)</f>
        <v>0</v>
      </c>
      <c r="AG118" s="515">
        <f ca="1">SUMIFS(Налоги!AG$26:AG$69,Налоги!$F$26:$F$69,$F118,Налоги!$H$26:$H$69,$G118)</f>
        <v>0</v>
      </c>
      <c r="AH118" s="256">
        <f t="shared" ca="1" si="5"/>
        <v>0</v>
      </c>
      <c r="AI118" s="515">
        <f ca="1">SUMIFS(Налоги!AH$26:AH$69,Налоги!$F$26:$F$69,$F118,Налоги!$H$26:$H$69,$G118)</f>
        <v>9.98</v>
      </c>
      <c r="AJ118" s="515">
        <f ca="1">SUMIFS(Налоги!AI$26:AI$69,Налоги!$F$26:$F$69,$F118,Налоги!$H$26:$H$69,$G118)</f>
        <v>0</v>
      </c>
      <c r="AK118" s="515">
        <f ca="1">SUMIFS(Налоги!AS$26:AS$69,Налоги!$F$26:$F$69,$F118,Налоги!$H$26:$H$69,$G118)</f>
        <v>3.2839999999999998</v>
      </c>
      <c r="AL118" s="256">
        <f t="shared" ca="1" si="6"/>
        <v>-67.094188376753507</v>
      </c>
      <c r="AM118" s="1290"/>
      <c r="AN118" s="1290"/>
      <c r="AO118" s="1290"/>
      <c r="AP118" s="180"/>
      <c r="AQ118" s="180"/>
      <c r="AR118" s="1029" t="s">
        <v>1318</v>
      </c>
      <c r="AS118" s="1064"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M10558::ТЭ.42.26322895.0003::1.0.17.::Неопределено::Неопределено::Неопределено::Неопределено::Неопределено::Неопределено</v>
      </c>
    </row>
    <row r="119" spans="1:45" s="1229" customFormat="1" ht="16.5" customHeight="1">
      <c r="A119" s="983"/>
      <c r="B119" s="783"/>
      <c r="C119" s="1094" t="s">
        <v>1858</v>
      </c>
      <c r="D119" s="1053" t="s">
        <v>1859</v>
      </c>
      <c r="E119" s="676">
        <v>17.100000000000001</v>
      </c>
      <c r="F119" s="779" t="str" cm="1">
        <f t="array" aca="1" ref="F119" ca="1">OFFSET(G119,-1,-1)</f>
        <v>1</v>
      </c>
      <c r="G119" s="143" t="s">
        <v>1307</v>
      </c>
      <c r="H119" s="180"/>
      <c r="I119" s="180"/>
      <c r="J119" s="180"/>
      <c r="K119" s="180"/>
      <c r="L119" s="1082" t="s">
        <v>1926</v>
      </c>
      <c r="M119" s="1080" t="str" cm="1">
        <f t="array" aca="1" ref="M119" ca="1">OFFSET(L119,-1,1)</f>
        <v>ТЭ.42.26322895.0003</v>
      </c>
      <c r="N119" s="1082"/>
      <c r="O119" s="1082"/>
      <c r="P119" s="1082"/>
      <c r="Q119" s="1082"/>
      <c r="R119" s="1082"/>
      <c r="S119" s="1082"/>
      <c r="T119" s="687" t="b" cm="1">
        <f t="array" ref="T119">T118</f>
        <v>1</v>
      </c>
      <c r="U119" s="1153"/>
      <c r="V119" s="1153"/>
      <c r="W119" s="1153"/>
      <c r="X119" s="1726"/>
      <c r="Y119" s="1153"/>
      <c r="Z119" s="1726"/>
      <c r="AA119" s="180"/>
      <c r="AB119" s="840" t="s">
        <v>1927</v>
      </c>
      <c r="AC119" s="841" t="s">
        <v>1308</v>
      </c>
      <c r="AD119" s="842" t="s">
        <v>1077</v>
      </c>
      <c r="AE119" s="515">
        <f ca="1">SUMIFS(Налоги!AE$26:AE$69,Налоги!$F$26:$F$69,$F119,Налоги!$H$26:$H$69,$G119)</f>
        <v>0</v>
      </c>
      <c r="AF119" s="515">
        <f ca="1">SUMIFS(Налоги!AF$26:AF$69,Налоги!$F$26:$F$69,$F119,Налоги!$H$26:$H$69,$G119)</f>
        <v>0</v>
      </c>
      <c r="AG119" s="515">
        <f ca="1">SUMIFS(Налоги!AG$26:AG$69,Налоги!$F$26:$F$69,$F119,Налоги!$H$26:$H$69,$G119)</f>
        <v>0</v>
      </c>
      <c r="AH119" s="256">
        <f t="shared" ca="1" si="5"/>
        <v>0</v>
      </c>
      <c r="AI119" s="515">
        <f ca="1">SUMIFS(Налоги!AH$26:AH$69,Налоги!$F$26:$F$69,$F119,Налоги!$H$26:$H$69,$G119)</f>
        <v>4</v>
      </c>
      <c r="AJ119" s="515">
        <f ca="1">SUMIFS(Налоги!AI$26:AI$69,Налоги!$F$26:$F$69,$F119,Налоги!$H$26:$H$69,$G119)</f>
        <v>0</v>
      </c>
      <c r="AK119" s="515">
        <f ca="1">SUMIFS(Налоги!AS$26:AS$69,Налоги!$F$26:$F$69,$F119,Налоги!$H$26:$H$69,$G119)</f>
        <v>4.5</v>
      </c>
      <c r="AL119" s="256">
        <f t="shared" ca="1" si="6"/>
        <v>12.5</v>
      </c>
      <c r="AM119" s="1290"/>
      <c r="AN119" s="1290"/>
      <c r="AO119" s="1290"/>
      <c r="AP119" s="180"/>
      <c r="AQ119" s="180"/>
      <c r="AR119" s="1029" t="s">
        <v>1928</v>
      </c>
      <c r="AS119" s="1064"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M10558::ТЭ.42.26322895.0003::1.0.93.::Неопределено::Неопределено::Неопределено::Неопределено::Неопределено::Неопределено</v>
      </c>
    </row>
    <row r="120" spans="1:45" s="1229" customFormat="1" ht="16.5" customHeight="1">
      <c r="A120" s="983"/>
      <c r="B120" s="783"/>
      <c r="C120" s="1094" t="s">
        <v>1858</v>
      </c>
      <c r="D120" s="1053" t="s">
        <v>1859</v>
      </c>
      <c r="E120" s="676">
        <v>17.100000000000001</v>
      </c>
      <c r="F120" s="779" t="str" cm="1">
        <f t="array" aca="1" ref="F120" ca="1">OFFSET(G120,-1,-1)</f>
        <v>1</v>
      </c>
      <c r="G120" s="143" t="s">
        <v>1321</v>
      </c>
      <c r="H120" s="180"/>
      <c r="I120" s="180"/>
      <c r="J120" s="180"/>
      <c r="K120" s="180"/>
      <c r="L120" s="1082" t="s">
        <v>1929</v>
      </c>
      <c r="M120" s="1080" t="str" cm="1">
        <f t="array" aca="1" ref="M120" ca="1">OFFSET(L120,-1,1)</f>
        <v>ТЭ.42.26322895.0003</v>
      </c>
      <c r="N120" s="1082"/>
      <c r="O120" s="1082"/>
      <c r="P120" s="1082"/>
      <c r="Q120" s="1082"/>
      <c r="R120" s="1082"/>
      <c r="S120" s="1082"/>
      <c r="T120" s="687" t="b" cm="1">
        <f t="array" ref="T120">T119</f>
        <v>1</v>
      </c>
      <c r="U120" s="1153"/>
      <c r="V120" s="1153"/>
      <c r="W120" s="1153"/>
      <c r="X120" s="1726"/>
      <c r="Y120" s="1153"/>
      <c r="Z120" s="1726"/>
      <c r="AA120" s="180"/>
      <c r="AB120" s="733" t="s">
        <v>1930</v>
      </c>
      <c r="AC120" s="843" t="s">
        <v>1322</v>
      </c>
      <c r="AD120" s="733" t="s">
        <v>1077</v>
      </c>
      <c r="AE120" s="515">
        <f ca="1">SUMIFS(Налоги!AE$26:AE$69,Налоги!$F$26:$F$69,$F120,Налоги!$H$26:$H$69,$G120)</f>
        <v>0</v>
      </c>
      <c r="AF120" s="515">
        <f ca="1">SUMIFS(Налоги!AF$26:AF$69,Налоги!$F$26:$F$69,$F120,Налоги!$H$26:$H$69,$G120)</f>
        <v>0</v>
      </c>
      <c r="AG120" s="515">
        <f ca="1">SUMIFS(Налоги!AG$26:AG$69,Налоги!$F$26:$F$69,$F120,Налоги!$H$26:$H$69,$G120)</f>
        <v>0</v>
      </c>
      <c r="AH120" s="256">
        <f t="shared" ca="1" si="5"/>
        <v>0</v>
      </c>
      <c r="AI120" s="515">
        <f ca="1">SUMIFS(Налоги!AH$26:AH$69,Налоги!$F$26:$F$69,$F120,Налоги!$H$26:$H$69,$G120)</f>
        <v>0</v>
      </c>
      <c r="AJ120" s="515">
        <f ca="1">SUMIFS(Налоги!AI$26:AI$69,Налоги!$F$26:$F$69,$F120,Налоги!$H$26:$H$69,$G120)</f>
        <v>0</v>
      </c>
      <c r="AK120" s="515">
        <f ca="1">SUMIFS(Налоги!AS$26:AS$69,Налоги!$F$26:$F$69,$F120,Налоги!$H$26:$H$69,$G120)</f>
        <v>0</v>
      </c>
      <c r="AL120" s="256">
        <f t="shared" ca="1" si="6"/>
        <v>0</v>
      </c>
      <c r="AM120" s="1290"/>
      <c r="AN120" s="1290"/>
      <c r="AO120" s="1290"/>
      <c r="AP120" s="180"/>
      <c r="AQ120" s="180"/>
      <c r="AR120" s="1029" t="s">
        <v>1323</v>
      </c>
      <c r="AS120" s="1064"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M10558::ТЭ.42.26322895.0003::1.0.6.::Неопределено::Неопределено::Неопределено::Неопределено::Неопределено::Неопределено</v>
      </c>
    </row>
    <row r="121" spans="1:45" s="1229" customFormat="1" ht="16.5" customHeight="1">
      <c r="A121" s="983"/>
      <c r="B121" s="783"/>
      <c r="C121" s="1094" t="s">
        <v>1858</v>
      </c>
      <c r="D121" s="1053" t="s">
        <v>1859</v>
      </c>
      <c r="E121" s="676">
        <v>17.100000000000001</v>
      </c>
      <c r="F121" s="779" t="str" cm="1">
        <f t="array" aca="1" ref="F121" ca="1">OFFSET(G121,-1,-1)</f>
        <v>1</v>
      </c>
      <c r="G121" s="143" t="s">
        <v>1306</v>
      </c>
      <c r="H121" s="180"/>
      <c r="I121" s="180"/>
      <c r="J121" s="180"/>
      <c r="K121" s="180"/>
      <c r="L121" s="1082" t="s">
        <v>1931</v>
      </c>
      <c r="M121" s="1080" t="str" cm="1">
        <f t="array" aca="1" ref="M121" ca="1">OFFSET(L121,-1,1)</f>
        <v>ТЭ.42.26322895.0003</v>
      </c>
      <c r="N121" s="1082"/>
      <c r="O121" s="1082"/>
      <c r="P121" s="1082"/>
      <c r="Q121" s="1082"/>
      <c r="R121" s="1082"/>
      <c r="S121" s="1082"/>
      <c r="T121" s="687" t="b" cm="1">
        <f t="array" ref="T121">T120</f>
        <v>1</v>
      </c>
      <c r="U121" s="1153"/>
      <c r="V121" s="1153"/>
      <c r="W121" s="1153"/>
      <c r="X121" s="1726"/>
      <c r="Y121" s="1153"/>
      <c r="Z121" s="1726"/>
      <c r="AA121" s="180"/>
      <c r="AB121" s="733" t="s">
        <v>1932</v>
      </c>
      <c r="AC121" s="843" t="s">
        <v>1933</v>
      </c>
      <c r="AD121" s="733" t="s">
        <v>1077</v>
      </c>
      <c r="AE121" s="515">
        <f ca="1">SUMIFS(Налоги!AE$26:AE$69,Налоги!$F$26:$F$69,$F121,Налоги!$H$26:$H$69,$G121)</f>
        <v>0</v>
      </c>
      <c r="AF121" s="515">
        <f ca="1">SUMIFS(Налоги!AF$26:AF$69,Налоги!$F$26:$F$69,$F121,Налоги!$H$26:$H$69,$G121)</f>
        <v>0</v>
      </c>
      <c r="AG121" s="515">
        <f ca="1">SUMIFS(Налоги!AG$26:AG$69,Налоги!$F$26:$F$69,$F121,Налоги!$H$26:$H$69,$G121)</f>
        <v>0</v>
      </c>
      <c r="AH121" s="256">
        <f t="shared" ca="1" si="5"/>
        <v>0</v>
      </c>
      <c r="AI121" s="515">
        <f ca="1">SUMIFS(Налоги!AH$26:AH$69,Налоги!$F$26:$F$69,$F121,Налоги!$H$26:$H$69,$G121)</f>
        <v>0</v>
      </c>
      <c r="AJ121" s="515">
        <f ca="1">SUMIFS(Налоги!AI$26:AI$69,Налоги!$F$26:$F$69,$F121,Налоги!$H$26:$H$69,$G121)</f>
        <v>0</v>
      </c>
      <c r="AK121" s="515">
        <f ca="1">SUMIFS(Налоги!AS$26:AS$69,Налоги!$F$26:$F$69,$F121,Налоги!$H$26:$H$69,$G121)</f>
        <v>0</v>
      </c>
      <c r="AL121" s="256">
        <f t="shared" ca="1" si="6"/>
        <v>0</v>
      </c>
      <c r="AM121" s="1290"/>
      <c r="AN121" s="1290"/>
      <c r="AO121" s="1290"/>
      <c r="AP121" s="180"/>
      <c r="AQ121" s="180"/>
      <c r="AR121" s="1029" t="s">
        <v>1934</v>
      </c>
      <c r="AS121" s="1064"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M10558::ТЭ.42.26322895.0003::1.0.52.::Неопределено::Неопределено::Неопределено::Неопределено::Неопределено::Неопределено</v>
      </c>
    </row>
    <row r="122" spans="1:45" s="1229" customFormat="1" ht="16.5" customHeight="1">
      <c r="A122" s="983"/>
      <c r="B122" s="783"/>
      <c r="C122" s="1094" t="s">
        <v>1858</v>
      </c>
      <c r="D122" s="1053" t="s">
        <v>1859</v>
      </c>
      <c r="E122" s="676">
        <v>17.100000000000001</v>
      </c>
      <c r="F122" s="779" t="str" cm="1">
        <f t="array" aca="1" ref="F122" ca="1">OFFSET(G122,-1,-1)</f>
        <v>1</v>
      </c>
      <c r="G122" s="180"/>
      <c r="H122" s="180"/>
      <c r="I122" s="180"/>
      <c r="J122" s="180"/>
      <c r="K122" s="180"/>
      <c r="L122" s="1082" t="s">
        <v>1935</v>
      </c>
      <c r="M122" s="1080" t="str" cm="1">
        <f t="array" aca="1" ref="M122" ca="1">OFFSET(L122,-1,1)</f>
        <v>ТЭ.42.26322895.0003</v>
      </c>
      <c r="N122" s="1082"/>
      <c r="O122" s="1082"/>
      <c r="P122" s="1082"/>
      <c r="Q122" s="1082"/>
      <c r="R122" s="1082"/>
      <c r="S122" s="1082"/>
      <c r="T122" s="687" t="b" cm="1">
        <f t="array" ref="T122">T121</f>
        <v>1</v>
      </c>
      <c r="U122" s="1153"/>
      <c r="V122" s="1153"/>
      <c r="W122" s="1153"/>
      <c r="X122" s="1726"/>
      <c r="Y122" s="1153"/>
      <c r="Z122" s="1726"/>
      <c r="AA122" s="180"/>
      <c r="AB122" s="752">
        <v>2</v>
      </c>
      <c r="AC122" s="844" t="s">
        <v>1936</v>
      </c>
      <c r="AD122" s="752" t="s">
        <v>1077</v>
      </c>
      <c r="AE122" s="515">
        <f>AE123+AE124+AE125+AE126</f>
        <v>0</v>
      </c>
      <c r="AF122" s="515">
        <f>AF123+AF124+AF125+AF126</f>
        <v>0</v>
      </c>
      <c r="AG122" s="515">
        <f>AG123+AG124+AG125+AG126</f>
        <v>0</v>
      </c>
      <c r="AH122" s="256">
        <f t="shared" si="5"/>
        <v>0</v>
      </c>
      <c r="AI122" s="515">
        <f>AI123+AI124+AI125+AI126</f>
        <v>0</v>
      </c>
      <c r="AJ122" s="515">
        <f>AJ123+AJ124+AJ125+AJ126</f>
        <v>0</v>
      </c>
      <c r="AK122" s="515">
        <f>AK123+AK124+AK125+AK126</f>
        <v>0</v>
      </c>
      <c r="AL122" s="256">
        <f t="shared" si="6"/>
        <v>0</v>
      </c>
      <c r="AM122" s="1290"/>
      <c r="AN122" s="1290"/>
      <c r="AO122" s="1290"/>
      <c r="AP122" s="180"/>
      <c r="AQ122" s="180"/>
      <c r="AR122" s="1029" t="s">
        <v>1937</v>
      </c>
      <c r="AS122" s="1064"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M10558::ТЭ.42.26322895.0003::1.0.50.::Неопределено::Неопределено::Неопределено::Неопределено::Неопределено::Неопределено</v>
      </c>
    </row>
    <row r="123" spans="1:45" s="1229" customFormat="1" ht="43.5" customHeight="1">
      <c r="A123" s="983"/>
      <c r="B123" s="783"/>
      <c r="C123" s="1094" t="s">
        <v>1858</v>
      </c>
      <c r="D123" s="1053" t="s">
        <v>1859</v>
      </c>
      <c r="E123" s="676">
        <v>45</v>
      </c>
      <c r="F123" s="779" t="str" cm="1">
        <f t="array" aca="1" ref="F123" ca="1">OFFSET(G123,-1,-1)</f>
        <v>1</v>
      </c>
      <c r="G123" s="180"/>
      <c r="H123" s="180"/>
      <c r="I123" s="180"/>
      <c r="J123" s="180"/>
      <c r="K123" s="180"/>
      <c r="L123" s="1082"/>
      <c r="M123" s="1080" t="str" cm="1">
        <f t="array" aca="1" ref="M123" ca="1">OFFSET(L123,-1,1)</f>
        <v>ТЭ.42.26322895.0003</v>
      </c>
      <c r="N123" s="1082"/>
      <c r="O123" s="1082"/>
      <c r="P123" s="1082" t="s">
        <v>1938</v>
      </c>
      <c r="Q123" s="1082"/>
      <c r="R123" s="1082"/>
      <c r="S123" s="1082"/>
      <c r="T123" s="687" t="b" cm="1">
        <f t="array" ref="T123">T122</f>
        <v>1</v>
      </c>
      <c r="U123" s="1153"/>
      <c r="V123" s="1153"/>
      <c r="W123" s="1153"/>
      <c r="X123" s="1726"/>
      <c r="Y123" s="1153"/>
      <c r="Z123" s="1726"/>
      <c r="AA123" s="180"/>
      <c r="AB123" s="733" t="s">
        <v>491</v>
      </c>
      <c r="AC123" s="845" t="s">
        <v>1939</v>
      </c>
      <c r="AD123" s="733" t="s">
        <v>1077</v>
      </c>
      <c r="AE123" s="1398"/>
      <c r="AF123" s="1398"/>
      <c r="AG123" s="1398"/>
      <c r="AH123" s="256">
        <f t="shared" si="5"/>
        <v>0</v>
      </c>
      <c r="AI123" s="1398"/>
      <c r="AJ123" s="517"/>
      <c r="AK123" s="517"/>
      <c r="AL123" s="256">
        <f t="shared" si="6"/>
        <v>0</v>
      </c>
      <c r="AM123" s="1290"/>
      <c r="AN123" s="1290"/>
      <c r="AO123" s="1290"/>
      <c r="AP123" s="180"/>
      <c r="AQ123" s="180"/>
      <c r="AR123" s="1029" t="s">
        <v>1940</v>
      </c>
      <c r="AS123" s="1064"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M10558::ТЭ.42.26322895.0003::Неопределено::Неопределено::Неопределено::306.0.3.::Неопределено::Неопределено::Неопределено</v>
      </c>
    </row>
    <row r="124" spans="1:45" s="1229" customFormat="1" ht="16.5" customHeight="1">
      <c r="A124" s="983"/>
      <c r="B124" s="783"/>
      <c r="C124" s="1094" t="s">
        <v>1858</v>
      </c>
      <c r="D124" s="1053" t="s">
        <v>1859</v>
      </c>
      <c r="E124" s="676">
        <v>17.100000000000001</v>
      </c>
      <c r="F124" s="779" t="str" cm="1">
        <f t="array" aca="1" ref="F124" ca="1">OFFSET(G124,-1,-1)</f>
        <v>1</v>
      </c>
      <c r="G124" s="180"/>
      <c r="H124" s="180"/>
      <c r="I124" s="180"/>
      <c r="J124" s="180"/>
      <c r="K124" s="180"/>
      <c r="L124" s="1082"/>
      <c r="M124" s="1080" t="str" cm="1">
        <f t="array" aca="1" ref="M124" ca="1">OFFSET(L124,-1,1)</f>
        <v>ТЭ.42.26322895.0003</v>
      </c>
      <c r="N124" s="1082" t="s">
        <v>1941</v>
      </c>
      <c r="O124" s="1082"/>
      <c r="P124" s="1082"/>
      <c r="Q124" s="1082"/>
      <c r="R124" s="1082"/>
      <c r="S124" s="1082"/>
      <c r="T124" s="687" t="b" cm="1">
        <f t="array" ref="T124">T123</f>
        <v>1</v>
      </c>
      <c r="U124" s="1153"/>
      <c r="V124" s="1153"/>
      <c r="W124" s="1153"/>
      <c r="X124" s="1726"/>
      <c r="Y124" s="1153"/>
      <c r="Z124" s="1726"/>
      <c r="AA124" s="180"/>
      <c r="AB124" s="468" t="s">
        <v>518</v>
      </c>
      <c r="AC124" s="846" t="s">
        <v>1427</v>
      </c>
      <c r="AD124" s="481" t="s">
        <v>1077</v>
      </c>
      <c r="AE124" s="1398"/>
      <c r="AF124" s="1398"/>
      <c r="AG124" s="1398"/>
      <c r="AH124" s="256">
        <f t="shared" si="5"/>
        <v>0</v>
      </c>
      <c r="AI124" s="1398"/>
      <c r="AJ124" s="517"/>
      <c r="AK124" s="517"/>
      <c r="AL124" s="256">
        <f t="shared" si="6"/>
        <v>0</v>
      </c>
      <c r="AM124" s="1290"/>
      <c r="AN124" s="1290"/>
      <c r="AO124" s="1290"/>
      <c r="AP124" s="180"/>
      <c r="AQ124" s="180"/>
      <c r="AR124" s="1029" t="s">
        <v>1942</v>
      </c>
      <c r="AS124" s="1064"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M10558::ТЭ.42.26322895.0003::Неопределено::110.0.37.::Неопределено::Неопределено::Неопределено::Неопределено::Неопределено</v>
      </c>
    </row>
    <row r="125" spans="1:45" s="1229" customFormat="1" ht="33.75" customHeight="1">
      <c r="A125" s="983"/>
      <c r="B125" s="783"/>
      <c r="C125" s="1094" t="s">
        <v>1858</v>
      </c>
      <c r="D125" s="1053" t="s">
        <v>1859</v>
      </c>
      <c r="E125" s="676">
        <v>35</v>
      </c>
      <c r="F125" s="779" t="str" cm="1">
        <f t="array" aca="1" ref="F125" ca="1">OFFSET(G125,-1,-1)</f>
        <v>1</v>
      </c>
      <c r="G125" s="180"/>
      <c r="H125" s="180"/>
      <c r="I125" s="180"/>
      <c r="J125" s="180"/>
      <c r="K125" s="180"/>
      <c r="L125" s="1082" t="s">
        <v>1943</v>
      </c>
      <c r="M125" s="1080" t="str" cm="1">
        <f t="array" aca="1" ref="M125" ca="1">OFFSET(L125,-1,1)</f>
        <v>ТЭ.42.26322895.0003</v>
      </c>
      <c r="N125" s="1082"/>
      <c r="O125" s="1082"/>
      <c r="P125" s="1082"/>
      <c r="Q125" s="1082"/>
      <c r="R125" s="1082"/>
      <c r="S125" s="1082"/>
      <c r="T125" s="687" t="b" cm="1">
        <f t="array" ref="T125">T124</f>
        <v>1</v>
      </c>
      <c r="U125" s="1153"/>
      <c r="V125" s="1153"/>
      <c r="W125" s="1153"/>
      <c r="X125" s="1726"/>
      <c r="Y125" s="1153"/>
      <c r="Z125" s="1726"/>
      <c r="AA125" s="180"/>
      <c r="AB125" s="419" t="s">
        <v>522</v>
      </c>
      <c r="AC125" s="847" t="s">
        <v>1439</v>
      </c>
      <c r="AD125" s="482" t="s">
        <v>1077</v>
      </c>
      <c r="AE125" s="1398"/>
      <c r="AF125" s="1398"/>
      <c r="AG125" s="1398"/>
      <c r="AH125" s="256">
        <f t="shared" si="5"/>
        <v>0</v>
      </c>
      <c r="AI125" s="1398"/>
      <c r="AJ125" s="517"/>
      <c r="AK125" s="517"/>
      <c r="AL125" s="256">
        <f t="shared" si="6"/>
        <v>0</v>
      </c>
      <c r="AM125" s="1290"/>
      <c r="AN125" s="1290"/>
      <c r="AO125" s="1290"/>
      <c r="AP125" s="180"/>
      <c r="AQ125" s="180"/>
      <c r="AR125" s="1029" t="s">
        <v>1944</v>
      </c>
      <c r="AS125" s="1064"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M10558::ТЭ.42.26322895.0003::1.0.89.::Неопределено::Неопределено::Неопределено::Неопределено::Неопределено::Неопределено</v>
      </c>
    </row>
    <row r="126" spans="1:45" s="1229" customFormat="1" ht="16.5" customHeight="1">
      <c r="A126" s="983"/>
      <c r="B126" s="783"/>
      <c r="C126" s="1094" t="s">
        <v>1858</v>
      </c>
      <c r="D126" s="1053" t="s">
        <v>1859</v>
      </c>
      <c r="E126" s="676">
        <v>17.100000000000001</v>
      </c>
      <c r="F126" s="779" t="str" cm="1">
        <f t="array" aca="1" ref="F126" ca="1">OFFSET(G126,-1,-1)</f>
        <v>1</v>
      </c>
      <c r="G126" s="180"/>
      <c r="H126" s="180"/>
      <c r="I126" s="180"/>
      <c r="J126" s="180"/>
      <c r="K126" s="180"/>
      <c r="L126" s="1082"/>
      <c r="M126" s="1080" t="str" cm="1">
        <f t="array" aca="1" ref="M126" ca="1">OFFSET(L126,-1,1)</f>
        <v>ТЭ.42.26322895.0003</v>
      </c>
      <c r="N126" s="1072" t="s">
        <v>1945</v>
      </c>
      <c r="O126" s="1082"/>
      <c r="P126" s="1082"/>
      <c r="Q126" s="1082"/>
      <c r="R126" s="1082"/>
      <c r="S126" s="1082"/>
      <c r="T126" s="687" t="b" cm="1">
        <f t="array" ref="T126">T125</f>
        <v>1</v>
      </c>
      <c r="U126" s="1153"/>
      <c r="V126" s="1153"/>
      <c r="W126" s="1153"/>
      <c r="X126" s="1726"/>
      <c r="Y126" s="1153"/>
      <c r="Z126" s="1726"/>
      <c r="AA126" s="180"/>
      <c r="AB126" s="419" t="s">
        <v>526</v>
      </c>
      <c r="AC126" s="847" t="s">
        <v>1946</v>
      </c>
      <c r="AD126" s="482" t="s">
        <v>1077</v>
      </c>
      <c r="AE126" s="515">
        <f>AE127+AE128</f>
        <v>0</v>
      </c>
      <c r="AF126" s="515">
        <f>AF127+AF128</f>
        <v>0</v>
      </c>
      <c r="AG126" s="515">
        <f>AG127+AG128</f>
        <v>0</v>
      </c>
      <c r="AH126" s="256">
        <f t="shared" si="5"/>
        <v>0</v>
      </c>
      <c r="AI126" s="515">
        <f>AI127+AI128</f>
        <v>0</v>
      </c>
      <c r="AJ126" s="515">
        <f>AJ127+AJ128</f>
        <v>0</v>
      </c>
      <c r="AK126" s="515">
        <f>AK127+AK128</f>
        <v>0</v>
      </c>
      <c r="AL126" s="256">
        <f t="shared" si="6"/>
        <v>0</v>
      </c>
      <c r="AM126" s="1290"/>
      <c r="AN126" s="1290"/>
      <c r="AO126" s="1290"/>
      <c r="AP126" s="180"/>
      <c r="AQ126" s="180"/>
      <c r="AR126" s="1029" t="s">
        <v>1947</v>
      </c>
      <c r="AS126" s="1064"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M10558::ТЭ.42.26322895.0003::Неопределено::110.0.32.::Неопределено::Неопределено::Неопределено::Неопределено::Неопределено</v>
      </c>
    </row>
    <row r="127" spans="1:45" s="1229" customFormat="1" ht="16.5" customHeight="1">
      <c r="A127" s="983"/>
      <c r="B127" s="783"/>
      <c r="C127" s="1094" t="s">
        <v>1858</v>
      </c>
      <c r="D127" s="1053" t="s">
        <v>1859</v>
      </c>
      <c r="E127" s="676">
        <v>17.100000000000001</v>
      </c>
      <c r="F127" s="779" t="str" cm="1">
        <f t="array" aca="1" ref="F127" ca="1">OFFSET(G127,-1,-1)</f>
        <v>1</v>
      </c>
      <c r="G127" s="180"/>
      <c r="H127" s="180"/>
      <c r="I127" s="180"/>
      <c r="J127" s="180"/>
      <c r="K127" s="180"/>
      <c r="L127" s="1082" t="s">
        <v>1948</v>
      </c>
      <c r="M127" s="1080" t="str" cm="1">
        <f t="array" aca="1" ref="M127" ca="1">OFFSET(L127,-1,1)</f>
        <v>ТЭ.42.26322895.0003</v>
      </c>
      <c r="N127" s="1082"/>
      <c r="O127" s="1082"/>
      <c r="P127" s="1082"/>
      <c r="Q127" s="1082"/>
      <c r="R127" s="1082"/>
      <c r="S127" s="1082"/>
      <c r="T127" s="687" t="b" cm="1">
        <f t="array" ref="T127">T126</f>
        <v>1</v>
      </c>
      <c r="U127" s="1153"/>
      <c r="V127" s="1153"/>
      <c r="W127" s="1153"/>
      <c r="X127" s="1726"/>
      <c r="Y127" s="1153"/>
      <c r="Z127" s="1726"/>
      <c r="AA127" s="180"/>
      <c r="AB127" s="424" t="s">
        <v>1949</v>
      </c>
      <c r="AC127" s="848" t="s">
        <v>1950</v>
      </c>
      <c r="AD127" s="549" t="s">
        <v>1077</v>
      </c>
      <c r="AE127" s="1398"/>
      <c r="AF127" s="1398"/>
      <c r="AG127" s="1398"/>
      <c r="AH127" s="256">
        <f t="shared" si="5"/>
        <v>0</v>
      </c>
      <c r="AI127" s="1398"/>
      <c r="AJ127" s="517"/>
      <c r="AK127" s="517"/>
      <c r="AL127" s="256">
        <f t="shared" ref="AL127:AL158" si="7">IF(AI127=0,0,(AK127-AI127)/AI127*100)</f>
        <v>0</v>
      </c>
      <c r="AM127" s="1290"/>
      <c r="AN127" s="1290"/>
      <c r="AO127" s="1290"/>
      <c r="AP127" s="180"/>
      <c r="AQ127" s="180"/>
      <c r="AR127" s="1029" t="s">
        <v>1951</v>
      </c>
      <c r="AS127" s="1064"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M10558::ТЭ.42.26322895.0003::1.0.96.::Неопределено::Неопределено::Неопределено::Неопределено::Неопределено::Неопределено</v>
      </c>
    </row>
    <row r="128" spans="1:45" s="1229" customFormat="1" ht="16.5" customHeight="1">
      <c r="A128" s="983"/>
      <c r="B128" s="783"/>
      <c r="C128" s="1094" t="s">
        <v>1858</v>
      </c>
      <c r="D128" s="1053" t="s">
        <v>1859</v>
      </c>
      <c r="E128" s="676">
        <v>17.100000000000001</v>
      </c>
      <c r="F128" s="779" t="str" cm="1">
        <f t="array" aca="1" ref="F128" ca="1">OFFSET(G128,-1,-1)</f>
        <v>1</v>
      </c>
      <c r="G128" s="180"/>
      <c r="H128" s="180"/>
      <c r="I128" s="180"/>
      <c r="J128" s="180"/>
      <c r="K128" s="180"/>
      <c r="L128" s="1082"/>
      <c r="M128" s="1080" t="str" cm="1">
        <f t="array" aca="1" ref="M128" ca="1">OFFSET(L128,-1,1)</f>
        <v>ТЭ.42.26322895.0003</v>
      </c>
      <c r="N128" s="1082" t="s">
        <v>1952</v>
      </c>
      <c r="O128" s="1082"/>
      <c r="P128" s="1082"/>
      <c r="Q128" s="1082"/>
      <c r="R128" s="1082"/>
      <c r="S128" s="1082"/>
      <c r="T128" s="687" t="b" cm="1">
        <f t="array" ref="T128">T127</f>
        <v>1</v>
      </c>
      <c r="U128" s="1153"/>
      <c r="V128" s="1153"/>
      <c r="W128" s="1153"/>
      <c r="X128" s="1726"/>
      <c r="Y128" s="1153"/>
      <c r="Z128" s="1726"/>
      <c r="AA128" s="180"/>
      <c r="AB128" s="733" t="s">
        <v>1953</v>
      </c>
      <c r="AC128" s="845" t="s">
        <v>1954</v>
      </c>
      <c r="AD128" s="733" t="s">
        <v>1077</v>
      </c>
      <c r="AE128" s="1398"/>
      <c r="AF128" s="1398"/>
      <c r="AG128" s="1398"/>
      <c r="AH128" s="256">
        <f t="shared" si="5"/>
        <v>0</v>
      </c>
      <c r="AI128" s="1398"/>
      <c r="AJ128" s="517"/>
      <c r="AK128" s="517"/>
      <c r="AL128" s="256">
        <f t="shared" si="7"/>
        <v>0</v>
      </c>
      <c r="AM128" s="1290"/>
      <c r="AN128" s="1290"/>
      <c r="AO128" s="1290"/>
      <c r="AP128" s="180"/>
      <c r="AQ128" s="180"/>
      <c r="AR128" s="1029" t="s">
        <v>1955</v>
      </c>
      <c r="AS128" s="1064"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M10558::ТЭ.42.26322895.0003::Неопределено::110.0.39.::Неопределено::Неопределено::Неопределено::Неопределено::Неопределено</v>
      </c>
    </row>
    <row r="129" spans="1:45" s="1229" customFormat="1" ht="33.75" customHeight="1">
      <c r="A129" s="983"/>
      <c r="B129" s="783"/>
      <c r="C129" s="1094" t="s">
        <v>1858</v>
      </c>
      <c r="D129" s="1053" t="s">
        <v>1859</v>
      </c>
      <c r="E129" s="676">
        <v>35</v>
      </c>
      <c r="F129" s="779" t="str" cm="1">
        <f t="array" aca="1" ref="F129" ca="1">OFFSET(G129,-1,-1)</f>
        <v>1</v>
      </c>
      <c r="G129" s="180"/>
      <c r="H129" s="180"/>
      <c r="I129" s="180"/>
      <c r="J129" s="180"/>
      <c r="K129" s="180"/>
      <c r="L129" s="1082"/>
      <c r="M129" s="1080" t="str" cm="1">
        <f t="array" aca="1" ref="M129" ca="1">OFFSET(L129,-1,1)</f>
        <v>ТЭ.42.26322895.0003</v>
      </c>
      <c r="N129" s="1082" t="s">
        <v>1956</v>
      </c>
      <c r="O129" s="1082"/>
      <c r="P129" s="1082"/>
      <c r="Q129" s="1082"/>
      <c r="R129" s="1082"/>
      <c r="S129" s="1082"/>
      <c r="T129" s="687" t="b" cm="1">
        <f t="array" ref="T129">T128</f>
        <v>1</v>
      </c>
      <c r="U129" s="1153"/>
      <c r="V129" s="1153"/>
      <c r="W129" s="1153"/>
      <c r="X129" s="1726"/>
      <c r="Y129" s="1153"/>
      <c r="Z129" s="1726"/>
      <c r="AA129" s="180"/>
      <c r="AB129" s="752">
        <v>3</v>
      </c>
      <c r="AC129" s="849" t="s">
        <v>1957</v>
      </c>
      <c r="AD129" s="752" t="s">
        <v>1077</v>
      </c>
      <c r="AE129" s="515">
        <f>AE130+AE131+AE132+AE133</f>
        <v>0</v>
      </c>
      <c r="AF129" s="515">
        <f>AF130+AF131+AF132+AF133</f>
        <v>0</v>
      </c>
      <c r="AG129" s="515">
        <f>AG130+AG131+AG132+AG133</f>
        <v>0</v>
      </c>
      <c r="AH129" s="256">
        <f t="shared" si="5"/>
        <v>0</v>
      </c>
      <c r="AI129" s="515">
        <f>AI130+AI131+AI132+AI133</f>
        <v>0</v>
      </c>
      <c r="AJ129" s="515">
        <f>AJ130+AJ131+AJ132+AJ133</f>
        <v>0</v>
      </c>
      <c r="AK129" s="515">
        <f>AK130+AK131+AK132+AK133</f>
        <v>0</v>
      </c>
      <c r="AL129" s="256">
        <f t="shared" si="7"/>
        <v>0</v>
      </c>
      <c r="AM129" s="1290"/>
      <c r="AN129" s="1290"/>
      <c r="AO129" s="1290"/>
      <c r="AP129" s="180"/>
      <c r="AQ129" s="180"/>
      <c r="AR129" s="1029" t="s">
        <v>1958</v>
      </c>
      <c r="AS129" s="1064"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M10558::ТЭ.42.26322895.0003::Неопределено::110.0.46.::Неопределено::Неопределено::Неопределено::Неопределено::Неопределено</v>
      </c>
    </row>
    <row r="130" spans="1:45" s="1229" customFormat="1" ht="16.5" customHeight="1">
      <c r="A130" s="983"/>
      <c r="B130" s="783"/>
      <c r="C130" s="1094" t="s">
        <v>1858</v>
      </c>
      <c r="D130" s="1053" t="s">
        <v>1859</v>
      </c>
      <c r="E130" s="676">
        <v>17.100000000000001</v>
      </c>
      <c r="F130" s="779" t="str" cm="1">
        <f t="array" aca="1" ref="F130" ca="1">OFFSET(G130,-1,-1)</f>
        <v>1</v>
      </c>
      <c r="G130" s="180"/>
      <c r="H130" s="180"/>
      <c r="I130" s="180"/>
      <c r="J130" s="180"/>
      <c r="K130" s="180"/>
      <c r="L130" s="1082"/>
      <c r="M130" s="1080" t="str" cm="1">
        <f t="array" aca="1" ref="M130" ca="1">OFFSET(L130,-1,1)</f>
        <v>ТЭ.42.26322895.0003</v>
      </c>
      <c r="N130" s="1082" t="s">
        <v>1959</v>
      </c>
      <c r="O130" s="1082"/>
      <c r="P130" s="1082"/>
      <c r="Q130" s="1082"/>
      <c r="R130" s="1082"/>
      <c r="S130" s="1082"/>
      <c r="T130" s="687" t="b" cm="1">
        <f t="array" ref="T130">T129</f>
        <v>1</v>
      </c>
      <c r="U130" s="1153"/>
      <c r="V130" s="1153"/>
      <c r="W130" s="1153"/>
      <c r="X130" s="1726"/>
      <c r="Y130" s="1153"/>
      <c r="Z130" s="1726"/>
      <c r="AA130" s="180"/>
      <c r="AB130" s="733" t="s">
        <v>744</v>
      </c>
      <c r="AC130" s="843" t="s">
        <v>1960</v>
      </c>
      <c r="AD130" s="733" t="s">
        <v>1077</v>
      </c>
      <c r="AE130" s="1398"/>
      <c r="AF130" s="1398"/>
      <c r="AG130" s="1398"/>
      <c r="AH130" s="256">
        <f t="shared" si="5"/>
        <v>0</v>
      </c>
      <c r="AI130" s="1398"/>
      <c r="AJ130" s="517"/>
      <c r="AK130" s="517"/>
      <c r="AL130" s="256">
        <f t="shared" si="7"/>
        <v>0</v>
      </c>
      <c r="AM130" s="1290"/>
      <c r="AN130" s="1290"/>
      <c r="AO130" s="1290"/>
      <c r="AP130" s="180"/>
      <c r="AQ130" s="180"/>
      <c r="AR130" s="1029" t="s">
        <v>1961</v>
      </c>
      <c r="AS130" s="1064"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M10558::ТЭ.42.26322895.0003::Неопределено::110.0.21.::Неопределено::Неопределено::Неопределено::Неопределено::Неопределено</v>
      </c>
    </row>
    <row r="131" spans="1:45" s="1229" customFormat="1" ht="16.5" customHeight="1">
      <c r="A131" s="983"/>
      <c r="B131" s="783"/>
      <c r="C131" s="1094" t="s">
        <v>1858</v>
      </c>
      <c r="D131" s="1053" t="s">
        <v>1859</v>
      </c>
      <c r="E131" s="676">
        <v>17.100000000000001</v>
      </c>
      <c r="F131" s="779" t="str" cm="1">
        <f t="array" aca="1" ref="F131" ca="1">OFFSET(G131,-1,-1)</f>
        <v>1</v>
      </c>
      <c r="G131" s="180"/>
      <c r="H131" s="180"/>
      <c r="I131" s="180"/>
      <c r="J131" s="180"/>
      <c r="K131" s="180"/>
      <c r="L131" s="1082"/>
      <c r="M131" s="1080" t="str" cm="1">
        <f t="array" aca="1" ref="M131" ca="1">OFFSET(L131,-1,1)</f>
        <v>ТЭ.42.26322895.0003</v>
      </c>
      <c r="N131" s="1082" t="s">
        <v>1962</v>
      </c>
      <c r="O131" s="1082"/>
      <c r="P131" s="1082"/>
      <c r="Q131" s="1082"/>
      <c r="R131" s="1082"/>
      <c r="S131" s="1082"/>
      <c r="T131" s="687" t="b" cm="1">
        <f t="array" ref="T131">T130</f>
        <v>1</v>
      </c>
      <c r="U131" s="1153"/>
      <c r="V131" s="1153"/>
      <c r="W131" s="1153"/>
      <c r="X131" s="1726"/>
      <c r="Y131" s="1153"/>
      <c r="Z131" s="1726"/>
      <c r="AA131" s="180"/>
      <c r="AB131" s="733" t="s">
        <v>747</v>
      </c>
      <c r="AC131" s="843" t="s">
        <v>1963</v>
      </c>
      <c r="AD131" s="733" t="s">
        <v>1077</v>
      </c>
      <c r="AE131" s="1398"/>
      <c r="AF131" s="1398"/>
      <c r="AG131" s="1398"/>
      <c r="AH131" s="256">
        <f t="shared" si="5"/>
        <v>0</v>
      </c>
      <c r="AI131" s="1398"/>
      <c r="AJ131" s="517"/>
      <c r="AK131" s="517"/>
      <c r="AL131" s="256">
        <f t="shared" si="7"/>
        <v>0</v>
      </c>
      <c r="AM131" s="1290"/>
      <c r="AN131" s="1290"/>
      <c r="AO131" s="1290"/>
      <c r="AP131" s="180"/>
      <c r="AQ131" s="180"/>
      <c r="AR131" s="1029" t="s">
        <v>1964</v>
      </c>
      <c r="AS131" s="1064"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M10558::ТЭ.42.26322895.0003::Неопределено::110.0.42.::Неопределено::Неопределено::Неопределено::Неопределено::Неопределено</v>
      </c>
    </row>
    <row r="132" spans="1:45" s="1229" customFormat="1" ht="16.5" customHeight="1">
      <c r="A132" s="983"/>
      <c r="B132" s="783"/>
      <c r="C132" s="1094" t="s">
        <v>1858</v>
      </c>
      <c r="D132" s="1053" t="s">
        <v>1859</v>
      </c>
      <c r="E132" s="676">
        <v>17.100000000000001</v>
      </c>
      <c r="F132" s="779" t="str" cm="1">
        <f t="array" aca="1" ref="F132" ca="1">OFFSET(G132,-1,-1)</f>
        <v>1</v>
      </c>
      <c r="G132" s="180"/>
      <c r="H132" s="180"/>
      <c r="I132" s="180"/>
      <c r="J132" s="180"/>
      <c r="K132" s="180"/>
      <c r="L132" s="1082"/>
      <c r="M132" s="1080" t="str" cm="1">
        <f t="array" aca="1" ref="M132" ca="1">OFFSET(L132,-1,1)</f>
        <v>ТЭ.42.26322895.0003</v>
      </c>
      <c r="N132" s="1082"/>
      <c r="O132" s="1082"/>
      <c r="P132" s="1082"/>
      <c r="Q132" s="1082" t="s">
        <v>1965</v>
      </c>
      <c r="R132" s="1082"/>
      <c r="S132" s="1082"/>
      <c r="T132" s="687" t="b" cm="1">
        <f t="array" ref="T132">T131</f>
        <v>1</v>
      </c>
      <c r="U132" s="1153"/>
      <c r="V132" s="1153"/>
      <c r="W132" s="1153"/>
      <c r="X132" s="1726"/>
      <c r="Y132" s="1153"/>
      <c r="Z132" s="1726"/>
      <c r="AA132" s="180"/>
      <c r="AB132" s="733" t="s">
        <v>1966</v>
      </c>
      <c r="AC132" s="843" t="s">
        <v>1967</v>
      </c>
      <c r="AD132" s="733" t="s">
        <v>1077</v>
      </c>
      <c r="AE132" s="1398"/>
      <c r="AF132" s="1398"/>
      <c r="AG132" s="1398"/>
      <c r="AH132" s="256">
        <f t="shared" si="5"/>
        <v>0</v>
      </c>
      <c r="AI132" s="1398"/>
      <c r="AJ132" s="517"/>
      <c r="AK132" s="517"/>
      <c r="AL132" s="256">
        <f t="shared" si="7"/>
        <v>0</v>
      </c>
      <c r="AM132" s="1290"/>
      <c r="AN132" s="1290"/>
      <c r="AO132" s="1290"/>
      <c r="AP132" s="180"/>
      <c r="AQ132" s="180"/>
      <c r="AR132" s="1029" t="s">
        <v>1968</v>
      </c>
      <c r="AS132" s="1064"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M10558::ТЭ.42.26322895.0003::Неопределено::Неопределено::Неопределено::Неопределено::2.0.48.::Неопределено::Неопределено</v>
      </c>
    </row>
    <row r="133" spans="1:45" s="1229" customFormat="1" ht="16.5" customHeight="1">
      <c r="A133" s="983"/>
      <c r="B133" s="783"/>
      <c r="C133" s="1094" t="s">
        <v>1858</v>
      </c>
      <c r="D133" s="1053" t="s">
        <v>1859</v>
      </c>
      <c r="E133" s="676">
        <v>17.100000000000001</v>
      </c>
      <c r="F133" s="779" t="str" cm="1">
        <f t="array" aca="1" ref="F133" ca="1">OFFSET(G133,-1,-1)</f>
        <v>1</v>
      </c>
      <c r="G133" s="180"/>
      <c r="H133" s="180"/>
      <c r="I133" s="180"/>
      <c r="J133" s="180"/>
      <c r="K133" s="180"/>
      <c r="L133" s="1082" t="s">
        <v>1918</v>
      </c>
      <c r="M133" s="1080" t="str" cm="1">
        <f t="array" aca="1" ref="M133" ca="1">OFFSET(L133,-1,1)</f>
        <v>ТЭ.42.26322895.0003</v>
      </c>
      <c r="N133" s="1082" t="s">
        <v>1945</v>
      </c>
      <c r="O133" s="1082"/>
      <c r="P133" s="1082"/>
      <c r="Q133" s="1082"/>
      <c r="R133" s="1082"/>
      <c r="S133" s="1082"/>
      <c r="T133" s="687" t="b" cm="1">
        <f t="array" ref="T133">T132</f>
        <v>1</v>
      </c>
      <c r="U133" s="1153"/>
      <c r="V133" s="1153"/>
      <c r="W133" s="1153"/>
      <c r="X133" s="1726"/>
      <c r="Y133" s="1153"/>
      <c r="Z133" s="1726"/>
      <c r="AA133" s="180"/>
      <c r="AB133" s="733" t="s">
        <v>1969</v>
      </c>
      <c r="AC133" s="843" t="s">
        <v>1325</v>
      </c>
      <c r="AD133" s="733" t="s">
        <v>1077</v>
      </c>
      <c r="AE133" s="1398"/>
      <c r="AF133" s="1398"/>
      <c r="AG133" s="1398"/>
      <c r="AH133" s="256">
        <f t="shared" si="5"/>
        <v>0</v>
      </c>
      <c r="AI133" s="1398"/>
      <c r="AJ133" s="517"/>
      <c r="AK133" s="517"/>
      <c r="AL133" s="256">
        <f t="shared" si="7"/>
        <v>0</v>
      </c>
      <c r="AM133" s="1290"/>
      <c r="AN133" s="1290"/>
      <c r="AO133" s="1290"/>
      <c r="AP133" s="180"/>
      <c r="AQ133" s="180"/>
      <c r="AR133" s="1029" t="s">
        <v>1970</v>
      </c>
      <c r="AS133" s="1064"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M10558::ТЭ.42.26322895.0003::1.0.49.::110.0.32.::Неопределено::Неопределено::Неопределено::Неопределено::Неопределено</v>
      </c>
    </row>
    <row r="134" spans="1:45" s="1229" customFormat="1" ht="16.5" customHeight="1">
      <c r="A134" s="983"/>
      <c r="B134" s="783"/>
      <c r="C134" s="1094" t="s">
        <v>1858</v>
      </c>
      <c r="D134" s="1053" t="s">
        <v>1859</v>
      </c>
      <c r="E134" s="676">
        <v>17.100000000000001</v>
      </c>
      <c r="F134" s="779" t="str" cm="1">
        <f t="array" aca="1" ref="F134" ca="1">OFFSET(G134,-1,-1)</f>
        <v>1</v>
      </c>
      <c r="G134" s="620" t="s">
        <v>1319</v>
      </c>
      <c r="H134" s="180"/>
      <c r="I134" s="180"/>
      <c r="J134" s="180"/>
      <c r="K134" s="180"/>
      <c r="L134" s="1082" t="s">
        <v>1971</v>
      </c>
      <c r="M134" s="1080" t="str" cm="1">
        <f t="array" aca="1" ref="M134" ca="1">OFFSET(L134,-1,1)</f>
        <v>ТЭ.42.26322895.0003</v>
      </c>
      <c r="N134" s="1082"/>
      <c r="O134" s="1082"/>
      <c r="P134" s="1082"/>
      <c r="Q134" s="1082"/>
      <c r="R134" s="1082"/>
      <c r="S134" s="1082"/>
      <c r="T134" s="687" t="b" cm="1">
        <f t="array" ref="T134">T133</f>
        <v>1</v>
      </c>
      <c r="U134" s="1153"/>
      <c r="V134" s="1153"/>
      <c r="W134" s="1153"/>
      <c r="X134" s="1726"/>
      <c r="Y134" s="1153"/>
      <c r="Z134" s="1726"/>
      <c r="AA134" s="180"/>
      <c r="AB134" s="752">
        <v>4</v>
      </c>
      <c r="AC134" s="849" t="s">
        <v>1436</v>
      </c>
      <c r="AD134" s="752" t="s">
        <v>1077</v>
      </c>
      <c r="AE134" s="515">
        <f ca="1">SUMIFS(Налоги!AE$26:AE$69,Налоги!$F$26:$F$69,$F134,Налоги!$G$26:$G$69,$G134)</f>
        <v>0</v>
      </c>
      <c r="AF134" s="515">
        <f ca="1">SUMIFS(Налоги!AF$26:AF$69,Налоги!$F$26:$F$69,$F134,Налоги!$G$26:$G$69,$G134)</f>
        <v>0</v>
      </c>
      <c r="AG134" s="515">
        <f ca="1">SUMIFS(Налоги!AG$26:AG$69,Налоги!$F$26:$F$69,$F134,Налоги!$G$26:$G$69,$G134)</f>
        <v>0</v>
      </c>
      <c r="AH134" s="256">
        <f t="shared" ca="1" si="5"/>
        <v>0</v>
      </c>
      <c r="AI134" s="515">
        <f ca="1">SUMIFS(Налоги!AH$26:AH$69,Налоги!$F$26:$F$69,$F134,Налоги!$G$26:$G$69,$G134)</f>
        <v>0</v>
      </c>
      <c r="AJ134" s="515">
        <f ca="1">SUMIFS(Налоги!AI$26:AI$69,Налоги!$F$26:$F$69,$F134,Налоги!$G$26:$G$69,$G134)</f>
        <v>0</v>
      </c>
      <c r="AK134" s="515">
        <f ca="1">SUMIFS(Налоги!AS$26:AS$69,Налоги!$F$26:$F$69,$F134,Налоги!$G$26:$G$69,$G134)</f>
        <v>0</v>
      </c>
      <c r="AL134" s="256">
        <f t="shared" ca="1" si="7"/>
        <v>0</v>
      </c>
      <c r="AM134" s="1290"/>
      <c r="AN134" s="1290"/>
      <c r="AO134" s="1290"/>
      <c r="AP134" s="180"/>
      <c r="AQ134" s="180"/>
      <c r="AR134" s="1029" t="s">
        <v>614</v>
      </c>
      <c r="AS134" s="1064"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M10558::ТЭ.42.26322895.0003::1.0.91.::Неопределено::Неопределено::Неопределено::Неопределено::Неопределено::Неопределено</v>
      </c>
    </row>
    <row r="135" spans="1:45" s="1229" customFormat="1" ht="33.75" customHeight="1">
      <c r="A135" s="983"/>
      <c r="B135" s="783"/>
      <c r="C135" s="1094" t="s">
        <v>1725</v>
      </c>
      <c r="D135" s="1053" t="s">
        <v>1726</v>
      </c>
      <c r="E135" s="676">
        <v>35</v>
      </c>
      <c r="F135" s="779" t="str" cm="1">
        <f t="array" aca="1" ref="F135" ca="1">OFFSET(G135,-1,-1)</f>
        <v>1</v>
      </c>
      <c r="G135" s="180"/>
      <c r="H135" s="180"/>
      <c r="I135" s="180"/>
      <c r="J135" s="180"/>
      <c r="K135" s="180"/>
      <c r="L135" s="1082"/>
      <c r="M135" s="1080" t="str" cm="1">
        <f t="array" aca="1" ref="M135" ca="1">OFFSET(L135,-1,1)</f>
        <v>ТЭ.42.26322895.0003</v>
      </c>
      <c r="N135" s="1082" t="s">
        <v>1972</v>
      </c>
      <c r="O135" s="1082"/>
      <c r="P135" s="1082"/>
      <c r="Q135" s="1082"/>
      <c r="R135" s="1082"/>
      <c r="S135" s="1082"/>
      <c r="T135" s="687" t="b" cm="1">
        <f t="array" ref="T135">T134</f>
        <v>1</v>
      </c>
      <c r="U135" s="1153"/>
      <c r="V135" s="1153"/>
      <c r="W135" s="1153"/>
      <c r="X135" s="1726"/>
      <c r="Y135" s="1153"/>
      <c r="Z135" s="1726"/>
      <c r="AA135" s="180"/>
      <c r="AB135" s="752">
        <v>5</v>
      </c>
      <c r="AC135" s="849" t="s">
        <v>1973</v>
      </c>
      <c r="AD135" s="752" t="s">
        <v>1077</v>
      </c>
      <c r="AE135" s="1398"/>
      <c r="AF135" s="1398"/>
      <c r="AG135" s="1398"/>
      <c r="AH135" s="256">
        <f t="shared" si="5"/>
        <v>0</v>
      </c>
      <c r="AI135" s="1398"/>
      <c r="AJ135" s="517"/>
      <c r="AK135" s="517"/>
      <c r="AL135" s="256">
        <f t="shared" si="7"/>
        <v>0</v>
      </c>
      <c r="AM135" s="1290"/>
      <c r="AN135" s="1290"/>
      <c r="AO135" s="1290"/>
      <c r="AP135" s="180"/>
      <c r="AQ135" s="180"/>
      <c r="AR135" s="1029" t="s">
        <v>1567</v>
      </c>
      <c r="AS135" s="1064"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M11281::ТЭ.42.26322895.0003::Неопределено::110.0.5.::Неопределено::Неопределено::Неопределено::Неопределено::Неопределено</v>
      </c>
    </row>
    <row r="136" spans="1:45" s="1229" customFormat="1" ht="16.5" customHeight="1">
      <c r="A136" s="983"/>
      <c r="B136" s="783"/>
      <c r="C136" s="1094" t="s">
        <v>1858</v>
      </c>
      <c r="D136" s="1053" t="s">
        <v>1859</v>
      </c>
      <c r="E136" s="676">
        <v>17.100000000000001</v>
      </c>
      <c r="F136" s="779" t="str" cm="1">
        <f t="array" aca="1" ref="F136" ca="1">OFFSET(G136,-1,-1)</f>
        <v>1</v>
      </c>
      <c r="G136" s="180"/>
      <c r="H136" s="180"/>
      <c r="I136" s="180"/>
      <c r="J136" s="180"/>
      <c r="K136" s="180"/>
      <c r="L136" s="1082"/>
      <c r="M136" s="1080" t="str" cm="1">
        <f t="array" aca="1" ref="M136" ca="1">OFFSET(L136,-1,1)</f>
        <v>ТЭ.42.26322895.0003</v>
      </c>
      <c r="N136" s="1082" t="s">
        <v>1974</v>
      </c>
      <c r="O136" s="1082"/>
      <c r="P136" s="1082"/>
      <c r="Q136" s="1082"/>
      <c r="R136" s="1082"/>
      <c r="S136" s="1082"/>
      <c r="T136" s="687" t="b" cm="1">
        <f t="array" ref="T136">T135</f>
        <v>1</v>
      </c>
      <c r="U136" s="1153"/>
      <c r="V136" s="1153"/>
      <c r="W136" s="1153"/>
      <c r="X136" s="1726"/>
      <c r="Y136" s="1153"/>
      <c r="Z136" s="1726"/>
      <c r="AA136" s="180"/>
      <c r="AB136" s="752">
        <v>6</v>
      </c>
      <c r="AC136" s="849" t="s">
        <v>1975</v>
      </c>
      <c r="AD136" s="752" t="s">
        <v>1077</v>
      </c>
      <c r="AE136" s="1398"/>
      <c r="AF136" s="1398"/>
      <c r="AG136" s="1398"/>
      <c r="AH136" s="256">
        <f t="shared" si="5"/>
        <v>0</v>
      </c>
      <c r="AI136" s="1398"/>
      <c r="AJ136" s="517"/>
      <c r="AK136" s="517"/>
      <c r="AL136" s="256">
        <f t="shared" si="7"/>
        <v>0</v>
      </c>
      <c r="AM136" s="1290"/>
      <c r="AN136" s="1290"/>
      <c r="AO136" s="1290"/>
      <c r="AP136" s="180"/>
      <c r="AQ136" s="180"/>
      <c r="AR136" s="1029" t="s">
        <v>1438</v>
      </c>
      <c r="AS136" s="1064"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M10558::ТЭ.42.26322895.0003::Неопределено::110.0.22.::Неопределено::Неопределено::Неопределено::Неопределено::Неопределено</v>
      </c>
    </row>
    <row r="137" spans="1:45" s="1229" customFormat="1" ht="16.5" customHeight="1">
      <c r="A137" s="983"/>
      <c r="B137" s="783"/>
      <c r="C137" s="1094" t="s">
        <v>1753</v>
      </c>
      <c r="D137" s="1053" t="s">
        <v>1754</v>
      </c>
      <c r="E137" s="676">
        <v>17.100000000000001</v>
      </c>
      <c r="F137" s="779" t="str" cm="1">
        <f t="array" aca="1" ref="F137" ca="1">OFFSET(G137,-1,-1)</f>
        <v>1</v>
      </c>
      <c r="G137" s="180"/>
      <c r="H137" s="180"/>
      <c r="I137" s="180"/>
      <c r="J137" s="180"/>
      <c r="K137" s="180"/>
      <c r="L137" s="1082"/>
      <c r="M137" s="1080" t="str" cm="1">
        <f t="array" aca="1" ref="M137" ca="1">OFFSET(L137,-1,1)</f>
        <v>ТЭ.42.26322895.0003</v>
      </c>
      <c r="N137" s="1082"/>
      <c r="O137" s="1082"/>
      <c r="P137" s="1082"/>
      <c r="Q137" s="1082"/>
      <c r="R137" s="1082"/>
      <c r="S137" s="1082"/>
      <c r="T137" s="687" t="b" cm="1">
        <f t="array" ref="T137">T136</f>
        <v>1</v>
      </c>
      <c r="U137" s="1153"/>
      <c r="V137" s="1153"/>
      <c r="W137" s="1153"/>
      <c r="X137" s="1726"/>
      <c r="Y137" s="1153"/>
      <c r="Z137" s="1726"/>
      <c r="AA137" s="180"/>
      <c r="AB137" s="850" t="s">
        <v>451</v>
      </c>
      <c r="AC137" s="851" t="s">
        <v>1755</v>
      </c>
      <c r="AD137" s="852" t="s">
        <v>1077</v>
      </c>
      <c r="AE137" s="515">
        <f ca="1">AE95+AE122+AE129+AE134+AE135+AE136</f>
        <v>0</v>
      </c>
      <c r="AF137" s="515">
        <f ca="1">AF95+AF122+AF129+AF134+AF135+AF136</f>
        <v>0</v>
      </c>
      <c r="AG137" s="515">
        <f ca="1">AG95+AG122+AG129+AG134+AG135+AG136</f>
        <v>0</v>
      </c>
      <c r="AH137" s="256">
        <f t="shared" ca="1" si="5"/>
        <v>0</v>
      </c>
      <c r="AI137" s="515">
        <f ca="1">AI95+AI122+AI129+AI134+AI135+AI136</f>
        <v>202638.03623918744</v>
      </c>
      <c r="AJ137" s="515">
        <f ca="1">AJ95+AJ122+AJ129+AJ134+AJ135+AJ136</f>
        <v>0</v>
      </c>
      <c r="AK137" s="515">
        <f ca="1">AK95+AK122+AK129+AK134+AK135+AK136</f>
        <v>260153.91234096265</v>
      </c>
      <c r="AL137" s="256">
        <f t="shared" ca="1" si="7"/>
        <v>28.383553832847706</v>
      </c>
      <c r="AM137" s="1290"/>
      <c r="AN137" s="1290"/>
      <c r="AO137" s="1290"/>
      <c r="AP137" s="180"/>
      <c r="AQ137" s="180"/>
      <c r="AR137" s="1029" t="s">
        <v>1976</v>
      </c>
      <c r="AS137" s="1064"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M10655::ТЭ.42.26322895.0003::Неопределено::Неопределено::Неопределено::Неопределено::Неопределено::Неопределено::Неопределено</v>
      </c>
    </row>
    <row r="138" spans="1:45" s="1229" customFormat="1" ht="48.75" customHeight="1">
      <c r="A138" s="983"/>
      <c r="B138" s="783"/>
      <c r="C138" s="1094" t="s">
        <v>1757</v>
      </c>
      <c r="D138" s="1053" t="s">
        <v>1758</v>
      </c>
      <c r="E138" s="676">
        <v>50</v>
      </c>
      <c r="F138" s="779" t="str" cm="1">
        <f t="array" aca="1" ref="F138" ca="1">OFFSET(G138,-1,-1)</f>
        <v>1</v>
      </c>
      <c r="G138" s="180"/>
      <c r="H138" s="180"/>
      <c r="I138" s="180"/>
      <c r="J138" s="180"/>
      <c r="K138" s="180"/>
      <c r="L138" s="1082"/>
      <c r="M138" s="1080" t="str" cm="1">
        <f t="array" aca="1" ref="M138" ca="1">OFFSET(L138,-1,1)</f>
        <v>ТЭ.42.26322895.0003</v>
      </c>
      <c r="N138" s="1082"/>
      <c r="O138" s="1082"/>
      <c r="P138" s="1082"/>
      <c r="Q138" s="1082"/>
      <c r="R138" s="1082"/>
      <c r="S138" s="1082"/>
      <c r="T138" s="687" t="b" cm="1">
        <f t="array" ref="T138">T137</f>
        <v>1</v>
      </c>
      <c r="U138" s="1153"/>
      <c r="V138" s="1153"/>
      <c r="W138" s="1153"/>
      <c r="X138" s="1726"/>
      <c r="Y138" s="1153"/>
      <c r="Z138" s="1726"/>
      <c r="AA138" s="180"/>
      <c r="AB138" s="853" t="s">
        <v>454</v>
      </c>
      <c r="AC138" s="903" t="s">
        <v>1757</v>
      </c>
      <c r="AD138" s="733" t="s">
        <v>1077</v>
      </c>
      <c r="AE138" s="1398"/>
      <c r="AF138" s="1398"/>
      <c r="AG138" s="1398"/>
      <c r="AH138" s="256">
        <f t="shared" si="5"/>
        <v>0</v>
      </c>
      <c r="AI138" s="1398"/>
      <c r="AJ138" s="517"/>
      <c r="AK138" s="517"/>
      <c r="AL138" s="256">
        <f t="shared" si="7"/>
        <v>0</v>
      </c>
      <c r="AM138" s="1290"/>
      <c r="AN138" s="1290"/>
      <c r="AO138" s="1290"/>
      <c r="AP138" s="180"/>
      <c r="AQ138" s="180"/>
      <c r="AR138" s="1029" t="s">
        <v>1977</v>
      </c>
      <c r="AS138" s="1064"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M11579::ТЭ.42.26322895.0003::Неопределено::Неопределено::Неопределено::Неопределено::Неопределено::Неопределено::Неопределено</v>
      </c>
    </row>
    <row r="139" spans="1:45" s="1229" customFormat="1" ht="16.5" customHeight="1">
      <c r="A139" s="983"/>
      <c r="B139" s="783"/>
      <c r="C139" s="1094" t="s">
        <v>1760</v>
      </c>
      <c r="D139" s="1053" t="s">
        <v>1761</v>
      </c>
      <c r="E139" s="676">
        <v>17.100000000000001</v>
      </c>
      <c r="F139" s="779" t="str" cm="1">
        <f t="array" aca="1" ref="F139" ca="1">OFFSET(G139,-1,-1)</f>
        <v>1</v>
      </c>
      <c r="G139" s="180"/>
      <c r="H139" s="180"/>
      <c r="I139" s="180"/>
      <c r="J139" s="180"/>
      <c r="K139" s="180"/>
      <c r="L139" s="1082"/>
      <c r="M139" s="1080" t="str" cm="1">
        <f t="array" aca="1" ref="M139" ca="1">OFFSET(L139,-1,1)</f>
        <v>ТЭ.42.26322895.0003</v>
      </c>
      <c r="N139" s="1082"/>
      <c r="O139" s="1082"/>
      <c r="P139" s="1082"/>
      <c r="Q139" s="1082"/>
      <c r="R139" s="1082"/>
      <c r="S139" s="1082"/>
      <c r="T139" s="687" t="b" cm="1">
        <f t="array" ref="T139">T138</f>
        <v>1</v>
      </c>
      <c r="U139" s="1153"/>
      <c r="V139" s="1153"/>
      <c r="W139" s="1153"/>
      <c r="X139" s="1726"/>
      <c r="Y139" s="1153"/>
      <c r="Z139" s="1726"/>
      <c r="AA139" s="180"/>
      <c r="AB139" s="545" t="s">
        <v>457</v>
      </c>
      <c r="AC139" s="895" t="s">
        <v>1764</v>
      </c>
      <c r="AD139" s="854" t="s">
        <v>1077</v>
      </c>
      <c r="AE139" s="515">
        <f ca="1">AE137+AE138</f>
        <v>0</v>
      </c>
      <c r="AF139" s="515">
        <f ca="1">AF137+AF138</f>
        <v>0</v>
      </c>
      <c r="AG139" s="515">
        <f ca="1">AG137+AG138</f>
        <v>0</v>
      </c>
      <c r="AH139" s="256">
        <f t="shared" ca="1" si="5"/>
        <v>0</v>
      </c>
      <c r="AI139" s="515">
        <f ca="1">AI137+AI138</f>
        <v>202638.03623918744</v>
      </c>
      <c r="AJ139" s="515">
        <f ca="1">AJ137+AJ138</f>
        <v>0</v>
      </c>
      <c r="AK139" s="515">
        <f ca="1">AK137+AK138</f>
        <v>260153.91234096265</v>
      </c>
      <c r="AL139" s="256">
        <f t="shared" ca="1" si="7"/>
        <v>28.383553832847706</v>
      </c>
      <c r="AM139" s="1290"/>
      <c r="AN139" s="1290"/>
      <c r="AO139" s="1290"/>
      <c r="AP139" s="180"/>
      <c r="AQ139" s="180"/>
      <c r="AR139" s="1029" t="s">
        <v>1978</v>
      </c>
      <c r="AS139" s="1064"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M11580::ТЭ.42.26322895.0003::Неопределено::Неопределено::Неопределено::Неопределено::Неопределено::Неопределено::Неопределено</v>
      </c>
    </row>
    <row r="140" spans="1:45" s="1229" customFormat="1" ht="16.5" hidden="1" customHeight="1">
      <c r="A140" s="983"/>
      <c r="B140" s="783"/>
      <c r="C140" s="1094" t="s">
        <v>1766</v>
      </c>
      <c r="D140" s="1053" t="s">
        <v>1767</v>
      </c>
      <c r="E140" s="676">
        <v>17.100000000000001</v>
      </c>
      <c r="F140" s="779" t="str" cm="1">
        <f t="array" aca="1" ref="F140" ca="1">OFFSET(G140,-1,-1)</f>
        <v>1</v>
      </c>
      <c r="G140" s="180"/>
      <c r="H140" s="143" t="str" cm="1">
        <f t="array" ref="H140">G94</f>
        <v>одноставочный</v>
      </c>
      <c r="I140" s="180"/>
      <c r="J140" s="180"/>
      <c r="K140" s="180"/>
      <c r="L140" s="1082"/>
      <c r="M140" s="1080" t="str" cm="1">
        <f t="array" aca="1" ref="M140" ca="1">OFFSET(L140,-1,1)</f>
        <v>ТЭ.42.26322895.0003</v>
      </c>
      <c r="N140" s="1082"/>
      <c r="O140" s="1082"/>
      <c r="P140" s="1082"/>
      <c r="Q140" s="1082"/>
      <c r="R140" s="1082"/>
      <c r="S140" s="1082"/>
      <c r="T140" s="687" t="b">
        <f ca="1">AND(F140&gt;0,H140="двухставочный")</f>
        <v>0</v>
      </c>
      <c r="U140" s="1153"/>
      <c r="V140" s="1153"/>
      <c r="W140" s="1153"/>
      <c r="X140" s="1726"/>
      <c r="Y140" s="1153"/>
      <c r="Z140" s="1726"/>
      <c r="AA140" s="180"/>
      <c r="AB140" s="553" t="str">
        <f>AB139&amp;".1"</f>
        <v>9.1</v>
      </c>
      <c r="AC140" s="519" t="s">
        <v>1769</v>
      </c>
      <c r="AD140" s="258" t="s">
        <v>839</v>
      </c>
      <c r="AE140" s="77"/>
      <c r="AF140" s="77"/>
      <c r="AG140" s="77"/>
      <c r="AH140" s="256">
        <f t="shared" si="5"/>
        <v>0</v>
      </c>
      <c r="AI140" s="77"/>
      <c r="AJ140" s="517"/>
      <c r="AK140" s="517"/>
      <c r="AL140" s="256">
        <f t="shared" si="7"/>
        <v>0</v>
      </c>
      <c r="AM140" s="28"/>
      <c r="AN140" s="28"/>
      <c r="AO140" s="28"/>
      <c r="AP140" s="180"/>
      <c r="AQ140" s="180"/>
      <c r="AR140" s="1029" t="s">
        <v>1979</v>
      </c>
      <c r="AS140" s="1064"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M11581::ТЭ.42.26322895.0003::Неопределено::Неопределено::Неопределено::Неопределено::Неопределено::Неопределено::Неопределено</v>
      </c>
    </row>
    <row r="141" spans="1:45" s="1229" customFormat="1" ht="16.5" hidden="1" customHeight="1">
      <c r="A141" s="983"/>
      <c r="B141" s="783"/>
      <c r="C141" s="1094" t="s">
        <v>1771</v>
      </c>
      <c r="D141" s="1053" t="s">
        <v>1772</v>
      </c>
      <c r="E141" s="676">
        <v>17.100000000000001</v>
      </c>
      <c r="F141" s="779" t="str" cm="1">
        <f t="array" aca="1" ref="F141" ca="1">OFFSET(G141,-1,-1)</f>
        <v>1</v>
      </c>
      <c r="G141" s="180"/>
      <c r="H141" s="143" t="str" cm="1">
        <f t="array" ref="H141">G94</f>
        <v>одноставочный</v>
      </c>
      <c r="I141" s="180"/>
      <c r="J141" s="180"/>
      <c r="K141" s="180"/>
      <c r="L141" s="1082"/>
      <c r="M141" s="1080" t="str" cm="1">
        <f t="array" aca="1" ref="M141" ca="1">OFFSET(L141,-1,1)</f>
        <v>ТЭ.42.26322895.0003</v>
      </c>
      <c r="N141" s="1082"/>
      <c r="O141" s="1082"/>
      <c r="P141" s="1082"/>
      <c r="Q141" s="1082"/>
      <c r="R141" s="1082"/>
      <c r="S141" s="1082"/>
      <c r="T141" s="687" t="b">
        <f ca="1">AND(F141&gt;0,H141="двухставочный")</f>
        <v>0</v>
      </c>
      <c r="U141" s="1153"/>
      <c r="V141" s="1153"/>
      <c r="W141" s="1153"/>
      <c r="X141" s="1726"/>
      <c r="Y141" s="1153"/>
      <c r="Z141" s="1726"/>
      <c r="AA141" s="180"/>
      <c r="AB141" s="553" t="str">
        <f>AB139&amp;".2"</f>
        <v>9.2</v>
      </c>
      <c r="AC141" s="519" t="s">
        <v>1771</v>
      </c>
      <c r="AD141" s="258" t="s">
        <v>839</v>
      </c>
      <c r="AE141" s="515">
        <f ca="1">AE139-AE140</f>
        <v>0</v>
      </c>
      <c r="AF141" s="515">
        <f ca="1">AF139-AF140</f>
        <v>0</v>
      </c>
      <c r="AG141" s="515">
        <f ca="1">AG139-AG140</f>
        <v>0</v>
      </c>
      <c r="AH141" s="256">
        <f t="shared" ca="1" si="5"/>
        <v>0</v>
      </c>
      <c r="AI141" s="515">
        <f ca="1">AI139-AI140</f>
        <v>202638.03623918744</v>
      </c>
      <c r="AJ141" s="515">
        <f ca="1">AJ139-AJ140</f>
        <v>0</v>
      </c>
      <c r="AK141" s="515">
        <f ca="1">AK139-AK140</f>
        <v>260153.91234096265</v>
      </c>
      <c r="AL141" s="256">
        <f t="shared" ca="1" si="7"/>
        <v>28.383553832847706</v>
      </c>
      <c r="AM141" s="28"/>
      <c r="AN141" s="28"/>
      <c r="AO141" s="28"/>
      <c r="AP141" s="180"/>
      <c r="AQ141" s="180"/>
      <c r="AR141" s="1029" t="s">
        <v>1980</v>
      </c>
      <c r="AS141" s="1064"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M11582::ТЭ.42.26322895.0003::Неопределено::Неопределено::Неопределено::Неопределено::Неопределено::Неопределено::Неопределено</v>
      </c>
    </row>
    <row r="142" spans="1:45" s="1229" customFormat="1" ht="16.5" customHeight="1">
      <c r="A142" s="983"/>
      <c r="B142" s="783"/>
      <c r="C142" s="1094" t="s">
        <v>1774</v>
      </c>
      <c r="D142" s="1053" t="s">
        <v>1775</v>
      </c>
      <c r="E142" s="676">
        <v>17.100000000000001</v>
      </c>
      <c r="F142" s="779" t="str" cm="1">
        <f t="array" aca="1" ref="F142" ca="1">OFFSET(G142,-1,-1)</f>
        <v>1</v>
      </c>
      <c r="G142" s="180"/>
      <c r="H142" s="180"/>
      <c r="I142" s="180"/>
      <c r="J142" s="180"/>
      <c r="K142" s="180"/>
      <c r="L142" s="1082"/>
      <c r="M142" s="1080" t="str" cm="1">
        <f t="array" aca="1" ref="M142" ca="1">OFFSET(L142,-1,1)</f>
        <v>ТЭ.42.26322895.0003</v>
      </c>
      <c r="N142" s="1082"/>
      <c r="O142" s="1082"/>
      <c r="P142" s="1082"/>
      <c r="Q142" s="1082"/>
      <c r="R142" s="1082"/>
      <c r="S142" s="1082"/>
      <c r="T142" s="687" t="b" cm="1">
        <f t="array" ref="T142">T139</f>
        <v>1</v>
      </c>
      <c r="U142" s="1153"/>
      <c r="V142" s="1153"/>
      <c r="W142" s="1153"/>
      <c r="X142" s="1726"/>
      <c r="Y142" s="1153"/>
      <c r="Z142" s="1726"/>
      <c r="AA142" s="180"/>
      <c r="AB142" s="263" t="s">
        <v>460</v>
      </c>
      <c r="AC142" s="259" t="s">
        <v>1777</v>
      </c>
      <c r="AD142" s="264" t="s">
        <v>634</v>
      </c>
      <c r="AE142" s="256">
        <f ca="1">IF($K94="передача тепловой энергии",SUMIFS('Баланс Тр'!AE$27:AE$50,'Баланс Тр'!$F$27:$F$50,$F142,'Баланс Тр'!$AB$27:$AB$50,"3"),SUMIFS('Баланс Пр'!AE$27:AE$233,'Баланс Пр'!$F$27:$F$233,$F142,'Баланс Пр'!$AB$27:$AB$233,"9.1"))</f>
        <v>0</v>
      </c>
      <c r="AF142" s="516"/>
      <c r="AG142" s="516"/>
      <c r="AH142" s="319"/>
      <c r="AI142" s="256">
        <f ca="1">IF($K94="передача тепловой энергии",SUMIFS('Баланс Тр'!AH$27:AH$50,'Баланс Тр'!$F$27:$F$50,$F142,'Баланс Тр'!$AB$27:$AB$50,"3"),SUMIFS('Баланс Пр'!AH$27:AH$233,'Баланс Пр'!$F$27:$F$233,$F142,'Баланс Пр'!$AB$27:$AB$233,"9.1"))</f>
        <v>129275</v>
      </c>
      <c r="AJ142" s="256">
        <f ca="1">IF($K94="передача тепловой энергии",SUMIFS('Баланс Тр'!AI$27:AI$50,'Баланс Тр'!$F$27:$F$50,$F142,'Баланс Тр'!$AB$27:$AB$50,"3"),SUMIFS('Баланс Пр'!AI$27:AI$233,'Баланс Пр'!$F$27:$F$233,$F142,'Баланс Пр'!$AB$27:$AB$233,"9.1"))</f>
        <v>0</v>
      </c>
      <c r="AK142" s="256">
        <f ca="1">IF($K94="передача тепловой энергии",SUMIFS('Баланс Тр'!AS$27:AS$50,'Баланс Тр'!$F$27:$F$50,$F142,'Баланс Тр'!$AB$27:$AB$50,"3"),SUMIFS('Баланс Пр'!AS$27:AS$233,'Баланс Пр'!$F$27:$F$233,$F142,'Баланс Пр'!$AB$27:$AB$233,"9.1"))</f>
        <v>129752.10999999999</v>
      </c>
      <c r="AL142" s="256">
        <f t="shared" ca="1" si="7"/>
        <v>0.36906594469153819</v>
      </c>
      <c r="AM142" s="1290"/>
      <c r="AN142" s="1290"/>
      <c r="AO142" s="1290"/>
      <c r="AP142" s="180"/>
      <c r="AQ142" s="180"/>
      <c r="AR142" s="1029" t="s">
        <v>1778</v>
      </c>
      <c r="AS142" s="1064"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M10502::ТЭ.42.26322895.0003::Неопределено::Неопределено::Неопределено::Неопределено::Неопределено::Неопределено::Неопределено</v>
      </c>
    </row>
    <row r="143" spans="1:45" s="1434" customFormat="1" ht="16.5" customHeight="1">
      <c r="A143" s="185"/>
      <c r="B143" s="185"/>
      <c r="C143" s="1094" t="s">
        <v>1779</v>
      </c>
      <c r="D143" s="1053" t="s">
        <v>1780</v>
      </c>
      <c r="E143" s="676">
        <v>17.100000000000001</v>
      </c>
      <c r="F143" s="779" t="str" cm="1">
        <f t="array" aca="1" ref="F143" ca="1">OFFSET(G143,-1,-1)</f>
        <v>1</v>
      </c>
      <c r="G143" s="143" t="s">
        <v>1781</v>
      </c>
      <c r="H143" s="185"/>
      <c r="I143" s="185"/>
      <c r="J143" s="185"/>
      <c r="K143" s="185"/>
      <c r="L143" s="1090"/>
      <c r="M143" s="1080" t="str" cm="1">
        <f t="array" aca="1" ref="M143" ca="1">OFFSET(L143,-1,1)</f>
        <v>ТЭ.42.26322895.0003</v>
      </c>
      <c r="N143" s="1090"/>
      <c r="O143" s="1090"/>
      <c r="P143" s="1090"/>
      <c r="Q143" s="1082"/>
      <c r="R143" s="1082"/>
      <c r="S143" s="1082" t="s">
        <v>1782</v>
      </c>
      <c r="T143" s="687" t="b" cm="1">
        <f t="array" ref="T143">T142</f>
        <v>1</v>
      </c>
      <c r="U143" s="185"/>
      <c r="V143" s="185"/>
      <c r="W143" s="185"/>
      <c r="X143" s="1823"/>
      <c r="Y143" s="185"/>
      <c r="Z143" s="1823"/>
      <c r="AA143" s="185"/>
      <c r="AB143" s="553" t="str">
        <f>AB142&amp;".1"</f>
        <v>10.1</v>
      </c>
      <c r="AC143" s="236" t="s">
        <v>1783</v>
      </c>
      <c r="AD143" s="258" t="s">
        <v>634</v>
      </c>
      <c r="AE143" s="1398"/>
      <c r="AF143" s="516"/>
      <c r="AG143" s="516"/>
      <c r="AH143" s="319"/>
      <c r="AI143" s="1398"/>
      <c r="AJ143" s="517"/>
      <c r="AK143" s="517"/>
      <c r="AL143" s="256">
        <f t="shared" si="7"/>
        <v>0</v>
      </c>
      <c r="AM143" s="1290"/>
      <c r="AN143" s="1290"/>
      <c r="AO143" s="1290"/>
      <c r="AP143" s="185"/>
      <c r="AQ143" s="185"/>
      <c r="AR143" s="1029" t="s">
        <v>1784</v>
      </c>
      <c r="AS143" s="1064"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M10670::ТЭ.42.26322895.0003::Неопределено::Неопределено::Неопределено::Неопределено::Неопределено::Неопределено::8.0.3.</v>
      </c>
    </row>
    <row r="144" spans="1:45" s="1435" customFormat="1" ht="16.5" customHeight="1">
      <c r="A144" s="185"/>
      <c r="B144" s="185"/>
      <c r="C144" s="1094" t="s">
        <v>1785</v>
      </c>
      <c r="D144" s="1053" t="s">
        <v>1786</v>
      </c>
      <c r="E144" s="676">
        <v>17.100000000000001</v>
      </c>
      <c r="F144" s="779" t="str" cm="1">
        <f t="array" aca="1" ref="F144" ca="1">OFFSET(G144,-1,-1)</f>
        <v>1</v>
      </c>
      <c r="G144" s="620" t="s">
        <v>1787</v>
      </c>
      <c r="H144" s="185"/>
      <c r="I144" s="185"/>
      <c r="J144" s="185"/>
      <c r="K144" s="185"/>
      <c r="L144" s="1090"/>
      <c r="M144" s="1080" t="str" cm="1">
        <f t="array" aca="1" ref="M144" ca="1">OFFSET(L144,-1,1)</f>
        <v>ТЭ.42.26322895.0003</v>
      </c>
      <c r="N144" s="1090"/>
      <c r="O144" s="1090"/>
      <c r="P144" s="1090"/>
      <c r="Q144" s="1082"/>
      <c r="R144" s="1082"/>
      <c r="S144" s="1082" t="s">
        <v>1782</v>
      </c>
      <c r="T144" s="687" t="b" cm="1">
        <f t="array" ref="T144">T143</f>
        <v>1</v>
      </c>
      <c r="U144" s="185"/>
      <c r="V144" s="185"/>
      <c r="W144" s="185"/>
      <c r="X144" s="1823"/>
      <c r="Y144" s="185"/>
      <c r="Z144" s="1823"/>
      <c r="AA144" s="185"/>
      <c r="AB144" s="553" t="str">
        <f>AB142&amp;".2"</f>
        <v>10.2</v>
      </c>
      <c r="AC144" s="236" t="s">
        <v>1788</v>
      </c>
      <c r="AD144" s="258" t="s">
        <v>929</v>
      </c>
      <c r="AE144" s="1398"/>
      <c r="AF144" s="516"/>
      <c r="AG144" s="516"/>
      <c r="AH144" s="319"/>
      <c r="AI144" s="1398"/>
      <c r="AJ144" s="517"/>
      <c r="AK144" s="517"/>
      <c r="AL144" s="256">
        <f t="shared" si="7"/>
        <v>0</v>
      </c>
      <c r="AM144" s="1290"/>
      <c r="AN144" s="1290"/>
      <c r="AO144" s="1290"/>
      <c r="AP144" s="185"/>
      <c r="AQ144" s="185"/>
      <c r="AR144" s="1029" t="s">
        <v>1789</v>
      </c>
      <c r="AS144" s="1064"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M10546::ТЭ.42.26322895.0003::Неопределено::Неопределено::Неопределено::Неопределено::Неопределено::Неопределено::8.0.3.</v>
      </c>
    </row>
    <row r="145" spans="1:45" s="1229" customFormat="1" ht="16.5" customHeight="1">
      <c r="A145" s="983"/>
      <c r="B145" s="783"/>
      <c r="C145" s="1094" t="s">
        <v>1779</v>
      </c>
      <c r="D145" s="1053" t="s">
        <v>1780</v>
      </c>
      <c r="E145" s="676">
        <v>17.100000000000001</v>
      </c>
      <c r="F145" s="779" t="str" cm="1">
        <f t="array" aca="1" ref="F145" ca="1">OFFSET(G145,-1,-1)</f>
        <v>1</v>
      </c>
      <c r="G145" s="143" t="s">
        <v>1790</v>
      </c>
      <c r="H145" s="180"/>
      <c r="I145" s="180"/>
      <c r="J145" s="180"/>
      <c r="K145" s="180"/>
      <c r="L145" s="1082"/>
      <c r="M145" s="1080" t="str" cm="1">
        <f t="array" aca="1" ref="M145" ca="1">OFFSET(L145,-1,1)</f>
        <v>ТЭ.42.26322895.0003</v>
      </c>
      <c r="N145" s="1082"/>
      <c r="O145" s="1082"/>
      <c r="P145" s="1082"/>
      <c r="Q145" s="1082"/>
      <c r="R145" s="1082"/>
      <c r="S145" s="1082" t="s">
        <v>1791</v>
      </c>
      <c r="T145" s="687" t="b" cm="1">
        <f t="array" ref="T145">T144</f>
        <v>1</v>
      </c>
      <c r="U145" s="1153"/>
      <c r="V145" s="1153"/>
      <c r="W145" s="1153"/>
      <c r="X145" s="1726"/>
      <c r="Y145" s="1153"/>
      <c r="Z145" s="1726"/>
      <c r="AA145" s="180"/>
      <c r="AB145" s="553" t="str">
        <f>AB142&amp;".3"</f>
        <v>10.3</v>
      </c>
      <c r="AC145" s="236" t="s">
        <v>1792</v>
      </c>
      <c r="AD145" s="258" t="s">
        <v>634</v>
      </c>
      <c r="AE145" s="860">
        <f ca="1">AE142-AE143</f>
        <v>0</v>
      </c>
      <c r="AF145" s="516"/>
      <c r="AG145" s="516"/>
      <c r="AH145" s="319"/>
      <c r="AI145" s="860">
        <f ca="1">AI142-AI143</f>
        <v>129275</v>
      </c>
      <c r="AJ145" s="860">
        <f ca="1">AJ142-AJ143</f>
        <v>0</v>
      </c>
      <c r="AK145" s="860">
        <f ca="1">AK142-AK143</f>
        <v>129752.10999999999</v>
      </c>
      <c r="AL145" s="256">
        <f t="shared" ca="1" si="7"/>
        <v>0.36906594469153819</v>
      </c>
      <c r="AM145" s="1296"/>
      <c r="AN145" s="1296"/>
      <c r="AO145" s="1296"/>
      <c r="AP145" s="180"/>
      <c r="AQ145" s="180"/>
      <c r="AR145" s="1029" t="s">
        <v>1793</v>
      </c>
      <c r="AS145" s="1064"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M10670::ТЭ.42.26322895.0003::Неопределено::Неопределено::Неопределено::Неопределено::Неопределено::Неопределено::8.0.5.</v>
      </c>
    </row>
    <row r="146" spans="1:45" s="1229" customFormat="1" ht="16.5" customHeight="1">
      <c r="A146" s="983"/>
      <c r="B146" s="783"/>
      <c r="C146" s="1094" t="s">
        <v>1785</v>
      </c>
      <c r="D146" s="1053" t="s">
        <v>1786</v>
      </c>
      <c r="E146" s="676">
        <v>17.100000000000001</v>
      </c>
      <c r="F146" s="779" t="str" cm="1">
        <f t="array" aca="1" ref="F146" ca="1">OFFSET(G146,-1,-1)</f>
        <v>1</v>
      </c>
      <c r="G146" s="620" t="s">
        <v>1794</v>
      </c>
      <c r="H146" s="180"/>
      <c r="I146" s="180"/>
      <c r="J146" s="180"/>
      <c r="K146" s="180"/>
      <c r="L146" s="1082"/>
      <c r="M146" s="1080" t="str" cm="1">
        <f t="array" aca="1" ref="M146" ca="1">OFFSET(L146,-1,1)</f>
        <v>ТЭ.42.26322895.0003</v>
      </c>
      <c r="N146" s="1082"/>
      <c r="O146" s="1082"/>
      <c r="P146" s="1082"/>
      <c r="Q146" s="1082"/>
      <c r="R146" s="1082"/>
      <c r="S146" s="1082" t="s">
        <v>1791</v>
      </c>
      <c r="T146" s="687" t="b" cm="1">
        <f t="array" ref="T146">T145</f>
        <v>1</v>
      </c>
      <c r="U146" s="1153"/>
      <c r="V146" s="1153"/>
      <c r="W146" s="1153"/>
      <c r="X146" s="1726"/>
      <c r="Y146" s="1153"/>
      <c r="Z146" s="1726"/>
      <c r="AA146" s="180"/>
      <c r="AB146" s="553" t="str">
        <f>AB142&amp;".4"</f>
        <v>10.4</v>
      </c>
      <c r="AC146" s="236" t="s">
        <v>1795</v>
      </c>
      <c r="AD146" s="258" t="s">
        <v>929</v>
      </c>
      <c r="AE146" s="1398">
        <f ca="1">IFERROR((AE139*1000-AE143*AE144)/AE145,0)</f>
        <v>0</v>
      </c>
      <c r="AF146" s="516"/>
      <c r="AG146" s="516"/>
      <c r="AH146" s="319"/>
      <c r="AI146" s="1398">
        <f ca="1">IFERROR((AI139*1000-AI143*AI144)/AI145,0)</f>
        <v>1567.4959291370137</v>
      </c>
      <c r="AJ146" s="517">
        <f ca="1">IFERROR((AJ139*1000-AJ143*AJ144)/AJ145,0)</f>
        <v>0</v>
      </c>
      <c r="AK146" s="517">
        <f ca="1">IFERROR((AK139*1000-AK143*AK144)/AK145,0)</f>
        <v>2005.0071813164554</v>
      </c>
      <c r="AL146" s="256">
        <f t="shared" ca="1" si="7"/>
        <v>27.911476135080871</v>
      </c>
      <c r="AM146" s="1297"/>
      <c r="AN146" s="1297"/>
      <c r="AO146" s="1297"/>
      <c r="AP146" s="180"/>
      <c r="AQ146" s="180"/>
      <c r="AR146" s="1029" t="s">
        <v>1796</v>
      </c>
      <c r="AS146" s="1064"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M10546::ТЭ.42.26322895.0003::Неопределено::Неопределено::Неопределено::Неопределено::Неопределено::Неопределено::8.0.5.</v>
      </c>
    </row>
    <row r="147" spans="1:45" s="1436" customFormat="1" ht="16.5" customHeight="1">
      <c r="A147" s="543"/>
      <c r="B147" s="543"/>
      <c r="C147" s="1094" t="s">
        <v>1797</v>
      </c>
      <c r="D147" s="1053" t="s">
        <v>1798</v>
      </c>
      <c r="E147" s="676">
        <v>17.100000000000001</v>
      </c>
      <c r="F147" s="779" t="str" cm="1">
        <f t="array" aca="1" ref="F147" ca="1">OFFSET(G147,-1,-1)</f>
        <v>1</v>
      </c>
      <c r="G147" s="543"/>
      <c r="H147" s="543"/>
      <c r="I147" s="543"/>
      <c r="J147" s="543"/>
      <c r="K147" s="543"/>
      <c r="L147" s="1082"/>
      <c r="M147" s="1080" t="str" cm="1">
        <f t="array" aca="1" ref="M147" ca="1">OFFSET(L147,-1,1)</f>
        <v>ТЭ.42.26322895.0003</v>
      </c>
      <c r="N147" s="1082"/>
      <c r="O147" s="1082"/>
      <c r="P147" s="1082"/>
      <c r="Q147" s="1082"/>
      <c r="R147" s="1082"/>
      <c r="S147" s="1082"/>
      <c r="T147" s="687" t="b" cm="1">
        <f t="array" ref="T147">T146</f>
        <v>1</v>
      </c>
      <c r="U147" s="543"/>
      <c r="V147" s="543"/>
      <c r="W147" s="543"/>
      <c r="X147" s="1837"/>
      <c r="Y147" s="543"/>
      <c r="Z147" s="1837"/>
      <c r="AA147" s="543"/>
      <c r="AB147" s="553" t="str">
        <f>AB142&amp;".5"</f>
        <v>10.5</v>
      </c>
      <c r="AC147" s="261" t="s">
        <v>1799</v>
      </c>
      <c r="AD147" s="258" t="s">
        <v>533</v>
      </c>
      <c r="AE147" s="555">
        <f ca="1">IFERROR(AE146/AE144,0)</f>
        <v>0</v>
      </c>
      <c r="AF147" s="516"/>
      <c r="AG147" s="516"/>
      <c r="AH147" s="319"/>
      <c r="AI147" s="555">
        <f ca="1">IFERROR(AI146/AI144,0)</f>
        <v>0</v>
      </c>
      <c r="AJ147" s="555">
        <f ca="1">IFERROR(AJ146/AJ144,0)</f>
        <v>0</v>
      </c>
      <c r="AK147" s="555">
        <f ca="1">IFERROR(AK146/AK144,0)</f>
        <v>0</v>
      </c>
      <c r="AL147" s="256">
        <f t="shared" ca="1" si="7"/>
        <v>0</v>
      </c>
      <c r="AM147" s="719"/>
      <c r="AN147" s="719"/>
      <c r="AO147" s="719"/>
      <c r="AP147" s="543"/>
      <c r="AQ147" s="543"/>
      <c r="AR147" s="1029" t="s">
        <v>1800</v>
      </c>
      <c r="AS147" s="1064"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M11244::ТЭ.42.26322895.0003::Неопределено::Неопределено::Неопределено::Неопределено::Неопределено::Неопределено::Неопределено</v>
      </c>
    </row>
    <row r="148" spans="1:45" s="1229" customFormat="1" ht="16.5" customHeight="1">
      <c r="A148" s="983"/>
      <c r="B148" s="783"/>
      <c r="C148" s="1094" t="s">
        <v>1801</v>
      </c>
      <c r="D148" s="1053" t="s">
        <v>1802</v>
      </c>
      <c r="E148" s="676">
        <v>17.100000000000001</v>
      </c>
      <c r="F148" s="779" t="str" cm="1">
        <f t="array" aca="1" ref="F148" ca="1">OFFSET(G148,-1,-1)</f>
        <v>1</v>
      </c>
      <c r="G148" s="180"/>
      <c r="H148" s="180"/>
      <c r="I148" s="180"/>
      <c r="J148" s="180"/>
      <c r="K148" s="180"/>
      <c r="L148" s="1082"/>
      <c r="M148" s="1080" t="str" cm="1">
        <f t="array" aca="1" ref="M148" ca="1">OFFSET(L148,-1,1)</f>
        <v>ТЭ.42.26322895.0003</v>
      </c>
      <c r="N148" s="1082"/>
      <c r="O148" s="1082"/>
      <c r="P148" s="1082"/>
      <c r="Q148" s="1082"/>
      <c r="R148" s="1082"/>
      <c r="S148" s="1082"/>
      <c r="T148" s="687" t="b" cm="1">
        <f t="array" ref="T148">T147</f>
        <v>1</v>
      </c>
      <c r="U148" s="1153"/>
      <c r="V148" s="1153"/>
      <c r="W148" s="1153"/>
      <c r="X148" s="1726"/>
      <c r="Y148" s="1153"/>
      <c r="Z148" s="1726"/>
      <c r="AA148" s="180"/>
      <c r="AB148" s="553" t="str">
        <f>AB142&amp;".6"</f>
        <v>10.6</v>
      </c>
      <c r="AC148" s="261" t="s">
        <v>1803</v>
      </c>
      <c r="AD148" s="258" t="s">
        <v>929</v>
      </c>
      <c r="AE148" s="860">
        <f ca="1">IFERROR(AE139/AE142*1000,0)</f>
        <v>0</v>
      </c>
      <c r="AF148" s="516"/>
      <c r="AG148" s="516"/>
      <c r="AH148" s="319"/>
      <c r="AI148" s="860">
        <f ca="1">IFERROR(AI139/AI142*1000,0)</f>
        <v>1567.4959291370137</v>
      </c>
      <c r="AJ148" s="860">
        <f ca="1">IFERROR(AJ139/AJ142*1000,0)</f>
        <v>0</v>
      </c>
      <c r="AK148" s="860">
        <f ca="1">IFERROR(AK139/AK142*1000,0)</f>
        <v>2005.0071813164557</v>
      </c>
      <c r="AL148" s="256">
        <f t="shared" ca="1" si="7"/>
        <v>27.911476135080882</v>
      </c>
      <c r="AM148" s="1297"/>
      <c r="AN148" s="1297"/>
      <c r="AO148" s="1297"/>
      <c r="AP148" s="180"/>
      <c r="AQ148" s="180"/>
      <c r="AR148" s="1029" t="s">
        <v>1804</v>
      </c>
      <c r="AS148" s="1064"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M10552::ТЭ.42.26322895.0003::Неопределено::Неопределено::Неопределено::Неопределено::Неопределено::Неопределено::Неопределено</v>
      </c>
    </row>
    <row r="149" spans="1:45" s="1437" customFormat="1" ht="16.5" hidden="1" customHeight="1">
      <c r="A149" s="543"/>
      <c r="B149" s="543"/>
      <c r="C149" s="1094" t="s">
        <v>1805</v>
      </c>
      <c r="D149" s="1053" t="s">
        <v>1806</v>
      </c>
      <c r="E149" s="676">
        <v>17.100000000000001</v>
      </c>
      <c r="F149" s="779" t="str" cm="1">
        <f t="array" aca="1" ref="F149" ca="1">OFFSET(G149,-1,-1)</f>
        <v>1</v>
      </c>
      <c r="G149" s="543"/>
      <c r="H149" s="143" t="str" cm="1">
        <f t="array" ref="H149">G94</f>
        <v>одноставочный</v>
      </c>
      <c r="I149" s="543"/>
      <c r="J149" s="543"/>
      <c r="K149" s="543"/>
      <c r="L149" s="1082"/>
      <c r="M149" s="1080" t="str" cm="1">
        <f t="array" aca="1" ref="M149" ca="1">OFFSET(L149,-1,1)</f>
        <v>ТЭ.42.26322895.0003</v>
      </c>
      <c r="N149" s="1082"/>
      <c r="O149" s="1082"/>
      <c r="P149" s="1082"/>
      <c r="Q149" s="1082"/>
      <c r="R149" s="1082"/>
      <c r="S149" s="1082"/>
      <c r="T149" s="687" t="b">
        <f t="shared" ref="T149:T159" ca="1" si="8">AND(F149&gt;0,H149="двухставочный")</f>
        <v>0</v>
      </c>
      <c r="U149" s="543"/>
      <c r="V149" s="543"/>
      <c r="W149" s="543"/>
      <c r="X149" s="1837"/>
      <c r="Y149" s="543"/>
      <c r="Z149" s="1837"/>
      <c r="AA149" s="543"/>
      <c r="AB149" s="263" t="s">
        <v>463</v>
      </c>
      <c r="AC149" s="753" t="s">
        <v>1808</v>
      </c>
      <c r="AD149" s="557" t="s">
        <v>725</v>
      </c>
      <c r="AE149" s="53">
        <f ca="1">SUMIFS('Баланс Пр'!AE$27:AE$233,'Баланс Пр'!$F$27:$F$233,$F149,'Баланс Пр'!$AB$27:$AB$233,"10")</f>
        <v>0</v>
      </c>
      <c r="AF149" s="516"/>
      <c r="AG149" s="516"/>
      <c r="AH149" s="319"/>
      <c r="AI149" s="53">
        <f ca="1">SUMIFS('Баланс Пр'!AH$27:AH$233,'Баланс Пр'!$F$27:$F$233,$F149,'Баланс Пр'!$AB$27:$AB$233,"10")</f>
        <v>0</v>
      </c>
      <c r="AJ149" s="257">
        <f ca="1">SUMIFS('Баланс Пр'!AI$27:AI$233,'Баланс Пр'!$F$27:$F$233,$F149,'Баланс Пр'!$AB$27:$AB$233,"10")</f>
        <v>0</v>
      </c>
      <c r="AK149" s="257">
        <f ca="1">SUMIFS('Баланс Пр'!AS$27:AS$233,'Баланс Пр'!$F$27:$F$233,$F149,'Баланс Пр'!$AB$27:$AB$233,"10")</f>
        <v>0</v>
      </c>
      <c r="AL149" s="256">
        <f t="shared" ca="1" si="7"/>
        <v>0</v>
      </c>
      <c r="AM149" s="912"/>
      <c r="AN149" s="912"/>
      <c r="AO149" s="909"/>
      <c r="AP149" s="543"/>
      <c r="AQ149" s="543"/>
      <c r="AR149" s="1029" t="s">
        <v>726</v>
      </c>
      <c r="AS149" s="1064"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M10476::ТЭ.42.26322895.0003::Неопределено::Неопределено::Неопределено::Неопределено::Неопределено::Неопределено::Неопределено</v>
      </c>
    </row>
    <row r="150" spans="1:45" s="1229" customFormat="1" ht="16.5" hidden="1" customHeight="1">
      <c r="A150" s="983"/>
      <c r="B150" s="783"/>
      <c r="C150" s="1094" t="s">
        <v>1805</v>
      </c>
      <c r="D150" s="1053" t="s">
        <v>1806</v>
      </c>
      <c r="E150" s="676">
        <v>17.100000000000001</v>
      </c>
      <c r="F150" s="779" t="str" cm="1">
        <f t="array" aca="1" ref="F150" ca="1">OFFSET(G150,-1,-1)</f>
        <v>1</v>
      </c>
      <c r="G150" s="180"/>
      <c r="H150" s="143" t="str" cm="1">
        <f t="array" ref="H150">G94</f>
        <v>одноставочный</v>
      </c>
      <c r="I150" s="180"/>
      <c r="J150" s="180"/>
      <c r="K150" s="180"/>
      <c r="L150" s="1082"/>
      <c r="M150" s="1080" t="str" cm="1">
        <f t="array" aca="1" ref="M150" ca="1">OFFSET(L150,-1,1)</f>
        <v>ТЭ.42.26322895.0003</v>
      </c>
      <c r="N150" s="1082"/>
      <c r="O150" s="1082"/>
      <c r="P150" s="1082"/>
      <c r="Q150" s="1082"/>
      <c r="R150" s="1082"/>
      <c r="S150" s="1082" t="s">
        <v>1782</v>
      </c>
      <c r="T150" s="687" t="b">
        <f t="shared" ca="1" si="8"/>
        <v>0</v>
      </c>
      <c r="U150" s="1153"/>
      <c r="V150" s="1153"/>
      <c r="W150" s="1153"/>
      <c r="X150" s="1726"/>
      <c r="Y150" s="1153"/>
      <c r="Z150" s="1726"/>
      <c r="AA150" s="180"/>
      <c r="AB150" s="553" t="str">
        <f>AB149&amp;".1"</f>
        <v>11.1</v>
      </c>
      <c r="AC150" s="608" t="s">
        <v>1810</v>
      </c>
      <c r="AD150" s="523" t="s">
        <v>725</v>
      </c>
      <c r="AE150" s="84" cm="1">
        <f t="array" aca="1" ref="AE150" ca="1">AE149</f>
        <v>0</v>
      </c>
      <c r="AF150" s="516"/>
      <c r="AG150" s="516"/>
      <c r="AH150" s="319"/>
      <c r="AI150" s="84" cm="1">
        <f t="array" aca="1" ref="AI150" ca="1">AI149</f>
        <v>0</v>
      </c>
      <c r="AJ150" s="538" cm="1">
        <f t="array" aca="1" ref="AJ150" ca="1">AJ149</f>
        <v>0</v>
      </c>
      <c r="AK150" s="538" cm="1">
        <f t="array" aca="1" ref="AK150" ca="1">AK149</f>
        <v>0</v>
      </c>
      <c r="AL150" s="256">
        <f t="shared" ca="1" si="7"/>
        <v>0</v>
      </c>
      <c r="AM150" s="35"/>
      <c r="AN150" s="35"/>
      <c r="AO150" s="35"/>
      <c r="AP150" s="180"/>
      <c r="AQ150" s="180"/>
      <c r="AR150" s="1029" t="s">
        <v>1811</v>
      </c>
      <c r="AS150" s="1064"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M10476::ТЭ.42.26322895.0003::Неопределено::Неопределено::Неопределено::Неопределено::Неопределено::Неопределено::8.0.3.</v>
      </c>
    </row>
    <row r="151" spans="1:45" s="1229" customFormat="1" ht="16.5" hidden="1" customHeight="1">
      <c r="A151" s="983"/>
      <c r="B151" s="783"/>
      <c r="C151" s="1094" t="s">
        <v>1805</v>
      </c>
      <c r="D151" s="1053" t="s">
        <v>1806</v>
      </c>
      <c r="E151" s="676">
        <v>17.100000000000001</v>
      </c>
      <c r="F151" s="779" t="str" cm="1">
        <f t="array" aca="1" ref="F151" ca="1">OFFSET(G151,-1,-1)</f>
        <v>1</v>
      </c>
      <c r="G151" s="180"/>
      <c r="H151" s="143" t="str" cm="1">
        <f t="array" ref="H151">G94</f>
        <v>одноставочный</v>
      </c>
      <c r="I151" s="180"/>
      <c r="J151" s="180"/>
      <c r="K151" s="180"/>
      <c r="L151" s="1082"/>
      <c r="M151" s="1080" t="str" cm="1">
        <f t="array" aca="1" ref="M151" ca="1">OFFSET(L151,-1,1)</f>
        <v>ТЭ.42.26322895.0003</v>
      </c>
      <c r="N151" s="1082"/>
      <c r="O151" s="1082"/>
      <c r="P151" s="1082"/>
      <c r="Q151" s="1082"/>
      <c r="R151" s="1082"/>
      <c r="S151" s="1082" t="s">
        <v>1791</v>
      </c>
      <c r="T151" s="687" t="b">
        <f t="shared" ca="1" si="8"/>
        <v>0</v>
      </c>
      <c r="U151" s="1153"/>
      <c r="V151" s="1153"/>
      <c r="W151" s="1153"/>
      <c r="X151" s="1726"/>
      <c r="Y151" s="1153"/>
      <c r="Z151" s="1726"/>
      <c r="AA151" s="180"/>
      <c r="AB151" s="553" t="str">
        <f>AB149&amp;".2"</f>
        <v>11.2</v>
      </c>
      <c r="AC151" s="608" t="s">
        <v>1813</v>
      </c>
      <c r="AD151" s="523" t="s">
        <v>725</v>
      </c>
      <c r="AE151" s="84" cm="1">
        <f t="array" aca="1" ref="AE151" ca="1">AE149</f>
        <v>0</v>
      </c>
      <c r="AF151" s="516"/>
      <c r="AG151" s="516"/>
      <c r="AH151" s="319"/>
      <c r="AI151" s="84" cm="1">
        <f t="array" aca="1" ref="AI151" ca="1">AI149</f>
        <v>0</v>
      </c>
      <c r="AJ151" s="538" cm="1">
        <f t="array" aca="1" ref="AJ151" ca="1">AJ149</f>
        <v>0</v>
      </c>
      <c r="AK151" s="538" cm="1">
        <f t="array" aca="1" ref="AK151" ca="1">AK149</f>
        <v>0</v>
      </c>
      <c r="AL151" s="256">
        <f t="shared" ca="1" si="7"/>
        <v>0</v>
      </c>
      <c r="AM151" s="35"/>
      <c r="AN151" s="35"/>
      <c r="AO151" s="35"/>
      <c r="AP151" s="180"/>
      <c r="AQ151" s="180"/>
      <c r="AR151" s="1029" t="s">
        <v>1814</v>
      </c>
      <c r="AS151" s="1064"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M10476::ТЭ.42.26322895.0003::Неопределено::Неопределено::Неопределено::Неопределено::Неопределено::Неопределено::8.0.5.</v>
      </c>
    </row>
    <row r="152" spans="1:45" s="1229" customFormat="1" ht="16.5" hidden="1" customHeight="1">
      <c r="A152" s="983"/>
      <c r="B152" s="783"/>
      <c r="C152" s="1094"/>
      <c r="D152" s="1053"/>
      <c r="E152" s="676">
        <v>17.100000000000001</v>
      </c>
      <c r="F152" s="779" t="str" cm="1">
        <f t="array" aca="1" ref="F152" ca="1">OFFSET(G152,-1,-1)</f>
        <v>1</v>
      </c>
      <c r="G152" s="180"/>
      <c r="H152" s="143" t="str" cm="1">
        <f t="array" ref="H152">G94</f>
        <v>одноставочный</v>
      </c>
      <c r="I152" s="180"/>
      <c r="J152" s="180"/>
      <c r="K152" s="180"/>
      <c r="L152" s="1082"/>
      <c r="M152" s="1080" t="str" cm="1">
        <f t="array" aca="1" ref="M152" ca="1">OFFSET(L152,-1,1)</f>
        <v>ТЭ.42.26322895.0003</v>
      </c>
      <c r="N152" s="1082"/>
      <c r="O152" s="1082"/>
      <c r="P152" s="1082"/>
      <c r="Q152" s="1082"/>
      <c r="R152" s="1082"/>
      <c r="S152" s="1082"/>
      <c r="T152" s="687" t="b">
        <f t="shared" ca="1" si="8"/>
        <v>0</v>
      </c>
      <c r="U152" s="1153"/>
      <c r="V152" s="1153"/>
      <c r="W152" s="1153"/>
      <c r="X152" s="1726"/>
      <c r="Y152" s="1153"/>
      <c r="Z152" s="1726"/>
      <c r="AA152" s="180"/>
      <c r="AB152" s="552" t="s">
        <v>466</v>
      </c>
      <c r="AC152" s="114" t="s">
        <v>1816</v>
      </c>
      <c r="AD152" s="598"/>
      <c r="AE152" s="619"/>
      <c r="AF152" s="516"/>
      <c r="AG152" s="516"/>
      <c r="AH152" s="319"/>
      <c r="AI152" s="619"/>
      <c r="AJ152" s="619"/>
      <c r="AK152" s="619"/>
      <c r="AL152" s="319"/>
      <c r="AM152" s="28"/>
      <c r="AN152" s="28"/>
      <c r="AO152" s="28"/>
      <c r="AP152" s="180"/>
      <c r="AQ152" s="180"/>
      <c r="AR152" s="1029" t="s">
        <v>1817</v>
      </c>
      <c r="AS152" s="1132"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M11407::ТЭ.42.26322895.0003::Неопределено::Неопределено::Неопределено::Неопределено::Неопределено::Неопределено::Неопределено</v>
      </c>
    </row>
    <row r="153" spans="1:45" s="1229" customFormat="1" ht="16.5" hidden="1" customHeight="1">
      <c r="A153" s="983"/>
      <c r="B153" s="783"/>
      <c r="C153" s="1094" t="s">
        <v>1818</v>
      </c>
      <c r="D153" s="1053" t="s">
        <v>1819</v>
      </c>
      <c r="E153" s="676">
        <v>17.100000000000001</v>
      </c>
      <c r="F153" s="779" t="str" cm="1">
        <f t="array" aca="1" ref="F153" ca="1">OFFSET(G153,-1,-1)</f>
        <v>1</v>
      </c>
      <c r="G153" s="620" t="s">
        <v>1820</v>
      </c>
      <c r="H153" s="143" t="str" cm="1">
        <f t="array" ref="H153">G94</f>
        <v>одноставочный</v>
      </c>
      <c r="I153" s="180"/>
      <c r="J153" s="180"/>
      <c r="K153" s="180"/>
      <c r="L153" s="1082"/>
      <c r="M153" s="1080" t="str" cm="1">
        <f t="array" aca="1" ref="M153" ca="1">OFFSET(L153,-1,1)</f>
        <v>ТЭ.42.26322895.0003</v>
      </c>
      <c r="N153" s="1082"/>
      <c r="O153" s="1082"/>
      <c r="P153" s="1082"/>
      <c r="Q153" s="1082"/>
      <c r="R153" s="1082"/>
      <c r="S153" s="1082" t="s">
        <v>1782</v>
      </c>
      <c r="T153" s="687" t="b">
        <f t="shared" ca="1" si="8"/>
        <v>0</v>
      </c>
      <c r="U153" s="1153"/>
      <c r="V153" s="1153"/>
      <c r="W153" s="1153"/>
      <c r="X153" s="1726"/>
      <c r="Y153" s="1153"/>
      <c r="Z153" s="1726"/>
      <c r="AA153" s="180"/>
      <c r="AB153" s="553" t="str">
        <f>AB152&amp;".1"</f>
        <v>12.1</v>
      </c>
      <c r="AC153" s="1139" t="s">
        <v>1821</v>
      </c>
      <c r="AD153" s="443" t="s">
        <v>929</v>
      </c>
      <c r="AE153" s="84"/>
      <c r="AF153" s="516"/>
      <c r="AG153" s="516"/>
      <c r="AH153" s="319"/>
      <c r="AI153" s="84"/>
      <c r="AJ153" s="538"/>
      <c r="AK153" s="538"/>
      <c r="AL153" s="256">
        <f>IF(AI153=0,0,(AK153-AI153)/AI153*100)</f>
        <v>0</v>
      </c>
      <c r="AM153" s="28"/>
      <c r="AN153" s="28"/>
      <c r="AO153" s="28"/>
      <c r="AP153" s="180"/>
      <c r="AQ153" s="180"/>
      <c r="AR153" s="1029" t="s">
        <v>1822</v>
      </c>
      <c r="AS153" s="1064"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M11407::ТЭ.42.26322895.0003::Неопределено::Неопределено::Неопределено::Неопределено::Неопределено::Неопределено::8.0.3.</v>
      </c>
    </row>
    <row r="154" spans="1:45" s="1229" customFormat="1" ht="16.5" hidden="1" customHeight="1">
      <c r="A154" s="983"/>
      <c r="B154" s="783"/>
      <c r="C154" s="1094" t="s">
        <v>1818</v>
      </c>
      <c r="D154" s="1053" t="s">
        <v>1819</v>
      </c>
      <c r="E154" s="676">
        <v>17.100000000000001</v>
      </c>
      <c r="F154" s="779" t="str" cm="1">
        <f t="array" aca="1" ref="F154" ca="1">OFFSET(G154,-1,-1)</f>
        <v>1</v>
      </c>
      <c r="G154" s="620" t="s">
        <v>1823</v>
      </c>
      <c r="H154" s="143" t="str" cm="1">
        <f t="array" ref="H154">G94</f>
        <v>одноставочный</v>
      </c>
      <c r="I154" s="180"/>
      <c r="J154" s="180"/>
      <c r="K154" s="180"/>
      <c r="L154" s="1082"/>
      <c r="M154" s="1080" t="str" cm="1">
        <f t="array" aca="1" ref="M154" ca="1">OFFSET(L154,-1,1)</f>
        <v>ТЭ.42.26322895.0003</v>
      </c>
      <c r="N154" s="1082"/>
      <c r="O154" s="1082"/>
      <c r="P154" s="1082"/>
      <c r="Q154" s="1082"/>
      <c r="R154" s="1082"/>
      <c r="S154" s="1082" t="s">
        <v>1791</v>
      </c>
      <c r="T154" s="687" t="b">
        <f t="shared" ca="1" si="8"/>
        <v>0</v>
      </c>
      <c r="U154" s="1153"/>
      <c r="V154" s="1153"/>
      <c r="W154" s="1153"/>
      <c r="X154" s="1726"/>
      <c r="Y154" s="1153"/>
      <c r="Z154" s="1726"/>
      <c r="AA154" s="180"/>
      <c r="AB154" s="553" t="str">
        <f>AB152&amp;".2"</f>
        <v>12.2</v>
      </c>
      <c r="AC154" s="1139" t="s">
        <v>1824</v>
      </c>
      <c r="AD154" s="443" t="s">
        <v>929</v>
      </c>
      <c r="AE154" s="515">
        <f ca="1">IFERROR((AE140*1000-AE143*AE153)/AE145,0)</f>
        <v>0</v>
      </c>
      <c r="AF154" s="516"/>
      <c r="AG154" s="516"/>
      <c r="AH154" s="319"/>
      <c r="AI154" s="515">
        <f ca="1">IFERROR((AI140*1000-AI143*AI153)/AI145,0)</f>
        <v>0</v>
      </c>
      <c r="AJ154" s="515">
        <f ca="1">IFERROR((AJ140*1000-AJ143*AJ153)/AJ145,0)</f>
        <v>0</v>
      </c>
      <c r="AK154" s="515">
        <f ca="1">IFERROR((AK140*1000-AK143*AK153)/AK145,0)</f>
        <v>0</v>
      </c>
      <c r="AL154" s="256">
        <f ca="1">IF(AI154=0,0,(AK154-AI154)/AI154*100)</f>
        <v>0</v>
      </c>
      <c r="AM154" s="28"/>
      <c r="AN154" s="28"/>
      <c r="AO154" s="28"/>
      <c r="AP154" s="180"/>
      <c r="AQ154" s="180"/>
      <c r="AR154" s="1029" t="s">
        <v>1825</v>
      </c>
      <c r="AS154" s="1064"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M11407::ТЭ.42.26322895.0003::Неопределено::Неопределено::Неопределено::Неопределено::Неопределено::Неопределено::8.0.5.</v>
      </c>
    </row>
    <row r="155" spans="1:45" s="1229" customFormat="1" ht="16.5" hidden="1" customHeight="1">
      <c r="A155" s="983"/>
      <c r="B155" s="783"/>
      <c r="C155" s="1094" t="s">
        <v>1826</v>
      </c>
      <c r="D155" s="1053" t="s">
        <v>1827</v>
      </c>
      <c r="E155" s="676">
        <v>17.100000000000001</v>
      </c>
      <c r="F155" s="779" t="str" cm="1">
        <f t="array" aca="1" ref="F155" ca="1">OFFSET(G155,-1,-1)</f>
        <v>1</v>
      </c>
      <c r="G155" s="180"/>
      <c r="H155" s="143" t="str" cm="1">
        <f t="array" ref="H155">G94</f>
        <v>одноставочный</v>
      </c>
      <c r="I155" s="180"/>
      <c r="J155" s="180"/>
      <c r="K155" s="180"/>
      <c r="L155" s="1082" t="s">
        <v>1981</v>
      </c>
      <c r="M155" s="1080" t="str" cm="1">
        <f t="array" aca="1" ref="M155" ca="1">OFFSET(L155,-1,1)</f>
        <v>ТЭ.42.26322895.0003</v>
      </c>
      <c r="N155" s="1082"/>
      <c r="O155" s="1082"/>
      <c r="P155" s="1082"/>
      <c r="Q155" s="1082"/>
      <c r="R155" s="1082"/>
      <c r="S155" s="1082"/>
      <c r="T155" s="687" t="b">
        <f t="shared" ca="1" si="8"/>
        <v>0</v>
      </c>
      <c r="U155" s="1153"/>
      <c r="V155" s="1153"/>
      <c r="W155" s="1153"/>
      <c r="X155" s="1726"/>
      <c r="Y155" s="1153"/>
      <c r="Z155" s="1726"/>
      <c r="AA155" s="180"/>
      <c r="AB155" s="553" t="str">
        <f>AB152&amp;".3"</f>
        <v>12.3</v>
      </c>
      <c r="AC155" s="261" t="s">
        <v>1829</v>
      </c>
      <c r="AD155" s="443" t="s">
        <v>533</v>
      </c>
      <c r="AE155" s="555">
        <f ca="1">IFERROR(AE154/AE153,0)</f>
        <v>0</v>
      </c>
      <c r="AF155" s="516"/>
      <c r="AG155" s="516"/>
      <c r="AH155" s="516"/>
      <c r="AI155" s="555">
        <f ca="1">IFERROR(AI154/AI153,0)</f>
        <v>0</v>
      </c>
      <c r="AJ155" s="555">
        <f ca="1">IFERROR(AJ154/AJ153,0)</f>
        <v>0</v>
      </c>
      <c r="AK155" s="555">
        <f ca="1">IFERROR(AK154/AK153,0)</f>
        <v>0</v>
      </c>
      <c r="AL155" s="319"/>
      <c r="AM155" s="28"/>
      <c r="AN155" s="28"/>
      <c r="AO155" s="28"/>
      <c r="AP155" s="180"/>
      <c r="AQ155" s="180"/>
      <c r="AR155" s="1029" t="s">
        <v>1830</v>
      </c>
      <c r="AS155" s="1064"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M10444::ТЭ.42.26322895.0003::1.0.84.::Неопределено::Неопределено::Неопределено::Неопределено::Неопределено::Неопределено</v>
      </c>
    </row>
    <row r="156" spans="1:45" s="1229" customFormat="1" ht="33.75" hidden="1" customHeight="1">
      <c r="A156" s="983"/>
      <c r="B156" s="783"/>
      <c r="C156" s="1094"/>
      <c r="D156" s="1053"/>
      <c r="E156" s="676">
        <v>35</v>
      </c>
      <c r="F156" s="779" t="str" cm="1">
        <f t="array" aca="1" ref="F156" ca="1">OFFSET(G156,-1,-1)</f>
        <v>1</v>
      </c>
      <c r="G156" s="180"/>
      <c r="H156" s="143" t="str" cm="1">
        <f t="array" ref="H156">G94</f>
        <v>одноставочный</v>
      </c>
      <c r="I156" s="180"/>
      <c r="J156" s="180"/>
      <c r="K156" s="180"/>
      <c r="L156" s="1082"/>
      <c r="M156" s="1080" t="str" cm="1">
        <f t="array" aca="1" ref="M156" ca="1">OFFSET(L156,-1,1)</f>
        <v>ТЭ.42.26322895.0003</v>
      </c>
      <c r="N156" s="1082"/>
      <c r="O156" s="1082"/>
      <c r="P156" s="1082"/>
      <c r="Q156" s="1082"/>
      <c r="R156" s="1082"/>
      <c r="S156" s="1082"/>
      <c r="T156" s="687" t="b">
        <f t="shared" ca="1" si="8"/>
        <v>0</v>
      </c>
      <c r="U156" s="1153"/>
      <c r="V156" s="1153"/>
      <c r="W156" s="1153"/>
      <c r="X156" s="1726"/>
      <c r="Y156" s="1153"/>
      <c r="Z156" s="1726"/>
      <c r="AA156" s="180"/>
      <c r="AB156" s="233" t="s">
        <v>469</v>
      </c>
      <c r="AC156" s="114" t="s">
        <v>1831</v>
      </c>
      <c r="AD156" s="522"/>
      <c r="AE156" s="619"/>
      <c r="AF156" s="516"/>
      <c r="AG156" s="516"/>
      <c r="AH156" s="516"/>
      <c r="AI156" s="619"/>
      <c r="AJ156" s="619"/>
      <c r="AK156" s="619"/>
      <c r="AL156" s="319"/>
      <c r="AM156" s="28"/>
      <c r="AN156" s="28"/>
      <c r="AO156" s="28"/>
      <c r="AP156" s="180"/>
      <c r="AQ156" s="180"/>
      <c r="AR156" s="1029" t="s">
        <v>1832</v>
      </c>
      <c r="AS156" s="1132"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M11397::ТЭ.42.26322895.0003::Неопределено::Неопределено::Неопределено::Неопределено::Неопределено::Неопределено::Неопределено</v>
      </c>
    </row>
    <row r="157" spans="1:45" s="1229" customFormat="1" ht="16.5" hidden="1" customHeight="1">
      <c r="A157" s="983"/>
      <c r="B157" s="783"/>
      <c r="C157" s="1094" t="s">
        <v>1833</v>
      </c>
      <c r="D157" s="1053" t="s">
        <v>1834</v>
      </c>
      <c r="E157" s="676">
        <v>17.100000000000001</v>
      </c>
      <c r="F157" s="779" t="str" cm="1">
        <f t="array" aca="1" ref="F157" ca="1">OFFSET(G157,-1,-1)</f>
        <v>1</v>
      </c>
      <c r="G157" s="620" t="s">
        <v>1835</v>
      </c>
      <c r="H157" s="143" t="str" cm="1">
        <f t="array" ref="H157">G94</f>
        <v>одноставочный</v>
      </c>
      <c r="I157" s="180"/>
      <c r="J157" s="180"/>
      <c r="K157" s="180"/>
      <c r="L157" s="1082"/>
      <c r="M157" s="1080" t="str" cm="1">
        <f t="array" aca="1" ref="M157" ca="1">OFFSET(L157,-1,1)</f>
        <v>ТЭ.42.26322895.0003</v>
      </c>
      <c r="N157" s="1082"/>
      <c r="O157" s="1082"/>
      <c r="P157" s="1082"/>
      <c r="Q157" s="1082"/>
      <c r="R157" s="1082"/>
      <c r="S157" s="1082"/>
      <c r="T157" s="687" t="b">
        <f t="shared" ca="1" si="8"/>
        <v>0</v>
      </c>
      <c r="U157" s="1153"/>
      <c r="V157" s="1153"/>
      <c r="W157" s="1153"/>
      <c r="X157" s="1726"/>
      <c r="Y157" s="1153"/>
      <c r="Z157" s="1726"/>
      <c r="AA157" s="180"/>
      <c r="AB157" s="553" t="str">
        <f>AB156&amp;".1"</f>
        <v>13.1</v>
      </c>
      <c r="AC157" s="115" t="s">
        <v>1836</v>
      </c>
      <c r="AD157" s="443" t="s">
        <v>1837</v>
      </c>
      <c r="AE157" s="53"/>
      <c r="AF157" s="516"/>
      <c r="AG157" s="516"/>
      <c r="AH157" s="319"/>
      <c r="AI157" s="53"/>
      <c r="AJ157" s="257"/>
      <c r="AK157" s="257"/>
      <c r="AL157" s="256">
        <f>IF(AI157=0,0,(AK157-AI157)/AI157*100)</f>
        <v>0</v>
      </c>
      <c r="AM157" s="28"/>
      <c r="AN157" s="28"/>
      <c r="AO157" s="28"/>
      <c r="AP157" s="180"/>
      <c r="AQ157" s="180"/>
      <c r="AR157" s="1029" t="s">
        <v>1838</v>
      </c>
      <c r="AS157" s="1064"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M11397::ТЭ.42.26322895.0003::Неопределено::Неопределено::Неопределено::Неопределено::Неопределено::Неопределено::Неопределено</v>
      </c>
    </row>
    <row r="158" spans="1:45" s="1229" customFormat="1" ht="16.5" hidden="1" customHeight="1">
      <c r="A158" s="983"/>
      <c r="B158" s="783"/>
      <c r="C158" s="1094" t="s">
        <v>1833</v>
      </c>
      <c r="D158" s="1053" t="s">
        <v>1834</v>
      </c>
      <c r="E158" s="676">
        <v>17.100000000000001</v>
      </c>
      <c r="F158" s="779" t="str" cm="1">
        <f t="array" aca="1" ref="F158" ca="1">OFFSET(G158,-1,-1)</f>
        <v>1</v>
      </c>
      <c r="G158" s="620" t="s">
        <v>1839</v>
      </c>
      <c r="H158" s="143" t="str" cm="1">
        <f t="array" ref="H158">G94</f>
        <v>одноставочный</v>
      </c>
      <c r="I158" s="180"/>
      <c r="J158" s="180"/>
      <c r="K158" s="180"/>
      <c r="L158" s="1082"/>
      <c r="M158" s="1080" t="str" cm="1">
        <f t="array" aca="1" ref="M158" ca="1">OFFSET(L158,-1,1)</f>
        <v>ТЭ.42.26322895.0003</v>
      </c>
      <c r="N158" s="1082"/>
      <c r="O158" s="1082"/>
      <c r="P158" s="1082"/>
      <c r="Q158" s="1082"/>
      <c r="R158" s="1082"/>
      <c r="S158" s="1082"/>
      <c r="T158" s="687" t="b">
        <f t="shared" ca="1" si="8"/>
        <v>0</v>
      </c>
      <c r="U158" s="1153"/>
      <c r="V158" s="1153"/>
      <c r="W158" s="1153"/>
      <c r="X158" s="1726"/>
      <c r="Y158" s="1153"/>
      <c r="Z158" s="1726"/>
      <c r="AA158" s="180"/>
      <c r="AB158" s="553" t="str">
        <f>AB156&amp;".2"</f>
        <v>13.2</v>
      </c>
      <c r="AC158" s="115" t="s">
        <v>1840</v>
      </c>
      <c r="AD158" s="443" t="s">
        <v>1837</v>
      </c>
      <c r="AE158" s="256">
        <f ca="1">IFERROR((AE141-AE150*6*AE157)/AE151/6,0)</f>
        <v>0</v>
      </c>
      <c r="AF158" s="516"/>
      <c r="AG158" s="516"/>
      <c r="AH158" s="319"/>
      <c r="AI158" s="256">
        <f ca="1">IFERROR((AI141-AI150*6*AI157)/AI151/6,0)</f>
        <v>0</v>
      </c>
      <c r="AJ158" s="256">
        <f ca="1">IFERROR((AJ141-AJ150*IF(god=2026,9,6)*AJ157)/AJ151/IF(god=2026,3,6),0)</f>
        <v>0</v>
      </c>
      <c r="AK158" s="256">
        <f ca="1">IFERROR((AK141-AK150*IF(god=2026,9,6)*AK157)/AK151/IF(god=2026,3,6),0)</f>
        <v>0</v>
      </c>
      <c r="AL158" s="256">
        <f ca="1">IF(AI158=0,0,(AK158-AI158)/AI158*100)</f>
        <v>0</v>
      </c>
      <c r="AM158" s="28"/>
      <c r="AN158" s="28"/>
      <c r="AO158" s="28"/>
      <c r="AP158" s="180"/>
      <c r="AQ158" s="180"/>
      <c r="AR158" s="1029" t="s">
        <v>1841</v>
      </c>
      <c r="AS158" s="1064"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M11397::ТЭ.42.26322895.0003::Неопределено::Неопределено::Неопределено::Неопределено::Неопределено::Неопределено::Неопределено</v>
      </c>
    </row>
    <row r="159" spans="1:45" s="1229" customFormat="1" ht="16.5" hidden="1" customHeight="1">
      <c r="A159" s="983"/>
      <c r="B159" s="783"/>
      <c r="C159" s="1094" t="s">
        <v>1826</v>
      </c>
      <c r="D159" s="1053" t="s">
        <v>1827</v>
      </c>
      <c r="E159" s="676">
        <v>17.100000000000001</v>
      </c>
      <c r="F159" s="779" t="str" cm="1">
        <f t="array" aca="1" ref="F159" ca="1">OFFSET(G159,-1,-1)</f>
        <v>1</v>
      </c>
      <c r="G159" s="180"/>
      <c r="H159" s="143" t="str" cm="1">
        <f t="array" ref="H159">G94</f>
        <v>одноставочный</v>
      </c>
      <c r="I159" s="180"/>
      <c r="J159" s="180"/>
      <c r="K159" s="180"/>
      <c r="L159" s="1082"/>
      <c r="M159" s="1080" t="str" cm="1">
        <f t="array" aca="1" ref="M159" ca="1">OFFSET(L159,-1,1)</f>
        <v>ТЭ.42.26322895.0003</v>
      </c>
      <c r="N159" s="1082"/>
      <c r="O159" s="1082"/>
      <c r="P159" s="1082"/>
      <c r="Q159" s="1082"/>
      <c r="R159" s="1082" t="s">
        <v>1842</v>
      </c>
      <c r="S159" s="1082"/>
      <c r="T159" s="687" t="b">
        <f t="shared" ca="1" si="8"/>
        <v>0</v>
      </c>
      <c r="U159" s="1153"/>
      <c r="V159" s="1153"/>
      <c r="W159" s="1153"/>
      <c r="X159" s="1726"/>
      <c r="Y159" s="1153"/>
      <c r="Z159" s="1726"/>
      <c r="AA159" s="180"/>
      <c r="AB159" s="553" t="str">
        <f>AB156&amp;".3"</f>
        <v>13.3</v>
      </c>
      <c r="AC159" s="261" t="s">
        <v>1843</v>
      </c>
      <c r="AD159" s="443" t="s">
        <v>533</v>
      </c>
      <c r="AE159" s="555">
        <f ca="1">IFERROR(AE158/AE157,0)</f>
        <v>0</v>
      </c>
      <c r="AF159" s="861"/>
      <c r="AG159" s="516"/>
      <c r="AH159" s="516"/>
      <c r="AI159" s="555">
        <f ca="1">IFERROR(AI158/AI157,0)</f>
        <v>0</v>
      </c>
      <c r="AJ159" s="555">
        <f ca="1">IFERROR(AJ158/AJ157,0)</f>
        <v>0</v>
      </c>
      <c r="AK159" s="555">
        <f ca="1">IFERROR(AK158/AK157,0)</f>
        <v>0</v>
      </c>
      <c r="AL159" s="319"/>
      <c r="AM159" s="28"/>
      <c r="AN159" s="28"/>
      <c r="AO159" s="28"/>
      <c r="AP159" s="180"/>
      <c r="AQ159" s="180"/>
      <c r="AR159" s="1029" t="s">
        <v>1844</v>
      </c>
      <c r="AS159" s="1064"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M10444::ТЭ.42.26322895.0003::Неопределено::Неопределено::Неопределено::Неопределено::Неопределено::225.0.1.::Неопределено</v>
      </c>
    </row>
    <row r="160" spans="1:45" s="1229" customFormat="1" ht="29.25" customHeight="1">
      <c r="A160" s="983"/>
      <c r="B160" s="783"/>
      <c r="C160" s="1094" t="s">
        <v>1845</v>
      </c>
      <c r="D160" s="1053" t="s">
        <v>1846</v>
      </c>
      <c r="E160" s="676">
        <v>30</v>
      </c>
      <c r="F160" s="779" t="str" cm="1">
        <f t="array" aca="1" ref="F160" ca="1">OFFSET(G160,-1,-1)</f>
        <v>1</v>
      </c>
      <c r="G160" s="180"/>
      <c r="H160" s="180"/>
      <c r="I160" s="180"/>
      <c r="J160" s="180"/>
      <c r="K160" s="180"/>
      <c r="L160" s="1082"/>
      <c r="M160" s="1080" t="str" cm="1">
        <f t="array" aca="1" ref="M160" ca="1">OFFSET(L160,-1,1)</f>
        <v>ТЭ.42.26322895.0003</v>
      </c>
      <c r="N160" s="1082"/>
      <c r="O160" s="1082"/>
      <c r="P160" s="1082"/>
      <c r="Q160" s="1082"/>
      <c r="R160" s="1082"/>
      <c r="S160" s="1082"/>
      <c r="T160" s="687" t="b" cm="1">
        <f t="array" ref="T160">T139</f>
        <v>1</v>
      </c>
      <c r="U160" s="1153"/>
      <c r="V160" s="1153"/>
      <c r="W160" s="1153"/>
      <c r="X160" s="1726"/>
      <c r="Y160" s="1153"/>
      <c r="Z160" s="1726"/>
      <c r="AA160" s="180"/>
      <c r="AB160" s="235" t="s">
        <v>1763</v>
      </c>
      <c r="AC160" s="888" t="s">
        <v>1848</v>
      </c>
      <c r="AD160" s="487" t="s">
        <v>1077</v>
      </c>
      <c r="AE160" s="1314"/>
      <c r="AF160" s="1398"/>
      <c r="AG160" s="1398"/>
      <c r="AH160" s="256">
        <f>AG160-AF160</f>
        <v>0</v>
      </c>
      <c r="AI160" s="1314"/>
      <c r="AJ160" s="257"/>
      <c r="AK160" s="257"/>
      <c r="AL160" s="256">
        <f>IF(AI160=0,0,(AK160-AI160)/AI160*100)</f>
        <v>0</v>
      </c>
      <c r="AM160" s="1290"/>
      <c r="AN160" s="1290"/>
      <c r="AO160" s="1290"/>
      <c r="AP160" s="180"/>
      <c r="AQ160" s="180"/>
      <c r="AR160" s="1029" t="s">
        <v>1849</v>
      </c>
      <c r="AS160" s="1064"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M10591::ТЭ.42.26322895.0003::Неопределено::Неопределено::Неопределено::Неопределено::Неопределено::Неопределено::Неопределено</v>
      </c>
    </row>
    <row r="161" spans="1:45" s="1438" customFormat="1" ht="16.5" customHeight="1">
      <c r="A161" s="170"/>
      <c r="B161" s="170"/>
      <c r="C161" s="1098"/>
      <c r="D161" s="1048"/>
      <c r="E161" s="676">
        <v>17.100000000000001</v>
      </c>
      <c r="F161" s="779" t="str" cm="1">
        <f t="array" ref="F161">X161</f>
        <v>2</v>
      </c>
      <c r="G161" s="620" t="str" cm="1">
        <f t="array" ref="G161">INDEX('Общие сведения'!$AK$187:$AK$236,MATCH($F161,'Общие сведения'!$Z$187:$Z$236,0))</f>
        <v>одноставочный</v>
      </c>
      <c r="H161" s="170"/>
      <c r="I161" s="163" t="str" cm="1">
        <f t="array" ref="I161">INDEX('Общие сведения'!$AE$187:$AE$236,MATCH($F161,'Общие сведения'!$Z$187:$Z$236,0))</f>
        <v>Теплоснабжение</v>
      </c>
      <c r="J161" s="170"/>
      <c r="K161" s="163" t="str" cm="1">
        <f t="array" ref="K161">INDEX('Общие сведения'!$AL$187:$AL$236,MATCH($F161,'Общие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161" s="1088"/>
      <c r="M161" s="1088"/>
      <c r="N161" s="1088"/>
      <c r="O161" s="1088"/>
      <c r="P161" s="1088"/>
      <c r="Q161" s="1088"/>
      <c r="R161" s="1088"/>
      <c r="S161" s="1088"/>
      <c r="T161" s="687" t="b">
        <f>X161&gt;0</f>
        <v>1</v>
      </c>
      <c r="U161" s="170"/>
      <c r="V161" s="126" t="str" cm="1">
        <f t="array" ref="V161">'Калькуляция (5.9)'!$AB$139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61" s="170"/>
      <c r="X161" s="1838" t="s">
        <v>348</v>
      </c>
      <c r="Y161" s="170"/>
      <c r="Z161" s="1724"/>
      <c r="AA161" s="170"/>
      <c r="AB161" s="275" t="str" cm="1">
        <f t="array" ref="AB161">IF(ISBLANK('Калькуляция (5.9)'!$AB$139),"",'Калькуляция (5.9)'!$AB$139)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61" s="276"/>
      <c r="AD161" s="276"/>
      <c r="AE161" s="276"/>
      <c r="AF161" s="276"/>
      <c r="AG161" s="276"/>
      <c r="AH161" s="276"/>
      <c r="AI161" s="276"/>
      <c r="AJ161" s="276"/>
      <c r="AK161" s="276"/>
      <c r="AL161" s="276"/>
      <c r="AM161" s="276"/>
      <c r="AN161" s="276"/>
      <c r="AO161" s="276"/>
      <c r="AP161" s="170"/>
      <c r="AQ161" s="170"/>
      <c r="AR161" s="1002"/>
      <c r="AS161" s="1076"/>
    </row>
    <row r="162" spans="1:45" s="1229" customFormat="1" ht="33.75" customHeight="1">
      <c r="A162" s="983"/>
      <c r="B162" s="783"/>
      <c r="C162" s="1094" t="s">
        <v>1858</v>
      </c>
      <c r="D162" s="1053" t="s">
        <v>1859</v>
      </c>
      <c r="E162" s="676">
        <v>35</v>
      </c>
      <c r="F162" s="779" t="str" cm="1">
        <f t="array" aca="1" ref="F162" ca="1">OFFSET(G162,-1,-1)</f>
        <v>2</v>
      </c>
      <c r="G162" s="180"/>
      <c r="H162" s="180"/>
      <c r="I162" s="180"/>
      <c r="J162" s="180"/>
      <c r="K162" s="180"/>
      <c r="L162" s="1082"/>
      <c r="M162" s="1082" t="str" cm="1">
        <f t="array" ref="M162">INDEX('Общие сведения'!$N$187:$N$236,MATCH($F161,'Общие сведения'!$Z$187:$Z$236,0)+1)</f>
        <v>ТЭ.42.26322895.0004</v>
      </c>
      <c r="N162" s="1082"/>
      <c r="O162" s="1082"/>
      <c r="P162" s="1082"/>
      <c r="Q162" s="1082"/>
      <c r="R162" s="1082"/>
      <c r="S162" s="1082"/>
      <c r="T162" s="687" t="b" cm="1">
        <f t="array" ref="T162">T161</f>
        <v>1</v>
      </c>
      <c r="U162" s="1153"/>
      <c r="V162" s="1153"/>
      <c r="W162" s="1153"/>
      <c r="X162" s="1726"/>
      <c r="Y162" s="1153"/>
      <c r="Z162" s="1726"/>
      <c r="AA162" s="180"/>
      <c r="AB162" s="834">
        <v>1</v>
      </c>
      <c r="AC162" s="835" t="s">
        <v>1860</v>
      </c>
      <c r="AD162" s="836" t="s">
        <v>1077</v>
      </c>
      <c r="AE162" s="515">
        <f ca="1">AE163+AE164+AE165+AE168+AE169+AE170+AE171+AE172+AE174+AE175+AE176+AE177+AE178+AE179+AE180+AE181+AE182+AE183</f>
        <v>0</v>
      </c>
      <c r="AF162" s="515">
        <f ca="1">AF163+AF164+AF165+AF168+AF169+AF170+AF171+AF172+AF174+AF175+AF176+AF177+AF178+AF179+AF180+AF181+AF182+AF183</f>
        <v>0</v>
      </c>
      <c r="AG162" s="515">
        <f ca="1">AG163+AG164+AG165+AG168+AG169+AG170+AG171+AG172+AG174+AG175+AG176+AG177+AG178+AG179+AG180+AG181+AG182+AG183</f>
        <v>0</v>
      </c>
      <c r="AH162" s="256">
        <f t="shared" ref="AH162:AH208" ca="1" si="9">AG162-AF162</f>
        <v>0</v>
      </c>
      <c r="AI162" s="515">
        <f ca="1">AI163+AI164+AI165+AI168+AI169+AI170+AI171+AI172+AI174+AI175+AI176+AI177+AI178+AI179+AI180+AI181+AI182+AI183</f>
        <v>153043.11994293105</v>
      </c>
      <c r="AJ162" s="515">
        <f ca="1">AJ163+AJ164+AJ165+AJ168+AJ169+AJ170+AJ171+AJ172+AJ174+AJ175+AJ176+AJ177+AJ178+AJ179+AJ180+AJ181+AJ182+AJ183</f>
        <v>0</v>
      </c>
      <c r="AK162" s="515">
        <f ca="1">AK163+AK164+AK165+AK168+AK169+AK170+AK171+AK172+AK174+AK175+AK176+AK177+AK178+AK179+AK180+AK181+AK182+AK183</f>
        <v>218184.87265821334</v>
      </c>
      <c r="AL162" s="256">
        <f t="shared" ref="AL162:AL193" ca="1" si="10">IF(AI162=0,0,(AK162-AI162)/AI162*100)</f>
        <v>42.564313076976802</v>
      </c>
      <c r="AM162" s="1290"/>
      <c r="AN162" s="1290"/>
      <c r="AO162" s="1290"/>
      <c r="AP162" s="180"/>
      <c r="AQ162" s="180"/>
      <c r="AR162" s="1029" t="s">
        <v>1861</v>
      </c>
      <c r="AS162" s="1064" t="str" cm="1">
        <f t="array" ref="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M10558::ТЭ.42.26322895.0004::Неопределено::Неопределено::Неопределено::Неопределено::Неопределено::Неопределено::Неопределено</v>
      </c>
    </row>
    <row r="163" spans="1:45" s="1229" customFormat="1" ht="16.5" customHeight="1">
      <c r="A163" s="983"/>
      <c r="B163" s="783"/>
      <c r="C163" s="1094" t="s">
        <v>1858</v>
      </c>
      <c r="D163" s="1053" t="s">
        <v>1859</v>
      </c>
      <c r="E163" s="676">
        <v>17.100000000000001</v>
      </c>
      <c r="F163" s="779" t="str" cm="1">
        <f t="array" aca="1" ref="F163" ca="1">OFFSET(G163,-1,-1)</f>
        <v>2</v>
      </c>
      <c r="G163" s="180"/>
      <c r="H163" s="180"/>
      <c r="I163" s="180"/>
      <c r="J163" s="180"/>
      <c r="K163" s="180"/>
      <c r="L163" s="1082" t="s">
        <v>1862</v>
      </c>
      <c r="M163" s="1080" t="str" cm="1">
        <f t="array" aca="1" ref="M163" ca="1">OFFSET(L163,-1,1)</f>
        <v>ТЭ.42.26322895.0004</v>
      </c>
      <c r="N163" s="1082"/>
      <c r="O163" s="1082"/>
      <c r="P163" s="1082"/>
      <c r="Q163" s="1082"/>
      <c r="R163" s="1082"/>
      <c r="S163" s="1082"/>
      <c r="T163" s="687" t="b" cm="1">
        <f t="array" ref="T163">T162</f>
        <v>1</v>
      </c>
      <c r="U163" s="1153"/>
      <c r="V163" s="1153"/>
      <c r="W163" s="1153"/>
      <c r="X163" s="1726"/>
      <c r="Y163" s="1153"/>
      <c r="Z163" s="1726"/>
      <c r="AA163" s="180"/>
      <c r="AB163" s="837" t="s">
        <v>484</v>
      </c>
      <c r="AC163" s="838" t="s">
        <v>1863</v>
      </c>
      <c r="AD163" s="839" t="s">
        <v>1077</v>
      </c>
      <c r="AE163" s="1398"/>
      <c r="AF163" s="1398"/>
      <c r="AG163" s="1398"/>
      <c r="AH163" s="256">
        <f t="shared" si="9"/>
        <v>0</v>
      </c>
      <c r="AI163" s="1398"/>
      <c r="AJ163" s="517"/>
      <c r="AK163" s="517"/>
      <c r="AL163" s="256">
        <f t="shared" si="10"/>
        <v>0</v>
      </c>
      <c r="AM163" s="1290"/>
      <c r="AN163" s="1290"/>
      <c r="AO163" s="1290"/>
      <c r="AP163" s="180"/>
      <c r="AQ163" s="180"/>
      <c r="AR163" s="1029" t="s">
        <v>1354</v>
      </c>
      <c r="AS163" s="1064" t="str" cm="1">
        <f t="array" aca="1" ref="AS163" ca="1">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M10558::ТЭ.42.26322895.0004::1.0.64.::Неопределено::Неопределено::Неопределено::Неопределено::Неопределено::Неопределено</v>
      </c>
    </row>
    <row r="164" spans="1:45" s="1229" customFormat="1" ht="25.5" customHeight="1">
      <c r="A164" s="983"/>
      <c r="B164" s="783"/>
      <c r="C164" s="1094" t="s">
        <v>1858</v>
      </c>
      <c r="D164" s="1053" t="s">
        <v>1859</v>
      </c>
      <c r="E164" s="676">
        <v>26.3</v>
      </c>
      <c r="F164" s="779" t="str" cm="1">
        <f t="array" aca="1" ref="F164" ca="1">OFFSET(G164,-1,-1)</f>
        <v>2</v>
      </c>
      <c r="G164" s="143" t="s">
        <v>1445</v>
      </c>
      <c r="H164" s="180"/>
      <c r="I164" s="180"/>
      <c r="J164" s="180"/>
      <c r="K164" s="180"/>
      <c r="L164" s="1082" t="s">
        <v>1864</v>
      </c>
      <c r="M164" s="1080" t="str" cm="1">
        <f t="array" aca="1" ref="M164" ca="1">OFFSET(L164,-1,1)</f>
        <v>ТЭ.42.26322895.0004</v>
      </c>
      <c r="N164" s="1082"/>
      <c r="O164" s="1082"/>
      <c r="P164" s="1082"/>
      <c r="Q164" s="1082"/>
      <c r="R164" s="1082"/>
      <c r="S164" s="1082"/>
      <c r="T164" s="687" t="b" cm="1">
        <f t="array" ref="T164">T163</f>
        <v>1</v>
      </c>
      <c r="U164" s="1153"/>
      <c r="V164" s="1153"/>
      <c r="W164" s="1153"/>
      <c r="X164" s="1726"/>
      <c r="Y164" s="1153"/>
      <c r="Z164" s="1726"/>
      <c r="AA164" s="180"/>
      <c r="AB164" s="837" t="s">
        <v>989</v>
      </c>
      <c r="AC164" s="838" t="s">
        <v>1446</v>
      </c>
      <c r="AD164" s="839" t="s">
        <v>1077</v>
      </c>
      <c r="AE164" s="256">
        <f ca="1">SUMIFS('Топливо 4.4'!AH$27:AH$436,'Топливо 4.4'!$F$27:$F$436,$F164,'Топливо 4.4'!$G$27:$G$436,$G164)</f>
        <v>0</v>
      </c>
      <c r="AF164" s="256">
        <f ca="1">SUMIFS('Топливо 4.4'!AI$27:AI$436,'Топливо 4.4'!$F$27:$F$436,$F164,'Топливо 4.4'!$G$27:$G$436,$G164)</f>
        <v>0</v>
      </c>
      <c r="AG164" s="256">
        <f ca="1">SUMIFS('Топливо 4.4'!AJ$27:AJ$436,'Топливо 4.4'!$F$27:$F$436,$F164,'Топливо 4.4'!$G$27:$G$436,$G164)</f>
        <v>0</v>
      </c>
      <c r="AH164" s="256">
        <f t="shared" ca="1" si="9"/>
        <v>0</v>
      </c>
      <c r="AI164" s="256">
        <f ca="1">SUMIFS('Топливо 4.4'!AK$27:AK$436,'Топливо 4.4'!$F$27:$F$436,$F164,'Топливо 4.4'!$G$27:$G$436,$G164)</f>
        <v>94404</v>
      </c>
      <c r="AJ164" s="256">
        <f ca="1">SUMIFS('Топливо 4.4'!AL$27:AL$436,'Топливо 4.4'!$F$27:$F$436,$F164,'Топливо 4.4'!$G$27:$G$436,$G164)</f>
        <v>0</v>
      </c>
      <c r="AK164" s="256">
        <f ca="1">SUMIFS('Топливо 4.4'!BP$27:BP$436,'Топливо 4.4'!$F$27:$F$436,$F164,'Топливо 4.4'!$G$27:$G$436,$G164)</f>
        <v>118969.10578802595</v>
      </c>
      <c r="AL164" s="256">
        <f t="shared" ca="1" si="10"/>
        <v>26.021255230738049</v>
      </c>
      <c r="AM164" s="1290"/>
      <c r="AN164" s="1290"/>
      <c r="AO164" s="1290"/>
      <c r="AP164" s="180"/>
      <c r="AQ164" s="180"/>
      <c r="AR164" s="1029" t="s">
        <v>1440</v>
      </c>
      <c r="AS164" s="1064" t="str" cm="1">
        <f t="array" aca="1" ref="AS164" ca="1">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M10558::ТЭ.42.26322895.0004::1.0.66.::Неопределено::Неопределено::Неопределено::Неопределено::Неопределено::Неопределено</v>
      </c>
    </row>
    <row r="165" spans="1:45" s="1229" customFormat="1" ht="16.5" customHeight="1">
      <c r="A165" s="983"/>
      <c r="B165" s="783"/>
      <c r="C165" s="1094" t="s">
        <v>1858</v>
      </c>
      <c r="D165" s="1053" t="s">
        <v>1859</v>
      </c>
      <c r="E165" s="676">
        <v>17.100000000000001</v>
      </c>
      <c r="F165" s="779" t="str" cm="1">
        <f t="array" aca="1" ref="F165" ca="1">OFFSET(G165,-1,-1)</f>
        <v>2</v>
      </c>
      <c r="G165" s="180"/>
      <c r="H165" s="180"/>
      <c r="I165" s="180"/>
      <c r="J165" s="180"/>
      <c r="K165" s="180"/>
      <c r="L165" s="1082" t="s">
        <v>1865</v>
      </c>
      <c r="M165" s="1080" t="str" cm="1">
        <f t="array" aca="1" ref="M165" ca="1">OFFSET(L165,-1,1)</f>
        <v>ТЭ.42.26322895.0004</v>
      </c>
      <c r="N165" s="1082"/>
      <c r="O165" s="1082"/>
      <c r="P165" s="1082"/>
      <c r="Q165" s="1082"/>
      <c r="R165" s="1082"/>
      <c r="S165" s="1082"/>
      <c r="T165" s="687" t="b" cm="1">
        <f t="array" ref="T165">T164</f>
        <v>1</v>
      </c>
      <c r="U165" s="1153"/>
      <c r="V165" s="1153"/>
      <c r="W165" s="1153"/>
      <c r="X165" s="1726"/>
      <c r="Y165" s="1153"/>
      <c r="Z165" s="1726"/>
      <c r="AA165" s="180"/>
      <c r="AB165" s="837" t="s">
        <v>991</v>
      </c>
      <c r="AC165" s="838" t="s">
        <v>39</v>
      </c>
      <c r="AD165" s="839" t="s">
        <v>1077</v>
      </c>
      <c r="AE165" s="515">
        <f ca="1">SUM(AE166:AE167)</f>
        <v>0</v>
      </c>
      <c r="AF165" s="515">
        <f ca="1">SUM(AF166:AF167)</f>
        <v>0</v>
      </c>
      <c r="AG165" s="515">
        <f ca="1">SUM(AG166:AG167)</f>
        <v>0</v>
      </c>
      <c r="AH165" s="256">
        <f t="shared" ca="1" si="9"/>
        <v>0</v>
      </c>
      <c r="AI165" s="515">
        <f ca="1">SUM(AI166:AI167)</f>
        <v>22868.380001211121</v>
      </c>
      <c r="AJ165" s="515">
        <f ca="1">SUM(AJ166:AJ167)</f>
        <v>0</v>
      </c>
      <c r="AK165" s="515">
        <f ca="1">SUM(AK166:AK167)</f>
        <v>46214.921058667423</v>
      </c>
      <c r="AL165" s="256">
        <f t="shared" ca="1" si="10"/>
        <v>102.09092666913817</v>
      </c>
      <c r="AM165" s="1290"/>
      <c r="AN165" s="1290"/>
      <c r="AO165" s="1290"/>
      <c r="AP165" s="180"/>
      <c r="AQ165" s="180"/>
      <c r="AR165" s="1029" t="s">
        <v>1866</v>
      </c>
      <c r="AS165" s="1064" t="str" cm="1">
        <f t="array" aca="1" ref="AS165" ca="1">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M10558::ТЭ.42.26322895.0004::1.0.69.::Неопределено::Неопределено::Неопределено::Неопределено::Неопределено::Неопределено</v>
      </c>
    </row>
    <row r="166" spans="1:45" s="1229" customFormat="1" ht="16.5" customHeight="1">
      <c r="A166" s="983"/>
      <c r="B166" s="783"/>
      <c r="C166" s="1094" t="s">
        <v>1858</v>
      </c>
      <c r="D166" s="1053" t="s">
        <v>1859</v>
      </c>
      <c r="E166" s="676">
        <v>17.100000000000001</v>
      </c>
      <c r="F166" s="779" t="str" cm="1">
        <f t="array" aca="1" ref="F166" ca="1">OFFSET(G166,-1,-1)</f>
        <v>2</v>
      </c>
      <c r="G166" s="143" t="s">
        <v>983</v>
      </c>
      <c r="H166" s="180"/>
      <c r="I166" s="180"/>
      <c r="J166" s="180"/>
      <c r="K166" s="180"/>
      <c r="L166" s="1082" t="s">
        <v>1867</v>
      </c>
      <c r="M166" s="1080" t="str" cm="1">
        <f t="array" aca="1" ref="M166" ca="1">OFFSET(L166,-1,1)</f>
        <v>ТЭ.42.26322895.0004</v>
      </c>
      <c r="N166" s="1082"/>
      <c r="O166" s="1082"/>
      <c r="P166" s="1082"/>
      <c r="Q166" s="1082"/>
      <c r="R166" s="1082"/>
      <c r="S166" s="1082"/>
      <c r="T166" s="687" t="b" cm="1">
        <f t="array" ref="T166">T165</f>
        <v>1</v>
      </c>
      <c r="U166" s="1153"/>
      <c r="V166" s="1153"/>
      <c r="W166" s="1153"/>
      <c r="X166" s="1726"/>
      <c r="Y166" s="1153"/>
      <c r="Z166" s="1726"/>
      <c r="AA166" s="180"/>
      <c r="AB166" s="837" t="s">
        <v>1223</v>
      </c>
      <c r="AC166" s="573" t="s">
        <v>1868</v>
      </c>
      <c r="AD166" s="839" t="s">
        <v>1077</v>
      </c>
      <c r="AE166" s="256">
        <f ca="1">SUMIFS(ЭнергоРесурсы!AE$26:AE$156,ЭнергоРесурсы!$F$26:$F$156,$F166,ЭнергоРесурсы!$G$26:$G$156,$G166)</f>
        <v>0</v>
      </c>
      <c r="AF166" s="256">
        <f ca="1">SUMIFS(ЭнергоРесурсы!AF$26:AF$156,ЭнергоРесурсы!$F$26:$F$156,$F166,ЭнергоРесурсы!$G$26:$G$156,$G166)</f>
        <v>0</v>
      </c>
      <c r="AG166" s="256">
        <f ca="1">SUMIFS(ЭнергоРесурсы!AG$26:AG$156,ЭнергоРесурсы!$F$26:$F$156,$F166,ЭнергоРесурсы!$G$26:$G$156,$G166)</f>
        <v>0</v>
      </c>
      <c r="AH166" s="256">
        <f t="shared" ca="1" si="9"/>
        <v>0</v>
      </c>
      <c r="AI166" s="256">
        <f ca="1">SUMIFS(ЭнергоРесурсы!AH$26:AH$156,ЭнергоРесурсы!$F$26:$F$156,$F166,ЭнергоРесурсы!$G$26:$G$156,$G166)</f>
        <v>22868.380001211121</v>
      </c>
      <c r="AJ166" s="256">
        <f ca="1">SUMIFS(ЭнергоРесурсы!AI$26:AI$156,ЭнергоРесурсы!$F$26:$F$156,$F166,ЭнергоРесурсы!$G$26:$G$156,$G166)</f>
        <v>0</v>
      </c>
      <c r="AK166" s="256">
        <f ca="1">SUMIFS(ЭнергоРесурсы!AS$26:AS$156,ЭнергоРесурсы!$F$26:$F$156,$F166,ЭнергоРесурсы!$G$26:$G$156,$G166)</f>
        <v>46214.921058667423</v>
      </c>
      <c r="AL166" s="256">
        <f t="shared" ca="1" si="10"/>
        <v>102.09092666913817</v>
      </c>
      <c r="AM166" s="1290"/>
      <c r="AN166" s="1290"/>
      <c r="AO166" s="1290"/>
      <c r="AP166" s="180"/>
      <c r="AQ166" s="180"/>
      <c r="AR166" s="1029" t="s">
        <v>1869</v>
      </c>
      <c r="AS166" s="1064" t="str" cm="1">
        <f t="array" aca="1" ref="AS166" ca="1">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M10558::ТЭ.42.26322895.0004::1.0.82.::Неопределено::Неопределено::Неопределено::Неопределено::Неопределено::Неопределено</v>
      </c>
    </row>
    <row r="167" spans="1:45" s="1229" customFormat="1" ht="16.5" customHeight="1">
      <c r="A167" s="983"/>
      <c r="B167" s="783"/>
      <c r="C167" s="1094" t="s">
        <v>1858</v>
      </c>
      <c r="D167" s="1053" t="s">
        <v>1859</v>
      </c>
      <c r="E167" s="676">
        <v>17.100000000000001</v>
      </c>
      <c r="F167" s="779" t="str" cm="1">
        <f t="array" aca="1" ref="F167" ca="1">OFFSET(G167,-1,-1)</f>
        <v>2</v>
      </c>
      <c r="G167" s="143" t="s">
        <v>1018</v>
      </c>
      <c r="H167" s="180"/>
      <c r="I167" s="180"/>
      <c r="J167" s="180"/>
      <c r="K167" s="180"/>
      <c r="L167" s="1082" t="s">
        <v>1870</v>
      </c>
      <c r="M167" s="1080" t="str" cm="1">
        <f t="array" aca="1" ref="M167" ca="1">OFFSET(L167,-1,1)</f>
        <v>ТЭ.42.26322895.0004</v>
      </c>
      <c r="N167" s="1082"/>
      <c r="O167" s="1082"/>
      <c r="P167" s="1082"/>
      <c r="Q167" s="1082"/>
      <c r="R167" s="1082"/>
      <c r="S167" s="1082"/>
      <c r="T167" s="687" t="b" cm="1">
        <f t="array" ref="T167">T166</f>
        <v>1</v>
      </c>
      <c r="U167" s="1153"/>
      <c r="V167" s="1153"/>
      <c r="W167" s="1153"/>
      <c r="X167" s="1726"/>
      <c r="Y167" s="1153"/>
      <c r="Z167" s="1726"/>
      <c r="AA167" s="180"/>
      <c r="AB167" s="837" t="s">
        <v>1227</v>
      </c>
      <c r="AC167" s="573" t="s">
        <v>1871</v>
      </c>
      <c r="AD167" s="839" t="s">
        <v>1077</v>
      </c>
      <c r="AE167" s="256">
        <f ca="1">SUMIFS(ЭнергоРесурсы!AE$26:AE$156,ЭнергоРесурсы!$F$26:$F$156,$F167,ЭнергоРесурсы!$G$26:$G$156,$G167)</f>
        <v>0</v>
      </c>
      <c r="AF167" s="256">
        <f ca="1">SUMIFS(ЭнергоРесурсы!AF$26:AF$156,ЭнергоРесурсы!$F$26:$F$156,$F167,ЭнергоРесурсы!$G$26:$G$156,$G167)</f>
        <v>0</v>
      </c>
      <c r="AG167" s="256">
        <f ca="1">SUMIFS(ЭнергоРесурсы!AG$26:AG$156,ЭнергоРесурсы!$F$26:$F$156,$F167,ЭнергоРесурсы!$G$26:$G$156,$G167)</f>
        <v>0</v>
      </c>
      <c r="AH167" s="256">
        <f t="shared" ca="1" si="9"/>
        <v>0</v>
      </c>
      <c r="AI167" s="256">
        <f ca="1">SUMIFS(ЭнергоРесурсы!AH$26:AH$156,ЭнергоРесурсы!$F$26:$F$156,$F167,ЭнергоРесурсы!$G$26:$G$156,$G167)</f>
        <v>0</v>
      </c>
      <c r="AJ167" s="256">
        <f ca="1">SUMIFS(ЭнергоРесурсы!AI$26:AI$156,ЭнергоРесурсы!$F$26:$F$156,$F167,ЭнергоРесурсы!$G$26:$G$156,$G167)</f>
        <v>0</v>
      </c>
      <c r="AK167" s="256">
        <f ca="1">SUMIFS(ЭнергоРесурсы!AS$26:AS$156,ЭнергоРесурсы!$F$26:$F$156,$F167,ЭнергоРесурсы!$G$26:$G$156,$G167)</f>
        <v>0</v>
      </c>
      <c r="AL167" s="256">
        <f t="shared" ca="1" si="10"/>
        <v>0</v>
      </c>
      <c r="AM167" s="1290"/>
      <c r="AN167" s="1290"/>
      <c r="AO167" s="1290"/>
      <c r="AP167" s="180"/>
      <c r="AQ167" s="180"/>
      <c r="AR167" s="1029" t="s">
        <v>1872</v>
      </c>
      <c r="AS167" s="1064" t="str" cm="1">
        <f t="array" aca="1" ref="AS167" ca="1">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M10558::ТЭ.42.26322895.0004::1.0.80.::Неопределено::Неопределено::Неопределено::Неопределено::Неопределено::Неопределено</v>
      </c>
    </row>
    <row r="168" spans="1:45" s="1229" customFormat="1" ht="16.5" customHeight="1">
      <c r="A168" s="983"/>
      <c r="B168" s="783"/>
      <c r="C168" s="1094" t="s">
        <v>1858</v>
      </c>
      <c r="D168" s="1053" t="s">
        <v>1859</v>
      </c>
      <c r="E168" s="676">
        <v>17.100000000000001</v>
      </c>
      <c r="F168" s="779" t="str" cm="1">
        <f t="array" aca="1" ref="F168" ca="1">OFFSET(G168,-1,-1)</f>
        <v>2</v>
      </c>
      <c r="G168" s="143" t="s">
        <v>1050</v>
      </c>
      <c r="H168" s="180"/>
      <c r="I168" s="180"/>
      <c r="J168" s="180"/>
      <c r="K168" s="180"/>
      <c r="L168" s="1082" t="s">
        <v>1873</v>
      </c>
      <c r="M168" s="1080" t="str" cm="1">
        <f t="array" aca="1" ref="M168" ca="1">OFFSET(L168,-1,1)</f>
        <v>ТЭ.42.26322895.0004</v>
      </c>
      <c r="N168" s="1082"/>
      <c r="O168" s="1082"/>
      <c r="P168" s="1082"/>
      <c r="Q168" s="1082"/>
      <c r="R168" s="1082"/>
      <c r="S168" s="1082"/>
      <c r="T168" s="687" t="b" cm="1">
        <f t="array" ref="T168">T167</f>
        <v>1</v>
      </c>
      <c r="U168" s="1153"/>
      <c r="V168" s="1153"/>
      <c r="W168" s="1153"/>
      <c r="X168" s="1726"/>
      <c r="Y168" s="1153"/>
      <c r="Z168" s="1726"/>
      <c r="AA168" s="180"/>
      <c r="AB168" s="837" t="s">
        <v>995</v>
      </c>
      <c r="AC168" s="838" t="s">
        <v>1051</v>
      </c>
      <c r="AD168" s="839" t="s">
        <v>1077</v>
      </c>
      <c r="AE168" s="463">
        <f ca="1">SUMIFS('ХВС, ТН'!AE$26:AE$72,'ХВС, ТН'!$F$26:$F$72,$F168,'ХВС, ТН'!$G$26:$G$72,$G168)</f>
        <v>0</v>
      </c>
      <c r="AF168" s="463">
        <f ca="1">SUMIFS('ХВС, ТН'!AF$26:AF$72,'ХВС, ТН'!$F$26:$F$72,$F168,'ХВС, ТН'!$G$26:$G$72,$G168)</f>
        <v>0</v>
      </c>
      <c r="AG168" s="463">
        <f ca="1">SUMIFS('ХВС, ТН'!AG$26:AG$72,'ХВС, ТН'!$F$26:$F$72,$F168,'ХВС, ТН'!$G$26:$G$72,$G168)</f>
        <v>0</v>
      </c>
      <c r="AH168" s="256">
        <f t="shared" ca="1" si="9"/>
        <v>0</v>
      </c>
      <c r="AI168" s="463">
        <f ca="1">SUMIFS('ХВС, ТН'!AH$26:AH$72,'ХВС, ТН'!$F$26:$F$72,$F168,'ХВС, ТН'!$G$26:$G$72,$G168)</f>
        <v>10646.549941719999</v>
      </c>
      <c r="AJ168" s="463">
        <f ca="1">SUMIFS('ХВС, ТН'!AI$26:AI$72,'ХВС, ТН'!$F$26:$F$72,$F168,'ХВС, ТН'!$G$26:$G$72,$G168)</f>
        <v>0</v>
      </c>
      <c r="AK168" s="463">
        <f ca="1">SUMIFS('ХВС, ТН'!AS$26:AS$72,'ХВС, ТН'!$F$26:$F$72,$F168,'ХВС, ТН'!$G$26:$G$72,$G168)</f>
        <v>14405.681400000001</v>
      </c>
      <c r="AL168" s="256">
        <f t="shared" ca="1" si="10"/>
        <v>35.308447138817414</v>
      </c>
      <c r="AM168" s="1290"/>
      <c r="AN168" s="1290"/>
      <c r="AO168" s="1290"/>
      <c r="AP168" s="180"/>
      <c r="AQ168" s="180"/>
      <c r="AR168" s="1029" t="s">
        <v>1450</v>
      </c>
      <c r="AS168" s="1064" t="str" cm="1">
        <f t="array" aca="1" ref="AS168" ca="1">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M10558::ТЭ.42.26322895.0004::1.0.86.::Неопределено::Неопределено::Неопределено::Неопределено::Неопределено::Неопределено</v>
      </c>
    </row>
    <row r="169" spans="1:45" s="1229" customFormat="1" ht="16.5" customHeight="1">
      <c r="A169" s="983"/>
      <c r="B169" s="783"/>
      <c r="C169" s="1094" t="s">
        <v>1858</v>
      </c>
      <c r="D169" s="1053" t="s">
        <v>1859</v>
      </c>
      <c r="E169" s="676">
        <v>17.100000000000001</v>
      </c>
      <c r="F169" s="779" t="str" cm="1">
        <f t="array" aca="1" ref="F169" ca="1">OFFSET(G169,-1,-1)</f>
        <v>2</v>
      </c>
      <c r="G169" s="143" t="s">
        <v>1061</v>
      </c>
      <c r="H169" s="180"/>
      <c r="I169" s="180"/>
      <c r="J169" s="180"/>
      <c r="K169" s="180"/>
      <c r="L169" s="1082" t="s">
        <v>1874</v>
      </c>
      <c r="M169" s="1080" t="str" cm="1">
        <f t="array" aca="1" ref="M169" ca="1">OFFSET(L169,-1,1)</f>
        <v>ТЭ.42.26322895.0004</v>
      </c>
      <c r="N169" s="1082"/>
      <c r="O169" s="1082"/>
      <c r="P169" s="1082"/>
      <c r="Q169" s="1082"/>
      <c r="R169" s="1082"/>
      <c r="S169" s="1082"/>
      <c r="T169" s="687" t="b" cm="1">
        <f t="array" ref="T169">T168</f>
        <v>1</v>
      </c>
      <c r="U169" s="1153"/>
      <c r="V169" s="1153"/>
      <c r="W169" s="1153"/>
      <c r="X169" s="1726"/>
      <c r="Y169" s="1153"/>
      <c r="Z169" s="1726"/>
      <c r="AA169" s="180"/>
      <c r="AB169" s="837" t="s">
        <v>1100</v>
      </c>
      <c r="AC169" s="838" t="s">
        <v>1062</v>
      </c>
      <c r="AD169" s="839" t="s">
        <v>1077</v>
      </c>
      <c r="AE169" s="463">
        <f ca="1">SUMIFS('ХВС, ТН'!AE$26:AE$72,'ХВС, ТН'!$F$26:$F$72,$F169,'ХВС, ТН'!$G$26:$G$72,$G169)</f>
        <v>0</v>
      </c>
      <c r="AF169" s="463">
        <f ca="1">SUMIFS('ХВС, ТН'!AF$26:AF$72,'ХВС, ТН'!$F$26:$F$72,$F169,'ХВС, ТН'!$G$26:$G$72,$G169)</f>
        <v>0</v>
      </c>
      <c r="AG169" s="463">
        <f ca="1">SUMIFS('ХВС, ТН'!AG$26:AG$72,'ХВС, ТН'!$F$26:$F$72,$F169,'ХВС, ТН'!$G$26:$G$72,$G169)</f>
        <v>0</v>
      </c>
      <c r="AH169" s="256">
        <f t="shared" ca="1" si="9"/>
        <v>0</v>
      </c>
      <c r="AI169" s="463">
        <f ca="1">SUMIFS('ХВС, ТН'!AH$26:AH$72,'ХВС, ТН'!$F$26:$F$72,$F169,'ХВС, ТН'!$G$26:$G$72,$G169)</f>
        <v>0</v>
      </c>
      <c r="AJ169" s="463">
        <f ca="1">SUMIFS('ХВС, ТН'!AI$26:AI$72,'ХВС, ТН'!$F$26:$F$72,$F169,'ХВС, ТН'!$G$26:$G$72,$G169)</f>
        <v>0</v>
      </c>
      <c r="AK169" s="463">
        <f ca="1">SUMIFS('ХВС, ТН'!AS$26:AS$72,'ХВС, ТН'!$F$26:$F$72,$F169,'ХВС, ТН'!$G$26:$G$72,$G169)</f>
        <v>0</v>
      </c>
      <c r="AL169" s="256">
        <f t="shared" ca="1" si="10"/>
        <v>0</v>
      </c>
      <c r="AM169" s="1290"/>
      <c r="AN169" s="1290"/>
      <c r="AO169" s="1290"/>
      <c r="AP169" s="180"/>
      <c r="AQ169" s="180"/>
      <c r="AR169" s="1029" t="s">
        <v>1451</v>
      </c>
      <c r="AS169" s="1064" t="str" cm="1">
        <f t="array" aca="1" ref="AS169" ca="1">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M10558::ТЭ.42.26322895.0004::1.0.88.::Неопределено::Неопределено::Неопределено::Неопределено::Неопределено::Неопределено</v>
      </c>
    </row>
    <row r="170" spans="1:45" s="1229" customFormat="1" ht="16.5" customHeight="1">
      <c r="A170" s="983"/>
      <c r="B170" s="783"/>
      <c r="C170" s="1094" t="s">
        <v>1858</v>
      </c>
      <c r="D170" s="1053" t="s">
        <v>1859</v>
      </c>
      <c r="E170" s="676">
        <v>17.100000000000001</v>
      </c>
      <c r="F170" s="779" t="str" cm="1">
        <f t="array" aca="1" ref="F170" ca="1">OFFSET(G170,-1,-1)</f>
        <v>2</v>
      </c>
      <c r="G170" s="143" t="s">
        <v>1187</v>
      </c>
      <c r="H170" s="180"/>
      <c r="I170" s="180"/>
      <c r="J170" s="180"/>
      <c r="K170" s="180"/>
      <c r="L170" s="1082" t="s">
        <v>1875</v>
      </c>
      <c r="M170" s="1080" t="str" cm="1">
        <f t="array" aca="1" ref="M170" ca="1">OFFSET(L170,-1,1)</f>
        <v>ТЭ.42.26322895.0004</v>
      </c>
      <c r="N170" s="1082"/>
      <c r="O170" s="1082"/>
      <c r="P170" s="1082"/>
      <c r="Q170" s="1082"/>
      <c r="R170" s="1082"/>
      <c r="S170" s="1082"/>
      <c r="T170" s="687" t="b" cm="1">
        <f t="array" ref="T170">T169</f>
        <v>1</v>
      </c>
      <c r="U170" s="1153"/>
      <c r="V170" s="1153"/>
      <c r="W170" s="1153"/>
      <c r="X170" s="1726"/>
      <c r="Y170" s="1153"/>
      <c r="Z170" s="1726"/>
      <c r="AA170" s="180"/>
      <c r="AB170" s="837" t="s">
        <v>1103</v>
      </c>
      <c r="AC170" s="838" t="s">
        <v>1429</v>
      </c>
      <c r="AD170" s="839" t="s">
        <v>1077</v>
      </c>
      <c r="AE170" s="515">
        <f ca="1">SUMIFS(Амортизация!AE$26:AE$324,Амортизация!$F$26:$F$324,$F170,Амортизация!$G$26:$G$324,$G170)</f>
        <v>0</v>
      </c>
      <c r="AF170" s="515">
        <f ca="1">SUMIFS(Амортизация!AF$26:AF$324,Амортизация!$F$26:$F$324,$F170,Амортизация!$G$26:$G$324,$G170)</f>
        <v>0</v>
      </c>
      <c r="AG170" s="515">
        <f ca="1">SUMIFS(Амортизация!AG$26:AG$324,Амортизация!$F$26:$F$324,$F170,Амортизация!$G$26:$G$324,$G170)</f>
        <v>0</v>
      </c>
      <c r="AH170" s="256">
        <f t="shared" ca="1" si="9"/>
        <v>0</v>
      </c>
      <c r="AI170" s="515">
        <f ca="1">SUMIFS(Амортизация!AH$26:AH$324,Амортизация!$F$26:$F$324,$F170,Амортизация!$G$26:$G$324,$G170)</f>
        <v>7522.2</v>
      </c>
      <c r="AJ170" s="515">
        <f ca="1">SUMIFS(Амортизация!AI$26:AI$324,Амортизация!$F$26:$F$324,$F170,Амортизация!$G$26:$G$324,$G170)</f>
        <v>0</v>
      </c>
      <c r="AK170" s="515">
        <f ca="1">SUMIFS(Амортизация!AS$26:AS$324,Амортизация!$F$26:$F$324,$F170,Амортизация!$G$26:$G$324,$G170)</f>
        <v>15930.82</v>
      </c>
      <c r="AL170" s="256">
        <f t="shared" ca="1" si="10"/>
        <v>111.78405253782138</v>
      </c>
      <c r="AM170" s="1290"/>
      <c r="AN170" s="1290"/>
      <c r="AO170" s="1290"/>
      <c r="AP170" s="180"/>
      <c r="AQ170" s="180"/>
      <c r="AR170" s="1029" t="s">
        <v>1430</v>
      </c>
      <c r="AS170" s="1064" t="str" cm="1">
        <f t="array" aca="1" ref="AS170" ca="1">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M10558::ТЭ.42.26322895.0004::1.0.2.::Неопределено::Неопределено::Неопределено::Неопределено::Неопределено::Неопределено</v>
      </c>
    </row>
    <row r="171" spans="1:45" s="1229" customFormat="1" ht="16.5" customHeight="1">
      <c r="A171" s="983"/>
      <c r="B171" s="783"/>
      <c r="C171" s="1094" t="s">
        <v>1858</v>
      </c>
      <c r="D171" s="1053" t="s">
        <v>1859</v>
      </c>
      <c r="E171" s="676">
        <v>17.100000000000001</v>
      </c>
      <c r="F171" s="779" t="str" cm="1">
        <f t="array" aca="1" ref="F171" ca="1">OFFSET(G171,-1,-1)</f>
        <v>2</v>
      </c>
      <c r="G171" s="143" t="s">
        <v>48</v>
      </c>
      <c r="H171" s="180"/>
      <c r="I171" s="180"/>
      <c r="J171" s="180"/>
      <c r="K171" s="180"/>
      <c r="L171" s="1082" t="s">
        <v>1876</v>
      </c>
      <c r="M171" s="1080" t="str" cm="1">
        <f t="array" aca="1" ref="M171" ca="1">OFFSET(L171,-1,1)</f>
        <v>ТЭ.42.26322895.0004</v>
      </c>
      <c r="N171" s="1082"/>
      <c r="O171" s="1082"/>
      <c r="P171" s="1082"/>
      <c r="Q171" s="1082"/>
      <c r="R171" s="1082"/>
      <c r="S171" s="1082"/>
      <c r="T171" s="687" t="b" cm="1">
        <f t="array" ref="T171">T170</f>
        <v>1</v>
      </c>
      <c r="U171" s="1153"/>
      <c r="V171" s="1153"/>
      <c r="W171" s="1153"/>
      <c r="X171" s="1726"/>
      <c r="Y171" s="1153"/>
      <c r="Z171" s="1726"/>
      <c r="AA171" s="180"/>
      <c r="AB171" s="837" t="s">
        <v>1106</v>
      </c>
      <c r="AC171" s="838" t="s">
        <v>1877</v>
      </c>
      <c r="AD171" s="839" t="s">
        <v>1077</v>
      </c>
      <c r="AE171" s="256">
        <f ca="1">SUMIFS(ФОТ!AE$26:AE$114,ФОТ!$F$26:$F$114,$F171,ФОТ!$G$26:$G$114,$G171)</f>
        <v>0</v>
      </c>
      <c r="AF171" s="256">
        <f ca="1">SUMIFS(ФОТ!AF$26:AF$114,ФОТ!$F$26:$F$114,$F171,ФОТ!$G$26:$G$114,$G171)</f>
        <v>0</v>
      </c>
      <c r="AG171" s="256">
        <f ca="1">SUMIFS(ФОТ!AG$26:AG$114,ФОТ!$F$26:$F$114,$F171,ФОТ!$G$26:$G$114,$G171)</f>
        <v>0</v>
      </c>
      <c r="AH171" s="256">
        <f t="shared" ca="1" si="9"/>
        <v>0</v>
      </c>
      <c r="AI171" s="256">
        <f ca="1">SUMIFS(ФОТ!AH$26:AH$114,ФОТ!$F$26:$F$114,$F171,ФОТ!$G$26:$G$114,$G171)</f>
        <v>8448.25</v>
      </c>
      <c r="AJ171" s="256">
        <f ca="1">SUMIFS(ФОТ!AI$26:AI$114,ФОТ!$F$26:$F$114,$F171,ФОТ!$G$26:$G$114,$G171)</f>
        <v>0</v>
      </c>
      <c r="AK171" s="256">
        <f ca="1">SUMIFS(ФОТ!AJ$26:AJ$114,ФОТ!$F$26:$F$114,$F171,ФОТ!$G$26:$G$114,$G171)</f>
        <v>9218.8492079999978</v>
      </c>
      <c r="AL171" s="256">
        <f t="shared" ca="1" si="10"/>
        <v>9.1214063030804944</v>
      </c>
      <c r="AM171" s="1290"/>
      <c r="AN171" s="1290"/>
      <c r="AO171" s="1290"/>
      <c r="AP171" s="180"/>
      <c r="AQ171" s="180"/>
      <c r="AR171" s="1029" t="s">
        <v>1357</v>
      </c>
      <c r="AS171" s="1064" t="str" cm="1">
        <f t="array" aca="1" ref="AS171" ca="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M10558::ТЭ.42.26322895.0004::1.0.15.::Неопределено::Неопределено::Неопределено::Неопределено::Неопределено::Неопределено</v>
      </c>
    </row>
    <row r="172" spans="1:45" s="1229" customFormat="1" ht="16.5" customHeight="1">
      <c r="A172" s="983"/>
      <c r="B172" s="783"/>
      <c r="C172" s="1094" t="s">
        <v>1858</v>
      </c>
      <c r="D172" s="1053" t="s">
        <v>1859</v>
      </c>
      <c r="E172" s="676">
        <v>17.100000000000001</v>
      </c>
      <c r="F172" s="779" t="str" cm="1">
        <f t="array" aca="1" ref="F172" ca="1">OFFSET(G172,-1,-1)</f>
        <v>2</v>
      </c>
      <c r="G172" s="180"/>
      <c r="H172" s="180"/>
      <c r="I172" s="180"/>
      <c r="J172" s="180"/>
      <c r="K172" s="180"/>
      <c r="L172" s="1082" t="s">
        <v>1878</v>
      </c>
      <c r="M172" s="1080" t="str" cm="1">
        <f t="array" aca="1" ref="M172" ca="1">OFFSET(L172,-1,1)</f>
        <v>ТЭ.42.26322895.0004</v>
      </c>
      <c r="N172" s="1082"/>
      <c r="O172" s="1082"/>
      <c r="P172" s="1082"/>
      <c r="Q172" s="1082"/>
      <c r="R172" s="1082"/>
      <c r="S172" s="1082"/>
      <c r="T172" s="687" t="b" cm="1">
        <f t="array" ref="T172">T171</f>
        <v>1</v>
      </c>
      <c r="U172" s="1153"/>
      <c r="V172" s="1153"/>
      <c r="W172" s="1153"/>
      <c r="X172" s="1726"/>
      <c r="Y172" s="1153"/>
      <c r="Z172" s="1726"/>
      <c r="AA172" s="180"/>
      <c r="AB172" s="837" t="s">
        <v>1109</v>
      </c>
      <c r="AC172" s="838" t="s">
        <v>1422</v>
      </c>
      <c r="AD172" s="839" t="s">
        <v>1077</v>
      </c>
      <c r="AE172" s="1398"/>
      <c r="AF172" s="1398"/>
      <c r="AG172" s="1398"/>
      <c r="AH172" s="256">
        <f t="shared" si="9"/>
        <v>0</v>
      </c>
      <c r="AI172" s="1398"/>
      <c r="AJ172" s="517"/>
      <c r="AK172" s="517"/>
      <c r="AL172" s="256">
        <f t="shared" si="10"/>
        <v>0</v>
      </c>
      <c r="AM172" s="1290"/>
      <c r="AN172" s="1290"/>
      <c r="AO172" s="1290"/>
      <c r="AP172" s="180"/>
      <c r="AQ172" s="180"/>
      <c r="AR172" s="1029" t="s">
        <v>1423</v>
      </c>
      <c r="AS172" s="1064" t="str" cm="1">
        <f t="array" aca="1" ref="AS172" ca="1">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M10558::ТЭ.42.26322895.0004::1.0.85.::Неопределено::Неопределено::Неопределено::Неопределено::Неопределено::Неопределено</v>
      </c>
    </row>
    <row r="173" spans="1:45" s="1229" customFormat="1" ht="16.5" customHeight="1">
      <c r="A173" s="983"/>
      <c r="B173" s="783"/>
      <c r="C173" s="1094" t="s">
        <v>1879</v>
      </c>
      <c r="D173" s="1053" t="s">
        <v>1880</v>
      </c>
      <c r="E173" s="676">
        <v>17.100000000000001</v>
      </c>
      <c r="F173" s="779" t="str" cm="1">
        <f t="array" aca="1" ref="F173" ca="1">OFFSET(G173,-1,-1)</f>
        <v>2</v>
      </c>
      <c r="G173" s="180"/>
      <c r="H173" s="180"/>
      <c r="I173" s="180"/>
      <c r="J173" s="180"/>
      <c r="K173" s="180"/>
      <c r="L173" s="1082" t="s">
        <v>1881</v>
      </c>
      <c r="M173" s="1080" t="str" cm="1">
        <f t="array" aca="1" ref="M173" ca="1">OFFSET(L173,-1,1)</f>
        <v>ТЭ.42.26322895.0004</v>
      </c>
      <c r="N173" s="1082"/>
      <c r="O173" s="1082"/>
      <c r="P173" s="1082"/>
      <c r="Q173" s="1082"/>
      <c r="R173" s="1082"/>
      <c r="S173" s="1082"/>
      <c r="T173" s="687" t="b" cm="1">
        <f t="array" ref="T173">T172</f>
        <v>1</v>
      </c>
      <c r="U173" s="1153"/>
      <c r="V173" s="1153"/>
      <c r="W173" s="1153"/>
      <c r="X173" s="1726"/>
      <c r="Y173" s="1153"/>
      <c r="Z173" s="1726"/>
      <c r="AA173" s="180"/>
      <c r="AB173" s="837" t="s">
        <v>1882</v>
      </c>
      <c r="AC173" s="573" t="s">
        <v>1883</v>
      </c>
      <c r="AD173" s="839" t="s">
        <v>533</v>
      </c>
      <c r="AE173" s="1398"/>
      <c r="AF173" s="1398"/>
      <c r="AG173" s="1398"/>
      <c r="AH173" s="256">
        <f t="shared" si="9"/>
        <v>0</v>
      </c>
      <c r="AI173" s="1398"/>
      <c r="AJ173" s="517"/>
      <c r="AK173" s="517"/>
      <c r="AL173" s="256">
        <f t="shared" si="10"/>
        <v>0</v>
      </c>
      <c r="AM173" s="1290"/>
      <c r="AN173" s="1290"/>
      <c r="AO173" s="1290"/>
      <c r="AP173" s="180"/>
      <c r="AQ173" s="180"/>
      <c r="AR173" s="1029" t="s">
        <v>1420</v>
      </c>
      <c r="AS173" s="1064" t="str" cm="1">
        <f t="array" aca="1" ref="AS173" ca="1">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M10532::ТЭ.42.26322895.0004::1.0.76.::Неопределено::Неопределено::Неопределено::Неопределено::Неопределено::Неопределено</v>
      </c>
    </row>
    <row r="174" spans="1:45" s="1229" customFormat="1" ht="16.5" customHeight="1">
      <c r="A174" s="983"/>
      <c r="B174" s="783"/>
      <c r="C174" s="1094" t="s">
        <v>1884</v>
      </c>
      <c r="D174" s="1053" t="s">
        <v>1885</v>
      </c>
      <c r="E174" s="676">
        <v>17.100000000000001</v>
      </c>
      <c r="F174" s="779" t="str" cm="1">
        <f t="array" aca="1" ref="F174" ca="1">OFFSET(G174,-1,-1)</f>
        <v>2</v>
      </c>
      <c r="G174" s="180"/>
      <c r="H174" s="180"/>
      <c r="I174" s="180"/>
      <c r="J174" s="180"/>
      <c r="K174" s="180"/>
      <c r="L174" s="1082"/>
      <c r="M174" s="1080" t="str" cm="1">
        <f t="array" aca="1" ref="M174" ca="1">OFFSET(L174,-1,1)</f>
        <v>ТЭ.42.26322895.0004</v>
      </c>
      <c r="N174" s="1082" t="s">
        <v>1886</v>
      </c>
      <c r="O174" s="1082"/>
      <c r="P174" s="1082"/>
      <c r="Q174" s="1082"/>
      <c r="R174" s="1082"/>
      <c r="S174" s="1082"/>
      <c r="T174" s="687" t="b" cm="1">
        <f t="array" ref="T174">T173</f>
        <v>1</v>
      </c>
      <c r="U174" s="1153"/>
      <c r="V174" s="1153"/>
      <c r="W174" s="1153"/>
      <c r="X174" s="1726"/>
      <c r="Y174" s="1153"/>
      <c r="Z174" s="1726"/>
      <c r="AA174" s="180"/>
      <c r="AB174" s="837" t="s">
        <v>1324</v>
      </c>
      <c r="AC174" s="838" t="s">
        <v>1887</v>
      </c>
      <c r="AD174" s="839" t="s">
        <v>1077</v>
      </c>
      <c r="AE174" s="1398"/>
      <c r="AF174" s="1398"/>
      <c r="AG174" s="1398"/>
      <c r="AH174" s="256">
        <f t="shared" si="9"/>
        <v>0</v>
      </c>
      <c r="AI174" s="1398"/>
      <c r="AJ174" s="517"/>
      <c r="AK174" s="517"/>
      <c r="AL174" s="256">
        <f t="shared" si="10"/>
        <v>0</v>
      </c>
      <c r="AM174" s="1290"/>
      <c r="AN174" s="1290"/>
      <c r="AO174" s="1290"/>
      <c r="AP174" s="180"/>
      <c r="AQ174" s="180"/>
      <c r="AR174" s="1029" t="s">
        <v>1888</v>
      </c>
      <c r="AS174" s="1064" t="str" cm="1">
        <f t="array" aca="1" ref="AS174" ca="1">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M10699::ТЭ.42.26322895.0004::Неопределено::110.0.7.::Неопределено::Неопределено::Неопределено::Неопределено::Неопределено</v>
      </c>
    </row>
    <row r="175" spans="1:45" s="1229" customFormat="1" ht="33.75" customHeight="1">
      <c r="A175" s="983"/>
      <c r="B175" s="783"/>
      <c r="C175" s="1094" t="s">
        <v>47</v>
      </c>
      <c r="D175" s="1053" t="s">
        <v>1889</v>
      </c>
      <c r="E175" s="676">
        <v>35</v>
      </c>
      <c r="F175" s="779" t="str" cm="1">
        <f t="array" aca="1" ref="F175" ca="1">OFFSET(G175,-1,-1)</f>
        <v>2</v>
      </c>
      <c r="G175" s="143" t="s">
        <v>1237</v>
      </c>
      <c r="H175" s="180"/>
      <c r="I175" s="180"/>
      <c r="J175" s="180"/>
      <c r="K175" s="180"/>
      <c r="L175" s="1082"/>
      <c r="M175" s="1080" t="str" cm="1">
        <f t="array" aca="1" ref="M175" ca="1">OFFSET(L175,-1,1)</f>
        <v>ТЭ.42.26322895.0004</v>
      </c>
      <c r="N175" s="1082" t="s">
        <v>1890</v>
      </c>
      <c r="O175" s="1082"/>
      <c r="P175" s="1082"/>
      <c r="Q175" s="1082"/>
      <c r="R175" s="1082"/>
      <c r="S175" s="1082"/>
      <c r="T175" s="687" t="b" cm="1">
        <f t="array" ref="T175">T174</f>
        <v>1</v>
      </c>
      <c r="U175" s="1153"/>
      <c r="V175" s="1153"/>
      <c r="W175" s="1153"/>
      <c r="X175" s="1726"/>
      <c r="Y175" s="1153"/>
      <c r="Z175" s="1726"/>
      <c r="AA175" s="180"/>
      <c r="AB175" s="837" t="s">
        <v>1891</v>
      </c>
      <c r="AC175" s="838" t="s">
        <v>1892</v>
      </c>
      <c r="AD175" s="839" t="s">
        <v>1077</v>
      </c>
      <c r="AE175" s="515">
        <f ca="1">SUMIFS('Покупка услуг'!AE$26:AE$96,'Покупка услуг'!$F$26:$F$96,$F175,'Покупка услуг'!$G$26:$G$96,$G175)</f>
        <v>0</v>
      </c>
      <c r="AF175" s="515">
        <f ca="1">SUMIFS('Покупка услуг'!AF$26:AF$96,'Покупка услуг'!$F$26:$F$96,$F175,'Покупка услуг'!$G$26:$G$96,$G175)</f>
        <v>0</v>
      </c>
      <c r="AG175" s="515">
        <f ca="1">SUMIFS('Покупка услуг'!AG$26:AG$96,'Покупка услуг'!$F$26:$F$96,$F175,'Покупка услуг'!$G$26:$G$96,$G175)</f>
        <v>0</v>
      </c>
      <c r="AH175" s="256">
        <f t="shared" ca="1" si="9"/>
        <v>0</v>
      </c>
      <c r="AI175" s="515">
        <f ca="1">SUMIFS('Покупка услуг'!AH$26:AH$96,'Покупка услуг'!$F$26:$F$96,$F175,'Покупка услуг'!$G$26:$G$96,$G175)</f>
        <v>5301.9999999999009</v>
      </c>
      <c r="AJ175" s="515">
        <f ca="1">SUMIFS('Покупка услуг'!AI$26:AI$96,'Покупка услуг'!$F$26:$F$96,$F175,'Покупка услуг'!$G$26:$G$96,$G175)</f>
        <v>0</v>
      </c>
      <c r="AK175" s="515">
        <f ca="1">SUMIFS('Покупка услуг'!AS$26:AS$96,'Покупка услуг'!$F$26:$F$96,$F175,'Покупка услуг'!$G$26:$G$96,$G175)</f>
        <v>9235.5652035200001</v>
      </c>
      <c r="AL175" s="256">
        <f t="shared" ca="1" si="10"/>
        <v>74.190215079595873</v>
      </c>
      <c r="AM175" s="1290"/>
      <c r="AN175" s="1290"/>
      <c r="AO175" s="1290"/>
      <c r="AP175" s="180"/>
      <c r="AQ175" s="180"/>
      <c r="AR175" s="1029" t="s">
        <v>1893</v>
      </c>
      <c r="AS175" s="1064" t="str" cm="1">
        <f t="array" aca="1" ref="AS175" ca="1">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M10712::ТЭ.42.26322895.0004::Неопределено::110.0.13.::Неопределено::Неопределено::Неопределено::Неопределено::Неопределено</v>
      </c>
    </row>
    <row r="176" spans="1:45" s="1229" customFormat="1" ht="33.75" customHeight="1">
      <c r="A176" s="983"/>
      <c r="B176" s="783"/>
      <c r="C176" s="1094" t="s">
        <v>1858</v>
      </c>
      <c r="D176" s="1053" t="s">
        <v>1859</v>
      </c>
      <c r="E176" s="676">
        <v>35</v>
      </c>
      <c r="F176" s="779" t="str" cm="1">
        <f t="array" aca="1" ref="F176" ca="1">OFFSET(G176,-1,-1)</f>
        <v>2</v>
      </c>
      <c r="G176" s="180"/>
      <c r="H176" s="180"/>
      <c r="I176" s="180"/>
      <c r="J176" s="180"/>
      <c r="K176" s="180"/>
      <c r="L176" s="1082" t="s">
        <v>1894</v>
      </c>
      <c r="M176" s="1080" t="str" cm="1">
        <f t="array" aca="1" ref="M176" ca="1">OFFSET(L176,-1,1)</f>
        <v>ТЭ.42.26322895.0004</v>
      </c>
      <c r="N176" s="1082"/>
      <c r="O176" s="1082"/>
      <c r="P176" s="1082"/>
      <c r="Q176" s="1082"/>
      <c r="R176" s="1082"/>
      <c r="S176" s="1082"/>
      <c r="T176" s="687" t="b" cm="1">
        <f t="array" ref="T176">T175</f>
        <v>1</v>
      </c>
      <c r="U176" s="1153"/>
      <c r="V176" s="1153"/>
      <c r="W176" s="1153"/>
      <c r="X176" s="1726"/>
      <c r="Y176" s="1153"/>
      <c r="Z176" s="1726"/>
      <c r="AA176" s="180"/>
      <c r="AB176" s="837" t="s">
        <v>1895</v>
      </c>
      <c r="AC176" s="838" t="s">
        <v>1896</v>
      </c>
      <c r="AD176" s="839" t="s">
        <v>1077</v>
      </c>
      <c r="AE176" s="1398"/>
      <c r="AF176" s="1398"/>
      <c r="AG176" s="1398"/>
      <c r="AH176" s="256">
        <f t="shared" si="9"/>
        <v>0</v>
      </c>
      <c r="AI176" s="1398"/>
      <c r="AJ176" s="517"/>
      <c r="AK176" s="517"/>
      <c r="AL176" s="256">
        <f t="shared" si="10"/>
        <v>0</v>
      </c>
      <c r="AM176" s="1290"/>
      <c r="AN176" s="1290"/>
      <c r="AO176" s="1290"/>
      <c r="AP176" s="180"/>
      <c r="AQ176" s="180"/>
      <c r="AR176" s="1029" t="s">
        <v>1897</v>
      </c>
      <c r="AS176" s="1064" t="str" cm="1">
        <f t="array" aca="1" ref="AS176" ca="1">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M10558::ТЭ.42.26322895.0004::1.0.70.::Неопределено::Неопределено::Неопределено::Неопределено::Неопределено::Неопределено</v>
      </c>
    </row>
    <row r="177" spans="1:45" s="1229" customFormat="1" ht="53.25" customHeight="1">
      <c r="A177" s="983"/>
      <c r="B177" s="783"/>
      <c r="C177" s="1094" t="s">
        <v>1858</v>
      </c>
      <c r="D177" s="1053" t="s">
        <v>1859</v>
      </c>
      <c r="E177" s="676">
        <v>55</v>
      </c>
      <c r="F177" s="779" t="str" cm="1">
        <f t="array" aca="1" ref="F177" ca="1">OFFSET(G177,-1,-1)</f>
        <v>2</v>
      </c>
      <c r="G177" s="180"/>
      <c r="H177" s="180"/>
      <c r="I177" s="180"/>
      <c r="J177" s="180"/>
      <c r="K177" s="180"/>
      <c r="L177" s="1082" t="s">
        <v>1898</v>
      </c>
      <c r="M177" s="1080" t="str" cm="1">
        <f t="array" aca="1" ref="M177" ca="1">OFFSET(L177,-1,1)</f>
        <v>ТЭ.42.26322895.0004</v>
      </c>
      <c r="N177" s="1082"/>
      <c r="O177" s="1082"/>
      <c r="P177" s="1082"/>
      <c r="Q177" s="1082"/>
      <c r="R177" s="1082"/>
      <c r="S177" s="1082"/>
      <c r="T177" s="687" t="b" cm="1">
        <f t="array" ref="T177">T176</f>
        <v>1</v>
      </c>
      <c r="U177" s="1153"/>
      <c r="V177" s="1153"/>
      <c r="W177" s="1153"/>
      <c r="X177" s="1726"/>
      <c r="Y177" s="1153"/>
      <c r="Z177" s="1726"/>
      <c r="AA177" s="180"/>
      <c r="AB177" s="837" t="s">
        <v>1899</v>
      </c>
      <c r="AC177" s="838" t="s">
        <v>1900</v>
      </c>
      <c r="AD177" s="839" t="s">
        <v>1077</v>
      </c>
      <c r="AE177" s="1398"/>
      <c r="AF177" s="1398"/>
      <c r="AG177" s="1398"/>
      <c r="AH177" s="256">
        <f t="shared" si="9"/>
        <v>0</v>
      </c>
      <c r="AI177" s="1398"/>
      <c r="AJ177" s="517"/>
      <c r="AK177" s="517"/>
      <c r="AL177" s="256">
        <f t="shared" si="10"/>
        <v>0</v>
      </c>
      <c r="AM177" s="1290"/>
      <c r="AN177" s="1290"/>
      <c r="AO177" s="1290"/>
      <c r="AP177" s="180"/>
      <c r="AQ177" s="180"/>
      <c r="AR177" s="1029" t="s">
        <v>1901</v>
      </c>
      <c r="AS177" s="1064" t="str" cm="1">
        <f t="array" aca="1" ref="AS177" ca="1">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M10558::ТЭ.42.26322895.0004::1.0.102.::Неопределено::Неопределено::Неопределено::Неопределено::Неопределено::Неопределено</v>
      </c>
    </row>
    <row r="178" spans="1:45" s="1229" customFormat="1" ht="39" customHeight="1">
      <c r="A178" s="983"/>
      <c r="B178" s="783"/>
      <c r="C178" s="1094" t="s">
        <v>1858</v>
      </c>
      <c r="D178" s="1053" t="s">
        <v>1859</v>
      </c>
      <c r="E178" s="676">
        <v>40</v>
      </c>
      <c r="F178" s="779" t="str" cm="1">
        <f t="array" aca="1" ref="F178" ca="1">OFFSET(G178,-1,-1)</f>
        <v>2</v>
      </c>
      <c r="G178" s="143" t="s">
        <v>1303</v>
      </c>
      <c r="H178" s="180"/>
      <c r="I178" s="180"/>
      <c r="J178" s="180"/>
      <c r="K178" s="180"/>
      <c r="L178" s="1082" t="s">
        <v>1902</v>
      </c>
      <c r="M178" s="1080" t="str" cm="1">
        <f t="array" aca="1" ref="M178" ca="1">OFFSET(L178,-1,1)</f>
        <v>ТЭ.42.26322895.0004</v>
      </c>
      <c r="N178" s="1082"/>
      <c r="O178" s="1082"/>
      <c r="P178" s="1082"/>
      <c r="Q178" s="1082"/>
      <c r="R178" s="1082"/>
      <c r="S178" s="1082"/>
      <c r="T178" s="687" t="b" cm="1">
        <f t="array" ref="T178">T177</f>
        <v>1</v>
      </c>
      <c r="U178" s="1153"/>
      <c r="V178" s="1153"/>
      <c r="W178" s="1153"/>
      <c r="X178" s="1726"/>
      <c r="Y178" s="1153"/>
      <c r="Z178" s="1726"/>
      <c r="AA178" s="180"/>
      <c r="AB178" s="837" t="s">
        <v>1903</v>
      </c>
      <c r="AC178" s="838" t="s">
        <v>1904</v>
      </c>
      <c r="AD178" s="839" t="s">
        <v>1077</v>
      </c>
      <c r="AE178" s="515">
        <f ca="1">SUMIFS(Налоги!AE$26:AE$69,Налоги!$F$26:$F$69,$F178,Налоги!$G$26:$G$69,$G178)</f>
        <v>0</v>
      </c>
      <c r="AF178" s="515">
        <f ca="1">SUMIFS(Налоги!AF$26:AF$69,Налоги!$F$26:$F$69,$F178,Налоги!$G$26:$G$69,$G178)</f>
        <v>0</v>
      </c>
      <c r="AG178" s="515">
        <f ca="1">SUMIFS(Налоги!AG$26:AG$69,Налоги!$F$26:$F$69,$F178,Налоги!$G$26:$G$69,$G178)</f>
        <v>0</v>
      </c>
      <c r="AH178" s="256">
        <f t="shared" ca="1" si="9"/>
        <v>0</v>
      </c>
      <c r="AI178" s="515">
        <f ca="1">SUMIFS(Налоги!AH$26:AH$69,Налоги!$F$26:$F$69,$F178,Налоги!$G$26:$G$69,$G178)</f>
        <v>26.42</v>
      </c>
      <c r="AJ178" s="515">
        <f ca="1">SUMIFS(Налоги!AI$26:AI$69,Налоги!$F$26:$F$69,$F178,Налоги!$G$26:$G$69,$G178)</f>
        <v>0</v>
      </c>
      <c r="AK178" s="515">
        <f ca="1">SUMIFS(Налоги!AS$26:AS$69,Налоги!$F$26:$F$69,$F178,Налоги!$G$26:$G$69,$G178)</f>
        <v>37.81</v>
      </c>
      <c r="AL178" s="256">
        <f t="shared" ca="1" si="10"/>
        <v>43.111279333837999</v>
      </c>
      <c r="AM178" s="1290"/>
      <c r="AN178" s="1290"/>
      <c r="AO178" s="1290"/>
      <c r="AP178" s="180"/>
      <c r="AQ178" s="180"/>
      <c r="AR178" s="1029" t="s">
        <v>1418</v>
      </c>
      <c r="AS178" s="1064" t="str" cm="1">
        <f t="array" aca="1" ref="AS178" ca="1">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M10558::ТЭ.42.26322895.0004::1.0.99.::Неопределено::Неопределено::Неопределено::Неопределено::Неопределено::Неопределено</v>
      </c>
    </row>
    <row r="179" spans="1:45" s="1229" customFormat="1" ht="16.5" customHeight="1">
      <c r="A179" s="983"/>
      <c r="B179" s="783"/>
      <c r="C179" s="1094" t="s">
        <v>1858</v>
      </c>
      <c r="D179" s="1053" t="s">
        <v>1859</v>
      </c>
      <c r="E179" s="676">
        <v>17.100000000000001</v>
      </c>
      <c r="F179" s="779" t="str" cm="1">
        <f t="array" aca="1" ref="F179" ca="1">OFFSET(G179,-1,-1)</f>
        <v>2</v>
      </c>
      <c r="G179" s="143" t="s">
        <v>1205</v>
      </c>
      <c r="H179" s="180"/>
      <c r="I179" s="180"/>
      <c r="J179" s="180"/>
      <c r="K179" s="180"/>
      <c r="L179" s="1082"/>
      <c r="M179" s="1080" t="str" cm="1">
        <f t="array" aca="1" ref="M179" ca="1">OFFSET(L179,-1,1)</f>
        <v>ТЭ.42.26322895.0004</v>
      </c>
      <c r="N179" s="1082" t="s">
        <v>1905</v>
      </c>
      <c r="O179" s="1082"/>
      <c r="P179" s="1082"/>
      <c r="Q179" s="1082"/>
      <c r="R179" s="1082"/>
      <c r="S179" s="1082"/>
      <c r="T179" s="687" t="b" cm="1">
        <f t="array" ref="T179">T178</f>
        <v>1</v>
      </c>
      <c r="U179" s="1153"/>
      <c r="V179" s="1153"/>
      <c r="W179" s="1153"/>
      <c r="X179" s="1726"/>
      <c r="Y179" s="1153"/>
      <c r="Z179" s="1726"/>
      <c r="AA179" s="180"/>
      <c r="AB179" s="837" t="s">
        <v>1906</v>
      </c>
      <c r="AC179" s="838" t="s">
        <v>1907</v>
      </c>
      <c r="AD179" s="839" t="s">
        <v>1077</v>
      </c>
      <c r="AE179" s="256">
        <f ca="1">SUMIFS(Аренда!AE$26:AE$63,Аренда!$F$26:$F$63,$F179,Аренда!$G$26:$G$63,$G179)</f>
        <v>0</v>
      </c>
      <c r="AF179" s="256">
        <f ca="1">SUMIFS(Аренда!AF$26:AF$63,Аренда!$F$26:$F$63,$F179,Аренда!$G$26:$G$63,$G179)</f>
        <v>0</v>
      </c>
      <c r="AG179" s="256">
        <f ca="1">SUMIFS(Аренда!AG$26:AG$63,Аренда!$F$26:$F$63,$F179,Аренда!$G$26:$G$63,$G179)</f>
        <v>0</v>
      </c>
      <c r="AH179" s="256">
        <f t="shared" ca="1" si="9"/>
        <v>0</v>
      </c>
      <c r="AI179" s="256">
        <f ca="1">SUMIFS(Аренда!AH$26:AH$63,Аренда!$F$26:$F$63,$F179,Аренда!$G$26:$G$63,$G179)</f>
        <v>293.55</v>
      </c>
      <c r="AJ179" s="256">
        <f ca="1">SUMIFS(Аренда!AI$26:AI$63,Аренда!$F$26:$F$63,$F179,Аренда!$G$26:$G$63,$G179)</f>
        <v>0</v>
      </c>
      <c r="AK179" s="256">
        <f ca="1">SUMIFS(Аренда!AS$26:AS$63,Аренда!$F$26:$F$63,$F179,Аренда!$G$26:$G$63,$G179)</f>
        <v>164.27</v>
      </c>
      <c r="AL179" s="256">
        <f t="shared" ca="1" si="10"/>
        <v>-44.040197581331967</v>
      </c>
      <c r="AM179" s="1290"/>
      <c r="AN179" s="1290"/>
      <c r="AO179" s="1290"/>
      <c r="AP179" s="180"/>
      <c r="AQ179" s="180"/>
      <c r="AR179" s="1029" t="s">
        <v>1908</v>
      </c>
      <c r="AS179" s="1064" t="str" cm="1">
        <f t="array" aca="1" ref="AS179" ca="1">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M10558::ТЭ.42.26322895.0004::Неопределено::110.0.26.::Неопределено::Неопределено::Неопределено::Неопределено::Неопределено</v>
      </c>
    </row>
    <row r="180" spans="1:45" s="1229" customFormat="1" ht="16.5" customHeight="1">
      <c r="A180" s="983"/>
      <c r="B180" s="783"/>
      <c r="C180" s="1094" t="s">
        <v>1858</v>
      </c>
      <c r="D180" s="1053" t="s">
        <v>1859</v>
      </c>
      <c r="E180" s="676">
        <v>17.100000000000001</v>
      </c>
      <c r="F180" s="779" t="str" cm="1">
        <f t="array" aca="1" ref="F180" ca="1">OFFSET(G180,-1,-1)</f>
        <v>2</v>
      </c>
      <c r="G180" s="180"/>
      <c r="H180" s="180"/>
      <c r="I180" s="180"/>
      <c r="J180" s="180"/>
      <c r="K180" s="180"/>
      <c r="L180" s="1082"/>
      <c r="M180" s="1080" t="str" cm="1">
        <f t="array" aca="1" ref="M180" ca="1">OFFSET(L180,-1,1)</f>
        <v>ТЭ.42.26322895.0004</v>
      </c>
      <c r="N180" s="1082"/>
      <c r="O180" s="1082" t="s">
        <v>1909</v>
      </c>
      <c r="P180" s="1082"/>
      <c r="Q180" s="1082"/>
      <c r="R180" s="1082"/>
      <c r="S180" s="1082"/>
      <c r="T180" s="687" t="b" cm="1">
        <f t="array" ref="T180">T179</f>
        <v>1</v>
      </c>
      <c r="U180" s="1153"/>
      <c r="V180" s="1153"/>
      <c r="W180" s="1153"/>
      <c r="X180" s="1726"/>
      <c r="Y180" s="1153"/>
      <c r="Z180" s="1726"/>
      <c r="AA180" s="180"/>
      <c r="AB180" s="837" t="s">
        <v>1910</v>
      </c>
      <c r="AC180" s="838" t="s">
        <v>1376</v>
      </c>
      <c r="AD180" s="839" t="s">
        <v>1077</v>
      </c>
      <c r="AE180" s="1398"/>
      <c r="AF180" s="1398"/>
      <c r="AG180" s="1398"/>
      <c r="AH180" s="256">
        <f t="shared" si="9"/>
        <v>0</v>
      </c>
      <c r="AI180" s="1398"/>
      <c r="AJ180" s="517"/>
      <c r="AK180" s="517"/>
      <c r="AL180" s="256">
        <f t="shared" si="10"/>
        <v>0</v>
      </c>
      <c r="AM180" s="1290"/>
      <c r="AN180" s="1290"/>
      <c r="AO180" s="1290"/>
      <c r="AP180" s="180"/>
      <c r="AQ180" s="180"/>
      <c r="AR180" s="1029" t="s">
        <v>1911</v>
      </c>
      <c r="AS180" s="1064" t="str" cm="1">
        <f t="array" aca="1" ref="AS180" ca="1">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M10558::ТЭ.42.26322895.0004::Неопределено::Неопределено::122.0.4.::Неопределено::Неопределено::Неопределено::Неопределено</v>
      </c>
    </row>
    <row r="181" spans="1:45" s="1229" customFormat="1" ht="16.5" customHeight="1">
      <c r="A181" s="983"/>
      <c r="B181" s="783"/>
      <c r="C181" s="1094" t="s">
        <v>1858</v>
      </c>
      <c r="D181" s="1053" t="s">
        <v>1859</v>
      </c>
      <c r="E181" s="676">
        <v>17.100000000000001</v>
      </c>
      <c r="F181" s="779" t="str" cm="1">
        <f t="array" aca="1" ref="F181" ca="1">OFFSET(G181,-1,-1)</f>
        <v>2</v>
      </c>
      <c r="G181" s="180"/>
      <c r="H181" s="180"/>
      <c r="I181" s="180"/>
      <c r="J181" s="180"/>
      <c r="K181" s="180"/>
      <c r="L181" s="1082"/>
      <c r="M181" s="1080" t="str" cm="1">
        <f t="array" aca="1" ref="M181" ca="1">OFFSET(L181,-1,1)</f>
        <v>ТЭ.42.26322895.0004</v>
      </c>
      <c r="N181" s="1082"/>
      <c r="O181" s="1082" t="s">
        <v>1912</v>
      </c>
      <c r="P181" s="1082"/>
      <c r="Q181" s="1082"/>
      <c r="R181" s="1082"/>
      <c r="S181" s="1082"/>
      <c r="T181" s="687" t="b" cm="1">
        <f t="array" ref="T181">T180</f>
        <v>1</v>
      </c>
      <c r="U181" s="1153"/>
      <c r="V181" s="1153"/>
      <c r="W181" s="1153"/>
      <c r="X181" s="1726"/>
      <c r="Y181" s="1153"/>
      <c r="Z181" s="1726"/>
      <c r="AA181" s="180"/>
      <c r="AB181" s="837" t="s">
        <v>1913</v>
      </c>
      <c r="AC181" s="838" t="s">
        <v>1378</v>
      </c>
      <c r="AD181" s="839" t="s">
        <v>1077</v>
      </c>
      <c r="AE181" s="1398"/>
      <c r="AF181" s="1398"/>
      <c r="AG181" s="1398"/>
      <c r="AH181" s="256">
        <f t="shared" si="9"/>
        <v>0</v>
      </c>
      <c r="AI181" s="1398"/>
      <c r="AJ181" s="517"/>
      <c r="AK181" s="517"/>
      <c r="AL181" s="256">
        <f t="shared" si="10"/>
        <v>0</v>
      </c>
      <c r="AM181" s="1290"/>
      <c r="AN181" s="1290"/>
      <c r="AO181" s="1290"/>
      <c r="AP181" s="180"/>
      <c r="AQ181" s="180"/>
      <c r="AR181" s="1029" t="s">
        <v>1379</v>
      </c>
      <c r="AS181" s="1064" t="str" cm="1">
        <f t="array" aca="1" ref="AS181" ca="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M10558::ТЭ.42.26322895.0004::Неопределено::Неопределено::122.0.5.::Неопределено::Неопределено::Неопределено::Неопределено</v>
      </c>
    </row>
    <row r="182" spans="1:45" s="1229" customFormat="1" ht="33.75" customHeight="1">
      <c r="A182" s="983"/>
      <c r="B182" s="783"/>
      <c r="C182" s="1094" t="s">
        <v>1858</v>
      </c>
      <c r="D182" s="1053" t="s">
        <v>1859</v>
      </c>
      <c r="E182" s="676">
        <v>35</v>
      </c>
      <c r="F182" s="779" t="str" cm="1">
        <f t="array" aca="1" ref="F182" ca="1">OFFSET(G182,-1,-1)</f>
        <v>2</v>
      </c>
      <c r="G182" s="143" t="s">
        <v>1310</v>
      </c>
      <c r="H182" s="180"/>
      <c r="I182" s="180"/>
      <c r="J182" s="180"/>
      <c r="K182" s="180"/>
      <c r="L182" s="1082"/>
      <c r="M182" s="1080" t="str" cm="1">
        <f t="array" aca="1" ref="M182" ca="1">OFFSET(L182,-1,1)</f>
        <v>ТЭ.42.26322895.0004</v>
      </c>
      <c r="N182" s="1082"/>
      <c r="O182" s="1082" t="s">
        <v>1914</v>
      </c>
      <c r="P182" s="1082"/>
      <c r="Q182" s="1082"/>
      <c r="R182" s="1082"/>
      <c r="S182" s="1082"/>
      <c r="T182" s="687" t="b" cm="1">
        <f t="array" ref="T182">T181</f>
        <v>1</v>
      </c>
      <c r="U182" s="1153"/>
      <c r="V182" s="1153"/>
      <c r="W182" s="1153"/>
      <c r="X182" s="1726"/>
      <c r="Y182" s="1153"/>
      <c r="Z182" s="1726"/>
      <c r="AA182" s="180"/>
      <c r="AB182" s="837" t="s">
        <v>1915</v>
      </c>
      <c r="AC182" s="838" t="s">
        <v>1916</v>
      </c>
      <c r="AD182" s="839" t="s">
        <v>1077</v>
      </c>
      <c r="AE182" s="515">
        <f ca="1">SUMIFS(Налоги!AE$26:AE$69,Налоги!$F$26:$F$69,$F182,Налоги!$G$26:$G$69,$G182)</f>
        <v>0</v>
      </c>
      <c r="AF182" s="515">
        <f ca="1">SUMIFS(Налоги!AF$26:AF$69,Налоги!$F$26:$F$69,$F182,Налоги!$G$26:$G$69,$G182)</f>
        <v>0</v>
      </c>
      <c r="AG182" s="515">
        <f ca="1">SUMIFS(Налоги!AG$26:AG$69,Налоги!$F$26:$F$69,$F182,Налоги!$G$26:$G$69,$G182)</f>
        <v>0</v>
      </c>
      <c r="AH182" s="256">
        <f t="shared" ca="1" si="9"/>
        <v>0</v>
      </c>
      <c r="AI182" s="515">
        <f ca="1">SUMIFS(Налоги!AH$26:AH$69,Налоги!$F$26:$F$69,$F182,Налоги!$G$26:$G$69,$G182)</f>
        <v>4.32</v>
      </c>
      <c r="AJ182" s="515">
        <f ca="1">SUMIFS(Налоги!AI$26:AI$69,Налоги!$F$26:$F$69,$F182,Налоги!$G$26:$G$69,$G182)</f>
        <v>0</v>
      </c>
      <c r="AK182" s="515">
        <f ca="1">SUMIFS(Налоги!AS$26:AS$69,Налоги!$F$26:$F$69,$F182,Налоги!$G$26:$G$69,$G182)</f>
        <v>4.05</v>
      </c>
      <c r="AL182" s="256">
        <f t="shared" ca="1" si="10"/>
        <v>-6.2500000000000098</v>
      </c>
      <c r="AM182" s="1290"/>
      <c r="AN182" s="1290"/>
      <c r="AO182" s="1290"/>
      <c r="AP182" s="180"/>
      <c r="AQ182" s="180"/>
      <c r="AR182" s="1029" t="s">
        <v>1917</v>
      </c>
      <c r="AS182" s="1064" t="str" cm="1">
        <f t="array" aca="1" ref="AS182" ca="1">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M10558::ТЭ.42.26322895.0004::Неопределено::Неопределено::122.0.6.::Неопределено::Неопределено::Неопределено::Неопределено</v>
      </c>
    </row>
    <row r="183" spans="1:45" s="1229" customFormat="1" ht="33.75" customHeight="1">
      <c r="A183" s="983"/>
      <c r="B183" s="783"/>
      <c r="C183" s="1094" t="s">
        <v>1858</v>
      </c>
      <c r="D183" s="1053" t="s">
        <v>1859</v>
      </c>
      <c r="E183" s="676">
        <v>35</v>
      </c>
      <c r="F183" s="779" t="str" cm="1">
        <f t="array" aca="1" ref="F183" ca="1">OFFSET(G183,-1,-1)</f>
        <v>2</v>
      </c>
      <c r="G183" s="180"/>
      <c r="H183" s="180"/>
      <c r="I183" s="180"/>
      <c r="J183" s="180"/>
      <c r="K183" s="180"/>
      <c r="L183" s="1082" t="s">
        <v>1918</v>
      </c>
      <c r="M183" s="1080" t="str" cm="1">
        <f t="array" aca="1" ref="M183" ca="1">OFFSET(L183,-1,1)</f>
        <v>ТЭ.42.26322895.0004</v>
      </c>
      <c r="N183" s="1082"/>
      <c r="O183" s="1082"/>
      <c r="P183" s="1082"/>
      <c r="Q183" s="1082"/>
      <c r="R183" s="1082"/>
      <c r="S183" s="1082"/>
      <c r="T183" s="687" t="b" cm="1">
        <f t="array" ref="T183">T182</f>
        <v>1</v>
      </c>
      <c r="U183" s="1153"/>
      <c r="V183" s="1153"/>
      <c r="W183" s="1153"/>
      <c r="X183" s="1726"/>
      <c r="Y183" s="1153"/>
      <c r="Z183" s="1726"/>
      <c r="AA183" s="180"/>
      <c r="AB183" s="837" t="s">
        <v>1919</v>
      </c>
      <c r="AC183" s="838" t="s">
        <v>1920</v>
      </c>
      <c r="AD183" s="839" t="s">
        <v>1077</v>
      </c>
      <c r="AE183" s="515">
        <f ca="1">SUM(AE184:AE188)</f>
        <v>0</v>
      </c>
      <c r="AF183" s="515">
        <f ca="1">SUM(AF184:AF188)</f>
        <v>0</v>
      </c>
      <c r="AG183" s="515">
        <f ca="1">SUM(AG184:AG188)</f>
        <v>0</v>
      </c>
      <c r="AH183" s="256">
        <f t="shared" ca="1" si="9"/>
        <v>0</v>
      </c>
      <c r="AI183" s="515">
        <f ca="1">SUM(AI184:AI188)</f>
        <v>3527.45</v>
      </c>
      <c r="AJ183" s="515">
        <f ca="1">SUM(AJ184:AJ188)</f>
        <v>0</v>
      </c>
      <c r="AK183" s="515">
        <f ca="1">SUM(AK184:AK188)</f>
        <v>4003.8</v>
      </c>
      <c r="AL183" s="256">
        <f t="shared" ca="1" si="10"/>
        <v>13.504089356333907</v>
      </c>
      <c r="AM183" s="1290"/>
      <c r="AN183" s="1290"/>
      <c r="AO183" s="1290"/>
      <c r="AP183" s="180"/>
      <c r="AQ183" s="180"/>
      <c r="AR183" s="1029" t="s">
        <v>1326</v>
      </c>
      <c r="AS183" s="1064" t="str" cm="1">
        <f t="array" aca="1" ref="AS183" ca="1">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M10558::ТЭ.42.26322895.0004::1.0.49.::Неопределено::Неопределено::Неопределено::Неопределено::Неопределено::Неопределено</v>
      </c>
    </row>
    <row r="184" spans="1:45" s="1229" customFormat="1" ht="16.5" customHeight="1">
      <c r="A184" s="983"/>
      <c r="B184" s="783"/>
      <c r="C184" s="1094" t="s">
        <v>1858</v>
      </c>
      <c r="D184" s="1053" t="s">
        <v>1859</v>
      </c>
      <c r="E184" s="676">
        <v>17.100000000000001</v>
      </c>
      <c r="F184" s="779" t="str" cm="1">
        <f t="array" aca="1" ref="F184" ca="1">OFFSET(G184,-1,-1)</f>
        <v>2</v>
      </c>
      <c r="G184" s="143" t="s">
        <v>1314</v>
      </c>
      <c r="H184" s="180"/>
      <c r="I184" s="180"/>
      <c r="J184" s="180"/>
      <c r="K184" s="180"/>
      <c r="L184" s="1082" t="s">
        <v>1921</v>
      </c>
      <c r="M184" s="1080" t="str" cm="1">
        <f t="array" aca="1" ref="M184" ca="1">OFFSET(L184,-1,1)</f>
        <v>ТЭ.42.26322895.0004</v>
      </c>
      <c r="N184" s="1082"/>
      <c r="O184" s="1082"/>
      <c r="P184" s="1082"/>
      <c r="Q184" s="1082"/>
      <c r="R184" s="1082"/>
      <c r="S184" s="1082"/>
      <c r="T184" s="687" t="b" cm="1">
        <f t="array" ref="T184">T183</f>
        <v>1</v>
      </c>
      <c r="U184" s="1153"/>
      <c r="V184" s="1153"/>
      <c r="W184" s="1153"/>
      <c r="X184" s="1726"/>
      <c r="Y184" s="1153"/>
      <c r="Z184" s="1726"/>
      <c r="AA184" s="180"/>
      <c r="AB184" s="837" t="s">
        <v>1922</v>
      </c>
      <c r="AC184" s="838" t="s">
        <v>1923</v>
      </c>
      <c r="AD184" s="839" t="s">
        <v>1077</v>
      </c>
      <c r="AE184" s="515">
        <f ca="1">SUMIFS(Налоги!AE$26:AE$69,Налоги!$F$26:$F$69,$F184,Налоги!$H$26:$H$69,$G184)</f>
        <v>0</v>
      </c>
      <c r="AF184" s="515">
        <f ca="1">SUMIFS(Налоги!AF$26:AF$69,Налоги!$F$26:$F$69,$F184,Налоги!$H$26:$H$69,$G184)</f>
        <v>0</v>
      </c>
      <c r="AG184" s="515">
        <f ca="1">SUMIFS(Налоги!AG$26:AG$69,Налоги!$F$26:$F$69,$F184,Налоги!$H$26:$H$69,$G184)</f>
        <v>0</v>
      </c>
      <c r="AH184" s="256">
        <f t="shared" ca="1" si="9"/>
        <v>0</v>
      </c>
      <c r="AI184" s="515">
        <f ca="1">SUMIFS(Налоги!AH$26:AH$69,Налоги!$F$26:$F$69,$F184,Налоги!$H$26:$H$69,$G184)</f>
        <v>3515.33</v>
      </c>
      <c r="AJ184" s="515">
        <f ca="1">SUMIFS(Налоги!AI$26:AI$69,Налоги!$F$26:$F$69,$F184,Налоги!$H$26:$H$69,$G184)</f>
        <v>0</v>
      </c>
      <c r="AK184" s="515">
        <f ca="1">SUMIFS(Налоги!AS$26:AS$69,Налоги!$F$26:$F$69,$F184,Налоги!$H$26:$H$69,$G184)</f>
        <v>3997.59</v>
      </c>
      <c r="AL184" s="256">
        <f t="shared" ca="1" si="10"/>
        <v>13.71876893492219</v>
      </c>
      <c r="AM184" s="1290"/>
      <c r="AN184" s="1290"/>
      <c r="AO184" s="1290"/>
      <c r="AP184" s="180"/>
      <c r="AQ184" s="180"/>
      <c r="AR184" s="1029" t="s">
        <v>606</v>
      </c>
      <c r="AS184" s="1064" t="str" cm="1">
        <f t="array" aca="1" ref="AS184" ca="1">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M10558::ТЭ.42.26322895.0004::1.0.25.::Неопределено::Неопределено::Неопределено::Неопределено::Неопределено::Неопределено</v>
      </c>
    </row>
    <row r="185" spans="1:45" s="1229" customFormat="1" ht="16.5" customHeight="1">
      <c r="A185" s="983"/>
      <c r="B185" s="783"/>
      <c r="C185" s="1094" t="s">
        <v>1858</v>
      </c>
      <c r="D185" s="1053" t="s">
        <v>1859</v>
      </c>
      <c r="E185" s="676">
        <v>17.100000000000001</v>
      </c>
      <c r="F185" s="779" t="str" cm="1">
        <f t="array" aca="1" ref="F185" ca="1">OFFSET(G185,-1,-1)</f>
        <v>2</v>
      </c>
      <c r="G185" s="143" t="s">
        <v>1316</v>
      </c>
      <c r="H185" s="180"/>
      <c r="I185" s="180"/>
      <c r="J185" s="180"/>
      <c r="K185" s="180"/>
      <c r="L185" s="1082" t="s">
        <v>1924</v>
      </c>
      <c r="M185" s="1080" t="str" cm="1">
        <f t="array" aca="1" ref="M185" ca="1">OFFSET(L185,-1,1)</f>
        <v>ТЭ.42.26322895.0004</v>
      </c>
      <c r="N185" s="1082"/>
      <c r="O185" s="1082"/>
      <c r="P185" s="1082"/>
      <c r="Q185" s="1082"/>
      <c r="R185" s="1082"/>
      <c r="S185" s="1082"/>
      <c r="T185" s="687" t="b" cm="1">
        <f t="array" ref="T185">T184</f>
        <v>1</v>
      </c>
      <c r="U185" s="1153"/>
      <c r="V185" s="1153"/>
      <c r="W185" s="1153"/>
      <c r="X185" s="1726"/>
      <c r="Y185" s="1153"/>
      <c r="Z185" s="1726"/>
      <c r="AA185" s="180"/>
      <c r="AB185" s="837" t="s">
        <v>1925</v>
      </c>
      <c r="AC185" s="838" t="s">
        <v>1317</v>
      </c>
      <c r="AD185" s="839" t="s">
        <v>1077</v>
      </c>
      <c r="AE185" s="515">
        <f ca="1">SUMIFS(Налоги!AE$26:AE$69,Налоги!$F$26:$F$69,$F185,Налоги!$H$26:$H$69,$G185)</f>
        <v>0</v>
      </c>
      <c r="AF185" s="515">
        <f ca="1">SUMIFS(Налоги!AF$26:AF$69,Налоги!$F$26:$F$69,$F185,Налоги!$H$26:$H$69,$G185)</f>
        <v>0</v>
      </c>
      <c r="AG185" s="515">
        <f ca="1">SUMIFS(Налоги!AG$26:AG$69,Налоги!$F$26:$F$69,$F185,Налоги!$H$26:$H$69,$G185)</f>
        <v>0</v>
      </c>
      <c r="AH185" s="256">
        <f t="shared" ca="1" si="9"/>
        <v>0</v>
      </c>
      <c r="AI185" s="515">
        <f ca="1">SUMIFS(Налоги!AH$26:AH$69,Налоги!$F$26:$F$69,$F185,Налоги!$H$26:$H$69,$G185)</f>
        <v>8.65</v>
      </c>
      <c r="AJ185" s="515">
        <f ca="1">SUMIFS(Налоги!AI$26:AI$69,Налоги!$F$26:$F$69,$F185,Налоги!$H$26:$H$69,$G185)</f>
        <v>0</v>
      </c>
      <c r="AK185" s="515">
        <f ca="1">SUMIFS(Налоги!AS$26:AS$69,Налоги!$F$26:$F$69,$F185,Налоги!$H$26:$H$69,$G185)</f>
        <v>2.61</v>
      </c>
      <c r="AL185" s="256">
        <f t="shared" ca="1" si="10"/>
        <v>-69.826589595375737</v>
      </c>
      <c r="AM185" s="1290"/>
      <c r="AN185" s="1290"/>
      <c r="AO185" s="1290"/>
      <c r="AP185" s="180"/>
      <c r="AQ185" s="180"/>
      <c r="AR185" s="1029" t="s">
        <v>1318</v>
      </c>
      <c r="AS185" s="1064" t="str" cm="1">
        <f t="array" aca="1" ref="AS185" ca="1">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M10558::ТЭ.42.26322895.0004::1.0.17.::Неопределено::Неопределено::Неопределено::Неопределено::Неопределено::Неопределено</v>
      </c>
    </row>
    <row r="186" spans="1:45" s="1229" customFormat="1" ht="16.5" customHeight="1">
      <c r="A186" s="983"/>
      <c r="B186" s="783"/>
      <c r="C186" s="1094" t="s">
        <v>1858</v>
      </c>
      <c r="D186" s="1053" t="s">
        <v>1859</v>
      </c>
      <c r="E186" s="676">
        <v>17.100000000000001</v>
      </c>
      <c r="F186" s="779" t="str" cm="1">
        <f t="array" aca="1" ref="F186" ca="1">OFFSET(G186,-1,-1)</f>
        <v>2</v>
      </c>
      <c r="G186" s="143" t="s">
        <v>1307</v>
      </c>
      <c r="H186" s="180"/>
      <c r="I186" s="180"/>
      <c r="J186" s="180"/>
      <c r="K186" s="180"/>
      <c r="L186" s="1082" t="s">
        <v>1926</v>
      </c>
      <c r="M186" s="1080" t="str" cm="1">
        <f t="array" aca="1" ref="M186" ca="1">OFFSET(L186,-1,1)</f>
        <v>ТЭ.42.26322895.0004</v>
      </c>
      <c r="N186" s="1082"/>
      <c r="O186" s="1082"/>
      <c r="P186" s="1082"/>
      <c r="Q186" s="1082"/>
      <c r="R186" s="1082"/>
      <c r="S186" s="1082"/>
      <c r="T186" s="687" t="b" cm="1">
        <f t="array" ref="T186">T185</f>
        <v>1</v>
      </c>
      <c r="U186" s="1153"/>
      <c r="V186" s="1153"/>
      <c r="W186" s="1153"/>
      <c r="X186" s="1726"/>
      <c r="Y186" s="1153"/>
      <c r="Z186" s="1726"/>
      <c r="AA186" s="180"/>
      <c r="AB186" s="840" t="s">
        <v>1927</v>
      </c>
      <c r="AC186" s="841" t="s">
        <v>1308</v>
      </c>
      <c r="AD186" s="842" t="s">
        <v>1077</v>
      </c>
      <c r="AE186" s="515">
        <f ca="1">SUMIFS(Налоги!AE$26:AE$69,Налоги!$F$26:$F$69,$F186,Налоги!$H$26:$H$69,$G186)</f>
        <v>0</v>
      </c>
      <c r="AF186" s="515">
        <f ca="1">SUMIFS(Налоги!AF$26:AF$69,Налоги!$F$26:$F$69,$F186,Налоги!$H$26:$H$69,$G186)</f>
        <v>0</v>
      </c>
      <c r="AG186" s="515">
        <f ca="1">SUMIFS(Налоги!AG$26:AG$69,Налоги!$F$26:$F$69,$F186,Налоги!$H$26:$H$69,$G186)</f>
        <v>0</v>
      </c>
      <c r="AH186" s="256">
        <f t="shared" ca="1" si="9"/>
        <v>0</v>
      </c>
      <c r="AI186" s="515">
        <f ca="1">SUMIFS(Налоги!AH$26:AH$69,Налоги!$F$26:$F$69,$F186,Налоги!$H$26:$H$69,$G186)</f>
        <v>3.47</v>
      </c>
      <c r="AJ186" s="515">
        <f ca="1">SUMIFS(Налоги!AI$26:AI$69,Налоги!$F$26:$F$69,$F186,Налоги!$H$26:$H$69,$G186)</f>
        <v>0</v>
      </c>
      <c r="AK186" s="515">
        <f ca="1">SUMIFS(Налоги!AS$26:AS$69,Налоги!$F$26:$F$69,$F186,Налоги!$H$26:$H$69,$G186)</f>
        <v>3.6</v>
      </c>
      <c r="AL186" s="256">
        <f t="shared" ca="1" si="10"/>
        <v>3.7463976945244926</v>
      </c>
      <c r="AM186" s="1290"/>
      <c r="AN186" s="1290"/>
      <c r="AO186" s="1290"/>
      <c r="AP186" s="180"/>
      <c r="AQ186" s="180"/>
      <c r="AR186" s="1029" t="s">
        <v>1928</v>
      </c>
      <c r="AS186" s="1064" t="str" cm="1">
        <f t="array" aca="1" ref="AS186" ca="1">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M10558::ТЭ.42.26322895.0004::1.0.93.::Неопределено::Неопределено::Неопределено::Неопределено::Неопределено::Неопределено</v>
      </c>
    </row>
    <row r="187" spans="1:45" s="1229" customFormat="1" ht="16.5" customHeight="1">
      <c r="A187" s="983"/>
      <c r="B187" s="783"/>
      <c r="C187" s="1094" t="s">
        <v>1858</v>
      </c>
      <c r="D187" s="1053" t="s">
        <v>1859</v>
      </c>
      <c r="E187" s="676">
        <v>17.100000000000001</v>
      </c>
      <c r="F187" s="779" t="str" cm="1">
        <f t="array" aca="1" ref="F187" ca="1">OFFSET(G187,-1,-1)</f>
        <v>2</v>
      </c>
      <c r="G187" s="143" t="s">
        <v>1321</v>
      </c>
      <c r="H187" s="180"/>
      <c r="I187" s="180"/>
      <c r="J187" s="180"/>
      <c r="K187" s="180"/>
      <c r="L187" s="1082" t="s">
        <v>1929</v>
      </c>
      <c r="M187" s="1080" t="str" cm="1">
        <f t="array" aca="1" ref="M187" ca="1">OFFSET(L187,-1,1)</f>
        <v>ТЭ.42.26322895.0004</v>
      </c>
      <c r="N187" s="1082"/>
      <c r="O187" s="1082"/>
      <c r="P187" s="1082"/>
      <c r="Q187" s="1082"/>
      <c r="R187" s="1082"/>
      <c r="S187" s="1082"/>
      <c r="T187" s="687" t="b" cm="1">
        <f t="array" ref="T187">T186</f>
        <v>1</v>
      </c>
      <c r="U187" s="1153"/>
      <c r="V187" s="1153"/>
      <c r="W187" s="1153"/>
      <c r="X187" s="1726"/>
      <c r="Y187" s="1153"/>
      <c r="Z187" s="1726"/>
      <c r="AA187" s="180"/>
      <c r="AB187" s="733" t="s">
        <v>1930</v>
      </c>
      <c r="AC187" s="843" t="s">
        <v>1322</v>
      </c>
      <c r="AD187" s="733" t="s">
        <v>1077</v>
      </c>
      <c r="AE187" s="515">
        <f ca="1">SUMIFS(Налоги!AE$26:AE$69,Налоги!$F$26:$F$69,$F187,Налоги!$H$26:$H$69,$G187)</f>
        <v>0</v>
      </c>
      <c r="AF187" s="515">
        <f ca="1">SUMIFS(Налоги!AF$26:AF$69,Налоги!$F$26:$F$69,$F187,Налоги!$H$26:$H$69,$G187)</f>
        <v>0</v>
      </c>
      <c r="AG187" s="515">
        <f ca="1">SUMIFS(Налоги!AG$26:AG$69,Налоги!$F$26:$F$69,$F187,Налоги!$H$26:$H$69,$G187)</f>
        <v>0</v>
      </c>
      <c r="AH187" s="256">
        <f t="shared" ca="1" si="9"/>
        <v>0</v>
      </c>
      <c r="AI187" s="515">
        <f ca="1">SUMIFS(Налоги!AH$26:AH$69,Налоги!$F$26:$F$69,$F187,Налоги!$H$26:$H$69,$G187)</f>
        <v>0</v>
      </c>
      <c r="AJ187" s="515">
        <f ca="1">SUMIFS(Налоги!AI$26:AI$69,Налоги!$F$26:$F$69,$F187,Налоги!$H$26:$H$69,$G187)</f>
        <v>0</v>
      </c>
      <c r="AK187" s="515">
        <f ca="1">SUMIFS(Налоги!AS$26:AS$69,Налоги!$F$26:$F$69,$F187,Налоги!$H$26:$H$69,$G187)</f>
        <v>0</v>
      </c>
      <c r="AL187" s="256">
        <f t="shared" ca="1" si="10"/>
        <v>0</v>
      </c>
      <c r="AM187" s="1290"/>
      <c r="AN187" s="1290"/>
      <c r="AO187" s="1290"/>
      <c r="AP187" s="180"/>
      <c r="AQ187" s="180"/>
      <c r="AR187" s="1029" t="s">
        <v>1323</v>
      </c>
      <c r="AS187" s="1064" t="str" cm="1">
        <f t="array" aca="1" ref="AS187" ca="1">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M10558::ТЭ.42.26322895.0004::1.0.6.::Неопределено::Неопределено::Неопределено::Неопределено::Неопределено::Неопределено</v>
      </c>
    </row>
    <row r="188" spans="1:45" s="1229" customFormat="1" ht="16.5" customHeight="1">
      <c r="A188" s="983"/>
      <c r="B188" s="783"/>
      <c r="C188" s="1094" t="s">
        <v>1858</v>
      </c>
      <c r="D188" s="1053" t="s">
        <v>1859</v>
      </c>
      <c r="E188" s="676">
        <v>17.100000000000001</v>
      </c>
      <c r="F188" s="779" t="str" cm="1">
        <f t="array" aca="1" ref="F188" ca="1">OFFSET(G188,-1,-1)</f>
        <v>2</v>
      </c>
      <c r="G188" s="143" t="s">
        <v>1306</v>
      </c>
      <c r="H188" s="180"/>
      <c r="I188" s="180"/>
      <c r="J188" s="180"/>
      <c r="K188" s="180"/>
      <c r="L188" s="1082" t="s">
        <v>1931</v>
      </c>
      <c r="M188" s="1080" t="str" cm="1">
        <f t="array" aca="1" ref="M188" ca="1">OFFSET(L188,-1,1)</f>
        <v>ТЭ.42.26322895.0004</v>
      </c>
      <c r="N188" s="1082"/>
      <c r="O188" s="1082"/>
      <c r="P188" s="1082"/>
      <c r="Q188" s="1082"/>
      <c r="R188" s="1082"/>
      <c r="S188" s="1082"/>
      <c r="T188" s="687" t="b" cm="1">
        <f t="array" ref="T188">T187</f>
        <v>1</v>
      </c>
      <c r="U188" s="1153"/>
      <c r="V188" s="1153"/>
      <c r="W188" s="1153"/>
      <c r="X188" s="1726"/>
      <c r="Y188" s="1153"/>
      <c r="Z188" s="1726"/>
      <c r="AA188" s="180"/>
      <c r="AB188" s="733" t="s">
        <v>1932</v>
      </c>
      <c r="AC188" s="843" t="s">
        <v>1933</v>
      </c>
      <c r="AD188" s="733" t="s">
        <v>1077</v>
      </c>
      <c r="AE188" s="515">
        <f ca="1">SUMIFS(Налоги!AE$26:AE$69,Налоги!$F$26:$F$69,$F188,Налоги!$H$26:$H$69,$G188)</f>
        <v>0</v>
      </c>
      <c r="AF188" s="515">
        <f ca="1">SUMIFS(Налоги!AF$26:AF$69,Налоги!$F$26:$F$69,$F188,Налоги!$H$26:$H$69,$G188)</f>
        <v>0</v>
      </c>
      <c r="AG188" s="515">
        <f ca="1">SUMIFS(Налоги!AG$26:AG$69,Налоги!$F$26:$F$69,$F188,Налоги!$H$26:$H$69,$G188)</f>
        <v>0</v>
      </c>
      <c r="AH188" s="256">
        <f t="shared" ca="1" si="9"/>
        <v>0</v>
      </c>
      <c r="AI188" s="515">
        <f ca="1">SUMIFS(Налоги!AH$26:AH$69,Налоги!$F$26:$F$69,$F188,Налоги!$H$26:$H$69,$G188)</f>
        <v>0</v>
      </c>
      <c r="AJ188" s="515">
        <f ca="1">SUMIFS(Налоги!AI$26:AI$69,Налоги!$F$26:$F$69,$F188,Налоги!$H$26:$H$69,$G188)</f>
        <v>0</v>
      </c>
      <c r="AK188" s="515">
        <f ca="1">SUMIFS(Налоги!AS$26:AS$69,Налоги!$F$26:$F$69,$F188,Налоги!$H$26:$H$69,$G188)</f>
        <v>0</v>
      </c>
      <c r="AL188" s="256">
        <f t="shared" ca="1" si="10"/>
        <v>0</v>
      </c>
      <c r="AM188" s="1290"/>
      <c r="AN188" s="1290"/>
      <c r="AO188" s="1290"/>
      <c r="AP188" s="180"/>
      <c r="AQ188" s="180"/>
      <c r="AR188" s="1029" t="s">
        <v>1934</v>
      </c>
      <c r="AS188" s="1064" t="str" cm="1">
        <f t="array" aca="1" ref="AS188" ca="1">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M10558::ТЭ.42.26322895.0004::1.0.52.::Неопределено::Неопределено::Неопределено::Неопределено::Неопределено::Неопределено</v>
      </c>
    </row>
    <row r="189" spans="1:45" s="1229" customFormat="1" ht="16.5" customHeight="1">
      <c r="A189" s="983"/>
      <c r="B189" s="783"/>
      <c r="C189" s="1094" t="s">
        <v>1858</v>
      </c>
      <c r="D189" s="1053" t="s">
        <v>1859</v>
      </c>
      <c r="E189" s="676">
        <v>17.100000000000001</v>
      </c>
      <c r="F189" s="779" t="str" cm="1">
        <f t="array" aca="1" ref="F189" ca="1">OFFSET(G189,-1,-1)</f>
        <v>2</v>
      </c>
      <c r="G189" s="180"/>
      <c r="H189" s="180"/>
      <c r="I189" s="180"/>
      <c r="J189" s="180"/>
      <c r="K189" s="180"/>
      <c r="L189" s="1082" t="s">
        <v>1935</v>
      </c>
      <c r="M189" s="1080" t="str" cm="1">
        <f t="array" aca="1" ref="M189" ca="1">OFFSET(L189,-1,1)</f>
        <v>ТЭ.42.26322895.0004</v>
      </c>
      <c r="N189" s="1082"/>
      <c r="O189" s="1082"/>
      <c r="P189" s="1082"/>
      <c r="Q189" s="1082"/>
      <c r="R189" s="1082"/>
      <c r="S189" s="1082"/>
      <c r="T189" s="687" t="b" cm="1">
        <f t="array" ref="T189">T188</f>
        <v>1</v>
      </c>
      <c r="U189" s="1153"/>
      <c r="V189" s="1153"/>
      <c r="W189" s="1153"/>
      <c r="X189" s="1726"/>
      <c r="Y189" s="1153"/>
      <c r="Z189" s="1726"/>
      <c r="AA189" s="180"/>
      <c r="AB189" s="752">
        <v>2</v>
      </c>
      <c r="AC189" s="844" t="s">
        <v>1936</v>
      </c>
      <c r="AD189" s="752" t="s">
        <v>1077</v>
      </c>
      <c r="AE189" s="515">
        <f>AE190+AE191+AE192+AE193</f>
        <v>0</v>
      </c>
      <c r="AF189" s="515">
        <f>AF190+AF191+AF192+AF193</f>
        <v>0</v>
      </c>
      <c r="AG189" s="515">
        <f>AG190+AG191+AG192+AG193</f>
        <v>0</v>
      </c>
      <c r="AH189" s="256">
        <f t="shared" si="9"/>
        <v>0</v>
      </c>
      <c r="AI189" s="515">
        <f>AI190+AI191+AI192+AI193</f>
        <v>0</v>
      </c>
      <c r="AJ189" s="515">
        <f>AJ190+AJ191+AJ192+AJ193</f>
        <v>0</v>
      </c>
      <c r="AK189" s="515">
        <f>AK190+AK191+AK192+AK193</f>
        <v>0</v>
      </c>
      <c r="AL189" s="256">
        <f t="shared" si="10"/>
        <v>0</v>
      </c>
      <c r="AM189" s="1290"/>
      <c r="AN189" s="1290"/>
      <c r="AO189" s="1290"/>
      <c r="AP189" s="180"/>
      <c r="AQ189" s="180"/>
      <c r="AR189" s="1029" t="s">
        <v>1937</v>
      </c>
      <c r="AS189" s="1064" t="str" cm="1">
        <f t="array" aca="1" ref="AS189" ca="1">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M10558::ТЭ.42.26322895.0004::1.0.50.::Неопределено::Неопределено::Неопределено::Неопределено::Неопределено::Неопределено</v>
      </c>
    </row>
    <row r="190" spans="1:45" s="1229" customFormat="1" ht="43.5" customHeight="1">
      <c r="A190" s="983"/>
      <c r="B190" s="783"/>
      <c r="C190" s="1094" t="s">
        <v>1858</v>
      </c>
      <c r="D190" s="1053" t="s">
        <v>1859</v>
      </c>
      <c r="E190" s="676">
        <v>45</v>
      </c>
      <c r="F190" s="779" t="str" cm="1">
        <f t="array" aca="1" ref="F190" ca="1">OFFSET(G190,-1,-1)</f>
        <v>2</v>
      </c>
      <c r="G190" s="180"/>
      <c r="H190" s="180"/>
      <c r="I190" s="180"/>
      <c r="J190" s="180"/>
      <c r="K190" s="180"/>
      <c r="L190" s="1082"/>
      <c r="M190" s="1080" t="str" cm="1">
        <f t="array" aca="1" ref="M190" ca="1">OFFSET(L190,-1,1)</f>
        <v>ТЭ.42.26322895.0004</v>
      </c>
      <c r="N190" s="1082"/>
      <c r="O190" s="1082"/>
      <c r="P190" s="1082" t="s">
        <v>1938</v>
      </c>
      <c r="Q190" s="1082"/>
      <c r="R190" s="1082"/>
      <c r="S190" s="1082"/>
      <c r="T190" s="687" t="b" cm="1">
        <f t="array" ref="T190">T189</f>
        <v>1</v>
      </c>
      <c r="U190" s="1153"/>
      <c r="V190" s="1153"/>
      <c r="W190" s="1153"/>
      <c r="X190" s="1726"/>
      <c r="Y190" s="1153"/>
      <c r="Z190" s="1726"/>
      <c r="AA190" s="180"/>
      <c r="AB190" s="733" t="s">
        <v>491</v>
      </c>
      <c r="AC190" s="845" t="s">
        <v>1939</v>
      </c>
      <c r="AD190" s="733" t="s">
        <v>1077</v>
      </c>
      <c r="AE190" s="1398"/>
      <c r="AF190" s="1398"/>
      <c r="AG190" s="1398"/>
      <c r="AH190" s="256">
        <f t="shared" si="9"/>
        <v>0</v>
      </c>
      <c r="AI190" s="1398"/>
      <c r="AJ190" s="517"/>
      <c r="AK190" s="517"/>
      <c r="AL190" s="256">
        <f t="shared" si="10"/>
        <v>0</v>
      </c>
      <c r="AM190" s="1290"/>
      <c r="AN190" s="1290"/>
      <c r="AO190" s="1290"/>
      <c r="AP190" s="180"/>
      <c r="AQ190" s="180"/>
      <c r="AR190" s="1029" t="s">
        <v>1940</v>
      </c>
      <c r="AS190" s="1064" t="str" cm="1">
        <f t="array" aca="1" ref="AS190" ca="1">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M10558::ТЭ.42.26322895.0004::Неопределено::Неопределено::Неопределено::306.0.3.::Неопределено::Неопределено::Неопределено</v>
      </c>
    </row>
    <row r="191" spans="1:45" s="1229" customFormat="1" ht="16.5" customHeight="1">
      <c r="A191" s="983"/>
      <c r="B191" s="783"/>
      <c r="C191" s="1094" t="s">
        <v>1858</v>
      </c>
      <c r="D191" s="1053" t="s">
        <v>1859</v>
      </c>
      <c r="E191" s="676">
        <v>17.100000000000001</v>
      </c>
      <c r="F191" s="779" t="str" cm="1">
        <f t="array" aca="1" ref="F191" ca="1">OFFSET(G191,-1,-1)</f>
        <v>2</v>
      </c>
      <c r="G191" s="180"/>
      <c r="H191" s="180"/>
      <c r="I191" s="180"/>
      <c r="J191" s="180"/>
      <c r="K191" s="180"/>
      <c r="L191" s="1082"/>
      <c r="M191" s="1080" t="str" cm="1">
        <f t="array" aca="1" ref="M191" ca="1">OFFSET(L191,-1,1)</f>
        <v>ТЭ.42.26322895.0004</v>
      </c>
      <c r="N191" s="1082" t="s">
        <v>1941</v>
      </c>
      <c r="O191" s="1082"/>
      <c r="P191" s="1082"/>
      <c r="Q191" s="1082"/>
      <c r="R191" s="1082"/>
      <c r="S191" s="1082"/>
      <c r="T191" s="687" t="b" cm="1">
        <f t="array" ref="T191">T190</f>
        <v>1</v>
      </c>
      <c r="U191" s="1153"/>
      <c r="V191" s="1153"/>
      <c r="W191" s="1153"/>
      <c r="X191" s="1726"/>
      <c r="Y191" s="1153"/>
      <c r="Z191" s="1726"/>
      <c r="AA191" s="180"/>
      <c r="AB191" s="468" t="s">
        <v>518</v>
      </c>
      <c r="AC191" s="846" t="s">
        <v>1427</v>
      </c>
      <c r="AD191" s="481" t="s">
        <v>1077</v>
      </c>
      <c r="AE191" s="1398"/>
      <c r="AF191" s="1398"/>
      <c r="AG191" s="1398"/>
      <c r="AH191" s="256">
        <f t="shared" si="9"/>
        <v>0</v>
      </c>
      <c r="AI191" s="1398"/>
      <c r="AJ191" s="517"/>
      <c r="AK191" s="517"/>
      <c r="AL191" s="256">
        <f t="shared" si="10"/>
        <v>0</v>
      </c>
      <c r="AM191" s="1290"/>
      <c r="AN191" s="1290"/>
      <c r="AO191" s="1290"/>
      <c r="AP191" s="180"/>
      <c r="AQ191" s="180"/>
      <c r="AR191" s="1029" t="s">
        <v>1942</v>
      </c>
      <c r="AS191" s="1064" t="str" cm="1">
        <f t="array" aca="1" ref="AS191" ca="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M10558::ТЭ.42.26322895.0004::Неопределено::110.0.37.::Неопределено::Неопределено::Неопределено::Неопределено::Неопределено</v>
      </c>
    </row>
    <row r="192" spans="1:45" s="1229" customFormat="1" ht="33.75" customHeight="1">
      <c r="A192" s="983"/>
      <c r="B192" s="783"/>
      <c r="C192" s="1094" t="s">
        <v>1858</v>
      </c>
      <c r="D192" s="1053" t="s">
        <v>1859</v>
      </c>
      <c r="E192" s="676">
        <v>35</v>
      </c>
      <c r="F192" s="779" t="str" cm="1">
        <f t="array" aca="1" ref="F192" ca="1">OFFSET(G192,-1,-1)</f>
        <v>2</v>
      </c>
      <c r="G192" s="180"/>
      <c r="H192" s="180"/>
      <c r="I192" s="180"/>
      <c r="J192" s="180"/>
      <c r="K192" s="180"/>
      <c r="L192" s="1082" t="s">
        <v>1943</v>
      </c>
      <c r="M192" s="1080" t="str" cm="1">
        <f t="array" aca="1" ref="M192" ca="1">OFFSET(L192,-1,1)</f>
        <v>ТЭ.42.26322895.0004</v>
      </c>
      <c r="N192" s="1082"/>
      <c r="O192" s="1082"/>
      <c r="P192" s="1082"/>
      <c r="Q192" s="1082"/>
      <c r="R192" s="1082"/>
      <c r="S192" s="1082"/>
      <c r="T192" s="687" t="b" cm="1">
        <f t="array" ref="T192">T191</f>
        <v>1</v>
      </c>
      <c r="U192" s="1153"/>
      <c r="V192" s="1153"/>
      <c r="W192" s="1153"/>
      <c r="X192" s="1726"/>
      <c r="Y192" s="1153"/>
      <c r="Z192" s="1726"/>
      <c r="AA192" s="180"/>
      <c r="AB192" s="419" t="s">
        <v>522</v>
      </c>
      <c r="AC192" s="847" t="s">
        <v>1439</v>
      </c>
      <c r="AD192" s="482" t="s">
        <v>1077</v>
      </c>
      <c r="AE192" s="1398"/>
      <c r="AF192" s="1398"/>
      <c r="AG192" s="1398"/>
      <c r="AH192" s="256">
        <f t="shared" si="9"/>
        <v>0</v>
      </c>
      <c r="AI192" s="1398"/>
      <c r="AJ192" s="517"/>
      <c r="AK192" s="517"/>
      <c r="AL192" s="256">
        <f t="shared" si="10"/>
        <v>0</v>
      </c>
      <c r="AM192" s="1290"/>
      <c r="AN192" s="1290"/>
      <c r="AO192" s="1290"/>
      <c r="AP192" s="180"/>
      <c r="AQ192" s="180"/>
      <c r="AR192" s="1029" t="s">
        <v>1944</v>
      </c>
      <c r="AS192" s="1064" t="str" cm="1">
        <f t="array" aca="1" ref="AS192" ca="1">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M10558::ТЭ.42.26322895.0004::1.0.89.::Неопределено::Неопределено::Неопределено::Неопределено::Неопределено::Неопределено</v>
      </c>
    </row>
    <row r="193" spans="1:45" s="1229" customFormat="1" ht="16.5" customHeight="1">
      <c r="A193" s="983"/>
      <c r="B193" s="783"/>
      <c r="C193" s="1094" t="s">
        <v>1858</v>
      </c>
      <c r="D193" s="1053" t="s">
        <v>1859</v>
      </c>
      <c r="E193" s="676">
        <v>17.100000000000001</v>
      </c>
      <c r="F193" s="779" t="str" cm="1">
        <f t="array" aca="1" ref="F193" ca="1">OFFSET(G193,-1,-1)</f>
        <v>2</v>
      </c>
      <c r="G193" s="180"/>
      <c r="H193" s="180"/>
      <c r="I193" s="180"/>
      <c r="J193" s="180"/>
      <c r="K193" s="180"/>
      <c r="L193" s="1082"/>
      <c r="M193" s="1080" t="str" cm="1">
        <f t="array" aca="1" ref="M193" ca="1">OFFSET(L193,-1,1)</f>
        <v>ТЭ.42.26322895.0004</v>
      </c>
      <c r="N193" s="1072" t="s">
        <v>1945</v>
      </c>
      <c r="O193" s="1082"/>
      <c r="P193" s="1082"/>
      <c r="Q193" s="1082"/>
      <c r="R193" s="1082"/>
      <c r="S193" s="1082"/>
      <c r="T193" s="687" t="b" cm="1">
        <f t="array" ref="T193">T192</f>
        <v>1</v>
      </c>
      <c r="U193" s="1153"/>
      <c r="V193" s="1153"/>
      <c r="W193" s="1153"/>
      <c r="X193" s="1726"/>
      <c r="Y193" s="1153"/>
      <c r="Z193" s="1726"/>
      <c r="AA193" s="180"/>
      <c r="AB193" s="419" t="s">
        <v>526</v>
      </c>
      <c r="AC193" s="847" t="s">
        <v>1946</v>
      </c>
      <c r="AD193" s="482" t="s">
        <v>1077</v>
      </c>
      <c r="AE193" s="515">
        <f>AE194+AE195</f>
        <v>0</v>
      </c>
      <c r="AF193" s="515">
        <f>AF194+AF195</f>
        <v>0</v>
      </c>
      <c r="AG193" s="515">
        <f>AG194+AG195</f>
        <v>0</v>
      </c>
      <c r="AH193" s="256">
        <f t="shared" si="9"/>
        <v>0</v>
      </c>
      <c r="AI193" s="515">
        <f>AI194+AI195</f>
        <v>0</v>
      </c>
      <c r="AJ193" s="515">
        <f>AJ194+AJ195</f>
        <v>0</v>
      </c>
      <c r="AK193" s="515">
        <f>AK194+AK195</f>
        <v>0</v>
      </c>
      <c r="AL193" s="256">
        <f t="shared" si="10"/>
        <v>0</v>
      </c>
      <c r="AM193" s="1290"/>
      <c r="AN193" s="1290"/>
      <c r="AO193" s="1290"/>
      <c r="AP193" s="180"/>
      <c r="AQ193" s="180"/>
      <c r="AR193" s="1029" t="s">
        <v>1947</v>
      </c>
      <c r="AS193" s="1064" t="str" cm="1">
        <f t="array" aca="1" ref="AS193" ca="1">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M10558::ТЭ.42.26322895.0004::Неопределено::110.0.32.::Неопределено::Неопределено::Неопределено::Неопределено::Неопределено</v>
      </c>
    </row>
    <row r="194" spans="1:45" s="1229" customFormat="1" ht="16.5" customHeight="1">
      <c r="A194" s="983"/>
      <c r="B194" s="783"/>
      <c r="C194" s="1094" t="s">
        <v>1858</v>
      </c>
      <c r="D194" s="1053" t="s">
        <v>1859</v>
      </c>
      <c r="E194" s="676">
        <v>17.100000000000001</v>
      </c>
      <c r="F194" s="779" t="str" cm="1">
        <f t="array" aca="1" ref="F194" ca="1">OFFSET(G194,-1,-1)</f>
        <v>2</v>
      </c>
      <c r="G194" s="180"/>
      <c r="H194" s="180"/>
      <c r="I194" s="180"/>
      <c r="J194" s="180"/>
      <c r="K194" s="180"/>
      <c r="L194" s="1082" t="s">
        <v>1948</v>
      </c>
      <c r="M194" s="1080" t="str" cm="1">
        <f t="array" aca="1" ref="M194" ca="1">OFFSET(L194,-1,1)</f>
        <v>ТЭ.42.26322895.0004</v>
      </c>
      <c r="N194" s="1082"/>
      <c r="O194" s="1082"/>
      <c r="P194" s="1082"/>
      <c r="Q194" s="1082"/>
      <c r="R194" s="1082"/>
      <c r="S194" s="1082"/>
      <c r="T194" s="687" t="b" cm="1">
        <f t="array" ref="T194">T193</f>
        <v>1</v>
      </c>
      <c r="U194" s="1153"/>
      <c r="V194" s="1153"/>
      <c r="W194" s="1153"/>
      <c r="X194" s="1726"/>
      <c r="Y194" s="1153"/>
      <c r="Z194" s="1726"/>
      <c r="AA194" s="180"/>
      <c r="AB194" s="424" t="s">
        <v>1949</v>
      </c>
      <c r="AC194" s="848" t="s">
        <v>1950</v>
      </c>
      <c r="AD194" s="549" t="s">
        <v>1077</v>
      </c>
      <c r="AE194" s="1398"/>
      <c r="AF194" s="1398"/>
      <c r="AG194" s="1398"/>
      <c r="AH194" s="256">
        <f t="shared" si="9"/>
        <v>0</v>
      </c>
      <c r="AI194" s="1398"/>
      <c r="AJ194" s="517"/>
      <c r="AK194" s="517"/>
      <c r="AL194" s="256">
        <f t="shared" ref="AL194:AL225" si="11">IF(AI194=0,0,(AK194-AI194)/AI194*100)</f>
        <v>0</v>
      </c>
      <c r="AM194" s="1290"/>
      <c r="AN194" s="1290"/>
      <c r="AO194" s="1290"/>
      <c r="AP194" s="180"/>
      <c r="AQ194" s="180"/>
      <c r="AR194" s="1029" t="s">
        <v>1951</v>
      </c>
      <c r="AS194" s="1064" t="str" cm="1">
        <f t="array" aca="1" ref="AS194" ca="1">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M10558::ТЭ.42.26322895.0004::1.0.96.::Неопределено::Неопределено::Неопределено::Неопределено::Неопределено::Неопределено</v>
      </c>
    </row>
    <row r="195" spans="1:45" s="1229" customFormat="1" ht="16.5" customHeight="1">
      <c r="A195" s="983"/>
      <c r="B195" s="783"/>
      <c r="C195" s="1094" t="s">
        <v>1858</v>
      </c>
      <c r="D195" s="1053" t="s">
        <v>1859</v>
      </c>
      <c r="E195" s="676">
        <v>17.100000000000001</v>
      </c>
      <c r="F195" s="779" t="str" cm="1">
        <f t="array" aca="1" ref="F195" ca="1">OFFSET(G195,-1,-1)</f>
        <v>2</v>
      </c>
      <c r="G195" s="180"/>
      <c r="H195" s="180"/>
      <c r="I195" s="180"/>
      <c r="J195" s="180"/>
      <c r="K195" s="180"/>
      <c r="L195" s="1082"/>
      <c r="M195" s="1080" t="str" cm="1">
        <f t="array" aca="1" ref="M195" ca="1">OFFSET(L195,-1,1)</f>
        <v>ТЭ.42.26322895.0004</v>
      </c>
      <c r="N195" s="1082" t="s">
        <v>1952</v>
      </c>
      <c r="O195" s="1082"/>
      <c r="P195" s="1082"/>
      <c r="Q195" s="1082"/>
      <c r="R195" s="1082"/>
      <c r="S195" s="1082"/>
      <c r="T195" s="687" t="b" cm="1">
        <f t="array" ref="T195">T194</f>
        <v>1</v>
      </c>
      <c r="U195" s="1153"/>
      <c r="V195" s="1153"/>
      <c r="W195" s="1153"/>
      <c r="X195" s="1726"/>
      <c r="Y195" s="1153"/>
      <c r="Z195" s="1726"/>
      <c r="AA195" s="180"/>
      <c r="AB195" s="733" t="s">
        <v>1953</v>
      </c>
      <c r="AC195" s="845" t="s">
        <v>1954</v>
      </c>
      <c r="AD195" s="733" t="s">
        <v>1077</v>
      </c>
      <c r="AE195" s="1398"/>
      <c r="AF195" s="1398"/>
      <c r="AG195" s="1398"/>
      <c r="AH195" s="256">
        <f t="shared" si="9"/>
        <v>0</v>
      </c>
      <c r="AI195" s="1398"/>
      <c r="AJ195" s="517"/>
      <c r="AK195" s="517"/>
      <c r="AL195" s="256">
        <f t="shared" si="11"/>
        <v>0</v>
      </c>
      <c r="AM195" s="1290"/>
      <c r="AN195" s="1290"/>
      <c r="AO195" s="1290"/>
      <c r="AP195" s="180"/>
      <c r="AQ195" s="180"/>
      <c r="AR195" s="1029" t="s">
        <v>1955</v>
      </c>
      <c r="AS195" s="1064" t="str" cm="1">
        <f t="array" aca="1" ref="AS195" ca="1">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M10558::ТЭ.42.26322895.0004::Неопределено::110.0.39.::Неопределено::Неопределено::Неопределено::Неопределено::Неопределено</v>
      </c>
    </row>
    <row r="196" spans="1:45" s="1229" customFormat="1" ht="33.75" customHeight="1">
      <c r="A196" s="983"/>
      <c r="B196" s="783"/>
      <c r="C196" s="1094" t="s">
        <v>1858</v>
      </c>
      <c r="D196" s="1053" t="s">
        <v>1859</v>
      </c>
      <c r="E196" s="676">
        <v>35</v>
      </c>
      <c r="F196" s="779" t="str" cm="1">
        <f t="array" aca="1" ref="F196" ca="1">OFFSET(G196,-1,-1)</f>
        <v>2</v>
      </c>
      <c r="G196" s="180"/>
      <c r="H196" s="180"/>
      <c r="I196" s="180"/>
      <c r="J196" s="180"/>
      <c r="K196" s="180"/>
      <c r="L196" s="1082"/>
      <c r="M196" s="1080" t="str" cm="1">
        <f t="array" aca="1" ref="M196" ca="1">OFFSET(L196,-1,1)</f>
        <v>ТЭ.42.26322895.0004</v>
      </c>
      <c r="N196" s="1082" t="s">
        <v>1956</v>
      </c>
      <c r="O196" s="1082"/>
      <c r="P196" s="1082"/>
      <c r="Q196" s="1082"/>
      <c r="R196" s="1082"/>
      <c r="S196" s="1082"/>
      <c r="T196" s="687" t="b" cm="1">
        <f t="array" ref="T196">T195</f>
        <v>1</v>
      </c>
      <c r="U196" s="1153"/>
      <c r="V196" s="1153"/>
      <c r="W196" s="1153"/>
      <c r="X196" s="1726"/>
      <c r="Y196" s="1153"/>
      <c r="Z196" s="1726"/>
      <c r="AA196" s="180"/>
      <c r="AB196" s="752">
        <v>3</v>
      </c>
      <c r="AC196" s="849" t="s">
        <v>1957</v>
      </c>
      <c r="AD196" s="752" t="s">
        <v>1077</v>
      </c>
      <c r="AE196" s="515">
        <f>AE197+AE198+AE199+AE200</f>
        <v>0</v>
      </c>
      <c r="AF196" s="515">
        <f>AF197+AF198+AF199+AF200</f>
        <v>0</v>
      </c>
      <c r="AG196" s="515">
        <f>AG197+AG198+AG199+AG200</f>
        <v>0</v>
      </c>
      <c r="AH196" s="256">
        <f t="shared" si="9"/>
        <v>0</v>
      </c>
      <c r="AI196" s="515">
        <f>AI197+AI198+AI199+AI200</f>
        <v>0</v>
      </c>
      <c r="AJ196" s="515">
        <f>AJ197+AJ198+AJ199+AJ200</f>
        <v>0</v>
      </c>
      <c r="AK196" s="515">
        <f>AK197+AK198+AK199+AK200</f>
        <v>0</v>
      </c>
      <c r="AL196" s="256">
        <f t="shared" si="11"/>
        <v>0</v>
      </c>
      <c r="AM196" s="1290"/>
      <c r="AN196" s="1290"/>
      <c r="AO196" s="1290"/>
      <c r="AP196" s="180"/>
      <c r="AQ196" s="180"/>
      <c r="AR196" s="1029" t="s">
        <v>1958</v>
      </c>
      <c r="AS196" s="1064" t="str" cm="1">
        <f t="array" aca="1" ref="AS196" ca="1">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M10558::ТЭ.42.26322895.0004::Неопределено::110.0.46.::Неопределено::Неопределено::Неопределено::Неопределено::Неопределено</v>
      </c>
    </row>
    <row r="197" spans="1:45" s="1229" customFormat="1" ht="16.5" customHeight="1">
      <c r="A197" s="983"/>
      <c r="B197" s="783"/>
      <c r="C197" s="1094" t="s">
        <v>1858</v>
      </c>
      <c r="D197" s="1053" t="s">
        <v>1859</v>
      </c>
      <c r="E197" s="676">
        <v>17.100000000000001</v>
      </c>
      <c r="F197" s="779" t="str" cm="1">
        <f t="array" aca="1" ref="F197" ca="1">OFFSET(G197,-1,-1)</f>
        <v>2</v>
      </c>
      <c r="G197" s="180"/>
      <c r="H197" s="180"/>
      <c r="I197" s="180"/>
      <c r="J197" s="180"/>
      <c r="K197" s="180"/>
      <c r="L197" s="1082"/>
      <c r="M197" s="1080" t="str" cm="1">
        <f t="array" aca="1" ref="M197" ca="1">OFFSET(L197,-1,1)</f>
        <v>ТЭ.42.26322895.0004</v>
      </c>
      <c r="N197" s="1082" t="s">
        <v>1959</v>
      </c>
      <c r="O197" s="1082"/>
      <c r="P197" s="1082"/>
      <c r="Q197" s="1082"/>
      <c r="R197" s="1082"/>
      <c r="S197" s="1082"/>
      <c r="T197" s="687" t="b" cm="1">
        <f t="array" ref="T197">T196</f>
        <v>1</v>
      </c>
      <c r="U197" s="1153"/>
      <c r="V197" s="1153"/>
      <c r="W197" s="1153"/>
      <c r="X197" s="1726"/>
      <c r="Y197" s="1153"/>
      <c r="Z197" s="1726"/>
      <c r="AA197" s="180"/>
      <c r="AB197" s="733" t="s">
        <v>744</v>
      </c>
      <c r="AC197" s="843" t="s">
        <v>1960</v>
      </c>
      <c r="AD197" s="733" t="s">
        <v>1077</v>
      </c>
      <c r="AE197" s="1398"/>
      <c r="AF197" s="1398"/>
      <c r="AG197" s="1398"/>
      <c r="AH197" s="256">
        <f t="shared" si="9"/>
        <v>0</v>
      </c>
      <c r="AI197" s="1398"/>
      <c r="AJ197" s="517"/>
      <c r="AK197" s="517"/>
      <c r="AL197" s="256">
        <f t="shared" si="11"/>
        <v>0</v>
      </c>
      <c r="AM197" s="1290"/>
      <c r="AN197" s="1290"/>
      <c r="AO197" s="1290"/>
      <c r="AP197" s="180"/>
      <c r="AQ197" s="180"/>
      <c r="AR197" s="1029" t="s">
        <v>1961</v>
      </c>
      <c r="AS197" s="1064" t="str" cm="1">
        <f t="array" aca="1" ref="AS197" ca="1">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M10558::ТЭ.42.26322895.0004::Неопределено::110.0.21.::Неопределено::Неопределено::Неопределено::Неопределено::Неопределено</v>
      </c>
    </row>
    <row r="198" spans="1:45" s="1229" customFormat="1" ht="16.5" customHeight="1">
      <c r="A198" s="983"/>
      <c r="B198" s="783"/>
      <c r="C198" s="1094" t="s">
        <v>1858</v>
      </c>
      <c r="D198" s="1053" t="s">
        <v>1859</v>
      </c>
      <c r="E198" s="676">
        <v>17.100000000000001</v>
      </c>
      <c r="F198" s="779" t="str" cm="1">
        <f t="array" aca="1" ref="F198" ca="1">OFFSET(G198,-1,-1)</f>
        <v>2</v>
      </c>
      <c r="G198" s="180"/>
      <c r="H198" s="180"/>
      <c r="I198" s="180"/>
      <c r="J198" s="180"/>
      <c r="K198" s="180"/>
      <c r="L198" s="1082"/>
      <c r="M198" s="1080" t="str" cm="1">
        <f t="array" aca="1" ref="M198" ca="1">OFFSET(L198,-1,1)</f>
        <v>ТЭ.42.26322895.0004</v>
      </c>
      <c r="N198" s="1082" t="s">
        <v>1962</v>
      </c>
      <c r="O198" s="1082"/>
      <c r="P198" s="1082"/>
      <c r="Q198" s="1082"/>
      <c r="R198" s="1082"/>
      <c r="S198" s="1082"/>
      <c r="T198" s="687" t="b" cm="1">
        <f t="array" ref="T198">T197</f>
        <v>1</v>
      </c>
      <c r="U198" s="1153"/>
      <c r="V198" s="1153"/>
      <c r="W198" s="1153"/>
      <c r="X198" s="1726"/>
      <c r="Y198" s="1153"/>
      <c r="Z198" s="1726"/>
      <c r="AA198" s="180"/>
      <c r="AB198" s="733" t="s">
        <v>747</v>
      </c>
      <c r="AC198" s="843" t="s">
        <v>1963</v>
      </c>
      <c r="AD198" s="733" t="s">
        <v>1077</v>
      </c>
      <c r="AE198" s="1398"/>
      <c r="AF198" s="1398"/>
      <c r="AG198" s="1398"/>
      <c r="AH198" s="256">
        <f t="shared" si="9"/>
        <v>0</v>
      </c>
      <c r="AI198" s="1398"/>
      <c r="AJ198" s="517"/>
      <c r="AK198" s="517"/>
      <c r="AL198" s="256">
        <f t="shared" si="11"/>
        <v>0</v>
      </c>
      <c r="AM198" s="1290"/>
      <c r="AN198" s="1290"/>
      <c r="AO198" s="1290"/>
      <c r="AP198" s="180"/>
      <c r="AQ198" s="180"/>
      <c r="AR198" s="1029" t="s">
        <v>1964</v>
      </c>
      <c r="AS198" s="1064" t="str" cm="1">
        <f t="array" aca="1" ref="AS198" ca="1">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M10558::ТЭ.42.26322895.0004::Неопределено::110.0.42.::Неопределено::Неопределено::Неопределено::Неопределено::Неопределено</v>
      </c>
    </row>
    <row r="199" spans="1:45" s="1229" customFormat="1" ht="16.5" customHeight="1">
      <c r="A199" s="983"/>
      <c r="B199" s="783"/>
      <c r="C199" s="1094" t="s">
        <v>1858</v>
      </c>
      <c r="D199" s="1053" t="s">
        <v>1859</v>
      </c>
      <c r="E199" s="676">
        <v>17.100000000000001</v>
      </c>
      <c r="F199" s="779" t="str" cm="1">
        <f t="array" aca="1" ref="F199" ca="1">OFFSET(G199,-1,-1)</f>
        <v>2</v>
      </c>
      <c r="G199" s="180"/>
      <c r="H199" s="180"/>
      <c r="I199" s="180"/>
      <c r="J199" s="180"/>
      <c r="K199" s="180"/>
      <c r="L199" s="1082"/>
      <c r="M199" s="1080" t="str" cm="1">
        <f t="array" aca="1" ref="M199" ca="1">OFFSET(L199,-1,1)</f>
        <v>ТЭ.42.26322895.0004</v>
      </c>
      <c r="N199" s="1082"/>
      <c r="O199" s="1082"/>
      <c r="P199" s="1082"/>
      <c r="Q199" s="1082" t="s">
        <v>1965</v>
      </c>
      <c r="R199" s="1082"/>
      <c r="S199" s="1082"/>
      <c r="T199" s="687" t="b" cm="1">
        <f t="array" ref="T199">T198</f>
        <v>1</v>
      </c>
      <c r="U199" s="1153"/>
      <c r="V199" s="1153"/>
      <c r="W199" s="1153"/>
      <c r="X199" s="1726"/>
      <c r="Y199" s="1153"/>
      <c r="Z199" s="1726"/>
      <c r="AA199" s="180"/>
      <c r="AB199" s="733" t="s">
        <v>1966</v>
      </c>
      <c r="AC199" s="843" t="s">
        <v>1967</v>
      </c>
      <c r="AD199" s="733" t="s">
        <v>1077</v>
      </c>
      <c r="AE199" s="1398"/>
      <c r="AF199" s="1398"/>
      <c r="AG199" s="1398"/>
      <c r="AH199" s="256">
        <f t="shared" si="9"/>
        <v>0</v>
      </c>
      <c r="AI199" s="1398"/>
      <c r="AJ199" s="517"/>
      <c r="AK199" s="517"/>
      <c r="AL199" s="256">
        <f t="shared" si="11"/>
        <v>0</v>
      </c>
      <c r="AM199" s="1290"/>
      <c r="AN199" s="1290"/>
      <c r="AO199" s="1290"/>
      <c r="AP199" s="180"/>
      <c r="AQ199" s="180"/>
      <c r="AR199" s="1029" t="s">
        <v>1968</v>
      </c>
      <c r="AS199" s="1064" t="str" cm="1">
        <f t="array" aca="1" ref="AS199" ca="1">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M10558::ТЭ.42.26322895.0004::Неопределено::Неопределено::Неопределено::Неопределено::2.0.48.::Неопределено::Неопределено</v>
      </c>
    </row>
    <row r="200" spans="1:45" s="1229" customFormat="1" ht="16.5" customHeight="1">
      <c r="A200" s="983"/>
      <c r="B200" s="783"/>
      <c r="C200" s="1094" t="s">
        <v>1858</v>
      </c>
      <c r="D200" s="1053" t="s">
        <v>1859</v>
      </c>
      <c r="E200" s="676">
        <v>17.100000000000001</v>
      </c>
      <c r="F200" s="779" t="str" cm="1">
        <f t="array" aca="1" ref="F200" ca="1">OFFSET(G200,-1,-1)</f>
        <v>2</v>
      </c>
      <c r="G200" s="180"/>
      <c r="H200" s="180"/>
      <c r="I200" s="180"/>
      <c r="J200" s="180"/>
      <c r="K200" s="180"/>
      <c r="L200" s="1082" t="s">
        <v>1918</v>
      </c>
      <c r="M200" s="1080" t="str" cm="1">
        <f t="array" aca="1" ref="M200" ca="1">OFFSET(L200,-1,1)</f>
        <v>ТЭ.42.26322895.0004</v>
      </c>
      <c r="N200" s="1082" t="s">
        <v>1945</v>
      </c>
      <c r="O200" s="1082"/>
      <c r="P200" s="1082"/>
      <c r="Q200" s="1082"/>
      <c r="R200" s="1082"/>
      <c r="S200" s="1082"/>
      <c r="T200" s="687" t="b" cm="1">
        <f t="array" ref="T200">T199</f>
        <v>1</v>
      </c>
      <c r="U200" s="1153"/>
      <c r="V200" s="1153"/>
      <c r="W200" s="1153"/>
      <c r="X200" s="1726"/>
      <c r="Y200" s="1153"/>
      <c r="Z200" s="1726"/>
      <c r="AA200" s="180"/>
      <c r="AB200" s="733" t="s">
        <v>1969</v>
      </c>
      <c r="AC200" s="843" t="s">
        <v>1325</v>
      </c>
      <c r="AD200" s="733" t="s">
        <v>1077</v>
      </c>
      <c r="AE200" s="1398"/>
      <c r="AF200" s="1398"/>
      <c r="AG200" s="1398"/>
      <c r="AH200" s="256">
        <f t="shared" si="9"/>
        <v>0</v>
      </c>
      <c r="AI200" s="1398"/>
      <c r="AJ200" s="517"/>
      <c r="AK200" s="517"/>
      <c r="AL200" s="256">
        <f t="shared" si="11"/>
        <v>0</v>
      </c>
      <c r="AM200" s="1290"/>
      <c r="AN200" s="1290"/>
      <c r="AO200" s="1290"/>
      <c r="AP200" s="180"/>
      <c r="AQ200" s="180"/>
      <c r="AR200" s="1029" t="s">
        <v>1970</v>
      </c>
      <c r="AS200" s="1064" t="str" cm="1">
        <f t="array" aca="1" ref="AS200" ca="1">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M10558::ТЭ.42.26322895.0004::1.0.49.::110.0.32.::Неопределено::Неопределено::Неопределено::Неопределено::Неопределено</v>
      </c>
    </row>
    <row r="201" spans="1:45" s="1229" customFormat="1" ht="16.5" customHeight="1">
      <c r="A201" s="983"/>
      <c r="B201" s="783"/>
      <c r="C201" s="1094" t="s">
        <v>1858</v>
      </c>
      <c r="D201" s="1053" t="s">
        <v>1859</v>
      </c>
      <c r="E201" s="676">
        <v>17.100000000000001</v>
      </c>
      <c r="F201" s="779" t="str" cm="1">
        <f t="array" aca="1" ref="F201" ca="1">OFFSET(G201,-1,-1)</f>
        <v>2</v>
      </c>
      <c r="G201" s="620" t="s">
        <v>1319</v>
      </c>
      <c r="H201" s="180"/>
      <c r="I201" s="180"/>
      <c r="J201" s="180"/>
      <c r="K201" s="180"/>
      <c r="L201" s="1082" t="s">
        <v>1971</v>
      </c>
      <c r="M201" s="1080" t="str" cm="1">
        <f t="array" aca="1" ref="M201" ca="1">OFFSET(L201,-1,1)</f>
        <v>ТЭ.42.26322895.0004</v>
      </c>
      <c r="N201" s="1082"/>
      <c r="O201" s="1082"/>
      <c r="P201" s="1082"/>
      <c r="Q201" s="1082"/>
      <c r="R201" s="1082"/>
      <c r="S201" s="1082"/>
      <c r="T201" s="687" t="b" cm="1">
        <f t="array" ref="T201">T200</f>
        <v>1</v>
      </c>
      <c r="U201" s="1153"/>
      <c r="V201" s="1153"/>
      <c r="W201" s="1153"/>
      <c r="X201" s="1726"/>
      <c r="Y201" s="1153"/>
      <c r="Z201" s="1726"/>
      <c r="AA201" s="180"/>
      <c r="AB201" s="752">
        <v>4</v>
      </c>
      <c r="AC201" s="849" t="s">
        <v>1436</v>
      </c>
      <c r="AD201" s="752" t="s">
        <v>1077</v>
      </c>
      <c r="AE201" s="515">
        <f ca="1">SUMIFS(Налоги!AE$26:AE$69,Налоги!$F$26:$F$69,$F201,Налоги!$G$26:$G$69,$G201)</f>
        <v>0</v>
      </c>
      <c r="AF201" s="515">
        <f ca="1">SUMIFS(Налоги!AF$26:AF$69,Налоги!$F$26:$F$69,$F201,Налоги!$G$26:$G$69,$G201)</f>
        <v>0</v>
      </c>
      <c r="AG201" s="515">
        <f ca="1">SUMIFS(Налоги!AG$26:AG$69,Налоги!$F$26:$F$69,$F201,Налоги!$G$26:$G$69,$G201)</f>
        <v>0</v>
      </c>
      <c r="AH201" s="256">
        <f t="shared" ca="1" si="9"/>
        <v>0</v>
      </c>
      <c r="AI201" s="515">
        <f ca="1">SUMIFS(Налоги!AH$26:AH$69,Налоги!$F$26:$F$69,$F201,Налоги!$G$26:$G$69,$G201)</f>
        <v>0</v>
      </c>
      <c r="AJ201" s="515">
        <f ca="1">SUMIFS(Налоги!AI$26:AI$69,Налоги!$F$26:$F$69,$F201,Налоги!$G$26:$G$69,$G201)</f>
        <v>0</v>
      </c>
      <c r="AK201" s="515">
        <f ca="1">SUMIFS(Налоги!AS$26:AS$69,Налоги!$F$26:$F$69,$F201,Налоги!$G$26:$G$69,$G201)</f>
        <v>0</v>
      </c>
      <c r="AL201" s="256">
        <f t="shared" ca="1" si="11"/>
        <v>0</v>
      </c>
      <c r="AM201" s="1290"/>
      <c r="AN201" s="1290"/>
      <c r="AO201" s="1290"/>
      <c r="AP201" s="180"/>
      <c r="AQ201" s="180"/>
      <c r="AR201" s="1029" t="s">
        <v>614</v>
      </c>
      <c r="AS201" s="1064" t="str" cm="1">
        <f t="array" aca="1" ref="AS201" ca="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M10558::ТЭ.42.26322895.0004::1.0.91.::Неопределено::Неопределено::Неопределено::Неопределено::Неопределено::Неопределено</v>
      </c>
    </row>
    <row r="202" spans="1:45" s="1229" customFormat="1" ht="33.75" customHeight="1">
      <c r="A202" s="983"/>
      <c r="B202" s="783"/>
      <c r="C202" s="1094" t="s">
        <v>1725</v>
      </c>
      <c r="D202" s="1053" t="s">
        <v>1726</v>
      </c>
      <c r="E202" s="676">
        <v>35</v>
      </c>
      <c r="F202" s="779" t="str" cm="1">
        <f t="array" aca="1" ref="F202" ca="1">OFFSET(G202,-1,-1)</f>
        <v>2</v>
      </c>
      <c r="G202" s="180"/>
      <c r="H202" s="180"/>
      <c r="I202" s="180"/>
      <c r="J202" s="180"/>
      <c r="K202" s="180"/>
      <c r="L202" s="1082"/>
      <c r="M202" s="1080" t="str" cm="1">
        <f t="array" aca="1" ref="M202" ca="1">OFFSET(L202,-1,1)</f>
        <v>ТЭ.42.26322895.0004</v>
      </c>
      <c r="N202" s="1082" t="s">
        <v>1972</v>
      </c>
      <c r="O202" s="1082"/>
      <c r="P202" s="1082"/>
      <c r="Q202" s="1082"/>
      <c r="R202" s="1082"/>
      <c r="S202" s="1082"/>
      <c r="T202" s="687" t="b" cm="1">
        <f t="array" ref="T202">T201</f>
        <v>1</v>
      </c>
      <c r="U202" s="1153"/>
      <c r="V202" s="1153"/>
      <c r="W202" s="1153"/>
      <c r="X202" s="1726"/>
      <c r="Y202" s="1153"/>
      <c r="Z202" s="1726"/>
      <c r="AA202" s="180"/>
      <c r="AB202" s="752">
        <v>5</v>
      </c>
      <c r="AC202" s="849" t="s">
        <v>1973</v>
      </c>
      <c r="AD202" s="752" t="s">
        <v>1077</v>
      </c>
      <c r="AE202" s="1398"/>
      <c r="AF202" s="1398"/>
      <c r="AG202" s="1398"/>
      <c r="AH202" s="256">
        <f t="shared" si="9"/>
        <v>0</v>
      </c>
      <c r="AI202" s="1398"/>
      <c r="AJ202" s="517"/>
      <c r="AK202" s="517"/>
      <c r="AL202" s="256">
        <f t="shared" si="11"/>
        <v>0</v>
      </c>
      <c r="AM202" s="1290"/>
      <c r="AN202" s="1290"/>
      <c r="AO202" s="1290"/>
      <c r="AP202" s="180"/>
      <c r="AQ202" s="180"/>
      <c r="AR202" s="1029" t="s">
        <v>1567</v>
      </c>
      <c r="AS202" s="1064" t="str" cm="1">
        <f t="array" aca="1" ref="AS202" ca="1">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M11281::ТЭ.42.26322895.0004::Неопределено::110.0.5.::Неопределено::Неопределено::Неопределено::Неопределено::Неопределено</v>
      </c>
    </row>
    <row r="203" spans="1:45" s="1229" customFormat="1" ht="16.5" customHeight="1">
      <c r="A203" s="983"/>
      <c r="B203" s="783"/>
      <c r="C203" s="1094" t="s">
        <v>1858</v>
      </c>
      <c r="D203" s="1053" t="s">
        <v>1859</v>
      </c>
      <c r="E203" s="676">
        <v>17.100000000000001</v>
      </c>
      <c r="F203" s="779" t="str" cm="1">
        <f t="array" aca="1" ref="F203" ca="1">OFFSET(G203,-1,-1)</f>
        <v>2</v>
      </c>
      <c r="G203" s="180"/>
      <c r="H203" s="180"/>
      <c r="I203" s="180"/>
      <c r="J203" s="180"/>
      <c r="K203" s="180"/>
      <c r="L203" s="1082"/>
      <c r="M203" s="1080" t="str" cm="1">
        <f t="array" aca="1" ref="M203" ca="1">OFFSET(L203,-1,1)</f>
        <v>ТЭ.42.26322895.0004</v>
      </c>
      <c r="N203" s="1082" t="s">
        <v>1974</v>
      </c>
      <c r="O203" s="1082"/>
      <c r="P203" s="1082"/>
      <c r="Q203" s="1082"/>
      <c r="R203" s="1082"/>
      <c r="S203" s="1082"/>
      <c r="T203" s="687" t="b" cm="1">
        <f t="array" ref="T203">T202</f>
        <v>1</v>
      </c>
      <c r="U203" s="1153"/>
      <c r="V203" s="1153"/>
      <c r="W203" s="1153"/>
      <c r="X203" s="1726"/>
      <c r="Y203" s="1153"/>
      <c r="Z203" s="1726"/>
      <c r="AA203" s="180"/>
      <c r="AB203" s="752">
        <v>6</v>
      </c>
      <c r="AC203" s="849" t="s">
        <v>1975</v>
      </c>
      <c r="AD203" s="752" t="s">
        <v>1077</v>
      </c>
      <c r="AE203" s="1398"/>
      <c r="AF203" s="1398"/>
      <c r="AG203" s="1398"/>
      <c r="AH203" s="256">
        <f t="shared" si="9"/>
        <v>0</v>
      </c>
      <c r="AI203" s="1398"/>
      <c r="AJ203" s="517"/>
      <c r="AK203" s="517"/>
      <c r="AL203" s="256">
        <f t="shared" si="11"/>
        <v>0</v>
      </c>
      <c r="AM203" s="1290"/>
      <c r="AN203" s="1290"/>
      <c r="AO203" s="1290"/>
      <c r="AP203" s="180"/>
      <c r="AQ203" s="180"/>
      <c r="AR203" s="1029" t="s">
        <v>1438</v>
      </c>
      <c r="AS203" s="1064" t="str" cm="1">
        <f t="array" aca="1" ref="AS203" ca="1">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M10558::ТЭ.42.26322895.0004::Неопределено::110.0.22.::Неопределено::Неопределено::Неопределено::Неопределено::Неопределено</v>
      </c>
    </row>
    <row r="204" spans="1:45" s="1229" customFormat="1" ht="16.5" customHeight="1">
      <c r="A204" s="983"/>
      <c r="B204" s="783"/>
      <c r="C204" s="1094" t="s">
        <v>1753</v>
      </c>
      <c r="D204" s="1053" t="s">
        <v>1754</v>
      </c>
      <c r="E204" s="676">
        <v>17.100000000000001</v>
      </c>
      <c r="F204" s="779" t="str" cm="1">
        <f t="array" aca="1" ref="F204" ca="1">OFFSET(G204,-1,-1)</f>
        <v>2</v>
      </c>
      <c r="G204" s="180"/>
      <c r="H204" s="180"/>
      <c r="I204" s="180"/>
      <c r="J204" s="180"/>
      <c r="K204" s="180"/>
      <c r="L204" s="1082"/>
      <c r="M204" s="1080" t="str" cm="1">
        <f t="array" aca="1" ref="M204" ca="1">OFFSET(L204,-1,1)</f>
        <v>ТЭ.42.26322895.0004</v>
      </c>
      <c r="N204" s="1082"/>
      <c r="O204" s="1082"/>
      <c r="P204" s="1082"/>
      <c r="Q204" s="1082"/>
      <c r="R204" s="1082"/>
      <c r="S204" s="1082"/>
      <c r="T204" s="687" t="b" cm="1">
        <f t="array" ref="T204">T203</f>
        <v>1</v>
      </c>
      <c r="U204" s="1153"/>
      <c r="V204" s="1153"/>
      <c r="W204" s="1153"/>
      <c r="X204" s="1726"/>
      <c r="Y204" s="1153"/>
      <c r="Z204" s="1726"/>
      <c r="AA204" s="180"/>
      <c r="AB204" s="850" t="s">
        <v>451</v>
      </c>
      <c r="AC204" s="851" t="s">
        <v>1755</v>
      </c>
      <c r="AD204" s="852" t="s">
        <v>1077</v>
      </c>
      <c r="AE204" s="515">
        <f ca="1">AE162+AE189+AE196+AE201+AE202+AE203</f>
        <v>0</v>
      </c>
      <c r="AF204" s="515">
        <f ca="1">AF162+AF189+AF196+AF201+AF202+AF203</f>
        <v>0</v>
      </c>
      <c r="AG204" s="515">
        <f ca="1">AG162+AG189+AG196+AG201+AG202+AG203</f>
        <v>0</v>
      </c>
      <c r="AH204" s="256">
        <f t="shared" ca="1" si="9"/>
        <v>0</v>
      </c>
      <c r="AI204" s="515">
        <f ca="1">AI162+AI189+AI196+AI201+AI202+AI203</f>
        <v>153043.11994293105</v>
      </c>
      <c r="AJ204" s="515">
        <f ca="1">AJ162+AJ189+AJ196+AJ201+AJ202+AJ203</f>
        <v>0</v>
      </c>
      <c r="AK204" s="515">
        <f ca="1">AK162+AK189+AK196+AK201+AK202+AK203</f>
        <v>218184.87265821334</v>
      </c>
      <c r="AL204" s="256">
        <f t="shared" ca="1" si="11"/>
        <v>42.564313076976802</v>
      </c>
      <c r="AM204" s="1290"/>
      <c r="AN204" s="1290"/>
      <c r="AO204" s="1290"/>
      <c r="AP204" s="180"/>
      <c r="AQ204" s="180"/>
      <c r="AR204" s="1029" t="s">
        <v>1976</v>
      </c>
      <c r="AS204" s="1064" t="str" cm="1">
        <f t="array" aca="1" ref="AS204" ca="1">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M10655::ТЭ.42.26322895.0004::Неопределено::Неопределено::Неопределено::Неопределено::Неопределено::Неопределено::Неопределено</v>
      </c>
    </row>
    <row r="205" spans="1:45" s="1229" customFormat="1" ht="48.75" customHeight="1">
      <c r="A205" s="983"/>
      <c r="B205" s="783"/>
      <c r="C205" s="1094" t="s">
        <v>1757</v>
      </c>
      <c r="D205" s="1053" t="s">
        <v>1758</v>
      </c>
      <c r="E205" s="676">
        <v>50</v>
      </c>
      <c r="F205" s="779" t="str" cm="1">
        <f t="array" aca="1" ref="F205" ca="1">OFFSET(G205,-1,-1)</f>
        <v>2</v>
      </c>
      <c r="G205" s="180"/>
      <c r="H205" s="180"/>
      <c r="I205" s="180"/>
      <c r="J205" s="180"/>
      <c r="K205" s="180"/>
      <c r="L205" s="1082"/>
      <c r="M205" s="1080" t="str" cm="1">
        <f t="array" aca="1" ref="M205" ca="1">OFFSET(L205,-1,1)</f>
        <v>ТЭ.42.26322895.0004</v>
      </c>
      <c r="N205" s="1082"/>
      <c r="O205" s="1082"/>
      <c r="P205" s="1082"/>
      <c r="Q205" s="1082"/>
      <c r="R205" s="1082"/>
      <c r="S205" s="1082"/>
      <c r="T205" s="687" t="b" cm="1">
        <f t="array" ref="T205">T204</f>
        <v>1</v>
      </c>
      <c r="U205" s="1153"/>
      <c r="V205" s="1153"/>
      <c r="W205" s="1153"/>
      <c r="X205" s="1726"/>
      <c r="Y205" s="1153"/>
      <c r="Z205" s="1726"/>
      <c r="AA205" s="180"/>
      <c r="AB205" s="853" t="s">
        <v>454</v>
      </c>
      <c r="AC205" s="903" t="s">
        <v>1757</v>
      </c>
      <c r="AD205" s="733" t="s">
        <v>1077</v>
      </c>
      <c r="AE205" s="1398"/>
      <c r="AF205" s="1398"/>
      <c r="AG205" s="1398"/>
      <c r="AH205" s="256">
        <f t="shared" si="9"/>
        <v>0</v>
      </c>
      <c r="AI205" s="1398"/>
      <c r="AJ205" s="517"/>
      <c r="AK205" s="517"/>
      <c r="AL205" s="256">
        <f t="shared" si="11"/>
        <v>0</v>
      </c>
      <c r="AM205" s="1290"/>
      <c r="AN205" s="1290"/>
      <c r="AO205" s="1290"/>
      <c r="AP205" s="180"/>
      <c r="AQ205" s="180"/>
      <c r="AR205" s="1029" t="s">
        <v>1977</v>
      </c>
      <c r="AS205" s="1064" t="str" cm="1">
        <f t="array" aca="1" ref="AS205" ca="1">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M11579::ТЭ.42.26322895.0004::Неопределено::Неопределено::Неопределено::Неопределено::Неопределено::Неопределено::Неопределено</v>
      </c>
    </row>
    <row r="206" spans="1:45" s="1229" customFormat="1" ht="16.5" customHeight="1">
      <c r="A206" s="983"/>
      <c r="B206" s="783"/>
      <c r="C206" s="1094" t="s">
        <v>1760</v>
      </c>
      <c r="D206" s="1053" t="s">
        <v>1761</v>
      </c>
      <c r="E206" s="676">
        <v>17.100000000000001</v>
      </c>
      <c r="F206" s="779" t="str" cm="1">
        <f t="array" aca="1" ref="F206" ca="1">OFFSET(G206,-1,-1)</f>
        <v>2</v>
      </c>
      <c r="G206" s="180"/>
      <c r="H206" s="180"/>
      <c r="I206" s="180"/>
      <c r="J206" s="180"/>
      <c r="K206" s="180"/>
      <c r="L206" s="1082"/>
      <c r="M206" s="1080" t="str" cm="1">
        <f t="array" aca="1" ref="M206" ca="1">OFFSET(L206,-1,1)</f>
        <v>ТЭ.42.26322895.0004</v>
      </c>
      <c r="N206" s="1082"/>
      <c r="O206" s="1082"/>
      <c r="P206" s="1082"/>
      <c r="Q206" s="1082"/>
      <c r="R206" s="1082"/>
      <c r="S206" s="1082"/>
      <c r="T206" s="687" t="b" cm="1">
        <f t="array" ref="T206">T205</f>
        <v>1</v>
      </c>
      <c r="U206" s="1153"/>
      <c r="V206" s="1153"/>
      <c r="W206" s="1153"/>
      <c r="X206" s="1726"/>
      <c r="Y206" s="1153"/>
      <c r="Z206" s="1726"/>
      <c r="AA206" s="180"/>
      <c r="AB206" s="545" t="s">
        <v>457</v>
      </c>
      <c r="AC206" s="895" t="s">
        <v>1764</v>
      </c>
      <c r="AD206" s="854" t="s">
        <v>1077</v>
      </c>
      <c r="AE206" s="515">
        <f ca="1">AE204+AE205</f>
        <v>0</v>
      </c>
      <c r="AF206" s="515">
        <f ca="1">AF204+AF205</f>
        <v>0</v>
      </c>
      <c r="AG206" s="515">
        <f ca="1">AG204+AG205</f>
        <v>0</v>
      </c>
      <c r="AH206" s="256">
        <f t="shared" ca="1" si="9"/>
        <v>0</v>
      </c>
      <c r="AI206" s="515">
        <f ca="1">AI204+AI205</f>
        <v>153043.11994293105</v>
      </c>
      <c r="AJ206" s="515">
        <f ca="1">AJ204+AJ205</f>
        <v>0</v>
      </c>
      <c r="AK206" s="515">
        <f ca="1">AK204+AK205</f>
        <v>218184.87265821334</v>
      </c>
      <c r="AL206" s="256">
        <f t="shared" ca="1" si="11"/>
        <v>42.564313076976802</v>
      </c>
      <c r="AM206" s="1290"/>
      <c r="AN206" s="1290"/>
      <c r="AO206" s="1290"/>
      <c r="AP206" s="180"/>
      <c r="AQ206" s="180"/>
      <c r="AR206" s="1029" t="s">
        <v>1978</v>
      </c>
      <c r="AS206" s="1064" t="str" cm="1">
        <f t="array" aca="1" ref="AS206" ca="1">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M11580::ТЭ.42.26322895.0004::Неопределено::Неопределено::Неопределено::Неопределено::Неопределено::Неопределено::Неопределено</v>
      </c>
    </row>
    <row r="207" spans="1:45" s="1229" customFormat="1" ht="16.5" hidden="1" customHeight="1">
      <c r="A207" s="983"/>
      <c r="B207" s="783"/>
      <c r="C207" s="1094" t="s">
        <v>1766</v>
      </c>
      <c r="D207" s="1053" t="s">
        <v>1767</v>
      </c>
      <c r="E207" s="676">
        <v>17.100000000000001</v>
      </c>
      <c r="F207" s="779" t="str" cm="1">
        <f t="array" aca="1" ref="F207" ca="1">OFFSET(G207,-1,-1)</f>
        <v>2</v>
      </c>
      <c r="G207" s="180"/>
      <c r="H207" s="143" t="str" cm="1">
        <f t="array" ref="H207">G161</f>
        <v>одноставочный</v>
      </c>
      <c r="I207" s="180"/>
      <c r="J207" s="180"/>
      <c r="K207" s="180"/>
      <c r="L207" s="1082"/>
      <c r="M207" s="1080" t="str" cm="1">
        <f t="array" aca="1" ref="M207" ca="1">OFFSET(L207,-1,1)</f>
        <v>ТЭ.42.26322895.0004</v>
      </c>
      <c r="N207" s="1082"/>
      <c r="O207" s="1082"/>
      <c r="P207" s="1082"/>
      <c r="Q207" s="1082"/>
      <c r="R207" s="1082"/>
      <c r="S207" s="1082"/>
      <c r="T207" s="687" t="b">
        <f ca="1">AND(F207&gt;0,H207="двухставочный")</f>
        <v>0</v>
      </c>
      <c r="U207" s="1153"/>
      <c r="V207" s="1153"/>
      <c r="W207" s="1153"/>
      <c r="X207" s="1726"/>
      <c r="Y207" s="1153"/>
      <c r="Z207" s="1726"/>
      <c r="AA207" s="180"/>
      <c r="AB207" s="553" t="str">
        <f>AB206&amp;".1"</f>
        <v>9.1</v>
      </c>
      <c r="AC207" s="519" t="s">
        <v>1769</v>
      </c>
      <c r="AD207" s="258" t="s">
        <v>839</v>
      </c>
      <c r="AE207" s="77"/>
      <c r="AF207" s="77"/>
      <c r="AG207" s="77"/>
      <c r="AH207" s="256">
        <f t="shared" si="9"/>
        <v>0</v>
      </c>
      <c r="AI207" s="77"/>
      <c r="AJ207" s="517"/>
      <c r="AK207" s="517"/>
      <c r="AL207" s="256">
        <f t="shared" si="11"/>
        <v>0</v>
      </c>
      <c r="AM207" s="28"/>
      <c r="AN207" s="28"/>
      <c r="AO207" s="28"/>
      <c r="AP207" s="180"/>
      <c r="AQ207" s="180"/>
      <c r="AR207" s="1029" t="s">
        <v>1979</v>
      </c>
      <c r="AS207" s="1064" t="str" cm="1">
        <f t="array" aca="1" ref="AS207" ca="1">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M11581::ТЭ.42.26322895.0004::Неопределено::Неопределено::Неопределено::Неопределено::Неопределено::Неопределено::Неопределено</v>
      </c>
    </row>
    <row r="208" spans="1:45" s="1229" customFormat="1" ht="16.5" hidden="1" customHeight="1">
      <c r="A208" s="983"/>
      <c r="B208" s="783"/>
      <c r="C208" s="1094" t="s">
        <v>1771</v>
      </c>
      <c r="D208" s="1053" t="s">
        <v>1772</v>
      </c>
      <c r="E208" s="676">
        <v>17.100000000000001</v>
      </c>
      <c r="F208" s="779" t="str" cm="1">
        <f t="array" aca="1" ref="F208" ca="1">OFFSET(G208,-1,-1)</f>
        <v>2</v>
      </c>
      <c r="G208" s="180"/>
      <c r="H208" s="143" t="str" cm="1">
        <f t="array" ref="H208">G161</f>
        <v>одноставочный</v>
      </c>
      <c r="I208" s="180"/>
      <c r="J208" s="180"/>
      <c r="K208" s="180"/>
      <c r="L208" s="1082"/>
      <c r="M208" s="1080" t="str" cm="1">
        <f t="array" aca="1" ref="M208" ca="1">OFFSET(L208,-1,1)</f>
        <v>ТЭ.42.26322895.0004</v>
      </c>
      <c r="N208" s="1082"/>
      <c r="O208" s="1082"/>
      <c r="P208" s="1082"/>
      <c r="Q208" s="1082"/>
      <c r="R208" s="1082"/>
      <c r="S208" s="1082"/>
      <c r="T208" s="687" t="b">
        <f ca="1">AND(F208&gt;0,H208="двухставочный")</f>
        <v>0</v>
      </c>
      <c r="U208" s="1153"/>
      <c r="V208" s="1153"/>
      <c r="W208" s="1153"/>
      <c r="X208" s="1726"/>
      <c r="Y208" s="1153"/>
      <c r="Z208" s="1726"/>
      <c r="AA208" s="180"/>
      <c r="AB208" s="553" t="str">
        <f>AB206&amp;".2"</f>
        <v>9.2</v>
      </c>
      <c r="AC208" s="519" t="s">
        <v>1771</v>
      </c>
      <c r="AD208" s="258" t="s">
        <v>839</v>
      </c>
      <c r="AE208" s="515">
        <f ca="1">AE206-AE207</f>
        <v>0</v>
      </c>
      <c r="AF208" s="515">
        <f ca="1">AF206-AF207</f>
        <v>0</v>
      </c>
      <c r="AG208" s="515">
        <f ca="1">AG206-AG207</f>
        <v>0</v>
      </c>
      <c r="AH208" s="256">
        <f t="shared" ca="1" si="9"/>
        <v>0</v>
      </c>
      <c r="AI208" s="515">
        <f ca="1">AI206-AI207</f>
        <v>153043.11994293105</v>
      </c>
      <c r="AJ208" s="515">
        <f ca="1">AJ206-AJ207</f>
        <v>0</v>
      </c>
      <c r="AK208" s="515">
        <f ca="1">AK206-AK207</f>
        <v>218184.87265821334</v>
      </c>
      <c r="AL208" s="256">
        <f t="shared" ca="1" si="11"/>
        <v>42.564313076976802</v>
      </c>
      <c r="AM208" s="28"/>
      <c r="AN208" s="28"/>
      <c r="AO208" s="28"/>
      <c r="AP208" s="180"/>
      <c r="AQ208" s="180"/>
      <c r="AR208" s="1029" t="s">
        <v>1980</v>
      </c>
      <c r="AS208" s="1064" t="str" cm="1">
        <f t="array" aca="1" ref="AS208" ca="1">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M11582::ТЭ.42.26322895.0004::Неопределено::Неопределено::Неопределено::Неопределено::Неопределено::Неопределено::Неопределено</v>
      </c>
    </row>
    <row r="209" spans="1:45" s="1229" customFormat="1" ht="16.5" customHeight="1">
      <c r="A209" s="983"/>
      <c r="B209" s="783"/>
      <c r="C209" s="1094" t="s">
        <v>1774</v>
      </c>
      <c r="D209" s="1053" t="s">
        <v>1775</v>
      </c>
      <c r="E209" s="676">
        <v>17.100000000000001</v>
      </c>
      <c r="F209" s="779" t="str" cm="1">
        <f t="array" aca="1" ref="F209" ca="1">OFFSET(G209,-1,-1)</f>
        <v>2</v>
      </c>
      <c r="G209" s="180"/>
      <c r="H209" s="180"/>
      <c r="I209" s="180"/>
      <c r="J209" s="180"/>
      <c r="K209" s="180"/>
      <c r="L209" s="1082"/>
      <c r="M209" s="1080" t="str" cm="1">
        <f t="array" aca="1" ref="M209" ca="1">OFFSET(L209,-1,1)</f>
        <v>ТЭ.42.26322895.0004</v>
      </c>
      <c r="N209" s="1082"/>
      <c r="O209" s="1082"/>
      <c r="P209" s="1082"/>
      <c r="Q209" s="1082"/>
      <c r="R209" s="1082"/>
      <c r="S209" s="1082"/>
      <c r="T209" s="687" t="b" cm="1">
        <f t="array" ref="T209">T206</f>
        <v>1</v>
      </c>
      <c r="U209" s="1153"/>
      <c r="V209" s="1153"/>
      <c r="W209" s="1153"/>
      <c r="X209" s="1726"/>
      <c r="Y209" s="1153"/>
      <c r="Z209" s="1726"/>
      <c r="AA209" s="180"/>
      <c r="AB209" s="263" t="s">
        <v>460</v>
      </c>
      <c r="AC209" s="259" t="s">
        <v>1777</v>
      </c>
      <c r="AD209" s="264" t="s">
        <v>634</v>
      </c>
      <c r="AE209" s="256">
        <f ca="1">IF($K161="передача тепловой энергии",SUMIFS('Баланс Тр'!AE$27:AE$50,'Баланс Тр'!$F$27:$F$50,$F209,'Баланс Тр'!$AB$27:$AB$50,"3"),SUMIFS('Баланс Пр'!AE$27:AE$233,'Баланс Пр'!$F$27:$F$233,$F209,'Баланс Пр'!$AB$27:$AB$233,"9.1"))</f>
        <v>0</v>
      </c>
      <c r="AF209" s="516"/>
      <c r="AG209" s="516"/>
      <c r="AH209" s="319"/>
      <c r="AI209" s="256">
        <f ca="1">IF($K161="передача тепловой энергии",SUMIFS('Баланс Тр'!AH$27:AH$50,'Баланс Тр'!$F$27:$F$50,$F209,'Баланс Тр'!$AB$27:$AB$50,"3"),SUMIFS('Баланс Пр'!AH$27:AH$233,'Баланс Пр'!$F$27:$F$233,$F209,'Баланс Пр'!$AB$27:$AB$233,"9.1"))</f>
        <v>111706</v>
      </c>
      <c r="AJ209" s="256">
        <f ca="1">IF($K161="передача тепловой энергии",SUMIFS('Баланс Тр'!AI$27:AI$50,'Баланс Тр'!$F$27:$F$50,$F209,'Баланс Тр'!$AB$27:$AB$50,"3"),SUMIFS('Баланс Пр'!AI$27:AI$233,'Баланс Пр'!$F$27:$F$233,$F209,'Баланс Пр'!$AB$27:$AB$233,"9.1"))</f>
        <v>0</v>
      </c>
      <c r="AK209" s="256">
        <f ca="1">IF($K161="передача тепловой энергии",SUMIFS('Баланс Тр'!AS$27:AS$50,'Баланс Тр'!$F$27:$F$50,$F209,'Баланс Тр'!$AB$27:$AB$50,"3"),SUMIFS('Баланс Пр'!AS$27:AS$233,'Баланс Пр'!$F$27:$F$233,$F209,'Баланс Пр'!$AB$27:$AB$233,"9.1"))</f>
        <v>112183.11</v>
      </c>
      <c r="AL209" s="256">
        <f t="shared" ca="1" si="11"/>
        <v>0.42711224106135803</v>
      </c>
      <c r="AM209" s="1290"/>
      <c r="AN209" s="1290"/>
      <c r="AO209" s="1290"/>
      <c r="AP209" s="180"/>
      <c r="AQ209" s="180"/>
      <c r="AR209" s="1029" t="s">
        <v>1778</v>
      </c>
      <c r="AS209" s="1064" t="str" cm="1">
        <f t="array" aca="1" ref="AS209" ca="1">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M10502::ТЭ.42.26322895.0004::Неопределено::Неопределено::Неопределено::Неопределено::Неопределено::Неопределено::Неопределено</v>
      </c>
    </row>
    <row r="210" spans="1:45" s="1439" customFormat="1" ht="16.5" customHeight="1">
      <c r="A210" s="185"/>
      <c r="B210" s="185"/>
      <c r="C210" s="1094" t="s">
        <v>1779</v>
      </c>
      <c r="D210" s="1053" t="s">
        <v>1780</v>
      </c>
      <c r="E210" s="676">
        <v>17.100000000000001</v>
      </c>
      <c r="F210" s="779" t="str" cm="1">
        <f t="array" aca="1" ref="F210" ca="1">OFFSET(G210,-1,-1)</f>
        <v>2</v>
      </c>
      <c r="G210" s="143" t="s">
        <v>1781</v>
      </c>
      <c r="H210" s="185"/>
      <c r="I210" s="185"/>
      <c r="J210" s="185"/>
      <c r="K210" s="185"/>
      <c r="L210" s="1090"/>
      <c r="M210" s="1080" t="str" cm="1">
        <f t="array" aca="1" ref="M210" ca="1">OFFSET(L210,-1,1)</f>
        <v>ТЭ.42.26322895.0004</v>
      </c>
      <c r="N210" s="1090"/>
      <c r="O210" s="1090"/>
      <c r="P210" s="1090"/>
      <c r="Q210" s="1082"/>
      <c r="R210" s="1082"/>
      <c r="S210" s="1082" t="s">
        <v>1782</v>
      </c>
      <c r="T210" s="687" t="b" cm="1">
        <f t="array" ref="T210">T209</f>
        <v>1</v>
      </c>
      <c r="U210" s="185"/>
      <c r="V210" s="185"/>
      <c r="W210" s="185"/>
      <c r="X210" s="1823"/>
      <c r="Y210" s="185"/>
      <c r="Z210" s="1823"/>
      <c r="AA210" s="185"/>
      <c r="AB210" s="553" t="str">
        <f>AB209&amp;".1"</f>
        <v>10.1</v>
      </c>
      <c r="AC210" s="236" t="s">
        <v>1783</v>
      </c>
      <c r="AD210" s="258" t="s">
        <v>634</v>
      </c>
      <c r="AE210" s="1398"/>
      <c r="AF210" s="516"/>
      <c r="AG210" s="516"/>
      <c r="AH210" s="319"/>
      <c r="AI210" s="1398"/>
      <c r="AJ210" s="517"/>
      <c r="AK210" s="517"/>
      <c r="AL210" s="256">
        <f t="shared" si="11"/>
        <v>0</v>
      </c>
      <c r="AM210" s="1290"/>
      <c r="AN210" s="1290"/>
      <c r="AO210" s="1290"/>
      <c r="AP210" s="185"/>
      <c r="AQ210" s="185"/>
      <c r="AR210" s="1029" t="s">
        <v>1784</v>
      </c>
      <c r="AS210" s="1064" t="str" cm="1">
        <f t="array" aca="1" ref="AS210" ca="1">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M10670::ТЭ.42.26322895.0004::Неопределено::Неопределено::Неопределено::Неопределено::Неопределено::Неопределено::8.0.3.</v>
      </c>
    </row>
    <row r="211" spans="1:45" s="1440" customFormat="1" ht="16.5" customHeight="1">
      <c r="A211" s="185"/>
      <c r="B211" s="185"/>
      <c r="C211" s="1094" t="s">
        <v>1785</v>
      </c>
      <c r="D211" s="1053" t="s">
        <v>1786</v>
      </c>
      <c r="E211" s="676">
        <v>17.100000000000001</v>
      </c>
      <c r="F211" s="779" t="str" cm="1">
        <f t="array" aca="1" ref="F211" ca="1">OFFSET(G211,-1,-1)</f>
        <v>2</v>
      </c>
      <c r="G211" s="620" t="s">
        <v>1787</v>
      </c>
      <c r="H211" s="185"/>
      <c r="I211" s="185"/>
      <c r="J211" s="185"/>
      <c r="K211" s="185"/>
      <c r="L211" s="1090"/>
      <c r="M211" s="1080" t="str" cm="1">
        <f t="array" aca="1" ref="M211" ca="1">OFFSET(L211,-1,1)</f>
        <v>ТЭ.42.26322895.0004</v>
      </c>
      <c r="N211" s="1090"/>
      <c r="O211" s="1090"/>
      <c r="P211" s="1090"/>
      <c r="Q211" s="1082"/>
      <c r="R211" s="1082"/>
      <c r="S211" s="1082" t="s">
        <v>1782</v>
      </c>
      <c r="T211" s="687" t="b" cm="1">
        <f t="array" ref="T211">T210</f>
        <v>1</v>
      </c>
      <c r="U211" s="185"/>
      <c r="V211" s="185"/>
      <c r="W211" s="185"/>
      <c r="X211" s="1823"/>
      <c r="Y211" s="185"/>
      <c r="Z211" s="1823"/>
      <c r="AA211" s="185"/>
      <c r="AB211" s="553" t="str">
        <f>AB209&amp;".2"</f>
        <v>10.2</v>
      </c>
      <c r="AC211" s="236" t="s">
        <v>1788</v>
      </c>
      <c r="AD211" s="258" t="s">
        <v>929</v>
      </c>
      <c r="AE211" s="1398"/>
      <c r="AF211" s="516"/>
      <c r="AG211" s="516"/>
      <c r="AH211" s="319"/>
      <c r="AI211" s="1398"/>
      <c r="AJ211" s="517"/>
      <c r="AK211" s="517"/>
      <c r="AL211" s="256">
        <f t="shared" si="11"/>
        <v>0</v>
      </c>
      <c r="AM211" s="1290"/>
      <c r="AN211" s="1290"/>
      <c r="AO211" s="1290"/>
      <c r="AP211" s="185"/>
      <c r="AQ211" s="185"/>
      <c r="AR211" s="1029" t="s">
        <v>1789</v>
      </c>
      <c r="AS211" s="1064" t="str" cm="1">
        <f t="array" aca="1" ref="AS211" ca="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M10546::ТЭ.42.26322895.0004::Неопределено::Неопределено::Неопределено::Неопределено::Неопределено::Неопределено::8.0.3.</v>
      </c>
    </row>
    <row r="212" spans="1:45" s="1229" customFormat="1" ht="16.5" customHeight="1">
      <c r="A212" s="983"/>
      <c r="B212" s="783"/>
      <c r="C212" s="1094" t="s">
        <v>1779</v>
      </c>
      <c r="D212" s="1053" t="s">
        <v>1780</v>
      </c>
      <c r="E212" s="676">
        <v>17.100000000000001</v>
      </c>
      <c r="F212" s="779" t="str" cm="1">
        <f t="array" aca="1" ref="F212" ca="1">OFFSET(G212,-1,-1)</f>
        <v>2</v>
      </c>
      <c r="G212" s="143" t="s">
        <v>1790</v>
      </c>
      <c r="H212" s="180"/>
      <c r="I212" s="180"/>
      <c r="J212" s="180"/>
      <c r="K212" s="180"/>
      <c r="L212" s="1082"/>
      <c r="M212" s="1080" t="str" cm="1">
        <f t="array" aca="1" ref="M212" ca="1">OFFSET(L212,-1,1)</f>
        <v>ТЭ.42.26322895.0004</v>
      </c>
      <c r="N212" s="1082"/>
      <c r="O212" s="1082"/>
      <c r="P212" s="1082"/>
      <c r="Q212" s="1082"/>
      <c r="R212" s="1082"/>
      <c r="S212" s="1082" t="s">
        <v>1791</v>
      </c>
      <c r="T212" s="687" t="b" cm="1">
        <f t="array" ref="T212">T211</f>
        <v>1</v>
      </c>
      <c r="U212" s="1153"/>
      <c r="V212" s="1153"/>
      <c r="W212" s="1153"/>
      <c r="X212" s="1726"/>
      <c r="Y212" s="1153"/>
      <c r="Z212" s="1726"/>
      <c r="AA212" s="180"/>
      <c r="AB212" s="553" t="str">
        <f>AB209&amp;".3"</f>
        <v>10.3</v>
      </c>
      <c r="AC212" s="236" t="s">
        <v>1792</v>
      </c>
      <c r="AD212" s="258" t="s">
        <v>634</v>
      </c>
      <c r="AE212" s="860">
        <f ca="1">AE209-AE210</f>
        <v>0</v>
      </c>
      <c r="AF212" s="516"/>
      <c r="AG212" s="516"/>
      <c r="AH212" s="319"/>
      <c r="AI212" s="860">
        <f ca="1">AI209-AI210</f>
        <v>111706</v>
      </c>
      <c r="AJ212" s="860">
        <f ca="1">AJ209-AJ210</f>
        <v>0</v>
      </c>
      <c r="AK212" s="860">
        <f ca="1">AK209-AK210</f>
        <v>112183.11</v>
      </c>
      <c r="AL212" s="256">
        <f t="shared" ca="1" si="11"/>
        <v>0.42711224106135803</v>
      </c>
      <c r="AM212" s="1296"/>
      <c r="AN212" s="1296"/>
      <c r="AO212" s="1296"/>
      <c r="AP212" s="180"/>
      <c r="AQ212" s="180"/>
      <c r="AR212" s="1029" t="s">
        <v>1793</v>
      </c>
      <c r="AS212" s="1064" t="str" cm="1">
        <f t="array" aca="1" ref="AS212" ca="1">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M10670::ТЭ.42.26322895.0004::Неопределено::Неопределено::Неопределено::Неопределено::Неопределено::Неопределено::8.0.5.</v>
      </c>
    </row>
    <row r="213" spans="1:45" s="1229" customFormat="1" ht="16.5" customHeight="1">
      <c r="A213" s="983"/>
      <c r="B213" s="783"/>
      <c r="C213" s="1094" t="s">
        <v>1785</v>
      </c>
      <c r="D213" s="1053" t="s">
        <v>1786</v>
      </c>
      <c r="E213" s="676">
        <v>17.100000000000001</v>
      </c>
      <c r="F213" s="779" t="str" cm="1">
        <f t="array" aca="1" ref="F213" ca="1">OFFSET(G213,-1,-1)</f>
        <v>2</v>
      </c>
      <c r="G213" s="620" t="s">
        <v>1794</v>
      </c>
      <c r="H213" s="180"/>
      <c r="I213" s="180"/>
      <c r="J213" s="180"/>
      <c r="K213" s="180"/>
      <c r="L213" s="1082"/>
      <c r="M213" s="1080" t="str" cm="1">
        <f t="array" aca="1" ref="M213" ca="1">OFFSET(L213,-1,1)</f>
        <v>ТЭ.42.26322895.0004</v>
      </c>
      <c r="N213" s="1082"/>
      <c r="O213" s="1082"/>
      <c r="P213" s="1082"/>
      <c r="Q213" s="1082"/>
      <c r="R213" s="1082"/>
      <c r="S213" s="1082" t="s">
        <v>1791</v>
      </c>
      <c r="T213" s="687" t="b" cm="1">
        <f t="array" ref="T213">T212</f>
        <v>1</v>
      </c>
      <c r="U213" s="1153"/>
      <c r="V213" s="1153"/>
      <c r="W213" s="1153"/>
      <c r="X213" s="1726"/>
      <c r="Y213" s="1153"/>
      <c r="Z213" s="1726"/>
      <c r="AA213" s="180"/>
      <c r="AB213" s="553" t="str">
        <f>AB209&amp;".4"</f>
        <v>10.4</v>
      </c>
      <c r="AC213" s="236" t="s">
        <v>1795</v>
      </c>
      <c r="AD213" s="258" t="s">
        <v>929</v>
      </c>
      <c r="AE213" s="1398">
        <f ca="1">IFERROR((AE206*1000-AE210*AE211)/AE212,0)</f>
        <v>0</v>
      </c>
      <c r="AF213" s="516"/>
      <c r="AG213" s="516"/>
      <c r="AH213" s="319"/>
      <c r="AI213" s="1398">
        <f ca="1">IFERROR((AI206*1000-AI210*AI211)/AI212,0)</f>
        <v>1370.0528167057371</v>
      </c>
      <c r="AJ213" s="517">
        <f ca="1">IFERROR((AJ206*1000-AJ210*AJ211)/AJ212,0)</f>
        <v>0</v>
      </c>
      <c r="AK213" s="517">
        <f ca="1">IFERROR((AK206*1000-AK210*AK211)/AK212,0)</f>
        <v>1944.8994831593932</v>
      </c>
      <c r="AL213" s="256">
        <f t="shared" ca="1" si="11"/>
        <v>41.957993111233677</v>
      </c>
      <c r="AM213" s="1297"/>
      <c r="AN213" s="1297"/>
      <c r="AO213" s="1297"/>
      <c r="AP213" s="180"/>
      <c r="AQ213" s="180"/>
      <c r="AR213" s="1029" t="s">
        <v>1796</v>
      </c>
      <c r="AS213" s="1064" t="str" cm="1">
        <f t="array" aca="1" ref="AS213" ca="1">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M10546::ТЭ.42.26322895.0004::Неопределено::Неопределено::Неопределено::Неопределено::Неопределено::Неопределено::8.0.5.</v>
      </c>
    </row>
    <row r="214" spans="1:45" s="1441" customFormat="1" ht="16.5" customHeight="1">
      <c r="A214" s="543"/>
      <c r="B214" s="543"/>
      <c r="C214" s="1094" t="s">
        <v>1797</v>
      </c>
      <c r="D214" s="1053" t="s">
        <v>1798</v>
      </c>
      <c r="E214" s="676">
        <v>17.100000000000001</v>
      </c>
      <c r="F214" s="779" t="str" cm="1">
        <f t="array" aca="1" ref="F214" ca="1">OFFSET(G214,-1,-1)</f>
        <v>2</v>
      </c>
      <c r="G214" s="543"/>
      <c r="H214" s="543"/>
      <c r="I214" s="543"/>
      <c r="J214" s="543"/>
      <c r="K214" s="543"/>
      <c r="L214" s="1082"/>
      <c r="M214" s="1080" t="str" cm="1">
        <f t="array" aca="1" ref="M214" ca="1">OFFSET(L214,-1,1)</f>
        <v>ТЭ.42.26322895.0004</v>
      </c>
      <c r="N214" s="1082"/>
      <c r="O214" s="1082"/>
      <c r="P214" s="1082"/>
      <c r="Q214" s="1082"/>
      <c r="R214" s="1082"/>
      <c r="S214" s="1082"/>
      <c r="T214" s="687" t="b" cm="1">
        <f t="array" ref="T214">T213</f>
        <v>1</v>
      </c>
      <c r="U214" s="543"/>
      <c r="V214" s="543"/>
      <c r="W214" s="543"/>
      <c r="X214" s="1837"/>
      <c r="Y214" s="543"/>
      <c r="Z214" s="1837"/>
      <c r="AA214" s="543"/>
      <c r="AB214" s="553" t="str">
        <f>AB209&amp;".5"</f>
        <v>10.5</v>
      </c>
      <c r="AC214" s="261" t="s">
        <v>1799</v>
      </c>
      <c r="AD214" s="258" t="s">
        <v>533</v>
      </c>
      <c r="AE214" s="555">
        <f ca="1">IFERROR(AE213/AE211,0)</f>
        <v>0</v>
      </c>
      <c r="AF214" s="516"/>
      <c r="AG214" s="516"/>
      <c r="AH214" s="319"/>
      <c r="AI214" s="555">
        <f ca="1">IFERROR(AI213/AI211,0)</f>
        <v>0</v>
      </c>
      <c r="AJ214" s="555">
        <f ca="1">IFERROR(AJ213/AJ211,0)</f>
        <v>0</v>
      </c>
      <c r="AK214" s="555">
        <f ca="1">IFERROR(AK213/AK211,0)</f>
        <v>0</v>
      </c>
      <c r="AL214" s="256">
        <f t="shared" ca="1" si="11"/>
        <v>0</v>
      </c>
      <c r="AM214" s="719"/>
      <c r="AN214" s="719"/>
      <c r="AO214" s="719"/>
      <c r="AP214" s="543"/>
      <c r="AQ214" s="543"/>
      <c r="AR214" s="1029" t="s">
        <v>1800</v>
      </c>
      <c r="AS214" s="1064" t="str" cm="1">
        <f t="array" aca="1" ref="AS214" ca="1">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M11244::ТЭ.42.26322895.0004::Неопределено::Неопределено::Неопределено::Неопределено::Неопределено::Неопределено::Неопределено</v>
      </c>
    </row>
    <row r="215" spans="1:45" s="1229" customFormat="1" ht="16.5" customHeight="1">
      <c r="A215" s="983"/>
      <c r="B215" s="783"/>
      <c r="C215" s="1094" t="s">
        <v>1801</v>
      </c>
      <c r="D215" s="1053" t="s">
        <v>1802</v>
      </c>
      <c r="E215" s="676">
        <v>17.100000000000001</v>
      </c>
      <c r="F215" s="779" t="str" cm="1">
        <f t="array" aca="1" ref="F215" ca="1">OFFSET(G215,-1,-1)</f>
        <v>2</v>
      </c>
      <c r="G215" s="180"/>
      <c r="H215" s="180"/>
      <c r="I215" s="180"/>
      <c r="J215" s="180"/>
      <c r="K215" s="180"/>
      <c r="L215" s="1082"/>
      <c r="M215" s="1080" t="str" cm="1">
        <f t="array" aca="1" ref="M215" ca="1">OFFSET(L215,-1,1)</f>
        <v>ТЭ.42.26322895.0004</v>
      </c>
      <c r="N215" s="1082"/>
      <c r="O215" s="1082"/>
      <c r="P215" s="1082"/>
      <c r="Q215" s="1082"/>
      <c r="R215" s="1082"/>
      <c r="S215" s="1082"/>
      <c r="T215" s="687" t="b" cm="1">
        <f t="array" ref="T215">T214</f>
        <v>1</v>
      </c>
      <c r="U215" s="1153"/>
      <c r="V215" s="1153"/>
      <c r="W215" s="1153"/>
      <c r="X215" s="1726"/>
      <c r="Y215" s="1153"/>
      <c r="Z215" s="1726"/>
      <c r="AA215" s="180"/>
      <c r="AB215" s="553" t="str">
        <f>AB209&amp;".6"</f>
        <v>10.6</v>
      </c>
      <c r="AC215" s="261" t="s">
        <v>1803</v>
      </c>
      <c r="AD215" s="258" t="s">
        <v>929</v>
      </c>
      <c r="AE215" s="860">
        <f ca="1">IFERROR(AE206/AE209*1000,0)</f>
        <v>0</v>
      </c>
      <c r="AF215" s="516"/>
      <c r="AG215" s="516"/>
      <c r="AH215" s="319"/>
      <c r="AI215" s="860">
        <f ca="1">IFERROR(AI206/AI209*1000,0)</f>
        <v>1370.0528167057369</v>
      </c>
      <c r="AJ215" s="860">
        <f ca="1">IFERROR(AJ206/AJ209*1000,0)</f>
        <v>0</v>
      </c>
      <c r="AK215" s="860">
        <f ca="1">IFERROR(AK206/AK209*1000,0)</f>
        <v>1944.8994831593932</v>
      </c>
      <c r="AL215" s="256">
        <f t="shared" ca="1" si="11"/>
        <v>41.957993111233698</v>
      </c>
      <c r="AM215" s="1297"/>
      <c r="AN215" s="1297"/>
      <c r="AO215" s="1297"/>
      <c r="AP215" s="180"/>
      <c r="AQ215" s="180"/>
      <c r="AR215" s="1029" t="s">
        <v>1804</v>
      </c>
      <c r="AS215" s="1064" t="str" cm="1">
        <f t="array" aca="1" ref="AS215" ca="1">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M10552::ТЭ.42.26322895.0004::Неопределено::Неопределено::Неопределено::Неопределено::Неопределено::Неопределено::Неопределено</v>
      </c>
    </row>
    <row r="216" spans="1:45" s="1442" customFormat="1" ht="16.5" hidden="1" customHeight="1">
      <c r="A216" s="543"/>
      <c r="B216" s="543"/>
      <c r="C216" s="1094" t="s">
        <v>1805</v>
      </c>
      <c r="D216" s="1053" t="s">
        <v>1806</v>
      </c>
      <c r="E216" s="676">
        <v>17.100000000000001</v>
      </c>
      <c r="F216" s="779" t="str" cm="1">
        <f t="array" aca="1" ref="F216" ca="1">OFFSET(G216,-1,-1)</f>
        <v>2</v>
      </c>
      <c r="G216" s="543"/>
      <c r="H216" s="143" t="str" cm="1">
        <f t="array" ref="H216">G161</f>
        <v>одноставочный</v>
      </c>
      <c r="I216" s="543"/>
      <c r="J216" s="543"/>
      <c r="K216" s="543"/>
      <c r="L216" s="1082"/>
      <c r="M216" s="1080" t="str" cm="1">
        <f t="array" aca="1" ref="M216" ca="1">OFFSET(L216,-1,1)</f>
        <v>ТЭ.42.26322895.0004</v>
      </c>
      <c r="N216" s="1082"/>
      <c r="O216" s="1082"/>
      <c r="P216" s="1082"/>
      <c r="Q216" s="1082"/>
      <c r="R216" s="1082"/>
      <c r="S216" s="1082"/>
      <c r="T216" s="687" t="b">
        <f t="shared" ref="T216:T226" ca="1" si="12">AND(F216&gt;0,H216="двухставочный")</f>
        <v>0</v>
      </c>
      <c r="U216" s="543"/>
      <c r="V216" s="543"/>
      <c r="W216" s="543"/>
      <c r="X216" s="1837"/>
      <c r="Y216" s="543"/>
      <c r="Z216" s="1837"/>
      <c r="AA216" s="543"/>
      <c r="AB216" s="263" t="s">
        <v>463</v>
      </c>
      <c r="AC216" s="753" t="s">
        <v>1808</v>
      </c>
      <c r="AD216" s="557" t="s">
        <v>725</v>
      </c>
      <c r="AE216" s="53">
        <f ca="1">SUMIFS('Баланс Пр'!AE$27:AE$233,'Баланс Пр'!$F$27:$F$233,$F216,'Баланс Пр'!$AB$27:$AB$233,"10")</f>
        <v>0</v>
      </c>
      <c r="AF216" s="516"/>
      <c r="AG216" s="516"/>
      <c r="AH216" s="319"/>
      <c r="AI216" s="53">
        <f ca="1">SUMIFS('Баланс Пр'!AH$27:AH$233,'Баланс Пр'!$F$27:$F$233,$F216,'Баланс Пр'!$AB$27:$AB$233,"10")</f>
        <v>0</v>
      </c>
      <c r="AJ216" s="257">
        <f ca="1">SUMIFS('Баланс Пр'!AI$27:AI$233,'Баланс Пр'!$F$27:$F$233,$F216,'Баланс Пр'!$AB$27:$AB$233,"10")</f>
        <v>0</v>
      </c>
      <c r="AK216" s="257">
        <f ca="1">SUMIFS('Баланс Пр'!AS$27:AS$233,'Баланс Пр'!$F$27:$F$233,$F216,'Баланс Пр'!$AB$27:$AB$233,"10")</f>
        <v>0</v>
      </c>
      <c r="AL216" s="256">
        <f t="shared" ca="1" si="11"/>
        <v>0</v>
      </c>
      <c r="AM216" s="912"/>
      <c r="AN216" s="912"/>
      <c r="AO216" s="909"/>
      <c r="AP216" s="543"/>
      <c r="AQ216" s="543"/>
      <c r="AR216" s="1029" t="s">
        <v>726</v>
      </c>
      <c r="AS216" s="1064" t="str" cm="1">
        <f t="array" aca="1" ref="AS216" ca="1">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M10476::ТЭ.42.26322895.0004::Неопределено::Неопределено::Неопределено::Неопределено::Неопределено::Неопределено::Неопределено</v>
      </c>
    </row>
    <row r="217" spans="1:45" s="1229" customFormat="1" ht="16.5" hidden="1" customHeight="1">
      <c r="A217" s="983"/>
      <c r="B217" s="783"/>
      <c r="C217" s="1094" t="s">
        <v>1805</v>
      </c>
      <c r="D217" s="1053" t="s">
        <v>1806</v>
      </c>
      <c r="E217" s="676">
        <v>17.100000000000001</v>
      </c>
      <c r="F217" s="779" t="str" cm="1">
        <f t="array" aca="1" ref="F217" ca="1">OFFSET(G217,-1,-1)</f>
        <v>2</v>
      </c>
      <c r="G217" s="180"/>
      <c r="H217" s="143" t="str" cm="1">
        <f t="array" ref="H217">G161</f>
        <v>одноставочный</v>
      </c>
      <c r="I217" s="180"/>
      <c r="J217" s="180"/>
      <c r="K217" s="180"/>
      <c r="L217" s="1082"/>
      <c r="M217" s="1080" t="str" cm="1">
        <f t="array" aca="1" ref="M217" ca="1">OFFSET(L217,-1,1)</f>
        <v>ТЭ.42.26322895.0004</v>
      </c>
      <c r="N217" s="1082"/>
      <c r="O217" s="1082"/>
      <c r="P217" s="1082"/>
      <c r="Q217" s="1082"/>
      <c r="R217" s="1082"/>
      <c r="S217" s="1082" t="s">
        <v>1782</v>
      </c>
      <c r="T217" s="687" t="b">
        <f t="shared" ca="1" si="12"/>
        <v>0</v>
      </c>
      <c r="U217" s="1153"/>
      <c r="V217" s="1153"/>
      <c r="W217" s="1153"/>
      <c r="X217" s="1726"/>
      <c r="Y217" s="1153"/>
      <c r="Z217" s="1726"/>
      <c r="AA217" s="180"/>
      <c r="AB217" s="553" t="str">
        <f>AB216&amp;".1"</f>
        <v>11.1</v>
      </c>
      <c r="AC217" s="608" t="s">
        <v>1810</v>
      </c>
      <c r="AD217" s="523" t="s">
        <v>725</v>
      </c>
      <c r="AE217" s="84" cm="1">
        <f t="array" aca="1" ref="AE217" ca="1">AE216</f>
        <v>0</v>
      </c>
      <c r="AF217" s="516"/>
      <c r="AG217" s="516"/>
      <c r="AH217" s="319"/>
      <c r="AI217" s="84" cm="1">
        <f t="array" aca="1" ref="AI217" ca="1">AI216</f>
        <v>0</v>
      </c>
      <c r="AJ217" s="538" cm="1">
        <f t="array" aca="1" ref="AJ217" ca="1">AJ216</f>
        <v>0</v>
      </c>
      <c r="AK217" s="538" cm="1">
        <f t="array" aca="1" ref="AK217" ca="1">AK216</f>
        <v>0</v>
      </c>
      <c r="AL217" s="256">
        <f t="shared" ca="1" si="11"/>
        <v>0</v>
      </c>
      <c r="AM217" s="35"/>
      <c r="AN217" s="35"/>
      <c r="AO217" s="35"/>
      <c r="AP217" s="180"/>
      <c r="AQ217" s="180"/>
      <c r="AR217" s="1029" t="s">
        <v>1811</v>
      </c>
      <c r="AS217" s="1064" t="str" cm="1">
        <f t="array" aca="1" ref="AS217" ca="1">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M10476::ТЭ.42.26322895.0004::Неопределено::Неопределено::Неопределено::Неопределено::Неопределено::Неопределено::8.0.3.</v>
      </c>
    </row>
    <row r="218" spans="1:45" s="1229" customFormat="1" ht="16.5" hidden="1" customHeight="1">
      <c r="A218" s="983"/>
      <c r="B218" s="783"/>
      <c r="C218" s="1094" t="s">
        <v>1805</v>
      </c>
      <c r="D218" s="1053" t="s">
        <v>1806</v>
      </c>
      <c r="E218" s="676">
        <v>17.100000000000001</v>
      </c>
      <c r="F218" s="779" t="str" cm="1">
        <f t="array" aca="1" ref="F218" ca="1">OFFSET(G218,-1,-1)</f>
        <v>2</v>
      </c>
      <c r="G218" s="180"/>
      <c r="H218" s="143" t="str" cm="1">
        <f t="array" ref="H218">G161</f>
        <v>одноставочный</v>
      </c>
      <c r="I218" s="180"/>
      <c r="J218" s="180"/>
      <c r="K218" s="180"/>
      <c r="L218" s="1082"/>
      <c r="M218" s="1080" t="str" cm="1">
        <f t="array" aca="1" ref="M218" ca="1">OFFSET(L218,-1,1)</f>
        <v>ТЭ.42.26322895.0004</v>
      </c>
      <c r="N218" s="1082"/>
      <c r="O218" s="1082"/>
      <c r="P218" s="1082"/>
      <c r="Q218" s="1082"/>
      <c r="R218" s="1082"/>
      <c r="S218" s="1082" t="s">
        <v>1791</v>
      </c>
      <c r="T218" s="687" t="b">
        <f t="shared" ca="1" si="12"/>
        <v>0</v>
      </c>
      <c r="U218" s="1153"/>
      <c r="V218" s="1153"/>
      <c r="W218" s="1153"/>
      <c r="X218" s="1726"/>
      <c r="Y218" s="1153"/>
      <c r="Z218" s="1726"/>
      <c r="AA218" s="180"/>
      <c r="AB218" s="553" t="str">
        <f>AB216&amp;".2"</f>
        <v>11.2</v>
      </c>
      <c r="AC218" s="608" t="s">
        <v>1813</v>
      </c>
      <c r="AD218" s="523" t="s">
        <v>725</v>
      </c>
      <c r="AE218" s="84" cm="1">
        <f t="array" aca="1" ref="AE218" ca="1">AE216</f>
        <v>0</v>
      </c>
      <c r="AF218" s="516"/>
      <c r="AG218" s="516"/>
      <c r="AH218" s="319"/>
      <c r="AI218" s="84" cm="1">
        <f t="array" aca="1" ref="AI218" ca="1">AI216</f>
        <v>0</v>
      </c>
      <c r="AJ218" s="538" cm="1">
        <f t="array" aca="1" ref="AJ218" ca="1">AJ216</f>
        <v>0</v>
      </c>
      <c r="AK218" s="538" cm="1">
        <f t="array" aca="1" ref="AK218" ca="1">AK216</f>
        <v>0</v>
      </c>
      <c r="AL218" s="256">
        <f t="shared" ca="1" si="11"/>
        <v>0</v>
      </c>
      <c r="AM218" s="35"/>
      <c r="AN218" s="35"/>
      <c r="AO218" s="35"/>
      <c r="AP218" s="180"/>
      <c r="AQ218" s="180"/>
      <c r="AR218" s="1029" t="s">
        <v>1814</v>
      </c>
      <c r="AS218" s="1064" t="str" cm="1">
        <f t="array" aca="1" ref="AS218" ca="1">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M10476::ТЭ.42.26322895.0004::Неопределено::Неопределено::Неопределено::Неопределено::Неопределено::Неопределено::8.0.5.</v>
      </c>
    </row>
    <row r="219" spans="1:45" s="1229" customFormat="1" ht="16.5" hidden="1" customHeight="1">
      <c r="A219" s="983"/>
      <c r="B219" s="783"/>
      <c r="C219" s="1094"/>
      <c r="D219" s="1053"/>
      <c r="E219" s="676">
        <v>17.100000000000001</v>
      </c>
      <c r="F219" s="779" t="str" cm="1">
        <f t="array" aca="1" ref="F219" ca="1">OFFSET(G219,-1,-1)</f>
        <v>2</v>
      </c>
      <c r="G219" s="180"/>
      <c r="H219" s="143" t="str" cm="1">
        <f t="array" ref="H219">G161</f>
        <v>одноставочный</v>
      </c>
      <c r="I219" s="180"/>
      <c r="J219" s="180"/>
      <c r="K219" s="180"/>
      <c r="L219" s="1082"/>
      <c r="M219" s="1080" t="str" cm="1">
        <f t="array" aca="1" ref="M219" ca="1">OFFSET(L219,-1,1)</f>
        <v>ТЭ.42.26322895.0004</v>
      </c>
      <c r="N219" s="1082"/>
      <c r="O219" s="1082"/>
      <c r="P219" s="1082"/>
      <c r="Q219" s="1082"/>
      <c r="R219" s="1082"/>
      <c r="S219" s="1082"/>
      <c r="T219" s="687" t="b">
        <f t="shared" ca="1" si="12"/>
        <v>0</v>
      </c>
      <c r="U219" s="1153"/>
      <c r="V219" s="1153"/>
      <c r="W219" s="1153"/>
      <c r="X219" s="1726"/>
      <c r="Y219" s="1153"/>
      <c r="Z219" s="1726"/>
      <c r="AA219" s="180"/>
      <c r="AB219" s="552" t="s">
        <v>466</v>
      </c>
      <c r="AC219" s="114" t="s">
        <v>1816</v>
      </c>
      <c r="AD219" s="598"/>
      <c r="AE219" s="619"/>
      <c r="AF219" s="516"/>
      <c r="AG219" s="516"/>
      <c r="AH219" s="319"/>
      <c r="AI219" s="619"/>
      <c r="AJ219" s="619"/>
      <c r="AK219" s="619"/>
      <c r="AL219" s="319"/>
      <c r="AM219" s="28"/>
      <c r="AN219" s="28"/>
      <c r="AO219" s="28"/>
      <c r="AP219" s="180"/>
      <c r="AQ219" s="180"/>
      <c r="AR219" s="1029" t="s">
        <v>1817</v>
      </c>
      <c r="AS219" s="1132" t="str" cm="1">
        <f t="array" aca="1" ref="AS219" ca="1">"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M11407::ТЭ.42.26322895.0004::Неопределено::Неопределено::Неопределено::Неопределено::Неопределено::Неопределено::Неопределено</v>
      </c>
    </row>
    <row r="220" spans="1:45" s="1229" customFormat="1" ht="16.5" hidden="1" customHeight="1">
      <c r="A220" s="983"/>
      <c r="B220" s="783"/>
      <c r="C220" s="1094" t="s">
        <v>1818</v>
      </c>
      <c r="D220" s="1053" t="s">
        <v>1819</v>
      </c>
      <c r="E220" s="676">
        <v>17.100000000000001</v>
      </c>
      <c r="F220" s="779" t="str" cm="1">
        <f t="array" aca="1" ref="F220" ca="1">OFFSET(G220,-1,-1)</f>
        <v>2</v>
      </c>
      <c r="G220" s="620" t="s">
        <v>1820</v>
      </c>
      <c r="H220" s="143" t="str" cm="1">
        <f t="array" ref="H220">G161</f>
        <v>одноставочный</v>
      </c>
      <c r="I220" s="180"/>
      <c r="J220" s="180"/>
      <c r="K220" s="180"/>
      <c r="L220" s="1082"/>
      <c r="M220" s="1080" t="str" cm="1">
        <f t="array" aca="1" ref="M220" ca="1">OFFSET(L220,-1,1)</f>
        <v>ТЭ.42.26322895.0004</v>
      </c>
      <c r="N220" s="1082"/>
      <c r="O220" s="1082"/>
      <c r="P220" s="1082"/>
      <c r="Q220" s="1082"/>
      <c r="R220" s="1082"/>
      <c r="S220" s="1082" t="s">
        <v>1782</v>
      </c>
      <c r="T220" s="687" t="b">
        <f t="shared" ca="1" si="12"/>
        <v>0</v>
      </c>
      <c r="U220" s="1153"/>
      <c r="V220" s="1153"/>
      <c r="W220" s="1153"/>
      <c r="X220" s="1726"/>
      <c r="Y220" s="1153"/>
      <c r="Z220" s="1726"/>
      <c r="AA220" s="180"/>
      <c r="AB220" s="553" t="str">
        <f>AB219&amp;".1"</f>
        <v>12.1</v>
      </c>
      <c r="AC220" s="1139" t="s">
        <v>1821</v>
      </c>
      <c r="AD220" s="443" t="s">
        <v>929</v>
      </c>
      <c r="AE220" s="84"/>
      <c r="AF220" s="516"/>
      <c r="AG220" s="516"/>
      <c r="AH220" s="319"/>
      <c r="AI220" s="84"/>
      <c r="AJ220" s="538"/>
      <c r="AK220" s="538"/>
      <c r="AL220" s="256">
        <f>IF(AI220=0,0,(AK220-AI220)/AI220*100)</f>
        <v>0</v>
      </c>
      <c r="AM220" s="28"/>
      <c r="AN220" s="28"/>
      <c r="AO220" s="28"/>
      <c r="AP220" s="180"/>
      <c r="AQ220" s="180"/>
      <c r="AR220" s="1029" t="s">
        <v>1822</v>
      </c>
      <c r="AS220" s="1064" t="str" cm="1">
        <f t="array" aca="1" ref="AS220" ca="1">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M11407::ТЭ.42.26322895.0004::Неопределено::Неопределено::Неопределено::Неопределено::Неопределено::Неопределено::8.0.3.</v>
      </c>
    </row>
    <row r="221" spans="1:45" s="1229" customFormat="1" ht="16.5" hidden="1" customHeight="1">
      <c r="A221" s="983"/>
      <c r="B221" s="783"/>
      <c r="C221" s="1094" t="s">
        <v>1818</v>
      </c>
      <c r="D221" s="1053" t="s">
        <v>1819</v>
      </c>
      <c r="E221" s="676">
        <v>17.100000000000001</v>
      </c>
      <c r="F221" s="779" t="str" cm="1">
        <f t="array" aca="1" ref="F221" ca="1">OFFSET(G221,-1,-1)</f>
        <v>2</v>
      </c>
      <c r="G221" s="620" t="s">
        <v>1823</v>
      </c>
      <c r="H221" s="143" t="str" cm="1">
        <f t="array" ref="H221">G161</f>
        <v>одноставочный</v>
      </c>
      <c r="I221" s="180"/>
      <c r="J221" s="180"/>
      <c r="K221" s="180"/>
      <c r="L221" s="1082"/>
      <c r="M221" s="1080" t="str" cm="1">
        <f t="array" aca="1" ref="M221" ca="1">OFFSET(L221,-1,1)</f>
        <v>ТЭ.42.26322895.0004</v>
      </c>
      <c r="N221" s="1082"/>
      <c r="O221" s="1082"/>
      <c r="P221" s="1082"/>
      <c r="Q221" s="1082"/>
      <c r="R221" s="1082"/>
      <c r="S221" s="1082" t="s">
        <v>1791</v>
      </c>
      <c r="T221" s="687" t="b">
        <f t="shared" ca="1" si="12"/>
        <v>0</v>
      </c>
      <c r="U221" s="1153"/>
      <c r="V221" s="1153"/>
      <c r="W221" s="1153"/>
      <c r="X221" s="1726"/>
      <c r="Y221" s="1153"/>
      <c r="Z221" s="1726"/>
      <c r="AA221" s="180"/>
      <c r="AB221" s="553" t="str">
        <f>AB219&amp;".2"</f>
        <v>12.2</v>
      </c>
      <c r="AC221" s="1139" t="s">
        <v>1824</v>
      </c>
      <c r="AD221" s="443" t="s">
        <v>929</v>
      </c>
      <c r="AE221" s="515">
        <f ca="1">IFERROR((AE207*1000-AE210*AE220)/AE212,0)</f>
        <v>0</v>
      </c>
      <c r="AF221" s="516"/>
      <c r="AG221" s="516"/>
      <c r="AH221" s="319"/>
      <c r="AI221" s="515">
        <f ca="1">IFERROR((AI207*1000-AI210*AI220)/AI212,0)</f>
        <v>0</v>
      </c>
      <c r="AJ221" s="515">
        <f ca="1">IFERROR((AJ207*1000-AJ210*AJ220)/AJ212,0)</f>
        <v>0</v>
      </c>
      <c r="AK221" s="515">
        <f ca="1">IFERROR((AK207*1000-AK210*AK220)/AK212,0)</f>
        <v>0</v>
      </c>
      <c r="AL221" s="256">
        <f ca="1">IF(AI221=0,0,(AK221-AI221)/AI221*100)</f>
        <v>0</v>
      </c>
      <c r="AM221" s="28"/>
      <c r="AN221" s="28"/>
      <c r="AO221" s="28"/>
      <c r="AP221" s="180"/>
      <c r="AQ221" s="180"/>
      <c r="AR221" s="1029" t="s">
        <v>1825</v>
      </c>
      <c r="AS221" s="1064" t="str" cm="1">
        <f t="array" aca="1" ref="AS221" ca="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M11407::ТЭ.42.26322895.0004::Неопределено::Неопределено::Неопределено::Неопределено::Неопределено::Неопределено::8.0.5.</v>
      </c>
    </row>
    <row r="222" spans="1:45" s="1229" customFormat="1" ht="16.5" hidden="1" customHeight="1">
      <c r="A222" s="983"/>
      <c r="B222" s="783"/>
      <c r="C222" s="1094" t="s">
        <v>1826</v>
      </c>
      <c r="D222" s="1053" t="s">
        <v>1827</v>
      </c>
      <c r="E222" s="676">
        <v>17.100000000000001</v>
      </c>
      <c r="F222" s="779" t="str" cm="1">
        <f t="array" aca="1" ref="F222" ca="1">OFFSET(G222,-1,-1)</f>
        <v>2</v>
      </c>
      <c r="G222" s="180"/>
      <c r="H222" s="143" t="str" cm="1">
        <f t="array" ref="H222">G161</f>
        <v>одноставочный</v>
      </c>
      <c r="I222" s="180"/>
      <c r="J222" s="180"/>
      <c r="K222" s="180"/>
      <c r="L222" s="1082" t="s">
        <v>1981</v>
      </c>
      <c r="M222" s="1080" t="str" cm="1">
        <f t="array" aca="1" ref="M222" ca="1">OFFSET(L222,-1,1)</f>
        <v>ТЭ.42.26322895.0004</v>
      </c>
      <c r="N222" s="1082"/>
      <c r="O222" s="1082"/>
      <c r="P222" s="1082"/>
      <c r="Q222" s="1082"/>
      <c r="R222" s="1082"/>
      <c r="S222" s="1082"/>
      <c r="T222" s="687" t="b">
        <f t="shared" ca="1" si="12"/>
        <v>0</v>
      </c>
      <c r="U222" s="1153"/>
      <c r="V222" s="1153"/>
      <c r="W222" s="1153"/>
      <c r="X222" s="1726"/>
      <c r="Y222" s="1153"/>
      <c r="Z222" s="1726"/>
      <c r="AA222" s="180"/>
      <c r="AB222" s="553" t="str">
        <f>AB219&amp;".3"</f>
        <v>12.3</v>
      </c>
      <c r="AC222" s="261" t="s">
        <v>1829</v>
      </c>
      <c r="AD222" s="443" t="s">
        <v>533</v>
      </c>
      <c r="AE222" s="555">
        <f ca="1">IFERROR(AE221/AE220,0)</f>
        <v>0</v>
      </c>
      <c r="AF222" s="516"/>
      <c r="AG222" s="516"/>
      <c r="AH222" s="516"/>
      <c r="AI222" s="555">
        <f ca="1">IFERROR(AI221/AI220,0)</f>
        <v>0</v>
      </c>
      <c r="AJ222" s="555">
        <f ca="1">IFERROR(AJ221/AJ220,0)</f>
        <v>0</v>
      </c>
      <c r="AK222" s="555">
        <f ca="1">IFERROR(AK221/AK220,0)</f>
        <v>0</v>
      </c>
      <c r="AL222" s="319"/>
      <c r="AM222" s="28"/>
      <c r="AN222" s="28"/>
      <c r="AO222" s="28"/>
      <c r="AP222" s="180"/>
      <c r="AQ222" s="180"/>
      <c r="AR222" s="1029" t="s">
        <v>1830</v>
      </c>
      <c r="AS222" s="1064" t="str" cm="1">
        <f t="array" aca="1" ref="AS222" ca="1">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M10444::ТЭ.42.26322895.0004::1.0.84.::Неопределено::Неопределено::Неопределено::Неопределено::Неопределено::Неопределено</v>
      </c>
    </row>
    <row r="223" spans="1:45" s="1229" customFormat="1" ht="33.75" hidden="1" customHeight="1">
      <c r="A223" s="983"/>
      <c r="B223" s="783"/>
      <c r="C223" s="1094"/>
      <c r="D223" s="1053"/>
      <c r="E223" s="676">
        <v>35</v>
      </c>
      <c r="F223" s="779" t="str" cm="1">
        <f t="array" aca="1" ref="F223" ca="1">OFFSET(G223,-1,-1)</f>
        <v>2</v>
      </c>
      <c r="G223" s="180"/>
      <c r="H223" s="143" t="str" cm="1">
        <f t="array" ref="H223">G161</f>
        <v>одноставочный</v>
      </c>
      <c r="I223" s="180"/>
      <c r="J223" s="180"/>
      <c r="K223" s="180"/>
      <c r="L223" s="1082"/>
      <c r="M223" s="1080" t="str" cm="1">
        <f t="array" aca="1" ref="M223" ca="1">OFFSET(L223,-1,1)</f>
        <v>ТЭ.42.26322895.0004</v>
      </c>
      <c r="N223" s="1082"/>
      <c r="O223" s="1082"/>
      <c r="P223" s="1082"/>
      <c r="Q223" s="1082"/>
      <c r="R223" s="1082"/>
      <c r="S223" s="1082"/>
      <c r="T223" s="687" t="b">
        <f t="shared" ca="1" si="12"/>
        <v>0</v>
      </c>
      <c r="U223" s="1153"/>
      <c r="V223" s="1153"/>
      <c r="W223" s="1153"/>
      <c r="X223" s="1726"/>
      <c r="Y223" s="1153"/>
      <c r="Z223" s="1726"/>
      <c r="AA223" s="180"/>
      <c r="AB223" s="233" t="s">
        <v>469</v>
      </c>
      <c r="AC223" s="114" t="s">
        <v>1831</v>
      </c>
      <c r="AD223" s="522"/>
      <c r="AE223" s="619"/>
      <c r="AF223" s="516"/>
      <c r="AG223" s="516"/>
      <c r="AH223" s="516"/>
      <c r="AI223" s="619"/>
      <c r="AJ223" s="619"/>
      <c r="AK223" s="619"/>
      <c r="AL223" s="319"/>
      <c r="AM223" s="28"/>
      <c r="AN223" s="28"/>
      <c r="AO223" s="28"/>
      <c r="AP223" s="180"/>
      <c r="AQ223" s="180"/>
      <c r="AR223" s="1029" t="s">
        <v>1832</v>
      </c>
      <c r="AS223" s="1132" t="str" cm="1">
        <f t="array" aca="1" ref="AS223" ca="1">"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M11397::ТЭ.42.26322895.0004::Неопределено::Неопределено::Неопределено::Неопределено::Неопределено::Неопределено::Неопределено</v>
      </c>
    </row>
    <row r="224" spans="1:45" s="1229" customFormat="1" ht="16.5" hidden="1" customHeight="1">
      <c r="A224" s="983"/>
      <c r="B224" s="783"/>
      <c r="C224" s="1094" t="s">
        <v>1833</v>
      </c>
      <c r="D224" s="1053" t="s">
        <v>1834</v>
      </c>
      <c r="E224" s="676">
        <v>17.100000000000001</v>
      </c>
      <c r="F224" s="779" t="str" cm="1">
        <f t="array" aca="1" ref="F224" ca="1">OFFSET(G224,-1,-1)</f>
        <v>2</v>
      </c>
      <c r="G224" s="620" t="s">
        <v>1835</v>
      </c>
      <c r="H224" s="143" t="str" cm="1">
        <f t="array" ref="H224">G161</f>
        <v>одноставочный</v>
      </c>
      <c r="I224" s="180"/>
      <c r="J224" s="180"/>
      <c r="K224" s="180"/>
      <c r="L224" s="1082"/>
      <c r="M224" s="1080" t="str" cm="1">
        <f t="array" aca="1" ref="M224" ca="1">OFFSET(L224,-1,1)</f>
        <v>ТЭ.42.26322895.0004</v>
      </c>
      <c r="N224" s="1082"/>
      <c r="O224" s="1082"/>
      <c r="P224" s="1082"/>
      <c r="Q224" s="1082"/>
      <c r="R224" s="1082"/>
      <c r="S224" s="1082"/>
      <c r="T224" s="687" t="b">
        <f t="shared" ca="1" si="12"/>
        <v>0</v>
      </c>
      <c r="U224" s="1153"/>
      <c r="V224" s="1153"/>
      <c r="W224" s="1153"/>
      <c r="X224" s="1726"/>
      <c r="Y224" s="1153"/>
      <c r="Z224" s="1726"/>
      <c r="AA224" s="180"/>
      <c r="AB224" s="553" t="str">
        <f>AB223&amp;".1"</f>
        <v>13.1</v>
      </c>
      <c r="AC224" s="115" t="s">
        <v>1836</v>
      </c>
      <c r="AD224" s="443" t="s">
        <v>1837</v>
      </c>
      <c r="AE224" s="53"/>
      <c r="AF224" s="516"/>
      <c r="AG224" s="516"/>
      <c r="AH224" s="319"/>
      <c r="AI224" s="53"/>
      <c r="AJ224" s="257"/>
      <c r="AK224" s="257"/>
      <c r="AL224" s="256">
        <f>IF(AI224=0,0,(AK224-AI224)/AI224*100)</f>
        <v>0</v>
      </c>
      <c r="AM224" s="28"/>
      <c r="AN224" s="28"/>
      <c r="AO224" s="28"/>
      <c r="AP224" s="180"/>
      <c r="AQ224" s="180"/>
      <c r="AR224" s="1029" t="s">
        <v>1838</v>
      </c>
      <c r="AS224" s="1064" t="str" cm="1">
        <f t="array" aca="1" ref="AS224" ca="1">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M11397::ТЭ.42.26322895.0004::Неопределено::Неопределено::Неопределено::Неопределено::Неопределено::Неопределено::Неопределено</v>
      </c>
    </row>
    <row r="225" spans="1:45" s="1229" customFormat="1" ht="16.5" hidden="1" customHeight="1">
      <c r="A225" s="983"/>
      <c r="B225" s="783"/>
      <c r="C225" s="1094" t="s">
        <v>1833</v>
      </c>
      <c r="D225" s="1053" t="s">
        <v>1834</v>
      </c>
      <c r="E225" s="676">
        <v>17.100000000000001</v>
      </c>
      <c r="F225" s="779" t="str" cm="1">
        <f t="array" aca="1" ref="F225" ca="1">OFFSET(G225,-1,-1)</f>
        <v>2</v>
      </c>
      <c r="G225" s="620" t="s">
        <v>1839</v>
      </c>
      <c r="H225" s="143" t="str" cm="1">
        <f t="array" ref="H225">G161</f>
        <v>одноставочный</v>
      </c>
      <c r="I225" s="180"/>
      <c r="J225" s="180"/>
      <c r="K225" s="180"/>
      <c r="L225" s="1082"/>
      <c r="M225" s="1080" t="str" cm="1">
        <f t="array" aca="1" ref="M225" ca="1">OFFSET(L225,-1,1)</f>
        <v>ТЭ.42.26322895.0004</v>
      </c>
      <c r="N225" s="1082"/>
      <c r="O225" s="1082"/>
      <c r="P225" s="1082"/>
      <c r="Q225" s="1082"/>
      <c r="R225" s="1082"/>
      <c r="S225" s="1082"/>
      <c r="T225" s="687" t="b">
        <f t="shared" ca="1" si="12"/>
        <v>0</v>
      </c>
      <c r="U225" s="1153"/>
      <c r="V225" s="1153"/>
      <c r="W225" s="1153"/>
      <c r="X225" s="1726"/>
      <c r="Y225" s="1153"/>
      <c r="Z225" s="1726"/>
      <c r="AA225" s="180"/>
      <c r="AB225" s="553" t="str">
        <f>AB223&amp;".2"</f>
        <v>13.2</v>
      </c>
      <c r="AC225" s="115" t="s">
        <v>1840</v>
      </c>
      <c r="AD225" s="443" t="s">
        <v>1837</v>
      </c>
      <c r="AE225" s="256">
        <f ca="1">IFERROR((AE208-AE217*6*AE224)/AE218/6,0)</f>
        <v>0</v>
      </c>
      <c r="AF225" s="516"/>
      <c r="AG225" s="516"/>
      <c r="AH225" s="319"/>
      <c r="AI225" s="256">
        <f ca="1">IFERROR((AI208-AI217*6*AI224)/AI218/6,0)</f>
        <v>0</v>
      </c>
      <c r="AJ225" s="256">
        <f ca="1">IFERROR((AJ208-AJ217*IF(god=2026,9,6)*AJ224)/AJ218/IF(god=2026,3,6),0)</f>
        <v>0</v>
      </c>
      <c r="AK225" s="256">
        <f ca="1">IFERROR((AK208-AK217*IF(god=2026,9,6)*AK224)/AK218/IF(god=2026,3,6),0)</f>
        <v>0</v>
      </c>
      <c r="AL225" s="256">
        <f ca="1">IF(AI225=0,0,(AK225-AI225)/AI225*100)</f>
        <v>0</v>
      </c>
      <c r="AM225" s="28"/>
      <c r="AN225" s="28"/>
      <c r="AO225" s="28"/>
      <c r="AP225" s="180"/>
      <c r="AQ225" s="180"/>
      <c r="AR225" s="1029" t="s">
        <v>1841</v>
      </c>
      <c r="AS225" s="1064" t="str" cm="1">
        <f t="array" aca="1" ref="AS225" ca="1">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M11397::ТЭ.42.26322895.0004::Неопределено::Неопределено::Неопределено::Неопределено::Неопределено::Неопределено::Неопределено</v>
      </c>
    </row>
    <row r="226" spans="1:45" s="1229" customFormat="1" ht="16.5" hidden="1" customHeight="1">
      <c r="A226" s="983"/>
      <c r="B226" s="783"/>
      <c r="C226" s="1094" t="s">
        <v>1826</v>
      </c>
      <c r="D226" s="1053" t="s">
        <v>1827</v>
      </c>
      <c r="E226" s="676">
        <v>17.100000000000001</v>
      </c>
      <c r="F226" s="779" t="str" cm="1">
        <f t="array" aca="1" ref="F226" ca="1">OFFSET(G226,-1,-1)</f>
        <v>2</v>
      </c>
      <c r="G226" s="180"/>
      <c r="H226" s="143" t="str" cm="1">
        <f t="array" ref="H226">G161</f>
        <v>одноставочный</v>
      </c>
      <c r="I226" s="180"/>
      <c r="J226" s="180"/>
      <c r="K226" s="180"/>
      <c r="L226" s="1082"/>
      <c r="M226" s="1080" t="str" cm="1">
        <f t="array" aca="1" ref="M226" ca="1">OFFSET(L226,-1,1)</f>
        <v>ТЭ.42.26322895.0004</v>
      </c>
      <c r="N226" s="1082"/>
      <c r="O226" s="1082"/>
      <c r="P226" s="1082"/>
      <c r="Q226" s="1082"/>
      <c r="R226" s="1082" t="s">
        <v>1842</v>
      </c>
      <c r="S226" s="1082"/>
      <c r="T226" s="687" t="b">
        <f t="shared" ca="1" si="12"/>
        <v>0</v>
      </c>
      <c r="U226" s="1153"/>
      <c r="V226" s="1153"/>
      <c r="W226" s="1153"/>
      <c r="X226" s="1726"/>
      <c r="Y226" s="1153"/>
      <c r="Z226" s="1726"/>
      <c r="AA226" s="180"/>
      <c r="AB226" s="553" t="str">
        <f>AB223&amp;".3"</f>
        <v>13.3</v>
      </c>
      <c r="AC226" s="261" t="s">
        <v>1843</v>
      </c>
      <c r="AD226" s="443" t="s">
        <v>533</v>
      </c>
      <c r="AE226" s="555">
        <f ca="1">IFERROR(AE225/AE224,0)</f>
        <v>0</v>
      </c>
      <c r="AF226" s="861"/>
      <c r="AG226" s="516"/>
      <c r="AH226" s="516"/>
      <c r="AI226" s="555">
        <f ca="1">IFERROR(AI225/AI224,0)</f>
        <v>0</v>
      </c>
      <c r="AJ226" s="555">
        <f ca="1">IFERROR(AJ225/AJ224,0)</f>
        <v>0</v>
      </c>
      <c r="AK226" s="555">
        <f ca="1">IFERROR(AK225/AK224,0)</f>
        <v>0</v>
      </c>
      <c r="AL226" s="319"/>
      <c r="AM226" s="28"/>
      <c r="AN226" s="28"/>
      <c r="AO226" s="28"/>
      <c r="AP226" s="180"/>
      <c r="AQ226" s="180"/>
      <c r="AR226" s="1029" t="s">
        <v>1844</v>
      </c>
      <c r="AS226" s="1064" t="str" cm="1">
        <f t="array" aca="1" ref="AS226" ca="1">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M10444::ТЭ.42.26322895.0004::Неопределено::Неопределено::Неопределено::Неопределено::Неопределено::225.0.1.::Неопределено</v>
      </c>
    </row>
    <row r="227" spans="1:45" s="1229" customFormat="1" ht="29.25" customHeight="1">
      <c r="A227" s="983"/>
      <c r="B227" s="783"/>
      <c r="C227" s="1094" t="s">
        <v>1845</v>
      </c>
      <c r="D227" s="1053" t="s">
        <v>1846</v>
      </c>
      <c r="E227" s="676">
        <v>30</v>
      </c>
      <c r="F227" s="779" t="str" cm="1">
        <f t="array" aca="1" ref="F227" ca="1">OFFSET(G227,-1,-1)</f>
        <v>2</v>
      </c>
      <c r="G227" s="180"/>
      <c r="H227" s="180"/>
      <c r="I227" s="180"/>
      <c r="J227" s="180"/>
      <c r="K227" s="180"/>
      <c r="L227" s="1082"/>
      <c r="M227" s="1080" t="str" cm="1">
        <f t="array" aca="1" ref="M227" ca="1">OFFSET(L227,-1,1)</f>
        <v>ТЭ.42.26322895.0004</v>
      </c>
      <c r="N227" s="1082"/>
      <c r="O227" s="1082"/>
      <c r="P227" s="1082"/>
      <c r="Q227" s="1082"/>
      <c r="R227" s="1082"/>
      <c r="S227" s="1082"/>
      <c r="T227" s="687" t="b" cm="1">
        <f t="array" ref="T227">T206</f>
        <v>1</v>
      </c>
      <c r="U227" s="1153"/>
      <c r="V227" s="1153"/>
      <c r="W227" s="1153"/>
      <c r="X227" s="1726"/>
      <c r="Y227" s="1153"/>
      <c r="Z227" s="1726"/>
      <c r="AA227" s="180"/>
      <c r="AB227" s="235" t="s">
        <v>1763</v>
      </c>
      <c r="AC227" s="888" t="s">
        <v>1848</v>
      </c>
      <c r="AD227" s="487" t="s">
        <v>1077</v>
      </c>
      <c r="AE227" s="1314"/>
      <c r="AF227" s="1398"/>
      <c r="AG227" s="1398"/>
      <c r="AH227" s="256">
        <f>AG227-AF227</f>
        <v>0</v>
      </c>
      <c r="AI227" s="1314"/>
      <c r="AJ227" s="257"/>
      <c r="AK227" s="257"/>
      <c r="AL227" s="256">
        <f>IF(AI227=0,0,(AK227-AI227)/AI227*100)</f>
        <v>0</v>
      </c>
      <c r="AM227" s="1290"/>
      <c r="AN227" s="1290"/>
      <c r="AO227" s="1290"/>
      <c r="AP227" s="180"/>
      <c r="AQ227" s="180"/>
      <c r="AR227" s="1029" t="s">
        <v>1849</v>
      </c>
      <c r="AS227" s="1064" t="str" cm="1">
        <f t="array" aca="1" ref="AS227" ca="1">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M10591::ТЭ.42.26322895.0004::Неопределено::Неопределено::Неопределено::Неопределено::Неопределено::Неопределено::Неопределено</v>
      </c>
    </row>
    <row r="228" spans="1:45" ht="9.9499999999999993" customHeight="1">
      <c r="E228" s="676">
        <v>10.199999999999999</v>
      </c>
      <c r="U228" s="129" t="s">
        <v>238</v>
      </c>
      <c r="V228" s="122" t="s">
        <v>1982</v>
      </c>
    </row>
    <row r="229" spans="1:45" ht="11.25" hidden="1" customHeight="1">
      <c r="E229" s="676">
        <v>0</v>
      </c>
    </row>
    <row r="230" spans="1:45" ht="14.65" customHeight="1">
      <c r="E230" s="676">
        <v>15</v>
      </c>
      <c r="AB230" s="1802" t="s">
        <v>734</v>
      </c>
      <c r="AC230" s="1802"/>
      <c r="AD230" s="1802"/>
      <c r="AE230" s="1802"/>
      <c r="AF230" s="1802"/>
      <c r="AG230" s="1802"/>
      <c r="AH230" s="1802"/>
      <c r="AI230" s="1802"/>
      <c r="AJ230" s="1802"/>
      <c r="AK230" s="1802"/>
      <c r="AL230" s="1802"/>
      <c r="AM230" s="1802"/>
      <c r="AN230" s="1802"/>
      <c r="AO230" s="1802"/>
    </row>
    <row r="231" spans="1:45" ht="14.65" customHeight="1">
      <c r="E231" s="676">
        <v>15</v>
      </c>
      <c r="AA231" s="778"/>
      <c r="AB231" s="1817"/>
      <c r="AC231" s="1818"/>
      <c r="AD231" s="1818"/>
      <c r="AE231" s="1818"/>
      <c r="AF231" s="1818"/>
      <c r="AG231" s="1818"/>
      <c r="AH231" s="1818"/>
      <c r="AI231" s="1818"/>
      <c r="AJ231" s="1818"/>
      <c r="AK231" s="1818"/>
      <c r="AL231" s="1818"/>
      <c r="AM231" s="1818"/>
      <c r="AN231" s="1818"/>
      <c r="AO231" s="1818"/>
    </row>
    <row r="232" spans="1:45" ht="14.65" hidden="1" customHeight="1">
      <c r="E232" s="676">
        <v>15</v>
      </c>
      <c r="T232" s="687" t="b">
        <f>ROW(W232)&gt;ROW(W$232)</f>
        <v>0</v>
      </c>
      <c r="W232" s="126" t="s">
        <v>236</v>
      </c>
      <c r="AA232" s="857" t="s">
        <v>218</v>
      </c>
      <c r="AB232" s="1820"/>
      <c r="AC232" s="1818"/>
      <c r="AD232" s="1818"/>
      <c r="AE232" s="1818"/>
      <c r="AF232" s="1818"/>
      <c r="AG232" s="1818"/>
      <c r="AH232" s="1818"/>
      <c r="AI232" s="1818"/>
      <c r="AJ232" s="1818"/>
      <c r="AK232" s="1818"/>
      <c r="AL232" s="1818"/>
      <c r="AM232" s="1818"/>
      <c r="AN232" s="1818"/>
      <c r="AO232" s="1818"/>
    </row>
    <row r="233" spans="1:45" ht="14.65" customHeight="1">
      <c r="E233" s="676">
        <v>15</v>
      </c>
      <c r="W233" s="122" t="s">
        <v>237</v>
      </c>
      <c r="AA233" s="163"/>
      <c r="AB233" s="1736" t="s">
        <v>735</v>
      </c>
      <c r="AC233" s="1737"/>
      <c r="AD233" s="324"/>
      <c r="AE233" s="324"/>
      <c r="AF233" s="324"/>
      <c r="AG233" s="324"/>
      <c r="AH233" s="324"/>
      <c r="AI233" s="324"/>
      <c r="AJ233" s="324"/>
      <c r="AK233" s="324"/>
      <c r="AL233" s="324"/>
      <c r="AM233" s="324"/>
      <c r="AN233" s="324"/>
      <c r="AO233" s="294"/>
    </row>
  </sheetData>
  <sheetProtection formatColumns="0" formatRows="0" insertRows="0" deleteColumns="0" deleteRows="0" sort="0" autoFilter="0"/>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5FD51-DE6C-5557-ABCE-66FE839E48C8}">
  <sheetPr>
    <tabColor rgb="FF002060"/>
    <outlinePr summaryBelow="0" summaryRight="0"/>
    <pageSetUpPr fitToPage="1"/>
  </sheetPr>
  <dimension ref="A1:AL7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3" hidden="1" customWidth="1"/>
    <col min="2" max="2" width="8.5703125" style="783" hidden="1" customWidth="1"/>
    <col min="3" max="4" width="3.5703125" style="178" hidden="1" customWidth="1"/>
    <col min="5" max="5" width="8.42578125" style="782" hidden="1" customWidth="1"/>
    <col min="6" max="6" width="6.42578125" style="178" hidden="1" customWidth="1"/>
    <col min="7" max="10" width="3.5703125" style="180" hidden="1" customWidth="1"/>
    <col min="11" max="11" width="7.140625" style="180" hidden="1" customWidth="1"/>
    <col min="12" max="16" width="3.5703125" style="180" hidden="1" customWidth="1"/>
    <col min="17" max="17" width="3.5703125" style="143" hidden="1" customWidth="1"/>
    <col min="18" max="18" width="22.85546875" style="143" hidden="1" customWidth="1"/>
    <col min="19" max="19" width="3.5703125" style="180"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2" width="15" style="180" customWidth="1"/>
    <col min="33" max="33" width="19" style="180" customWidth="1"/>
    <col min="34" max="34" width="17.28515625" style="180" customWidth="1"/>
    <col min="35" max="35" width="31.28515625" style="180" customWidth="1"/>
    <col min="36" max="36" width="3" style="180" customWidth="1"/>
    <col min="37" max="37" width="9.140625" style="180" hidden="1"/>
    <col min="38" max="38" width="9.140625" style="1031" hidden="1"/>
  </cols>
  <sheetData>
    <row r="1" spans="1:38" s="178" customFormat="1" ht="12" hidden="1" customHeight="1">
      <c r="A1" s="983"/>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L1" s="1031" t="s">
        <v>383</v>
      </c>
    </row>
    <row r="2" spans="1:38" s="783" customFormat="1" ht="12" hidden="1" customHeight="1">
      <c r="A2" s="991"/>
      <c r="B2" s="768" t="s">
        <v>15</v>
      </c>
      <c r="G2" s="786"/>
      <c r="H2" s="786"/>
      <c r="I2" s="786"/>
      <c r="J2" s="786"/>
      <c r="K2" s="786"/>
      <c r="L2" s="786"/>
      <c r="M2" s="786"/>
      <c r="N2" s="786"/>
      <c r="O2" s="786"/>
      <c r="P2" s="786"/>
      <c r="Q2" s="786"/>
      <c r="R2" s="786"/>
      <c r="S2" s="786"/>
      <c r="AC2" s="671"/>
      <c r="AL2" s="973"/>
    </row>
    <row r="3" spans="1:38" s="178" customFormat="1" ht="12" hidden="1" customHeight="1">
      <c r="A3" s="983"/>
      <c r="B3" s="667"/>
      <c r="E3" s="667"/>
      <c r="G3" s="180"/>
      <c r="H3" s="180"/>
      <c r="I3" s="180"/>
      <c r="J3" s="180"/>
      <c r="K3" s="180"/>
      <c r="L3" s="180"/>
      <c r="M3" s="180"/>
      <c r="N3" s="180"/>
      <c r="O3" s="180"/>
      <c r="P3" s="180"/>
      <c r="Q3" s="143"/>
      <c r="R3" s="143"/>
      <c r="S3" s="180"/>
      <c r="T3" s="126"/>
      <c r="U3" s="126"/>
      <c r="V3" s="126"/>
      <c r="W3" s="126"/>
      <c r="X3" s="126"/>
      <c r="Y3" s="126"/>
      <c r="Z3" s="126"/>
      <c r="AC3" s="182"/>
      <c r="AL3" s="1031"/>
    </row>
    <row r="4" spans="1:38" s="178" customFormat="1" ht="12" hidden="1" customHeight="1">
      <c r="A4" s="983"/>
      <c r="B4" s="667"/>
      <c r="E4" s="667"/>
      <c r="G4" s="180"/>
      <c r="H4" s="180"/>
      <c r="I4" s="180"/>
      <c r="J4" s="180"/>
      <c r="K4" s="180"/>
      <c r="L4" s="180"/>
      <c r="M4" s="180"/>
      <c r="N4" s="180"/>
      <c r="O4" s="180"/>
      <c r="P4" s="180"/>
      <c r="Q4" s="143"/>
      <c r="R4" s="143"/>
      <c r="S4" s="180"/>
      <c r="T4" s="126"/>
      <c r="U4" s="126"/>
      <c r="V4" s="126"/>
      <c r="W4" s="126"/>
      <c r="X4" s="126"/>
      <c r="Y4" s="126"/>
      <c r="Z4" s="126"/>
      <c r="AC4" s="182"/>
      <c r="AL4" s="1031"/>
    </row>
    <row r="5" spans="1:38" s="782" customFormat="1" ht="12" hidden="1" customHeight="1">
      <c r="A5" s="991"/>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15</v>
      </c>
      <c r="AF5" s="676">
        <v>15</v>
      </c>
      <c r="AG5" s="676">
        <v>19</v>
      </c>
      <c r="AH5" s="676">
        <v>17.25</v>
      </c>
      <c r="AI5" s="676">
        <v>31.25</v>
      </c>
      <c r="AJ5" s="676">
        <v>3</v>
      </c>
      <c r="AL5" s="973"/>
    </row>
    <row r="6" spans="1:38" s="178" customFormat="1" ht="12" hidden="1" customHeight="1">
      <c r="A6" s="983"/>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cm="1">
        <f t="array" ref="AF6">god</f>
        <v>2026</v>
      </c>
      <c r="AL6" s="1031"/>
    </row>
    <row r="7" spans="1:38" ht="12" hidden="1" customHeight="1">
      <c r="F7" s="180"/>
      <c r="T7" s="163"/>
      <c r="U7" s="163"/>
      <c r="V7" s="163"/>
      <c r="W7" s="163"/>
      <c r="X7" s="163"/>
      <c r="Y7" s="163"/>
      <c r="Z7" s="163"/>
      <c r="AB7" s="180"/>
      <c r="AD7" s="180"/>
      <c r="AE7" s="163" t="str" cm="1">
        <f t="array" ref="AE7">AE25</f>
        <v>Предложение организации</v>
      </c>
      <c r="AF7" s="163" t="str" cm="1">
        <f t="array" ref="AF7">AF25</f>
        <v>Версия органа регулирования</v>
      </c>
    </row>
    <row r="8" spans="1:38" ht="12" hidden="1" customHeight="1">
      <c r="F8" s="180"/>
      <c r="T8" s="163"/>
      <c r="U8" s="163"/>
      <c r="V8" s="163"/>
      <c r="W8" s="163"/>
      <c r="X8" s="163"/>
      <c r="Y8" s="163"/>
      <c r="Z8" s="163"/>
      <c r="AB8" s="180"/>
      <c r="AD8" s="180"/>
      <c r="AE8" s="163" t="str">
        <f>AE6&amp;AE7</f>
        <v>2024Предложение организации</v>
      </c>
      <c r="AF8" s="163" t="str">
        <f>AF6&amp;AF7</f>
        <v>2026Версия органа регулирования</v>
      </c>
    </row>
    <row r="9" spans="1:38" s="1030" customFormat="1" ht="12" hidden="1" customHeight="1">
      <c r="A9" s="958" t="s">
        <v>472</v>
      </c>
      <c r="B9" s="951"/>
      <c r="E9" s="951"/>
      <c r="Q9" s="1008"/>
      <c r="R9" s="1008"/>
      <c r="T9" s="959"/>
      <c r="U9" s="959"/>
      <c r="V9" s="959"/>
      <c r="W9" s="959"/>
      <c r="X9" s="959"/>
      <c r="Y9" s="959"/>
      <c r="Z9" s="959"/>
      <c r="AE9" s="1030">
        <f>god-2</f>
        <v>2024</v>
      </c>
      <c r="AF9" s="1030" cm="1">
        <f t="array" ref="AF9">god</f>
        <v>2026</v>
      </c>
      <c r="AL9" s="1031"/>
    </row>
    <row r="10" spans="1:38" s="1030" customFormat="1" ht="12" hidden="1" customHeight="1">
      <c r="A10" s="958" t="s">
        <v>473</v>
      </c>
      <c r="B10" s="951"/>
      <c r="E10" s="951"/>
      <c r="Q10" s="1008"/>
      <c r="R10" s="1008"/>
      <c r="T10" s="959"/>
      <c r="U10" s="959"/>
      <c r="V10" s="959"/>
      <c r="W10" s="959"/>
      <c r="X10" s="959"/>
      <c r="Y10" s="959"/>
      <c r="Z10" s="959"/>
      <c r="AE10" s="1030" t="str" cm="1">
        <f t="array" ref="AE10">AE25</f>
        <v>Предложение организации</v>
      </c>
      <c r="AF10" s="1030" t="str" cm="1">
        <f t="array" ref="AF10">AF25</f>
        <v>Версия органа регулирования</v>
      </c>
      <c r="AL10" s="1031"/>
    </row>
    <row r="11" spans="1:38" s="1030" customFormat="1" ht="12" hidden="1" customHeight="1">
      <c r="A11" s="958" t="s">
        <v>474</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G11" s="1030" t="str" cm="1">
        <f t="array" ref="AG11">AG24</f>
        <v>Указание на подтверждающие документы / URL-ссылка на копии подтверждающих документов</v>
      </c>
      <c r="AH11" s="1030" t="str" cm="1">
        <f t="array" ref="AH11">AH24</f>
        <v>Ссылка на правовую норму (основание для принятия показателя в расчет тарифа)</v>
      </c>
      <c r="AI11" s="103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31"/>
    </row>
    <row r="12" spans="1:38" s="178" customFormat="1" ht="12" hidden="1" customHeight="1">
      <c r="A12" s="983"/>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AL12" s="1031"/>
    </row>
    <row r="13" spans="1:38" s="178" customFormat="1" ht="12" hidden="1" customHeight="1">
      <c r="A13" s="983"/>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L13" s="1031"/>
    </row>
    <row r="14" spans="1:38" s="178" customFormat="1" ht="12" hidden="1" customHeight="1">
      <c r="A14" s="983"/>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L14" s="1031"/>
    </row>
    <row r="15" spans="1:38" s="178" customFormat="1" ht="12" hidden="1" customHeight="1">
      <c r="A15" s="983"/>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L15" s="1031"/>
    </row>
    <row r="16" spans="1:38" s="178" customFormat="1" ht="12" hidden="1" customHeight="1">
      <c r="A16" s="983"/>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L16" s="1031"/>
    </row>
    <row r="17" spans="1:38" s="178" customFormat="1" ht="12" hidden="1" customHeight="1">
      <c r="A17" s="983"/>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L17" s="1031"/>
    </row>
    <row r="18" spans="1:38" s="178" customFormat="1" ht="12" hidden="1" customHeight="1">
      <c r="A18" s="983"/>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AL18" s="1031"/>
    </row>
    <row r="19" spans="1:38" s="178" customFormat="1" ht="12" hidden="1" customHeight="1">
      <c r="A19" s="983"/>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L19" s="1031"/>
    </row>
    <row r="20" spans="1:38" s="178" customFormat="1" ht="12" hidden="1" customHeight="1">
      <c r="A20" s="983"/>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AL20" s="1031"/>
    </row>
    <row r="21" spans="1:38" ht="14.65" customHeight="1">
      <c r="E21" s="676">
        <v>15</v>
      </c>
      <c r="AA21" s="699"/>
      <c r="AB21" s="180"/>
      <c r="AC21" s="343" t="str" cm="1">
        <f t="array" ref="AC21">tpl_title</f>
        <v>Кемеровская область / 2026 / ОАО «СКЭК» (ИНН:4205153492, КПП:420501001) / ДПР: 2021-2030</v>
      </c>
      <c r="AD21" s="180"/>
    </row>
    <row r="22" spans="1:38" s="1156" customFormat="1" ht="33.200000000000003" customHeight="1">
      <c r="A22" s="833"/>
      <c r="B22" s="667"/>
      <c r="C22" s="133"/>
      <c r="D22" s="133"/>
      <c r="E22" s="676">
        <v>34</v>
      </c>
      <c r="F22" s="133"/>
      <c r="Q22" s="143"/>
      <c r="R22" s="143"/>
      <c r="T22" s="129"/>
      <c r="U22" s="129"/>
      <c r="V22" s="129"/>
      <c r="W22" s="129"/>
      <c r="X22" s="129"/>
      <c r="Y22" s="129"/>
      <c r="Z22" s="129"/>
      <c r="AB22" s="1848" t="s">
        <v>1983</v>
      </c>
      <c r="AC22" s="1848"/>
      <c r="AD22" s="1848"/>
      <c r="AE22" s="1848"/>
      <c r="AF22" s="1848"/>
      <c r="AG22" s="1848"/>
      <c r="AH22" s="1848"/>
      <c r="AI22" s="1848"/>
      <c r="AL22" s="989"/>
    </row>
    <row r="23" spans="1:38" s="1156" customFormat="1" ht="9.9499999999999993" customHeight="1">
      <c r="A23" s="8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L23" s="989"/>
    </row>
    <row r="24" spans="1:38" s="179" customFormat="1" ht="24.2" customHeight="1">
      <c r="A24" s="277"/>
      <c r="B24" s="671"/>
      <c r="C24" s="182"/>
      <c r="D24" s="182"/>
      <c r="E24" s="682">
        <v>24.8</v>
      </c>
      <c r="F24" s="182"/>
      <c r="Q24" s="788"/>
      <c r="R24" s="788"/>
      <c r="T24" s="122"/>
      <c r="U24" s="122"/>
      <c r="V24" s="122"/>
      <c r="W24" s="122"/>
      <c r="X24" s="122"/>
      <c r="Y24" s="122"/>
      <c r="Z24" s="122"/>
      <c r="AB24" s="1849" t="s">
        <v>396</v>
      </c>
      <c r="AC24" s="1827" t="s">
        <v>475</v>
      </c>
      <c r="AD24" s="1827" t="s">
        <v>476</v>
      </c>
      <c r="AE24" s="1149" t="str">
        <f>god-2&amp;" год"</f>
        <v>2024 год</v>
      </c>
      <c r="AF24" s="108" t="str">
        <f>god-2&amp;" год"</f>
        <v>2024 год</v>
      </c>
      <c r="AG24" s="1826" t="s">
        <v>1346</v>
      </c>
      <c r="AH24" s="1826" t="s">
        <v>630</v>
      </c>
      <c r="AI24" s="1826" t="s">
        <v>1347</v>
      </c>
      <c r="AL24" s="1031"/>
    </row>
    <row r="25" spans="1:38" s="179" customFormat="1" ht="44.65" customHeight="1">
      <c r="A25" s="277"/>
      <c r="B25" s="671"/>
      <c r="C25" s="182"/>
      <c r="D25" s="182"/>
      <c r="E25" s="682">
        <v>45.8</v>
      </c>
      <c r="F25" s="182"/>
      <c r="Q25" s="788"/>
      <c r="R25" s="788"/>
      <c r="T25" s="122"/>
      <c r="U25" s="122"/>
      <c r="V25" s="122"/>
      <c r="W25" s="122"/>
      <c r="X25" s="122"/>
      <c r="Y25" s="122"/>
      <c r="Z25" s="122"/>
      <c r="AB25" s="1850"/>
      <c r="AC25" s="1827"/>
      <c r="AD25" s="1827"/>
      <c r="AE25" s="1151" t="s">
        <v>413</v>
      </c>
      <c r="AF25" s="108" t="s">
        <v>1612</v>
      </c>
      <c r="AG25" s="1826"/>
      <c r="AH25" s="1826"/>
      <c r="AI25" s="1826"/>
      <c r="AL25" s="1031"/>
    </row>
    <row r="26" spans="1:38" s="179" customFormat="1" ht="14.25" hidden="1" customHeight="1">
      <c r="A26" s="277"/>
      <c r="B26" s="671"/>
      <c r="C26" s="182"/>
      <c r="D26" s="182"/>
      <c r="E26" s="682">
        <v>0</v>
      </c>
      <c r="F26" s="182"/>
      <c r="Q26" s="788"/>
      <c r="R26" s="788"/>
      <c r="T26" s="122"/>
      <c r="U26" s="122"/>
      <c r="V26" s="122"/>
      <c r="W26" s="122"/>
      <c r="X26" s="122"/>
      <c r="Y26" s="122"/>
      <c r="Z26" s="122"/>
      <c r="AB26" s="597"/>
      <c r="AC26" s="597"/>
      <c r="AD26" s="597"/>
      <c r="AE26" s="122"/>
      <c r="AF26" s="122"/>
      <c r="AG26" s="182"/>
      <c r="AH26" s="182"/>
      <c r="AI26" s="182"/>
      <c r="AL26" s="1031"/>
    </row>
    <row r="27" spans="1:38" s="170" customFormat="1" ht="16.7" hidden="1" customHeight="1">
      <c r="E27" s="676">
        <v>17.100000000000001</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K27" s="163" cm="1">
        <f t="array" ref="K27">INDEX('Общие сведения'!$AL$187:$AL$236,MATCH($F27,'Общие сведения'!$Z$187:$Z$236,0))</f>
        <v>0</v>
      </c>
      <c r="T27" s="687" t="b">
        <f>X27&gt;0</f>
        <v>0</v>
      </c>
      <c r="V27" s="126" t="s">
        <v>315</v>
      </c>
      <c r="X27" s="1838">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L27" s="981"/>
    </row>
    <row r="28" spans="1:38" s="170" customFormat="1" ht="16.7" hidden="1" customHeight="1">
      <c r="E28" s="676">
        <v>17.100000000000001</v>
      </c>
      <c r="F28" s="779" cm="1">
        <f t="array" aca="1" ref="F28" ca="1">OFFSET(G28,-1,-1)</f>
        <v>0</v>
      </c>
      <c r="T28" s="687" t="b" cm="1">
        <f t="array" ref="T28">T27</f>
        <v>0</v>
      </c>
      <c r="X28" s="1724"/>
      <c r="Z28" s="1724"/>
      <c r="AB28" s="510">
        <v>1</v>
      </c>
      <c r="AC28" s="864" t="s">
        <v>1984</v>
      </c>
      <c r="AD28" s="865"/>
      <c r="AE28" s="865"/>
      <c r="AF28" s="865"/>
      <c r="AG28" s="865"/>
      <c r="AH28" s="865"/>
      <c r="AI28" s="865"/>
      <c r="AL28" s="981"/>
    </row>
    <row r="29" spans="1:38" s="170" customFormat="1" ht="43.9" hidden="1" customHeight="1">
      <c r="E29" s="676">
        <v>45</v>
      </c>
      <c r="F29" s="779" cm="1">
        <f t="array" aca="1" ref="F29" ca="1">OFFSET(G29,-1,-1)</f>
        <v>0</v>
      </c>
      <c r="T29" s="687" t="b" cm="1">
        <f t="array" ref="T29">T28</f>
        <v>0</v>
      </c>
      <c r="X29" s="1724"/>
      <c r="Z29" s="1724"/>
      <c r="AB29" s="510" t="s">
        <v>1985</v>
      </c>
      <c r="AC29" s="236" t="s">
        <v>1986</v>
      </c>
      <c r="AD29" s="105" t="s">
        <v>1460</v>
      </c>
      <c r="AE29" s="17"/>
      <c r="AF29" s="17"/>
      <c r="AG29" s="92"/>
      <c r="AH29" s="92"/>
      <c r="AI29" s="15"/>
      <c r="AL29" s="981" t="s">
        <v>1987</v>
      </c>
    </row>
    <row r="30" spans="1:38" s="170" customFormat="1" ht="43.9" hidden="1" customHeight="1">
      <c r="E30" s="676">
        <v>45</v>
      </c>
      <c r="F30" s="779" cm="1">
        <f t="array" aca="1" ref="F30" ca="1">OFFSET(G30,-1,-1)</f>
        <v>0</v>
      </c>
      <c r="T30" s="687" t="b" cm="1">
        <f t="array" ref="T30">T29</f>
        <v>0</v>
      </c>
      <c r="X30" s="1724"/>
      <c r="Z30" s="1724"/>
      <c r="AB30" s="510" t="s">
        <v>1988</v>
      </c>
      <c r="AC30" s="236" t="s">
        <v>1989</v>
      </c>
      <c r="AD30" s="105" t="s">
        <v>501</v>
      </c>
      <c r="AE30" s="17"/>
      <c r="AF30" s="17"/>
      <c r="AG30" s="92"/>
      <c r="AH30" s="92"/>
      <c r="AI30" s="15"/>
      <c r="AL30" s="981" t="s">
        <v>1990</v>
      </c>
    </row>
    <row r="31" spans="1:38" s="170" customFormat="1" ht="39" hidden="1" customHeight="1">
      <c r="E31" s="676">
        <v>40</v>
      </c>
      <c r="F31" s="779" cm="1">
        <f t="array" aca="1" ref="F31" ca="1">OFFSET(G31,-1,-1)</f>
        <v>0</v>
      </c>
      <c r="T31" s="687" t="b" cm="1">
        <f t="array" ref="T31">T30</f>
        <v>0</v>
      </c>
      <c r="X31" s="1724"/>
      <c r="Z31" s="1724"/>
      <c r="AB31" s="510" t="s">
        <v>1991</v>
      </c>
      <c r="AC31" s="236" t="s">
        <v>1992</v>
      </c>
      <c r="AD31" s="105" t="s">
        <v>1993</v>
      </c>
      <c r="AE31" s="17">
        <f>IFERROR(AE29/AE30,0)</f>
        <v>0</v>
      </c>
      <c r="AF31" s="17">
        <f>IFERROR(AF29/AF30,0)</f>
        <v>0</v>
      </c>
      <c r="AG31" s="92"/>
      <c r="AH31" s="92"/>
      <c r="AI31" s="15"/>
      <c r="AL31" s="981" t="s">
        <v>1994</v>
      </c>
    </row>
    <row r="32" spans="1:38" s="170" customFormat="1" ht="16.7" hidden="1" customHeight="1">
      <c r="E32" s="676">
        <v>17.100000000000001</v>
      </c>
      <c r="F32" s="779" cm="1">
        <f t="array" aca="1" ref="F32" ca="1">OFFSET(G32,-1,-1)</f>
        <v>0</v>
      </c>
      <c r="T32" s="687" t="b" cm="1">
        <f t="array" ref="T32">T31</f>
        <v>0</v>
      </c>
      <c r="X32" s="1724"/>
      <c r="Z32" s="1724"/>
      <c r="AB32" s="510" t="s">
        <v>1995</v>
      </c>
      <c r="AC32" s="236" t="s">
        <v>1996</v>
      </c>
      <c r="AD32" s="105" t="s">
        <v>533</v>
      </c>
      <c r="AE32" s="93"/>
      <c r="AF32" s="93"/>
      <c r="AG32" s="92"/>
      <c r="AH32" s="92"/>
      <c r="AI32" s="15"/>
      <c r="AL32" s="981" t="s">
        <v>1997</v>
      </c>
    </row>
    <row r="33" spans="1:38" s="170" customFormat="1" ht="39" hidden="1" customHeight="1">
      <c r="E33" s="676">
        <v>40</v>
      </c>
      <c r="F33" s="779" cm="1">
        <f t="array" aca="1" ref="F33" ca="1">OFFSET(G33,-1,-1)</f>
        <v>0</v>
      </c>
      <c r="T33" s="687" t="b" cm="1">
        <f t="array" ref="T33">T32</f>
        <v>0</v>
      </c>
      <c r="X33" s="1724"/>
      <c r="Z33" s="1724"/>
      <c r="AB33" s="868" t="s">
        <v>1998</v>
      </c>
      <c r="AC33" s="866" t="s">
        <v>1999</v>
      </c>
      <c r="AD33" s="867" t="s">
        <v>1993</v>
      </c>
      <c r="AE33" s="18"/>
      <c r="AF33" s="18"/>
      <c r="AG33" s="94"/>
      <c r="AH33" s="94"/>
      <c r="AI33" s="95"/>
      <c r="AL33" s="981" t="s">
        <v>2000</v>
      </c>
    </row>
    <row r="34" spans="1:38" s="170" customFormat="1" ht="16.7" hidden="1" customHeight="1">
      <c r="E34" s="676">
        <v>17.100000000000001</v>
      </c>
      <c r="F34" s="779" cm="1">
        <f t="array" aca="1" ref="F34" ca="1">OFFSET(G34,-1,-1)</f>
        <v>0</v>
      </c>
      <c r="T34" s="687" t="b" cm="1">
        <f t="array" ref="T34">T33</f>
        <v>0</v>
      </c>
      <c r="X34" s="1724"/>
      <c r="Z34" s="1724"/>
      <c r="AB34" s="105">
        <v>2</v>
      </c>
      <c r="AC34" s="864" t="s">
        <v>2001</v>
      </c>
      <c r="AD34" s="865"/>
      <c r="AE34" s="878"/>
      <c r="AF34" s="878"/>
      <c r="AG34" s="865"/>
      <c r="AH34" s="865"/>
      <c r="AI34" s="865"/>
      <c r="AL34" s="981"/>
    </row>
    <row r="35" spans="1:38" s="170" customFormat="1" ht="43.9" hidden="1" customHeight="1">
      <c r="E35" s="676">
        <v>45</v>
      </c>
      <c r="F35" s="779" cm="1">
        <f t="array" aca="1" ref="F35" ca="1">OFFSET(G35,-1,-1)</f>
        <v>0</v>
      </c>
      <c r="T35" s="687" t="b" cm="1">
        <f t="array" ref="T35">T34</f>
        <v>0</v>
      </c>
      <c r="X35" s="1724"/>
      <c r="Z35" s="1724"/>
      <c r="AB35" s="105" t="s">
        <v>2002</v>
      </c>
      <c r="AC35" s="236" t="s">
        <v>2003</v>
      </c>
      <c r="AD35" s="105" t="s">
        <v>1460</v>
      </c>
      <c r="AE35" s="18"/>
      <c r="AF35" s="18"/>
      <c r="AG35" s="94"/>
      <c r="AH35" s="94"/>
      <c r="AI35" s="95"/>
      <c r="AL35" s="981" t="s">
        <v>2004</v>
      </c>
    </row>
    <row r="36" spans="1:38" s="170" customFormat="1" ht="39" hidden="1" customHeight="1">
      <c r="E36" s="676">
        <v>40</v>
      </c>
      <c r="F36" s="779" cm="1">
        <f t="array" aca="1" ref="F36" ca="1">OFFSET(G36,-1,-1)</f>
        <v>0</v>
      </c>
      <c r="T36" s="687" t="b" cm="1">
        <f t="array" ref="T36">T35</f>
        <v>0</v>
      </c>
      <c r="X36" s="1724"/>
      <c r="Z36" s="1724"/>
      <c r="AB36" s="105" t="s">
        <v>2005</v>
      </c>
      <c r="AC36" s="236" t="s">
        <v>2006</v>
      </c>
      <c r="AD36" s="105" t="s">
        <v>2007</v>
      </c>
      <c r="AE36" s="18"/>
      <c r="AF36" s="18"/>
      <c r="AG36" s="94"/>
      <c r="AH36" s="94"/>
      <c r="AI36" s="95"/>
      <c r="AL36" s="981" t="s">
        <v>2008</v>
      </c>
    </row>
    <row r="37" spans="1:38" s="170" customFormat="1" ht="39" hidden="1" customHeight="1">
      <c r="E37" s="676">
        <v>40</v>
      </c>
      <c r="F37" s="779" cm="1">
        <f t="array" aca="1" ref="F37" ca="1">OFFSET(G37,-1,-1)</f>
        <v>0</v>
      </c>
      <c r="T37" s="687" t="b" cm="1">
        <f t="array" ref="T37">T36</f>
        <v>0</v>
      </c>
      <c r="X37" s="1724"/>
      <c r="Z37" s="1724"/>
      <c r="AB37" s="105" t="s">
        <v>2009</v>
      </c>
      <c r="AC37" s="236" t="s">
        <v>2010</v>
      </c>
      <c r="AD37" s="105" t="s">
        <v>929</v>
      </c>
      <c r="AE37" s="17">
        <f>IFERROR(AE35/AE36,0)</f>
        <v>0</v>
      </c>
      <c r="AF37" s="17">
        <f>IFERROR(AF35/AF36,0)</f>
        <v>0</v>
      </c>
      <c r="AG37" s="94"/>
      <c r="AH37" s="94"/>
      <c r="AI37" s="95"/>
      <c r="AL37" s="981" t="s">
        <v>1994</v>
      </c>
    </row>
    <row r="38" spans="1:38" s="170" customFormat="1" ht="16.7" hidden="1" customHeight="1">
      <c r="E38" s="676">
        <v>17.100000000000001</v>
      </c>
      <c r="F38" s="779" cm="1">
        <f t="array" aca="1" ref="F38" ca="1">OFFSET(G38,-1,-1)</f>
        <v>0</v>
      </c>
      <c r="T38" s="687" t="b" cm="1">
        <f t="array" ref="T38">T37</f>
        <v>0</v>
      </c>
      <c r="X38" s="1724"/>
      <c r="Z38" s="1724"/>
      <c r="AB38" s="105" t="s">
        <v>2011</v>
      </c>
      <c r="AC38" s="236" t="s">
        <v>1996</v>
      </c>
      <c r="AD38" s="105" t="s">
        <v>533</v>
      </c>
      <c r="AE38" s="18"/>
      <c r="AF38" s="18"/>
      <c r="AG38" s="94"/>
      <c r="AH38" s="94"/>
      <c r="AI38" s="95"/>
      <c r="AL38" s="981" t="s">
        <v>2012</v>
      </c>
    </row>
    <row r="39" spans="1:38" s="170" customFormat="1" ht="39" hidden="1" customHeight="1">
      <c r="E39" s="676">
        <v>40</v>
      </c>
      <c r="F39" s="779" cm="1">
        <f t="array" aca="1" ref="F39" ca="1">OFFSET(G39,-1,-1)</f>
        <v>0</v>
      </c>
      <c r="T39" s="687" t="b" cm="1">
        <f t="array" ref="T39">T38</f>
        <v>0</v>
      </c>
      <c r="X39" s="1724"/>
      <c r="Z39" s="1724"/>
      <c r="AB39" s="105" t="s">
        <v>2013</v>
      </c>
      <c r="AC39" s="236" t="s">
        <v>2014</v>
      </c>
      <c r="AD39" s="510" t="s">
        <v>929</v>
      </c>
      <c r="AE39" s="17"/>
      <c r="AF39" s="17"/>
      <c r="AG39" s="92"/>
      <c r="AH39" s="92"/>
      <c r="AI39" s="15"/>
      <c r="AL39" s="981" t="s">
        <v>2000</v>
      </c>
    </row>
    <row r="40" spans="1:38" ht="17.25" hidden="1" customHeight="1">
      <c r="E40" s="676">
        <v>0</v>
      </c>
      <c r="F40" s="779" cm="1">
        <f t="array" aca="1" ref="F40" ca="1">OFFSET(G40,-1,-1)</f>
        <v>0</v>
      </c>
      <c r="T40" s="687" t="b" cm="1">
        <f t="array" ref="T40">T39</f>
        <v>0</v>
      </c>
      <c r="X40" s="1726"/>
      <c r="Z40" s="1726"/>
    </row>
    <row r="41" spans="1:38" s="1443" customFormat="1" ht="16.5" customHeight="1">
      <c r="A41" s="170"/>
      <c r="B41" s="170"/>
      <c r="C41" s="170"/>
      <c r="D41" s="170"/>
      <c r="E41" s="676">
        <v>17.100000000000001</v>
      </c>
      <c r="F41" s="779" t="str" cm="1">
        <f t="array" ref="F41">X41</f>
        <v>1</v>
      </c>
      <c r="G41" s="620" t="str" cm="1">
        <f t="array" ref="G41">INDEX('Общие сведения'!$AK$187:$AK$236,MATCH($F41,'Общие сведения'!$Z$187:$Z$236,0))</f>
        <v>одноставочный</v>
      </c>
      <c r="H41" s="170"/>
      <c r="I41" s="163" t="str" cm="1">
        <f t="array" ref="I41">INDEX('Общие сведения'!$AE$187:$AE$236,MATCH($F41,'Общие сведения'!$Z$187:$Z$236,0))</f>
        <v>Теплоснабжение</v>
      </c>
      <c r="J41" s="170"/>
      <c r="K41" s="163" t="str" cm="1">
        <f t="array" ref="K41">INDEX('Общие сведения'!$AL$187:$AL$236,MATCH($F41,'Общие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170"/>
      <c r="M41" s="170"/>
      <c r="N41" s="170"/>
      <c r="O41" s="170"/>
      <c r="P41" s="170"/>
      <c r="Q41" s="170"/>
      <c r="R41" s="170"/>
      <c r="S41" s="170"/>
      <c r="T41" s="687" t="b">
        <f>X41&gt;0</f>
        <v>1</v>
      </c>
      <c r="U41" s="170"/>
      <c r="V41" s="126" t="str" cm="1">
        <f t="array" ref="V41">'Калькуляция (4.6)'!$AB$94</f>
        <v>Тариф 1 (Теплоснабжение) - Тариф на тепловую энергию (мощность), поставляемую потребителям (Не определено)</v>
      </c>
      <c r="W41" s="170"/>
      <c r="X41" s="1838" t="s">
        <v>341</v>
      </c>
      <c r="Y41" s="170"/>
      <c r="Z41" s="1724"/>
      <c r="AA41" s="170"/>
      <c r="AB41" s="275"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6"/>
      <c r="AD41" s="276"/>
      <c r="AE41" s="276"/>
      <c r="AF41" s="276"/>
      <c r="AG41" s="276"/>
      <c r="AH41" s="276"/>
      <c r="AI41" s="276"/>
      <c r="AJ41" s="170"/>
      <c r="AK41" s="170"/>
      <c r="AL41" s="981"/>
    </row>
    <row r="42" spans="1:38" s="1444" customFormat="1" ht="16.5" customHeight="1">
      <c r="A42" s="170"/>
      <c r="B42" s="170"/>
      <c r="C42" s="170"/>
      <c r="D42" s="170"/>
      <c r="E42" s="676">
        <v>17.100000000000001</v>
      </c>
      <c r="F42" s="779" t="str" cm="1">
        <f t="array" aca="1" ref="F42" ca="1">OFFSET(G42,-1,-1)</f>
        <v>1</v>
      </c>
      <c r="G42" s="170"/>
      <c r="H42" s="170"/>
      <c r="I42" s="170"/>
      <c r="J42" s="170"/>
      <c r="K42" s="170"/>
      <c r="L42" s="170"/>
      <c r="M42" s="170"/>
      <c r="N42" s="170"/>
      <c r="O42" s="170"/>
      <c r="P42" s="170"/>
      <c r="Q42" s="170"/>
      <c r="R42" s="170"/>
      <c r="S42" s="170"/>
      <c r="T42" s="687" t="b" cm="1">
        <f t="array" ref="T42">T41</f>
        <v>1</v>
      </c>
      <c r="U42" s="170"/>
      <c r="V42" s="170"/>
      <c r="W42" s="170"/>
      <c r="X42" s="1724"/>
      <c r="Y42" s="170"/>
      <c r="Z42" s="1724"/>
      <c r="AA42" s="170"/>
      <c r="AB42" s="510">
        <v>1</v>
      </c>
      <c r="AC42" s="864" t="s">
        <v>1984</v>
      </c>
      <c r="AD42" s="865"/>
      <c r="AE42" s="865"/>
      <c r="AF42" s="865"/>
      <c r="AG42" s="865"/>
      <c r="AH42" s="865"/>
      <c r="AI42" s="865"/>
      <c r="AJ42" s="170"/>
      <c r="AK42" s="170"/>
      <c r="AL42" s="981"/>
    </row>
    <row r="43" spans="1:38" s="1445" customFormat="1" ht="43.5" customHeight="1">
      <c r="A43" s="170"/>
      <c r="B43" s="170"/>
      <c r="C43" s="170"/>
      <c r="D43" s="170"/>
      <c r="E43" s="676">
        <v>45</v>
      </c>
      <c r="F43" s="779" t="str" cm="1">
        <f t="array" aca="1" ref="F43" ca="1">OFFSET(G43,-1,-1)</f>
        <v>1</v>
      </c>
      <c r="G43" s="170"/>
      <c r="H43" s="170"/>
      <c r="I43" s="170"/>
      <c r="J43" s="170"/>
      <c r="K43" s="170"/>
      <c r="L43" s="170"/>
      <c r="M43" s="170"/>
      <c r="N43" s="170"/>
      <c r="O43" s="170"/>
      <c r="P43" s="170"/>
      <c r="Q43" s="170"/>
      <c r="R43" s="170"/>
      <c r="S43" s="170"/>
      <c r="T43" s="687" t="b" cm="1">
        <f t="array" ref="T43">T42</f>
        <v>1</v>
      </c>
      <c r="U43" s="170"/>
      <c r="V43" s="170"/>
      <c r="W43" s="170"/>
      <c r="X43" s="1724"/>
      <c r="Y43" s="170"/>
      <c r="Z43" s="1724"/>
      <c r="AA43" s="170"/>
      <c r="AB43" s="510" t="s">
        <v>1985</v>
      </c>
      <c r="AC43" s="236" t="s">
        <v>1986</v>
      </c>
      <c r="AD43" s="105" t="s">
        <v>1460</v>
      </c>
      <c r="AE43" s="1249"/>
      <c r="AF43" s="1249"/>
      <c r="AG43" s="1446"/>
      <c r="AH43" s="1446"/>
      <c r="AI43" s="1241"/>
      <c r="AJ43" s="170"/>
      <c r="AK43" s="170"/>
      <c r="AL43" s="981" t="s">
        <v>1987</v>
      </c>
    </row>
    <row r="44" spans="1:38" s="1447" customFormat="1" ht="43.5" customHeight="1">
      <c r="A44" s="170"/>
      <c r="B44" s="170"/>
      <c r="C44" s="170"/>
      <c r="D44" s="170"/>
      <c r="E44" s="676">
        <v>45</v>
      </c>
      <c r="F44" s="779" t="str" cm="1">
        <f t="array" aca="1" ref="F44" ca="1">OFFSET(G44,-1,-1)</f>
        <v>1</v>
      </c>
      <c r="G44" s="170"/>
      <c r="H44" s="170"/>
      <c r="I44" s="170"/>
      <c r="J44" s="170"/>
      <c r="K44" s="170"/>
      <c r="L44" s="170"/>
      <c r="M44" s="170"/>
      <c r="N44" s="170"/>
      <c r="O44" s="170"/>
      <c r="P44" s="170"/>
      <c r="Q44" s="170"/>
      <c r="R44" s="170"/>
      <c r="S44" s="170"/>
      <c r="T44" s="687" t="b" cm="1">
        <f t="array" ref="T44">T43</f>
        <v>1</v>
      </c>
      <c r="U44" s="170"/>
      <c r="V44" s="170"/>
      <c r="W44" s="170"/>
      <c r="X44" s="1724"/>
      <c r="Y44" s="170"/>
      <c r="Z44" s="1724"/>
      <c r="AA44" s="170"/>
      <c r="AB44" s="510" t="s">
        <v>1988</v>
      </c>
      <c r="AC44" s="236" t="s">
        <v>1989</v>
      </c>
      <c r="AD44" s="105" t="s">
        <v>501</v>
      </c>
      <c r="AE44" s="1249"/>
      <c r="AF44" s="1249"/>
      <c r="AG44" s="1446"/>
      <c r="AH44" s="1446"/>
      <c r="AI44" s="1241"/>
      <c r="AJ44" s="170"/>
      <c r="AK44" s="170"/>
      <c r="AL44" s="981" t="s">
        <v>1990</v>
      </c>
    </row>
    <row r="45" spans="1:38" s="1448" customFormat="1" ht="39" customHeight="1">
      <c r="A45" s="170"/>
      <c r="B45" s="170"/>
      <c r="C45" s="170"/>
      <c r="D45" s="170"/>
      <c r="E45" s="676">
        <v>40</v>
      </c>
      <c r="F45" s="779" t="str" cm="1">
        <f t="array" aca="1" ref="F45" ca="1">OFFSET(G45,-1,-1)</f>
        <v>1</v>
      </c>
      <c r="G45" s="170"/>
      <c r="H45" s="170"/>
      <c r="I45" s="170"/>
      <c r="J45" s="170"/>
      <c r="K45" s="170"/>
      <c r="L45" s="170"/>
      <c r="M45" s="170"/>
      <c r="N45" s="170"/>
      <c r="O45" s="170"/>
      <c r="P45" s="170"/>
      <c r="Q45" s="170"/>
      <c r="R45" s="170"/>
      <c r="S45" s="170"/>
      <c r="T45" s="687" t="b" cm="1">
        <f t="array" ref="T45">T44</f>
        <v>1</v>
      </c>
      <c r="U45" s="170"/>
      <c r="V45" s="170"/>
      <c r="W45" s="170"/>
      <c r="X45" s="1724"/>
      <c r="Y45" s="170"/>
      <c r="Z45" s="1724"/>
      <c r="AA45" s="170"/>
      <c r="AB45" s="510" t="s">
        <v>1991</v>
      </c>
      <c r="AC45" s="236" t="s">
        <v>1992</v>
      </c>
      <c r="AD45" s="105" t="s">
        <v>1993</v>
      </c>
      <c r="AE45" s="1249">
        <f>IFERROR(AE43/AE44,0)</f>
        <v>0</v>
      </c>
      <c r="AF45" s="1249">
        <f>IFERROR(AF43/AF44,0)</f>
        <v>0</v>
      </c>
      <c r="AG45" s="1446"/>
      <c r="AH45" s="1446"/>
      <c r="AI45" s="1241"/>
      <c r="AJ45" s="170"/>
      <c r="AK45" s="170"/>
      <c r="AL45" s="981" t="s">
        <v>1994</v>
      </c>
    </row>
    <row r="46" spans="1:38" s="1449" customFormat="1" ht="16.5" customHeight="1">
      <c r="A46" s="170"/>
      <c r="B46" s="170"/>
      <c r="C46" s="170"/>
      <c r="D46" s="170"/>
      <c r="E46" s="676">
        <v>17.100000000000001</v>
      </c>
      <c r="F46" s="779" t="str" cm="1">
        <f t="array" aca="1" ref="F46" ca="1">OFFSET(G46,-1,-1)</f>
        <v>1</v>
      </c>
      <c r="G46" s="170"/>
      <c r="H46" s="170"/>
      <c r="I46" s="170"/>
      <c r="J46" s="170"/>
      <c r="K46" s="170"/>
      <c r="L46" s="170"/>
      <c r="M46" s="170"/>
      <c r="N46" s="170"/>
      <c r="O46" s="170"/>
      <c r="P46" s="170"/>
      <c r="Q46" s="170"/>
      <c r="R46" s="170"/>
      <c r="S46" s="170"/>
      <c r="T46" s="687" t="b" cm="1">
        <f t="array" ref="T46">T45</f>
        <v>1</v>
      </c>
      <c r="U46" s="170"/>
      <c r="V46" s="170"/>
      <c r="W46" s="170"/>
      <c r="X46" s="1724"/>
      <c r="Y46" s="170"/>
      <c r="Z46" s="1724"/>
      <c r="AA46" s="170"/>
      <c r="AB46" s="510" t="s">
        <v>1995</v>
      </c>
      <c r="AC46" s="236" t="s">
        <v>1996</v>
      </c>
      <c r="AD46" s="105" t="s">
        <v>533</v>
      </c>
      <c r="AE46" s="1450"/>
      <c r="AF46" s="1450"/>
      <c r="AG46" s="1446"/>
      <c r="AH46" s="1446"/>
      <c r="AI46" s="1241"/>
      <c r="AJ46" s="170"/>
      <c r="AK46" s="170"/>
      <c r="AL46" s="981" t="s">
        <v>1997</v>
      </c>
    </row>
    <row r="47" spans="1:38" s="1451" customFormat="1" ht="39" customHeight="1">
      <c r="A47" s="170"/>
      <c r="B47" s="170"/>
      <c r="C47" s="170"/>
      <c r="D47" s="170"/>
      <c r="E47" s="676">
        <v>40</v>
      </c>
      <c r="F47" s="779" t="str" cm="1">
        <f t="array" aca="1" ref="F47" ca="1">OFFSET(G47,-1,-1)</f>
        <v>1</v>
      </c>
      <c r="G47" s="170"/>
      <c r="H47" s="170"/>
      <c r="I47" s="170"/>
      <c r="J47" s="170"/>
      <c r="K47" s="170"/>
      <c r="L47" s="170"/>
      <c r="M47" s="170"/>
      <c r="N47" s="170"/>
      <c r="O47" s="170"/>
      <c r="P47" s="170"/>
      <c r="Q47" s="170"/>
      <c r="R47" s="170"/>
      <c r="S47" s="170"/>
      <c r="T47" s="687" t="b" cm="1">
        <f t="array" ref="T47">T46</f>
        <v>1</v>
      </c>
      <c r="U47" s="170"/>
      <c r="V47" s="170"/>
      <c r="W47" s="170"/>
      <c r="X47" s="1724"/>
      <c r="Y47" s="170"/>
      <c r="Z47" s="1724"/>
      <c r="AA47" s="170"/>
      <c r="AB47" s="868" t="s">
        <v>1998</v>
      </c>
      <c r="AC47" s="866" t="s">
        <v>1999</v>
      </c>
      <c r="AD47" s="867" t="s">
        <v>1993</v>
      </c>
      <c r="AE47" s="1252"/>
      <c r="AF47" s="1252"/>
      <c r="AG47" s="1452"/>
      <c r="AH47" s="1452"/>
      <c r="AI47" s="1453"/>
      <c r="AJ47" s="170"/>
      <c r="AK47" s="170"/>
      <c r="AL47" s="981" t="s">
        <v>2000</v>
      </c>
    </row>
    <row r="48" spans="1:38" s="1454" customFormat="1" ht="16.5" customHeight="1">
      <c r="A48" s="170"/>
      <c r="B48" s="170"/>
      <c r="C48" s="170"/>
      <c r="D48" s="170"/>
      <c r="E48" s="676">
        <v>17.100000000000001</v>
      </c>
      <c r="F48" s="779" t="str" cm="1">
        <f t="array" aca="1" ref="F48" ca="1">OFFSET(G48,-1,-1)</f>
        <v>1</v>
      </c>
      <c r="G48" s="170"/>
      <c r="H48" s="170"/>
      <c r="I48" s="170"/>
      <c r="J48" s="170"/>
      <c r="K48" s="170"/>
      <c r="L48" s="170"/>
      <c r="M48" s="170"/>
      <c r="N48" s="170"/>
      <c r="O48" s="170"/>
      <c r="P48" s="170"/>
      <c r="Q48" s="170"/>
      <c r="R48" s="170"/>
      <c r="S48" s="170"/>
      <c r="T48" s="687" t="b" cm="1">
        <f t="array" ref="T48">T47</f>
        <v>1</v>
      </c>
      <c r="U48" s="170"/>
      <c r="V48" s="170"/>
      <c r="W48" s="170"/>
      <c r="X48" s="1724"/>
      <c r="Y48" s="170"/>
      <c r="Z48" s="1724"/>
      <c r="AA48" s="170"/>
      <c r="AB48" s="105">
        <v>2</v>
      </c>
      <c r="AC48" s="864" t="s">
        <v>2001</v>
      </c>
      <c r="AD48" s="865"/>
      <c r="AE48" s="878"/>
      <c r="AF48" s="878"/>
      <c r="AG48" s="865"/>
      <c r="AH48" s="865"/>
      <c r="AI48" s="865"/>
      <c r="AJ48" s="170"/>
      <c r="AK48" s="170"/>
      <c r="AL48" s="981"/>
    </row>
    <row r="49" spans="1:38" s="1455" customFormat="1" ht="43.5" customHeight="1">
      <c r="A49" s="170"/>
      <c r="B49" s="170"/>
      <c r="C49" s="170"/>
      <c r="D49" s="170"/>
      <c r="E49" s="676">
        <v>45</v>
      </c>
      <c r="F49" s="779" t="str" cm="1">
        <f t="array" aca="1" ref="F49" ca="1">OFFSET(G49,-1,-1)</f>
        <v>1</v>
      </c>
      <c r="G49" s="170"/>
      <c r="H49" s="170"/>
      <c r="I49" s="170"/>
      <c r="J49" s="170"/>
      <c r="K49" s="170"/>
      <c r="L49" s="170"/>
      <c r="M49" s="170"/>
      <c r="N49" s="170"/>
      <c r="O49" s="170"/>
      <c r="P49" s="170"/>
      <c r="Q49" s="170"/>
      <c r="R49" s="170"/>
      <c r="S49" s="170"/>
      <c r="T49" s="687" t="b" cm="1">
        <f t="array" ref="T49">T48</f>
        <v>1</v>
      </c>
      <c r="U49" s="170"/>
      <c r="V49" s="170"/>
      <c r="W49" s="170"/>
      <c r="X49" s="1724"/>
      <c r="Y49" s="170"/>
      <c r="Z49" s="1724"/>
      <c r="AA49" s="170"/>
      <c r="AB49" s="105" t="s">
        <v>2002</v>
      </c>
      <c r="AC49" s="236" t="s">
        <v>2003</v>
      </c>
      <c r="AD49" s="105" t="s">
        <v>1460</v>
      </c>
      <c r="AE49" s="1252"/>
      <c r="AF49" s="1252"/>
      <c r="AG49" s="1452"/>
      <c r="AH49" s="1452"/>
      <c r="AI49" s="1453"/>
      <c r="AJ49" s="170"/>
      <c r="AK49" s="170"/>
      <c r="AL49" s="981" t="s">
        <v>2004</v>
      </c>
    </row>
    <row r="50" spans="1:38" s="1456" customFormat="1" ht="39" customHeight="1">
      <c r="A50" s="170"/>
      <c r="B50" s="170"/>
      <c r="C50" s="170"/>
      <c r="D50" s="170"/>
      <c r="E50" s="676">
        <v>40</v>
      </c>
      <c r="F50" s="779" t="str" cm="1">
        <f t="array" aca="1" ref="F50" ca="1">OFFSET(G50,-1,-1)</f>
        <v>1</v>
      </c>
      <c r="G50" s="170"/>
      <c r="H50" s="170"/>
      <c r="I50" s="170"/>
      <c r="J50" s="170"/>
      <c r="K50" s="170"/>
      <c r="L50" s="170"/>
      <c r="M50" s="170"/>
      <c r="N50" s="170"/>
      <c r="O50" s="170"/>
      <c r="P50" s="170"/>
      <c r="Q50" s="170"/>
      <c r="R50" s="170"/>
      <c r="S50" s="170"/>
      <c r="T50" s="687" t="b" cm="1">
        <f t="array" ref="T50">T49</f>
        <v>1</v>
      </c>
      <c r="U50" s="170"/>
      <c r="V50" s="170"/>
      <c r="W50" s="170"/>
      <c r="X50" s="1724"/>
      <c r="Y50" s="170"/>
      <c r="Z50" s="1724"/>
      <c r="AA50" s="170"/>
      <c r="AB50" s="105" t="s">
        <v>2005</v>
      </c>
      <c r="AC50" s="236" t="s">
        <v>2006</v>
      </c>
      <c r="AD50" s="105" t="s">
        <v>2007</v>
      </c>
      <c r="AE50" s="1252"/>
      <c r="AF50" s="1252"/>
      <c r="AG50" s="1452"/>
      <c r="AH50" s="1452"/>
      <c r="AI50" s="1453"/>
      <c r="AJ50" s="170"/>
      <c r="AK50" s="170"/>
      <c r="AL50" s="981" t="s">
        <v>2008</v>
      </c>
    </row>
    <row r="51" spans="1:38" s="1457" customFormat="1" ht="39" customHeight="1">
      <c r="A51" s="170"/>
      <c r="B51" s="170"/>
      <c r="C51" s="170"/>
      <c r="D51" s="170"/>
      <c r="E51" s="676">
        <v>40</v>
      </c>
      <c r="F51" s="779" t="str" cm="1">
        <f t="array" aca="1" ref="F51" ca="1">OFFSET(G51,-1,-1)</f>
        <v>1</v>
      </c>
      <c r="G51" s="170"/>
      <c r="H51" s="170"/>
      <c r="I51" s="170"/>
      <c r="J51" s="170"/>
      <c r="K51" s="170"/>
      <c r="L51" s="170"/>
      <c r="M51" s="170"/>
      <c r="N51" s="170"/>
      <c r="O51" s="170"/>
      <c r="P51" s="170"/>
      <c r="Q51" s="170"/>
      <c r="R51" s="170"/>
      <c r="S51" s="170"/>
      <c r="T51" s="687" t="b" cm="1">
        <f t="array" ref="T51">T50</f>
        <v>1</v>
      </c>
      <c r="U51" s="170"/>
      <c r="V51" s="170"/>
      <c r="W51" s="170"/>
      <c r="X51" s="1724"/>
      <c r="Y51" s="170"/>
      <c r="Z51" s="1724"/>
      <c r="AA51" s="170"/>
      <c r="AB51" s="105" t="s">
        <v>2009</v>
      </c>
      <c r="AC51" s="236" t="s">
        <v>2010</v>
      </c>
      <c r="AD51" s="105" t="s">
        <v>929</v>
      </c>
      <c r="AE51" s="1249">
        <f>IFERROR(AE49/AE50,0)</f>
        <v>0</v>
      </c>
      <c r="AF51" s="1249">
        <f>IFERROR(AF49/AF50,0)</f>
        <v>0</v>
      </c>
      <c r="AG51" s="1452"/>
      <c r="AH51" s="1452"/>
      <c r="AI51" s="1453"/>
      <c r="AJ51" s="170"/>
      <c r="AK51" s="170"/>
      <c r="AL51" s="981" t="s">
        <v>1994</v>
      </c>
    </row>
    <row r="52" spans="1:38" s="1458" customFormat="1" ht="16.5" customHeight="1">
      <c r="A52" s="170"/>
      <c r="B52" s="170"/>
      <c r="C52" s="170"/>
      <c r="D52" s="170"/>
      <c r="E52" s="676">
        <v>17.100000000000001</v>
      </c>
      <c r="F52" s="779" t="str" cm="1">
        <f t="array" aca="1" ref="F52" ca="1">OFFSET(G52,-1,-1)</f>
        <v>1</v>
      </c>
      <c r="G52" s="170"/>
      <c r="H52" s="170"/>
      <c r="I52" s="170"/>
      <c r="J52" s="170"/>
      <c r="K52" s="170"/>
      <c r="L52" s="170"/>
      <c r="M52" s="170"/>
      <c r="N52" s="170"/>
      <c r="O52" s="170"/>
      <c r="P52" s="170"/>
      <c r="Q52" s="170"/>
      <c r="R52" s="170"/>
      <c r="S52" s="170"/>
      <c r="T52" s="687" t="b" cm="1">
        <f t="array" ref="T52">T51</f>
        <v>1</v>
      </c>
      <c r="U52" s="170"/>
      <c r="V52" s="170"/>
      <c r="W52" s="170"/>
      <c r="X52" s="1724"/>
      <c r="Y52" s="170"/>
      <c r="Z52" s="1724"/>
      <c r="AA52" s="170"/>
      <c r="AB52" s="105" t="s">
        <v>2011</v>
      </c>
      <c r="AC52" s="236" t="s">
        <v>1996</v>
      </c>
      <c r="AD52" s="105" t="s">
        <v>533</v>
      </c>
      <c r="AE52" s="1252"/>
      <c r="AF52" s="1252"/>
      <c r="AG52" s="1452"/>
      <c r="AH52" s="1452"/>
      <c r="AI52" s="1453"/>
      <c r="AJ52" s="170"/>
      <c r="AK52" s="170"/>
      <c r="AL52" s="981" t="s">
        <v>2012</v>
      </c>
    </row>
    <row r="53" spans="1:38" s="1459" customFormat="1" ht="39" customHeight="1">
      <c r="A53" s="170"/>
      <c r="B53" s="170"/>
      <c r="C53" s="170"/>
      <c r="D53" s="170"/>
      <c r="E53" s="676">
        <v>40</v>
      </c>
      <c r="F53" s="779" t="str" cm="1">
        <f t="array" aca="1" ref="F53" ca="1">OFFSET(G53,-1,-1)</f>
        <v>1</v>
      </c>
      <c r="G53" s="170"/>
      <c r="H53" s="170"/>
      <c r="I53" s="170"/>
      <c r="J53" s="170"/>
      <c r="K53" s="170"/>
      <c r="L53" s="170"/>
      <c r="M53" s="170"/>
      <c r="N53" s="170"/>
      <c r="O53" s="170"/>
      <c r="P53" s="170"/>
      <c r="Q53" s="170"/>
      <c r="R53" s="170"/>
      <c r="S53" s="170"/>
      <c r="T53" s="687" t="b" cm="1">
        <f t="array" ref="T53">T52</f>
        <v>1</v>
      </c>
      <c r="U53" s="170"/>
      <c r="V53" s="170"/>
      <c r="W53" s="170"/>
      <c r="X53" s="1724"/>
      <c r="Y53" s="170"/>
      <c r="Z53" s="1724"/>
      <c r="AA53" s="170"/>
      <c r="AB53" s="105" t="s">
        <v>2013</v>
      </c>
      <c r="AC53" s="236" t="s">
        <v>2014</v>
      </c>
      <c r="AD53" s="510" t="s">
        <v>929</v>
      </c>
      <c r="AE53" s="1249"/>
      <c r="AF53" s="1249"/>
      <c r="AG53" s="1446"/>
      <c r="AH53" s="1446"/>
      <c r="AI53" s="1241"/>
      <c r="AJ53" s="170"/>
      <c r="AK53" s="170"/>
      <c r="AL53" s="981" t="s">
        <v>2000</v>
      </c>
    </row>
    <row r="54" spans="1:38" s="1229" customFormat="1" ht="17.25" hidden="1" customHeight="1">
      <c r="A54" s="983"/>
      <c r="B54" s="783"/>
      <c r="C54" s="178"/>
      <c r="D54" s="178"/>
      <c r="E54" s="676">
        <v>0</v>
      </c>
      <c r="F54" s="779" t="str" cm="1">
        <f t="array" aca="1" ref="F54" ca="1">OFFSET(G54,-1,-1)</f>
        <v>1</v>
      </c>
      <c r="G54" s="180"/>
      <c r="H54" s="180"/>
      <c r="I54" s="180"/>
      <c r="J54" s="180"/>
      <c r="K54" s="180"/>
      <c r="L54" s="180"/>
      <c r="M54" s="180"/>
      <c r="N54" s="180"/>
      <c r="O54" s="180"/>
      <c r="P54" s="180"/>
      <c r="Q54" s="143"/>
      <c r="R54" s="143"/>
      <c r="S54" s="180"/>
      <c r="T54" s="687" t="b" cm="1">
        <f t="array" ref="T54">T53</f>
        <v>1</v>
      </c>
      <c r="U54" s="1153"/>
      <c r="V54" s="1153"/>
      <c r="W54" s="1153"/>
      <c r="X54" s="1726"/>
      <c r="Y54" s="1153"/>
      <c r="Z54" s="1726"/>
      <c r="AA54" s="180"/>
      <c r="AB54" s="178"/>
      <c r="AC54" s="179"/>
      <c r="AD54" s="178"/>
      <c r="AE54" s="180"/>
      <c r="AF54" s="180"/>
      <c r="AG54" s="180"/>
      <c r="AH54" s="180"/>
      <c r="AI54" s="180"/>
      <c r="AJ54" s="180"/>
      <c r="AK54" s="180"/>
      <c r="AL54" s="1031"/>
    </row>
    <row r="55" spans="1:38" s="1460" customFormat="1" ht="16.5" customHeight="1">
      <c r="A55" s="170"/>
      <c r="B55" s="170"/>
      <c r="C55" s="170"/>
      <c r="D55" s="170"/>
      <c r="E55" s="676">
        <v>17.100000000000001</v>
      </c>
      <c r="F55" s="779" t="str" cm="1">
        <f t="array" ref="F55">X55</f>
        <v>2</v>
      </c>
      <c r="G55" s="620" t="str" cm="1">
        <f t="array" ref="G55">INDEX('Общие сведения'!$AK$187:$AK$236,MATCH($F55,'Общие сведения'!$Z$187:$Z$236,0))</f>
        <v>одноставочный</v>
      </c>
      <c r="H55" s="170"/>
      <c r="I55" s="163" t="str" cm="1">
        <f t="array" ref="I55">INDEX('Общие сведения'!$AE$187:$AE$236,MATCH($F55,'Общие сведения'!$Z$187:$Z$236,0))</f>
        <v>Теплоснабжение</v>
      </c>
      <c r="J55" s="170"/>
      <c r="K55" s="163" t="str" cm="1">
        <f t="array" ref="K55">INDEX('Общие сведения'!$AL$187:$AL$236,MATCH($F55,'Общие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55" s="170"/>
      <c r="M55" s="170"/>
      <c r="N55" s="170"/>
      <c r="O55" s="170"/>
      <c r="P55" s="170"/>
      <c r="Q55" s="170"/>
      <c r="R55" s="170"/>
      <c r="S55" s="170"/>
      <c r="T55" s="687" t="b">
        <f>X55&gt;0</f>
        <v>1</v>
      </c>
      <c r="U55" s="170"/>
      <c r="V55" s="126" t="str" cm="1">
        <f t="array" ref="V55">'Калькуляция (4.6)'!$AB$161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5" s="170"/>
      <c r="X55" s="1838" t="s">
        <v>348</v>
      </c>
      <c r="Y55" s="170"/>
      <c r="Z55" s="1724"/>
      <c r="AA55" s="170"/>
      <c r="AB55" s="275" t="str" cm="1">
        <f t="array" ref="AB55">IF(ISBLANK('Калькуляция (4.6)'!$AB$161),"",'Калькуляция (4.6)'!$AB$161)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76"/>
      <c r="AD55" s="276"/>
      <c r="AE55" s="276"/>
      <c r="AF55" s="276"/>
      <c r="AG55" s="276"/>
      <c r="AH55" s="276"/>
      <c r="AI55" s="276"/>
      <c r="AJ55" s="170"/>
      <c r="AK55" s="170"/>
      <c r="AL55" s="981"/>
    </row>
    <row r="56" spans="1:38" s="1461" customFormat="1" ht="16.5" customHeight="1">
      <c r="A56" s="170"/>
      <c r="B56" s="170"/>
      <c r="C56" s="170"/>
      <c r="D56" s="170"/>
      <c r="E56" s="676">
        <v>17.100000000000001</v>
      </c>
      <c r="F56" s="779" t="str" cm="1">
        <f t="array" aca="1" ref="F56" ca="1">OFFSET(G56,-1,-1)</f>
        <v>2</v>
      </c>
      <c r="G56" s="170"/>
      <c r="H56" s="170"/>
      <c r="I56" s="170"/>
      <c r="J56" s="170"/>
      <c r="K56" s="170"/>
      <c r="L56" s="170"/>
      <c r="M56" s="170"/>
      <c r="N56" s="170"/>
      <c r="O56" s="170"/>
      <c r="P56" s="170"/>
      <c r="Q56" s="170"/>
      <c r="R56" s="170"/>
      <c r="S56" s="170"/>
      <c r="T56" s="687" t="b" cm="1">
        <f t="array" ref="T56">T55</f>
        <v>1</v>
      </c>
      <c r="U56" s="170"/>
      <c r="V56" s="170"/>
      <c r="W56" s="170"/>
      <c r="X56" s="1724"/>
      <c r="Y56" s="170"/>
      <c r="Z56" s="1724"/>
      <c r="AA56" s="170"/>
      <c r="AB56" s="510">
        <v>1</v>
      </c>
      <c r="AC56" s="864" t="s">
        <v>1984</v>
      </c>
      <c r="AD56" s="865"/>
      <c r="AE56" s="865"/>
      <c r="AF56" s="865"/>
      <c r="AG56" s="865"/>
      <c r="AH56" s="865"/>
      <c r="AI56" s="865"/>
      <c r="AJ56" s="170"/>
      <c r="AK56" s="170"/>
      <c r="AL56" s="981"/>
    </row>
    <row r="57" spans="1:38" s="1462" customFormat="1" ht="43.5" customHeight="1">
      <c r="A57" s="170"/>
      <c r="B57" s="170"/>
      <c r="C57" s="170"/>
      <c r="D57" s="170"/>
      <c r="E57" s="676">
        <v>45</v>
      </c>
      <c r="F57" s="779" t="str" cm="1">
        <f t="array" aca="1" ref="F57" ca="1">OFFSET(G57,-1,-1)</f>
        <v>2</v>
      </c>
      <c r="G57" s="170"/>
      <c r="H57" s="170"/>
      <c r="I57" s="170"/>
      <c r="J57" s="170"/>
      <c r="K57" s="170"/>
      <c r="L57" s="170"/>
      <c r="M57" s="170"/>
      <c r="N57" s="170"/>
      <c r="O57" s="170"/>
      <c r="P57" s="170"/>
      <c r="Q57" s="170"/>
      <c r="R57" s="170"/>
      <c r="S57" s="170"/>
      <c r="T57" s="687" t="b" cm="1">
        <f t="array" ref="T57">T56</f>
        <v>1</v>
      </c>
      <c r="U57" s="170"/>
      <c r="V57" s="170"/>
      <c r="W57" s="170"/>
      <c r="X57" s="1724"/>
      <c r="Y57" s="170"/>
      <c r="Z57" s="1724"/>
      <c r="AA57" s="170"/>
      <c r="AB57" s="510" t="s">
        <v>1985</v>
      </c>
      <c r="AC57" s="236" t="s">
        <v>1986</v>
      </c>
      <c r="AD57" s="105" t="s">
        <v>1460</v>
      </c>
      <c r="AE57" s="1249"/>
      <c r="AF57" s="1249"/>
      <c r="AG57" s="1446"/>
      <c r="AH57" s="1446"/>
      <c r="AI57" s="1241"/>
      <c r="AJ57" s="170"/>
      <c r="AK57" s="170"/>
      <c r="AL57" s="981" t="s">
        <v>1987</v>
      </c>
    </row>
    <row r="58" spans="1:38" s="1463" customFormat="1" ht="43.5" customHeight="1">
      <c r="A58" s="170"/>
      <c r="B58" s="170"/>
      <c r="C58" s="170"/>
      <c r="D58" s="170"/>
      <c r="E58" s="676">
        <v>45</v>
      </c>
      <c r="F58" s="779" t="str" cm="1">
        <f t="array" aca="1" ref="F58" ca="1">OFFSET(G58,-1,-1)</f>
        <v>2</v>
      </c>
      <c r="G58" s="170"/>
      <c r="H58" s="170"/>
      <c r="I58" s="170"/>
      <c r="J58" s="170"/>
      <c r="K58" s="170"/>
      <c r="L58" s="170"/>
      <c r="M58" s="170"/>
      <c r="N58" s="170"/>
      <c r="O58" s="170"/>
      <c r="P58" s="170"/>
      <c r="Q58" s="170"/>
      <c r="R58" s="170"/>
      <c r="S58" s="170"/>
      <c r="T58" s="687" t="b" cm="1">
        <f t="array" ref="T58">T57</f>
        <v>1</v>
      </c>
      <c r="U58" s="170"/>
      <c r="V58" s="170"/>
      <c r="W58" s="170"/>
      <c r="X58" s="1724"/>
      <c r="Y58" s="170"/>
      <c r="Z58" s="1724"/>
      <c r="AA58" s="170"/>
      <c r="AB58" s="510" t="s">
        <v>1988</v>
      </c>
      <c r="AC58" s="236" t="s">
        <v>1989</v>
      </c>
      <c r="AD58" s="105" t="s">
        <v>501</v>
      </c>
      <c r="AE58" s="1249"/>
      <c r="AF58" s="1249"/>
      <c r="AG58" s="1446"/>
      <c r="AH58" s="1446"/>
      <c r="AI58" s="1241"/>
      <c r="AJ58" s="170"/>
      <c r="AK58" s="170"/>
      <c r="AL58" s="981" t="s">
        <v>1990</v>
      </c>
    </row>
    <row r="59" spans="1:38" s="1464" customFormat="1" ht="39" customHeight="1">
      <c r="A59" s="170"/>
      <c r="B59" s="170"/>
      <c r="C59" s="170"/>
      <c r="D59" s="170"/>
      <c r="E59" s="676">
        <v>40</v>
      </c>
      <c r="F59" s="779" t="str" cm="1">
        <f t="array" aca="1" ref="F59" ca="1">OFFSET(G59,-1,-1)</f>
        <v>2</v>
      </c>
      <c r="G59" s="170"/>
      <c r="H59" s="170"/>
      <c r="I59" s="170"/>
      <c r="J59" s="170"/>
      <c r="K59" s="170"/>
      <c r="L59" s="170"/>
      <c r="M59" s="170"/>
      <c r="N59" s="170"/>
      <c r="O59" s="170"/>
      <c r="P59" s="170"/>
      <c r="Q59" s="170"/>
      <c r="R59" s="170"/>
      <c r="S59" s="170"/>
      <c r="T59" s="687" t="b" cm="1">
        <f t="array" ref="T59">T58</f>
        <v>1</v>
      </c>
      <c r="U59" s="170"/>
      <c r="V59" s="170"/>
      <c r="W59" s="170"/>
      <c r="X59" s="1724"/>
      <c r="Y59" s="170"/>
      <c r="Z59" s="1724"/>
      <c r="AA59" s="170"/>
      <c r="AB59" s="510" t="s">
        <v>1991</v>
      </c>
      <c r="AC59" s="236" t="s">
        <v>1992</v>
      </c>
      <c r="AD59" s="105" t="s">
        <v>1993</v>
      </c>
      <c r="AE59" s="1249">
        <f>IFERROR(AE57/AE58,0)</f>
        <v>0</v>
      </c>
      <c r="AF59" s="1249">
        <f>IFERROR(AF57/AF58,0)</f>
        <v>0</v>
      </c>
      <c r="AG59" s="1446"/>
      <c r="AH59" s="1446"/>
      <c r="AI59" s="1241"/>
      <c r="AJ59" s="170"/>
      <c r="AK59" s="170"/>
      <c r="AL59" s="981" t="s">
        <v>1994</v>
      </c>
    </row>
    <row r="60" spans="1:38" s="1465" customFormat="1" ht="16.5" customHeight="1">
      <c r="A60" s="170"/>
      <c r="B60" s="170"/>
      <c r="C60" s="170"/>
      <c r="D60" s="170"/>
      <c r="E60" s="676">
        <v>17.100000000000001</v>
      </c>
      <c r="F60" s="779" t="str" cm="1">
        <f t="array" aca="1" ref="F60" ca="1">OFFSET(G60,-1,-1)</f>
        <v>2</v>
      </c>
      <c r="G60" s="170"/>
      <c r="H60" s="170"/>
      <c r="I60" s="170"/>
      <c r="J60" s="170"/>
      <c r="K60" s="170"/>
      <c r="L60" s="170"/>
      <c r="M60" s="170"/>
      <c r="N60" s="170"/>
      <c r="O60" s="170"/>
      <c r="P60" s="170"/>
      <c r="Q60" s="170"/>
      <c r="R60" s="170"/>
      <c r="S60" s="170"/>
      <c r="T60" s="687" t="b" cm="1">
        <f t="array" ref="T60">T59</f>
        <v>1</v>
      </c>
      <c r="U60" s="170"/>
      <c r="V60" s="170"/>
      <c r="W60" s="170"/>
      <c r="X60" s="1724"/>
      <c r="Y60" s="170"/>
      <c r="Z60" s="1724"/>
      <c r="AA60" s="170"/>
      <c r="AB60" s="510" t="s">
        <v>1995</v>
      </c>
      <c r="AC60" s="236" t="s">
        <v>1996</v>
      </c>
      <c r="AD60" s="105" t="s">
        <v>533</v>
      </c>
      <c r="AE60" s="1450"/>
      <c r="AF60" s="1450"/>
      <c r="AG60" s="1446"/>
      <c r="AH60" s="1446"/>
      <c r="AI60" s="1241"/>
      <c r="AJ60" s="170"/>
      <c r="AK60" s="170"/>
      <c r="AL60" s="981" t="s">
        <v>1997</v>
      </c>
    </row>
    <row r="61" spans="1:38" s="1466" customFormat="1" ht="39" customHeight="1">
      <c r="A61" s="170"/>
      <c r="B61" s="170"/>
      <c r="C61" s="170"/>
      <c r="D61" s="170"/>
      <c r="E61" s="676">
        <v>40</v>
      </c>
      <c r="F61" s="779" t="str" cm="1">
        <f t="array" aca="1" ref="F61" ca="1">OFFSET(G61,-1,-1)</f>
        <v>2</v>
      </c>
      <c r="G61" s="170"/>
      <c r="H61" s="170"/>
      <c r="I61" s="170"/>
      <c r="J61" s="170"/>
      <c r="K61" s="170"/>
      <c r="L61" s="170"/>
      <c r="M61" s="170"/>
      <c r="N61" s="170"/>
      <c r="O61" s="170"/>
      <c r="P61" s="170"/>
      <c r="Q61" s="170"/>
      <c r="R61" s="170"/>
      <c r="S61" s="170"/>
      <c r="T61" s="687" t="b" cm="1">
        <f t="array" ref="T61">T60</f>
        <v>1</v>
      </c>
      <c r="U61" s="170"/>
      <c r="V61" s="170"/>
      <c r="W61" s="170"/>
      <c r="X61" s="1724"/>
      <c r="Y61" s="170"/>
      <c r="Z61" s="1724"/>
      <c r="AA61" s="170"/>
      <c r="AB61" s="868" t="s">
        <v>1998</v>
      </c>
      <c r="AC61" s="866" t="s">
        <v>1999</v>
      </c>
      <c r="AD61" s="867" t="s">
        <v>1993</v>
      </c>
      <c r="AE61" s="1252"/>
      <c r="AF61" s="1252"/>
      <c r="AG61" s="1452"/>
      <c r="AH61" s="1452"/>
      <c r="AI61" s="1453"/>
      <c r="AJ61" s="170"/>
      <c r="AK61" s="170"/>
      <c r="AL61" s="981" t="s">
        <v>2000</v>
      </c>
    </row>
    <row r="62" spans="1:38" s="1467" customFormat="1" ht="16.5" customHeight="1">
      <c r="A62" s="170"/>
      <c r="B62" s="170"/>
      <c r="C62" s="170"/>
      <c r="D62" s="170"/>
      <c r="E62" s="676">
        <v>17.100000000000001</v>
      </c>
      <c r="F62" s="779" t="str" cm="1">
        <f t="array" aca="1" ref="F62" ca="1">OFFSET(G62,-1,-1)</f>
        <v>2</v>
      </c>
      <c r="G62" s="170"/>
      <c r="H62" s="170"/>
      <c r="I62" s="170"/>
      <c r="J62" s="170"/>
      <c r="K62" s="170"/>
      <c r="L62" s="170"/>
      <c r="M62" s="170"/>
      <c r="N62" s="170"/>
      <c r="O62" s="170"/>
      <c r="P62" s="170"/>
      <c r="Q62" s="170"/>
      <c r="R62" s="170"/>
      <c r="S62" s="170"/>
      <c r="T62" s="687" t="b" cm="1">
        <f t="array" ref="T62">T61</f>
        <v>1</v>
      </c>
      <c r="U62" s="170"/>
      <c r="V62" s="170"/>
      <c r="W62" s="170"/>
      <c r="X62" s="1724"/>
      <c r="Y62" s="170"/>
      <c r="Z62" s="1724"/>
      <c r="AA62" s="170"/>
      <c r="AB62" s="105">
        <v>2</v>
      </c>
      <c r="AC62" s="864" t="s">
        <v>2001</v>
      </c>
      <c r="AD62" s="865"/>
      <c r="AE62" s="878"/>
      <c r="AF62" s="878"/>
      <c r="AG62" s="865"/>
      <c r="AH62" s="865"/>
      <c r="AI62" s="865"/>
      <c r="AJ62" s="170"/>
      <c r="AK62" s="170"/>
      <c r="AL62" s="981"/>
    </row>
    <row r="63" spans="1:38" s="1468" customFormat="1" ht="43.5" customHeight="1">
      <c r="A63" s="170"/>
      <c r="B63" s="170"/>
      <c r="C63" s="170"/>
      <c r="D63" s="170"/>
      <c r="E63" s="676">
        <v>45</v>
      </c>
      <c r="F63" s="779" t="str" cm="1">
        <f t="array" aca="1" ref="F63" ca="1">OFFSET(G63,-1,-1)</f>
        <v>2</v>
      </c>
      <c r="G63" s="170"/>
      <c r="H63" s="170"/>
      <c r="I63" s="170"/>
      <c r="J63" s="170"/>
      <c r="K63" s="170"/>
      <c r="L63" s="170"/>
      <c r="M63" s="170"/>
      <c r="N63" s="170"/>
      <c r="O63" s="170"/>
      <c r="P63" s="170"/>
      <c r="Q63" s="170"/>
      <c r="R63" s="170"/>
      <c r="S63" s="170"/>
      <c r="T63" s="687" t="b" cm="1">
        <f t="array" ref="T63">T62</f>
        <v>1</v>
      </c>
      <c r="U63" s="170"/>
      <c r="V63" s="170"/>
      <c r="W63" s="170"/>
      <c r="X63" s="1724"/>
      <c r="Y63" s="170"/>
      <c r="Z63" s="1724"/>
      <c r="AA63" s="170"/>
      <c r="AB63" s="105" t="s">
        <v>2002</v>
      </c>
      <c r="AC63" s="236" t="s">
        <v>2003</v>
      </c>
      <c r="AD63" s="105" t="s">
        <v>1460</v>
      </c>
      <c r="AE63" s="1252"/>
      <c r="AF63" s="1252"/>
      <c r="AG63" s="1452"/>
      <c r="AH63" s="1452"/>
      <c r="AI63" s="1453"/>
      <c r="AJ63" s="170"/>
      <c r="AK63" s="170"/>
      <c r="AL63" s="981" t="s">
        <v>2004</v>
      </c>
    </row>
    <row r="64" spans="1:38" s="1469" customFormat="1" ht="39" customHeight="1">
      <c r="A64" s="170"/>
      <c r="B64" s="170"/>
      <c r="C64" s="170"/>
      <c r="D64" s="170"/>
      <c r="E64" s="676">
        <v>40</v>
      </c>
      <c r="F64" s="779" t="str" cm="1">
        <f t="array" aca="1" ref="F64" ca="1">OFFSET(G64,-1,-1)</f>
        <v>2</v>
      </c>
      <c r="G64" s="170"/>
      <c r="H64" s="170"/>
      <c r="I64" s="170"/>
      <c r="J64" s="170"/>
      <c r="K64" s="170"/>
      <c r="L64" s="170"/>
      <c r="M64" s="170"/>
      <c r="N64" s="170"/>
      <c r="O64" s="170"/>
      <c r="P64" s="170"/>
      <c r="Q64" s="170"/>
      <c r="R64" s="170"/>
      <c r="S64" s="170"/>
      <c r="T64" s="687" t="b" cm="1">
        <f t="array" ref="T64">T63</f>
        <v>1</v>
      </c>
      <c r="U64" s="170"/>
      <c r="V64" s="170"/>
      <c r="W64" s="170"/>
      <c r="X64" s="1724"/>
      <c r="Y64" s="170"/>
      <c r="Z64" s="1724"/>
      <c r="AA64" s="170"/>
      <c r="AB64" s="105" t="s">
        <v>2005</v>
      </c>
      <c r="AC64" s="236" t="s">
        <v>2006</v>
      </c>
      <c r="AD64" s="105" t="s">
        <v>2007</v>
      </c>
      <c r="AE64" s="1252"/>
      <c r="AF64" s="1252"/>
      <c r="AG64" s="1452"/>
      <c r="AH64" s="1452"/>
      <c r="AI64" s="1453"/>
      <c r="AJ64" s="170"/>
      <c r="AK64" s="170"/>
      <c r="AL64" s="981" t="s">
        <v>2008</v>
      </c>
    </row>
    <row r="65" spans="1:38" s="1470" customFormat="1" ht="39" customHeight="1">
      <c r="A65" s="170"/>
      <c r="B65" s="170"/>
      <c r="C65" s="170"/>
      <c r="D65" s="170"/>
      <c r="E65" s="676">
        <v>40</v>
      </c>
      <c r="F65" s="779" t="str" cm="1">
        <f t="array" aca="1" ref="F65" ca="1">OFFSET(G65,-1,-1)</f>
        <v>2</v>
      </c>
      <c r="G65" s="170"/>
      <c r="H65" s="170"/>
      <c r="I65" s="170"/>
      <c r="J65" s="170"/>
      <c r="K65" s="170"/>
      <c r="L65" s="170"/>
      <c r="M65" s="170"/>
      <c r="N65" s="170"/>
      <c r="O65" s="170"/>
      <c r="P65" s="170"/>
      <c r="Q65" s="170"/>
      <c r="R65" s="170"/>
      <c r="S65" s="170"/>
      <c r="T65" s="687" t="b" cm="1">
        <f t="array" ref="T65">T64</f>
        <v>1</v>
      </c>
      <c r="U65" s="170"/>
      <c r="V65" s="170"/>
      <c r="W65" s="170"/>
      <c r="X65" s="1724"/>
      <c r="Y65" s="170"/>
      <c r="Z65" s="1724"/>
      <c r="AA65" s="170"/>
      <c r="AB65" s="105" t="s">
        <v>2009</v>
      </c>
      <c r="AC65" s="236" t="s">
        <v>2010</v>
      </c>
      <c r="AD65" s="105" t="s">
        <v>929</v>
      </c>
      <c r="AE65" s="1249">
        <f>IFERROR(AE63/AE64,0)</f>
        <v>0</v>
      </c>
      <c r="AF65" s="1249">
        <f>IFERROR(AF63/AF64,0)</f>
        <v>0</v>
      </c>
      <c r="AG65" s="1452"/>
      <c r="AH65" s="1452"/>
      <c r="AI65" s="1453"/>
      <c r="AJ65" s="170"/>
      <c r="AK65" s="170"/>
      <c r="AL65" s="981" t="s">
        <v>1994</v>
      </c>
    </row>
    <row r="66" spans="1:38" s="1471" customFormat="1" ht="16.5" customHeight="1">
      <c r="A66" s="170"/>
      <c r="B66" s="170"/>
      <c r="C66" s="170"/>
      <c r="D66" s="170"/>
      <c r="E66" s="676">
        <v>17.100000000000001</v>
      </c>
      <c r="F66" s="779" t="str" cm="1">
        <f t="array" aca="1" ref="F66" ca="1">OFFSET(G66,-1,-1)</f>
        <v>2</v>
      </c>
      <c r="G66" s="170"/>
      <c r="H66" s="170"/>
      <c r="I66" s="170"/>
      <c r="J66" s="170"/>
      <c r="K66" s="170"/>
      <c r="L66" s="170"/>
      <c r="M66" s="170"/>
      <c r="N66" s="170"/>
      <c r="O66" s="170"/>
      <c r="P66" s="170"/>
      <c r="Q66" s="170"/>
      <c r="R66" s="170"/>
      <c r="S66" s="170"/>
      <c r="T66" s="687" t="b" cm="1">
        <f t="array" ref="T66">T65</f>
        <v>1</v>
      </c>
      <c r="U66" s="170"/>
      <c r="V66" s="170"/>
      <c r="W66" s="170"/>
      <c r="X66" s="1724"/>
      <c r="Y66" s="170"/>
      <c r="Z66" s="1724"/>
      <c r="AA66" s="170"/>
      <c r="AB66" s="105" t="s">
        <v>2011</v>
      </c>
      <c r="AC66" s="236" t="s">
        <v>1996</v>
      </c>
      <c r="AD66" s="105" t="s">
        <v>533</v>
      </c>
      <c r="AE66" s="1252"/>
      <c r="AF66" s="1252"/>
      <c r="AG66" s="1452"/>
      <c r="AH66" s="1452"/>
      <c r="AI66" s="1453"/>
      <c r="AJ66" s="170"/>
      <c r="AK66" s="170"/>
      <c r="AL66" s="981" t="s">
        <v>2012</v>
      </c>
    </row>
    <row r="67" spans="1:38" s="1472" customFormat="1" ht="39" customHeight="1">
      <c r="A67" s="170"/>
      <c r="B67" s="170"/>
      <c r="C67" s="170"/>
      <c r="D67" s="170"/>
      <c r="E67" s="676">
        <v>40</v>
      </c>
      <c r="F67" s="779" t="str" cm="1">
        <f t="array" aca="1" ref="F67" ca="1">OFFSET(G67,-1,-1)</f>
        <v>2</v>
      </c>
      <c r="G67" s="170"/>
      <c r="H67" s="170"/>
      <c r="I67" s="170"/>
      <c r="J67" s="170"/>
      <c r="K67" s="170"/>
      <c r="L67" s="170"/>
      <c r="M67" s="170"/>
      <c r="N67" s="170"/>
      <c r="O67" s="170"/>
      <c r="P67" s="170"/>
      <c r="Q67" s="170"/>
      <c r="R67" s="170"/>
      <c r="S67" s="170"/>
      <c r="T67" s="687" t="b" cm="1">
        <f t="array" ref="T67">T66</f>
        <v>1</v>
      </c>
      <c r="U67" s="170"/>
      <c r="V67" s="170"/>
      <c r="W67" s="170"/>
      <c r="X67" s="1724"/>
      <c r="Y67" s="170"/>
      <c r="Z67" s="1724"/>
      <c r="AA67" s="170"/>
      <c r="AB67" s="105" t="s">
        <v>2013</v>
      </c>
      <c r="AC67" s="236" t="s">
        <v>2014</v>
      </c>
      <c r="AD67" s="510" t="s">
        <v>929</v>
      </c>
      <c r="AE67" s="1249"/>
      <c r="AF67" s="1249"/>
      <c r="AG67" s="1446"/>
      <c r="AH67" s="1446"/>
      <c r="AI67" s="1241"/>
      <c r="AJ67" s="170"/>
      <c r="AK67" s="170"/>
      <c r="AL67" s="981" t="s">
        <v>2000</v>
      </c>
    </row>
    <row r="68" spans="1:38" s="1229" customFormat="1" ht="17.25" hidden="1" customHeight="1">
      <c r="A68" s="983"/>
      <c r="B68" s="783"/>
      <c r="C68" s="178"/>
      <c r="D68" s="178"/>
      <c r="E68" s="676">
        <v>0</v>
      </c>
      <c r="F68" s="779" t="str" cm="1">
        <f t="array" aca="1" ref="F68" ca="1">OFFSET(G68,-1,-1)</f>
        <v>2</v>
      </c>
      <c r="G68" s="180"/>
      <c r="H68" s="180"/>
      <c r="I68" s="180"/>
      <c r="J68" s="180"/>
      <c r="K68" s="180"/>
      <c r="L68" s="180"/>
      <c r="M68" s="180"/>
      <c r="N68" s="180"/>
      <c r="O68" s="180"/>
      <c r="P68" s="180"/>
      <c r="Q68" s="143"/>
      <c r="R68" s="143"/>
      <c r="S68" s="180"/>
      <c r="T68" s="687" t="b" cm="1">
        <f t="array" ref="T68">T67</f>
        <v>1</v>
      </c>
      <c r="U68" s="1153"/>
      <c r="V68" s="1153"/>
      <c r="W68" s="1153"/>
      <c r="X68" s="1726"/>
      <c r="Y68" s="1153"/>
      <c r="Z68" s="1726"/>
      <c r="AA68" s="180"/>
      <c r="AB68" s="178"/>
      <c r="AC68" s="179"/>
      <c r="AD68" s="178"/>
      <c r="AE68" s="180"/>
      <c r="AF68" s="180"/>
      <c r="AG68" s="180"/>
      <c r="AH68" s="180"/>
      <c r="AI68" s="180"/>
      <c r="AJ68" s="180"/>
      <c r="AK68" s="180"/>
      <c r="AL68" s="1031"/>
    </row>
    <row r="69" spans="1:38" ht="9.9499999999999993" customHeight="1">
      <c r="E69" s="676">
        <v>10.199999999999999</v>
      </c>
      <c r="U69" s="129" t="s">
        <v>238</v>
      </c>
      <c r="V69" s="122" t="s">
        <v>2015</v>
      </c>
    </row>
    <row r="70" spans="1:38" ht="11.25" hidden="1" customHeight="1">
      <c r="E70" s="676">
        <v>0</v>
      </c>
    </row>
    <row r="71" spans="1:38" ht="14.65" customHeight="1">
      <c r="E71" s="676">
        <v>15</v>
      </c>
      <c r="AB71" s="1839" t="s">
        <v>734</v>
      </c>
      <c r="AC71" s="1840"/>
      <c r="AD71" s="1840"/>
      <c r="AE71" s="1840"/>
      <c r="AF71" s="1840"/>
      <c r="AG71" s="1840"/>
      <c r="AH71" s="1840"/>
      <c r="AI71" s="1841"/>
    </row>
    <row r="72" spans="1:38" ht="14.65" customHeight="1">
      <c r="E72" s="676">
        <v>15</v>
      </c>
      <c r="AA72" s="778"/>
      <c r="AB72" s="1842"/>
      <c r="AC72" s="1843"/>
      <c r="AD72" s="1843"/>
      <c r="AE72" s="1843"/>
      <c r="AF72" s="1843"/>
      <c r="AG72" s="1843"/>
      <c r="AH72" s="1843"/>
      <c r="AI72" s="1844"/>
    </row>
    <row r="73" spans="1:38" ht="14.65" hidden="1" customHeight="1">
      <c r="E73" s="676">
        <v>15</v>
      </c>
      <c r="T73" s="687" t="b">
        <f>ROW(W73)&gt;ROW(W$73)</f>
        <v>0</v>
      </c>
      <c r="W73" s="126" t="s">
        <v>236</v>
      </c>
      <c r="AA73" s="774" t="s">
        <v>218</v>
      </c>
      <c r="AB73" s="1845"/>
      <c r="AC73" s="1846"/>
      <c r="AD73" s="1846"/>
      <c r="AE73" s="1846"/>
      <c r="AF73" s="1846"/>
      <c r="AG73" s="1846"/>
      <c r="AH73" s="1846"/>
      <c r="AI73" s="1847"/>
    </row>
    <row r="74" spans="1:38" ht="14.65" customHeight="1">
      <c r="E74" s="676">
        <v>15</v>
      </c>
      <c r="W74" s="122" t="s">
        <v>2016</v>
      </c>
      <c r="AA74" s="163"/>
      <c r="AB74" s="1736" t="s">
        <v>735</v>
      </c>
      <c r="AC74" s="1737"/>
      <c r="AD74" s="832"/>
      <c r="AE74" s="324"/>
      <c r="AF74" s="324"/>
      <c r="AG74" s="324"/>
      <c r="AH74" s="324"/>
      <c r="AI74" s="294"/>
    </row>
  </sheetData>
  <sheetProtection formatColumns="0" formatRows="0" insertRows="0" deleteColumns="0" deleteRows="0" sort="0" autoFilter="0"/>
  <mergeCells count="17">
    <mergeCell ref="AB22:AI22"/>
    <mergeCell ref="AH24:AH25"/>
    <mergeCell ref="AI24:AI25"/>
    <mergeCell ref="AB24:AB25"/>
    <mergeCell ref="AC24:AC25"/>
    <mergeCell ref="AD24:AD25"/>
    <mergeCell ref="AG24:AG25"/>
    <mergeCell ref="AB74:AC74"/>
    <mergeCell ref="X27:X40"/>
    <mergeCell ref="Z27:Z40"/>
    <mergeCell ref="AB71:AI71"/>
    <mergeCell ref="AB72:AI72"/>
    <mergeCell ref="AB73:AI73"/>
    <mergeCell ref="X41:X54"/>
    <mergeCell ref="Z41:Z54"/>
    <mergeCell ref="X55:X68"/>
    <mergeCell ref="Z55:Z6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8-EF04-1252-4F3A-C2D91E3DDAC8}">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43" t="s">
        <v>80</v>
      </c>
      <c r="B1" s="943" t="s">
        <v>81</v>
      </c>
      <c r="C1" s="943" t="s">
        <v>82</v>
      </c>
    </row>
    <row r="2" spans="1:3" ht="11.25" customHeight="1">
      <c r="A2" s="944"/>
      <c r="B2" s="944"/>
      <c r="C2" s="94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F82C-5AF7-D825-902B-E5131BE9FB02}">
  <sheetPr>
    <tabColor rgb="FF002060"/>
    <outlinePr summaryBelow="0" summaryRight="0"/>
    <pageSetUpPr fitToPage="1"/>
  </sheetPr>
  <dimension ref="A1:AP10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3" hidden="1" customWidth="1"/>
    <col min="2" max="2" width="8.5703125" style="783" hidden="1" customWidth="1"/>
    <col min="3" max="4" width="3.5703125" style="178" hidden="1" customWidth="1"/>
    <col min="5" max="5" width="8.42578125" style="782" hidden="1" customWidth="1"/>
    <col min="6" max="6" width="6.42578125" style="178" hidden="1" customWidth="1"/>
    <col min="7" max="10" width="3.5703125" style="180" hidden="1" customWidth="1"/>
    <col min="11" max="11" width="7.140625" style="180" hidden="1" customWidth="1"/>
    <col min="12" max="16" width="3.5703125" style="180" hidden="1" customWidth="1"/>
    <col min="17" max="17" width="3.5703125" style="143" hidden="1" customWidth="1"/>
    <col min="18" max="18" width="22.85546875" style="143" hidden="1" customWidth="1"/>
    <col min="19" max="19" width="3.5703125" style="180"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2" width="15" style="180" customWidth="1"/>
    <col min="33" max="33" width="19" style="180" customWidth="1"/>
    <col min="34" max="34" width="17.28515625" style="180" customWidth="1"/>
    <col min="35" max="35" width="31.28515625" style="180" customWidth="1"/>
    <col min="36" max="36" width="3" style="180" customWidth="1"/>
    <col min="37" max="37" width="9.140625" style="180" hidden="1"/>
    <col min="38" max="40" width="9.140625" style="1031" hidden="1"/>
    <col min="41" max="42" width="9.140625" style="1032" hidden="1"/>
  </cols>
  <sheetData>
    <row r="1" spans="1:42" s="178" customFormat="1" ht="12" hidden="1" customHeight="1">
      <c r="A1" s="983"/>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382</v>
      </c>
      <c r="Z1" s="687" t="s">
        <v>93</v>
      </c>
      <c r="AA1" s="698" t="s">
        <v>90</v>
      </c>
      <c r="AB1" s="698" t="s">
        <v>92</v>
      </c>
      <c r="AC1" s="698" t="s">
        <v>92</v>
      </c>
      <c r="AL1" s="1031" t="s">
        <v>383</v>
      </c>
      <c r="AM1" s="1031" t="s">
        <v>384</v>
      </c>
      <c r="AN1" s="1031" t="s">
        <v>385</v>
      </c>
      <c r="AO1" s="1032" t="s">
        <v>388</v>
      </c>
      <c r="AP1" s="1032" t="s">
        <v>389</v>
      </c>
    </row>
    <row r="2" spans="1:42" s="783" customFormat="1" ht="12" hidden="1" customHeight="1">
      <c r="A2" s="991"/>
      <c r="B2" s="768" t="s">
        <v>15</v>
      </c>
      <c r="G2" s="786"/>
      <c r="H2" s="786"/>
      <c r="I2" s="786"/>
      <c r="J2" s="786"/>
      <c r="K2" s="786"/>
      <c r="L2" s="786"/>
      <c r="M2" s="786"/>
      <c r="N2" s="786"/>
      <c r="O2" s="786"/>
      <c r="P2" s="786"/>
      <c r="Q2" s="786"/>
      <c r="R2" s="786"/>
      <c r="S2" s="786"/>
      <c r="AC2" s="671"/>
      <c r="AL2" s="973"/>
      <c r="AM2" s="973"/>
      <c r="AN2" s="973"/>
      <c r="AO2" s="985"/>
      <c r="AP2" s="985"/>
    </row>
    <row r="3" spans="1:42" s="178" customFormat="1" ht="12" hidden="1" customHeight="1">
      <c r="A3" s="983"/>
      <c r="B3" s="667"/>
      <c r="E3" s="667"/>
      <c r="G3" s="180"/>
      <c r="H3" s="180"/>
      <c r="I3" s="180"/>
      <c r="J3" s="180"/>
      <c r="K3" s="180"/>
      <c r="L3" s="180"/>
      <c r="M3" s="180"/>
      <c r="N3" s="180"/>
      <c r="O3" s="180"/>
      <c r="P3" s="180"/>
      <c r="Q3" s="143"/>
      <c r="R3" s="143"/>
      <c r="S3" s="180"/>
      <c r="T3" s="126"/>
      <c r="U3" s="126"/>
      <c r="V3" s="126"/>
      <c r="W3" s="126"/>
      <c r="X3" s="126"/>
      <c r="Y3" s="126"/>
      <c r="Z3" s="126"/>
      <c r="AC3" s="182"/>
      <c r="AL3" s="1031"/>
      <c r="AM3" s="1031"/>
      <c r="AN3" s="1031"/>
      <c r="AO3" s="1032"/>
      <c r="AP3" s="1032"/>
    </row>
    <row r="4" spans="1:42" s="178" customFormat="1" ht="12" hidden="1" customHeight="1">
      <c r="A4" s="983"/>
      <c r="B4" s="667"/>
      <c r="E4" s="667"/>
      <c r="G4" s="180"/>
      <c r="H4" s="180"/>
      <c r="I4" s="180"/>
      <c r="J4" s="180"/>
      <c r="K4" s="180"/>
      <c r="L4" s="180"/>
      <c r="M4" s="180"/>
      <c r="N4" s="180"/>
      <c r="O4" s="180"/>
      <c r="P4" s="180"/>
      <c r="Q4" s="143"/>
      <c r="R4" s="143"/>
      <c r="S4" s="180"/>
      <c r="T4" s="126"/>
      <c r="U4" s="126"/>
      <c r="V4" s="126"/>
      <c r="W4" s="126"/>
      <c r="X4" s="126"/>
      <c r="Y4" s="126"/>
      <c r="Z4" s="126"/>
      <c r="AC4" s="182"/>
      <c r="AL4" s="1031"/>
      <c r="AM4" s="1031"/>
      <c r="AN4" s="1031"/>
      <c r="AO4" s="1032"/>
      <c r="AP4" s="1032"/>
    </row>
    <row r="5" spans="1:42" s="782" customFormat="1" ht="12" hidden="1" customHeight="1">
      <c r="A5" s="991"/>
      <c r="B5" s="667"/>
      <c r="C5" s="667"/>
      <c r="D5" s="667"/>
      <c r="E5" s="676" t="s">
        <v>16</v>
      </c>
      <c r="G5" s="787"/>
      <c r="H5" s="787"/>
      <c r="I5" s="787"/>
      <c r="J5" s="787"/>
      <c r="K5" s="787"/>
      <c r="L5" s="787"/>
      <c r="M5" s="787"/>
      <c r="N5" s="787"/>
      <c r="O5" s="787"/>
      <c r="P5" s="787"/>
      <c r="Q5" s="787"/>
      <c r="R5" s="787"/>
      <c r="S5" s="787"/>
      <c r="AA5" s="676">
        <v>3</v>
      </c>
      <c r="AB5" s="676">
        <v>8.1300000000000008</v>
      </c>
      <c r="AC5" s="682">
        <v>70.13</v>
      </c>
      <c r="AD5" s="676">
        <v>14.38</v>
      </c>
      <c r="AE5" s="676">
        <v>15</v>
      </c>
      <c r="AF5" s="676">
        <v>15</v>
      </c>
      <c r="AG5" s="676">
        <v>19</v>
      </c>
      <c r="AH5" s="676">
        <v>17.25</v>
      </c>
      <c r="AI5" s="676">
        <v>31.25</v>
      </c>
      <c r="AJ5" s="676">
        <v>3</v>
      </c>
      <c r="AL5" s="973"/>
      <c r="AM5" s="973"/>
      <c r="AN5" s="973"/>
      <c r="AO5" s="985"/>
      <c r="AP5" s="985"/>
    </row>
    <row r="6" spans="1:42" s="178" customFormat="1" ht="12" hidden="1" customHeight="1">
      <c r="A6" s="983"/>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cm="1">
        <f t="array" ref="AF6">god</f>
        <v>2026</v>
      </c>
      <c r="AL6" s="1031"/>
      <c r="AM6" s="1031"/>
      <c r="AN6" s="1031"/>
      <c r="AO6" s="1032"/>
      <c r="AP6" s="1032"/>
    </row>
    <row r="7" spans="1:42" ht="12" hidden="1" customHeight="1">
      <c r="F7" s="180"/>
      <c r="T7" s="163"/>
      <c r="U7" s="163"/>
      <c r="V7" s="163"/>
      <c r="W7" s="163"/>
      <c r="X7" s="163"/>
      <c r="Y7" s="163"/>
      <c r="Z7" s="163"/>
      <c r="AB7" s="180"/>
      <c r="AD7" s="180"/>
      <c r="AE7" s="163" t="str" cm="1">
        <f t="array" ref="AE7">AE25</f>
        <v>Предложение организации</v>
      </c>
      <c r="AF7" s="163" t="str" cm="1">
        <f t="array" ref="AF7">AF25</f>
        <v>Версия органа регулирования</v>
      </c>
    </row>
    <row r="8" spans="1:42" ht="12" hidden="1" customHeight="1">
      <c r="F8" s="180"/>
      <c r="T8" s="163"/>
      <c r="U8" s="163"/>
      <c r="V8" s="163"/>
      <c r="W8" s="163"/>
      <c r="X8" s="163"/>
      <c r="Y8" s="163"/>
      <c r="Z8" s="163"/>
      <c r="AB8" s="180"/>
      <c r="AD8" s="180"/>
      <c r="AE8" s="163" t="str">
        <f>AE6&amp;AE7</f>
        <v>2024Предложение организации</v>
      </c>
      <c r="AF8" s="163" t="str">
        <f>AF6&amp;AF7</f>
        <v>2026Версия органа регулирования</v>
      </c>
    </row>
    <row r="9" spans="1:42" s="1030" customFormat="1" ht="12" hidden="1" customHeight="1">
      <c r="A9" s="958" t="s">
        <v>472</v>
      </c>
      <c r="B9" s="951"/>
      <c r="E9" s="951"/>
      <c r="Q9" s="1008"/>
      <c r="R9" s="1008"/>
      <c r="T9" s="959"/>
      <c r="U9" s="959"/>
      <c r="V9" s="959"/>
      <c r="W9" s="959"/>
      <c r="X9" s="959"/>
      <c r="Y9" s="959"/>
      <c r="Z9" s="959"/>
      <c r="AE9" s="1030">
        <f>god-2</f>
        <v>2024</v>
      </c>
      <c r="AF9" s="1030" cm="1">
        <f t="array" ref="AF9">god</f>
        <v>2026</v>
      </c>
      <c r="AL9" s="1031"/>
      <c r="AM9" s="1031"/>
      <c r="AN9" s="1031"/>
      <c r="AO9" s="1032"/>
      <c r="AP9" s="1032"/>
    </row>
    <row r="10" spans="1:42" s="1030" customFormat="1" ht="12" hidden="1" customHeight="1">
      <c r="A10" s="958" t="s">
        <v>473</v>
      </c>
      <c r="B10" s="951"/>
      <c r="E10" s="951"/>
      <c r="Q10" s="1008"/>
      <c r="R10" s="1008"/>
      <c r="T10" s="959"/>
      <c r="U10" s="959"/>
      <c r="V10" s="959"/>
      <c r="W10" s="959"/>
      <c r="X10" s="959"/>
      <c r="Y10" s="959"/>
      <c r="Z10" s="959"/>
      <c r="AE10" s="1030" t="str" cm="1">
        <f t="array" ref="AE10">AE25</f>
        <v>Предложение организации</v>
      </c>
      <c r="AF10" s="1030" t="str" cm="1">
        <f t="array" ref="AF10">AF25</f>
        <v>Версия органа регулирования</v>
      </c>
      <c r="AL10" s="1031"/>
      <c r="AM10" s="1031"/>
      <c r="AN10" s="1031"/>
      <c r="AO10" s="1032"/>
      <c r="AP10" s="1032"/>
    </row>
    <row r="11" spans="1:42" s="1030" customFormat="1" ht="12" hidden="1" customHeight="1">
      <c r="A11" s="958" t="s">
        <v>474</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G11" s="1030" t="str" cm="1">
        <f t="array" ref="AG11">AG24</f>
        <v>Указание на подтверждающие документы / URL-ссылка на копии подтверждающих документов</v>
      </c>
      <c r="AH11" s="1030" t="str" cm="1">
        <f t="array" ref="AH11">AH24</f>
        <v>Ссылка на правовую норму (основание для принятия показателя в расчет тарифа)</v>
      </c>
      <c r="AI11" s="103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31"/>
      <c r="AM11" s="1031"/>
      <c r="AN11" s="1031"/>
      <c r="AO11" s="1032"/>
      <c r="AP11" s="1032"/>
    </row>
    <row r="12" spans="1:42" s="1030" customFormat="1" ht="12" hidden="1" customHeight="1">
      <c r="A12" s="958" t="s">
        <v>2017</v>
      </c>
      <c r="B12" s="951"/>
      <c r="E12" s="951"/>
      <c r="G12" s="1033"/>
      <c r="H12" s="1033"/>
      <c r="I12" s="1033"/>
      <c r="J12" s="1033"/>
      <c r="K12" s="1033"/>
      <c r="L12" s="1033"/>
      <c r="M12" s="1033"/>
      <c r="N12" s="1033"/>
      <c r="O12" s="1033"/>
      <c r="P12" s="1033"/>
      <c r="Q12" s="1010"/>
      <c r="R12" s="1010"/>
      <c r="S12" s="1033"/>
      <c r="T12" s="959"/>
      <c r="U12" s="959"/>
      <c r="V12" s="959"/>
      <c r="W12" s="959"/>
      <c r="X12" s="959"/>
      <c r="Y12" s="959"/>
      <c r="Z12" s="959"/>
      <c r="AC12" s="1034" t="s">
        <v>385</v>
      </c>
      <c r="AL12" s="1031"/>
      <c r="AM12" s="1031"/>
      <c r="AN12" s="1031"/>
      <c r="AO12" s="1032"/>
      <c r="AP12" s="1032"/>
    </row>
    <row r="13" spans="1:42" s="178" customFormat="1" ht="12" hidden="1" customHeight="1">
      <c r="A13" s="983"/>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L13" s="1031"/>
      <c r="AM13" s="1031"/>
      <c r="AN13" s="1031"/>
      <c r="AO13" s="1032"/>
      <c r="AP13" s="1032"/>
    </row>
    <row r="14" spans="1:42" s="178" customFormat="1" ht="12" hidden="1" customHeight="1">
      <c r="A14" s="983"/>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L14" s="1031"/>
      <c r="AM14" s="1031"/>
      <c r="AN14" s="1031"/>
      <c r="AO14" s="1032"/>
      <c r="AP14" s="1032"/>
    </row>
    <row r="15" spans="1:42" s="178" customFormat="1" ht="12" hidden="1" customHeight="1">
      <c r="A15" s="983"/>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L15" s="1031"/>
      <c r="AM15" s="1031"/>
      <c r="AN15" s="1031"/>
      <c r="AO15" s="1032"/>
      <c r="AP15" s="1032"/>
    </row>
    <row r="16" spans="1:42" s="178" customFormat="1" ht="12" hidden="1" customHeight="1">
      <c r="A16" s="983"/>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L16" s="1031"/>
      <c r="AM16" s="1031"/>
      <c r="AN16" s="1031"/>
      <c r="AO16" s="1032"/>
      <c r="AP16" s="1032"/>
    </row>
    <row r="17" spans="1:42" s="178" customFormat="1" ht="12" hidden="1" customHeight="1">
      <c r="A17" s="983"/>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L17" s="1031"/>
      <c r="AM17" s="1031"/>
      <c r="AN17" s="1031"/>
      <c r="AO17" s="1032"/>
      <c r="AP17" s="1032"/>
    </row>
    <row r="18" spans="1:42" s="178" customFormat="1" ht="12" hidden="1" customHeight="1">
      <c r="A18" s="983"/>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AL18" s="1031"/>
      <c r="AM18" s="1031"/>
      <c r="AN18" s="1031"/>
      <c r="AO18" s="1032"/>
      <c r="AP18" s="1032"/>
    </row>
    <row r="19" spans="1:42" s="178" customFormat="1" ht="12" hidden="1" customHeight="1">
      <c r="A19" s="983"/>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L19" s="1031"/>
      <c r="AM19" s="1031"/>
      <c r="AN19" s="1031"/>
      <c r="AO19" s="1032"/>
      <c r="AP19" s="1032"/>
    </row>
    <row r="20" spans="1:42" s="178" customFormat="1" ht="12" hidden="1" customHeight="1">
      <c r="A20" s="983"/>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AL20" s="1031"/>
      <c r="AM20" s="1031"/>
      <c r="AN20" s="1031"/>
      <c r="AO20" s="1032"/>
      <c r="AP20" s="1032"/>
    </row>
    <row r="21" spans="1:42" ht="14.65" customHeight="1">
      <c r="E21" s="676">
        <v>15</v>
      </c>
      <c r="AA21" s="699"/>
      <c r="AB21" s="180"/>
      <c r="AC21" s="343" t="str" cm="1">
        <f t="array" ref="AC21">tpl_title</f>
        <v>Кемеровская область / 2026 / ОАО «СКЭК» (ИНН:4205153492, КПП:420501001) / ДПР: 2021-2030</v>
      </c>
      <c r="AD21" s="180"/>
    </row>
    <row r="22" spans="1:42" s="1156" customFormat="1" ht="33.200000000000003" customHeight="1">
      <c r="A22" s="833"/>
      <c r="B22" s="667"/>
      <c r="C22" s="133"/>
      <c r="D22" s="133"/>
      <c r="E22" s="676">
        <v>34</v>
      </c>
      <c r="F22" s="133"/>
      <c r="Q22" s="143"/>
      <c r="R22" s="143"/>
      <c r="T22" s="129"/>
      <c r="U22" s="129"/>
      <c r="V22" s="129"/>
      <c r="W22" s="129"/>
      <c r="X22" s="129"/>
      <c r="Y22" s="129"/>
      <c r="Z22" s="129"/>
      <c r="AB22" s="1848" t="s">
        <v>71</v>
      </c>
      <c r="AC22" s="1848"/>
      <c r="AD22" s="1848"/>
      <c r="AE22" s="1848"/>
      <c r="AF22" s="1848"/>
      <c r="AG22" s="1848"/>
      <c r="AH22" s="1848"/>
      <c r="AI22" s="1848"/>
      <c r="AL22" s="989"/>
      <c r="AM22" s="989"/>
      <c r="AN22" s="989"/>
      <c r="AO22" s="990"/>
      <c r="AP22" s="990"/>
    </row>
    <row r="23" spans="1:42" s="1156" customFormat="1" ht="9.9499999999999993" customHeight="1">
      <c r="A23" s="8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L23" s="989"/>
      <c r="AM23" s="989"/>
      <c r="AN23" s="989"/>
      <c r="AO23" s="990"/>
      <c r="AP23" s="990"/>
    </row>
    <row r="24" spans="1:42" s="179" customFormat="1" ht="24.2" customHeight="1">
      <c r="A24" s="277"/>
      <c r="B24" s="671"/>
      <c r="C24" s="182"/>
      <c r="D24" s="182"/>
      <c r="E24" s="682">
        <v>24.8</v>
      </c>
      <c r="F24" s="182"/>
      <c r="Q24" s="788"/>
      <c r="R24" s="788"/>
      <c r="T24" s="122"/>
      <c r="U24" s="122"/>
      <c r="V24" s="122"/>
      <c r="W24" s="122"/>
      <c r="X24" s="122"/>
      <c r="Y24" s="122"/>
      <c r="Z24" s="122"/>
      <c r="AB24" s="1849" t="s">
        <v>396</v>
      </c>
      <c r="AC24" s="1827" t="s">
        <v>475</v>
      </c>
      <c r="AD24" s="1827" t="s">
        <v>476</v>
      </c>
      <c r="AE24" s="1149" t="str">
        <f>god&amp;" год"</f>
        <v>2026 год</v>
      </c>
      <c r="AF24" s="108" t="str">
        <f>god&amp;" год"</f>
        <v>2026 год</v>
      </c>
      <c r="AG24" s="1826" t="s">
        <v>1346</v>
      </c>
      <c r="AH24" s="1826" t="s">
        <v>630</v>
      </c>
      <c r="AI24" s="1826" t="s">
        <v>1347</v>
      </c>
      <c r="AL24" s="1031"/>
      <c r="AM24" s="1035"/>
      <c r="AN24" s="1035"/>
      <c r="AO24" s="1036"/>
      <c r="AP24" s="1036"/>
    </row>
    <row r="25" spans="1:42" s="179" customFormat="1" ht="44.65" customHeight="1">
      <c r="A25" s="277"/>
      <c r="B25" s="671"/>
      <c r="C25" s="182"/>
      <c r="D25" s="182"/>
      <c r="E25" s="682">
        <v>45.8</v>
      </c>
      <c r="F25" s="182"/>
      <c r="Q25" s="788"/>
      <c r="R25" s="788"/>
      <c r="T25" s="122"/>
      <c r="U25" s="122"/>
      <c r="V25" s="122"/>
      <c r="W25" s="122"/>
      <c r="X25" s="122"/>
      <c r="Y25" s="122"/>
      <c r="Z25" s="122"/>
      <c r="AB25" s="1850"/>
      <c r="AC25" s="1827"/>
      <c r="AD25" s="1827"/>
      <c r="AE25" s="1151" t="s">
        <v>413</v>
      </c>
      <c r="AF25" s="108" t="s">
        <v>1612</v>
      </c>
      <c r="AG25" s="1826"/>
      <c r="AH25" s="1826"/>
      <c r="AI25" s="1826"/>
      <c r="AL25" s="1031"/>
      <c r="AM25" s="1035"/>
      <c r="AN25" s="1035"/>
      <c r="AO25" s="1036"/>
      <c r="AP25" s="1036"/>
    </row>
    <row r="26" spans="1:42" s="179" customFormat="1" ht="14.25" hidden="1" customHeight="1">
      <c r="A26" s="277"/>
      <c r="B26" s="671"/>
      <c r="C26" s="182"/>
      <c r="D26" s="182"/>
      <c r="E26" s="682">
        <v>0</v>
      </c>
      <c r="F26" s="182"/>
      <c r="Q26" s="788"/>
      <c r="R26" s="788"/>
      <c r="T26" s="122"/>
      <c r="U26" s="122"/>
      <c r="V26" s="122"/>
      <c r="W26" s="122"/>
      <c r="X26" s="122"/>
      <c r="Y26" s="122"/>
      <c r="Z26" s="122"/>
      <c r="AB26" s="597"/>
      <c r="AC26" s="597"/>
      <c r="AD26" s="597"/>
      <c r="AE26" s="122"/>
      <c r="AF26" s="122"/>
      <c r="AG26" s="182"/>
      <c r="AH26" s="182"/>
      <c r="AI26" s="182"/>
      <c r="AL26" s="1031"/>
      <c r="AM26" s="1035"/>
      <c r="AN26" s="1035"/>
      <c r="AO26" s="1036"/>
      <c r="AP26" s="1036"/>
    </row>
    <row r="27" spans="1:42" s="170" customFormat="1" ht="16.7" hidden="1" customHeight="1">
      <c r="E27" s="676">
        <v>17.100000000000001</v>
      </c>
      <c r="F27" s="779"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K27" s="163" cm="1">
        <f t="array" ref="K27">INDEX('Общие сведения'!$AL$187:$AL$236,MATCH($F27,'Общие сведения'!$Z$187:$Z$236,0))</f>
        <v>0</v>
      </c>
      <c r="T27" s="687" t="b">
        <f t="shared" ref="T27:T58" si="0">AND(F27&gt;0,OR(ISBLANK(Y27),Y27&gt;0))</f>
        <v>0</v>
      </c>
      <c r="V27" s="126" t="s">
        <v>315</v>
      </c>
      <c r="X27" s="1838">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L27" s="981"/>
      <c r="AM27" s="981"/>
      <c r="AN27" s="981"/>
      <c r="AO27" s="984"/>
      <c r="AP27" s="984"/>
    </row>
    <row r="28" spans="1:42" s="170" customFormat="1" ht="16.7" hidden="1" customHeight="1">
      <c r="E28" s="676">
        <v>17.100000000000001</v>
      </c>
      <c r="F28" s="779" cm="1">
        <f t="array" aca="1" ref="F28" ca="1">OFFSET(G28,-1,-1)</f>
        <v>0</v>
      </c>
      <c r="T28" s="687" t="b">
        <f t="shared" ca="1" si="0"/>
        <v>0</v>
      </c>
      <c r="X28" s="1724"/>
      <c r="Z28" s="1724"/>
      <c r="AB28" s="485">
        <v>1</v>
      </c>
      <c r="AC28" s="864" t="s">
        <v>2018</v>
      </c>
      <c r="AD28" s="865"/>
      <c r="AE28" s="865"/>
      <c r="AF28" s="865"/>
      <c r="AG28" s="865"/>
      <c r="AH28" s="865"/>
      <c r="AI28" s="865"/>
      <c r="AL28" s="981"/>
      <c r="AM28" s="981"/>
      <c r="AN28" s="981"/>
      <c r="AO28" s="984"/>
      <c r="AP28" s="984"/>
    </row>
    <row r="29" spans="1:42" s="170" customFormat="1" ht="39" hidden="1" customHeight="1">
      <c r="E29" s="676">
        <v>40</v>
      </c>
      <c r="F29" s="779" cm="1">
        <f t="array" aca="1" ref="F29" ca="1">OFFSET(G29,-1,-1)</f>
        <v>0</v>
      </c>
      <c r="T29" s="687" t="b">
        <f t="shared" ca="1" si="0"/>
        <v>0</v>
      </c>
      <c r="X29" s="1724"/>
      <c r="Z29" s="1724"/>
      <c r="AB29" s="485" t="s">
        <v>484</v>
      </c>
      <c r="AC29" s="236" t="s">
        <v>2019</v>
      </c>
      <c r="AD29" s="105" t="s">
        <v>1460</v>
      </c>
      <c r="AE29" s="17"/>
      <c r="AF29" s="17"/>
      <c r="AG29" s="92"/>
      <c r="AH29" s="92"/>
      <c r="AI29" s="15"/>
      <c r="AL29" s="981" t="s">
        <v>2020</v>
      </c>
      <c r="AM29" s="981"/>
      <c r="AN29" s="981"/>
      <c r="AO29" s="984"/>
      <c r="AP29" s="984"/>
    </row>
    <row r="30" spans="1:42" s="170" customFormat="1" ht="39" hidden="1" customHeight="1">
      <c r="E30" s="676">
        <v>40</v>
      </c>
      <c r="F30" s="779" cm="1">
        <f t="array" aca="1" ref="F30" ca="1">OFFSET(G30,-1,-1)</f>
        <v>0</v>
      </c>
      <c r="T30" s="687" t="b">
        <f t="shared" ca="1" si="0"/>
        <v>0</v>
      </c>
      <c r="X30" s="1724"/>
      <c r="Z30" s="1724"/>
      <c r="AB30" s="485" t="s">
        <v>989</v>
      </c>
      <c r="AC30" s="236" t="s">
        <v>2021</v>
      </c>
      <c r="AD30" s="105" t="s">
        <v>501</v>
      </c>
      <c r="AE30" s="17"/>
      <c r="AF30" s="17"/>
      <c r="AG30" s="92"/>
      <c r="AH30" s="92"/>
      <c r="AI30" s="15"/>
      <c r="AL30" s="981" t="s">
        <v>2022</v>
      </c>
      <c r="AM30" s="981"/>
      <c r="AN30" s="981"/>
      <c r="AO30" s="984"/>
      <c r="AP30" s="984"/>
    </row>
    <row r="31" spans="1:42" s="170" customFormat="1" ht="34.15" hidden="1" customHeight="1">
      <c r="E31" s="676">
        <v>35</v>
      </c>
      <c r="F31" s="779" cm="1">
        <f t="array" aca="1" ref="F31" ca="1">OFFSET(G31,-1,-1)</f>
        <v>0</v>
      </c>
      <c r="T31" s="687" t="b">
        <f t="shared" ca="1" si="0"/>
        <v>0</v>
      </c>
      <c r="X31" s="1724"/>
      <c r="Z31" s="1724"/>
      <c r="AB31" s="485" t="s">
        <v>991</v>
      </c>
      <c r="AC31" s="236" t="s">
        <v>2023</v>
      </c>
      <c r="AD31" s="105" t="s">
        <v>1993</v>
      </c>
      <c r="AE31" s="17">
        <f>IFERROR(AE29/AE30,0)</f>
        <v>0</v>
      </c>
      <c r="AF31" s="17">
        <f>IFERROR(AF29/AF30,0)</f>
        <v>0</v>
      </c>
      <c r="AG31" s="92"/>
      <c r="AH31" s="92"/>
      <c r="AI31" s="15"/>
      <c r="AL31" s="981" t="s">
        <v>2024</v>
      </c>
      <c r="AM31" s="981"/>
      <c r="AN31" s="981"/>
      <c r="AO31" s="984"/>
      <c r="AP31" s="984"/>
    </row>
    <row r="32" spans="1:42" s="170" customFormat="1" ht="34.15" hidden="1" customHeight="1">
      <c r="E32" s="676">
        <v>35</v>
      </c>
      <c r="F32" s="779" cm="1">
        <f t="array" aca="1" ref="F32" ca="1">OFFSET(G32,-1,-1)</f>
        <v>0</v>
      </c>
      <c r="T32" s="687" t="b">
        <f t="shared" ca="1" si="0"/>
        <v>0</v>
      </c>
      <c r="X32" s="1724"/>
      <c r="Z32" s="1724"/>
      <c r="AB32" s="485" t="s">
        <v>995</v>
      </c>
      <c r="AC32" s="236" t="s">
        <v>2025</v>
      </c>
      <c r="AD32" s="105"/>
      <c r="AE32" s="93"/>
      <c r="AF32" s="93"/>
      <c r="AG32" s="92"/>
      <c r="AH32" s="92"/>
      <c r="AI32" s="15"/>
      <c r="AL32" s="981" t="s">
        <v>2026</v>
      </c>
      <c r="AM32" s="981"/>
      <c r="AN32" s="981"/>
      <c r="AO32" s="984"/>
      <c r="AP32" s="984"/>
    </row>
    <row r="33" spans="5:42" s="170" customFormat="1" ht="34.15" hidden="1" customHeight="1">
      <c r="E33" s="676">
        <v>35</v>
      </c>
      <c r="F33" s="779" cm="1">
        <f t="array" aca="1" ref="F33" ca="1">OFFSET(G33,-1,-1)</f>
        <v>0</v>
      </c>
      <c r="T33" s="687" t="b">
        <f t="shared" ca="1" si="0"/>
        <v>0</v>
      </c>
      <c r="X33" s="1724"/>
      <c r="Z33" s="1724"/>
      <c r="AB33" s="485" t="s">
        <v>1100</v>
      </c>
      <c r="AC33" s="866" t="s">
        <v>2027</v>
      </c>
      <c r="AD33" s="867" t="s">
        <v>1993</v>
      </c>
      <c r="AE33" s="18">
        <f>AE31*AE32</f>
        <v>0</v>
      </c>
      <c r="AF33" s="18">
        <f>AF31*AF32</f>
        <v>0</v>
      </c>
      <c r="AG33" s="94"/>
      <c r="AH33" s="94"/>
      <c r="AI33" s="95"/>
      <c r="AL33" s="981" t="s">
        <v>2028</v>
      </c>
      <c r="AM33" s="981"/>
      <c r="AN33" s="981"/>
      <c r="AO33" s="984"/>
      <c r="AP33" s="984"/>
    </row>
    <row r="34" spans="5:42" s="170" customFormat="1" ht="16.7" hidden="1" customHeight="1">
      <c r="E34" s="676">
        <v>17.100000000000001</v>
      </c>
      <c r="F34" s="779" cm="1">
        <f t="array" aca="1" ref="F34" ca="1">OFFSET(G34,-1,-1)</f>
        <v>0</v>
      </c>
      <c r="T34" s="687" t="b">
        <f t="shared" ca="1" si="0"/>
        <v>0</v>
      </c>
      <c r="X34" s="1724"/>
      <c r="Z34" s="1724"/>
      <c r="AB34" s="485" t="s">
        <v>1103</v>
      </c>
      <c r="AC34" s="866" t="s">
        <v>2029</v>
      </c>
      <c r="AD34" s="867" t="s">
        <v>533</v>
      </c>
      <c r="AE34" s="18"/>
      <c r="AF34" s="18"/>
      <c r="AG34" s="94"/>
      <c r="AH34" s="94"/>
      <c r="AI34" s="95"/>
      <c r="AL34" s="981" t="s">
        <v>2030</v>
      </c>
      <c r="AM34" s="981"/>
      <c r="AN34" s="981"/>
      <c r="AO34" s="984"/>
      <c r="AP34" s="984"/>
    </row>
    <row r="35" spans="5:42" s="170" customFormat="1" ht="39" hidden="1" customHeight="1">
      <c r="E35" s="676">
        <v>40</v>
      </c>
      <c r="F35" s="779" cm="1">
        <f t="array" aca="1" ref="F35" ca="1">OFFSET(G35,-1,-1)</f>
        <v>0</v>
      </c>
      <c r="T35" s="687" t="b">
        <f t="shared" ca="1" si="0"/>
        <v>0</v>
      </c>
      <c r="X35" s="1724"/>
      <c r="Z35" s="1724"/>
      <c r="AB35" s="485" t="s">
        <v>1106</v>
      </c>
      <c r="AC35" s="866" t="s">
        <v>2031</v>
      </c>
      <c r="AD35" s="867" t="s">
        <v>501</v>
      </c>
      <c r="AE35" s="18"/>
      <c r="AF35" s="18"/>
      <c r="AG35" s="94"/>
      <c r="AH35" s="94"/>
      <c r="AI35" s="95"/>
      <c r="AL35" s="981" t="s">
        <v>2032</v>
      </c>
      <c r="AM35" s="981"/>
      <c r="AN35" s="981"/>
      <c r="AO35" s="984"/>
      <c r="AP35" s="984"/>
    </row>
    <row r="36" spans="5:42" s="170" customFormat="1" ht="16.7" hidden="1" customHeight="1">
      <c r="E36" s="676">
        <v>17.100000000000001</v>
      </c>
      <c r="F36" s="779" cm="1">
        <f t="array" aca="1" ref="F36" ca="1">OFFSET(G36,-1,-1)</f>
        <v>0</v>
      </c>
      <c r="T36" s="687" t="b">
        <f t="shared" ca="1" si="0"/>
        <v>0</v>
      </c>
      <c r="X36" s="1724"/>
      <c r="Z36" s="1724"/>
      <c r="AB36" s="485" t="s">
        <v>1109</v>
      </c>
      <c r="AC36" s="866" t="s">
        <v>2033</v>
      </c>
      <c r="AD36" s="867" t="s">
        <v>1460</v>
      </c>
      <c r="AE36" s="18">
        <f>AE33*AE35*(1+AE34)</f>
        <v>0</v>
      </c>
      <c r="AF36" s="18">
        <f>AF33*AF35*(1+AF34)</f>
        <v>0</v>
      </c>
      <c r="AG36" s="94"/>
      <c r="AH36" s="94"/>
      <c r="AI36" s="95"/>
      <c r="AL36" s="981" t="s">
        <v>1467</v>
      </c>
      <c r="AM36" s="981"/>
      <c r="AN36" s="981"/>
      <c r="AO36" s="984"/>
      <c r="AP36" s="984"/>
    </row>
    <row r="37" spans="5:42" s="170" customFormat="1" ht="16.7" hidden="1" customHeight="1">
      <c r="E37" s="676">
        <v>17.100000000000001</v>
      </c>
      <c r="F37" s="779" cm="1">
        <f t="array" aca="1" ref="F37" ca="1">OFFSET(G37,-1,-1)</f>
        <v>0</v>
      </c>
      <c r="T37" s="687" t="b">
        <f t="shared" ca="1" si="0"/>
        <v>0</v>
      </c>
      <c r="X37" s="1724"/>
      <c r="Z37" s="1724"/>
      <c r="AB37" s="925">
        <v>2</v>
      </c>
      <c r="AC37" s="864" t="s">
        <v>2034</v>
      </c>
      <c r="AD37" s="865"/>
      <c r="AE37" s="879"/>
      <c r="AF37" s="879"/>
      <c r="AG37" s="864"/>
      <c r="AH37" s="864"/>
      <c r="AI37" s="864"/>
      <c r="AL37" s="981"/>
      <c r="AM37" s="981"/>
      <c r="AN37" s="981"/>
      <c r="AO37" s="984"/>
      <c r="AP37" s="984"/>
    </row>
    <row r="38" spans="5:42" s="170" customFormat="1" ht="39" hidden="1" customHeight="1">
      <c r="E38" s="676">
        <v>40</v>
      </c>
      <c r="F38" s="779" cm="1">
        <f t="array" aca="1" ref="F38" ca="1">OFFSET(G38,-1,-1)</f>
        <v>0</v>
      </c>
      <c r="T38" s="687" t="b">
        <f t="shared" ca="1" si="0"/>
        <v>0</v>
      </c>
      <c r="X38" s="1724"/>
      <c r="Z38" s="1724"/>
      <c r="AB38" s="235" t="s">
        <v>491</v>
      </c>
      <c r="AC38" s="870" t="s">
        <v>2035</v>
      </c>
      <c r="AD38" s="105" t="s">
        <v>1460</v>
      </c>
      <c r="AE38" s="53">
        <f>SUM(AE39:AE40)</f>
        <v>0</v>
      </c>
      <c r="AF38" s="53">
        <f>SUM(AF39:AF40)</f>
        <v>0</v>
      </c>
      <c r="AG38" s="94"/>
      <c r="AH38" s="94"/>
      <c r="AI38" s="95"/>
      <c r="AL38" s="981" t="s">
        <v>2036</v>
      </c>
      <c r="AM38" s="981"/>
      <c r="AN38" s="981"/>
      <c r="AO38" s="984"/>
      <c r="AP38" s="984"/>
    </row>
    <row r="39" spans="5:42" s="170" customFormat="1" ht="16.5" hidden="1" customHeight="1">
      <c r="E39" s="676">
        <v>17</v>
      </c>
      <c r="F39" s="779" cm="1">
        <f t="array" aca="1" ref="F39" ca="1">OFFSET(G39,-1,-1)</f>
        <v>0</v>
      </c>
      <c r="T39" s="687" t="b">
        <f t="shared" ca="1" si="0"/>
        <v>0</v>
      </c>
      <c r="W39" s="126" t="s">
        <v>236</v>
      </c>
      <c r="X39" s="1724"/>
      <c r="Y39" s="126">
        <v>0</v>
      </c>
      <c r="Z39" s="1724"/>
      <c r="AA39" s="11" t="s">
        <v>218</v>
      </c>
      <c r="AB39" s="235" t="str">
        <f>"2.1."&amp;Y39</f>
        <v>2.1.0</v>
      </c>
      <c r="AC39" s="96"/>
      <c r="AD39" s="105" t="s">
        <v>1460</v>
      </c>
      <c r="AE39" s="53"/>
      <c r="AF39" s="53"/>
      <c r="AG39" s="94"/>
      <c r="AH39" s="94"/>
      <c r="AI39" s="95"/>
      <c r="AL39" s="981" t="s">
        <v>2036</v>
      </c>
      <c r="AM39" s="981" t="s">
        <v>2037</v>
      </c>
      <c r="AN39" s="981" cm="1">
        <f t="array" ref="AN39">AC39</f>
        <v>0</v>
      </c>
      <c r="AO39" s="984"/>
      <c r="AP39" s="984" t="b">
        <v>1</v>
      </c>
    </row>
    <row r="40" spans="5:42" s="170" customFormat="1" ht="16.5" hidden="1" customHeight="1">
      <c r="E40" s="676">
        <v>17</v>
      </c>
      <c r="F40" s="779" cm="1">
        <f t="array" aca="1" ref="F40" ca="1">OFFSET(G40,-1,-1)</f>
        <v>0</v>
      </c>
      <c r="T40" s="687" t="b">
        <f t="shared" ca="1" si="0"/>
        <v>0</v>
      </c>
      <c r="W40" s="858" t="s">
        <v>1005</v>
      </c>
      <c r="X40" s="1724"/>
      <c r="Z40" s="1724"/>
      <c r="AB40" s="249"/>
      <c r="AC40" s="616" t="s">
        <v>238</v>
      </c>
      <c r="AD40" s="250"/>
      <c r="AE40" s="250"/>
      <c r="AF40" s="250"/>
      <c r="AG40" s="250"/>
      <c r="AH40" s="250"/>
      <c r="AI40" s="250"/>
      <c r="AL40" s="981" t="str">
        <f>IF(AND(ISNUMBER(VALUE(TRIM(SUBSTITUTE(AB40,".","")))),TRIM(SUBSTITUTE(AB40,".",""))&lt;&gt;""),"P"&amp;SUBSTITUTE(AB40,".",""),"")</f>
        <v/>
      </c>
      <c r="AM40" s="981"/>
      <c r="AN40" s="981"/>
      <c r="AO40" s="984" t="s">
        <v>2037</v>
      </c>
      <c r="AP40" s="984"/>
    </row>
    <row r="41" spans="5:42" s="170" customFormat="1" ht="39" hidden="1" customHeight="1">
      <c r="E41" s="676">
        <v>40</v>
      </c>
      <c r="F41" s="779" cm="1">
        <f t="array" aca="1" ref="F41" ca="1">OFFSET(G41,-1,-1)</f>
        <v>0</v>
      </c>
      <c r="T41" s="687" t="b">
        <f t="shared" ca="1" si="0"/>
        <v>0</v>
      </c>
      <c r="X41" s="1724"/>
      <c r="Z41" s="1724"/>
      <c r="AB41" s="235" t="s">
        <v>518</v>
      </c>
      <c r="AC41" s="870" t="s">
        <v>2038</v>
      </c>
      <c r="AD41" s="105" t="s">
        <v>2007</v>
      </c>
      <c r="AE41" s="53">
        <f>SUM(AE42:AE43)</f>
        <v>0</v>
      </c>
      <c r="AF41" s="53">
        <f>SUM(AF42:AF43)</f>
        <v>0</v>
      </c>
      <c r="AG41" s="94"/>
      <c r="AH41" s="94"/>
      <c r="AI41" s="95"/>
      <c r="AL41" s="981" t="s">
        <v>2008</v>
      </c>
      <c r="AM41" s="981"/>
      <c r="AN41" s="981"/>
      <c r="AO41" s="984"/>
      <c r="AP41" s="984"/>
    </row>
    <row r="42" spans="5:42" s="170" customFormat="1" ht="16.7" hidden="1" customHeight="1">
      <c r="E42" s="676">
        <v>17.100000000000001</v>
      </c>
      <c r="F42" s="779" cm="1">
        <f t="array" aca="1" ref="F42" ca="1">OFFSET(G42,-1,-1)</f>
        <v>0</v>
      </c>
      <c r="T42" s="687" t="b">
        <f t="shared" ca="1" si="0"/>
        <v>0</v>
      </c>
      <c r="W42" s="126" t="s">
        <v>236</v>
      </c>
      <c r="X42" s="1724"/>
      <c r="Y42" s="126">
        <v>0</v>
      </c>
      <c r="Z42" s="1724"/>
      <c r="AA42" s="11" t="s">
        <v>218</v>
      </c>
      <c r="AB42" s="235" t="str">
        <f>"2.2."&amp;Y42</f>
        <v>2.2.0</v>
      </c>
      <c r="AC42" s="96"/>
      <c r="AD42" s="105" t="s">
        <v>2007</v>
      </c>
      <c r="AE42" s="53"/>
      <c r="AF42" s="53"/>
      <c r="AG42" s="94"/>
      <c r="AH42" s="94"/>
      <c r="AI42" s="95"/>
      <c r="AL42" s="981" t="s">
        <v>2008</v>
      </c>
      <c r="AM42" s="981" t="s">
        <v>2039</v>
      </c>
      <c r="AN42" s="981" cm="1">
        <f t="array" ref="AN42">AC42</f>
        <v>0</v>
      </c>
      <c r="AO42" s="984"/>
      <c r="AP42" s="984" t="b">
        <v>1</v>
      </c>
    </row>
    <row r="43" spans="5:42" s="170" customFormat="1" ht="16.5" hidden="1" customHeight="1">
      <c r="E43" s="676">
        <v>17</v>
      </c>
      <c r="F43" s="779" cm="1">
        <f t="array" aca="1" ref="F43" ca="1">OFFSET(G43,-1,-1)</f>
        <v>0</v>
      </c>
      <c r="T43" s="687" t="b">
        <f t="shared" ca="1" si="0"/>
        <v>0</v>
      </c>
      <c r="W43" s="858" t="s">
        <v>1016</v>
      </c>
      <c r="X43" s="1724"/>
      <c r="Z43" s="1724"/>
      <c r="AB43" s="249"/>
      <c r="AC43" s="616" t="s">
        <v>238</v>
      </c>
      <c r="AD43" s="250"/>
      <c r="AE43" s="250"/>
      <c r="AF43" s="250"/>
      <c r="AG43" s="250"/>
      <c r="AH43" s="250"/>
      <c r="AI43" s="250"/>
      <c r="AL43" s="981" t="str">
        <f>IF(AND(ISNUMBER(VALUE(TRIM(SUBSTITUTE(AB43,".","")))),TRIM(SUBSTITUTE(AB43,".",""))&lt;&gt;""),"P"&amp;SUBSTITUTE(AB43,".",""),"")</f>
        <v/>
      </c>
      <c r="AM43" s="981"/>
      <c r="AN43" s="981"/>
      <c r="AO43" s="984" t="s">
        <v>2039</v>
      </c>
      <c r="AP43" s="984"/>
    </row>
    <row r="44" spans="5:42" s="170" customFormat="1" ht="34.15" hidden="1" customHeight="1">
      <c r="E44" s="676">
        <v>35</v>
      </c>
      <c r="F44" s="779" cm="1">
        <f t="array" aca="1" ref="F44" ca="1">OFFSET(G44,-1,-1)</f>
        <v>0</v>
      </c>
      <c r="T44" s="687" t="b">
        <f t="shared" ca="1" si="0"/>
        <v>0</v>
      </c>
      <c r="X44" s="1724"/>
      <c r="Z44" s="1724"/>
      <c r="AB44" s="925" t="s">
        <v>522</v>
      </c>
      <c r="AC44" s="871" t="s">
        <v>2040</v>
      </c>
      <c r="AD44" s="868" t="s">
        <v>1460</v>
      </c>
      <c r="AE44" s="17"/>
      <c r="AF44" s="17"/>
      <c r="AG44" s="92"/>
      <c r="AH44" s="92"/>
      <c r="AI44" s="15"/>
      <c r="AL44" s="981" t="s">
        <v>2041</v>
      </c>
      <c r="AM44" s="981"/>
      <c r="AN44" s="981"/>
      <c r="AO44" s="984"/>
      <c r="AP44" s="984"/>
    </row>
    <row r="45" spans="5:42" s="170" customFormat="1" ht="39" hidden="1" customHeight="1">
      <c r="E45" s="676">
        <v>40</v>
      </c>
      <c r="F45" s="779" cm="1">
        <f t="array" aca="1" ref="F45" ca="1">OFFSET(G45,-1,-1)</f>
        <v>0</v>
      </c>
      <c r="T45" s="687" t="b">
        <f t="shared" ca="1" si="0"/>
        <v>0</v>
      </c>
      <c r="X45" s="1724"/>
      <c r="Z45" s="1724"/>
      <c r="AB45" s="235" t="s">
        <v>526</v>
      </c>
      <c r="AC45" s="236" t="s">
        <v>2042</v>
      </c>
      <c r="AD45" s="105"/>
      <c r="AE45" s="20"/>
      <c r="AF45" s="17"/>
      <c r="AG45" s="92"/>
      <c r="AH45" s="92"/>
      <c r="AI45" s="15"/>
      <c r="AL45" s="981" t="s">
        <v>2043</v>
      </c>
      <c r="AM45" s="981"/>
      <c r="AN45" s="981"/>
      <c r="AO45" s="984"/>
      <c r="AP45" s="984"/>
    </row>
    <row r="46" spans="5:42" s="170" customFormat="1" ht="34.15" hidden="1" customHeight="1">
      <c r="E46" s="676">
        <v>35</v>
      </c>
      <c r="F46" s="779" cm="1">
        <f t="array" aca="1" ref="F46" ca="1">OFFSET(G46,-1,-1)</f>
        <v>0</v>
      </c>
      <c r="T46" s="687" t="b">
        <f t="shared" ca="1" si="0"/>
        <v>0</v>
      </c>
      <c r="X46" s="1724"/>
      <c r="Z46" s="1724"/>
      <c r="AB46" s="235" t="s">
        <v>1619</v>
      </c>
      <c r="AC46" s="236" t="s">
        <v>2044</v>
      </c>
      <c r="AD46" s="105" t="s">
        <v>929</v>
      </c>
      <c r="AE46" s="20">
        <f>IFERROR(AE38/AE41*AE45,0)</f>
        <v>0</v>
      </c>
      <c r="AF46" s="20">
        <f>IFERROR(AF38/AF41*AF45,0)</f>
        <v>0</v>
      </c>
      <c r="AG46" s="92"/>
      <c r="AH46" s="92"/>
      <c r="AI46" s="15"/>
      <c r="AL46" s="981" t="s">
        <v>2045</v>
      </c>
      <c r="AM46" s="981"/>
      <c r="AN46" s="981"/>
      <c r="AO46" s="984"/>
      <c r="AP46" s="984"/>
    </row>
    <row r="47" spans="5:42" s="170" customFormat="1" ht="16.5" hidden="1" customHeight="1">
      <c r="E47" s="676">
        <v>17</v>
      </c>
      <c r="F47" s="779" cm="1">
        <f t="array" aca="1" ref="F47" ca="1">OFFSET(G47,-1,-1)</f>
        <v>0</v>
      </c>
      <c r="T47" s="687" t="b">
        <f t="shared" ca="1" si="0"/>
        <v>0</v>
      </c>
      <c r="X47" s="1724"/>
      <c r="Z47" s="1724"/>
      <c r="AB47" s="235" t="s">
        <v>2046</v>
      </c>
      <c r="AC47" s="236" t="s">
        <v>2029</v>
      </c>
      <c r="AD47" s="105" t="s">
        <v>533</v>
      </c>
      <c r="AE47" s="20"/>
      <c r="AF47" s="17"/>
      <c r="AG47" s="92"/>
      <c r="AH47" s="92"/>
      <c r="AI47" s="15"/>
      <c r="AL47" s="981" t="s">
        <v>2047</v>
      </c>
      <c r="AM47" s="981"/>
      <c r="AN47" s="981"/>
      <c r="AO47" s="984"/>
      <c r="AP47" s="984"/>
    </row>
    <row r="48" spans="5:42" s="170" customFormat="1" ht="34.15" hidden="1" customHeight="1">
      <c r="E48" s="676">
        <v>35</v>
      </c>
      <c r="F48" s="779" cm="1">
        <f t="array" aca="1" ref="F48" ca="1">OFFSET(G48,-1,-1)</f>
        <v>0</v>
      </c>
      <c r="T48" s="687" t="b">
        <f t="shared" ca="1" si="0"/>
        <v>0</v>
      </c>
      <c r="X48" s="1724"/>
      <c r="Z48" s="1724"/>
      <c r="AB48" s="235" t="s">
        <v>2048</v>
      </c>
      <c r="AC48" s="236" t="s">
        <v>2049</v>
      </c>
      <c r="AD48" s="105" t="s">
        <v>2007</v>
      </c>
      <c r="AE48" s="97"/>
      <c r="AF48" s="18"/>
      <c r="AG48" s="92"/>
      <c r="AH48" s="92"/>
      <c r="AI48" s="15"/>
      <c r="AL48" s="981" t="s">
        <v>2050</v>
      </c>
      <c r="AM48" s="981"/>
      <c r="AN48" s="981"/>
      <c r="AO48" s="984"/>
      <c r="AP48" s="984"/>
    </row>
    <row r="49" spans="1:42" s="170" customFormat="1" ht="16.5" hidden="1" customHeight="1">
      <c r="E49" s="676">
        <v>17</v>
      </c>
      <c r="F49" s="779" cm="1">
        <f t="array" aca="1" ref="F49" ca="1">OFFSET(G49,-1,-1)</f>
        <v>0</v>
      </c>
      <c r="T49" s="687" t="b">
        <f t="shared" ca="1" si="0"/>
        <v>0</v>
      </c>
      <c r="X49" s="1724"/>
      <c r="Z49" s="1724"/>
      <c r="AB49" s="235" t="s">
        <v>2051</v>
      </c>
      <c r="AC49" s="236" t="s">
        <v>2052</v>
      </c>
      <c r="AD49" s="105" t="s">
        <v>1460</v>
      </c>
      <c r="AE49" s="17">
        <f>AE46*AE48*(1+AE47)</f>
        <v>0</v>
      </c>
      <c r="AF49" s="17">
        <f>AF46*AF48*(1+AF47)</f>
        <v>0</v>
      </c>
      <c r="AG49" s="92"/>
      <c r="AH49" s="92"/>
      <c r="AI49" s="15"/>
      <c r="AL49" s="981" t="s">
        <v>2053</v>
      </c>
      <c r="AM49" s="981"/>
      <c r="AN49" s="981"/>
      <c r="AO49" s="984"/>
      <c r="AP49" s="984"/>
    </row>
    <row r="50" spans="1:42" ht="17.25" hidden="1" customHeight="1">
      <c r="E50" s="676">
        <v>0</v>
      </c>
      <c r="F50" s="779" cm="1">
        <f t="array" aca="1" ref="F50" ca="1">OFFSET(G50,-1,-1)</f>
        <v>0</v>
      </c>
      <c r="T50" s="687" t="b">
        <f t="shared" ca="1" si="0"/>
        <v>0</v>
      </c>
      <c r="X50" s="1726"/>
      <c r="Z50" s="1726"/>
    </row>
    <row r="51" spans="1:42" s="1473" customFormat="1" ht="16.5" customHeight="1">
      <c r="A51" s="170"/>
      <c r="B51" s="170"/>
      <c r="C51" s="170"/>
      <c r="D51" s="170"/>
      <c r="E51" s="676">
        <v>17.100000000000001</v>
      </c>
      <c r="F51" s="779" t="str" cm="1">
        <f t="array" ref="F51">X51</f>
        <v>1</v>
      </c>
      <c r="G51" s="620" t="str" cm="1">
        <f t="array" ref="G51">INDEX('Общие сведения'!$AK$187:$AK$236,MATCH($F51,'Общие сведения'!$Z$187:$Z$236,0))</f>
        <v>одноставочный</v>
      </c>
      <c r="H51" s="170"/>
      <c r="I51" s="163" t="str" cm="1">
        <f t="array" ref="I51">INDEX('Общие сведения'!$AE$187:$AE$236,MATCH($F51,'Общие сведения'!$Z$187:$Z$236,0))</f>
        <v>Теплоснабжение</v>
      </c>
      <c r="J51" s="170"/>
      <c r="K51" s="163" t="str" cm="1">
        <f t="array" ref="K51">INDEX('Общие сведения'!$AL$187:$AL$236,MATCH($F51,'Общие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170"/>
      <c r="M51" s="170"/>
      <c r="N51" s="170"/>
      <c r="O51" s="170"/>
      <c r="P51" s="170"/>
      <c r="Q51" s="170"/>
      <c r="R51" s="170"/>
      <c r="S51" s="170"/>
      <c r="T51" s="687" t="b">
        <f t="shared" si="0"/>
        <v>1</v>
      </c>
      <c r="U51" s="170"/>
      <c r="V51" s="126" t="str" cm="1">
        <f t="array" ref="V51">'Удельные расходы (МСА)'!$AB$41</f>
        <v>Тариф 1 (Теплоснабжение) - Тариф на тепловую энергию (мощность), поставляемую потребителям (Не определено)</v>
      </c>
      <c r="W51" s="170"/>
      <c r="X51" s="1838" t="s">
        <v>341</v>
      </c>
      <c r="Y51" s="170"/>
      <c r="Z51" s="1724"/>
      <c r="AA51" s="170"/>
      <c r="AB51" s="275"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6"/>
      <c r="AD51" s="276"/>
      <c r="AE51" s="276"/>
      <c r="AF51" s="276"/>
      <c r="AG51" s="276"/>
      <c r="AH51" s="276"/>
      <c r="AI51" s="276"/>
      <c r="AJ51" s="170"/>
      <c r="AK51" s="170"/>
      <c r="AL51" s="981"/>
      <c r="AM51" s="981"/>
      <c r="AN51" s="981"/>
      <c r="AO51" s="984"/>
      <c r="AP51" s="984"/>
    </row>
    <row r="52" spans="1:42" s="1474" customFormat="1" ht="16.5" customHeight="1">
      <c r="A52" s="170"/>
      <c r="B52" s="170"/>
      <c r="C52" s="170"/>
      <c r="D52" s="170"/>
      <c r="E52" s="676">
        <v>17.100000000000001</v>
      </c>
      <c r="F52" s="779" t="str" cm="1">
        <f t="array" aca="1" ref="F52" ca="1">OFFSET(G52,-1,-1)</f>
        <v>1</v>
      </c>
      <c r="G52" s="170"/>
      <c r="H52" s="170"/>
      <c r="I52" s="170"/>
      <c r="J52" s="170"/>
      <c r="K52" s="170"/>
      <c r="L52" s="170"/>
      <c r="M52" s="170"/>
      <c r="N52" s="170"/>
      <c r="O52" s="170"/>
      <c r="P52" s="170"/>
      <c r="Q52" s="170"/>
      <c r="R52" s="170"/>
      <c r="S52" s="170"/>
      <c r="T52" s="687" t="b">
        <f t="shared" ca="1" si="0"/>
        <v>1</v>
      </c>
      <c r="U52" s="170"/>
      <c r="V52" s="170"/>
      <c r="W52" s="170"/>
      <c r="X52" s="1724"/>
      <c r="Y52" s="170"/>
      <c r="Z52" s="1724"/>
      <c r="AA52" s="170"/>
      <c r="AB52" s="485">
        <v>1</v>
      </c>
      <c r="AC52" s="864" t="s">
        <v>2018</v>
      </c>
      <c r="AD52" s="865"/>
      <c r="AE52" s="865"/>
      <c r="AF52" s="865"/>
      <c r="AG52" s="865"/>
      <c r="AH52" s="865"/>
      <c r="AI52" s="865"/>
      <c r="AJ52" s="170"/>
      <c r="AK52" s="170"/>
      <c r="AL52" s="981"/>
      <c r="AM52" s="981"/>
      <c r="AN52" s="981"/>
      <c r="AO52" s="984"/>
      <c r="AP52" s="984"/>
    </row>
    <row r="53" spans="1:42" s="1475" customFormat="1" ht="39" customHeight="1">
      <c r="A53" s="170"/>
      <c r="B53" s="170"/>
      <c r="C53" s="170"/>
      <c r="D53" s="170"/>
      <c r="E53" s="676">
        <v>40</v>
      </c>
      <c r="F53" s="779" t="str" cm="1">
        <f t="array" aca="1" ref="F53" ca="1">OFFSET(G53,-1,-1)</f>
        <v>1</v>
      </c>
      <c r="G53" s="170"/>
      <c r="H53" s="170"/>
      <c r="I53" s="170"/>
      <c r="J53" s="170"/>
      <c r="K53" s="170"/>
      <c r="L53" s="170"/>
      <c r="M53" s="170"/>
      <c r="N53" s="170"/>
      <c r="O53" s="170"/>
      <c r="P53" s="170"/>
      <c r="Q53" s="170"/>
      <c r="R53" s="170"/>
      <c r="S53" s="170"/>
      <c r="T53" s="687" t="b">
        <f t="shared" ca="1" si="0"/>
        <v>1</v>
      </c>
      <c r="U53" s="170"/>
      <c r="V53" s="170"/>
      <c r="W53" s="170"/>
      <c r="X53" s="1724"/>
      <c r="Y53" s="170"/>
      <c r="Z53" s="1724"/>
      <c r="AA53" s="170"/>
      <c r="AB53" s="485" t="s">
        <v>484</v>
      </c>
      <c r="AC53" s="236" t="s">
        <v>2019</v>
      </c>
      <c r="AD53" s="105" t="s">
        <v>1460</v>
      </c>
      <c r="AE53" s="1249"/>
      <c r="AF53" s="1249"/>
      <c r="AG53" s="1446"/>
      <c r="AH53" s="1446"/>
      <c r="AI53" s="1241"/>
      <c r="AJ53" s="170"/>
      <c r="AK53" s="170"/>
      <c r="AL53" s="981" t="s">
        <v>2020</v>
      </c>
      <c r="AM53" s="981"/>
      <c r="AN53" s="981"/>
      <c r="AO53" s="984"/>
      <c r="AP53" s="984"/>
    </row>
    <row r="54" spans="1:42" s="1476" customFormat="1" ht="39" customHeight="1">
      <c r="A54" s="170"/>
      <c r="B54" s="170"/>
      <c r="C54" s="170"/>
      <c r="D54" s="170"/>
      <c r="E54" s="676">
        <v>40</v>
      </c>
      <c r="F54" s="779" t="str" cm="1">
        <f t="array" aca="1" ref="F54" ca="1">OFFSET(G54,-1,-1)</f>
        <v>1</v>
      </c>
      <c r="G54" s="170"/>
      <c r="H54" s="170"/>
      <c r="I54" s="170"/>
      <c r="J54" s="170"/>
      <c r="K54" s="170"/>
      <c r="L54" s="170"/>
      <c r="M54" s="170"/>
      <c r="N54" s="170"/>
      <c r="O54" s="170"/>
      <c r="P54" s="170"/>
      <c r="Q54" s="170"/>
      <c r="R54" s="170"/>
      <c r="S54" s="170"/>
      <c r="T54" s="687" t="b">
        <f t="shared" ca="1" si="0"/>
        <v>1</v>
      </c>
      <c r="U54" s="170"/>
      <c r="V54" s="170"/>
      <c r="W54" s="170"/>
      <c r="X54" s="1724"/>
      <c r="Y54" s="170"/>
      <c r="Z54" s="1724"/>
      <c r="AA54" s="170"/>
      <c r="AB54" s="485" t="s">
        <v>989</v>
      </c>
      <c r="AC54" s="236" t="s">
        <v>2021</v>
      </c>
      <c r="AD54" s="105" t="s">
        <v>501</v>
      </c>
      <c r="AE54" s="1249"/>
      <c r="AF54" s="1249"/>
      <c r="AG54" s="1446"/>
      <c r="AH54" s="1446"/>
      <c r="AI54" s="1241"/>
      <c r="AJ54" s="170"/>
      <c r="AK54" s="170"/>
      <c r="AL54" s="981" t="s">
        <v>2022</v>
      </c>
      <c r="AM54" s="981"/>
      <c r="AN54" s="981"/>
      <c r="AO54" s="984"/>
      <c r="AP54" s="984"/>
    </row>
    <row r="55" spans="1:42" s="1477" customFormat="1" ht="33.75" customHeight="1">
      <c r="A55" s="170"/>
      <c r="B55" s="170"/>
      <c r="C55" s="170"/>
      <c r="D55" s="170"/>
      <c r="E55" s="676">
        <v>35</v>
      </c>
      <c r="F55" s="779" t="str" cm="1">
        <f t="array" aca="1" ref="F55" ca="1">OFFSET(G55,-1,-1)</f>
        <v>1</v>
      </c>
      <c r="G55" s="170"/>
      <c r="H55" s="170"/>
      <c r="I55" s="170"/>
      <c r="J55" s="170"/>
      <c r="K55" s="170"/>
      <c r="L55" s="170"/>
      <c r="M55" s="170"/>
      <c r="N55" s="170"/>
      <c r="O55" s="170"/>
      <c r="P55" s="170"/>
      <c r="Q55" s="170"/>
      <c r="R55" s="170"/>
      <c r="S55" s="170"/>
      <c r="T55" s="687" t="b">
        <f t="shared" ca="1" si="0"/>
        <v>1</v>
      </c>
      <c r="U55" s="170"/>
      <c r="V55" s="170"/>
      <c r="W55" s="170"/>
      <c r="X55" s="1724"/>
      <c r="Y55" s="170"/>
      <c r="Z55" s="1724"/>
      <c r="AA55" s="170"/>
      <c r="AB55" s="485" t="s">
        <v>991</v>
      </c>
      <c r="AC55" s="236" t="s">
        <v>2023</v>
      </c>
      <c r="AD55" s="105" t="s">
        <v>1993</v>
      </c>
      <c r="AE55" s="1249">
        <f>IFERROR(AE53/AE54,0)</f>
        <v>0</v>
      </c>
      <c r="AF55" s="1249">
        <f>IFERROR(AF53/AF54,0)</f>
        <v>0</v>
      </c>
      <c r="AG55" s="1446"/>
      <c r="AH55" s="1446"/>
      <c r="AI55" s="1241"/>
      <c r="AJ55" s="170"/>
      <c r="AK55" s="170"/>
      <c r="AL55" s="981" t="s">
        <v>2024</v>
      </c>
      <c r="AM55" s="981"/>
      <c r="AN55" s="981"/>
      <c r="AO55" s="984"/>
      <c r="AP55" s="984"/>
    </row>
    <row r="56" spans="1:42" s="1478" customFormat="1" ht="33.75" customHeight="1">
      <c r="A56" s="170"/>
      <c r="B56" s="170"/>
      <c r="C56" s="170"/>
      <c r="D56" s="170"/>
      <c r="E56" s="676">
        <v>35</v>
      </c>
      <c r="F56" s="779" t="str" cm="1">
        <f t="array" aca="1" ref="F56" ca="1">OFFSET(G56,-1,-1)</f>
        <v>1</v>
      </c>
      <c r="G56" s="170"/>
      <c r="H56" s="170"/>
      <c r="I56" s="170"/>
      <c r="J56" s="170"/>
      <c r="K56" s="170"/>
      <c r="L56" s="170"/>
      <c r="M56" s="170"/>
      <c r="N56" s="170"/>
      <c r="O56" s="170"/>
      <c r="P56" s="170"/>
      <c r="Q56" s="170"/>
      <c r="R56" s="170"/>
      <c r="S56" s="170"/>
      <c r="T56" s="687" t="b">
        <f t="shared" ca="1" si="0"/>
        <v>1</v>
      </c>
      <c r="U56" s="170"/>
      <c r="V56" s="170"/>
      <c r="W56" s="170"/>
      <c r="X56" s="1724"/>
      <c r="Y56" s="170"/>
      <c r="Z56" s="1724"/>
      <c r="AA56" s="170"/>
      <c r="AB56" s="485" t="s">
        <v>995</v>
      </c>
      <c r="AC56" s="236" t="s">
        <v>2025</v>
      </c>
      <c r="AD56" s="105"/>
      <c r="AE56" s="1450"/>
      <c r="AF56" s="1450"/>
      <c r="AG56" s="1446"/>
      <c r="AH56" s="1446"/>
      <c r="AI56" s="1241"/>
      <c r="AJ56" s="170"/>
      <c r="AK56" s="170"/>
      <c r="AL56" s="981" t="s">
        <v>2026</v>
      </c>
      <c r="AM56" s="981"/>
      <c r="AN56" s="981"/>
      <c r="AO56" s="984"/>
      <c r="AP56" s="984"/>
    </row>
    <row r="57" spans="1:42" s="1479" customFormat="1" ht="33.75" customHeight="1">
      <c r="A57" s="170"/>
      <c r="B57" s="170"/>
      <c r="C57" s="170"/>
      <c r="D57" s="170"/>
      <c r="E57" s="676">
        <v>35</v>
      </c>
      <c r="F57" s="779" t="str" cm="1">
        <f t="array" aca="1" ref="F57" ca="1">OFFSET(G57,-1,-1)</f>
        <v>1</v>
      </c>
      <c r="G57" s="170"/>
      <c r="H57" s="170"/>
      <c r="I57" s="170"/>
      <c r="J57" s="170"/>
      <c r="K57" s="170"/>
      <c r="L57" s="170"/>
      <c r="M57" s="170"/>
      <c r="N57" s="170"/>
      <c r="O57" s="170"/>
      <c r="P57" s="170"/>
      <c r="Q57" s="170"/>
      <c r="R57" s="170"/>
      <c r="S57" s="170"/>
      <c r="T57" s="687" t="b">
        <f t="shared" ca="1" si="0"/>
        <v>1</v>
      </c>
      <c r="U57" s="170"/>
      <c r="V57" s="170"/>
      <c r="W57" s="170"/>
      <c r="X57" s="1724"/>
      <c r="Y57" s="170"/>
      <c r="Z57" s="1724"/>
      <c r="AA57" s="170"/>
      <c r="AB57" s="485" t="s">
        <v>1100</v>
      </c>
      <c r="AC57" s="866" t="s">
        <v>2027</v>
      </c>
      <c r="AD57" s="867" t="s">
        <v>1993</v>
      </c>
      <c r="AE57" s="1252">
        <f>AE55*AE56</f>
        <v>0</v>
      </c>
      <c r="AF57" s="1252">
        <f>AF55*AF56</f>
        <v>0</v>
      </c>
      <c r="AG57" s="1452"/>
      <c r="AH57" s="1452"/>
      <c r="AI57" s="1453"/>
      <c r="AJ57" s="170"/>
      <c r="AK57" s="170"/>
      <c r="AL57" s="981" t="s">
        <v>2028</v>
      </c>
      <c r="AM57" s="981"/>
      <c r="AN57" s="981"/>
      <c r="AO57" s="984"/>
      <c r="AP57" s="984"/>
    </row>
    <row r="58" spans="1:42" s="1480" customFormat="1" ht="16.5" customHeight="1">
      <c r="A58" s="170"/>
      <c r="B58" s="170"/>
      <c r="C58" s="170"/>
      <c r="D58" s="170"/>
      <c r="E58" s="676">
        <v>17.100000000000001</v>
      </c>
      <c r="F58" s="779" t="str" cm="1">
        <f t="array" aca="1" ref="F58" ca="1">OFFSET(G58,-1,-1)</f>
        <v>1</v>
      </c>
      <c r="G58" s="170"/>
      <c r="H58" s="170"/>
      <c r="I58" s="170"/>
      <c r="J58" s="170"/>
      <c r="K58" s="170"/>
      <c r="L58" s="170"/>
      <c r="M58" s="170"/>
      <c r="N58" s="170"/>
      <c r="O58" s="170"/>
      <c r="P58" s="170"/>
      <c r="Q58" s="170"/>
      <c r="R58" s="170"/>
      <c r="S58" s="170"/>
      <c r="T58" s="687" t="b">
        <f t="shared" ca="1" si="0"/>
        <v>1</v>
      </c>
      <c r="U58" s="170"/>
      <c r="V58" s="170"/>
      <c r="W58" s="170"/>
      <c r="X58" s="1724"/>
      <c r="Y58" s="170"/>
      <c r="Z58" s="1724"/>
      <c r="AA58" s="170"/>
      <c r="AB58" s="485" t="s">
        <v>1103</v>
      </c>
      <c r="AC58" s="866" t="s">
        <v>2029</v>
      </c>
      <c r="AD58" s="867" t="s">
        <v>533</v>
      </c>
      <c r="AE58" s="1252"/>
      <c r="AF58" s="1252"/>
      <c r="AG58" s="1452"/>
      <c r="AH58" s="1452"/>
      <c r="AI58" s="1453"/>
      <c r="AJ58" s="170"/>
      <c r="AK58" s="170"/>
      <c r="AL58" s="981" t="s">
        <v>2030</v>
      </c>
      <c r="AM58" s="981"/>
      <c r="AN58" s="981"/>
      <c r="AO58" s="984"/>
      <c r="AP58" s="984"/>
    </row>
    <row r="59" spans="1:42" s="1481" customFormat="1" ht="39" customHeight="1">
      <c r="A59" s="170"/>
      <c r="B59" s="170"/>
      <c r="C59" s="170"/>
      <c r="D59" s="170"/>
      <c r="E59" s="676">
        <v>40</v>
      </c>
      <c r="F59" s="779" t="str" cm="1">
        <f t="array" aca="1" ref="F59" ca="1">OFFSET(G59,-1,-1)</f>
        <v>1</v>
      </c>
      <c r="G59" s="170"/>
      <c r="H59" s="170"/>
      <c r="I59" s="170"/>
      <c r="J59" s="170"/>
      <c r="K59" s="170"/>
      <c r="L59" s="170"/>
      <c r="M59" s="170"/>
      <c r="N59" s="170"/>
      <c r="O59" s="170"/>
      <c r="P59" s="170"/>
      <c r="Q59" s="170"/>
      <c r="R59" s="170"/>
      <c r="S59" s="170"/>
      <c r="T59" s="687" t="b">
        <f t="shared" ref="T59:T90" ca="1" si="1">AND(F59&gt;0,OR(ISBLANK(Y59),Y59&gt;0))</f>
        <v>1</v>
      </c>
      <c r="U59" s="170"/>
      <c r="V59" s="170"/>
      <c r="W59" s="170"/>
      <c r="X59" s="1724"/>
      <c r="Y59" s="170"/>
      <c r="Z59" s="1724"/>
      <c r="AA59" s="170"/>
      <c r="AB59" s="485" t="s">
        <v>1106</v>
      </c>
      <c r="AC59" s="866" t="s">
        <v>2031</v>
      </c>
      <c r="AD59" s="867" t="s">
        <v>501</v>
      </c>
      <c r="AE59" s="1252"/>
      <c r="AF59" s="1252"/>
      <c r="AG59" s="1452"/>
      <c r="AH59" s="1452"/>
      <c r="AI59" s="1453"/>
      <c r="AJ59" s="170"/>
      <c r="AK59" s="170"/>
      <c r="AL59" s="981" t="s">
        <v>2032</v>
      </c>
      <c r="AM59" s="981"/>
      <c r="AN59" s="981"/>
      <c r="AO59" s="984"/>
      <c r="AP59" s="984"/>
    </row>
    <row r="60" spans="1:42" s="1482" customFormat="1" ht="16.5" customHeight="1">
      <c r="A60" s="170"/>
      <c r="B60" s="170"/>
      <c r="C60" s="170"/>
      <c r="D60" s="170"/>
      <c r="E60" s="676">
        <v>17.100000000000001</v>
      </c>
      <c r="F60" s="779" t="str" cm="1">
        <f t="array" aca="1" ref="F60" ca="1">OFFSET(G60,-1,-1)</f>
        <v>1</v>
      </c>
      <c r="G60" s="170"/>
      <c r="H60" s="170"/>
      <c r="I60" s="170"/>
      <c r="J60" s="170"/>
      <c r="K60" s="170"/>
      <c r="L60" s="170"/>
      <c r="M60" s="170"/>
      <c r="N60" s="170"/>
      <c r="O60" s="170"/>
      <c r="P60" s="170"/>
      <c r="Q60" s="170"/>
      <c r="R60" s="170"/>
      <c r="S60" s="170"/>
      <c r="T60" s="687" t="b">
        <f t="shared" ca="1" si="1"/>
        <v>1</v>
      </c>
      <c r="U60" s="170"/>
      <c r="V60" s="170"/>
      <c r="W60" s="170"/>
      <c r="X60" s="1724"/>
      <c r="Y60" s="170"/>
      <c r="Z60" s="1724"/>
      <c r="AA60" s="170"/>
      <c r="AB60" s="485" t="s">
        <v>1109</v>
      </c>
      <c r="AC60" s="866" t="s">
        <v>2033</v>
      </c>
      <c r="AD60" s="867" t="s">
        <v>1460</v>
      </c>
      <c r="AE60" s="1252">
        <f>AE57*AE59*(1+AE58)</f>
        <v>0</v>
      </c>
      <c r="AF60" s="1252">
        <f>AF57*AF59*(1+AF58)</f>
        <v>0</v>
      </c>
      <c r="AG60" s="1452"/>
      <c r="AH60" s="1452"/>
      <c r="AI60" s="1453"/>
      <c r="AJ60" s="170"/>
      <c r="AK60" s="170"/>
      <c r="AL60" s="981" t="s">
        <v>1467</v>
      </c>
      <c r="AM60" s="981"/>
      <c r="AN60" s="981"/>
      <c r="AO60" s="984"/>
      <c r="AP60" s="984"/>
    </row>
    <row r="61" spans="1:42" s="1483" customFormat="1" ht="16.5" customHeight="1">
      <c r="A61" s="170"/>
      <c r="B61" s="170"/>
      <c r="C61" s="170"/>
      <c r="D61" s="170"/>
      <c r="E61" s="676">
        <v>17.100000000000001</v>
      </c>
      <c r="F61" s="779" t="str" cm="1">
        <f t="array" aca="1" ref="F61" ca="1">OFFSET(G61,-1,-1)</f>
        <v>1</v>
      </c>
      <c r="G61" s="170"/>
      <c r="H61" s="170"/>
      <c r="I61" s="170"/>
      <c r="J61" s="170"/>
      <c r="K61" s="170"/>
      <c r="L61" s="170"/>
      <c r="M61" s="170"/>
      <c r="N61" s="170"/>
      <c r="O61" s="170"/>
      <c r="P61" s="170"/>
      <c r="Q61" s="170"/>
      <c r="R61" s="170"/>
      <c r="S61" s="170"/>
      <c r="T61" s="687" t="b">
        <f t="shared" ca="1" si="1"/>
        <v>1</v>
      </c>
      <c r="U61" s="170"/>
      <c r="V61" s="170"/>
      <c r="W61" s="170"/>
      <c r="X61" s="1724"/>
      <c r="Y61" s="170"/>
      <c r="Z61" s="1724"/>
      <c r="AA61" s="170"/>
      <c r="AB61" s="925">
        <v>2</v>
      </c>
      <c r="AC61" s="864" t="s">
        <v>2034</v>
      </c>
      <c r="AD61" s="865"/>
      <c r="AE61" s="879"/>
      <c r="AF61" s="879"/>
      <c r="AG61" s="864"/>
      <c r="AH61" s="864"/>
      <c r="AI61" s="864"/>
      <c r="AJ61" s="170"/>
      <c r="AK61" s="170"/>
      <c r="AL61" s="981"/>
      <c r="AM61" s="981"/>
      <c r="AN61" s="981"/>
      <c r="AO61" s="984"/>
      <c r="AP61" s="984"/>
    </row>
    <row r="62" spans="1:42" s="1484" customFormat="1" ht="39" customHeight="1">
      <c r="A62" s="170"/>
      <c r="B62" s="170"/>
      <c r="C62" s="170"/>
      <c r="D62" s="170"/>
      <c r="E62" s="676">
        <v>40</v>
      </c>
      <c r="F62" s="779" t="str" cm="1">
        <f t="array" aca="1" ref="F62" ca="1">OFFSET(G62,-1,-1)</f>
        <v>1</v>
      </c>
      <c r="G62" s="170"/>
      <c r="H62" s="170"/>
      <c r="I62" s="170"/>
      <c r="J62" s="170"/>
      <c r="K62" s="170"/>
      <c r="L62" s="170"/>
      <c r="M62" s="170"/>
      <c r="N62" s="170"/>
      <c r="O62" s="170"/>
      <c r="P62" s="170"/>
      <c r="Q62" s="170"/>
      <c r="R62" s="170"/>
      <c r="S62" s="170"/>
      <c r="T62" s="687" t="b">
        <f t="shared" ca="1" si="1"/>
        <v>1</v>
      </c>
      <c r="U62" s="170"/>
      <c r="V62" s="170"/>
      <c r="W62" s="170"/>
      <c r="X62" s="1724"/>
      <c r="Y62" s="170"/>
      <c r="Z62" s="1724"/>
      <c r="AA62" s="170"/>
      <c r="AB62" s="235" t="s">
        <v>491</v>
      </c>
      <c r="AC62" s="870" t="s">
        <v>2035</v>
      </c>
      <c r="AD62" s="105" t="s">
        <v>1460</v>
      </c>
      <c r="AE62" s="1314">
        <f>SUM(AE63:AE64)</f>
        <v>0</v>
      </c>
      <c r="AF62" s="1314">
        <f>SUM(AF63:AF64)</f>
        <v>0</v>
      </c>
      <c r="AG62" s="1452"/>
      <c r="AH62" s="1452"/>
      <c r="AI62" s="1453"/>
      <c r="AJ62" s="170"/>
      <c r="AK62" s="170"/>
      <c r="AL62" s="981" t="s">
        <v>2036</v>
      </c>
      <c r="AM62" s="981"/>
      <c r="AN62" s="981"/>
      <c r="AO62" s="984"/>
      <c r="AP62" s="984"/>
    </row>
    <row r="63" spans="1:42" s="1485" customFormat="1" ht="16.5" hidden="1" customHeight="1">
      <c r="A63" s="170"/>
      <c r="B63" s="170"/>
      <c r="C63" s="170"/>
      <c r="D63" s="170"/>
      <c r="E63" s="676">
        <v>17</v>
      </c>
      <c r="F63" s="779" t="str" cm="1">
        <f t="array" aca="1" ref="F63" ca="1">OFFSET(G63,-1,-1)</f>
        <v>1</v>
      </c>
      <c r="G63" s="170"/>
      <c r="H63" s="170"/>
      <c r="I63" s="170"/>
      <c r="J63" s="170"/>
      <c r="K63" s="170"/>
      <c r="L63" s="170"/>
      <c r="M63" s="170"/>
      <c r="N63" s="170"/>
      <c r="O63" s="170"/>
      <c r="P63" s="170"/>
      <c r="Q63" s="170"/>
      <c r="R63" s="170"/>
      <c r="S63" s="170"/>
      <c r="T63" s="687" t="b">
        <f t="shared" ca="1" si="1"/>
        <v>0</v>
      </c>
      <c r="U63" s="170"/>
      <c r="V63" s="170"/>
      <c r="W63" s="126" t="s">
        <v>236</v>
      </c>
      <c r="X63" s="1724"/>
      <c r="Y63" s="126">
        <v>0</v>
      </c>
      <c r="Z63" s="1724"/>
      <c r="AA63" s="11" t="s">
        <v>218</v>
      </c>
      <c r="AB63" s="235" t="str">
        <f>"2.1."&amp;Y63</f>
        <v>2.1.0</v>
      </c>
      <c r="AC63" s="96"/>
      <c r="AD63" s="105" t="s">
        <v>1460</v>
      </c>
      <c r="AE63" s="53"/>
      <c r="AF63" s="53"/>
      <c r="AG63" s="94"/>
      <c r="AH63" s="94"/>
      <c r="AI63" s="95"/>
      <c r="AJ63" s="170"/>
      <c r="AK63" s="170"/>
      <c r="AL63" s="981" t="s">
        <v>2036</v>
      </c>
      <c r="AM63" s="981" t="s">
        <v>2037</v>
      </c>
      <c r="AN63" s="981" cm="1">
        <f t="array" ref="AN63">AC63</f>
        <v>0</v>
      </c>
      <c r="AO63" s="984"/>
      <c r="AP63" s="984" t="b">
        <v>1</v>
      </c>
    </row>
    <row r="64" spans="1:42" s="1486" customFormat="1" ht="16.5" customHeight="1">
      <c r="A64" s="170"/>
      <c r="B64" s="170"/>
      <c r="C64" s="170"/>
      <c r="D64" s="170"/>
      <c r="E64" s="676">
        <v>17</v>
      </c>
      <c r="F64" s="779" t="str" cm="1">
        <f t="array" aca="1" ref="F64" ca="1">OFFSET(G64,-1,-1)</f>
        <v>1</v>
      </c>
      <c r="G64" s="170"/>
      <c r="H64" s="170"/>
      <c r="I64" s="170"/>
      <c r="J64" s="170"/>
      <c r="K64" s="170"/>
      <c r="L64" s="170"/>
      <c r="M64" s="170"/>
      <c r="N64" s="170"/>
      <c r="O64" s="170"/>
      <c r="P64" s="170"/>
      <c r="Q64" s="170"/>
      <c r="R64" s="170"/>
      <c r="S64" s="170"/>
      <c r="T64" s="687" t="b">
        <f t="shared" ca="1" si="1"/>
        <v>1</v>
      </c>
      <c r="U64" s="170"/>
      <c r="V64" s="170"/>
      <c r="W64" s="858" t="s">
        <v>1005</v>
      </c>
      <c r="X64" s="1724"/>
      <c r="Y64" s="170"/>
      <c r="Z64" s="1724"/>
      <c r="AA64" s="170"/>
      <c r="AB64" s="249"/>
      <c r="AC64" s="616" t="s">
        <v>238</v>
      </c>
      <c r="AD64" s="250"/>
      <c r="AE64" s="250"/>
      <c r="AF64" s="250"/>
      <c r="AG64" s="250"/>
      <c r="AH64" s="250"/>
      <c r="AI64" s="250"/>
      <c r="AJ64" s="170"/>
      <c r="AK64" s="170"/>
      <c r="AL64" s="981" t="str">
        <f>IF(AND(ISNUMBER(VALUE(TRIM(SUBSTITUTE(AB64,".","")))),TRIM(SUBSTITUTE(AB64,".",""))&lt;&gt;""),"P"&amp;SUBSTITUTE(AB64,".",""),"")</f>
        <v/>
      </c>
      <c r="AM64" s="981"/>
      <c r="AN64" s="981"/>
      <c r="AO64" s="984" t="s">
        <v>2037</v>
      </c>
      <c r="AP64" s="984"/>
    </row>
    <row r="65" spans="1:42" s="1487" customFormat="1" ht="39" customHeight="1">
      <c r="A65" s="170"/>
      <c r="B65" s="170"/>
      <c r="C65" s="170"/>
      <c r="D65" s="170"/>
      <c r="E65" s="676">
        <v>40</v>
      </c>
      <c r="F65" s="779" t="str" cm="1">
        <f t="array" aca="1" ref="F65" ca="1">OFFSET(G65,-1,-1)</f>
        <v>1</v>
      </c>
      <c r="G65" s="170"/>
      <c r="H65" s="170"/>
      <c r="I65" s="170"/>
      <c r="J65" s="170"/>
      <c r="K65" s="170"/>
      <c r="L65" s="170"/>
      <c r="M65" s="170"/>
      <c r="N65" s="170"/>
      <c r="O65" s="170"/>
      <c r="P65" s="170"/>
      <c r="Q65" s="170"/>
      <c r="R65" s="170"/>
      <c r="S65" s="170"/>
      <c r="T65" s="687" t="b">
        <f t="shared" ca="1" si="1"/>
        <v>1</v>
      </c>
      <c r="U65" s="170"/>
      <c r="V65" s="170"/>
      <c r="W65" s="170"/>
      <c r="X65" s="1724"/>
      <c r="Y65" s="170"/>
      <c r="Z65" s="1724"/>
      <c r="AA65" s="170"/>
      <c r="AB65" s="235" t="s">
        <v>518</v>
      </c>
      <c r="AC65" s="870" t="s">
        <v>2038</v>
      </c>
      <c r="AD65" s="105" t="s">
        <v>2007</v>
      </c>
      <c r="AE65" s="1314">
        <f>SUM(AE66:AE67)</f>
        <v>0</v>
      </c>
      <c r="AF65" s="1314">
        <f>SUM(AF66:AF67)</f>
        <v>0</v>
      </c>
      <c r="AG65" s="1452"/>
      <c r="AH65" s="1452"/>
      <c r="AI65" s="1453"/>
      <c r="AJ65" s="170"/>
      <c r="AK65" s="170"/>
      <c r="AL65" s="981" t="s">
        <v>2008</v>
      </c>
      <c r="AM65" s="981"/>
      <c r="AN65" s="981"/>
      <c r="AO65" s="984"/>
      <c r="AP65" s="984"/>
    </row>
    <row r="66" spans="1:42" s="1488" customFormat="1" ht="16.5" hidden="1" customHeight="1">
      <c r="A66" s="170"/>
      <c r="B66" s="170"/>
      <c r="C66" s="170"/>
      <c r="D66" s="170"/>
      <c r="E66" s="676">
        <v>17.100000000000001</v>
      </c>
      <c r="F66" s="779" t="str" cm="1">
        <f t="array" aca="1" ref="F66" ca="1">OFFSET(G66,-1,-1)</f>
        <v>1</v>
      </c>
      <c r="G66" s="170"/>
      <c r="H66" s="170"/>
      <c r="I66" s="170"/>
      <c r="J66" s="170"/>
      <c r="K66" s="170"/>
      <c r="L66" s="170"/>
      <c r="M66" s="170"/>
      <c r="N66" s="170"/>
      <c r="O66" s="170"/>
      <c r="P66" s="170"/>
      <c r="Q66" s="170"/>
      <c r="R66" s="170"/>
      <c r="S66" s="170"/>
      <c r="T66" s="687" t="b">
        <f t="shared" ca="1" si="1"/>
        <v>0</v>
      </c>
      <c r="U66" s="170"/>
      <c r="V66" s="170"/>
      <c r="W66" s="126" t="s">
        <v>236</v>
      </c>
      <c r="X66" s="1724"/>
      <c r="Y66" s="126">
        <v>0</v>
      </c>
      <c r="Z66" s="1724"/>
      <c r="AA66" s="11" t="s">
        <v>218</v>
      </c>
      <c r="AB66" s="235" t="str">
        <f>"2.2."&amp;Y66</f>
        <v>2.2.0</v>
      </c>
      <c r="AC66" s="96"/>
      <c r="AD66" s="105" t="s">
        <v>2007</v>
      </c>
      <c r="AE66" s="53"/>
      <c r="AF66" s="53"/>
      <c r="AG66" s="94"/>
      <c r="AH66" s="94"/>
      <c r="AI66" s="95"/>
      <c r="AJ66" s="170"/>
      <c r="AK66" s="170"/>
      <c r="AL66" s="981" t="s">
        <v>2008</v>
      </c>
      <c r="AM66" s="981" t="s">
        <v>2039</v>
      </c>
      <c r="AN66" s="981" cm="1">
        <f t="array" ref="AN66">AC66</f>
        <v>0</v>
      </c>
      <c r="AO66" s="984"/>
      <c r="AP66" s="984" t="b">
        <v>1</v>
      </c>
    </row>
    <row r="67" spans="1:42" s="1489" customFormat="1" ht="16.5" customHeight="1">
      <c r="A67" s="170"/>
      <c r="B67" s="170"/>
      <c r="C67" s="170"/>
      <c r="D67" s="170"/>
      <c r="E67" s="676">
        <v>17</v>
      </c>
      <c r="F67" s="779" t="str" cm="1">
        <f t="array" aca="1" ref="F67" ca="1">OFFSET(G67,-1,-1)</f>
        <v>1</v>
      </c>
      <c r="G67" s="170"/>
      <c r="H67" s="170"/>
      <c r="I67" s="170"/>
      <c r="J67" s="170"/>
      <c r="K67" s="170"/>
      <c r="L67" s="170"/>
      <c r="M67" s="170"/>
      <c r="N67" s="170"/>
      <c r="O67" s="170"/>
      <c r="P67" s="170"/>
      <c r="Q67" s="170"/>
      <c r="R67" s="170"/>
      <c r="S67" s="170"/>
      <c r="T67" s="687" t="b">
        <f t="shared" ca="1" si="1"/>
        <v>1</v>
      </c>
      <c r="U67" s="170"/>
      <c r="V67" s="170"/>
      <c r="W67" s="858" t="s">
        <v>1016</v>
      </c>
      <c r="X67" s="1724"/>
      <c r="Y67" s="170"/>
      <c r="Z67" s="1724"/>
      <c r="AA67" s="170"/>
      <c r="AB67" s="249"/>
      <c r="AC67" s="616" t="s">
        <v>238</v>
      </c>
      <c r="AD67" s="250"/>
      <c r="AE67" s="250"/>
      <c r="AF67" s="250"/>
      <c r="AG67" s="250"/>
      <c r="AH67" s="250"/>
      <c r="AI67" s="250"/>
      <c r="AJ67" s="170"/>
      <c r="AK67" s="170"/>
      <c r="AL67" s="981" t="str">
        <f>IF(AND(ISNUMBER(VALUE(TRIM(SUBSTITUTE(AB67,".","")))),TRIM(SUBSTITUTE(AB67,".",""))&lt;&gt;""),"P"&amp;SUBSTITUTE(AB67,".",""),"")</f>
        <v/>
      </c>
      <c r="AM67" s="981"/>
      <c r="AN67" s="981"/>
      <c r="AO67" s="984" t="s">
        <v>2039</v>
      </c>
      <c r="AP67" s="984"/>
    </row>
    <row r="68" spans="1:42" s="1490" customFormat="1" ht="33.75" customHeight="1">
      <c r="A68" s="170"/>
      <c r="B68" s="170"/>
      <c r="C68" s="170"/>
      <c r="D68" s="170"/>
      <c r="E68" s="676">
        <v>35</v>
      </c>
      <c r="F68" s="779" t="str" cm="1">
        <f t="array" aca="1" ref="F68" ca="1">OFFSET(G68,-1,-1)</f>
        <v>1</v>
      </c>
      <c r="G68" s="170"/>
      <c r="H68" s="170"/>
      <c r="I68" s="170"/>
      <c r="J68" s="170"/>
      <c r="K68" s="170"/>
      <c r="L68" s="170"/>
      <c r="M68" s="170"/>
      <c r="N68" s="170"/>
      <c r="O68" s="170"/>
      <c r="P68" s="170"/>
      <c r="Q68" s="170"/>
      <c r="R68" s="170"/>
      <c r="S68" s="170"/>
      <c r="T68" s="687" t="b">
        <f t="shared" ca="1" si="1"/>
        <v>1</v>
      </c>
      <c r="U68" s="170"/>
      <c r="V68" s="170"/>
      <c r="W68" s="170"/>
      <c r="X68" s="1724"/>
      <c r="Y68" s="170"/>
      <c r="Z68" s="1724"/>
      <c r="AA68" s="170"/>
      <c r="AB68" s="925" t="s">
        <v>522</v>
      </c>
      <c r="AC68" s="871" t="s">
        <v>2040</v>
      </c>
      <c r="AD68" s="868" t="s">
        <v>1460</v>
      </c>
      <c r="AE68" s="1249"/>
      <c r="AF68" s="1249"/>
      <c r="AG68" s="1446"/>
      <c r="AH68" s="1446"/>
      <c r="AI68" s="1241"/>
      <c r="AJ68" s="170"/>
      <c r="AK68" s="170"/>
      <c r="AL68" s="981" t="s">
        <v>2041</v>
      </c>
      <c r="AM68" s="981"/>
      <c r="AN68" s="981"/>
      <c r="AO68" s="984"/>
      <c r="AP68" s="984"/>
    </row>
    <row r="69" spans="1:42" s="1491" customFormat="1" ht="39" customHeight="1">
      <c r="A69" s="170"/>
      <c r="B69" s="170"/>
      <c r="C69" s="170"/>
      <c r="D69" s="170"/>
      <c r="E69" s="676">
        <v>40</v>
      </c>
      <c r="F69" s="779" t="str" cm="1">
        <f t="array" aca="1" ref="F69" ca="1">OFFSET(G69,-1,-1)</f>
        <v>1</v>
      </c>
      <c r="G69" s="170"/>
      <c r="H69" s="170"/>
      <c r="I69" s="170"/>
      <c r="J69" s="170"/>
      <c r="K69" s="170"/>
      <c r="L69" s="170"/>
      <c r="M69" s="170"/>
      <c r="N69" s="170"/>
      <c r="O69" s="170"/>
      <c r="P69" s="170"/>
      <c r="Q69" s="170"/>
      <c r="R69" s="170"/>
      <c r="S69" s="170"/>
      <c r="T69" s="687" t="b">
        <f t="shared" ca="1" si="1"/>
        <v>1</v>
      </c>
      <c r="U69" s="170"/>
      <c r="V69" s="170"/>
      <c r="W69" s="170"/>
      <c r="X69" s="1724"/>
      <c r="Y69" s="170"/>
      <c r="Z69" s="1724"/>
      <c r="AA69" s="170"/>
      <c r="AB69" s="235" t="s">
        <v>526</v>
      </c>
      <c r="AC69" s="236" t="s">
        <v>2042</v>
      </c>
      <c r="AD69" s="105"/>
      <c r="AE69" s="1258"/>
      <c r="AF69" s="1249"/>
      <c r="AG69" s="1446"/>
      <c r="AH69" s="1446"/>
      <c r="AI69" s="1241"/>
      <c r="AJ69" s="170"/>
      <c r="AK69" s="170"/>
      <c r="AL69" s="981" t="s">
        <v>2043</v>
      </c>
      <c r="AM69" s="981"/>
      <c r="AN69" s="981"/>
      <c r="AO69" s="984"/>
      <c r="AP69" s="984"/>
    </row>
    <row r="70" spans="1:42" s="1492" customFormat="1" ht="33.75" customHeight="1">
      <c r="A70" s="170"/>
      <c r="B70" s="170"/>
      <c r="C70" s="170"/>
      <c r="D70" s="170"/>
      <c r="E70" s="676">
        <v>35</v>
      </c>
      <c r="F70" s="779" t="str" cm="1">
        <f t="array" aca="1" ref="F70" ca="1">OFFSET(G70,-1,-1)</f>
        <v>1</v>
      </c>
      <c r="G70" s="170"/>
      <c r="H70" s="170"/>
      <c r="I70" s="170"/>
      <c r="J70" s="170"/>
      <c r="K70" s="170"/>
      <c r="L70" s="170"/>
      <c r="M70" s="170"/>
      <c r="N70" s="170"/>
      <c r="O70" s="170"/>
      <c r="P70" s="170"/>
      <c r="Q70" s="170"/>
      <c r="R70" s="170"/>
      <c r="S70" s="170"/>
      <c r="T70" s="687" t="b">
        <f t="shared" ca="1" si="1"/>
        <v>1</v>
      </c>
      <c r="U70" s="170"/>
      <c r="V70" s="170"/>
      <c r="W70" s="170"/>
      <c r="X70" s="1724"/>
      <c r="Y70" s="170"/>
      <c r="Z70" s="1724"/>
      <c r="AA70" s="170"/>
      <c r="AB70" s="235" t="s">
        <v>1619</v>
      </c>
      <c r="AC70" s="236" t="s">
        <v>2044</v>
      </c>
      <c r="AD70" s="105" t="s">
        <v>929</v>
      </c>
      <c r="AE70" s="1258">
        <f>IFERROR(AE62/AE65*AE69,0)</f>
        <v>0</v>
      </c>
      <c r="AF70" s="1258">
        <f>IFERROR(AF62/AF65*AF69,0)</f>
        <v>0</v>
      </c>
      <c r="AG70" s="1446"/>
      <c r="AH70" s="1446"/>
      <c r="AI70" s="1241"/>
      <c r="AJ70" s="170"/>
      <c r="AK70" s="170"/>
      <c r="AL70" s="981" t="s">
        <v>2045</v>
      </c>
      <c r="AM70" s="981"/>
      <c r="AN70" s="981"/>
      <c r="AO70" s="984"/>
      <c r="AP70" s="984"/>
    </row>
    <row r="71" spans="1:42" s="1493" customFormat="1" ht="16.5" customHeight="1">
      <c r="A71" s="170"/>
      <c r="B71" s="170"/>
      <c r="C71" s="170"/>
      <c r="D71" s="170"/>
      <c r="E71" s="676">
        <v>17</v>
      </c>
      <c r="F71" s="779" t="str" cm="1">
        <f t="array" aca="1" ref="F71" ca="1">OFFSET(G71,-1,-1)</f>
        <v>1</v>
      </c>
      <c r="G71" s="170"/>
      <c r="H71" s="170"/>
      <c r="I71" s="170"/>
      <c r="J71" s="170"/>
      <c r="K71" s="170"/>
      <c r="L71" s="170"/>
      <c r="M71" s="170"/>
      <c r="N71" s="170"/>
      <c r="O71" s="170"/>
      <c r="P71" s="170"/>
      <c r="Q71" s="170"/>
      <c r="R71" s="170"/>
      <c r="S71" s="170"/>
      <c r="T71" s="687" t="b">
        <f t="shared" ca="1" si="1"/>
        <v>1</v>
      </c>
      <c r="U71" s="170"/>
      <c r="V71" s="170"/>
      <c r="W71" s="170"/>
      <c r="X71" s="1724"/>
      <c r="Y71" s="170"/>
      <c r="Z71" s="1724"/>
      <c r="AA71" s="170"/>
      <c r="AB71" s="235" t="s">
        <v>2046</v>
      </c>
      <c r="AC71" s="236" t="s">
        <v>2029</v>
      </c>
      <c r="AD71" s="105" t="s">
        <v>533</v>
      </c>
      <c r="AE71" s="1258"/>
      <c r="AF71" s="1249"/>
      <c r="AG71" s="1446"/>
      <c r="AH71" s="1446"/>
      <c r="AI71" s="1241"/>
      <c r="AJ71" s="170"/>
      <c r="AK71" s="170"/>
      <c r="AL71" s="981" t="s">
        <v>2047</v>
      </c>
      <c r="AM71" s="981"/>
      <c r="AN71" s="981"/>
      <c r="AO71" s="984"/>
      <c r="AP71" s="984"/>
    </row>
    <row r="72" spans="1:42" s="1494" customFormat="1" ht="33.75" customHeight="1">
      <c r="A72" s="170"/>
      <c r="B72" s="170"/>
      <c r="C72" s="170"/>
      <c r="D72" s="170"/>
      <c r="E72" s="676">
        <v>35</v>
      </c>
      <c r="F72" s="779" t="str" cm="1">
        <f t="array" aca="1" ref="F72" ca="1">OFFSET(G72,-1,-1)</f>
        <v>1</v>
      </c>
      <c r="G72" s="170"/>
      <c r="H72" s="170"/>
      <c r="I72" s="170"/>
      <c r="J72" s="170"/>
      <c r="K72" s="170"/>
      <c r="L72" s="170"/>
      <c r="M72" s="170"/>
      <c r="N72" s="170"/>
      <c r="O72" s="170"/>
      <c r="P72" s="170"/>
      <c r="Q72" s="170"/>
      <c r="R72" s="170"/>
      <c r="S72" s="170"/>
      <c r="T72" s="687" t="b">
        <f t="shared" ca="1" si="1"/>
        <v>1</v>
      </c>
      <c r="U72" s="170"/>
      <c r="V72" s="170"/>
      <c r="W72" s="170"/>
      <c r="X72" s="1724"/>
      <c r="Y72" s="170"/>
      <c r="Z72" s="1724"/>
      <c r="AA72" s="170"/>
      <c r="AB72" s="235" t="s">
        <v>2048</v>
      </c>
      <c r="AC72" s="236" t="s">
        <v>2049</v>
      </c>
      <c r="AD72" s="105" t="s">
        <v>2007</v>
      </c>
      <c r="AE72" s="1495"/>
      <c r="AF72" s="1252"/>
      <c r="AG72" s="1446"/>
      <c r="AH72" s="1446"/>
      <c r="AI72" s="1241"/>
      <c r="AJ72" s="170"/>
      <c r="AK72" s="170"/>
      <c r="AL72" s="981" t="s">
        <v>2050</v>
      </c>
      <c r="AM72" s="981"/>
      <c r="AN72" s="981"/>
      <c r="AO72" s="984"/>
      <c r="AP72" s="984"/>
    </row>
    <row r="73" spans="1:42" s="1496" customFormat="1" ht="16.5" customHeight="1">
      <c r="A73" s="170"/>
      <c r="B73" s="170"/>
      <c r="C73" s="170"/>
      <c r="D73" s="170"/>
      <c r="E73" s="676">
        <v>17</v>
      </c>
      <c r="F73" s="779" t="str" cm="1">
        <f t="array" aca="1" ref="F73" ca="1">OFFSET(G73,-1,-1)</f>
        <v>1</v>
      </c>
      <c r="G73" s="170"/>
      <c r="H73" s="170"/>
      <c r="I73" s="170"/>
      <c r="J73" s="170"/>
      <c r="K73" s="170"/>
      <c r="L73" s="170"/>
      <c r="M73" s="170"/>
      <c r="N73" s="170"/>
      <c r="O73" s="170"/>
      <c r="P73" s="170"/>
      <c r="Q73" s="170"/>
      <c r="R73" s="170"/>
      <c r="S73" s="170"/>
      <c r="T73" s="687" t="b">
        <f t="shared" ca="1" si="1"/>
        <v>1</v>
      </c>
      <c r="U73" s="170"/>
      <c r="V73" s="170"/>
      <c r="W73" s="170"/>
      <c r="X73" s="1724"/>
      <c r="Y73" s="170"/>
      <c r="Z73" s="1724"/>
      <c r="AA73" s="170"/>
      <c r="AB73" s="235" t="s">
        <v>2051</v>
      </c>
      <c r="AC73" s="236" t="s">
        <v>2052</v>
      </c>
      <c r="AD73" s="105" t="s">
        <v>1460</v>
      </c>
      <c r="AE73" s="1249">
        <f>AE70*AE72*(1+AE71)</f>
        <v>0</v>
      </c>
      <c r="AF73" s="1249">
        <f>AF70*AF72*(1+AF71)</f>
        <v>0</v>
      </c>
      <c r="AG73" s="1446"/>
      <c r="AH73" s="1446"/>
      <c r="AI73" s="1241"/>
      <c r="AJ73" s="170"/>
      <c r="AK73" s="170"/>
      <c r="AL73" s="981" t="s">
        <v>2053</v>
      </c>
      <c r="AM73" s="981"/>
      <c r="AN73" s="981"/>
      <c r="AO73" s="984"/>
      <c r="AP73" s="984"/>
    </row>
    <row r="74" spans="1:42" s="1229" customFormat="1" ht="17.25" hidden="1" customHeight="1">
      <c r="A74" s="983"/>
      <c r="B74" s="783"/>
      <c r="C74" s="178"/>
      <c r="D74" s="178"/>
      <c r="E74" s="676">
        <v>0</v>
      </c>
      <c r="F74" s="779" t="str" cm="1">
        <f t="array" aca="1" ref="F74" ca="1">OFFSET(G74,-1,-1)</f>
        <v>1</v>
      </c>
      <c r="G74" s="180"/>
      <c r="H74" s="180"/>
      <c r="I74" s="180"/>
      <c r="J74" s="180"/>
      <c r="K74" s="180"/>
      <c r="L74" s="180"/>
      <c r="M74" s="180"/>
      <c r="N74" s="180"/>
      <c r="O74" s="180"/>
      <c r="P74" s="180"/>
      <c r="Q74" s="143"/>
      <c r="R74" s="143"/>
      <c r="S74" s="180"/>
      <c r="T74" s="687" t="b">
        <f t="shared" ca="1" si="1"/>
        <v>1</v>
      </c>
      <c r="U74" s="1153"/>
      <c r="V74" s="1153"/>
      <c r="W74" s="1153"/>
      <c r="X74" s="1726"/>
      <c r="Y74" s="1153"/>
      <c r="Z74" s="1726"/>
      <c r="AA74" s="180"/>
      <c r="AB74" s="178"/>
      <c r="AC74" s="179"/>
      <c r="AD74" s="178"/>
      <c r="AE74" s="180"/>
      <c r="AF74" s="180"/>
      <c r="AG74" s="180"/>
      <c r="AH74" s="180"/>
      <c r="AI74" s="180"/>
      <c r="AJ74" s="180"/>
      <c r="AK74" s="180"/>
      <c r="AL74" s="1031"/>
      <c r="AM74" s="1031"/>
      <c r="AN74" s="1031"/>
      <c r="AO74" s="1032"/>
      <c r="AP74" s="1032"/>
    </row>
    <row r="75" spans="1:42" s="1497" customFormat="1" ht="16.5" customHeight="1">
      <c r="A75" s="170"/>
      <c r="B75" s="170"/>
      <c r="C75" s="170"/>
      <c r="D75" s="170"/>
      <c r="E75" s="676">
        <v>17.100000000000001</v>
      </c>
      <c r="F75" s="779" t="str" cm="1">
        <f t="array" ref="F75">X75</f>
        <v>2</v>
      </c>
      <c r="G75" s="620" t="str" cm="1">
        <f t="array" ref="G75">INDEX('Общие сведения'!$AK$187:$AK$236,MATCH($F75,'Общие сведения'!$Z$187:$Z$236,0))</f>
        <v>одноставочный</v>
      </c>
      <c r="H75" s="170"/>
      <c r="I75" s="163" t="str" cm="1">
        <f t="array" ref="I75">INDEX('Общие сведения'!$AE$187:$AE$236,MATCH($F75,'Общие сведения'!$Z$187:$Z$236,0))</f>
        <v>Теплоснабжение</v>
      </c>
      <c r="J75" s="170"/>
      <c r="K75" s="163" t="str" cm="1">
        <f t="array" ref="K75">INDEX('Общие сведения'!$AL$187:$AL$236,MATCH($F75,'Общие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75" s="170"/>
      <c r="M75" s="170"/>
      <c r="N75" s="170"/>
      <c r="O75" s="170"/>
      <c r="P75" s="170"/>
      <c r="Q75" s="170"/>
      <c r="R75" s="170"/>
      <c r="S75" s="170"/>
      <c r="T75" s="687" t="b">
        <f t="shared" si="1"/>
        <v>1</v>
      </c>
      <c r="U75" s="170"/>
      <c r="V75" s="126" t="str" cm="1">
        <f t="array" ref="V75">'Удельные расходы (МСА)'!$AB$55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5" s="170"/>
      <c r="X75" s="1838" t="s">
        <v>348</v>
      </c>
      <c r="Y75" s="170"/>
      <c r="Z75" s="1724"/>
      <c r="AA75" s="170"/>
      <c r="AB75" s="275" t="str" cm="1">
        <f t="array" ref="AB75">IF(ISBLANK('Удельные расходы (МСА)'!$AB$55),"",'Удельные расходы (МСА)'!$AB$55)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5" s="276"/>
      <c r="AD75" s="276"/>
      <c r="AE75" s="276"/>
      <c r="AF75" s="276"/>
      <c r="AG75" s="276"/>
      <c r="AH75" s="276"/>
      <c r="AI75" s="276"/>
      <c r="AJ75" s="170"/>
      <c r="AK75" s="170"/>
      <c r="AL75" s="981"/>
      <c r="AM75" s="981"/>
      <c r="AN75" s="981"/>
      <c r="AO75" s="984"/>
      <c r="AP75" s="984"/>
    </row>
    <row r="76" spans="1:42" s="1498" customFormat="1" ht="16.5" customHeight="1">
      <c r="A76" s="170"/>
      <c r="B76" s="170"/>
      <c r="C76" s="170"/>
      <c r="D76" s="170"/>
      <c r="E76" s="676">
        <v>17.100000000000001</v>
      </c>
      <c r="F76" s="779" t="str" cm="1">
        <f t="array" aca="1" ref="F76" ca="1">OFFSET(G76,-1,-1)</f>
        <v>2</v>
      </c>
      <c r="G76" s="170"/>
      <c r="H76" s="170"/>
      <c r="I76" s="170"/>
      <c r="J76" s="170"/>
      <c r="K76" s="170"/>
      <c r="L76" s="170"/>
      <c r="M76" s="170"/>
      <c r="N76" s="170"/>
      <c r="O76" s="170"/>
      <c r="P76" s="170"/>
      <c r="Q76" s="170"/>
      <c r="R76" s="170"/>
      <c r="S76" s="170"/>
      <c r="T76" s="687" t="b">
        <f t="shared" ca="1" si="1"/>
        <v>1</v>
      </c>
      <c r="U76" s="170"/>
      <c r="V76" s="170"/>
      <c r="W76" s="170"/>
      <c r="X76" s="1724"/>
      <c r="Y76" s="170"/>
      <c r="Z76" s="1724"/>
      <c r="AA76" s="170"/>
      <c r="AB76" s="485">
        <v>1</v>
      </c>
      <c r="AC76" s="864" t="s">
        <v>2018</v>
      </c>
      <c r="AD76" s="865"/>
      <c r="AE76" s="865"/>
      <c r="AF76" s="865"/>
      <c r="AG76" s="865"/>
      <c r="AH76" s="865"/>
      <c r="AI76" s="865"/>
      <c r="AJ76" s="170"/>
      <c r="AK76" s="170"/>
      <c r="AL76" s="981"/>
      <c r="AM76" s="981"/>
      <c r="AN76" s="981"/>
      <c r="AO76" s="984"/>
      <c r="AP76" s="984"/>
    </row>
    <row r="77" spans="1:42" s="1499" customFormat="1" ht="39" customHeight="1">
      <c r="A77" s="170"/>
      <c r="B77" s="170"/>
      <c r="C77" s="170"/>
      <c r="D77" s="170"/>
      <c r="E77" s="676">
        <v>40</v>
      </c>
      <c r="F77" s="779" t="str" cm="1">
        <f t="array" aca="1" ref="F77" ca="1">OFFSET(G77,-1,-1)</f>
        <v>2</v>
      </c>
      <c r="G77" s="170"/>
      <c r="H77" s="170"/>
      <c r="I77" s="170"/>
      <c r="J77" s="170"/>
      <c r="K77" s="170"/>
      <c r="L77" s="170"/>
      <c r="M77" s="170"/>
      <c r="N77" s="170"/>
      <c r="O77" s="170"/>
      <c r="P77" s="170"/>
      <c r="Q77" s="170"/>
      <c r="R77" s="170"/>
      <c r="S77" s="170"/>
      <c r="T77" s="687" t="b">
        <f t="shared" ca="1" si="1"/>
        <v>1</v>
      </c>
      <c r="U77" s="170"/>
      <c r="V77" s="170"/>
      <c r="W77" s="170"/>
      <c r="X77" s="1724"/>
      <c r="Y77" s="170"/>
      <c r="Z77" s="1724"/>
      <c r="AA77" s="170"/>
      <c r="AB77" s="485" t="s">
        <v>484</v>
      </c>
      <c r="AC77" s="236" t="s">
        <v>2019</v>
      </c>
      <c r="AD77" s="105" t="s">
        <v>1460</v>
      </c>
      <c r="AE77" s="1249"/>
      <c r="AF77" s="1249"/>
      <c r="AG77" s="1446"/>
      <c r="AH77" s="1446"/>
      <c r="AI77" s="1241"/>
      <c r="AJ77" s="170"/>
      <c r="AK77" s="170"/>
      <c r="AL77" s="981" t="s">
        <v>2020</v>
      </c>
      <c r="AM77" s="981"/>
      <c r="AN77" s="981"/>
      <c r="AO77" s="984"/>
      <c r="AP77" s="984"/>
    </row>
    <row r="78" spans="1:42" s="1500" customFormat="1" ht="39" customHeight="1">
      <c r="A78" s="170"/>
      <c r="B78" s="170"/>
      <c r="C78" s="170"/>
      <c r="D78" s="170"/>
      <c r="E78" s="676">
        <v>40</v>
      </c>
      <c r="F78" s="779" t="str" cm="1">
        <f t="array" aca="1" ref="F78" ca="1">OFFSET(G78,-1,-1)</f>
        <v>2</v>
      </c>
      <c r="G78" s="170"/>
      <c r="H78" s="170"/>
      <c r="I78" s="170"/>
      <c r="J78" s="170"/>
      <c r="K78" s="170"/>
      <c r="L78" s="170"/>
      <c r="M78" s="170"/>
      <c r="N78" s="170"/>
      <c r="O78" s="170"/>
      <c r="P78" s="170"/>
      <c r="Q78" s="170"/>
      <c r="R78" s="170"/>
      <c r="S78" s="170"/>
      <c r="T78" s="687" t="b">
        <f t="shared" ca="1" si="1"/>
        <v>1</v>
      </c>
      <c r="U78" s="170"/>
      <c r="V78" s="170"/>
      <c r="W78" s="170"/>
      <c r="X78" s="1724"/>
      <c r="Y78" s="170"/>
      <c r="Z78" s="1724"/>
      <c r="AA78" s="170"/>
      <c r="AB78" s="485" t="s">
        <v>989</v>
      </c>
      <c r="AC78" s="236" t="s">
        <v>2021</v>
      </c>
      <c r="AD78" s="105" t="s">
        <v>501</v>
      </c>
      <c r="AE78" s="1249"/>
      <c r="AF78" s="1249"/>
      <c r="AG78" s="1446"/>
      <c r="AH78" s="1446"/>
      <c r="AI78" s="1241"/>
      <c r="AJ78" s="170"/>
      <c r="AK78" s="170"/>
      <c r="AL78" s="981" t="s">
        <v>2022</v>
      </c>
      <c r="AM78" s="981"/>
      <c r="AN78" s="981"/>
      <c r="AO78" s="984"/>
      <c r="AP78" s="984"/>
    </row>
    <row r="79" spans="1:42" s="1501" customFormat="1" ht="33.75" customHeight="1">
      <c r="A79" s="170"/>
      <c r="B79" s="170"/>
      <c r="C79" s="170"/>
      <c r="D79" s="170"/>
      <c r="E79" s="676">
        <v>35</v>
      </c>
      <c r="F79" s="779" t="str" cm="1">
        <f t="array" aca="1" ref="F79" ca="1">OFFSET(G79,-1,-1)</f>
        <v>2</v>
      </c>
      <c r="G79" s="170"/>
      <c r="H79" s="170"/>
      <c r="I79" s="170"/>
      <c r="J79" s="170"/>
      <c r="K79" s="170"/>
      <c r="L79" s="170"/>
      <c r="M79" s="170"/>
      <c r="N79" s="170"/>
      <c r="O79" s="170"/>
      <c r="P79" s="170"/>
      <c r="Q79" s="170"/>
      <c r="R79" s="170"/>
      <c r="S79" s="170"/>
      <c r="T79" s="687" t="b">
        <f t="shared" ca="1" si="1"/>
        <v>1</v>
      </c>
      <c r="U79" s="170"/>
      <c r="V79" s="170"/>
      <c r="W79" s="170"/>
      <c r="X79" s="1724"/>
      <c r="Y79" s="170"/>
      <c r="Z79" s="1724"/>
      <c r="AA79" s="170"/>
      <c r="AB79" s="485" t="s">
        <v>991</v>
      </c>
      <c r="AC79" s="236" t="s">
        <v>2023</v>
      </c>
      <c r="AD79" s="105" t="s">
        <v>1993</v>
      </c>
      <c r="AE79" s="1249">
        <f>IFERROR(AE77/AE78,0)</f>
        <v>0</v>
      </c>
      <c r="AF79" s="1249">
        <f>IFERROR(AF77/AF78,0)</f>
        <v>0</v>
      </c>
      <c r="AG79" s="1446"/>
      <c r="AH79" s="1446"/>
      <c r="AI79" s="1241"/>
      <c r="AJ79" s="170"/>
      <c r="AK79" s="170"/>
      <c r="AL79" s="981" t="s">
        <v>2024</v>
      </c>
      <c r="AM79" s="981"/>
      <c r="AN79" s="981"/>
      <c r="AO79" s="984"/>
      <c r="AP79" s="984"/>
    </row>
    <row r="80" spans="1:42" s="1502" customFormat="1" ht="33.75" customHeight="1">
      <c r="A80" s="170"/>
      <c r="B80" s="170"/>
      <c r="C80" s="170"/>
      <c r="D80" s="170"/>
      <c r="E80" s="676">
        <v>35</v>
      </c>
      <c r="F80" s="779" t="str" cm="1">
        <f t="array" aca="1" ref="F80" ca="1">OFFSET(G80,-1,-1)</f>
        <v>2</v>
      </c>
      <c r="G80" s="170"/>
      <c r="H80" s="170"/>
      <c r="I80" s="170"/>
      <c r="J80" s="170"/>
      <c r="K80" s="170"/>
      <c r="L80" s="170"/>
      <c r="M80" s="170"/>
      <c r="N80" s="170"/>
      <c r="O80" s="170"/>
      <c r="P80" s="170"/>
      <c r="Q80" s="170"/>
      <c r="R80" s="170"/>
      <c r="S80" s="170"/>
      <c r="T80" s="687" t="b">
        <f t="shared" ca="1" si="1"/>
        <v>1</v>
      </c>
      <c r="U80" s="170"/>
      <c r="V80" s="170"/>
      <c r="W80" s="170"/>
      <c r="X80" s="1724"/>
      <c r="Y80" s="170"/>
      <c r="Z80" s="1724"/>
      <c r="AA80" s="170"/>
      <c r="AB80" s="485" t="s">
        <v>995</v>
      </c>
      <c r="AC80" s="236" t="s">
        <v>2025</v>
      </c>
      <c r="AD80" s="105"/>
      <c r="AE80" s="1450"/>
      <c r="AF80" s="1450"/>
      <c r="AG80" s="1446"/>
      <c r="AH80" s="1446"/>
      <c r="AI80" s="1241"/>
      <c r="AJ80" s="170"/>
      <c r="AK80" s="170"/>
      <c r="AL80" s="981" t="s">
        <v>2026</v>
      </c>
      <c r="AM80" s="981"/>
      <c r="AN80" s="981"/>
      <c r="AO80" s="984"/>
      <c r="AP80" s="984"/>
    </row>
    <row r="81" spans="1:42" s="1503" customFormat="1" ht="33.75" customHeight="1">
      <c r="A81" s="170"/>
      <c r="B81" s="170"/>
      <c r="C81" s="170"/>
      <c r="D81" s="170"/>
      <c r="E81" s="676">
        <v>35</v>
      </c>
      <c r="F81" s="779" t="str" cm="1">
        <f t="array" aca="1" ref="F81" ca="1">OFFSET(G81,-1,-1)</f>
        <v>2</v>
      </c>
      <c r="G81" s="170"/>
      <c r="H81" s="170"/>
      <c r="I81" s="170"/>
      <c r="J81" s="170"/>
      <c r="K81" s="170"/>
      <c r="L81" s="170"/>
      <c r="M81" s="170"/>
      <c r="N81" s="170"/>
      <c r="O81" s="170"/>
      <c r="P81" s="170"/>
      <c r="Q81" s="170"/>
      <c r="R81" s="170"/>
      <c r="S81" s="170"/>
      <c r="T81" s="687" t="b">
        <f t="shared" ca="1" si="1"/>
        <v>1</v>
      </c>
      <c r="U81" s="170"/>
      <c r="V81" s="170"/>
      <c r="W81" s="170"/>
      <c r="X81" s="1724"/>
      <c r="Y81" s="170"/>
      <c r="Z81" s="1724"/>
      <c r="AA81" s="170"/>
      <c r="AB81" s="485" t="s">
        <v>1100</v>
      </c>
      <c r="AC81" s="866" t="s">
        <v>2027</v>
      </c>
      <c r="AD81" s="867" t="s">
        <v>1993</v>
      </c>
      <c r="AE81" s="1252">
        <f>AE79*AE80</f>
        <v>0</v>
      </c>
      <c r="AF81" s="1252">
        <f>AF79*AF80</f>
        <v>0</v>
      </c>
      <c r="AG81" s="1452"/>
      <c r="AH81" s="1452"/>
      <c r="AI81" s="1453"/>
      <c r="AJ81" s="170"/>
      <c r="AK81" s="170"/>
      <c r="AL81" s="981" t="s">
        <v>2028</v>
      </c>
      <c r="AM81" s="981"/>
      <c r="AN81" s="981"/>
      <c r="AO81" s="984"/>
      <c r="AP81" s="984"/>
    </row>
    <row r="82" spans="1:42" s="1504" customFormat="1" ht="16.5" customHeight="1">
      <c r="A82" s="170"/>
      <c r="B82" s="170"/>
      <c r="C82" s="170"/>
      <c r="D82" s="170"/>
      <c r="E82" s="676">
        <v>17.100000000000001</v>
      </c>
      <c r="F82" s="779" t="str" cm="1">
        <f t="array" aca="1" ref="F82" ca="1">OFFSET(G82,-1,-1)</f>
        <v>2</v>
      </c>
      <c r="G82" s="170"/>
      <c r="H82" s="170"/>
      <c r="I82" s="170"/>
      <c r="J82" s="170"/>
      <c r="K82" s="170"/>
      <c r="L82" s="170"/>
      <c r="M82" s="170"/>
      <c r="N82" s="170"/>
      <c r="O82" s="170"/>
      <c r="P82" s="170"/>
      <c r="Q82" s="170"/>
      <c r="R82" s="170"/>
      <c r="S82" s="170"/>
      <c r="T82" s="687" t="b">
        <f t="shared" ca="1" si="1"/>
        <v>1</v>
      </c>
      <c r="U82" s="170"/>
      <c r="V82" s="170"/>
      <c r="W82" s="170"/>
      <c r="X82" s="1724"/>
      <c r="Y82" s="170"/>
      <c r="Z82" s="1724"/>
      <c r="AA82" s="170"/>
      <c r="AB82" s="485" t="s">
        <v>1103</v>
      </c>
      <c r="AC82" s="866" t="s">
        <v>2029</v>
      </c>
      <c r="AD82" s="867" t="s">
        <v>533</v>
      </c>
      <c r="AE82" s="1252"/>
      <c r="AF82" s="1252"/>
      <c r="AG82" s="1452"/>
      <c r="AH82" s="1452"/>
      <c r="AI82" s="1453"/>
      <c r="AJ82" s="170"/>
      <c r="AK82" s="170"/>
      <c r="AL82" s="981" t="s">
        <v>2030</v>
      </c>
      <c r="AM82" s="981"/>
      <c r="AN82" s="981"/>
      <c r="AO82" s="984"/>
      <c r="AP82" s="984"/>
    </row>
    <row r="83" spans="1:42" s="1505" customFormat="1" ht="39" customHeight="1">
      <c r="A83" s="170"/>
      <c r="B83" s="170"/>
      <c r="C83" s="170"/>
      <c r="D83" s="170"/>
      <c r="E83" s="676">
        <v>40</v>
      </c>
      <c r="F83" s="779" t="str" cm="1">
        <f t="array" aca="1" ref="F83" ca="1">OFFSET(G83,-1,-1)</f>
        <v>2</v>
      </c>
      <c r="G83" s="170"/>
      <c r="H83" s="170"/>
      <c r="I83" s="170"/>
      <c r="J83" s="170"/>
      <c r="K83" s="170"/>
      <c r="L83" s="170"/>
      <c r="M83" s="170"/>
      <c r="N83" s="170"/>
      <c r="O83" s="170"/>
      <c r="P83" s="170"/>
      <c r="Q83" s="170"/>
      <c r="R83" s="170"/>
      <c r="S83" s="170"/>
      <c r="T83" s="687" t="b">
        <f t="shared" ca="1" si="1"/>
        <v>1</v>
      </c>
      <c r="U83" s="170"/>
      <c r="V83" s="170"/>
      <c r="W83" s="170"/>
      <c r="X83" s="1724"/>
      <c r="Y83" s="170"/>
      <c r="Z83" s="1724"/>
      <c r="AA83" s="170"/>
      <c r="AB83" s="485" t="s">
        <v>1106</v>
      </c>
      <c r="AC83" s="866" t="s">
        <v>2031</v>
      </c>
      <c r="AD83" s="867" t="s">
        <v>501</v>
      </c>
      <c r="AE83" s="1252"/>
      <c r="AF83" s="1252"/>
      <c r="AG83" s="1452"/>
      <c r="AH83" s="1452"/>
      <c r="AI83" s="1453"/>
      <c r="AJ83" s="170"/>
      <c r="AK83" s="170"/>
      <c r="AL83" s="981" t="s">
        <v>2032</v>
      </c>
      <c r="AM83" s="981"/>
      <c r="AN83" s="981"/>
      <c r="AO83" s="984"/>
      <c r="AP83" s="984"/>
    </row>
    <row r="84" spans="1:42" s="1506" customFormat="1" ht="16.5" customHeight="1">
      <c r="A84" s="170"/>
      <c r="B84" s="170"/>
      <c r="C84" s="170"/>
      <c r="D84" s="170"/>
      <c r="E84" s="676">
        <v>17.100000000000001</v>
      </c>
      <c r="F84" s="779" t="str" cm="1">
        <f t="array" aca="1" ref="F84" ca="1">OFFSET(G84,-1,-1)</f>
        <v>2</v>
      </c>
      <c r="G84" s="170"/>
      <c r="H84" s="170"/>
      <c r="I84" s="170"/>
      <c r="J84" s="170"/>
      <c r="K84" s="170"/>
      <c r="L84" s="170"/>
      <c r="M84" s="170"/>
      <c r="N84" s="170"/>
      <c r="O84" s="170"/>
      <c r="P84" s="170"/>
      <c r="Q84" s="170"/>
      <c r="R84" s="170"/>
      <c r="S84" s="170"/>
      <c r="T84" s="687" t="b">
        <f t="shared" ca="1" si="1"/>
        <v>1</v>
      </c>
      <c r="U84" s="170"/>
      <c r="V84" s="170"/>
      <c r="W84" s="170"/>
      <c r="X84" s="1724"/>
      <c r="Y84" s="170"/>
      <c r="Z84" s="1724"/>
      <c r="AA84" s="170"/>
      <c r="AB84" s="485" t="s">
        <v>1109</v>
      </c>
      <c r="AC84" s="866" t="s">
        <v>2033</v>
      </c>
      <c r="AD84" s="867" t="s">
        <v>1460</v>
      </c>
      <c r="AE84" s="1252">
        <f>AE81*AE83*(1+AE82)</f>
        <v>0</v>
      </c>
      <c r="AF84" s="1252">
        <f>AF81*AF83*(1+AF82)</f>
        <v>0</v>
      </c>
      <c r="AG84" s="1452"/>
      <c r="AH84" s="1452"/>
      <c r="AI84" s="1453"/>
      <c r="AJ84" s="170"/>
      <c r="AK84" s="170"/>
      <c r="AL84" s="981" t="s">
        <v>1467</v>
      </c>
      <c r="AM84" s="981"/>
      <c r="AN84" s="981"/>
      <c r="AO84" s="984"/>
      <c r="AP84" s="984"/>
    </row>
    <row r="85" spans="1:42" s="1507" customFormat="1" ht="16.5" customHeight="1">
      <c r="A85" s="170"/>
      <c r="B85" s="170"/>
      <c r="C85" s="170"/>
      <c r="D85" s="170"/>
      <c r="E85" s="676">
        <v>17.100000000000001</v>
      </c>
      <c r="F85" s="779" t="str" cm="1">
        <f t="array" aca="1" ref="F85" ca="1">OFFSET(G85,-1,-1)</f>
        <v>2</v>
      </c>
      <c r="G85" s="170"/>
      <c r="H85" s="170"/>
      <c r="I85" s="170"/>
      <c r="J85" s="170"/>
      <c r="K85" s="170"/>
      <c r="L85" s="170"/>
      <c r="M85" s="170"/>
      <c r="N85" s="170"/>
      <c r="O85" s="170"/>
      <c r="P85" s="170"/>
      <c r="Q85" s="170"/>
      <c r="R85" s="170"/>
      <c r="S85" s="170"/>
      <c r="T85" s="687" t="b">
        <f t="shared" ca="1" si="1"/>
        <v>1</v>
      </c>
      <c r="U85" s="170"/>
      <c r="V85" s="170"/>
      <c r="W85" s="170"/>
      <c r="X85" s="1724"/>
      <c r="Y85" s="170"/>
      <c r="Z85" s="1724"/>
      <c r="AA85" s="170"/>
      <c r="AB85" s="925">
        <v>2</v>
      </c>
      <c r="AC85" s="864" t="s">
        <v>2034</v>
      </c>
      <c r="AD85" s="865"/>
      <c r="AE85" s="879"/>
      <c r="AF85" s="879"/>
      <c r="AG85" s="864"/>
      <c r="AH85" s="864"/>
      <c r="AI85" s="864"/>
      <c r="AJ85" s="170"/>
      <c r="AK85" s="170"/>
      <c r="AL85" s="981"/>
      <c r="AM85" s="981"/>
      <c r="AN85" s="981"/>
      <c r="AO85" s="984"/>
      <c r="AP85" s="984"/>
    </row>
    <row r="86" spans="1:42" s="1508" customFormat="1" ht="39" customHeight="1">
      <c r="A86" s="170"/>
      <c r="B86" s="170"/>
      <c r="C86" s="170"/>
      <c r="D86" s="170"/>
      <c r="E86" s="676">
        <v>40</v>
      </c>
      <c r="F86" s="779" t="str" cm="1">
        <f t="array" aca="1" ref="F86" ca="1">OFFSET(G86,-1,-1)</f>
        <v>2</v>
      </c>
      <c r="G86" s="170"/>
      <c r="H86" s="170"/>
      <c r="I86" s="170"/>
      <c r="J86" s="170"/>
      <c r="K86" s="170"/>
      <c r="L86" s="170"/>
      <c r="M86" s="170"/>
      <c r="N86" s="170"/>
      <c r="O86" s="170"/>
      <c r="P86" s="170"/>
      <c r="Q86" s="170"/>
      <c r="R86" s="170"/>
      <c r="S86" s="170"/>
      <c r="T86" s="687" t="b">
        <f t="shared" ca="1" si="1"/>
        <v>1</v>
      </c>
      <c r="U86" s="170"/>
      <c r="V86" s="170"/>
      <c r="W86" s="170"/>
      <c r="X86" s="1724"/>
      <c r="Y86" s="170"/>
      <c r="Z86" s="1724"/>
      <c r="AA86" s="170"/>
      <c r="AB86" s="235" t="s">
        <v>491</v>
      </c>
      <c r="AC86" s="870" t="s">
        <v>2035</v>
      </c>
      <c r="AD86" s="105" t="s">
        <v>1460</v>
      </c>
      <c r="AE86" s="1314">
        <f>SUM(AE87:AE88)</f>
        <v>0</v>
      </c>
      <c r="AF86" s="1314">
        <f>SUM(AF87:AF88)</f>
        <v>0</v>
      </c>
      <c r="AG86" s="1452"/>
      <c r="AH86" s="1452"/>
      <c r="AI86" s="1453"/>
      <c r="AJ86" s="170"/>
      <c r="AK86" s="170"/>
      <c r="AL86" s="981" t="s">
        <v>2036</v>
      </c>
      <c r="AM86" s="981"/>
      <c r="AN86" s="981"/>
      <c r="AO86" s="984"/>
      <c r="AP86" s="984"/>
    </row>
    <row r="87" spans="1:42" s="1509" customFormat="1" ht="16.5" hidden="1" customHeight="1">
      <c r="A87" s="170"/>
      <c r="B87" s="170"/>
      <c r="C87" s="170"/>
      <c r="D87" s="170"/>
      <c r="E87" s="676">
        <v>17</v>
      </c>
      <c r="F87" s="779" t="str" cm="1">
        <f t="array" aca="1" ref="F87" ca="1">OFFSET(G87,-1,-1)</f>
        <v>2</v>
      </c>
      <c r="G87" s="170"/>
      <c r="H87" s="170"/>
      <c r="I87" s="170"/>
      <c r="J87" s="170"/>
      <c r="K87" s="170"/>
      <c r="L87" s="170"/>
      <c r="M87" s="170"/>
      <c r="N87" s="170"/>
      <c r="O87" s="170"/>
      <c r="P87" s="170"/>
      <c r="Q87" s="170"/>
      <c r="R87" s="170"/>
      <c r="S87" s="170"/>
      <c r="T87" s="687" t="b">
        <f t="shared" ca="1" si="1"/>
        <v>0</v>
      </c>
      <c r="U87" s="170"/>
      <c r="V87" s="170"/>
      <c r="W87" s="126" t="s">
        <v>236</v>
      </c>
      <c r="X87" s="1724"/>
      <c r="Y87" s="126">
        <v>0</v>
      </c>
      <c r="Z87" s="1724"/>
      <c r="AA87" s="11" t="s">
        <v>218</v>
      </c>
      <c r="AB87" s="235" t="str">
        <f>"2.1."&amp;Y87</f>
        <v>2.1.0</v>
      </c>
      <c r="AC87" s="96"/>
      <c r="AD87" s="105" t="s">
        <v>1460</v>
      </c>
      <c r="AE87" s="53"/>
      <c r="AF87" s="53"/>
      <c r="AG87" s="94"/>
      <c r="AH87" s="94"/>
      <c r="AI87" s="95"/>
      <c r="AJ87" s="170"/>
      <c r="AK87" s="170"/>
      <c r="AL87" s="981" t="s">
        <v>2036</v>
      </c>
      <c r="AM87" s="981" t="s">
        <v>2037</v>
      </c>
      <c r="AN87" s="981" cm="1">
        <f t="array" ref="AN87">AC87</f>
        <v>0</v>
      </c>
      <c r="AO87" s="984"/>
      <c r="AP87" s="984" t="b">
        <v>1</v>
      </c>
    </row>
    <row r="88" spans="1:42" s="1510" customFormat="1" ht="16.5" customHeight="1">
      <c r="A88" s="170"/>
      <c r="B88" s="170"/>
      <c r="C88" s="170"/>
      <c r="D88" s="170"/>
      <c r="E88" s="676">
        <v>17</v>
      </c>
      <c r="F88" s="779" t="str" cm="1">
        <f t="array" aca="1" ref="F88" ca="1">OFFSET(G88,-1,-1)</f>
        <v>2</v>
      </c>
      <c r="G88" s="170"/>
      <c r="H88" s="170"/>
      <c r="I88" s="170"/>
      <c r="J88" s="170"/>
      <c r="K88" s="170"/>
      <c r="L88" s="170"/>
      <c r="M88" s="170"/>
      <c r="N88" s="170"/>
      <c r="O88" s="170"/>
      <c r="P88" s="170"/>
      <c r="Q88" s="170"/>
      <c r="R88" s="170"/>
      <c r="S88" s="170"/>
      <c r="T88" s="687" t="b">
        <f t="shared" ca="1" si="1"/>
        <v>1</v>
      </c>
      <c r="U88" s="170"/>
      <c r="V88" s="170"/>
      <c r="W88" s="858" t="s">
        <v>1005</v>
      </c>
      <c r="X88" s="1724"/>
      <c r="Y88" s="170"/>
      <c r="Z88" s="1724"/>
      <c r="AA88" s="170"/>
      <c r="AB88" s="249"/>
      <c r="AC88" s="616" t="s">
        <v>238</v>
      </c>
      <c r="AD88" s="250"/>
      <c r="AE88" s="250"/>
      <c r="AF88" s="250"/>
      <c r="AG88" s="250"/>
      <c r="AH88" s="250"/>
      <c r="AI88" s="250"/>
      <c r="AJ88" s="170"/>
      <c r="AK88" s="170"/>
      <c r="AL88" s="981" t="str">
        <f>IF(AND(ISNUMBER(VALUE(TRIM(SUBSTITUTE(AB88,".","")))),TRIM(SUBSTITUTE(AB88,".",""))&lt;&gt;""),"P"&amp;SUBSTITUTE(AB88,".",""),"")</f>
        <v/>
      </c>
      <c r="AM88" s="981"/>
      <c r="AN88" s="981"/>
      <c r="AO88" s="984" t="s">
        <v>2037</v>
      </c>
      <c r="AP88" s="984"/>
    </row>
    <row r="89" spans="1:42" s="1511" customFormat="1" ht="39" customHeight="1">
      <c r="A89" s="170"/>
      <c r="B89" s="170"/>
      <c r="C89" s="170"/>
      <c r="D89" s="170"/>
      <c r="E89" s="676">
        <v>40</v>
      </c>
      <c r="F89" s="779" t="str" cm="1">
        <f t="array" aca="1" ref="F89" ca="1">OFFSET(G89,-1,-1)</f>
        <v>2</v>
      </c>
      <c r="G89" s="170"/>
      <c r="H89" s="170"/>
      <c r="I89" s="170"/>
      <c r="J89" s="170"/>
      <c r="K89" s="170"/>
      <c r="L89" s="170"/>
      <c r="M89" s="170"/>
      <c r="N89" s="170"/>
      <c r="O89" s="170"/>
      <c r="P89" s="170"/>
      <c r="Q89" s="170"/>
      <c r="R89" s="170"/>
      <c r="S89" s="170"/>
      <c r="T89" s="687" t="b">
        <f t="shared" ca="1" si="1"/>
        <v>1</v>
      </c>
      <c r="U89" s="170"/>
      <c r="V89" s="170"/>
      <c r="W89" s="170"/>
      <c r="X89" s="1724"/>
      <c r="Y89" s="170"/>
      <c r="Z89" s="1724"/>
      <c r="AA89" s="170"/>
      <c r="AB89" s="235" t="s">
        <v>518</v>
      </c>
      <c r="AC89" s="870" t="s">
        <v>2038</v>
      </c>
      <c r="AD89" s="105" t="s">
        <v>2007</v>
      </c>
      <c r="AE89" s="1314">
        <f>SUM(AE90:AE91)</f>
        <v>0</v>
      </c>
      <c r="AF89" s="1314">
        <f>SUM(AF90:AF91)</f>
        <v>0</v>
      </c>
      <c r="AG89" s="1452"/>
      <c r="AH89" s="1452"/>
      <c r="AI89" s="1453"/>
      <c r="AJ89" s="170"/>
      <c r="AK89" s="170"/>
      <c r="AL89" s="981" t="s">
        <v>2008</v>
      </c>
      <c r="AM89" s="981"/>
      <c r="AN89" s="981"/>
      <c r="AO89" s="984"/>
      <c r="AP89" s="984"/>
    </row>
    <row r="90" spans="1:42" s="1512" customFormat="1" ht="16.5" hidden="1" customHeight="1">
      <c r="A90" s="170"/>
      <c r="B90" s="170"/>
      <c r="C90" s="170"/>
      <c r="D90" s="170"/>
      <c r="E90" s="676">
        <v>17.100000000000001</v>
      </c>
      <c r="F90" s="779" t="str" cm="1">
        <f t="array" aca="1" ref="F90" ca="1">OFFSET(G90,-1,-1)</f>
        <v>2</v>
      </c>
      <c r="G90" s="170"/>
      <c r="H90" s="170"/>
      <c r="I90" s="170"/>
      <c r="J90" s="170"/>
      <c r="K90" s="170"/>
      <c r="L90" s="170"/>
      <c r="M90" s="170"/>
      <c r="N90" s="170"/>
      <c r="O90" s="170"/>
      <c r="P90" s="170"/>
      <c r="Q90" s="170"/>
      <c r="R90" s="170"/>
      <c r="S90" s="170"/>
      <c r="T90" s="687" t="b">
        <f t="shared" ca="1" si="1"/>
        <v>0</v>
      </c>
      <c r="U90" s="170"/>
      <c r="V90" s="170"/>
      <c r="W90" s="126" t="s">
        <v>236</v>
      </c>
      <c r="X90" s="1724"/>
      <c r="Y90" s="126">
        <v>0</v>
      </c>
      <c r="Z90" s="1724"/>
      <c r="AA90" s="11" t="s">
        <v>218</v>
      </c>
      <c r="AB90" s="235" t="str">
        <f>"2.2."&amp;Y90</f>
        <v>2.2.0</v>
      </c>
      <c r="AC90" s="96"/>
      <c r="AD90" s="105" t="s">
        <v>2007</v>
      </c>
      <c r="AE90" s="53"/>
      <c r="AF90" s="53"/>
      <c r="AG90" s="94"/>
      <c r="AH90" s="94"/>
      <c r="AI90" s="95"/>
      <c r="AJ90" s="170"/>
      <c r="AK90" s="170"/>
      <c r="AL90" s="981" t="s">
        <v>2008</v>
      </c>
      <c r="AM90" s="981" t="s">
        <v>2039</v>
      </c>
      <c r="AN90" s="981" cm="1">
        <f t="array" ref="AN90">AC90</f>
        <v>0</v>
      </c>
      <c r="AO90" s="984"/>
      <c r="AP90" s="984" t="b">
        <v>1</v>
      </c>
    </row>
    <row r="91" spans="1:42" s="1513" customFormat="1" ht="16.5" customHeight="1">
      <c r="A91" s="170"/>
      <c r="B91" s="170"/>
      <c r="C91" s="170"/>
      <c r="D91" s="170"/>
      <c r="E91" s="676">
        <v>17</v>
      </c>
      <c r="F91" s="779" t="str" cm="1">
        <f t="array" aca="1" ref="F91" ca="1">OFFSET(G91,-1,-1)</f>
        <v>2</v>
      </c>
      <c r="G91" s="170"/>
      <c r="H91" s="170"/>
      <c r="I91" s="170"/>
      <c r="J91" s="170"/>
      <c r="K91" s="170"/>
      <c r="L91" s="170"/>
      <c r="M91" s="170"/>
      <c r="N91" s="170"/>
      <c r="O91" s="170"/>
      <c r="P91" s="170"/>
      <c r="Q91" s="170"/>
      <c r="R91" s="170"/>
      <c r="S91" s="170"/>
      <c r="T91" s="687" t="b">
        <f t="shared" ref="T91:T98" ca="1" si="2">AND(F91&gt;0,OR(ISBLANK(Y91),Y91&gt;0))</f>
        <v>1</v>
      </c>
      <c r="U91" s="170"/>
      <c r="V91" s="170"/>
      <c r="W91" s="858" t="s">
        <v>1016</v>
      </c>
      <c r="X91" s="1724"/>
      <c r="Y91" s="170"/>
      <c r="Z91" s="1724"/>
      <c r="AA91" s="170"/>
      <c r="AB91" s="249"/>
      <c r="AC91" s="616" t="s">
        <v>238</v>
      </c>
      <c r="AD91" s="250"/>
      <c r="AE91" s="250"/>
      <c r="AF91" s="250"/>
      <c r="AG91" s="250"/>
      <c r="AH91" s="250"/>
      <c r="AI91" s="250"/>
      <c r="AJ91" s="170"/>
      <c r="AK91" s="170"/>
      <c r="AL91" s="981" t="str">
        <f>IF(AND(ISNUMBER(VALUE(TRIM(SUBSTITUTE(AB91,".","")))),TRIM(SUBSTITUTE(AB91,".",""))&lt;&gt;""),"P"&amp;SUBSTITUTE(AB91,".",""),"")</f>
        <v/>
      </c>
      <c r="AM91" s="981"/>
      <c r="AN91" s="981"/>
      <c r="AO91" s="984" t="s">
        <v>2039</v>
      </c>
      <c r="AP91" s="984"/>
    </row>
    <row r="92" spans="1:42" s="1514" customFormat="1" ht="33.75" customHeight="1">
      <c r="A92" s="170"/>
      <c r="B92" s="170"/>
      <c r="C92" s="170"/>
      <c r="D92" s="170"/>
      <c r="E92" s="676">
        <v>35</v>
      </c>
      <c r="F92" s="779" t="str" cm="1">
        <f t="array" aca="1" ref="F92" ca="1">OFFSET(G92,-1,-1)</f>
        <v>2</v>
      </c>
      <c r="G92" s="170"/>
      <c r="H92" s="170"/>
      <c r="I92" s="170"/>
      <c r="J92" s="170"/>
      <c r="K92" s="170"/>
      <c r="L92" s="170"/>
      <c r="M92" s="170"/>
      <c r="N92" s="170"/>
      <c r="O92" s="170"/>
      <c r="P92" s="170"/>
      <c r="Q92" s="170"/>
      <c r="R92" s="170"/>
      <c r="S92" s="170"/>
      <c r="T92" s="687" t="b">
        <f t="shared" ca="1" si="2"/>
        <v>1</v>
      </c>
      <c r="U92" s="170"/>
      <c r="V92" s="170"/>
      <c r="W92" s="170"/>
      <c r="X92" s="1724"/>
      <c r="Y92" s="170"/>
      <c r="Z92" s="1724"/>
      <c r="AA92" s="170"/>
      <c r="AB92" s="925" t="s">
        <v>522</v>
      </c>
      <c r="AC92" s="871" t="s">
        <v>2040</v>
      </c>
      <c r="AD92" s="868" t="s">
        <v>1460</v>
      </c>
      <c r="AE92" s="1249"/>
      <c r="AF92" s="1249"/>
      <c r="AG92" s="1446"/>
      <c r="AH92" s="1446"/>
      <c r="AI92" s="1241"/>
      <c r="AJ92" s="170"/>
      <c r="AK92" s="170"/>
      <c r="AL92" s="981" t="s">
        <v>2041</v>
      </c>
      <c r="AM92" s="981"/>
      <c r="AN92" s="981"/>
      <c r="AO92" s="984"/>
      <c r="AP92" s="984"/>
    </row>
    <row r="93" spans="1:42" s="1515" customFormat="1" ht="39" customHeight="1">
      <c r="A93" s="170"/>
      <c r="B93" s="170"/>
      <c r="C93" s="170"/>
      <c r="D93" s="170"/>
      <c r="E93" s="676">
        <v>40</v>
      </c>
      <c r="F93" s="779" t="str" cm="1">
        <f t="array" aca="1" ref="F93" ca="1">OFFSET(G93,-1,-1)</f>
        <v>2</v>
      </c>
      <c r="G93" s="170"/>
      <c r="H93" s="170"/>
      <c r="I93" s="170"/>
      <c r="J93" s="170"/>
      <c r="K93" s="170"/>
      <c r="L93" s="170"/>
      <c r="M93" s="170"/>
      <c r="N93" s="170"/>
      <c r="O93" s="170"/>
      <c r="P93" s="170"/>
      <c r="Q93" s="170"/>
      <c r="R93" s="170"/>
      <c r="S93" s="170"/>
      <c r="T93" s="687" t="b">
        <f t="shared" ca="1" si="2"/>
        <v>1</v>
      </c>
      <c r="U93" s="170"/>
      <c r="V93" s="170"/>
      <c r="W93" s="170"/>
      <c r="X93" s="1724"/>
      <c r="Y93" s="170"/>
      <c r="Z93" s="1724"/>
      <c r="AA93" s="170"/>
      <c r="AB93" s="235" t="s">
        <v>526</v>
      </c>
      <c r="AC93" s="236" t="s">
        <v>2042</v>
      </c>
      <c r="AD93" s="105"/>
      <c r="AE93" s="1258"/>
      <c r="AF93" s="1249"/>
      <c r="AG93" s="1446"/>
      <c r="AH93" s="1446"/>
      <c r="AI93" s="1241"/>
      <c r="AJ93" s="170"/>
      <c r="AK93" s="170"/>
      <c r="AL93" s="981" t="s">
        <v>2043</v>
      </c>
      <c r="AM93" s="981"/>
      <c r="AN93" s="981"/>
      <c r="AO93" s="984"/>
      <c r="AP93" s="984"/>
    </row>
    <row r="94" spans="1:42" s="1516" customFormat="1" ht="33.75" customHeight="1">
      <c r="A94" s="170"/>
      <c r="B94" s="170"/>
      <c r="C94" s="170"/>
      <c r="D94" s="170"/>
      <c r="E94" s="676">
        <v>35</v>
      </c>
      <c r="F94" s="779" t="str" cm="1">
        <f t="array" aca="1" ref="F94" ca="1">OFFSET(G94,-1,-1)</f>
        <v>2</v>
      </c>
      <c r="G94" s="170"/>
      <c r="H94" s="170"/>
      <c r="I94" s="170"/>
      <c r="J94" s="170"/>
      <c r="K94" s="170"/>
      <c r="L94" s="170"/>
      <c r="M94" s="170"/>
      <c r="N94" s="170"/>
      <c r="O94" s="170"/>
      <c r="P94" s="170"/>
      <c r="Q94" s="170"/>
      <c r="R94" s="170"/>
      <c r="S94" s="170"/>
      <c r="T94" s="687" t="b">
        <f t="shared" ca="1" si="2"/>
        <v>1</v>
      </c>
      <c r="U94" s="170"/>
      <c r="V94" s="170"/>
      <c r="W94" s="170"/>
      <c r="X94" s="1724"/>
      <c r="Y94" s="170"/>
      <c r="Z94" s="1724"/>
      <c r="AA94" s="170"/>
      <c r="AB94" s="235" t="s">
        <v>1619</v>
      </c>
      <c r="AC94" s="236" t="s">
        <v>2044</v>
      </c>
      <c r="AD94" s="105" t="s">
        <v>929</v>
      </c>
      <c r="AE94" s="1258">
        <f>IFERROR(AE86/AE89*AE93,0)</f>
        <v>0</v>
      </c>
      <c r="AF94" s="1258">
        <f>IFERROR(AF86/AF89*AF93,0)</f>
        <v>0</v>
      </c>
      <c r="AG94" s="1446"/>
      <c r="AH94" s="1446"/>
      <c r="AI94" s="1241"/>
      <c r="AJ94" s="170"/>
      <c r="AK94" s="170"/>
      <c r="AL94" s="981" t="s">
        <v>2045</v>
      </c>
      <c r="AM94" s="981"/>
      <c r="AN94" s="981"/>
      <c r="AO94" s="984"/>
      <c r="AP94" s="984"/>
    </row>
    <row r="95" spans="1:42" s="1517" customFormat="1" ht="16.5" customHeight="1">
      <c r="A95" s="170"/>
      <c r="B95" s="170"/>
      <c r="C95" s="170"/>
      <c r="D95" s="170"/>
      <c r="E95" s="676">
        <v>17</v>
      </c>
      <c r="F95" s="779" t="str" cm="1">
        <f t="array" aca="1" ref="F95" ca="1">OFFSET(G95,-1,-1)</f>
        <v>2</v>
      </c>
      <c r="G95" s="170"/>
      <c r="H95" s="170"/>
      <c r="I95" s="170"/>
      <c r="J95" s="170"/>
      <c r="K95" s="170"/>
      <c r="L95" s="170"/>
      <c r="M95" s="170"/>
      <c r="N95" s="170"/>
      <c r="O95" s="170"/>
      <c r="P95" s="170"/>
      <c r="Q95" s="170"/>
      <c r="R95" s="170"/>
      <c r="S95" s="170"/>
      <c r="T95" s="687" t="b">
        <f t="shared" ca="1" si="2"/>
        <v>1</v>
      </c>
      <c r="U95" s="170"/>
      <c r="V95" s="170"/>
      <c r="W95" s="170"/>
      <c r="X95" s="1724"/>
      <c r="Y95" s="170"/>
      <c r="Z95" s="1724"/>
      <c r="AA95" s="170"/>
      <c r="AB95" s="235" t="s">
        <v>2046</v>
      </c>
      <c r="AC95" s="236" t="s">
        <v>2029</v>
      </c>
      <c r="AD95" s="105" t="s">
        <v>533</v>
      </c>
      <c r="AE95" s="1258"/>
      <c r="AF95" s="1249"/>
      <c r="AG95" s="1446"/>
      <c r="AH95" s="1446"/>
      <c r="AI95" s="1241"/>
      <c r="AJ95" s="170"/>
      <c r="AK95" s="170"/>
      <c r="AL95" s="981" t="s">
        <v>2047</v>
      </c>
      <c r="AM95" s="981"/>
      <c r="AN95" s="981"/>
      <c r="AO95" s="984"/>
      <c r="AP95" s="984"/>
    </row>
    <row r="96" spans="1:42" s="1518" customFormat="1" ht="33.75" customHeight="1">
      <c r="A96" s="170"/>
      <c r="B96" s="170"/>
      <c r="C96" s="170"/>
      <c r="D96" s="170"/>
      <c r="E96" s="676">
        <v>35</v>
      </c>
      <c r="F96" s="779" t="str" cm="1">
        <f t="array" aca="1" ref="F96" ca="1">OFFSET(G96,-1,-1)</f>
        <v>2</v>
      </c>
      <c r="G96" s="170"/>
      <c r="H96" s="170"/>
      <c r="I96" s="170"/>
      <c r="J96" s="170"/>
      <c r="K96" s="170"/>
      <c r="L96" s="170"/>
      <c r="M96" s="170"/>
      <c r="N96" s="170"/>
      <c r="O96" s="170"/>
      <c r="P96" s="170"/>
      <c r="Q96" s="170"/>
      <c r="R96" s="170"/>
      <c r="S96" s="170"/>
      <c r="T96" s="687" t="b">
        <f t="shared" ca="1" si="2"/>
        <v>1</v>
      </c>
      <c r="U96" s="170"/>
      <c r="V96" s="170"/>
      <c r="W96" s="170"/>
      <c r="X96" s="1724"/>
      <c r="Y96" s="170"/>
      <c r="Z96" s="1724"/>
      <c r="AA96" s="170"/>
      <c r="AB96" s="235" t="s">
        <v>2048</v>
      </c>
      <c r="AC96" s="236" t="s">
        <v>2049</v>
      </c>
      <c r="AD96" s="105" t="s">
        <v>2007</v>
      </c>
      <c r="AE96" s="1495"/>
      <c r="AF96" s="1252"/>
      <c r="AG96" s="1446"/>
      <c r="AH96" s="1446"/>
      <c r="AI96" s="1241"/>
      <c r="AJ96" s="170"/>
      <c r="AK96" s="170"/>
      <c r="AL96" s="981" t="s">
        <v>2050</v>
      </c>
      <c r="AM96" s="981"/>
      <c r="AN96" s="981"/>
      <c r="AO96" s="984"/>
      <c r="AP96" s="984"/>
    </row>
    <row r="97" spans="1:42" s="1519" customFormat="1" ht="16.5" customHeight="1">
      <c r="A97" s="170"/>
      <c r="B97" s="170"/>
      <c r="C97" s="170"/>
      <c r="D97" s="170"/>
      <c r="E97" s="676">
        <v>17</v>
      </c>
      <c r="F97" s="779" t="str" cm="1">
        <f t="array" aca="1" ref="F97" ca="1">OFFSET(G97,-1,-1)</f>
        <v>2</v>
      </c>
      <c r="G97" s="170"/>
      <c r="H97" s="170"/>
      <c r="I97" s="170"/>
      <c r="J97" s="170"/>
      <c r="K97" s="170"/>
      <c r="L97" s="170"/>
      <c r="M97" s="170"/>
      <c r="N97" s="170"/>
      <c r="O97" s="170"/>
      <c r="P97" s="170"/>
      <c r="Q97" s="170"/>
      <c r="R97" s="170"/>
      <c r="S97" s="170"/>
      <c r="T97" s="687" t="b">
        <f t="shared" ca="1" si="2"/>
        <v>1</v>
      </c>
      <c r="U97" s="170"/>
      <c r="V97" s="170"/>
      <c r="W97" s="170"/>
      <c r="X97" s="1724"/>
      <c r="Y97" s="170"/>
      <c r="Z97" s="1724"/>
      <c r="AA97" s="170"/>
      <c r="AB97" s="235" t="s">
        <v>2051</v>
      </c>
      <c r="AC97" s="236" t="s">
        <v>2052</v>
      </c>
      <c r="AD97" s="105" t="s">
        <v>1460</v>
      </c>
      <c r="AE97" s="1249">
        <f>AE94*AE96*(1+AE95)</f>
        <v>0</v>
      </c>
      <c r="AF97" s="1249">
        <f>AF94*AF96*(1+AF95)</f>
        <v>0</v>
      </c>
      <c r="AG97" s="1446"/>
      <c r="AH97" s="1446"/>
      <c r="AI97" s="1241"/>
      <c r="AJ97" s="170"/>
      <c r="AK97" s="170"/>
      <c r="AL97" s="981" t="s">
        <v>2053</v>
      </c>
      <c r="AM97" s="981"/>
      <c r="AN97" s="981"/>
      <c r="AO97" s="984"/>
      <c r="AP97" s="984"/>
    </row>
    <row r="98" spans="1:42" s="1229" customFormat="1" ht="17.25" hidden="1" customHeight="1">
      <c r="A98" s="983"/>
      <c r="B98" s="783"/>
      <c r="C98" s="178"/>
      <c r="D98" s="178"/>
      <c r="E98" s="676">
        <v>0</v>
      </c>
      <c r="F98" s="779" t="str" cm="1">
        <f t="array" aca="1" ref="F98" ca="1">OFFSET(G98,-1,-1)</f>
        <v>2</v>
      </c>
      <c r="G98" s="180"/>
      <c r="H98" s="180"/>
      <c r="I98" s="180"/>
      <c r="J98" s="180"/>
      <c r="K98" s="180"/>
      <c r="L98" s="180"/>
      <c r="M98" s="180"/>
      <c r="N98" s="180"/>
      <c r="O98" s="180"/>
      <c r="P98" s="180"/>
      <c r="Q98" s="143"/>
      <c r="R98" s="143"/>
      <c r="S98" s="180"/>
      <c r="T98" s="687" t="b">
        <f t="shared" ca="1" si="2"/>
        <v>1</v>
      </c>
      <c r="U98" s="1153"/>
      <c r="V98" s="1153"/>
      <c r="W98" s="1153"/>
      <c r="X98" s="1726"/>
      <c r="Y98" s="1153"/>
      <c r="Z98" s="1726"/>
      <c r="AA98" s="180"/>
      <c r="AB98" s="178"/>
      <c r="AC98" s="179"/>
      <c r="AD98" s="178"/>
      <c r="AE98" s="180"/>
      <c r="AF98" s="180"/>
      <c r="AG98" s="180"/>
      <c r="AH98" s="180"/>
      <c r="AI98" s="180"/>
      <c r="AJ98" s="180"/>
      <c r="AK98" s="180"/>
      <c r="AL98" s="1031"/>
      <c r="AM98" s="1031"/>
      <c r="AN98" s="1031"/>
      <c r="AO98" s="1032"/>
      <c r="AP98" s="1032"/>
    </row>
    <row r="99" spans="1:42" ht="9.9499999999999993" customHeight="1">
      <c r="E99" s="676">
        <v>10.199999999999999</v>
      </c>
      <c r="U99" s="129" t="s">
        <v>238</v>
      </c>
      <c r="V99" s="122" t="s">
        <v>2054</v>
      </c>
    </row>
    <row r="100" spans="1:42" ht="11.25" hidden="1" customHeight="1">
      <c r="E100" s="676">
        <v>0</v>
      </c>
    </row>
    <row r="101" spans="1:42" ht="14.65" customHeight="1">
      <c r="E101" s="676">
        <v>15</v>
      </c>
      <c r="AB101" s="1839" t="s">
        <v>734</v>
      </c>
      <c r="AC101" s="1840"/>
      <c r="AD101" s="1840"/>
      <c r="AE101" s="1840"/>
      <c r="AF101" s="1840"/>
      <c r="AG101" s="1840"/>
      <c r="AH101" s="1840"/>
      <c r="AI101" s="1841"/>
    </row>
    <row r="102" spans="1:42" ht="14.65" customHeight="1">
      <c r="E102" s="676">
        <v>15</v>
      </c>
      <c r="AA102" s="778"/>
      <c r="AB102" s="1842"/>
      <c r="AC102" s="1843"/>
      <c r="AD102" s="1843"/>
      <c r="AE102" s="1843"/>
      <c r="AF102" s="1843"/>
      <c r="AG102" s="1843"/>
      <c r="AH102" s="1843"/>
      <c r="AI102" s="1844"/>
    </row>
    <row r="103" spans="1:42" ht="14.65" hidden="1" customHeight="1">
      <c r="E103" s="676">
        <v>15</v>
      </c>
      <c r="T103" s="687" t="b">
        <f>ROW(W103)&gt;ROW(W$103)</f>
        <v>0</v>
      </c>
      <c r="W103" s="126" t="s">
        <v>236</v>
      </c>
      <c r="AA103" s="774" t="s">
        <v>218</v>
      </c>
      <c r="AB103" s="1845"/>
      <c r="AC103" s="1846"/>
      <c r="AD103" s="1846"/>
      <c r="AE103" s="1846"/>
      <c r="AF103" s="1846"/>
      <c r="AG103" s="1846"/>
      <c r="AH103" s="1846"/>
      <c r="AI103" s="1847"/>
    </row>
    <row r="104" spans="1:42" ht="14.65" customHeight="1">
      <c r="E104" s="676">
        <v>15</v>
      </c>
      <c r="W104" s="122" t="s">
        <v>1072</v>
      </c>
      <c r="AA104" s="163"/>
      <c r="AB104" s="1736" t="s">
        <v>735</v>
      </c>
      <c r="AC104" s="1737"/>
      <c r="AD104" s="832"/>
      <c r="AE104" s="324"/>
      <c r="AF104" s="324"/>
      <c r="AG104" s="324"/>
      <c r="AH104" s="324"/>
      <c r="AI104" s="294"/>
    </row>
  </sheetData>
  <sheetProtection formatColumns="0" formatRows="0" insertRows="0" deleteColumns="0" deleteRows="0" sort="0" autoFilter="0"/>
  <mergeCells count="17">
    <mergeCell ref="X27:X50"/>
    <mergeCell ref="Z27:Z50"/>
    <mergeCell ref="AB101:AI101"/>
    <mergeCell ref="AB102:AI102"/>
    <mergeCell ref="AB103:AI103"/>
    <mergeCell ref="X51:X74"/>
    <mergeCell ref="Z51:Z74"/>
    <mergeCell ref="X75:X98"/>
    <mergeCell ref="Z75:Z98"/>
    <mergeCell ref="AB104:AC104"/>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2998-93F8-F198-5D48-E06F27FF45EA}">
  <sheetPr>
    <tabColor rgb="FF92D050"/>
    <outlinePr summaryBelow="0" summaryRight="0"/>
    <pageSetUpPr fitToPage="1"/>
  </sheetPr>
  <dimension ref="A1:BI11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3" hidden="1" customWidth="1"/>
    <col min="2" max="2" width="8.5703125" style="783" hidden="1" customWidth="1"/>
    <col min="3" max="3" width="9" style="1099" hidden="1" customWidth="1"/>
    <col min="4" max="4" width="9" style="1085" hidden="1" customWidth="1"/>
    <col min="5" max="5" width="8.42578125" style="782" hidden="1" customWidth="1"/>
    <col min="6" max="6" width="6.42578125" style="180" hidden="1" customWidth="1"/>
    <col min="7" max="11" width="3.5703125" style="180" hidden="1" customWidth="1"/>
    <col min="12" max="16" width="8.42578125" style="1126" hidden="1" customWidth="1"/>
    <col min="17" max="18" width="8.42578125" style="1124" hidden="1" customWidth="1"/>
    <col min="19" max="19" width="8.42578125" style="1126"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80" customWidth="1"/>
    <col min="28" max="28" width="8.140625" style="178" customWidth="1"/>
    <col min="29" max="29" width="70.140625" style="179" customWidth="1"/>
    <col min="30" max="30" width="14.42578125" style="178" customWidth="1"/>
    <col min="31" max="35" width="12.5703125" style="180" customWidth="1"/>
    <col min="36" max="40" width="12.5703125" style="180" hidden="1" customWidth="1"/>
    <col min="41" max="45" width="12.5703125" style="180" customWidth="1"/>
    <col min="46" max="50" width="12.5703125" style="180" hidden="1" customWidth="1"/>
    <col min="51" max="51" width="19" style="180" customWidth="1"/>
    <col min="52" max="52" width="17.28515625" style="180" customWidth="1"/>
    <col min="53" max="53" width="31.28515625" style="180" customWidth="1"/>
    <col min="54" max="54" width="3" style="180" customWidth="1"/>
    <col min="55" max="55" width="9.140625" style="180" hidden="1"/>
    <col min="56" max="58" width="9.140625" style="1031" hidden="1"/>
    <col min="59" max="60" width="9.140625" style="1032" hidden="1"/>
    <col min="61" max="61" width="9.140625" style="1126" hidden="1"/>
  </cols>
  <sheetData>
    <row r="1" spans="1:61" s="178" customFormat="1" ht="12" hidden="1" customHeight="1">
      <c r="A1" s="126"/>
      <c r="B1" s="667"/>
      <c r="C1" s="1085" t="s">
        <v>84</v>
      </c>
      <c r="D1" s="1085" t="s">
        <v>85</v>
      </c>
      <c r="E1" s="667"/>
      <c r="F1" s="698" t="s">
        <v>83</v>
      </c>
      <c r="L1" s="1101" t="s">
        <v>94</v>
      </c>
      <c r="M1" s="1101" t="s">
        <v>1626</v>
      </c>
      <c r="N1" s="1101" t="s">
        <v>1854</v>
      </c>
      <c r="O1" s="1101" t="s">
        <v>1628</v>
      </c>
      <c r="P1" s="1101" t="s">
        <v>2055</v>
      </c>
      <c r="Q1" s="1102" t="s">
        <v>2056</v>
      </c>
      <c r="R1" s="1102" t="s">
        <v>98</v>
      </c>
      <c r="S1" s="1101" t="s">
        <v>1627</v>
      </c>
      <c r="T1" s="687" t="s">
        <v>86</v>
      </c>
      <c r="U1" s="687" t="s">
        <v>91</v>
      </c>
      <c r="V1" s="687" t="s">
        <v>87</v>
      </c>
      <c r="W1" s="687" t="s">
        <v>88</v>
      </c>
      <c r="X1" s="687" t="s">
        <v>89</v>
      </c>
      <c r="Y1" s="698" t="s">
        <v>382</v>
      </c>
      <c r="Z1" s="687" t="s">
        <v>93</v>
      </c>
      <c r="AA1" s="698" t="s">
        <v>90</v>
      </c>
      <c r="AB1" s="698" t="s">
        <v>92</v>
      </c>
      <c r="AC1" s="698" t="s">
        <v>92</v>
      </c>
      <c r="BD1" s="1137" t="s">
        <v>383</v>
      </c>
      <c r="BE1" s="1137" t="s">
        <v>384</v>
      </c>
      <c r="BF1" s="1137" t="s">
        <v>385</v>
      </c>
      <c r="BG1" s="1138" t="s">
        <v>388</v>
      </c>
      <c r="BH1" s="1138" t="s">
        <v>389</v>
      </c>
      <c r="BI1" s="1057" t="s">
        <v>1630</v>
      </c>
    </row>
    <row r="2" spans="1:61" s="783" customFormat="1" ht="12" hidden="1" customHeight="1">
      <c r="A2" s="991"/>
      <c r="B2" s="768" t="s">
        <v>15</v>
      </c>
      <c r="C2" s="1096"/>
      <c r="D2" s="1111"/>
      <c r="F2" s="786"/>
      <c r="G2" s="786"/>
      <c r="H2" s="786"/>
      <c r="I2" s="786"/>
      <c r="J2" s="786"/>
      <c r="K2" s="786"/>
      <c r="L2" s="1091"/>
      <c r="M2" s="1091"/>
      <c r="N2" s="1091"/>
      <c r="O2" s="1091"/>
      <c r="P2" s="1091"/>
      <c r="Q2" s="1088"/>
      <c r="R2" s="1088"/>
      <c r="S2" s="1091"/>
      <c r="AC2" s="671"/>
      <c r="AE2" s="688" t="b">
        <f t="shared" ref="AE2:AX2" si="0">AE6&lt;=last_year_vis</f>
        <v>1</v>
      </c>
      <c r="AF2" s="688" t="b">
        <f t="shared" si="0"/>
        <v>1</v>
      </c>
      <c r="AG2" s="688" t="b">
        <f t="shared" si="0"/>
        <v>1</v>
      </c>
      <c r="AH2" s="688" t="b">
        <f t="shared" si="0"/>
        <v>1</v>
      </c>
      <c r="AI2" s="688" t="b">
        <f t="shared" si="0"/>
        <v>1</v>
      </c>
      <c r="AJ2" s="688" t="b">
        <f t="shared" si="0"/>
        <v>0</v>
      </c>
      <c r="AK2" s="688" t="b">
        <f t="shared" si="0"/>
        <v>0</v>
      </c>
      <c r="AL2" s="688" t="b">
        <f t="shared" si="0"/>
        <v>0</v>
      </c>
      <c r="AM2" s="688" t="b">
        <f t="shared" si="0"/>
        <v>0</v>
      </c>
      <c r="AN2" s="688" t="b">
        <f t="shared" si="0"/>
        <v>0</v>
      </c>
      <c r="AO2" s="688" t="b">
        <f t="shared" si="0"/>
        <v>1</v>
      </c>
      <c r="AP2" s="688" t="b">
        <f t="shared" si="0"/>
        <v>1</v>
      </c>
      <c r="AQ2" s="688" t="b">
        <f t="shared" si="0"/>
        <v>1</v>
      </c>
      <c r="AR2" s="688" t="b">
        <f t="shared" si="0"/>
        <v>1</v>
      </c>
      <c r="AS2" s="688" t="b">
        <f t="shared" si="0"/>
        <v>1</v>
      </c>
      <c r="AT2" s="688" t="b">
        <f t="shared" si="0"/>
        <v>0</v>
      </c>
      <c r="AU2" s="688" t="b">
        <f t="shared" si="0"/>
        <v>0</v>
      </c>
      <c r="AV2" s="688" t="b">
        <f t="shared" si="0"/>
        <v>0</v>
      </c>
      <c r="AW2" s="688" t="b">
        <f t="shared" si="0"/>
        <v>0</v>
      </c>
      <c r="AX2" s="688" t="b">
        <f t="shared" si="0"/>
        <v>0</v>
      </c>
      <c r="BD2" s="973"/>
      <c r="BE2" s="973"/>
      <c r="BF2" s="973"/>
      <c r="BG2" s="985"/>
      <c r="BH2" s="985"/>
      <c r="BI2" s="1051"/>
    </row>
    <row r="3" spans="1:61" s="178" customFormat="1" ht="12" hidden="1" customHeight="1">
      <c r="A3" s="983"/>
      <c r="B3" s="667"/>
      <c r="C3" s="1093"/>
      <c r="D3" s="1085"/>
      <c r="E3" s="667"/>
      <c r="F3" s="180"/>
      <c r="G3" s="180"/>
      <c r="H3" s="180"/>
      <c r="I3" s="180"/>
      <c r="J3" s="180"/>
      <c r="K3" s="180"/>
      <c r="L3" s="1064"/>
      <c r="M3" s="1064"/>
      <c r="N3" s="1064"/>
      <c r="O3" s="1064"/>
      <c r="P3" s="1064"/>
      <c r="Q3" s="1072"/>
      <c r="R3" s="1072"/>
      <c r="S3" s="1064"/>
      <c r="T3" s="126"/>
      <c r="U3" s="126"/>
      <c r="V3" s="126"/>
      <c r="W3" s="126"/>
      <c r="X3" s="126"/>
      <c r="Y3" s="126"/>
      <c r="Z3" s="126"/>
      <c r="AC3" s="182"/>
      <c r="BD3" s="1031"/>
      <c r="BE3" s="1031"/>
      <c r="BF3" s="1031"/>
      <c r="BG3" s="1032"/>
      <c r="BH3" s="1032"/>
      <c r="BI3" s="1062"/>
    </row>
    <row r="4" spans="1:61" s="178" customFormat="1" ht="12" hidden="1" customHeight="1">
      <c r="A4" s="983"/>
      <c r="B4" s="667"/>
      <c r="C4" s="1093"/>
      <c r="D4" s="1085"/>
      <c r="E4" s="667"/>
      <c r="F4" s="180"/>
      <c r="G4" s="180"/>
      <c r="H4" s="180"/>
      <c r="I4" s="180"/>
      <c r="J4" s="180"/>
      <c r="K4" s="180"/>
      <c r="L4" s="1064"/>
      <c r="M4" s="1064"/>
      <c r="N4" s="1064"/>
      <c r="O4" s="1064"/>
      <c r="P4" s="1064"/>
      <c r="Q4" s="1072"/>
      <c r="R4" s="1072"/>
      <c r="S4" s="1064"/>
      <c r="T4" s="126"/>
      <c r="U4" s="126"/>
      <c r="V4" s="126"/>
      <c r="W4" s="126"/>
      <c r="X4" s="126"/>
      <c r="Y4" s="126"/>
      <c r="Z4" s="126"/>
      <c r="AC4" s="182"/>
      <c r="BD4" s="1031"/>
      <c r="BE4" s="1031"/>
      <c r="BF4" s="1031"/>
      <c r="BG4" s="1032"/>
      <c r="BH4" s="1032"/>
      <c r="BI4" s="1062"/>
    </row>
    <row r="5" spans="1:61" s="782" customFormat="1" ht="12" hidden="1" customHeight="1">
      <c r="A5" s="991"/>
      <c r="B5" s="667"/>
      <c r="C5" s="1096"/>
      <c r="D5" s="1111"/>
      <c r="E5" s="676" t="s">
        <v>16</v>
      </c>
      <c r="F5" s="787"/>
      <c r="G5" s="787"/>
      <c r="H5" s="787"/>
      <c r="I5" s="787"/>
      <c r="J5" s="787"/>
      <c r="K5" s="787"/>
      <c r="L5" s="1091"/>
      <c r="M5" s="1091"/>
      <c r="N5" s="1091"/>
      <c r="O5" s="1091"/>
      <c r="P5" s="1091"/>
      <c r="Q5" s="1088"/>
      <c r="R5" s="1088"/>
      <c r="S5" s="1091"/>
      <c r="AA5" s="676">
        <v>3</v>
      </c>
      <c r="AB5" s="676">
        <v>8.1300000000000008</v>
      </c>
      <c r="AC5" s="682">
        <v>70.13</v>
      </c>
      <c r="AD5" s="676">
        <v>14.38</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19</v>
      </c>
      <c r="AZ5" s="676">
        <v>17.25</v>
      </c>
      <c r="BA5" s="676">
        <v>31.25</v>
      </c>
      <c r="BB5" s="676">
        <v>3</v>
      </c>
      <c r="BD5" s="973"/>
      <c r="BE5" s="973"/>
      <c r="BF5" s="973"/>
      <c r="BG5" s="985"/>
      <c r="BH5" s="985"/>
      <c r="BI5" s="1051"/>
    </row>
    <row r="6" spans="1:61" s="178" customFormat="1" ht="12" hidden="1" customHeight="1">
      <c r="A6" s="983"/>
      <c r="B6" s="667"/>
      <c r="C6" s="1093"/>
      <c r="D6" s="1085"/>
      <c r="E6" s="676"/>
      <c r="F6" s="180"/>
      <c r="G6" s="180"/>
      <c r="H6" s="180"/>
      <c r="I6" s="180"/>
      <c r="J6" s="180"/>
      <c r="K6" s="180"/>
      <c r="L6" s="1064"/>
      <c r="M6" s="1064"/>
      <c r="N6" s="1064"/>
      <c r="O6" s="1064"/>
      <c r="P6" s="1064"/>
      <c r="Q6" s="1072"/>
      <c r="R6" s="1072"/>
      <c r="S6" s="1064"/>
      <c r="T6" s="126"/>
      <c r="U6" s="126"/>
      <c r="V6" s="126"/>
      <c r="W6" s="126"/>
      <c r="X6" s="126"/>
      <c r="Y6" s="126"/>
      <c r="Z6" s="126"/>
      <c r="AC6" s="182"/>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D6" s="1031"/>
      <c r="BE6" s="1031"/>
      <c r="BF6" s="1031"/>
      <c r="BG6" s="1032"/>
      <c r="BH6" s="1032"/>
      <c r="BI6" s="1062"/>
    </row>
    <row r="7" spans="1:61" ht="12" hidden="1" customHeight="1">
      <c r="T7" s="163"/>
      <c r="U7" s="163"/>
      <c r="V7" s="163"/>
      <c r="W7" s="163"/>
      <c r="X7" s="163"/>
      <c r="Y7" s="163"/>
      <c r="Z7" s="163"/>
      <c r="AB7" s="180"/>
      <c r="AD7" s="180"/>
      <c r="AE7" s="163" t="str" cm="1">
        <f t="array" ref="AE7">$AE$25</f>
        <v>Предложение организации</v>
      </c>
      <c r="AF7" s="163" t="str" cm="1">
        <f t="array" ref="AF7">$AE$25</f>
        <v>Предложение организации</v>
      </c>
      <c r="AG7" s="163" t="str" cm="1">
        <f t="array" ref="AG7">$AE$25</f>
        <v>Предложение организации</v>
      </c>
      <c r="AH7" s="163" t="str" cm="1">
        <f t="array" ref="AH7">$AE$25</f>
        <v>Предложение организации</v>
      </c>
      <c r="AI7" s="163" t="str" cm="1">
        <f t="array" ref="AI7">$AE$25</f>
        <v>Предложение организации</v>
      </c>
      <c r="AJ7" s="163" t="str" cm="1">
        <f t="array" ref="AJ7">$AE$25</f>
        <v>Предложение организации</v>
      </c>
      <c r="AK7" s="163" t="str" cm="1">
        <f t="array" ref="AK7">$AE$25</f>
        <v>Предложение организации</v>
      </c>
      <c r="AL7" s="163" t="str" cm="1">
        <f t="array" ref="AL7">$AE$25</f>
        <v>Предложение организации</v>
      </c>
      <c r="AM7" s="163" t="str" cm="1">
        <f t="array" ref="AM7">$AE$25</f>
        <v>Предложение организации</v>
      </c>
      <c r="AN7" s="163" t="str" cm="1">
        <f t="array" ref="AN7">$AE$25</f>
        <v>Предложение организации</v>
      </c>
      <c r="AO7" s="163" t="str" cm="1">
        <f t="array" ref="AO7">$AO$25</f>
        <v>Принято органом регулирования</v>
      </c>
      <c r="AP7" s="163" t="str" cm="1">
        <f t="array" ref="AP7">$AO$25</f>
        <v>Принято органом регулирования</v>
      </c>
      <c r="AQ7" s="163" t="str" cm="1">
        <f t="array" ref="AQ7">$AO$25</f>
        <v>Принято органом регулирования</v>
      </c>
      <c r="AR7" s="163" t="str" cm="1">
        <f t="array" ref="AR7">$AO$25</f>
        <v>Принято органом регулирования</v>
      </c>
      <c r="AS7" s="163" t="str" cm="1">
        <f t="array" ref="AS7">$AO$25</f>
        <v>Принято органом регулирования</v>
      </c>
      <c r="AT7" s="163" t="str" cm="1">
        <f t="array" ref="AT7">$AO$25</f>
        <v>Принято органом регулирования</v>
      </c>
      <c r="AU7" s="163" t="str" cm="1">
        <f t="array" ref="AU7">$AO$25</f>
        <v>Принято органом регулирования</v>
      </c>
      <c r="AV7" s="163" t="str" cm="1">
        <f t="array" ref="AV7">$AO$25</f>
        <v>Принято органом регулирования</v>
      </c>
      <c r="AW7" s="163" t="str" cm="1">
        <f t="array" ref="AW7">$AO$25</f>
        <v>Принято органом регулирования</v>
      </c>
      <c r="AX7" s="163" t="str" cm="1">
        <f t="array" ref="AX7">$AO$25</f>
        <v>Принято органом регулирования</v>
      </c>
    </row>
    <row r="8" spans="1:61" ht="12" hidden="1" customHeight="1">
      <c r="T8" s="163"/>
      <c r="U8" s="163"/>
      <c r="V8" s="163"/>
      <c r="W8" s="163"/>
      <c r="X8" s="163"/>
      <c r="Y8" s="163"/>
      <c r="Z8" s="163"/>
      <c r="AB8" s="180"/>
      <c r="AD8" s="180"/>
      <c r="AE8" s="163" t="str">
        <f t="shared" ref="AE8:AX8" si="1">AE6&amp;AE7</f>
        <v>2026Предложение организации</v>
      </c>
      <c r="AF8" s="163" t="str">
        <f t="shared" si="1"/>
        <v>2027Предложение организации</v>
      </c>
      <c r="AG8" s="163" t="str">
        <f t="shared" si="1"/>
        <v>2028Предложение организации</v>
      </c>
      <c r="AH8" s="163" t="str">
        <f t="shared" si="1"/>
        <v>2029Предложение организации</v>
      </c>
      <c r="AI8" s="163" t="str">
        <f t="shared" si="1"/>
        <v>2030Предложение организации</v>
      </c>
      <c r="AJ8" s="163" t="str">
        <f t="shared" si="1"/>
        <v>2031Предложение организации</v>
      </c>
      <c r="AK8" s="163" t="str">
        <f t="shared" si="1"/>
        <v>2032Предложение организации</v>
      </c>
      <c r="AL8" s="163" t="str">
        <f t="shared" si="1"/>
        <v>2033Предложение организации</v>
      </c>
      <c r="AM8" s="163" t="str">
        <f t="shared" si="1"/>
        <v>2034Предложение организации</v>
      </c>
      <c r="AN8" s="163" t="str">
        <f t="shared" si="1"/>
        <v>2035Предложение организации</v>
      </c>
      <c r="AO8" s="163" t="str">
        <f t="shared" si="1"/>
        <v>2026Принято органом регулирования</v>
      </c>
      <c r="AP8" s="163" t="str">
        <f t="shared" si="1"/>
        <v>2027Принято органом регулирования</v>
      </c>
      <c r="AQ8" s="163" t="str">
        <f t="shared" si="1"/>
        <v>2028Принято органом регулирования</v>
      </c>
      <c r="AR8" s="163" t="str">
        <f t="shared" si="1"/>
        <v>2029Принято органом регулирования</v>
      </c>
      <c r="AS8" s="163" t="str">
        <f t="shared" si="1"/>
        <v>2030Принято органом регулирования</v>
      </c>
      <c r="AT8" s="163" t="str">
        <f t="shared" si="1"/>
        <v>2031Принято органом регулирования</v>
      </c>
      <c r="AU8" s="163" t="str">
        <f t="shared" si="1"/>
        <v>2032Принято органом регулирования</v>
      </c>
      <c r="AV8" s="163" t="str">
        <f t="shared" si="1"/>
        <v>2033Принято органом регулирования</v>
      </c>
      <c r="AW8" s="163" t="str">
        <f t="shared" si="1"/>
        <v>2034Принято органом регулирования</v>
      </c>
      <c r="AX8" s="163" t="str">
        <f t="shared" si="1"/>
        <v>2035Принято органом регулирования</v>
      </c>
    </row>
    <row r="9" spans="1:61" s="1030" customFormat="1" ht="12" hidden="1" customHeight="1">
      <c r="A9" s="958" t="s">
        <v>472</v>
      </c>
      <c r="B9" s="951"/>
      <c r="C9" s="1093"/>
      <c r="D9" s="1085"/>
      <c r="E9" s="951"/>
      <c r="F9" s="1033"/>
      <c r="G9" s="1033"/>
      <c r="H9" s="1033"/>
      <c r="I9" s="1033"/>
      <c r="J9" s="1033"/>
      <c r="K9" s="1033"/>
      <c r="L9" s="1064"/>
      <c r="M9" s="1064"/>
      <c r="N9" s="1064"/>
      <c r="O9" s="1064"/>
      <c r="P9" s="1064"/>
      <c r="Q9" s="1072"/>
      <c r="R9" s="1072"/>
      <c r="S9" s="1064"/>
      <c r="T9" s="959"/>
      <c r="U9" s="959"/>
      <c r="V9" s="959"/>
      <c r="W9" s="959"/>
      <c r="X9" s="959"/>
      <c r="Y9" s="959"/>
      <c r="Z9" s="959"/>
      <c r="AE9" s="1030" cm="1">
        <f t="array" ref="AE9">god</f>
        <v>2026</v>
      </c>
      <c r="AF9" s="1030">
        <f>god+1</f>
        <v>2027</v>
      </c>
      <c r="AG9" s="1030">
        <f>god+2</f>
        <v>2028</v>
      </c>
      <c r="AH9" s="1030">
        <f>god+3</f>
        <v>2029</v>
      </c>
      <c r="AI9" s="1030">
        <f>god+4</f>
        <v>2030</v>
      </c>
      <c r="AJ9" s="1030">
        <f>god+5</f>
        <v>2031</v>
      </c>
      <c r="AK9" s="1030">
        <f>god+6</f>
        <v>2032</v>
      </c>
      <c r="AL9" s="1030">
        <f>god+7</f>
        <v>2033</v>
      </c>
      <c r="AM9" s="1030">
        <f>god+8</f>
        <v>2034</v>
      </c>
      <c r="AN9" s="1030">
        <f>god+9</f>
        <v>2035</v>
      </c>
      <c r="AO9" s="1030" cm="1">
        <f t="array" ref="AO9">god</f>
        <v>2026</v>
      </c>
      <c r="AP9" s="1030">
        <f>god+1</f>
        <v>2027</v>
      </c>
      <c r="AQ9" s="1030">
        <f>god+2</f>
        <v>2028</v>
      </c>
      <c r="AR9" s="1030">
        <f>god+3</f>
        <v>2029</v>
      </c>
      <c r="AS9" s="1030">
        <f>god+4</f>
        <v>2030</v>
      </c>
      <c r="AT9" s="1030">
        <f>god+5</f>
        <v>2031</v>
      </c>
      <c r="AU9" s="1030">
        <f>god+6</f>
        <v>2032</v>
      </c>
      <c r="AV9" s="1030">
        <f>god+7</f>
        <v>2033</v>
      </c>
      <c r="AW9" s="1030">
        <f>god+8</f>
        <v>2034</v>
      </c>
      <c r="AX9" s="1030">
        <f>god+9</f>
        <v>2035</v>
      </c>
      <c r="BD9" s="1031"/>
      <c r="BE9" s="1031"/>
      <c r="BF9" s="1031"/>
      <c r="BG9" s="1032"/>
      <c r="BH9" s="1032"/>
      <c r="BI9" s="1062"/>
    </row>
    <row r="10" spans="1:61" s="1030" customFormat="1" ht="12" hidden="1" customHeight="1">
      <c r="A10" s="958" t="s">
        <v>473</v>
      </c>
      <c r="B10" s="951"/>
      <c r="C10" s="1093"/>
      <c r="D10" s="1085"/>
      <c r="E10" s="951"/>
      <c r="F10" s="1033"/>
      <c r="G10" s="1033"/>
      <c r="H10" s="1033"/>
      <c r="I10" s="1033"/>
      <c r="J10" s="1033"/>
      <c r="K10" s="1033"/>
      <c r="L10" s="1064"/>
      <c r="M10" s="1064"/>
      <c r="N10" s="1064"/>
      <c r="O10" s="1064"/>
      <c r="P10" s="1064"/>
      <c r="Q10" s="1072"/>
      <c r="R10" s="1072"/>
      <c r="S10" s="1064"/>
      <c r="T10" s="959"/>
      <c r="U10" s="959"/>
      <c r="V10" s="959"/>
      <c r="W10" s="959"/>
      <c r="X10" s="959"/>
      <c r="Y10" s="959"/>
      <c r="Z10" s="959"/>
      <c r="AE10" s="1030" t="str" cm="1">
        <f t="array" ref="AE10">AE25</f>
        <v>Предложение организации</v>
      </c>
      <c r="AF10" s="1030" t="str" cm="1">
        <f t="array" ref="AF10">AF25</f>
        <v>Предложение организации</v>
      </c>
      <c r="AG10" s="1030" t="str" cm="1">
        <f t="array" ref="AG10">AG25</f>
        <v>Предложение организации</v>
      </c>
      <c r="AH10" s="1030" t="str" cm="1">
        <f t="array" ref="AH10">AH25</f>
        <v>Предложение организации</v>
      </c>
      <c r="AI10" s="1030" t="str" cm="1">
        <f t="array" ref="AI10">AI25</f>
        <v>Предложение организации</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Принято органом регулирования</v>
      </c>
      <c r="AP10" s="1030" t="str" cm="1">
        <f t="array" ref="AP10">AP25</f>
        <v>Принято органом регулирования</v>
      </c>
      <c r="AQ10" s="1030" t="str" cm="1">
        <f t="array" ref="AQ10">AQ25</f>
        <v>Принято органом регулирования</v>
      </c>
      <c r="AR10" s="1030" t="str" cm="1">
        <f t="array" ref="AR10">AR25</f>
        <v>Принято органом регулирования</v>
      </c>
      <c r="AS10" s="1030" t="str" cm="1">
        <f t="array" ref="AS10">AS25</f>
        <v>Принято органом регулирования</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BD10" s="1031"/>
      <c r="BE10" s="1031"/>
      <c r="BF10" s="1031"/>
      <c r="BG10" s="1032"/>
      <c r="BH10" s="1032"/>
      <c r="BI10" s="1062"/>
    </row>
    <row r="11" spans="1:61" s="1030" customFormat="1" ht="12" hidden="1" customHeight="1">
      <c r="A11" s="958" t="s">
        <v>474</v>
      </c>
      <c r="B11" s="951"/>
      <c r="C11" s="1093"/>
      <c r="D11" s="1085"/>
      <c r="E11" s="951"/>
      <c r="F11" s="1033"/>
      <c r="G11" s="1033"/>
      <c r="H11" s="1033"/>
      <c r="I11" s="1033"/>
      <c r="J11" s="1033"/>
      <c r="K11" s="1033"/>
      <c r="L11" s="1064"/>
      <c r="M11" s="1064"/>
      <c r="N11" s="1064"/>
      <c r="O11" s="1064"/>
      <c r="P11" s="1064"/>
      <c r="Q11" s="1072"/>
      <c r="R11" s="1072"/>
      <c r="S11" s="1064"/>
      <c r="T11" s="959"/>
      <c r="U11" s="959"/>
      <c r="V11" s="959"/>
      <c r="W11" s="959"/>
      <c r="X11" s="959"/>
      <c r="Y11" s="959"/>
      <c r="Z11" s="959"/>
      <c r="AC11" s="1034"/>
      <c r="AY11" s="1030" t="str" cm="1">
        <f t="array" ref="AY11">AY24</f>
        <v>Указание на подтверждающие документы / URL-ссылка на копии подтверждающих документов</v>
      </c>
      <c r="AZ11" s="1030" t="str" cm="1">
        <f t="array" ref="AZ11">AZ24</f>
        <v>Ссылка на правовую норму (основание для принятия показателя в расчет тарифа)</v>
      </c>
      <c r="BA11" s="1030"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31"/>
      <c r="BE11" s="1031"/>
      <c r="BF11" s="1031"/>
      <c r="BG11" s="1032"/>
      <c r="BH11" s="1032"/>
      <c r="BI11" s="1062"/>
    </row>
    <row r="12" spans="1:61" s="1030" customFormat="1" ht="12" hidden="1" customHeight="1">
      <c r="A12" s="958" t="s">
        <v>394</v>
      </c>
      <c r="B12" s="951"/>
      <c r="C12" s="1093"/>
      <c r="D12" s="1085"/>
      <c r="E12" s="951"/>
      <c r="F12" s="1033"/>
      <c r="G12" s="1033"/>
      <c r="H12" s="1033"/>
      <c r="I12" s="1033"/>
      <c r="J12" s="1033"/>
      <c r="K12" s="1033"/>
      <c r="L12" s="1064"/>
      <c r="M12" s="1064"/>
      <c r="N12" s="1064"/>
      <c r="O12" s="1064"/>
      <c r="P12" s="1064"/>
      <c r="Q12" s="1072"/>
      <c r="R12" s="1072"/>
      <c r="S12" s="1064"/>
      <c r="T12" s="959"/>
      <c r="U12" s="959"/>
      <c r="V12" s="959"/>
      <c r="W12" s="959"/>
      <c r="X12" s="959"/>
      <c r="Y12" s="959"/>
      <c r="Z12" s="959"/>
      <c r="AC12" s="1034" t="s">
        <v>385</v>
      </c>
      <c r="BD12" s="1031"/>
      <c r="BE12" s="1031"/>
      <c r="BF12" s="1031"/>
      <c r="BG12" s="1032"/>
      <c r="BH12" s="1032"/>
      <c r="BI12" s="1062"/>
    </row>
    <row r="13" spans="1:61" s="1063" customFormat="1" ht="12" hidden="1" customHeight="1">
      <c r="A13" s="1069" t="s">
        <v>103</v>
      </c>
      <c r="B13" s="1051"/>
      <c r="C13" s="1084"/>
      <c r="D13" s="1084"/>
      <c r="E13" s="1051"/>
      <c r="F13" s="1064"/>
      <c r="G13" s="1064"/>
      <c r="H13" s="1064"/>
      <c r="I13" s="1064"/>
      <c r="J13" s="1064"/>
      <c r="K13" s="1064"/>
      <c r="L13" s="1064"/>
      <c r="M13" s="1064"/>
      <c r="N13" s="1064"/>
      <c r="O13" s="1064"/>
      <c r="P13" s="1064"/>
      <c r="Q13" s="1072"/>
      <c r="R13" s="1072"/>
      <c r="S13" s="1064"/>
      <c r="T13" s="1066"/>
      <c r="U13" s="1066"/>
      <c r="V13" s="1066"/>
      <c r="W13" s="1066"/>
      <c r="X13" s="1066"/>
      <c r="Y13" s="1066"/>
      <c r="Z13" s="1066"/>
      <c r="AC13" s="1067"/>
      <c r="AE13" s="1062" t="s">
        <v>1631</v>
      </c>
      <c r="AF13" s="1062" t="s">
        <v>1631</v>
      </c>
      <c r="AG13" s="1062" t="s">
        <v>1631</v>
      </c>
      <c r="AH13" s="1062" t="s">
        <v>1631</v>
      </c>
      <c r="AI13" s="1062" t="s">
        <v>1631</v>
      </c>
      <c r="AJ13" s="1062" t="s">
        <v>1631</v>
      </c>
      <c r="AK13" s="1062" t="s">
        <v>1631</v>
      </c>
      <c r="AL13" s="1062" t="s">
        <v>1631</v>
      </c>
      <c r="AM13" s="1062" t="s">
        <v>1631</v>
      </c>
      <c r="AN13" s="1062" t="s">
        <v>1631</v>
      </c>
      <c r="AO13" s="1062" t="s">
        <v>1631</v>
      </c>
      <c r="AP13" s="1062" t="s">
        <v>1631</v>
      </c>
      <c r="AQ13" s="1062" t="s">
        <v>1631</v>
      </c>
      <c r="AR13" s="1062" t="s">
        <v>1631</v>
      </c>
      <c r="AS13" s="1062" t="s">
        <v>1631</v>
      </c>
      <c r="AT13" s="1062" t="s">
        <v>1631</v>
      </c>
      <c r="AU13" s="1062" t="s">
        <v>1631</v>
      </c>
      <c r="AV13" s="1062" t="s">
        <v>1631</v>
      </c>
      <c r="AW13" s="1062" t="s">
        <v>1631</v>
      </c>
      <c r="AX13" s="1062" t="s">
        <v>1631</v>
      </c>
      <c r="BD13" s="1068"/>
      <c r="BE13" s="1068"/>
      <c r="BF13" s="1068"/>
      <c r="BG13" s="1068"/>
      <c r="BH13" s="1068"/>
    </row>
    <row r="14" spans="1:61" s="1063" customFormat="1" ht="12" hidden="1" customHeight="1">
      <c r="A14" s="1069" t="s">
        <v>1632</v>
      </c>
      <c r="B14" s="1051"/>
      <c r="C14" s="1084"/>
      <c r="D14" s="1084"/>
      <c r="E14" s="1051"/>
      <c r="F14" s="1064"/>
      <c r="G14" s="1064"/>
      <c r="H14" s="1064"/>
      <c r="I14" s="1064"/>
      <c r="J14" s="1064"/>
      <c r="K14" s="1064"/>
      <c r="L14" s="1064"/>
      <c r="M14" s="1064"/>
      <c r="N14" s="1064"/>
      <c r="O14" s="1064"/>
      <c r="P14" s="1064"/>
      <c r="Q14" s="1072"/>
      <c r="R14" s="1072"/>
      <c r="S14" s="1064"/>
      <c r="T14" s="1066"/>
      <c r="U14" s="1066"/>
      <c r="V14" s="1066"/>
      <c r="W14" s="1066"/>
      <c r="X14" s="1066"/>
      <c r="Y14" s="1066"/>
      <c r="Z14" s="1066"/>
      <c r="AC14" s="1067"/>
      <c r="AE14" s="1066" cm="1">
        <f t="array" ref="AE14">first_year</f>
        <v>2021</v>
      </c>
      <c r="AF14" s="1066">
        <f t="shared" ref="AF14:AN14" si="2">AE14+1</f>
        <v>2022</v>
      </c>
      <c r="AG14" s="1066">
        <f t="shared" si="2"/>
        <v>2023</v>
      </c>
      <c r="AH14" s="1066">
        <f t="shared" si="2"/>
        <v>2024</v>
      </c>
      <c r="AI14" s="1066">
        <f t="shared" si="2"/>
        <v>2025</v>
      </c>
      <c r="AJ14" s="1066">
        <f t="shared" si="2"/>
        <v>2026</v>
      </c>
      <c r="AK14" s="1066">
        <f t="shared" si="2"/>
        <v>2027</v>
      </c>
      <c r="AL14" s="1066">
        <f t="shared" si="2"/>
        <v>2028</v>
      </c>
      <c r="AM14" s="1066">
        <f t="shared" si="2"/>
        <v>2029</v>
      </c>
      <c r="AN14" s="1066">
        <f t="shared" si="2"/>
        <v>2030</v>
      </c>
      <c r="AO14" s="1066" cm="1">
        <f t="array" ref="AO14">first_year</f>
        <v>2021</v>
      </c>
      <c r="AP14" s="1066">
        <f t="shared" ref="AP14:AX14" si="3">AO14+1</f>
        <v>2022</v>
      </c>
      <c r="AQ14" s="1066">
        <f t="shared" si="3"/>
        <v>2023</v>
      </c>
      <c r="AR14" s="1066">
        <f t="shared" si="3"/>
        <v>2024</v>
      </c>
      <c r="AS14" s="1066">
        <f t="shared" si="3"/>
        <v>2025</v>
      </c>
      <c r="AT14" s="1066">
        <f t="shared" si="3"/>
        <v>2026</v>
      </c>
      <c r="AU14" s="1066">
        <f t="shared" si="3"/>
        <v>2027</v>
      </c>
      <c r="AV14" s="1066">
        <f t="shared" si="3"/>
        <v>2028</v>
      </c>
      <c r="AW14" s="1066">
        <f t="shared" si="3"/>
        <v>2029</v>
      </c>
      <c r="AX14" s="1066">
        <f t="shared" si="3"/>
        <v>2030</v>
      </c>
      <c r="BD14" s="1068"/>
      <c r="BE14" s="1068"/>
      <c r="BF14" s="1068"/>
      <c r="BG14" s="1068"/>
      <c r="BH14" s="1068"/>
    </row>
    <row r="15" spans="1:61" s="1063" customFormat="1" ht="12" hidden="1" customHeight="1">
      <c r="A15" s="1069" t="s">
        <v>1633</v>
      </c>
      <c r="B15" s="1051"/>
      <c r="C15" s="1084"/>
      <c r="D15" s="1084"/>
      <c r="E15" s="1051"/>
      <c r="F15" s="1064"/>
      <c r="G15" s="1064"/>
      <c r="H15" s="1064"/>
      <c r="I15" s="1064"/>
      <c r="J15" s="1064"/>
      <c r="K15" s="1064"/>
      <c r="L15" s="1064"/>
      <c r="M15" s="1064"/>
      <c r="N15" s="1064"/>
      <c r="O15" s="1064"/>
      <c r="P15" s="1064"/>
      <c r="Q15" s="1072"/>
      <c r="R15" s="1072"/>
      <c r="S15" s="1064"/>
      <c r="T15" s="1066"/>
      <c r="U15" s="1066"/>
      <c r="V15" s="1066"/>
      <c r="W15" s="1066"/>
      <c r="X15" s="1066"/>
      <c r="Y15" s="1066"/>
      <c r="Z15" s="1066"/>
      <c r="AC15" s="1067"/>
      <c r="AE15" s="1062" t="s">
        <v>1635</v>
      </c>
      <c r="AF15" s="1062" t="s">
        <v>1635</v>
      </c>
      <c r="AG15" s="1062" t="s">
        <v>1635</v>
      </c>
      <c r="AH15" s="1062" t="s">
        <v>1635</v>
      </c>
      <c r="AI15" s="1062" t="s">
        <v>1635</v>
      </c>
      <c r="AJ15" s="1062" t="s">
        <v>1635</v>
      </c>
      <c r="AK15" s="1062" t="s">
        <v>1635</v>
      </c>
      <c r="AL15" s="1062" t="s">
        <v>1635</v>
      </c>
      <c r="AM15" s="1062" t="s">
        <v>1635</v>
      </c>
      <c r="AN15" s="1062" t="s">
        <v>1635</v>
      </c>
      <c r="AO15" s="1062" t="s">
        <v>1634</v>
      </c>
      <c r="AP15" s="1062" t="s">
        <v>1634</v>
      </c>
      <c r="AQ15" s="1062" t="s">
        <v>1634</v>
      </c>
      <c r="AR15" s="1062" t="s">
        <v>1634</v>
      </c>
      <c r="AS15" s="1062" t="s">
        <v>1634</v>
      </c>
      <c r="AT15" s="1062" t="s">
        <v>1634</v>
      </c>
      <c r="AU15" s="1062" t="s">
        <v>1634</v>
      </c>
      <c r="AV15" s="1062" t="s">
        <v>1634</v>
      </c>
      <c r="AW15" s="1062" t="s">
        <v>1634</v>
      </c>
      <c r="AX15" s="1062" t="s">
        <v>1634</v>
      </c>
      <c r="BD15" s="1068"/>
      <c r="BE15" s="1068"/>
      <c r="BF15" s="1068"/>
      <c r="BG15" s="1068"/>
      <c r="BH15" s="1068"/>
    </row>
    <row r="16" spans="1:61" s="1063" customFormat="1" ht="12" hidden="1" customHeight="1">
      <c r="A16" s="1101" t="s">
        <v>1641</v>
      </c>
      <c r="B16" s="1051"/>
      <c r="C16" s="1093"/>
      <c r="D16" s="1085"/>
      <c r="E16" s="1051"/>
      <c r="F16" s="1064"/>
      <c r="G16" s="1064"/>
      <c r="H16" s="1064"/>
      <c r="I16" s="1064"/>
      <c r="J16" s="1064"/>
      <c r="K16" s="1064"/>
      <c r="L16" s="1064"/>
      <c r="M16" s="1064"/>
      <c r="N16" s="1064"/>
      <c r="O16" s="1064"/>
      <c r="P16" s="1064"/>
      <c r="Q16" s="1072"/>
      <c r="R16" s="1072"/>
      <c r="S16" s="1064"/>
      <c r="T16" s="1066"/>
      <c r="U16" s="1066"/>
      <c r="V16" s="1066"/>
      <c r="W16" s="1066"/>
      <c r="X16" s="1066"/>
      <c r="Y16" s="1066"/>
      <c r="Z16" s="1066"/>
      <c r="AC16" s="1067"/>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2" t="s">
        <v>1642</v>
      </c>
      <c r="AZ16" s="1062" t="s">
        <v>1643</v>
      </c>
      <c r="BA16" s="1062" t="s">
        <v>1644</v>
      </c>
      <c r="BD16" s="1068"/>
      <c r="BE16" s="1068"/>
      <c r="BF16" s="1068"/>
      <c r="BG16" s="1068"/>
      <c r="BH16" s="1068"/>
    </row>
    <row r="17" spans="1:61" s="178" customFormat="1" ht="12" hidden="1" customHeight="1">
      <c r="A17" s="983"/>
      <c r="B17" s="667"/>
      <c r="C17" s="1093"/>
      <c r="D17" s="1085"/>
      <c r="E17" s="676"/>
      <c r="F17" s="180"/>
      <c r="G17" s="180"/>
      <c r="H17" s="180"/>
      <c r="I17" s="180"/>
      <c r="J17" s="180"/>
      <c r="K17" s="180"/>
      <c r="L17" s="1064"/>
      <c r="M17" s="1064"/>
      <c r="N17" s="1064"/>
      <c r="O17" s="1064"/>
      <c r="P17" s="1064"/>
      <c r="Q17" s="1072"/>
      <c r="R17" s="1072"/>
      <c r="S17" s="1064"/>
      <c r="T17" s="126"/>
      <c r="U17" s="126"/>
      <c r="V17" s="126"/>
      <c r="W17" s="126"/>
      <c r="X17" s="126"/>
      <c r="Y17" s="126"/>
      <c r="Z17" s="126"/>
      <c r="AC17" s="182"/>
      <c r="BD17" s="1031"/>
      <c r="BE17" s="1031"/>
      <c r="BF17" s="1031"/>
      <c r="BG17" s="1032"/>
      <c r="BH17" s="1032"/>
      <c r="BI17" s="1062"/>
    </row>
    <row r="18" spans="1:61" s="178" customFormat="1" ht="12" hidden="1" customHeight="1">
      <c r="A18" s="983"/>
      <c r="B18" s="667"/>
      <c r="C18" s="1093"/>
      <c r="D18" s="1085"/>
      <c r="E18" s="676"/>
      <c r="F18" s="180"/>
      <c r="G18" s="180"/>
      <c r="H18" s="180"/>
      <c r="I18" s="180"/>
      <c r="J18" s="180"/>
      <c r="K18" s="180"/>
      <c r="L18" s="1064"/>
      <c r="M18" s="1064"/>
      <c r="N18" s="1064"/>
      <c r="O18" s="1064"/>
      <c r="P18" s="1064"/>
      <c r="Q18" s="1072"/>
      <c r="R18" s="1072"/>
      <c r="S18" s="1064"/>
      <c r="T18" s="126"/>
      <c r="U18" s="126"/>
      <c r="V18" s="126"/>
      <c r="W18" s="126"/>
      <c r="X18" s="126"/>
      <c r="Y18" s="126"/>
      <c r="Z18" s="126"/>
      <c r="AC18" s="182"/>
      <c r="BD18" s="1031"/>
      <c r="BE18" s="1031"/>
      <c r="BF18" s="1031"/>
      <c r="BG18" s="1032"/>
      <c r="BH18" s="1032"/>
      <c r="BI18" s="1062"/>
    </row>
    <row r="19" spans="1:61" s="178" customFormat="1" ht="12" hidden="1" customHeight="1">
      <c r="A19" s="983"/>
      <c r="B19" s="667"/>
      <c r="C19" s="1093"/>
      <c r="D19" s="1085"/>
      <c r="E19" s="676"/>
      <c r="F19" s="180"/>
      <c r="G19" s="180"/>
      <c r="H19" s="180"/>
      <c r="I19" s="180"/>
      <c r="J19" s="180"/>
      <c r="K19" s="180"/>
      <c r="L19" s="1064"/>
      <c r="M19" s="1064"/>
      <c r="N19" s="1064"/>
      <c r="O19" s="1064"/>
      <c r="P19" s="1064"/>
      <c r="Q19" s="1072"/>
      <c r="R19" s="1072"/>
      <c r="S19" s="1064"/>
      <c r="T19" s="126"/>
      <c r="U19" s="126"/>
      <c r="V19" s="126"/>
      <c r="W19" s="126"/>
      <c r="X19" s="126"/>
      <c r="Y19" s="126"/>
      <c r="Z19" s="126"/>
      <c r="AC19" s="182"/>
      <c r="BD19" s="1031"/>
      <c r="BE19" s="1031"/>
      <c r="BF19" s="1031"/>
      <c r="BG19" s="1032"/>
      <c r="BH19" s="1032"/>
      <c r="BI19" s="1062"/>
    </row>
    <row r="20" spans="1:61" s="178" customFormat="1" ht="12" hidden="1" customHeight="1">
      <c r="A20" s="983"/>
      <c r="B20" s="667"/>
      <c r="C20" s="1093"/>
      <c r="D20" s="1085"/>
      <c r="E20" s="676"/>
      <c r="F20" s="180"/>
      <c r="G20" s="180"/>
      <c r="H20" s="180"/>
      <c r="I20" s="180"/>
      <c r="J20" s="180"/>
      <c r="K20" s="180"/>
      <c r="L20" s="1064"/>
      <c r="M20" s="1064"/>
      <c r="N20" s="1064"/>
      <c r="O20" s="1064"/>
      <c r="P20" s="1064"/>
      <c r="Q20" s="1072"/>
      <c r="R20" s="1072"/>
      <c r="S20" s="1064"/>
      <c r="T20" s="126"/>
      <c r="U20" s="126"/>
      <c r="V20" s="126"/>
      <c r="W20" s="126"/>
      <c r="X20" s="126"/>
      <c r="Y20" s="126"/>
      <c r="Z20" s="126"/>
      <c r="AC20" s="182"/>
      <c r="BD20" s="1031"/>
      <c r="BE20" s="1031"/>
      <c r="BF20" s="1031"/>
      <c r="BG20" s="1032"/>
      <c r="BH20" s="1032"/>
      <c r="BI20" s="1062"/>
    </row>
    <row r="21" spans="1:61" ht="14.65" customHeight="1">
      <c r="E21" s="676">
        <v>15</v>
      </c>
      <c r="AA21" s="699"/>
      <c r="AB21" s="180"/>
      <c r="AC21" s="343" t="str" cm="1">
        <f t="array" ref="AC21">tpl_title</f>
        <v>Кемеровская область / 2026 / ОАО «СКЭК» (ИНН:4205153492, КПП:420501001) / ДПР: 2021-2030</v>
      </c>
      <c r="AD21" s="180"/>
    </row>
    <row r="22" spans="1:61" s="1156" customFormat="1" ht="19.5" customHeight="1">
      <c r="A22" s="833"/>
      <c r="B22" s="667"/>
      <c r="C22" s="1097"/>
      <c r="D22" s="1086"/>
      <c r="E22" s="676">
        <v>20.100000000000001</v>
      </c>
      <c r="L22" s="1072"/>
      <c r="M22" s="1072"/>
      <c r="N22" s="1072"/>
      <c r="O22" s="1072"/>
      <c r="P22" s="1072"/>
      <c r="Q22" s="1072"/>
      <c r="R22" s="1072"/>
      <c r="S22" s="1072"/>
      <c r="T22" s="129"/>
      <c r="U22" s="129"/>
      <c r="V22" s="129"/>
      <c r="W22" s="129"/>
      <c r="X22" s="129"/>
      <c r="Y22" s="129"/>
      <c r="Z22" s="129"/>
      <c r="AB22" s="333" t="s">
        <v>73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D22" s="989"/>
      <c r="BE22" s="989"/>
      <c r="BF22" s="989"/>
      <c r="BG22" s="990"/>
      <c r="BH22" s="990"/>
      <c r="BI22" s="1072"/>
    </row>
    <row r="23" spans="1:61" s="1156" customFormat="1" ht="9.9499999999999993" customHeight="1">
      <c r="A23" s="833"/>
      <c r="B23" s="667"/>
      <c r="C23" s="1097"/>
      <c r="D23" s="1086"/>
      <c r="E23" s="676">
        <v>10.199999999999999</v>
      </c>
      <c r="L23" s="1072"/>
      <c r="M23" s="1072"/>
      <c r="N23" s="1072"/>
      <c r="O23" s="1072"/>
      <c r="P23" s="1072"/>
      <c r="Q23" s="1072"/>
      <c r="R23" s="1072"/>
      <c r="S23" s="1072"/>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D23" s="989"/>
      <c r="BE23" s="989"/>
      <c r="BF23" s="989"/>
      <c r="BG23" s="990"/>
      <c r="BH23" s="990"/>
      <c r="BI23" s="1072"/>
    </row>
    <row r="24" spans="1:61" s="179" customFormat="1" ht="24.2" customHeight="1">
      <c r="A24" s="277"/>
      <c r="B24" s="671"/>
      <c r="C24" s="1093"/>
      <c r="D24" s="1085"/>
      <c r="E24" s="682">
        <v>24.8</v>
      </c>
      <c r="L24" s="1074"/>
      <c r="M24" s="1074"/>
      <c r="N24" s="1074"/>
      <c r="O24" s="1074"/>
      <c r="P24" s="1074"/>
      <c r="Q24" s="1089"/>
      <c r="R24" s="1089"/>
      <c r="S24" s="1074"/>
      <c r="T24" s="122"/>
      <c r="U24" s="122"/>
      <c r="V24" s="122"/>
      <c r="W24" s="122"/>
      <c r="X24" s="122"/>
      <c r="Y24" s="122"/>
      <c r="Z24" s="122"/>
      <c r="AB24" s="1827" t="s">
        <v>396</v>
      </c>
      <c r="AC24" s="1827" t="s">
        <v>475</v>
      </c>
      <c r="AD24" s="1827" t="s">
        <v>476</v>
      </c>
      <c r="AE24" s="1145" t="str">
        <f>first_year&amp;" год"</f>
        <v>2021 год</v>
      </c>
      <c r="AF24" s="1145" t="str">
        <f>first_year+1&amp;" год"</f>
        <v>2022 год</v>
      </c>
      <c r="AG24" s="1145" t="str">
        <f>first_year+2&amp;" год"</f>
        <v>2023 год</v>
      </c>
      <c r="AH24" s="1145" t="str">
        <f>first_year+3&amp;" год"</f>
        <v>2024 год</v>
      </c>
      <c r="AI24" s="1145" t="str">
        <f>first_year+4&amp;" год"</f>
        <v>2025 год</v>
      </c>
      <c r="AJ24" s="1141" t="str">
        <f>first_year+5&amp;" год"</f>
        <v>2026 год</v>
      </c>
      <c r="AK24" s="1141" t="str">
        <f>first_year+6&amp;" год"</f>
        <v>2027 год</v>
      </c>
      <c r="AL24" s="1141" t="str">
        <f>first_year+7&amp;" год"</f>
        <v>2028 год</v>
      </c>
      <c r="AM24" s="1141" t="str">
        <f>first_year+8&amp;" год"</f>
        <v>2029 год</v>
      </c>
      <c r="AN24" s="1141" t="str">
        <f>first_year+9&amp;" год"</f>
        <v>2030 год</v>
      </c>
      <c r="AO24" s="121" t="str">
        <f>first_year&amp;" год"</f>
        <v>2021 год</v>
      </c>
      <c r="AP24" s="121" t="str">
        <f>first_year+1&amp;" год"</f>
        <v>2022 год</v>
      </c>
      <c r="AQ24" s="121" t="str">
        <f>first_year+2&amp;" год"</f>
        <v>2023 год</v>
      </c>
      <c r="AR24" s="121" t="str">
        <f>first_year+3&amp;" год"</f>
        <v>2024 год</v>
      </c>
      <c r="AS24" s="121" t="str">
        <f>first_year+4&amp;" год"</f>
        <v>2025 год</v>
      </c>
      <c r="AT24" s="121" t="str">
        <f>first_year+5&amp;" год"</f>
        <v>2026 год</v>
      </c>
      <c r="AU24" s="121" t="str">
        <f>first_year+6&amp;" год"</f>
        <v>2027 год</v>
      </c>
      <c r="AV24" s="121" t="str">
        <f>first_year+7&amp;" год"</f>
        <v>2028 год</v>
      </c>
      <c r="AW24" s="121" t="str">
        <f>first_year+8&amp;" год"</f>
        <v>2029 год</v>
      </c>
      <c r="AX24" s="125" t="str">
        <f>first_year+9&amp;" год"</f>
        <v>2030 год</v>
      </c>
      <c r="AY24" s="1826" t="s">
        <v>1346</v>
      </c>
      <c r="AZ24" s="1826" t="s">
        <v>630</v>
      </c>
      <c r="BA24" s="1826" t="s">
        <v>1347</v>
      </c>
      <c r="BD24" s="1031"/>
      <c r="BE24" s="1035"/>
      <c r="BF24" s="1035"/>
      <c r="BG24" s="1036"/>
      <c r="BH24" s="1036"/>
      <c r="BI24" s="1074"/>
    </row>
    <row r="25" spans="1:61" s="179" customFormat="1" ht="44.65" customHeight="1">
      <c r="A25" s="277"/>
      <c r="B25" s="671"/>
      <c r="C25" s="1093"/>
      <c r="D25" s="1085"/>
      <c r="E25" s="682">
        <v>45.8</v>
      </c>
      <c r="L25" s="1074"/>
      <c r="M25" s="1074"/>
      <c r="N25" s="1074"/>
      <c r="O25" s="1074"/>
      <c r="P25" s="1074"/>
      <c r="Q25" s="1089"/>
      <c r="R25" s="1089"/>
      <c r="S25" s="1074"/>
      <c r="T25" s="122"/>
      <c r="U25" s="122"/>
      <c r="V25" s="122"/>
      <c r="W25" s="122"/>
      <c r="X25" s="122"/>
      <c r="Y25" s="122"/>
      <c r="Z25" s="122"/>
      <c r="AB25" s="1827"/>
      <c r="AC25" s="1827"/>
      <c r="AD25" s="1827"/>
      <c r="AE25" s="1142" t="s">
        <v>413</v>
      </c>
      <c r="AF25" s="1142" t="s">
        <v>413</v>
      </c>
      <c r="AG25" s="1142" t="s">
        <v>413</v>
      </c>
      <c r="AH25" s="1142" t="s">
        <v>413</v>
      </c>
      <c r="AI25" s="1142" t="s">
        <v>413</v>
      </c>
      <c r="AJ25" s="1142" t="s">
        <v>413</v>
      </c>
      <c r="AK25" s="1142" t="s">
        <v>413</v>
      </c>
      <c r="AL25" s="1142" t="s">
        <v>413</v>
      </c>
      <c r="AM25" s="1142" t="s">
        <v>413</v>
      </c>
      <c r="AN25" s="1142" t="s">
        <v>413</v>
      </c>
      <c r="AO25" s="351" t="s">
        <v>412</v>
      </c>
      <c r="AP25" s="351" t="s">
        <v>412</v>
      </c>
      <c r="AQ25" s="351" t="s">
        <v>412</v>
      </c>
      <c r="AR25" s="351" t="s">
        <v>412</v>
      </c>
      <c r="AS25" s="351" t="s">
        <v>412</v>
      </c>
      <c r="AT25" s="351" t="s">
        <v>412</v>
      </c>
      <c r="AU25" s="351" t="s">
        <v>412</v>
      </c>
      <c r="AV25" s="351" t="s">
        <v>412</v>
      </c>
      <c r="AW25" s="351" t="s">
        <v>412</v>
      </c>
      <c r="AX25" s="120" t="s">
        <v>412</v>
      </c>
      <c r="AY25" s="1826"/>
      <c r="AZ25" s="1826"/>
      <c r="BA25" s="1826"/>
      <c r="BD25" s="1031"/>
      <c r="BE25" s="1035"/>
      <c r="BF25" s="1035"/>
      <c r="BG25" s="1036"/>
      <c r="BH25" s="1036"/>
      <c r="BI25" s="1074"/>
    </row>
    <row r="26" spans="1:61" s="179" customFormat="1" ht="14.25" hidden="1" customHeight="1">
      <c r="A26" s="277"/>
      <c r="B26" s="671"/>
      <c r="C26" s="1093"/>
      <c r="D26" s="1085"/>
      <c r="E26" s="682">
        <v>0</v>
      </c>
      <c r="L26" s="1074"/>
      <c r="M26" s="1074"/>
      <c r="N26" s="1074"/>
      <c r="O26" s="1074"/>
      <c r="P26" s="1074"/>
      <c r="Q26" s="1089"/>
      <c r="R26" s="1089"/>
      <c r="S26" s="1074"/>
      <c r="T26" s="122"/>
      <c r="U26" s="122"/>
      <c r="V26" s="122"/>
      <c r="W26" s="122"/>
      <c r="X26" s="122"/>
      <c r="Y26" s="122"/>
      <c r="Z26" s="122"/>
      <c r="AB26" s="597"/>
      <c r="AC26" s="597"/>
      <c r="AD26" s="597"/>
      <c r="AE26" s="122"/>
      <c r="AF26" s="122"/>
      <c r="AG26" s="122"/>
      <c r="AH26" s="122"/>
      <c r="AI26" s="122"/>
      <c r="AJ26" s="122"/>
      <c r="AK26" s="122"/>
      <c r="AL26" s="122"/>
      <c r="AM26" s="122"/>
      <c r="AN26" s="122"/>
      <c r="AO26" s="122"/>
      <c r="AP26" s="122"/>
      <c r="AQ26" s="122"/>
      <c r="AR26" s="122"/>
      <c r="AS26" s="122"/>
      <c r="AT26" s="122"/>
      <c r="AU26" s="122"/>
      <c r="AV26" s="122"/>
      <c r="AW26" s="122"/>
      <c r="AX26" s="122"/>
      <c r="AY26" s="182"/>
      <c r="AZ26" s="182"/>
      <c r="BA26" s="182"/>
      <c r="BD26" s="1031"/>
      <c r="BE26" s="1035"/>
      <c r="BF26" s="1035"/>
      <c r="BG26" s="1036"/>
      <c r="BH26" s="1036"/>
      <c r="BI26" s="1074"/>
    </row>
    <row r="27" spans="1:61" s="170" customFormat="1" ht="16.7" hidden="1" customHeight="1">
      <c r="C27" s="1098"/>
      <c r="D27" s="1112"/>
      <c r="E27" s="676">
        <v>17.100000000000001</v>
      </c>
      <c r="F27" s="620" cm="1">
        <f t="array" ref="F27">X27</f>
        <v>0</v>
      </c>
      <c r="G27" s="620" cm="1">
        <f t="array" ref="G27">INDEX('Общие сведения'!$AK$187:$AK$236,MATCH($F27,'Общие сведения'!$Z$187:$Z$236,0))</f>
        <v>0</v>
      </c>
      <c r="I27" s="163" t="str" cm="1">
        <f t="array" ref="I27">INDEX('Общие сведения'!$AE$187:$AE$236,MATCH($F27,'Общие сведения'!$Z$187:$Z$236,0))</f>
        <v>Теплоснабжение</v>
      </c>
      <c r="K27" s="163" cm="1">
        <f t="array" ref="K27">INDEX('Общие сведения'!$AL$187:$AL$236,MATCH($F27,'Общие сведения'!$Z$187:$Z$236,0))</f>
        <v>0</v>
      </c>
      <c r="L27" s="1092"/>
      <c r="M27" s="1092"/>
      <c r="N27" s="1092"/>
      <c r="O27" s="1092"/>
      <c r="P27" s="1092"/>
      <c r="Q27" s="1088"/>
      <c r="R27" s="1088"/>
      <c r="S27" s="1092"/>
      <c r="T27" s="687" t="b">
        <f t="shared" ref="T27:T58" si="4">AND(F27&gt;0,OR(ISBLANK(Y27),Y27&gt;0))</f>
        <v>0</v>
      </c>
      <c r="V27" s="126" t="s">
        <v>315</v>
      </c>
      <c r="X27" s="1838">
        <v>0</v>
      </c>
      <c r="Z27" s="1724"/>
      <c r="AB27" s="275" t="str" cm="1">
        <f t="array" ref="AB27">INDEX('Общие сведения'!$AG$187:$AG$236,MATCH($F27,'Общие сведения'!$Z$187:$Z$236,0))</f>
        <v xml:space="preserve">Тариф 0 (Теплоснабжение) - </v>
      </c>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D27" s="981"/>
      <c r="BE27" s="981"/>
      <c r="BF27" s="981"/>
      <c r="BG27" s="984"/>
      <c r="BH27" s="984"/>
      <c r="BI27" s="1076"/>
    </row>
    <row r="28" spans="1:61" ht="16.5" hidden="1" customHeight="1">
      <c r="C28" s="1094" t="s">
        <v>1753</v>
      </c>
      <c r="D28" s="1113" t="s">
        <v>1754</v>
      </c>
      <c r="E28" s="676">
        <v>17</v>
      </c>
      <c r="F28" s="620" cm="1">
        <f t="array" aca="1" ref="F28" ca="1">OFFSET(G28,-1,-1)</f>
        <v>0</v>
      </c>
      <c r="L28" s="1080"/>
      <c r="M28" s="1080" cm="1">
        <f t="array" ref="M28">INDEX('Общие сведения'!$N$187:$N$236,MATCH($F27,'Общие сведения'!$Z$187:$Z$236,0)+1)</f>
        <v>0</v>
      </c>
      <c r="N28" s="1080" t="s">
        <v>2057</v>
      </c>
      <c r="O28" s="1080"/>
      <c r="P28" s="1080"/>
      <c r="Q28" s="1082"/>
      <c r="R28" s="1082"/>
      <c r="S28" s="1080"/>
      <c r="T28" s="687" t="b">
        <f t="shared" ca="1" si="4"/>
        <v>0</v>
      </c>
      <c r="X28" s="1726"/>
      <c r="Z28" s="1726"/>
      <c r="AB28" s="124">
        <v>1</v>
      </c>
      <c r="AC28" s="526" t="s">
        <v>2058</v>
      </c>
      <c r="AD28" s="468" t="s">
        <v>1460</v>
      </c>
      <c r="AE28" s="257">
        <f t="shared" ref="AE28:AX28" si="5">AE29+AE35+AE45</f>
        <v>0</v>
      </c>
      <c r="AF28" s="257">
        <f t="shared" si="5"/>
        <v>0</v>
      </c>
      <c r="AG28" s="257">
        <f t="shared" si="5"/>
        <v>0</v>
      </c>
      <c r="AH28" s="257">
        <f t="shared" si="5"/>
        <v>0</v>
      </c>
      <c r="AI28" s="257">
        <f t="shared" si="5"/>
        <v>0</v>
      </c>
      <c r="AJ28" s="53">
        <f t="shared" si="5"/>
        <v>0</v>
      </c>
      <c r="AK28" s="53">
        <f t="shared" si="5"/>
        <v>0</v>
      </c>
      <c r="AL28" s="53">
        <f t="shared" si="5"/>
        <v>0</v>
      </c>
      <c r="AM28" s="53">
        <f t="shared" si="5"/>
        <v>0</v>
      </c>
      <c r="AN28" s="53">
        <f t="shared" si="5"/>
        <v>0</v>
      </c>
      <c r="AO28" s="257">
        <f t="shared" si="5"/>
        <v>0</v>
      </c>
      <c r="AP28" s="257">
        <f t="shared" si="5"/>
        <v>0</v>
      </c>
      <c r="AQ28" s="257">
        <f t="shared" si="5"/>
        <v>0</v>
      </c>
      <c r="AR28" s="257">
        <f t="shared" si="5"/>
        <v>0</v>
      </c>
      <c r="AS28" s="257">
        <f t="shared" si="5"/>
        <v>0</v>
      </c>
      <c r="AT28" s="53">
        <f t="shared" si="5"/>
        <v>0</v>
      </c>
      <c r="AU28" s="53">
        <f t="shared" si="5"/>
        <v>0</v>
      </c>
      <c r="AV28" s="53">
        <f t="shared" si="5"/>
        <v>0</v>
      </c>
      <c r="AW28" s="53">
        <f t="shared" si="5"/>
        <v>0</v>
      </c>
      <c r="AX28" s="53">
        <f t="shared" si="5"/>
        <v>0</v>
      </c>
      <c r="AY28" s="28"/>
      <c r="AZ28" s="28"/>
      <c r="BA28" s="28"/>
      <c r="BD28" s="1031" t="s">
        <v>2059</v>
      </c>
      <c r="BI28" s="1064"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94" t="s">
        <v>1753</v>
      </c>
      <c r="D29" s="1113" t="s">
        <v>1754</v>
      </c>
      <c r="E29" s="676">
        <v>17</v>
      </c>
      <c r="F29" s="620" cm="1">
        <f t="array" aca="1" ref="F29" ca="1">OFFSET(G29,-1,-1)</f>
        <v>0</v>
      </c>
      <c r="L29" s="1080"/>
      <c r="M29" s="1080" cm="1">
        <f t="array" aca="1" ref="M29" ca="1">OFFSET(L29,-1,1)</f>
        <v>0</v>
      </c>
      <c r="N29" s="1080" t="s">
        <v>2057</v>
      </c>
      <c r="O29" s="1080" t="s">
        <v>1828</v>
      </c>
      <c r="P29" s="1080"/>
      <c r="Q29" s="1082"/>
      <c r="R29" s="1082"/>
      <c r="S29" s="1080"/>
      <c r="T29" s="687" t="b">
        <f t="shared" ca="1" si="4"/>
        <v>0</v>
      </c>
      <c r="X29" s="1726"/>
      <c r="Z29" s="1726"/>
      <c r="AB29" s="124" t="s">
        <v>484</v>
      </c>
      <c r="AC29" s="869" t="s">
        <v>2060</v>
      </c>
      <c r="AD29" s="468" t="s">
        <v>1460</v>
      </c>
      <c r="AE29" s="257">
        <f t="shared" ref="AE29:AX29" si="6">AE30+AE34</f>
        <v>0</v>
      </c>
      <c r="AF29" s="257">
        <f t="shared" si="6"/>
        <v>0</v>
      </c>
      <c r="AG29" s="257">
        <f t="shared" si="6"/>
        <v>0</v>
      </c>
      <c r="AH29" s="257">
        <f t="shared" si="6"/>
        <v>0</v>
      </c>
      <c r="AI29" s="257">
        <f t="shared" si="6"/>
        <v>0</v>
      </c>
      <c r="AJ29" s="53">
        <f t="shared" si="6"/>
        <v>0</v>
      </c>
      <c r="AK29" s="53">
        <f t="shared" si="6"/>
        <v>0</v>
      </c>
      <c r="AL29" s="53">
        <f t="shared" si="6"/>
        <v>0</v>
      </c>
      <c r="AM29" s="53">
        <f t="shared" si="6"/>
        <v>0</v>
      </c>
      <c r="AN29" s="53">
        <f t="shared" si="6"/>
        <v>0</v>
      </c>
      <c r="AO29" s="257">
        <f t="shared" si="6"/>
        <v>0</v>
      </c>
      <c r="AP29" s="257">
        <f t="shared" si="6"/>
        <v>0</v>
      </c>
      <c r="AQ29" s="257">
        <f t="shared" si="6"/>
        <v>0</v>
      </c>
      <c r="AR29" s="257">
        <f t="shared" si="6"/>
        <v>0</v>
      </c>
      <c r="AS29" s="257">
        <f t="shared" si="6"/>
        <v>0</v>
      </c>
      <c r="AT29" s="53">
        <f t="shared" si="6"/>
        <v>0</v>
      </c>
      <c r="AU29" s="53">
        <f t="shared" si="6"/>
        <v>0</v>
      </c>
      <c r="AV29" s="53">
        <f t="shared" si="6"/>
        <v>0</v>
      </c>
      <c r="AW29" s="53">
        <f t="shared" si="6"/>
        <v>0</v>
      </c>
      <c r="AX29" s="53">
        <f t="shared" si="6"/>
        <v>0</v>
      </c>
      <c r="AY29" s="28"/>
      <c r="AZ29" s="28"/>
      <c r="BA29" s="28"/>
      <c r="BD29" s="1031" t="s">
        <v>2061</v>
      </c>
      <c r="BI29" s="1064"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94" t="s">
        <v>1753</v>
      </c>
      <c r="D30" s="1113" t="s">
        <v>1754</v>
      </c>
      <c r="E30" s="676">
        <v>17</v>
      </c>
      <c r="F30" s="620" cm="1">
        <f t="array" aca="1" ref="F30" ca="1">OFFSET(G30,-1,-1)</f>
        <v>0</v>
      </c>
      <c r="L30" s="1080"/>
      <c r="M30" s="1080" cm="1">
        <f t="array" aca="1" ref="M30" ca="1">OFFSET(L30,-1,1)</f>
        <v>0</v>
      </c>
      <c r="N30" s="1080" t="s">
        <v>2057</v>
      </c>
      <c r="O30" s="1080" t="s">
        <v>1828</v>
      </c>
      <c r="P30" s="1080" t="s">
        <v>2062</v>
      </c>
      <c r="Q30" s="1082"/>
      <c r="R30" s="1082"/>
      <c r="S30" s="1080"/>
      <c r="T30" s="687" t="b">
        <f t="shared" ca="1" si="4"/>
        <v>0</v>
      </c>
      <c r="X30" s="1726"/>
      <c r="Z30" s="1726"/>
      <c r="AB30" s="487" t="s">
        <v>1210</v>
      </c>
      <c r="AC30" s="471" t="s">
        <v>2063</v>
      </c>
      <c r="AD30" s="855" t="s">
        <v>1460</v>
      </c>
      <c r="AE30" s="257"/>
      <c r="AF30" s="257"/>
      <c r="AG30" s="257"/>
      <c r="AH30" s="257"/>
      <c r="AI30" s="257"/>
      <c r="AJ30" s="53"/>
      <c r="AK30" s="53"/>
      <c r="AL30" s="53"/>
      <c r="AM30" s="53"/>
      <c r="AN30" s="53"/>
      <c r="AO30" s="257"/>
      <c r="AP30" s="257"/>
      <c r="AQ30" s="257"/>
      <c r="AR30" s="257"/>
      <c r="AS30" s="257"/>
      <c r="AT30" s="53"/>
      <c r="AU30" s="53"/>
      <c r="AV30" s="53"/>
      <c r="AW30" s="53"/>
      <c r="AX30" s="53"/>
      <c r="AY30" s="28"/>
      <c r="AZ30" s="28"/>
      <c r="BA30" s="28"/>
      <c r="BD30" s="1031" t="s">
        <v>2064</v>
      </c>
      <c r="BI30" s="1064"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94" t="s">
        <v>1753</v>
      </c>
      <c r="D31" s="1113" t="s">
        <v>1754</v>
      </c>
      <c r="E31" s="676">
        <v>17</v>
      </c>
      <c r="F31" s="620" cm="1">
        <f t="array" aca="1" ref="F31" ca="1">OFFSET(G31,-1,-1)</f>
        <v>0</v>
      </c>
      <c r="L31" s="1080"/>
      <c r="M31" s="1080" cm="1">
        <f t="array" aca="1" ref="M31" ca="1">OFFSET(L31,-1,1)</f>
        <v>0</v>
      </c>
      <c r="N31" s="1080" t="s">
        <v>2057</v>
      </c>
      <c r="O31" s="1080" t="s">
        <v>1828</v>
      </c>
      <c r="P31" s="1080" t="s">
        <v>2062</v>
      </c>
      <c r="Q31" s="1082"/>
      <c r="R31" s="1082" t="s">
        <v>2065</v>
      </c>
      <c r="S31" s="1080"/>
      <c r="T31" s="687" t="b">
        <f t="shared" ca="1" si="4"/>
        <v>0</v>
      </c>
      <c r="X31" s="1726"/>
      <c r="Z31" s="1726"/>
      <c r="AB31" s="487" t="s">
        <v>2066</v>
      </c>
      <c r="AC31" s="496" t="s">
        <v>2067</v>
      </c>
      <c r="AD31" s="855" t="s">
        <v>1460</v>
      </c>
      <c r="AE31" s="257"/>
      <c r="AF31" s="257"/>
      <c r="AG31" s="257"/>
      <c r="AH31" s="257"/>
      <c r="AI31" s="257"/>
      <c r="AJ31" s="53"/>
      <c r="AK31" s="53"/>
      <c r="AL31" s="53"/>
      <c r="AM31" s="53"/>
      <c r="AN31" s="53"/>
      <c r="AO31" s="257"/>
      <c r="AP31" s="257"/>
      <c r="AQ31" s="257"/>
      <c r="AR31" s="257"/>
      <c r="AS31" s="257"/>
      <c r="AT31" s="53"/>
      <c r="AU31" s="53"/>
      <c r="AV31" s="53"/>
      <c r="AW31" s="53"/>
      <c r="AX31" s="53"/>
      <c r="AY31" s="28"/>
      <c r="AZ31" s="28"/>
      <c r="BA31" s="28"/>
      <c r="BD31" s="1031" t="s">
        <v>2068</v>
      </c>
      <c r="BI31" s="1064"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94" t="s">
        <v>1753</v>
      </c>
      <c r="D32" s="1113" t="s">
        <v>1754</v>
      </c>
      <c r="E32" s="676">
        <v>35</v>
      </c>
      <c r="F32" s="620" cm="1">
        <f t="array" aca="1" ref="F32" ca="1">OFFSET(G32,-1,-1)</f>
        <v>0</v>
      </c>
      <c r="L32" s="1080"/>
      <c r="M32" s="1080" cm="1">
        <f t="array" aca="1" ref="M32" ca="1">OFFSET(L32,-1,1)</f>
        <v>0</v>
      </c>
      <c r="N32" s="1080" t="s">
        <v>2057</v>
      </c>
      <c r="O32" s="1080" t="s">
        <v>1828</v>
      </c>
      <c r="P32" s="1080" t="s">
        <v>2062</v>
      </c>
      <c r="Q32" s="1082" t="s">
        <v>2069</v>
      </c>
      <c r="R32" s="1082"/>
      <c r="S32" s="1080"/>
      <c r="T32" s="687" t="b">
        <f t="shared" ca="1" si="4"/>
        <v>0</v>
      </c>
      <c r="X32" s="1726"/>
      <c r="Z32" s="1726"/>
      <c r="AB32" s="487" t="s">
        <v>2070</v>
      </c>
      <c r="AC32" s="488" t="s">
        <v>2071</v>
      </c>
      <c r="AD32" s="855" t="s">
        <v>1460</v>
      </c>
      <c r="AE32" s="257"/>
      <c r="AF32" s="257"/>
      <c r="AG32" s="257"/>
      <c r="AH32" s="257"/>
      <c r="AI32" s="257"/>
      <c r="AJ32" s="53"/>
      <c r="AK32" s="53"/>
      <c r="AL32" s="53"/>
      <c r="AM32" s="53"/>
      <c r="AN32" s="53"/>
      <c r="AO32" s="257"/>
      <c r="AP32" s="257"/>
      <c r="AQ32" s="257"/>
      <c r="AR32" s="257"/>
      <c r="AS32" s="257"/>
      <c r="AT32" s="53"/>
      <c r="AU32" s="53"/>
      <c r="AV32" s="53"/>
      <c r="AW32" s="53"/>
      <c r="AX32" s="53"/>
      <c r="AY32" s="28"/>
      <c r="AZ32" s="28"/>
      <c r="BA32" s="28"/>
      <c r="BD32" s="1031" t="s">
        <v>2072</v>
      </c>
      <c r="BI32" s="1064"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94" t="s">
        <v>1753</v>
      </c>
      <c r="D33" s="1113" t="s">
        <v>1754</v>
      </c>
      <c r="E33" s="676">
        <v>17</v>
      </c>
      <c r="F33" s="620" cm="1">
        <f t="array" aca="1" ref="F33" ca="1">OFFSET(G33,-1,-1)</f>
        <v>0</v>
      </c>
      <c r="L33" s="1080"/>
      <c r="M33" s="1080" cm="1">
        <f t="array" aca="1" ref="M33" ca="1">OFFSET(L33,-1,1)</f>
        <v>0</v>
      </c>
      <c r="N33" s="1080" t="s">
        <v>2057</v>
      </c>
      <c r="O33" s="1080" t="s">
        <v>1828</v>
      </c>
      <c r="P33" s="1080" t="s">
        <v>2062</v>
      </c>
      <c r="Q33" s="1082" t="s">
        <v>2073</v>
      </c>
      <c r="R33" s="1082"/>
      <c r="S33" s="1080"/>
      <c r="T33" s="687" t="b">
        <f t="shared" ca="1" si="4"/>
        <v>0</v>
      </c>
      <c r="X33" s="1726"/>
      <c r="Z33" s="1726"/>
      <c r="AB33" s="487" t="s">
        <v>2074</v>
      </c>
      <c r="AC33" s="488" t="s">
        <v>2075</v>
      </c>
      <c r="AD33" s="855" t="s">
        <v>1460</v>
      </c>
      <c r="AE33" s="257"/>
      <c r="AF33" s="257"/>
      <c r="AG33" s="257"/>
      <c r="AH33" s="257"/>
      <c r="AI33" s="257"/>
      <c r="AJ33" s="53"/>
      <c r="AK33" s="53"/>
      <c r="AL33" s="53"/>
      <c r="AM33" s="53"/>
      <c r="AN33" s="53"/>
      <c r="AO33" s="257"/>
      <c r="AP33" s="257"/>
      <c r="AQ33" s="257"/>
      <c r="AR33" s="257"/>
      <c r="AS33" s="257"/>
      <c r="AT33" s="53"/>
      <c r="AU33" s="53"/>
      <c r="AV33" s="53"/>
      <c r="AW33" s="53"/>
      <c r="AX33" s="53"/>
      <c r="AY33" s="28"/>
      <c r="AZ33" s="28"/>
      <c r="BA33" s="28"/>
      <c r="BD33" s="1031" t="s">
        <v>2076</v>
      </c>
      <c r="BI33" s="1064"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94" t="s">
        <v>1753</v>
      </c>
      <c r="D34" s="1113" t="s">
        <v>1754</v>
      </c>
      <c r="E34" s="676">
        <v>17</v>
      </c>
      <c r="F34" s="620" cm="1">
        <f t="array" aca="1" ref="F34" ca="1">OFFSET(G34,-1,-1)</f>
        <v>0</v>
      </c>
      <c r="L34" s="1080"/>
      <c r="M34" s="1080" cm="1">
        <f t="array" aca="1" ref="M34" ca="1">OFFSET(L34,-1,1)</f>
        <v>0</v>
      </c>
      <c r="N34" s="1080" t="s">
        <v>2057</v>
      </c>
      <c r="O34" s="1080" t="s">
        <v>1828</v>
      </c>
      <c r="P34" s="1080" t="s">
        <v>2077</v>
      </c>
      <c r="Q34" s="1082"/>
      <c r="R34" s="1082"/>
      <c r="S34" s="1080"/>
      <c r="T34" s="687" t="b">
        <f t="shared" ca="1" si="4"/>
        <v>0</v>
      </c>
      <c r="X34" s="1726"/>
      <c r="Z34" s="1726"/>
      <c r="AB34" s="923" t="s">
        <v>1214</v>
      </c>
      <c r="AC34" s="471" t="s">
        <v>2078</v>
      </c>
      <c r="AD34" s="855" t="s">
        <v>1460</v>
      </c>
      <c r="AE34" s="257"/>
      <c r="AF34" s="257"/>
      <c r="AG34" s="257"/>
      <c r="AH34" s="257"/>
      <c r="AI34" s="257"/>
      <c r="AJ34" s="53"/>
      <c r="AK34" s="53"/>
      <c r="AL34" s="53"/>
      <c r="AM34" s="53"/>
      <c r="AN34" s="53"/>
      <c r="AO34" s="257"/>
      <c r="AP34" s="257"/>
      <c r="AQ34" s="257"/>
      <c r="AR34" s="257"/>
      <c r="AS34" s="257"/>
      <c r="AT34" s="53"/>
      <c r="AU34" s="53"/>
      <c r="AV34" s="53"/>
      <c r="AW34" s="53"/>
      <c r="AX34" s="53"/>
      <c r="AY34" s="28"/>
      <c r="AZ34" s="28"/>
      <c r="BA34" s="28"/>
      <c r="BD34" s="1031" t="s">
        <v>2079</v>
      </c>
      <c r="BI34" s="1064"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94" t="s">
        <v>1753</v>
      </c>
      <c r="D35" s="1113" t="s">
        <v>1754</v>
      </c>
      <c r="E35" s="676">
        <v>35</v>
      </c>
      <c r="F35" s="620" cm="1">
        <f t="array" aca="1" ref="F35" ca="1">OFFSET(G35,-1,-1)</f>
        <v>0</v>
      </c>
      <c r="L35" s="1080"/>
      <c r="M35" s="1080" cm="1">
        <f t="array" aca="1" ref="M35" ca="1">OFFSET(L35,-1,1)</f>
        <v>0</v>
      </c>
      <c r="N35" s="1080" t="s">
        <v>2057</v>
      </c>
      <c r="O35" s="1080" t="s">
        <v>1828</v>
      </c>
      <c r="P35" s="1080" t="s">
        <v>2080</v>
      </c>
      <c r="Q35" s="1082"/>
      <c r="R35" s="1082"/>
      <c r="S35" s="1080"/>
      <c r="T35" s="687" t="b">
        <f t="shared" ca="1" si="4"/>
        <v>0</v>
      </c>
      <c r="X35" s="1726"/>
      <c r="Z35" s="1726"/>
      <c r="AB35" s="487" t="s">
        <v>989</v>
      </c>
      <c r="AC35" s="115" t="s">
        <v>2081</v>
      </c>
      <c r="AD35" s="855" t="s">
        <v>1460</v>
      </c>
      <c r="AE35" s="257">
        <f t="shared" ref="AE35:AX35" si="7">AE36+AE39+AE42</f>
        <v>0</v>
      </c>
      <c r="AF35" s="257">
        <f t="shared" si="7"/>
        <v>0</v>
      </c>
      <c r="AG35" s="257">
        <f t="shared" si="7"/>
        <v>0</v>
      </c>
      <c r="AH35" s="257">
        <f t="shared" si="7"/>
        <v>0</v>
      </c>
      <c r="AI35" s="257">
        <f t="shared" si="7"/>
        <v>0</v>
      </c>
      <c r="AJ35" s="53">
        <f t="shared" si="7"/>
        <v>0</v>
      </c>
      <c r="AK35" s="53">
        <f t="shared" si="7"/>
        <v>0</v>
      </c>
      <c r="AL35" s="53">
        <f t="shared" si="7"/>
        <v>0</v>
      </c>
      <c r="AM35" s="53">
        <f t="shared" si="7"/>
        <v>0</v>
      </c>
      <c r="AN35" s="53">
        <f t="shared" si="7"/>
        <v>0</v>
      </c>
      <c r="AO35" s="257">
        <f t="shared" si="7"/>
        <v>0</v>
      </c>
      <c r="AP35" s="257">
        <f t="shared" si="7"/>
        <v>0</v>
      </c>
      <c r="AQ35" s="257">
        <f t="shared" si="7"/>
        <v>0</v>
      </c>
      <c r="AR35" s="257">
        <f t="shared" si="7"/>
        <v>0</v>
      </c>
      <c r="AS35" s="257">
        <f t="shared" si="7"/>
        <v>0</v>
      </c>
      <c r="AT35" s="53">
        <f t="shared" si="7"/>
        <v>0</v>
      </c>
      <c r="AU35" s="53">
        <f t="shared" si="7"/>
        <v>0</v>
      </c>
      <c r="AV35" s="53">
        <f t="shared" si="7"/>
        <v>0</v>
      </c>
      <c r="AW35" s="53">
        <f t="shared" si="7"/>
        <v>0</v>
      </c>
      <c r="AX35" s="53">
        <f t="shared" si="7"/>
        <v>0</v>
      </c>
      <c r="AY35" s="28"/>
      <c r="AZ35" s="28"/>
      <c r="BA35" s="28"/>
      <c r="BD35" s="1031" t="s">
        <v>2082</v>
      </c>
      <c r="BI35" s="1064"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94" t="s">
        <v>1753</v>
      </c>
      <c r="D36" s="1113" t="s">
        <v>1754</v>
      </c>
      <c r="E36" s="676">
        <v>17</v>
      </c>
      <c r="F36" s="620" cm="1">
        <f t="array" aca="1" ref="F36" ca="1">OFFSET(G36,-1,-1)</f>
        <v>0</v>
      </c>
      <c r="L36" s="1133"/>
      <c r="M36" s="1080" cm="1">
        <f t="array" aca="1" ref="M36" ca="1">OFFSET(L36,-1,1)</f>
        <v>0</v>
      </c>
      <c r="N36" s="1080" t="s">
        <v>2057</v>
      </c>
      <c r="O36" s="1133" t="s">
        <v>1828</v>
      </c>
      <c r="P36" s="1133"/>
      <c r="Q36" s="1135"/>
      <c r="R36" s="1135" t="s">
        <v>2065</v>
      </c>
      <c r="S36" s="1133"/>
      <c r="T36" s="687" t="b">
        <f t="shared" ca="1" si="4"/>
        <v>0</v>
      </c>
      <c r="X36" s="1726"/>
      <c r="Z36" s="1726"/>
      <c r="AB36" s="487" t="s">
        <v>2083</v>
      </c>
      <c r="AC36" s="471" t="s">
        <v>2067</v>
      </c>
      <c r="AD36" s="855" t="s">
        <v>1460</v>
      </c>
      <c r="AE36" s="257">
        <f t="shared" ref="AE36:AX36" si="8">SUM(AE37:AE38)</f>
        <v>0</v>
      </c>
      <c r="AF36" s="257">
        <f t="shared" si="8"/>
        <v>0</v>
      </c>
      <c r="AG36" s="257">
        <f t="shared" si="8"/>
        <v>0</v>
      </c>
      <c r="AH36" s="257">
        <f t="shared" si="8"/>
        <v>0</v>
      </c>
      <c r="AI36" s="257">
        <f t="shared" si="8"/>
        <v>0</v>
      </c>
      <c r="AJ36" s="53">
        <f t="shared" si="8"/>
        <v>0</v>
      </c>
      <c r="AK36" s="53">
        <f t="shared" si="8"/>
        <v>0</v>
      </c>
      <c r="AL36" s="53">
        <f t="shared" si="8"/>
        <v>0</v>
      </c>
      <c r="AM36" s="53">
        <f t="shared" si="8"/>
        <v>0</v>
      </c>
      <c r="AN36" s="53">
        <f t="shared" si="8"/>
        <v>0</v>
      </c>
      <c r="AO36" s="257">
        <f t="shared" si="8"/>
        <v>0</v>
      </c>
      <c r="AP36" s="257">
        <f t="shared" si="8"/>
        <v>0</v>
      </c>
      <c r="AQ36" s="257">
        <f t="shared" si="8"/>
        <v>0</v>
      </c>
      <c r="AR36" s="257">
        <f t="shared" si="8"/>
        <v>0</v>
      </c>
      <c r="AS36" s="257">
        <f t="shared" si="8"/>
        <v>0</v>
      </c>
      <c r="AT36" s="53">
        <f t="shared" si="8"/>
        <v>0</v>
      </c>
      <c r="AU36" s="53">
        <f t="shared" si="8"/>
        <v>0</v>
      </c>
      <c r="AV36" s="53">
        <f t="shared" si="8"/>
        <v>0</v>
      </c>
      <c r="AW36" s="53">
        <f t="shared" si="8"/>
        <v>0</v>
      </c>
      <c r="AX36" s="53">
        <f t="shared" si="8"/>
        <v>0</v>
      </c>
      <c r="AY36" s="28"/>
      <c r="AZ36" s="28"/>
      <c r="BA36" s="28"/>
      <c r="BD36" s="1031" t="s">
        <v>2084</v>
      </c>
      <c r="BI36" s="1064"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94" t="s">
        <v>1753</v>
      </c>
      <c r="D37" s="1113" t="s">
        <v>1754</v>
      </c>
      <c r="E37" s="676">
        <v>17</v>
      </c>
      <c r="F37" s="620" cm="1">
        <f t="array" aca="1" ref="F37" ca="1">OFFSET(G37,-1,-1)</f>
        <v>0</v>
      </c>
      <c r="L37" s="1080" cm="1">
        <f t="array" ref="L37">AC37</f>
        <v>0</v>
      </c>
      <c r="M37" s="1080" cm="1">
        <f t="array" aca="1" ref="M37" ca="1">OFFSET(L37,-1,1)</f>
        <v>0</v>
      </c>
      <c r="N37" s="1080"/>
      <c r="O37" s="1080"/>
      <c r="P37" s="1080"/>
      <c r="Q37" s="1082"/>
      <c r="R37" s="1082" t="s">
        <v>2065</v>
      </c>
      <c r="S37" s="1080"/>
      <c r="T37" s="687" t="b">
        <f t="shared" ca="1" si="4"/>
        <v>0</v>
      </c>
      <c r="W37" s="126" t="s">
        <v>236</v>
      </c>
      <c r="X37" s="1726"/>
      <c r="Y37" s="126">
        <v>0</v>
      </c>
      <c r="Z37" s="1726"/>
      <c r="AA37" s="11" t="s">
        <v>218</v>
      </c>
      <c r="AB37" s="487" t="str">
        <f>"1.2.1."&amp;Y37</f>
        <v>1.2.1.0</v>
      </c>
      <c r="AC37" s="98"/>
      <c r="AD37" s="855" t="s">
        <v>1460</v>
      </c>
      <c r="AE37" s="257"/>
      <c r="AF37" s="257"/>
      <c r="AG37" s="257"/>
      <c r="AH37" s="257"/>
      <c r="AI37" s="257"/>
      <c r="AJ37" s="53"/>
      <c r="AK37" s="53"/>
      <c r="AL37" s="53"/>
      <c r="AM37" s="53"/>
      <c r="AN37" s="53"/>
      <c r="AO37" s="257"/>
      <c r="AP37" s="257"/>
      <c r="AQ37" s="257"/>
      <c r="AR37" s="257"/>
      <c r="AS37" s="257"/>
      <c r="AT37" s="53"/>
      <c r="AU37" s="53"/>
      <c r="AV37" s="53"/>
      <c r="AW37" s="53"/>
      <c r="AX37" s="53"/>
      <c r="AY37" s="28"/>
      <c r="AZ37" s="28"/>
      <c r="BA37" s="28"/>
      <c r="BD37" s="1031" t="s">
        <v>2084</v>
      </c>
      <c r="BE37" s="1031" t="s">
        <v>2085</v>
      </c>
      <c r="BF37" s="1031" cm="1">
        <f t="array" ref="BF37">AC37</f>
        <v>0</v>
      </c>
      <c r="BH37" s="1032" t="b">
        <v>1</v>
      </c>
      <c r="BI37" s="1064"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C38" s="1093"/>
      <c r="D38" s="1083"/>
      <c r="E38" s="676">
        <v>17</v>
      </c>
      <c r="F38" s="620" cm="1">
        <f t="array" aca="1" ref="F38" ca="1">OFFSET(G38,-1,-1)</f>
        <v>0</v>
      </c>
      <c r="L38" s="1064"/>
      <c r="M38" s="1080" cm="1">
        <f t="array" aca="1" ref="M38" ca="1">OFFSET(L38,-1,1)</f>
        <v>0</v>
      </c>
      <c r="N38" s="1064"/>
      <c r="O38" s="1064"/>
      <c r="P38" s="1064"/>
      <c r="Q38" s="1072"/>
      <c r="R38" s="1072"/>
      <c r="S38" s="1064"/>
      <c r="T38" s="687" t="b">
        <f t="shared" ca="1" si="4"/>
        <v>0</v>
      </c>
      <c r="W38" s="858" t="s">
        <v>1005</v>
      </c>
      <c r="X38" s="1726"/>
      <c r="Z38" s="1726"/>
      <c r="AB38" s="249"/>
      <c r="AC38" s="616" t="s">
        <v>238</v>
      </c>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D38" s="1031" t="str">
        <f>IF(AND(ISNUMBER(VALUE(TRIM(SUBSTITUTE(AB38,".","")))),TRIM(SUBSTITUTE(AB38,".",""))&lt;&gt;""),"P"&amp;SUBSTITUTE(AB38,".",""),"")</f>
        <v/>
      </c>
      <c r="BG38" s="1032" t="s">
        <v>2085</v>
      </c>
    </row>
    <row r="39" spans="3:61" ht="34.15" hidden="1" customHeight="1">
      <c r="C39" s="1094" t="s">
        <v>1753</v>
      </c>
      <c r="D39" s="1113" t="s">
        <v>1754</v>
      </c>
      <c r="E39" s="676">
        <v>35</v>
      </c>
      <c r="F39" s="620" cm="1">
        <f t="array" aca="1" ref="F39" ca="1">OFFSET(G39,-1,-1)</f>
        <v>0</v>
      </c>
      <c r="L39" s="1080"/>
      <c r="M39" s="1080" cm="1">
        <f t="array" aca="1" ref="M39" ca="1">OFFSET(L39,-1,1)</f>
        <v>0</v>
      </c>
      <c r="N39" s="1080"/>
      <c r="O39" s="1080"/>
      <c r="P39" s="1080"/>
      <c r="Q39" s="1082" t="s">
        <v>2069</v>
      </c>
      <c r="R39" s="1082"/>
      <c r="S39" s="1080"/>
      <c r="T39" s="687" t="b">
        <f t="shared" ca="1" si="4"/>
        <v>0</v>
      </c>
      <c r="X39" s="1726"/>
      <c r="Z39" s="1726"/>
      <c r="AB39" s="487" t="s">
        <v>2086</v>
      </c>
      <c r="AC39" s="471" t="s">
        <v>2071</v>
      </c>
      <c r="AD39" s="855" t="s">
        <v>1460</v>
      </c>
      <c r="AE39" s="257">
        <f t="shared" ref="AE39:AX39" si="9">SUM(AE40:AE41)</f>
        <v>0</v>
      </c>
      <c r="AF39" s="257">
        <f t="shared" si="9"/>
        <v>0</v>
      </c>
      <c r="AG39" s="257">
        <f t="shared" si="9"/>
        <v>0</v>
      </c>
      <c r="AH39" s="257">
        <f t="shared" si="9"/>
        <v>0</v>
      </c>
      <c r="AI39" s="257">
        <f t="shared" si="9"/>
        <v>0</v>
      </c>
      <c r="AJ39" s="53">
        <f t="shared" si="9"/>
        <v>0</v>
      </c>
      <c r="AK39" s="53">
        <f t="shared" si="9"/>
        <v>0</v>
      </c>
      <c r="AL39" s="53">
        <f t="shared" si="9"/>
        <v>0</v>
      </c>
      <c r="AM39" s="53">
        <f t="shared" si="9"/>
        <v>0</v>
      </c>
      <c r="AN39" s="53">
        <f t="shared" si="9"/>
        <v>0</v>
      </c>
      <c r="AO39" s="257">
        <f t="shared" si="9"/>
        <v>0</v>
      </c>
      <c r="AP39" s="257">
        <f t="shared" si="9"/>
        <v>0</v>
      </c>
      <c r="AQ39" s="257">
        <f t="shared" si="9"/>
        <v>0</v>
      </c>
      <c r="AR39" s="257">
        <f t="shared" si="9"/>
        <v>0</v>
      </c>
      <c r="AS39" s="257">
        <f t="shared" si="9"/>
        <v>0</v>
      </c>
      <c r="AT39" s="53">
        <f t="shared" si="9"/>
        <v>0</v>
      </c>
      <c r="AU39" s="53">
        <f t="shared" si="9"/>
        <v>0</v>
      </c>
      <c r="AV39" s="53">
        <f t="shared" si="9"/>
        <v>0</v>
      </c>
      <c r="AW39" s="53">
        <f t="shared" si="9"/>
        <v>0</v>
      </c>
      <c r="AX39" s="53">
        <f t="shared" si="9"/>
        <v>0</v>
      </c>
      <c r="AY39" s="28"/>
      <c r="AZ39" s="28"/>
      <c r="BA39" s="28"/>
      <c r="BD39" s="1031" t="s">
        <v>2087</v>
      </c>
      <c r="BI39" s="1064"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94" t="s">
        <v>1753</v>
      </c>
      <c r="D40" s="1113" t="s">
        <v>1754</v>
      </c>
      <c r="E40" s="676">
        <v>17</v>
      </c>
      <c r="F40" s="620" cm="1">
        <f t="array" aca="1" ref="F40" ca="1">OFFSET(G40,-1,-1)</f>
        <v>0</v>
      </c>
      <c r="L40" s="1080" cm="1">
        <f t="array" ref="L40">AC40</f>
        <v>0</v>
      </c>
      <c r="M40" s="1080" cm="1">
        <f t="array" aca="1" ref="M40" ca="1">OFFSET(L40,-1,1)</f>
        <v>0</v>
      </c>
      <c r="N40" s="1080"/>
      <c r="O40" s="1080"/>
      <c r="P40" s="1080"/>
      <c r="Q40" s="1082" t="s">
        <v>2069</v>
      </c>
      <c r="R40" s="1082"/>
      <c r="S40" s="1080"/>
      <c r="T40" s="687" t="b">
        <f t="shared" ca="1" si="4"/>
        <v>0</v>
      </c>
      <c r="W40" s="126" t="s">
        <v>236</v>
      </c>
      <c r="X40" s="1726"/>
      <c r="Y40" s="126">
        <v>0</v>
      </c>
      <c r="Z40" s="1726"/>
      <c r="AA40" s="11" t="s">
        <v>218</v>
      </c>
      <c r="AB40" s="487" t="str">
        <f>"1.2.2."&amp;Y40</f>
        <v>1.2.2.0</v>
      </c>
      <c r="AC40" s="98"/>
      <c r="AD40" s="855" t="s">
        <v>1460</v>
      </c>
      <c r="AE40" s="257"/>
      <c r="AF40" s="257"/>
      <c r="AG40" s="257"/>
      <c r="AH40" s="257"/>
      <c r="AI40" s="257"/>
      <c r="AJ40" s="53"/>
      <c r="AK40" s="53"/>
      <c r="AL40" s="53"/>
      <c r="AM40" s="53"/>
      <c r="AN40" s="53"/>
      <c r="AO40" s="257"/>
      <c r="AP40" s="257"/>
      <c r="AQ40" s="257"/>
      <c r="AR40" s="257"/>
      <c r="AS40" s="257"/>
      <c r="AT40" s="53"/>
      <c r="AU40" s="53"/>
      <c r="AV40" s="53"/>
      <c r="AW40" s="53"/>
      <c r="AX40" s="53"/>
      <c r="AY40" s="28"/>
      <c r="AZ40" s="28"/>
      <c r="BA40" s="28"/>
      <c r="BD40" s="1031" t="s">
        <v>2087</v>
      </c>
      <c r="BE40" s="1031" t="s">
        <v>2088</v>
      </c>
      <c r="BF40" s="1031" cm="1">
        <f t="array" ref="BF40">AC40</f>
        <v>0</v>
      </c>
      <c r="BH40" s="1032" t="b">
        <v>1</v>
      </c>
      <c r="BI40" s="1064"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C41" s="1093"/>
      <c r="D41" s="1083"/>
      <c r="E41" s="676">
        <v>17</v>
      </c>
      <c r="F41" s="620" cm="1">
        <f t="array" aca="1" ref="F41" ca="1">OFFSET(G41,-1,-1)</f>
        <v>0</v>
      </c>
      <c r="L41" s="1064"/>
      <c r="M41" s="1080" cm="1">
        <f t="array" aca="1" ref="M41" ca="1">OFFSET(L41,-1,1)</f>
        <v>0</v>
      </c>
      <c r="N41" s="1064"/>
      <c r="O41" s="1064"/>
      <c r="P41" s="1064"/>
      <c r="Q41" s="1072"/>
      <c r="R41" s="1072"/>
      <c r="S41" s="1064"/>
      <c r="T41" s="687" t="b">
        <f t="shared" ca="1" si="4"/>
        <v>0</v>
      </c>
      <c r="W41" s="858" t="s">
        <v>1016</v>
      </c>
      <c r="X41" s="1726"/>
      <c r="Z41" s="1726"/>
      <c r="AB41" s="249"/>
      <c r="AC41" s="616" t="s">
        <v>238</v>
      </c>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D41" s="1031" t="str">
        <f>IF(AND(ISNUMBER(VALUE(TRIM(SUBSTITUTE(AB41,".","")))),TRIM(SUBSTITUTE(AB41,".",""))&lt;&gt;""),"P"&amp;SUBSTITUTE(AB41,".",""),"")</f>
        <v/>
      </c>
      <c r="BG41" s="1032" t="s">
        <v>2088</v>
      </c>
    </row>
    <row r="42" spans="3:61" ht="16.5" hidden="1" customHeight="1">
      <c r="C42" s="1094" t="s">
        <v>1753</v>
      </c>
      <c r="D42" s="1113" t="s">
        <v>1754</v>
      </c>
      <c r="E42" s="676">
        <v>17</v>
      </c>
      <c r="F42" s="620" cm="1">
        <f t="array" aca="1" ref="F42" ca="1">OFFSET(G42,-1,-1)</f>
        <v>0</v>
      </c>
      <c r="L42" s="1080"/>
      <c r="M42" s="1080" cm="1">
        <f t="array" aca="1" ref="M42" ca="1">OFFSET(L42,-1,1)</f>
        <v>0</v>
      </c>
      <c r="N42" s="1080"/>
      <c r="O42" s="1080"/>
      <c r="P42" s="1080"/>
      <c r="Q42" s="1082" t="s">
        <v>2073</v>
      </c>
      <c r="R42" s="1082"/>
      <c r="S42" s="1080"/>
      <c r="T42" s="687" t="b">
        <f t="shared" ca="1" si="4"/>
        <v>0</v>
      </c>
      <c r="X42" s="1726"/>
      <c r="Z42" s="1726"/>
      <c r="AB42" s="924" t="s">
        <v>2089</v>
      </c>
      <c r="AC42" s="471" t="s">
        <v>2075</v>
      </c>
      <c r="AD42" s="855" t="s">
        <v>1460</v>
      </c>
      <c r="AE42" s="257">
        <f t="shared" ref="AE42:AX42" si="10">SUM(AE43:AE44)</f>
        <v>0</v>
      </c>
      <c r="AF42" s="257">
        <f t="shared" si="10"/>
        <v>0</v>
      </c>
      <c r="AG42" s="257">
        <f t="shared" si="10"/>
        <v>0</v>
      </c>
      <c r="AH42" s="257">
        <f t="shared" si="10"/>
        <v>0</v>
      </c>
      <c r="AI42" s="257">
        <f t="shared" si="10"/>
        <v>0</v>
      </c>
      <c r="AJ42" s="53">
        <f t="shared" si="10"/>
        <v>0</v>
      </c>
      <c r="AK42" s="53">
        <f t="shared" si="10"/>
        <v>0</v>
      </c>
      <c r="AL42" s="53">
        <f t="shared" si="10"/>
        <v>0</v>
      </c>
      <c r="AM42" s="53">
        <f t="shared" si="10"/>
        <v>0</v>
      </c>
      <c r="AN42" s="53">
        <f t="shared" si="10"/>
        <v>0</v>
      </c>
      <c r="AO42" s="257">
        <f t="shared" si="10"/>
        <v>0</v>
      </c>
      <c r="AP42" s="257">
        <f t="shared" si="10"/>
        <v>0</v>
      </c>
      <c r="AQ42" s="257">
        <f t="shared" si="10"/>
        <v>0</v>
      </c>
      <c r="AR42" s="257">
        <f t="shared" si="10"/>
        <v>0</v>
      </c>
      <c r="AS42" s="257">
        <f t="shared" si="10"/>
        <v>0</v>
      </c>
      <c r="AT42" s="53">
        <f t="shared" si="10"/>
        <v>0</v>
      </c>
      <c r="AU42" s="53">
        <f t="shared" si="10"/>
        <v>0</v>
      </c>
      <c r="AV42" s="53">
        <f t="shared" si="10"/>
        <v>0</v>
      </c>
      <c r="AW42" s="53">
        <f t="shared" si="10"/>
        <v>0</v>
      </c>
      <c r="AX42" s="53">
        <f t="shared" si="10"/>
        <v>0</v>
      </c>
      <c r="AY42" s="28"/>
      <c r="AZ42" s="28"/>
      <c r="BA42" s="28"/>
      <c r="BD42" s="1031" t="s">
        <v>2090</v>
      </c>
      <c r="BI42" s="1064"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94" t="s">
        <v>1753</v>
      </c>
      <c r="D43" s="1113" t="s">
        <v>1754</v>
      </c>
      <c r="E43" s="676">
        <v>17</v>
      </c>
      <c r="F43" s="620" cm="1">
        <f t="array" aca="1" ref="F43" ca="1">OFFSET(G43,-1,-1)</f>
        <v>0</v>
      </c>
      <c r="L43" s="1080" cm="1">
        <f t="array" ref="L43">AC43</f>
        <v>0</v>
      </c>
      <c r="M43" s="1080" cm="1">
        <f t="array" aca="1" ref="M43" ca="1">OFFSET(L43,-1,1)</f>
        <v>0</v>
      </c>
      <c r="N43" s="1080"/>
      <c r="O43" s="1080"/>
      <c r="P43" s="1080"/>
      <c r="Q43" s="1082" t="s">
        <v>2073</v>
      </c>
      <c r="R43" s="1082"/>
      <c r="S43" s="1080"/>
      <c r="T43" s="687" t="b">
        <f t="shared" ca="1" si="4"/>
        <v>0</v>
      </c>
      <c r="W43" s="126" t="s">
        <v>236</v>
      </c>
      <c r="X43" s="1726"/>
      <c r="Y43" s="126">
        <v>0</v>
      </c>
      <c r="Z43" s="1726"/>
      <c r="AA43" s="11" t="s">
        <v>218</v>
      </c>
      <c r="AB43" s="487" t="str">
        <f>"1.2.3."&amp;Y43</f>
        <v>1.2.3.0</v>
      </c>
      <c r="AC43" s="98"/>
      <c r="AD43" s="855" t="s">
        <v>1460</v>
      </c>
      <c r="AE43" s="257"/>
      <c r="AF43" s="257"/>
      <c r="AG43" s="257"/>
      <c r="AH43" s="257"/>
      <c r="AI43" s="257"/>
      <c r="AJ43" s="53"/>
      <c r="AK43" s="53"/>
      <c r="AL43" s="53"/>
      <c r="AM43" s="53"/>
      <c r="AN43" s="53"/>
      <c r="AO43" s="257"/>
      <c r="AP43" s="257"/>
      <c r="AQ43" s="257"/>
      <c r="AR43" s="257"/>
      <c r="AS43" s="257"/>
      <c r="AT43" s="53"/>
      <c r="AU43" s="53"/>
      <c r="AV43" s="53"/>
      <c r="AW43" s="53"/>
      <c r="AX43" s="53"/>
      <c r="AY43" s="28"/>
      <c r="AZ43" s="28"/>
      <c r="BA43" s="28"/>
      <c r="BD43" s="1031" t="s">
        <v>2090</v>
      </c>
      <c r="BE43" s="1031" t="s">
        <v>2091</v>
      </c>
      <c r="BF43" s="1031" cm="1">
        <f t="array" ref="BF43">AC43</f>
        <v>0</v>
      </c>
      <c r="BH43" s="1032" t="b">
        <v>1</v>
      </c>
      <c r="BI43" s="1064"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C44" s="1093"/>
      <c r="D44" s="1083"/>
      <c r="E44" s="676">
        <v>17</v>
      </c>
      <c r="F44" s="620" cm="1">
        <f t="array" aca="1" ref="F44" ca="1">OFFSET(G44,-1,-1)</f>
        <v>0</v>
      </c>
      <c r="L44" s="1064"/>
      <c r="M44" s="1080" cm="1">
        <f t="array" aca="1" ref="M44" ca="1">OFFSET(L44,-1,1)</f>
        <v>0</v>
      </c>
      <c r="N44" s="1064"/>
      <c r="O44" s="1064"/>
      <c r="P44" s="1064"/>
      <c r="Q44" s="1072"/>
      <c r="R44" s="1072"/>
      <c r="S44" s="1064"/>
      <c r="T44" s="687" t="b">
        <f t="shared" ca="1" si="4"/>
        <v>0</v>
      </c>
      <c r="W44" s="858" t="s">
        <v>1257</v>
      </c>
      <c r="X44" s="1726"/>
      <c r="Z44" s="1726"/>
      <c r="AB44" s="249"/>
      <c r="AC44" s="616" t="s">
        <v>238</v>
      </c>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D44" s="1031" t="str">
        <f>IF(AND(ISNUMBER(VALUE(TRIM(SUBSTITUTE(AB44,".","")))),TRIM(SUBSTITUTE(AB44,".",""))&lt;&gt;""),"P"&amp;SUBSTITUTE(AB44,".",""),"")</f>
        <v/>
      </c>
      <c r="BG44" s="1032" t="s">
        <v>2091</v>
      </c>
    </row>
    <row r="45" spans="3:61" ht="16.5" hidden="1" customHeight="1">
      <c r="C45" s="1094" t="s">
        <v>1753</v>
      </c>
      <c r="D45" s="1113" t="s">
        <v>1754</v>
      </c>
      <c r="E45" s="676">
        <v>17</v>
      </c>
      <c r="F45" s="620" cm="1">
        <f t="array" aca="1" ref="F45" ca="1">OFFSET(G45,-1,-1)</f>
        <v>0</v>
      </c>
      <c r="L45" s="1080"/>
      <c r="M45" s="1080" cm="1">
        <f t="array" aca="1" ref="M45" ca="1">OFFSET(L45,-1,1)</f>
        <v>0</v>
      </c>
      <c r="N45" s="1080" t="s">
        <v>2092</v>
      </c>
      <c r="O45" s="1080"/>
      <c r="P45" s="1080"/>
      <c r="Q45" s="1082"/>
      <c r="R45" s="1082"/>
      <c r="S45" s="1080"/>
      <c r="T45" s="687" t="b">
        <f t="shared" ca="1" si="4"/>
        <v>0</v>
      </c>
      <c r="X45" s="1726"/>
      <c r="Z45" s="1726"/>
      <c r="AB45" s="924" t="s">
        <v>991</v>
      </c>
      <c r="AC45" s="115" t="s">
        <v>2093</v>
      </c>
      <c r="AD45" s="855" t="s">
        <v>1460</v>
      </c>
      <c r="AE45" s="257"/>
      <c r="AF45" s="257"/>
      <c r="AG45" s="257"/>
      <c r="AH45" s="257"/>
      <c r="AI45" s="257"/>
      <c r="AJ45" s="53"/>
      <c r="AK45" s="53"/>
      <c r="AL45" s="53"/>
      <c r="AM45" s="53"/>
      <c r="AN45" s="53"/>
      <c r="AO45" s="257"/>
      <c r="AP45" s="257"/>
      <c r="AQ45" s="257"/>
      <c r="AR45" s="257"/>
      <c r="AS45" s="257"/>
      <c r="AT45" s="53"/>
      <c r="AU45" s="53"/>
      <c r="AV45" s="53"/>
      <c r="AW45" s="53"/>
      <c r="AX45" s="53"/>
      <c r="AY45" s="28"/>
      <c r="AZ45" s="28"/>
      <c r="BA45" s="28"/>
      <c r="BD45" s="1031" t="s">
        <v>1448</v>
      </c>
      <c r="BI45" s="1064"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100"/>
      <c r="D46" s="1114"/>
      <c r="E46" s="676">
        <v>17</v>
      </c>
      <c r="F46" s="620" cm="1">
        <f t="array" aca="1" ref="F46" ca="1">OFFSET(G46,-1,-1)</f>
        <v>0</v>
      </c>
      <c r="L46" s="1134"/>
      <c r="M46" s="1080" cm="1">
        <f t="array" aca="1" ref="M46" ca="1">OFFSET(L46,-1,1)</f>
        <v>0</v>
      </c>
      <c r="N46" s="1134"/>
      <c r="O46" s="1134"/>
      <c r="P46" s="1134"/>
      <c r="Q46" s="1136"/>
      <c r="R46" s="1136"/>
      <c r="S46" s="1134"/>
      <c r="T46" s="687" t="b">
        <f t="shared" ca="1" si="4"/>
        <v>0</v>
      </c>
      <c r="X46" s="1726"/>
      <c r="Z46" s="1726"/>
      <c r="AB46" s="487" t="s">
        <v>348</v>
      </c>
      <c r="AC46" s="269" t="s">
        <v>2094</v>
      </c>
      <c r="AD46" s="855"/>
      <c r="AE46" s="855"/>
      <c r="AF46" s="855"/>
      <c r="AG46" s="855"/>
      <c r="AH46" s="855"/>
      <c r="AI46" s="855"/>
      <c r="AJ46" s="855"/>
      <c r="AK46" s="855"/>
      <c r="AL46" s="855"/>
      <c r="AM46" s="855"/>
      <c r="AN46" s="855"/>
      <c r="AO46" s="855"/>
      <c r="AP46" s="855"/>
      <c r="AQ46" s="855"/>
      <c r="AR46" s="855"/>
      <c r="AS46" s="855"/>
      <c r="AT46" s="855"/>
      <c r="AU46" s="855"/>
      <c r="AV46" s="855"/>
      <c r="AW46" s="855"/>
      <c r="AX46" s="855"/>
      <c r="AY46" s="855"/>
      <c r="AZ46" s="855"/>
      <c r="BA46" s="855"/>
    </row>
    <row r="47" spans="3:61" ht="16.5" hidden="1" customHeight="1">
      <c r="C47" s="1094" t="s">
        <v>1779</v>
      </c>
      <c r="D47" s="1113" t="s">
        <v>1780</v>
      </c>
      <c r="E47" s="676">
        <v>17</v>
      </c>
      <c r="F47" s="620" cm="1">
        <f t="array" aca="1" ref="F47" ca="1">OFFSET(G47,-1,-1)</f>
        <v>0</v>
      </c>
      <c r="G47" s="143" t="s">
        <v>1781</v>
      </c>
      <c r="L47" s="1080"/>
      <c r="M47" s="1080" cm="1">
        <f t="array" aca="1" ref="M47" ca="1">OFFSET(L47,-1,1)</f>
        <v>0</v>
      </c>
      <c r="N47" s="1080"/>
      <c r="O47" s="1080"/>
      <c r="P47" s="1080"/>
      <c r="Q47" s="1082"/>
      <c r="R47" s="1082"/>
      <c r="S47" s="1082" t="s">
        <v>1782</v>
      </c>
      <c r="T47" s="687" t="b">
        <f t="shared" ca="1" si="4"/>
        <v>0</v>
      </c>
      <c r="X47" s="1726"/>
      <c r="Z47" s="1726"/>
      <c r="AB47" s="124" t="s">
        <v>491</v>
      </c>
      <c r="AC47" s="236" t="s">
        <v>1783</v>
      </c>
      <c r="AD47" s="468" t="s">
        <v>634</v>
      </c>
      <c r="AE47" s="257"/>
      <c r="AF47" s="257"/>
      <c r="AG47" s="257"/>
      <c r="AH47" s="257"/>
      <c r="AI47" s="257"/>
      <c r="AJ47" s="53"/>
      <c r="AK47" s="53"/>
      <c r="AL47" s="53"/>
      <c r="AM47" s="53"/>
      <c r="AN47" s="53"/>
      <c r="AO47" s="257"/>
      <c r="AP47" s="257"/>
      <c r="AQ47" s="257"/>
      <c r="AR47" s="257"/>
      <c r="AS47" s="257"/>
      <c r="AT47" s="53"/>
      <c r="AU47" s="53"/>
      <c r="AV47" s="53"/>
      <c r="AW47" s="53"/>
      <c r="AX47" s="53"/>
      <c r="AY47" s="28"/>
      <c r="AZ47" s="28"/>
      <c r="BA47" s="28"/>
      <c r="BD47" s="1031" t="s">
        <v>2095</v>
      </c>
      <c r="BI47" s="1064"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94" t="s">
        <v>1785</v>
      </c>
      <c r="D48" s="1113" t="s">
        <v>1786</v>
      </c>
      <c r="E48" s="676">
        <v>17</v>
      </c>
      <c r="F48" s="620" cm="1">
        <f t="array" aca="1" ref="F48" ca="1">OFFSET(G48,-1,-1)</f>
        <v>0</v>
      </c>
      <c r="G48" s="620" t="s">
        <v>1787</v>
      </c>
      <c r="L48" s="1080"/>
      <c r="M48" s="1080" cm="1">
        <f t="array" aca="1" ref="M48" ca="1">OFFSET(L48,-1,1)</f>
        <v>0</v>
      </c>
      <c r="N48" s="1080"/>
      <c r="O48" s="1080"/>
      <c r="P48" s="1080"/>
      <c r="Q48" s="1082"/>
      <c r="R48" s="1082"/>
      <c r="S48" s="1082" t="s">
        <v>1782</v>
      </c>
      <c r="T48" s="687" t="b">
        <f t="shared" ca="1" si="4"/>
        <v>0</v>
      </c>
      <c r="X48" s="1726"/>
      <c r="Z48" s="1726"/>
      <c r="AB48" s="124" t="s">
        <v>518</v>
      </c>
      <c r="AC48" s="236" t="s">
        <v>1788</v>
      </c>
      <c r="AD48" s="468" t="s">
        <v>929</v>
      </c>
      <c r="AE48" s="257"/>
      <c r="AF48" s="257"/>
      <c r="AG48" s="257"/>
      <c r="AH48" s="257"/>
      <c r="AI48" s="257"/>
      <c r="AJ48" s="53"/>
      <c r="AK48" s="53"/>
      <c r="AL48" s="53"/>
      <c r="AM48" s="53"/>
      <c r="AN48" s="53"/>
      <c r="AO48" s="257"/>
      <c r="AP48" s="257"/>
      <c r="AQ48" s="257"/>
      <c r="AR48" s="257"/>
      <c r="AS48" s="257"/>
      <c r="AT48" s="53"/>
      <c r="AU48" s="53"/>
      <c r="AV48" s="53"/>
      <c r="AW48" s="53"/>
      <c r="AX48" s="53"/>
      <c r="AY48" s="28"/>
      <c r="AZ48" s="28"/>
      <c r="BA48" s="28"/>
      <c r="BD48" s="1031" t="s">
        <v>2096</v>
      </c>
      <c r="BI48" s="1064"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94" t="s">
        <v>1779</v>
      </c>
      <c r="D49" s="1113" t="s">
        <v>1780</v>
      </c>
      <c r="E49" s="676">
        <v>17</v>
      </c>
      <c r="F49" s="620" cm="1">
        <f t="array" aca="1" ref="F49" ca="1">OFFSET(G49,-1,-1)</f>
        <v>0</v>
      </c>
      <c r="G49" s="143" t="s">
        <v>1790</v>
      </c>
      <c r="L49" s="1080"/>
      <c r="M49" s="1080" cm="1">
        <f t="array" aca="1" ref="M49" ca="1">OFFSET(L49,-1,1)</f>
        <v>0</v>
      </c>
      <c r="N49" s="1080"/>
      <c r="O49" s="1080"/>
      <c r="P49" s="1080"/>
      <c r="Q49" s="1082"/>
      <c r="R49" s="1082"/>
      <c r="S49" s="1082" t="s">
        <v>1791</v>
      </c>
      <c r="T49" s="687" t="b">
        <f t="shared" ca="1" si="4"/>
        <v>0</v>
      </c>
      <c r="X49" s="1726"/>
      <c r="Z49" s="1726"/>
      <c r="AB49" s="124" t="s">
        <v>522</v>
      </c>
      <c r="AC49" s="236" t="s">
        <v>1792</v>
      </c>
      <c r="AD49" s="258" t="s">
        <v>634</v>
      </c>
      <c r="AE49" s="257"/>
      <c r="AF49" s="257"/>
      <c r="AG49" s="257"/>
      <c r="AH49" s="257"/>
      <c r="AI49" s="257"/>
      <c r="AJ49" s="53"/>
      <c r="AK49" s="53"/>
      <c r="AL49" s="53"/>
      <c r="AM49" s="53"/>
      <c r="AN49" s="53"/>
      <c r="AO49" s="257"/>
      <c r="AP49" s="257"/>
      <c r="AQ49" s="257"/>
      <c r="AR49" s="257"/>
      <c r="AS49" s="257"/>
      <c r="AT49" s="53"/>
      <c r="AU49" s="53"/>
      <c r="AV49" s="53"/>
      <c r="AW49" s="53"/>
      <c r="AX49" s="53"/>
      <c r="AY49" s="28"/>
      <c r="AZ49" s="28"/>
      <c r="BA49" s="28"/>
      <c r="BD49" s="1031" t="s">
        <v>2097</v>
      </c>
      <c r="BI49" s="1064"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5" customFormat="1" ht="16.5" hidden="1" customHeight="1">
      <c r="C50" s="1094" t="s">
        <v>1785</v>
      </c>
      <c r="D50" s="1113" t="s">
        <v>1786</v>
      </c>
      <c r="E50" s="676">
        <v>17</v>
      </c>
      <c r="F50" s="620" cm="1">
        <f t="array" aca="1" ref="F50" ca="1">OFFSET(G50,-1,-1)</f>
        <v>0</v>
      </c>
      <c r="G50" s="620" t="s">
        <v>1794</v>
      </c>
      <c r="L50" s="1079"/>
      <c r="M50" s="1080" cm="1">
        <f t="array" aca="1" ref="M50" ca="1">OFFSET(L50,-1,1)</f>
        <v>0</v>
      </c>
      <c r="N50" s="1079"/>
      <c r="O50" s="1079"/>
      <c r="P50" s="1079"/>
      <c r="Q50" s="1090"/>
      <c r="R50" s="1090"/>
      <c r="S50" s="1082" t="s">
        <v>1791</v>
      </c>
      <c r="T50" s="687" t="b">
        <f t="shared" ca="1" si="4"/>
        <v>0</v>
      </c>
      <c r="X50" s="1823"/>
      <c r="Z50" s="1823"/>
      <c r="AB50" s="124" t="s">
        <v>526</v>
      </c>
      <c r="AC50" s="236" t="s">
        <v>1795</v>
      </c>
      <c r="AD50" s="120" t="s">
        <v>929</v>
      </c>
      <c r="AE50" s="257">
        <f t="shared" ref="AE50:AX50" si="11">IFERROR((AE28*1000-AE47*AE48)/AE49,0)</f>
        <v>0</v>
      </c>
      <c r="AF50" s="257">
        <f t="shared" si="11"/>
        <v>0</v>
      </c>
      <c r="AG50" s="257">
        <f t="shared" si="11"/>
        <v>0</v>
      </c>
      <c r="AH50" s="257">
        <f t="shared" si="11"/>
        <v>0</v>
      </c>
      <c r="AI50" s="257">
        <f t="shared" si="11"/>
        <v>0</v>
      </c>
      <c r="AJ50" s="53">
        <f t="shared" si="11"/>
        <v>0</v>
      </c>
      <c r="AK50" s="53">
        <f t="shared" si="11"/>
        <v>0</v>
      </c>
      <c r="AL50" s="53">
        <f t="shared" si="11"/>
        <v>0</v>
      </c>
      <c r="AM50" s="53">
        <f t="shared" si="11"/>
        <v>0</v>
      </c>
      <c r="AN50" s="53">
        <f t="shared" si="11"/>
        <v>0</v>
      </c>
      <c r="AO50" s="257">
        <f t="shared" si="11"/>
        <v>0</v>
      </c>
      <c r="AP50" s="257">
        <f t="shared" si="11"/>
        <v>0</v>
      </c>
      <c r="AQ50" s="257">
        <f t="shared" si="11"/>
        <v>0</v>
      </c>
      <c r="AR50" s="257">
        <f t="shared" si="11"/>
        <v>0</v>
      </c>
      <c r="AS50" s="257">
        <f t="shared" si="11"/>
        <v>0</v>
      </c>
      <c r="AT50" s="53">
        <f t="shared" si="11"/>
        <v>0</v>
      </c>
      <c r="AU50" s="53">
        <f t="shared" si="11"/>
        <v>0</v>
      </c>
      <c r="AV50" s="53">
        <f t="shared" si="11"/>
        <v>0</v>
      </c>
      <c r="AW50" s="53">
        <f t="shared" si="11"/>
        <v>0</v>
      </c>
      <c r="AX50" s="53">
        <f t="shared" si="11"/>
        <v>0</v>
      </c>
      <c r="AY50" s="28"/>
      <c r="AZ50" s="28"/>
      <c r="BA50" s="28"/>
      <c r="BD50" s="1031" t="s">
        <v>2098</v>
      </c>
      <c r="BE50" s="1031"/>
      <c r="BF50" s="1039"/>
      <c r="BG50" s="1040"/>
      <c r="BH50" s="1040"/>
      <c r="BI50" s="1064"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5" customFormat="1" ht="16.5" hidden="1" customHeight="1">
      <c r="C51" s="1094" t="s">
        <v>1797</v>
      </c>
      <c r="D51" s="1113" t="s">
        <v>1798</v>
      </c>
      <c r="E51" s="676">
        <v>17</v>
      </c>
      <c r="F51" s="620" cm="1">
        <f t="array" aca="1" ref="F51" ca="1">OFFSET(G51,-1,-1)</f>
        <v>0</v>
      </c>
      <c r="L51" s="1079"/>
      <c r="M51" s="1080" cm="1">
        <f t="array" aca="1" ref="M51" ca="1">OFFSET(L51,-1,1)</f>
        <v>0</v>
      </c>
      <c r="N51" s="1079"/>
      <c r="O51" s="1079"/>
      <c r="P51" s="1079"/>
      <c r="Q51" s="1090"/>
      <c r="R51" s="1090"/>
      <c r="S51" s="1079"/>
      <c r="T51" s="687" t="b">
        <f t="shared" ca="1" si="4"/>
        <v>0</v>
      </c>
      <c r="X51" s="1823"/>
      <c r="Z51" s="1823"/>
      <c r="AB51" s="124" t="s">
        <v>1619</v>
      </c>
      <c r="AC51" s="115" t="s">
        <v>2099</v>
      </c>
      <c r="AD51" s="468" t="s">
        <v>533</v>
      </c>
      <c r="AE51" s="555">
        <f t="shared" ref="AE51:AX51" si="12">IFERROR(AE50/AE48,0)</f>
        <v>0</v>
      </c>
      <c r="AF51" s="555">
        <f t="shared" si="12"/>
        <v>0</v>
      </c>
      <c r="AG51" s="555">
        <f t="shared" si="12"/>
        <v>0</v>
      </c>
      <c r="AH51" s="555">
        <f t="shared" si="12"/>
        <v>0</v>
      </c>
      <c r="AI51" s="555">
        <f t="shared" si="12"/>
        <v>0</v>
      </c>
      <c r="AJ51" s="555">
        <f t="shared" si="12"/>
        <v>0</v>
      </c>
      <c r="AK51" s="555">
        <f t="shared" si="12"/>
        <v>0</v>
      </c>
      <c r="AL51" s="555">
        <f t="shared" si="12"/>
        <v>0</v>
      </c>
      <c r="AM51" s="555">
        <f t="shared" si="12"/>
        <v>0</v>
      </c>
      <c r="AN51" s="555">
        <f t="shared" si="12"/>
        <v>0</v>
      </c>
      <c r="AO51" s="555">
        <f t="shared" si="12"/>
        <v>0</v>
      </c>
      <c r="AP51" s="555">
        <f t="shared" si="12"/>
        <v>0</v>
      </c>
      <c r="AQ51" s="555">
        <f t="shared" si="12"/>
        <v>0</v>
      </c>
      <c r="AR51" s="555">
        <f t="shared" si="12"/>
        <v>0</v>
      </c>
      <c r="AS51" s="555">
        <f t="shared" si="12"/>
        <v>0</v>
      </c>
      <c r="AT51" s="555">
        <f t="shared" si="12"/>
        <v>0</v>
      </c>
      <c r="AU51" s="555">
        <f t="shared" si="12"/>
        <v>0</v>
      </c>
      <c r="AV51" s="555">
        <f t="shared" si="12"/>
        <v>0</v>
      </c>
      <c r="AW51" s="555">
        <f t="shared" si="12"/>
        <v>0</v>
      </c>
      <c r="AX51" s="555">
        <f t="shared" si="12"/>
        <v>0</v>
      </c>
      <c r="AY51" s="28"/>
      <c r="AZ51" s="28"/>
      <c r="BA51" s="28"/>
      <c r="BD51" s="1031" t="s">
        <v>2100</v>
      </c>
      <c r="BE51" s="1031"/>
      <c r="BF51" s="1031"/>
      <c r="BG51" s="1032"/>
      <c r="BH51" s="1032"/>
      <c r="BI51" s="1064"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94" t="s">
        <v>1801</v>
      </c>
      <c r="D52" s="1113" t="s">
        <v>1802</v>
      </c>
      <c r="E52" s="676">
        <v>17</v>
      </c>
      <c r="F52" s="620" cm="1">
        <f t="array" aca="1" ref="F52" ca="1">OFFSET(G52,-1,-1)</f>
        <v>0</v>
      </c>
      <c r="L52" s="1080"/>
      <c r="M52" s="1080" cm="1">
        <f t="array" aca="1" ref="M52" ca="1">OFFSET(L52,-1,1)</f>
        <v>0</v>
      </c>
      <c r="N52" s="1080"/>
      <c r="O52" s="1080"/>
      <c r="P52" s="1080"/>
      <c r="Q52" s="1082"/>
      <c r="R52" s="1082"/>
      <c r="S52" s="1080"/>
      <c r="T52" s="687" t="b">
        <f t="shared" ca="1" si="4"/>
        <v>0</v>
      </c>
      <c r="X52" s="1726"/>
      <c r="Z52" s="1726"/>
      <c r="AB52" s="124" t="s">
        <v>2046</v>
      </c>
      <c r="AC52" s="115" t="s">
        <v>2101</v>
      </c>
      <c r="AD52" s="468" t="s">
        <v>929</v>
      </c>
      <c r="AE52" s="593">
        <f t="shared" ref="AE52:AX52" si="13">IFERROR(AE28*1000/(AE47+AE49),0)</f>
        <v>0</v>
      </c>
      <c r="AF52" s="593">
        <f t="shared" si="13"/>
        <v>0</v>
      </c>
      <c r="AG52" s="593">
        <f t="shared" si="13"/>
        <v>0</v>
      </c>
      <c r="AH52" s="593">
        <f t="shared" si="13"/>
        <v>0</v>
      </c>
      <c r="AI52" s="593">
        <f t="shared" si="13"/>
        <v>0</v>
      </c>
      <c r="AJ52" s="71">
        <f t="shared" si="13"/>
        <v>0</v>
      </c>
      <c r="AK52" s="71">
        <f t="shared" si="13"/>
        <v>0</v>
      </c>
      <c r="AL52" s="71">
        <f t="shared" si="13"/>
        <v>0</v>
      </c>
      <c r="AM52" s="71">
        <f t="shared" si="13"/>
        <v>0</v>
      </c>
      <c r="AN52" s="71">
        <f t="shared" si="13"/>
        <v>0</v>
      </c>
      <c r="AO52" s="593">
        <f t="shared" si="13"/>
        <v>0</v>
      </c>
      <c r="AP52" s="593">
        <f t="shared" si="13"/>
        <v>0</v>
      </c>
      <c r="AQ52" s="593">
        <f t="shared" si="13"/>
        <v>0</v>
      </c>
      <c r="AR52" s="593">
        <f t="shared" si="13"/>
        <v>0</v>
      </c>
      <c r="AS52" s="593">
        <f t="shared" si="13"/>
        <v>0</v>
      </c>
      <c r="AT52" s="71">
        <f t="shared" si="13"/>
        <v>0</v>
      </c>
      <c r="AU52" s="71">
        <f t="shared" si="13"/>
        <v>0</v>
      </c>
      <c r="AV52" s="71">
        <f t="shared" si="13"/>
        <v>0</v>
      </c>
      <c r="AW52" s="71">
        <f t="shared" si="13"/>
        <v>0</v>
      </c>
      <c r="AX52" s="71">
        <f t="shared" si="13"/>
        <v>0</v>
      </c>
      <c r="AY52" s="28"/>
      <c r="AZ52" s="28"/>
      <c r="BA52" s="28"/>
      <c r="BD52" s="1031" t="s">
        <v>2102</v>
      </c>
      <c r="BI52" s="1064"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94" t="s">
        <v>1845</v>
      </c>
      <c r="D53" s="1113" t="s">
        <v>1846</v>
      </c>
      <c r="E53" s="676">
        <v>35</v>
      </c>
      <c r="F53" s="620" cm="1">
        <f t="array" aca="1" ref="F53" ca="1">OFFSET(G53,-1,-1)</f>
        <v>0</v>
      </c>
      <c r="L53" s="1080"/>
      <c r="M53" s="1080" cm="1">
        <f t="array" aca="1" ref="M53" ca="1">OFFSET(L53,-1,1)</f>
        <v>0</v>
      </c>
      <c r="N53" s="1080"/>
      <c r="O53" s="1080"/>
      <c r="P53" s="1080"/>
      <c r="Q53" s="1082"/>
      <c r="R53" s="1082"/>
      <c r="S53" s="1080"/>
      <c r="T53" s="687" t="b">
        <f t="shared" ca="1" si="4"/>
        <v>0</v>
      </c>
      <c r="X53" s="1726"/>
      <c r="Z53" s="1726"/>
      <c r="AB53" s="124" t="s">
        <v>437</v>
      </c>
      <c r="AC53" s="269" t="s">
        <v>1848</v>
      </c>
      <c r="AD53" s="481" t="s">
        <v>1460</v>
      </c>
      <c r="AE53" s="257"/>
      <c r="AF53" s="257"/>
      <c r="AG53" s="257"/>
      <c r="AH53" s="257"/>
      <c r="AI53" s="257"/>
      <c r="AJ53" s="53"/>
      <c r="AK53" s="53"/>
      <c r="AL53" s="53"/>
      <c r="AM53" s="53"/>
      <c r="AN53" s="53"/>
      <c r="AO53" s="257"/>
      <c r="AP53" s="257"/>
      <c r="AQ53" s="257"/>
      <c r="AR53" s="257"/>
      <c r="AS53" s="257"/>
      <c r="AT53" s="53"/>
      <c r="AU53" s="53"/>
      <c r="AV53" s="53"/>
      <c r="AW53" s="53"/>
      <c r="AX53" s="53"/>
      <c r="AY53" s="28"/>
      <c r="AZ53" s="28"/>
      <c r="BA53" s="28"/>
      <c r="BD53" s="1031" t="s">
        <v>1849</v>
      </c>
      <c r="BI53" s="1064"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520" customFormat="1" ht="16.5" customHeight="1">
      <c r="A54" s="170"/>
      <c r="B54" s="170"/>
      <c r="C54" s="1098"/>
      <c r="D54" s="1112"/>
      <c r="E54" s="676">
        <v>17.100000000000001</v>
      </c>
      <c r="F54" s="620" t="str" cm="1">
        <f t="array" ref="F54">X54</f>
        <v>1</v>
      </c>
      <c r="G54" s="620" t="str" cm="1">
        <f t="array" ref="G54">INDEX('Общие сведения'!$AK$187:$AK$236,MATCH($F54,'Общие сведения'!$Z$187:$Z$236,0))</f>
        <v>одноставочный</v>
      </c>
      <c r="H54" s="170"/>
      <c r="I54" s="163" t="str" cm="1">
        <f t="array" ref="I54">INDEX('Общие сведения'!$AE$187:$AE$236,MATCH($F54,'Общие сведения'!$Z$187:$Z$236,0))</f>
        <v>Теплоснабжение</v>
      </c>
      <c r="J54" s="170"/>
      <c r="K54" s="163" t="str" cm="1">
        <f t="array" ref="K54">INDEX('Общие сведения'!$AL$187:$AL$236,MATCH($F54,'Общие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092"/>
      <c r="M54" s="1092"/>
      <c r="N54" s="1092"/>
      <c r="O54" s="1092"/>
      <c r="P54" s="1092"/>
      <c r="Q54" s="1088"/>
      <c r="R54" s="1088"/>
      <c r="S54" s="1092"/>
      <c r="T54" s="687" t="b">
        <f t="shared" si="4"/>
        <v>1</v>
      </c>
      <c r="U54" s="170"/>
      <c r="V54" s="126" t="str" cm="1">
        <f t="array" ref="V54">'Базовый уровень (МСА)'!$AB$51</f>
        <v>Тариф 1 (Теплоснабжение) - Тариф на тепловую энергию (мощность), поставляемую потребителям (Не определено)</v>
      </c>
      <c r="W54" s="170"/>
      <c r="X54" s="1838" t="s">
        <v>341</v>
      </c>
      <c r="Y54" s="170"/>
      <c r="Z54" s="1724"/>
      <c r="AA54" s="170"/>
      <c r="AB54" s="275"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170"/>
      <c r="BC54" s="170"/>
      <c r="BD54" s="981"/>
      <c r="BE54" s="981"/>
      <c r="BF54" s="981"/>
      <c r="BG54" s="984"/>
      <c r="BH54" s="984"/>
      <c r="BI54" s="1076"/>
    </row>
    <row r="55" spans="1:61" s="1229" customFormat="1" ht="16.5" customHeight="1">
      <c r="A55" s="983"/>
      <c r="B55" s="783"/>
      <c r="C55" s="1094" t="s">
        <v>1753</v>
      </c>
      <c r="D55" s="1113" t="s">
        <v>1754</v>
      </c>
      <c r="E55" s="676">
        <v>17</v>
      </c>
      <c r="F55" s="620" t="str" cm="1">
        <f t="array" aca="1" ref="F55" ca="1">OFFSET(G55,-1,-1)</f>
        <v>1</v>
      </c>
      <c r="G55" s="180"/>
      <c r="H55" s="180"/>
      <c r="I55" s="180"/>
      <c r="J55" s="180"/>
      <c r="K55" s="180"/>
      <c r="L55" s="1080"/>
      <c r="M55" s="1080" t="str" cm="1">
        <f t="array" ref="M55">INDEX('Общие сведения'!$N$187:$N$236,MATCH($F54,'Общие сведения'!$Z$187:$Z$236,0)+1)</f>
        <v>ТЭ.42.26322895.0003</v>
      </c>
      <c r="N55" s="1080" t="s">
        <v>2057</v>
      </c>
      <c r="O55" s="1080"/>
      <c r="P55" s="1080"/>
      <c r="Q55" s="1082"/>
      <c r="R55" s="1082"/>
      <c r="S55" s="1080"/>
      <c r="T55" s="687" t="b">
        <f t="shared" ca="1" si="4"/>
        <v>1</v>
      </c>
      <c r="U55" s="1153"/>
      <c r="V55" s="1153"/>
      <c r="W55" s="1153"/>
      <c r="X55" s="1726"/>
      <c r="Y55" s="1153"/>
      <c r="Z55" s="1726"/>
      <c r="AA55" s="180"/>
      <c r="AB55" s="124">
        <v>1</v>
      </c>
      <c r="AC55" s="526" t="s">
        <v>2058</v>
      </c>
      <c r="AD55" s="468" t="s">
        <v>1460</v>
      </c>
      <c r="AE55" s="257">
        <f t="shared" ref="AE55:AX55" si="14">AE56+AE62+AE72</f>
        <v>0</v>
      </c>
      <c r="AF55" s="257">
        <f t="shared" si="14"/>
        <v>0</v>
      </c>
      <c r="AG55" s="257">
        <f t="shared" si="14"/>
        <v>0</v>
      </c>
      <c r="AH55" s="257">
        <f t="shared" si="14"/>
        <v>0</v>
      </c>
      <c r="AI55" s="257">
        <f t="shared" si="14"/>
        <v>0</v>
      </c>
      <c r="AJ55" s="1314">
        <f t="shared" si="14"/>
        <v>0</v>
      </c>
      <c r="AK55" s="1314">
        <f t="shared" si="14"/>
        <v>0</v>
      </c>
      <c r="AL55" s="1314">
        <f t="shared" si="14"/>
        <v>0</v>
      </c>
      <c r="AM55" s="1314">
        <f t="shared" si="14"/>
        <v>0</v>
      </c>
      <c r="AN55" s="1314">
        <f t="shared" si="14"/>
        <v>0</v>
      </c>
      <c r="AO55" s="257">
        <f t="shared" si="14"/>
        <v>0</v>
      </c>
      <c r="AP55" s="257">
        <f t="shared" si="14"/>
        <v>0</v>
      </c>
      <c r="AQ55" s="257">
        <f t="shared" si="14"/>
        <v>0</v>
      </c>
      <c r="AR55" s="257">
        <f t="shared" si="14"/>
        <v>0</v>
      </c>
      <c r="AS55" s="257">
        <f t="shared" si="14"/>
        <v>0</v>
      </c>
      <c r="AT55" s="1314">
        <f t="shared" si="14"/>
        <v>0</v>
      </c>
      <c r="AU55" s="1314">
        <f t="shared" si="14"/>
        <v>0</v>
      </c>
      <c r="AV55" s="1314">
        <f t="shared" si="14"/>
        <v>0</v>
      </c>
      <c r="AW55" s="1314">
        <f t="shared" si="14"/>
        <v>0</v>
      </c>
      <c r="AX55" s="1314">
        <f t="shared" si="14"/>
        <v>0</v>
      </c>
      <c r="AY55" s="1290"/>
      <c r="AZ55" s="1290"/>
      <c r="BA55" s="1290"/>
      <c r="BB55" s="180"/>
      <c r="BC55" s="180"/>
      <c r="BD55" s="1031" t="s">
        <v>2059</v>
      </c>
      <c r="BE55" s="1031"/>
      <c r="BF55" s="1031"/>
      <c r="BG55" s="1032"/>
      <c r="BH55" s="1032"/>
      <c r="BI55" s="1064"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M10655::ТЭ.42.26322895.0003::Неопределено::110.0.36.::Неопределено::Неопределено::Неопределено::Неопределено::Неопределено</v>
      </c>
    </row>
    <row r="56" spans="1:61" s="1229" customFormat="1" ht="16.5" customHeight="1">
      <c r="A56" s="983"/>
      <c r="B56" s="783"/>
      <c r="C56" s="1094" t="s">
        <v>1753</v>
      </c>
      <c r="D56" s="1113" t="s">
        <v>1754</v>
      </c>
      <c r="E56" s="676">
        <v>17</v>
      </c>
      <c r="F56" s="620" t="str" cm="1">
        <f t="array" aca="1" ref="F56" ca="1">OFFSET(G56,-1,-1)</f>
        <v>1</v>
      </c>
      <c r="G56" s="180"/>
      <c r="H56" s="180"/>
      <c r="I56" s="180"/>
      <c r="J56" s="180"/>
      <c r="K56" s="180"/>
      <c r="L56" s="1080"/>
      <c r="M56" s="1080" t="str" cm="1">
        <f t="array" aca="1" ref="M56" ca="1">OFFSET(L56,-1,1)</f>
        <v>ТЭ.42.26322895.0003</v>
      </c>
      <c r="N56" s="1080" t="s">
        <v>2057</v>
      </c>
      <c r="O56" s="1080" t="s">
        <v>1828</v>
      </c>
      <c r="P56" s="1080"/>
      <c r="Q56" s="1082"/>
      <c r="R56" s="1082"/>
      <c r="S56" s="1080"/>
      <c r="T56" s="687" t="b">
        <f t="shared" ca="1" si="4"/>
        <v>1</v>
      </c>
      <c r="U56" s="1153"/>
      <c r="V56" s="1153"/>
      <c r="W56" s="1153"/>
      <c r="X56" s="1726"/>
      <c r="Y56" s="1153"/>
      <c r="Z56" s="1726"/>
      <c r="AA56" s="180"/>
      <c r="AB56" s="124" t="s">
        <v>484</v>
      </c>
      <c r="AC56" s="869" t="s">
        <v>2060</v>
      </c>
      <c r="AD56" s="468" t="s">
        <v>1460</v>
      </c>
      <c r="AE56" s="257">
        <f t="shared" ref="AE56:AX56" si="15">AE57+AE61</f>
        <v>0</v>
      </c>
      <c r="AF56" s="257">
        <f t="shared" si="15"/>
        <v>0</v>
      </c>
      <c r="AG56" s="257">
        <f t="shared" si="15"/>
        <v>0</v>
      </c>
      <c r="AH56" s="257">
        <f t="shared" si="15"/>
        <v>0</v>
      </c>
      <c r="AI56" s="257">
        <f t="shared" si="15"/>
        <v>0</v>
      </c>
      <c r="AJ56" s="1314">
        <f t="shared" si="15"/>
        <v>0</v>
      </c>
      <c r="AK56" s="1314">
        <f t="shared" si="15"/>
        <v>0</v>
      </c>
      <c r="AL56" s="1314">
        <f t="shared" si="15"/>
        <v>0</v>
      </c>
      <c r="AM56" s="1314">
        <f t="shared" si="15"/>
        <v>0</v>
      </c>
      <c r="AN56" s="1314">
        <f t="shared" si="15"/>
        <v>0</v>
      </c>
      <c r="AO56" s="257">
        <f t="shared" si="15"/>
        <v>0</v>
      </c>
      <c r="AP56" s="257">
        <f t="shared" si="15"/>
        <v>0</v>
      </c>
      <c r="AQ56" s="257">
        <f t="shared" si="15"/>
        <v>0</v>
      </c>
      <c r="AR56" s="257">
        <f t="shared" si="15"/>
        <v>0</v>
      </c>
      <c r="AS56" s="257">
        <f t="shared" si="15"/>
        <v>0</v>
      </c>
      <c r="AT56" s="1314">
        <f t="shared" si="15"/>
        <v>0</v>
      </c>
      <c r="AU56" s="1314">
        <f t="shared" si="15"/>
        <v>0</v>
      </c>
      <c r="AV56" s="1314">
        <f t="shared" si="15"/>
        <v>0</v>
      </c>
      <c r="AW56" s="1314">
        <f t="shared" si="15"/>
        <v>0</v>
      </c>
      <c r="AX56" s="1314">
        <f t="shared" si="15"/>
        <v>0</v>
      </c>
      <c r="AY56" s="1290"/>
      <c r="AZ56" s="1290"/>
      <c r="BA56" s="1290"/>
      <c r="BB56" s="180"/>
      <c r="BC56" s="180"/>
      <c r="BD56" s="1031" t="s">
        <v>2061</v>
      </c>
      <c r="BE56" s="1031"/>
      <c r="BF56" s="1031"/>
      <c r="BG56" s="1032"/>
      <c r="BH56" s="1032"/>
      <c r="BI56" s="1064"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M10655::ТЭ.42.26322895.0003::Неопределено::110.0.36.::90.0.0.::Неопределено::Неопределено::Неопределено::Неопределено</v>
      </c>
    </row>
    <row r="57" spans="1:61" s="1229" customFormat="1" ht="16.5" customHeight="1">
      <c r="A57" s="983"/>
      <c r="B57" s="783"/>
      <c r="C57" s="1094" t="s">
        <v>1753</v>
      </c>
      <c r="D57" s="1113" t="s">
        <v>1754</v>
      </c>
      <c r="E57" s="676">
        <v>17</v>
      </c>
      <c r="F57" s="620" t="str" cm="1">
        <f t="array" aca="1" ref="F57" ca="1">OFFSET(G57,-1,-1)</f>
        <v>1</v>
      </c>
      <c r="G57" s="180"/>
      <c r="H57" s="180"/>
      <c r="I57" s="180"/>
      <c r="J57" s="180"/>
      <c r="K57" s="180"/>
      <c r="L57" s="1080"/>
      <c r="M57" s="1080" t="str" cm="1">
        <f t="array" aca="1" ref="M57" ca="1">OFFSET(L57,-1,1)</f>
        <v>ТЭ.42.26322895.0003</v>
      </c>
      <c r="N57" s="1080" t="s">
        <v>2057</v>
      </c>
      <c r="O57" s="1080" t="s">
        <v>1828</v>
      </c>
      <c r="P57" s="1080" t="s">
        <v>2062</v>
      </c>
      <c r="Q57" s="1082"/>
      <c r="R57" s="1082"/>
      <c r="S57" s="1080"/>
      <c r="T57" s="687" t="b">
        <f t="shared" ca="1" si="4"/>
        <v>1</v>
      </c>
      <c r="U57" s="1153"/>
      <c r="V57" s="1153"/>
      <c r="W57" s="1153"/>
      <c r="X57" s="1726"/>
      <c r="Y57" s="1153"/>
      <c r="Z57" s="1726"/>
      <c r="AA57" s="180"/>
      <c r="AB57" s="487" t="s">
        <v>1210</v>
      </c>
      <c r="AC57" s="471" t="s">
        <v>2063</v>
      </c>
      <c r="AD57" s="855" t="s">
        <v>1460</v>
      </c>
      <c r="AE57" s="257"/>
      <c r="AF57" s="257"/>
      <c r="AG57" s="257"/>
      <c r="AH57" s="257"/>
      <c r="AI57" s="257"/>
      <c r="AJ57" s="1314"/>
      <c r="AK57" s="1314"/>
      <c r="AL57" s="1314"/>
      <c r="AM57" s="1314"/>
      <c r="AN57" s="1314"/>
      <c r="AO57" s="257"/>
      <c r="AP57" s="257"/>
      <c r="AQ57" s="257"/>
      <c r="AR57" s="257"/>
      <c r="AS57" s="257"/>
      <c r="AT57" s="1314"/>
      <c r="AU57" s="1314"/>
      <c r="AV57" s="1314"/>
      <c r="AW57" s="1314"/>
      <c r="AX57" s="1314"/>
      <c r="AY57" s="1290"/>
      <c r="AZ57" s="1290"/>
      <c r="BA57" s="1290"/>
      <c r="BB57" s="180"/>
      <c r="BC57" s="180"/>
      <c r="BD57" s="1031" t="s">
        <v>2064</v>
      </c>
      <c r="BE57" s="1031"/>
      <c r="BF57" s="1031"/>
      <c r="BG57" s="1032"/>
      <c r="BH57" s="1032"/>
      <c r="BI57" s="1064"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M10655::ТЭ.42.26322895.0003::Неопределено::110.0.36.::90.0.0.::33.0.8.::Неопределено::Неопределено::Неопределено</v>
      </c>
    </row>
    <row r="58" spans="1:61" s="1229" customFormat="1" ht="16.5" customHeight="1">
      <c r="A58" s="983"/>
      <c r="B58" s="783"/>
      <c r="C58" s="1094" t="s">
        <v>1753</v>
      </c>
      <c r="D58" s="1113" t="s">
        <v>1754</v>
      </c>
      <c r="E58" s="676">
        <v>17</v>
      </c>
      <c r="F58" s="620" t="str" cm="1">
        <f t="array" aca="1" ref="F58" ca="1">OFFSET(G58,-1,-1)</f>
        <v>1</v>
      </c>
      <c r="G58" s="180"/>
      <c r="H58" s="180"/>
      <c r="I58" s="180"/>
      <c r="J58" s="180"/>
      <c r="K58" s="180"/>
      <c r="L58" s="1080"/>
      <c r="M58" s="1080" t="str" cm="1">
        <f t="array" aca="1" ref="M58" ca="1">OFFSET(L58,-1,1)</f>
        <v>ТЭ.42.26322895.0003</v>
      </c>
      <c r="N58" s="1080" t="s">
        <v>2057</v>
      </c>
      <c r="O58" s="1080" t="s">
        <v>1828</v>
      </c>
      <c r="P58" s="1080" t="s">
        <v>2062</v>
      </c>
      <c r="Q58" s="1082"/>
      <c r="R58" s="1082" t="s">
        <v>2065</v>
      </c>
      <c r="S58" s="1080"/>
      <c r="T58" s="687" t="b">
        <f t="shared" ca="1" si="4"/>
        <v>1</v>
      </c>
      <c r="U58" s="1153"/>
      <c r="V58" s="1153"/>
      <c r="W58" s="1153"/>
      <c r="X58" s="1726"/>
      <c r="Y58" s="1153"/>
      <c r="Z58" s="1726"/>
      <c r="AA58" s="180"/>
      <c r="AB58" s="487" t="s">
        <v>2066</v>
      </c>
      <c r="AC58" s="496" t="s">
        <v>2067</v>
      </c>
      <c r="AD58" s="855" t="s">
        <v>1460</v>
      </c>
      <c r="AE58" s="257"/>
      <c r="AF58" s="257"/>
      <c r="AG58" s="257"/>
      <c r="AH58" s="257"/>
      <c r="AI58" s="257"/>
      <c r="AJ58" s="1314"/>
      <c r="AK58" s="1314"/>
      <c r="AL58" s="1314"/>
      <c r="AM58" s="1314"/>
      <c r="AN58" s="1314"/>
      <c r="AO58" s="257"/>
      <c r="AP58" s="257"/>
      <c r="AQ58" s="257"/>
      <c r="AR58" s="257"/>
      <c r="AS58" s="257"/>
      <c r="AT58" s="1314"/>
      <c r="AU58" s="1314"/>
      <c r="AV58" s="1314"/>
      <c r="AW58" s="1314"/>
      <c r="AX58" s="1314"/>
      <c r="AY58" s="1290"/>
      <c r="AZ58" s="1290"/>
      <c r="BA58" s="1290"/>
      <c r="BB58" s="180"/>
      <c r="BC58" s="180"/>
      <c r="BD58" s="1031" t="s">
        <v>2068</v>
      </c>
      <c r="BE58" s="1031"/>
      <c r="BF58" s="1031"/>
      <c r="BG58" s="1032"/>
      <c r="BH58" s="1032"/>
      <c r="BI58" s="1064"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M10655::ТЭ.42.26322895.0003::Неопределено::110.0.36.::90.0.0.::33.0.8.::Неопределено::22.0.10.::Неопределено</v>
      </c>
    </row>
    <row r="59" spans="1:61" s="1229" customFormat="1" ht="33.75" customHeight="1">
      <c r="A59" s="983"/>
      <c r="B59" s="783"/>
      <c r="C59" s="1094" t="s">
        <v>1753</v>
      </c>
      <c r="D59" s="1113" t="s">
        <v>1754</v>
      </c>
      <c r="E59" s="676">
        <v>35</v>
      </c>
      <c r="F59" s="620" t="str" cm="1">
        <f t="array" aca="1" ref="F59" ca="1">OFFSET(G59,-1,-1)</f>
        <v>1</v>
      </c>
      <c r="G59" s="180"/>
      <c r="H59" s="180"/>
      <c r="I59" s="180"/>
      <c r="J59" s="180"/>
      <c r="K59" s="180"/>
      <c r="L59" s="1080"/>
      <c r="M59" s="1080" t="str" cm="1">
        <f t="array" aca="1" ref="M59" ca="1">OFFSET(L59,-1,1)</f>
        <v>ТЭ.42.26322895.0003</v>
      </c>
      <c r="N59" s="1080" t="s">
        <v>2057</v>
      </c>
      <c r="O59" s="1080" t="s">
        <v>1828</v>
      </c>
      <c r="P59" s="1080" t="s">
        <v>2062</v>
      </c>
      <c r="Q59" s="1082" t="s">
        <v>2069</v>
      </c>
      <c r="R59" s="1082"/>
      <c r="S59" s="1080"/>
      <c r="T59" s="687" t="b">
        <f t="shared" ref="T59:T90" ca="1" si="16">AND(F59&gt;0,OR(ISBLANK(Y59),Y59&gt;0))</f>
        <v>1</v>
      </c>
      <c r="U59" s="1153"/>
      <c r="V59" s="1153"/>
      <c r="W59" s="1153"/>
      <c r="X59" s="1726"/>
      <c r="Y59" s="1153"/>
      <c r="Z59" s="1726"/>
      <c r="AA59" s="180"/>
      <c r="AB59" s="487" t="s">
        <v>2070</v>
      </c>
      <c r="AC59" s="488" t="s">
        <v>2071</v>
      </c>
      <c r="AD59" s="855" t="s">
        <v>1460</v>
      </c>
      <c r="AE59" s="257"/>
      <c r="AF59" s="257"/>
      <c r="AG59" s="257"/>
      <c r="AH59" s="257"/>
      <c r="AI59" s="257"/>
      <c r="AJ59" s="1314"/>
      <c r="AK59" s="1314"/>
      <c r="AL59" s="1314"/>
      <c r="AM59" s="1314"/>
      <c r="AN59" s="1314"/>
      <c r="AO59" s="257"/>
      <c r="AP59" s="257"/>
      <c r="AQ59" s="257"/>
      <c r="AR59" s="257"/>
      <c r="AS59" s="257"/>
      <c r="AT59" s="1314"/>
      <c r="AU59" s="1314"/>
      <c r="AV59" s="1314"/>
      <c r="AW59" s="1314"/>
      <c r="AX59" s="1314"/>
      <c r="AY59" s="1290"/>
      <c r="AZ59" s="1290"/>
      <c r="BA59" s="1290"/>
      <c r="BB59" s="180"/>
      <c r="BC59" s="180"/>
      <c r="BD59" s="1031" t="s">
        <v>2072</v>
      </c>
      <c r="BE59" s="1031"/>
      <c r="BF59" s="1031"/>
      <c r="BG59" s="1032"/>
      <c r="BH59" s="1032"/>
      <c r="BI59" s="1064"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M10655::ТЭ.42.26322895.0003::Неопределено::110.0.36.::90.0.0.::33.0.8.::147.0.5.::Неопределено::Неопределено</v>
      </c>
    </row>
    <row r="60" spans="1:61" s="1229" customFormat="1" ht="16.5" customHeight="1">
      <c r="A60" s="983"/>
      <c r="B60" s="783"/>
      <c r="C60" s="1094" t="s">
        <v>1753</v>
      </c>
      <c r="D60" s="1113" t="s">
        <v>1754</v>
      </c>
      <c r="E60" s="676">
        <v>17</v>
      </c>
      <c r="F60" s="620" t="str" cm="1">
        <f t="array" aca="1" ref="F60" ca="1">OFFSET(G60,-1,-1)</f>
        <v>1</v>
      </c>
      <c r="G60" s="180"/>
      <c r="H60" s="180"/>
      <c r="I60" s="180"/>
      <c r="J60" s="180"/>
      <c r="K60" s="180"/>
      <c r="L60" s="1080"/>
      <c r="M60" s="1080" t="str" cm="1">
        <f t="array" aca="1" ref="M60" ca="1">OFFSET(L60,-1,1)</f>
        <v>ТЭ.42.26322895.0003</v>
      </c>
      <c r="N60" s="1080" t="s">
        <v>2057</v>
      </c>
      <c r="O60" s="1080" t="s">
        <v>1828</v>
      </c>
      <c r="P60" s="1080" t="s">
        <v>2062</v>
      </c>
      <c r="Q60" s="1082" t="s">
        <v>2073</v>
      </c>
      <c r="R60" s="1082"/>
      <c r="S60" s="1080"/>
      <c r="T60" s="687" t="b">
        <f t="shared" ca="1" si="16"/>
        <v>1</v>
      </c>
      <c r="U60" s="1153"/>
      <c r="V60" s="1153"/>
      <c r="W60" s="1153"/>
      <c r="X60" s="1726"/>
      <c r="Y60" s="1153"/>
      <c r="Z60" s="1726"/>
      <c r="AA60" s="180"/>
      <c r="AB60" s="487" t="s">
        <v>2074</v>
      </c>
      <c r="AC60" s="488" t="s">
        <v>2075</v>
      </c>
      <c r="AD60" s="855" t="s">
        <v>1460</v>
      </c>
      <c r="AE60" s="257"/>
      <c r="AF60" s="257"/>
      <c r="AG60" s="257"/>
      <c r="AH60" s="257"/>
      <c r="AI60" s="257"/>
      <c r="AJ60" s="1314"/>
      <c r="AK60" s="1314"/>
      <c r="AL60" s="1314"/>
      <c r="AM60" s="1314"/>
      <c r="AN60" s="1314"/>
      <c r="AO60" s="257"/>
      <c r="AP60" s="257"/>
      <c r="AQ60" s="257"/>
      <c r="AR60" s="257"/>
      <c r="AS60" s="257"/>
      <c r="AT60" s="1314"/>
      <c r="AU60" s="1314"/>
      <c r="AV60" s="1314"/>
      <c r="AW60" s="1314"/>
      <c r="AX60" s="1314"/>
      <c r="AY60" s="1290"/>
      <c r="AZ60" s="1290"/>
      <c r="BA60" s="1290"/>
      <c r="BB60" s="180"/>
      <c r="BC60" s="180"/>
      <c r="BD60" s="1031" t="s">
        <v>2076</v>
      </c>
      <c r="BE60" s="1031"/>
      <c r="BF60" s="1031"/>
      <c r="BG60" s="1032"/>
      <c r="BH60" s="1032"/>
      <c r="BI60" s="1064"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M10655::ТЭ.42.26322895.0003::Неопределено::110.0.36.::90.0.0.::33.0.8.::147.0.1.::Неопределено::Неопределено</v>
      </c>
    </row>
    <row r="61" spans="1:61" s="1229" customFormat="1" ht="16.5" customHeight="1">
      <c r="A61" s="983"/>
      <c r="B61" s="783"/>
      <c r="C61" s="1094" t="s">
        <v>1753</v>
      </c>
      <c r="D61" s="1113" t="s">
        <v>1754</v>
      </c>
      <c r="E61" s="676">
        <v>17</v>
      </c>
      <c r="F61" s="620" t="str" cm="1">
        <f t="array" aca="1" ref="F61" ca="1">OFFSET(G61,-1,-1)</f>
        <v>1</v>
      </c>
      <c r="G61" s="180"/>
      <c r="H61" s="180"/>
      <c r="I61" s="180"/>
      <c r="J61" s="180"/>
      <c r="K61" s="180"/>
      <c r="L61" s="1080"/>
      <c r="M61" s="1080" t="str" cm="1">
        <f t="array" aca="1" ref="M61" ca="1">OFFSET(L61,-1,1)</f>
        <v>ТЭ.42.26322895.0003</v>
      </c>
      <c r="N61" s="1080" t="s">
        <v>2057</v>
      </c>
      <c r="O61" s="1080" t="s">
        <v>1828</v>
      </c>
      <c r="P61" s="1080" t="s">
        <v>2077</v>
      </c>
      <c r="Q61" s="1082"/>
      <c r="R61" s="1082"/>
      <c r="S61" s="1080"/>
      <c r="T61" s="687" t="b">
        <f t="shared" ca="1" si="16"/>
        <v>1</v>
      </c>
      <c r="U61" s="1153"/>
      <c r="V61" s="1153"/>
      <c r="W61" s="1153"/>
      <c r="X61" s="1726"/>
      <c r="Y61" s="1153"/>
      <c r="Z61" s="1726"/>
      <c r="AA61" s="180"/>
      <c r="AB61" s="923" t="s">
        <v>1214</v>
      </c>
      <c r="AC61" s="471" t="s">
        <v>2078</v>
      </c>
      <c r="AD61" s="855" t="s">
        <v>1460</v>
      </c>
      <c r="AE61" s="257"/>
      <c r="AF61" s="257"/>
      <c r="AG61" s="257"/>
      <c r="AH61" s="257"/>
      <c r="AI61" s="257"/>
      <c r="AJ61" s="1314"/>
      <c r="AK61" s="1314"/>
      <c r="AL61" s="1314"/>
      <c r="AM61" s="1314"/>
      <c r="AN61" s="1314"/>
      <c r="AO61" s="257"/>
      <c r="AP61" s="257"/>
      <c r="AQ61" s="257"/>
      <c r="AR61" s="257"/>
      <c r="AS61" s="257"/>
      <c r="AT61" s="1314"/>
      <c r="AU61" s="1314"/>
      <c r="AV61" s="1314"/>
      <c r="AW61" s="1314"/>
      <c r="AX61" s="1314"/>
      <c r="AY61" s="1290"/>
      <c r="AZ61" s="1290"/>
      <c r="BA61" s="1290"/>
      <c r="BB61" s="180"/>
      <c r="BC61" s="180"/>
      <c r="BD61" s="1031" t="s">
        <v>2079</v>
      </c>
      <c r="BE61" s="1031"/>
      <c r="BF61" s="1031"/>
      <c r="BG61" s="1032"/>
      <c r="BH61" s="1032"/>
      <c r="BI61" s="1064"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M10655::ТЭ.42.26322895.0003::Неопределено::110.0.36.::90.0.0.::33.0.2.::Неопределено::Неопределено::Неопределено</v>
      </c>
    </row>
    <row r="62" spans="1:61" s="1229" customFormat="1" ht="33.75" customHeight="1">
      <c r="A62" s="983"/>
      <c r="B62" s="783"/>
      <c r="C62" s="1094" t="s">
        <v>1753</v>
      </c>
      <c r="D62" s="1113" t="s">
        <v>1754</v>
      </c>
      <c r="E62" s="676">
        <v>35</v>
      </c>
      <c r="F62" s="620" t="str" cm="1">
        <f t="array" aca="1" ref="F62" ca="1">OFFSET(G62,-1,-1)</f>
        <v>1</v>
      </c>
      <c r="G62" s="180"/>
      <c r="H62" s="180"/>
      <c r="I62" s="180"/>
      <c r="J62" s="180"/>
      <c r="K62" s="180"/>
      <c r="L62" s="1080"/>
      <c r="M62" s="1080" t="str" cm="1">
        <f t="array" aca="1" ref="M62" ca="1">OFFSET(L62,-1,1)</f>
        <v>ТЭ.42.26322895.0003</v>
      </c>
      <c r="N62" s="1080" t="s">
        <v>2057</v>
      </c>
      <c r="O62" s="1080" t="s">
        <v>1828</v>
      </c>
      <c r="P62" s="1080" t="s">
        <v>2080</v>
      </c>
      <c r="Q62" s="1082"/>
      <c r="R62" s="1082"/>
      <c r="S62" s="1080"/>
      <c r="T62" s="687" t="b">
        <f t="shared" ca="1" si="16"/>
        <v>1</v>
      </c>
      <c r="U62" s="1153"/>
      <c r="V62" s="1153"/>
      <c r="W62" s="1153"/>
      <c r="X62" s="1726"/>
      <c r="Y62" s="1153"/>
      <c r="Z62" s="1726"/>
      <c r="AA62" s="180"/>
      <c r="AB62" s="487" t="s">
        <v>989</v>
      </c>
      <c r="AC62" s="115" t="s">
        <v>2081</v>
      </c>
      <c r="AD62" s="855" t="s">
        <v>1460</v>
      </c>
      <c r="AE62" s="257">
        <f t="shared" ref="AE62:AX62" si="17">AE63+AE66+AE69</f>
        <v>0</v>
      </c>
      <c r="AF62" s="257">
        <f t="shared" si="17"/>
        <v>0</v>
      </c>
      <c r="AG62" s="257">
        <f t="shared" si="17"/>
        <v>0</v>
      </c>
      <c r="AH62" s="257">
        <f t="shared" si="17"/>
        <v>0</v>
      </c>
      <c r="AI62" s="257">
        <f t="shared" si="17"/>
        <v>0</v>
      </c>
      <c r="AJ62" s="1314">
        <f t="shared" si="17"/>
        <v>0</v>
      </c>
      <c r="AK62" s="1314">
        <f t="shared" si="17"/>
        <v>0</v>
      </c>
      <c r="AL62" s="1314">
        <f t="shared" si="17"/>
        <v>0</v>
      </c>
      <c r="AM62" s="1314">
        <f t="shared" si="17"/>
        <v>0</v>
      </c>
      <c r="AN62" s="1314">
        <f t="shared" si="17"/>
        <v>0</v>
      </c>
      <c r="AO62" s="257">
        <f t="shared" si="17"/>
        <v>0</v>
      </c>
      <c r="AP62" s="257">
        <f t="shared" si="17"/>
        <v>0</v>
      </c>
      <c r="AQ62" s="257">
        <f t="shared" si="17"/>
        <v>0</v>
      </c>
      <c r="AR62" s="257">
        <f t="shared" si="17"/>
        <v>0</v>
      </c>
      <c r="AS62" s="257">
        <f t="shared" si="17"/>
        <v>0</v>
      </c>
      <c r="AT62" s="1314">
        <f t="shared" si="17"/>
        <v>0</v>
      </c>
      <c r="AU62" s="1314">
        <f t="shared" si="17"/>
        <v>0</v>
      </c>
      <c r="AV62" s="1314">
        <f t="shared" si="17"/>
        <v>0</v>
      </c>
      <c r="AW62" s="1314">
        <f t="shared" si="17"/>
        <v>0</v>
      </c>
      <c r="AX62" s="1314">
        <f t="shared" si="17"/>
        <v>0</v>
      </c>
      <c r="AY62" s="1290"/>
      <c r="AZ62" s="1290"/>
      <c r="BA62" s="1290"/>
      <c r="BB62" s="180"/>
      <c r="BC62" s="180"/>
      <c r="BD62" s="1031" t="s">
        <v>2082</v>
      </c>
      <c r="BE62" s="1031"/>
      <c r="BF62" s="1031"/>
      <c r="BG62" s="1032"/>
      <c r="BH62" s="1032"/>
      <c r="BI62" s="1064"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M10655::ТЭ.42.26322895.0003::Неопределено::110.0.36.::90.0.0.::33.0.4.::Неопределено::Неопределено::Неопределено</v>
      </c>
    </row>
    <row r="63" spans="1:61" s="1229" customFormat="1" ht="16.5" customHeight="1">
      <c r="A63" s="983"/>
      <c r="B63" s="783"/>
      <c r="C63" s="1094" t="s">
        <v>1753</v>
      </c>
      <c r="D63" s="1113" t="s">
        <v>1754</v>
      </c>
      <c r="E63" s="676">
        <v>17</v>
      </c>
      <c r="F63" s="620" t="str" cm="1">
        <f t="array" aca="1" ref="F63" ca="1">OFFSET(G63,-1,-1)</f>
        <v>1</v>
      </c>
      <c r="G63" s="180"/>
      <c r="H63" s="180"/>
      <c r="I63" s="180"/>
      <c r="J63" s="180"/>
      <c r="K63" s="180"/>
      <c r="L63" s="1133"/>
      <c r="M63" s="1080" t="str" cm="1">
        <f t="array" aca="1" ref="M63" ca="1">OFFSET(L63,-1,1)</f>
        <v>ТЭ.42.26322895.0003</v>
      </c>
      <c r="N63" s="1080" t="s">
        <v>2057</v>
      </c>
      <c r="O63" s="1133" t="s">
        <v>1828</v>
      </c>
      <c r="P63" s="1133"/>
      <c r="Q63" s="1135"/>
      <c r="R63" s="1135" t="s">
        <v>2065</v>
      </c>
      <c r="S63" s="1133"/>
      <c r="T63" s="687" t="b">
        <f t="shared" ca="1" si="16"/>
        <v>1</v>
      </c>
      <c r="U63" s="1153"/>
      <c r="V63" s="1153"/>
      <c r="W63" s="1153"/>
      <c r="X63" s="1726"/>
      <c r="Y63" s="1153"/>
      <c r="Z63" s="1726"/>
      <c r="AA63" s="180"/>
      <c r="AB63" s="487" t="s">
        <v>2083</v>
      </c>
      <c r="AC63" s="471" t="s">
        <v>2067</v>
      </c>
      <c r="AD63" s="855" t="s">
        <v>1460</v>
      </c>
      <c r="AE63" s="257">
        <f t="shared" ref="AE63:AX63" si="18">SUM(AE64:AE65)</f>
        <v>0</v>
      </c>
      <c r="AF63" s="257">
        <f t="shared" si="18"/>
        <v>0</v>
      </c>
      <c r="AG63" s="257">
        <f t="shared" si="18"/>
        <v>0</v>
      </c>
      <c r="AH63" s="257">
        <f t="shared" si="18"/>
        <v>0</v>
      </c>
      <c r="AI63" s="257">
        <f t="shared" si="18"/>
        <v>0</v>
      </c>
      <c r="AJ63" s="1314">
        <f t="shared" si="18"/>
        <v>0</v>
      </c>
      <c r="AK63" s="1314">
        <f t="shared" si="18"/>
        <v>0</v>
      </c>
      <c r="AL63" s="1314">
        <f t="shared" si="18"/>
        <v>0</v>
      </c>
      <c r="AM63" s="1314">
        <f t="shared" si="18"/>
        <v>0</v>
      </c>
      <c r="AN63" s="1314">
        <f t="shared" si="18"/>
        <v>0</v>
      </c>
      <c r="AO63" s="257">
        <f t="shared" si="18"/>
        <v>0</v>
      </c>
      <c r="AP63" s="257">
        <f t="shared" si="18"/>
        <v>0</v>
      </c>
      <c r="AQ63" s="257">
        <f t="shared" si="18"/>
        <v>0</v>
      </c>
      <c r="AR63" s="257">
        <f t="shared" si="18"/>
        <v>0</v>
      </c>
      <c r="AS63" s="257">
        <f t="shared" si="18"/>
        <v>0</v>
      </c>
      <c r="AT63" s="1314">
        <f t="shared" si="18"/>
        <v>0</v>
      </c>
      <c r="AU63" s="1314">
        <f t="shared" si="18"/>
        <v>0</v>
      </c>
      <c r="AV63" s="1314">
        <f t="shared" si="18"/>
        <v>0</v>
      </c>
      <c r="AW63" s="1314">
        <f t="shared" si="18"/>
        <v>0</v>
      </c>
      <c r="AX63" s="1314">
        <f t="shared" si="18"/>
        <v>0</v>
      </c>
      <c r="AY63" s="1290"/>
      <c r="AZ63" s="1290"/>
      <c r="BA63" s="1290"/>
      <c r="BB63" s="180"/>
      <c r="BC63" s="180"/>
      <c r="BD63" s="1031" t="s">
        <v>2084</v>
      </c>
      <c r="BE63" s="1031"/>
      <c r="BF63" s="1031"/>
      <c r="BG63" s="1032"/>
      <c r="BH63" s="1032"/>
      <c r="BI63" s="1064"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M10655::ТЭ.42.26322895.0003::Неопределено::110.0.36.::90.0.0.::Неопределено::Неопределено::22.0.10.::Неопределено</v>
      </c>
    </row>
    <row r="64" spans="1:61" s="1229" customFormat="1" ht="16.5" hidden="1" customHeight="1">
      <c r="A64" s="983"/>
      <c r="B64" s="783"/>
      <c r="C64" s="1094" t="s">
        <v>1753</v>
      </c>
      <c r="D64" s="1113" t="s">
        <v>1754</v>
      </c>
      <c r="E64" s="676">
        <v>17</v>
      </c>
      <c r="F64" s="620" t="str" cm="1">
        <f t="array" aca="1" ref="F64" ca="1">OFFSET(G64,-1,-1)</f>
        <v>1</v>
      </c>
      <c r="G64" s="180"/>
      <c r="H64" s="180"/>
      <c r="I64" s="180"/>
      <c r="J64" s="180"/>
      <c r="K64" s="180"/>
      <c r="L64" s="1080" cm="1">
        <f t="array" ref="L64">AC64</f>
        <v>0</v>
      </c>
      <c r="M64" s="1080" t="str" cm="1">
        <f t="array" aca="1" ref="M64" ca="1">OFFSET(L64,-1,1)</f>
        <v>ТЭ.42.26322895.0003</v>
      </c>
      <c r="N64" s="1080"/>
      <c r="O64" s="1080"/>
      <c r="P64" s="1080"/>
      <c r="Q64" s="1082"/>
      <c r="R64" s="1082" t="s">
        <v>2065</v>
      </c>
      <c r="S64" s="1080"/>
      <c r="T64" s="687" t="b">
        <f t="shared" ca="1" si="16"/>
        <v>0</v>
      </c>
      <c r="U64" s="1153"/>
      <c r="V64" s="1153"/>
      <c r="W64" s="126" t="s">
        <v>236</v>
      </c>
      <c r="X64" s="1726"/>
      <c r="Y64" s="126">
        <v>0</v>
      </c>
      <c r="Z64" s="1726"/>
      <c r="AA64" s="11" t="s">
        <v>218</v>
      </c>
      <c r="AB64" s="487" t="str">
        <f>"1.2.1."&amp;Y64</f>
        <v>1.2.1.0</v>
      </c>
      <c r="AC64" s="98"/>
      <c r="AD64" s="855" t="s">
        <v>1460</v>
      </c>
      <c r="AE64" s="257"/>
      <c r="AF64" s="257"/>
      <c r="AG64" s="257"/>
      <c r="AH64" s="257"/>
      <c r="AI64" s="257"/>
      <c r="AJ64" s="53"/>
      <c r="AK64" s="53"/>
      <c r="AL64" s="53"/>
      <c r="AM64" s="53"/>
      <c r="AN64" s="53"/>
      <c r="AO64" s="257"/>
      <c r="AP64" s="257"/>
      <c r="AQ64" s="257"/>
      <c r="AR64" s="257"/>
      <c r="AS64" s="257"/>
      <c r="AT64" s="53"/>
      <c r="AU64" s="53"/>
      <c r="AV64" s="53"/>
      <c r="AW64" s="53"/>
      <c r="AX64" s="53"/>
      <c r="AY64" s="28"/>
      <c r="AZ64" s="28"/>
      <c r="BA64" s="28"/>
      <c r="BB64" s="180"/>
      <c r="BC64" s="180"/>
      <c r="BD64" s="1031" t="s">
        <v>2084</v>
      </c>
      <c r="BE64" s="1031" t="s">
        <v>2085</v>
      </c>
      <c r="BF64" s="1031" cm="1">
        <f t="array" ref="BF64">AC64</f>
        <v>0</v>
      </c>
      <c r="BG64" s="1032"/>
      <c r="BH64" s="1032" t="b">
        <v>1</v>
      </c>
      <c r="BI64" s="1064"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M10655::ТЭ.42.26322895.0003::0::Неопределено::Неопределено::Неопределено::Неопределено::22.0.10.::Неопределено</v>
      </c>
    </row>
    <row r="65" spans="1:61" s="1229" customFormat="1" ht="16.5" customHeight="1">
      <c r="A65" s="983"/>
      <c r="B65" s="783"/>
      <c r="C65" s="1093"/>
      <c r="D65" s="1083"/>
      <c r="E65" s="676">
        <v>17</v>
      </c>
      <c r="F65" s="620" t="str" cm="1">
        <f t="array" aca="1" ref="F65" ca="1">OFFSET(G65,-1,-1)</f>
        <v>1</v>
      </c>
      <c r="G65" s="180"/>
      <c r="H65" s="180"/>
      <c r="I65" s="180"/>
      <c r="J65" s="180"/>
      <c r="K65" s="180"/>
      <c r="L65" s="1064"/>
      <c r="M65" s="1080" t="str" cm="1">
        <f t="array" aca="1" ref="M65" ca="1">OFFSET(L65,-1,1)</f>
        <v>ТЭ.42.26322895.0003</v>
      </c>
      <c r="N65" s="1064"/>
      <c r="O65" s="1064"/>
      <c r="P65" s="1064"/>
      <c r="Q65" s="1072"/>
      <c r="R65" s="1072"/>
      <c r="S65" s="1064"/>
      <c r="T65" s="687" t="b">
        <f t="shared" ca="1" si="16"/>
        <v>1</v>
      </c>
      <c r="U65" s="1153"/>
      <c r="V65" s="1153"/>
      <c r="W65" s="858" t="s">
        <v>1005</v>
      </c>
      <c r="X65" s="1726"/>
      <c r="Y65" s="1153"/>
      <c r="Z65" s="1726"/>
      <c r="AA65" s="180"/>
      <c r="AB65" s="249"/>
      <c r="AC65" s="616" t="s">
        <v>238</v>
      </c>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180"/>
      <c r="BC65" s="180"/>
      <c r="BD65" s="1031" t="str">
        <f>IF(AND(ISNUMBER(VALUE(TRIM(SUBSTITUTE(AB65,".","")))),TRIM(SUBSTITUTE(AB65,".",""))&lt;&gt;""),"P"&amp;SUBSTITUTE(AB65,".",""),"")</f>
        <v/>
      </c>
      <c r="BE65" s="1031"/>
      <c r="BF65" s="1031"/>
      <c r="BG65" s="1032" t="s">
        <v>2085</v>
      </c>
      <c r="BH65" s="1032"/>
      <c r="BI65" s="1126"/>
    </row>
    <row r="66" spans="1:61" s="1229" customFormat="1" ht="33.75" customHeight="1">
      <c r="A66" s="983"/>
      <c r="B66" s="783"/>
      <c r="C66" s="1094" t="s">
        <v>1753</v>
      </c>
      <c r="D66" s="1113" t="s">
        <v>1754</v>
      </c>
      <c r="E66" s="676">
        <v>35</v>
      </c>
      <c r="F66" s="620" t="str" cm="1">
        <f t="array" aca="1" ref="F66" ca="1">OFFSET(G66,-1,-1)</f>
        <v>1</v>
      </c>
      <c r="G66" s="180"/>
      <c r="H66" s="180"/>
      <c r="I66" s="180"/>
      <c r="J66" s="180"/>
      <c r="K66" s="180"/>
      <c r="L66" s="1080"/>
      <c r="M66" s="1080" t="str" cm="1">
        <f t="array" aca="1" ref="M66" ca="1">OFFSET(L66,-1,1)</f>
        <v>ТЭ.42.26322895.0003</v>
      </c>
      <c r="N66" s="1080"/>
      <c r="O66" s="1080"/>
      <c r="P66" s="1080"/>
      <c r="Q66" s="1082" t="s">
        <v>2069</v>
      </c>
      <c r="R66" s="1082"/>
      <c r="S66" s="1080"/>
      <c r="T66" s="687" t="b">
        <f t="shared" ca="1" si="16"/>
        <v>1</v>
      </c>
      <c r="U66" s="1153"/>
      <c r="V66" s="1153"/>
      <c r="W66" s="1153"/>
      <c r="X66" s="1726"/>
      <c r="Y66" s="1153"/>
      <c r="Z66" s="1726"/>
      <c r="AA66" s="180"/>
      <c r="AB66" s="487" t="s">
        <v>2086</v>
      </c>
      <c r="AC66" s="471" t="s">
        <v>2071</v>
      </c>
      <c r="AD66" s="855" t="s">
        <v>1460</v>
      </c>
      <c r="AE66" s="257">
        <f t="shared" ref="AE66:AX66" si="19">SUM(AE67:AE68)</f>
        <v>0</v>
      </c>
      <c r="AF66" s="257">
        <f t="shared" si="19"/>
        <v>0</v>
      </c>
      <c r="AG66" s="257">
        <f t="shared" si="19"/>
        <v>0</v>
      </c>
      <c r="AH66" s="257">
        <f t="shared" si="19"/>
        <v>0</v>
      </c>
      <c r="AI66" s="257">
        <f t="shared" si="19"/>
        <v>0</v>
      </c>
      <c r="AJ66" s="1314">
        <f t="shared" si="19"/>
        <v>0</v>
      </c>
      <c r="AK66" s="1314">
        <f t="shared" si="19"/>
        <v>0</v>
      </c>
      <c r="AL66" s="1314">
        <f t="shared" si="19"/>
        <v>0</v>
      </c>
      <c r="AM66" s="1314">
        <f t="shared" si="19"/>
        <v>0</v>
      </c>
      <c r="AN66" s="1314">
        <f t="shared" si="19"/>
        <v>0</v>
      </c>
      <c r="AO66" s="257">
        <f t="shared" si="19"/>
        <v>0</v>
      </c>
      <c r="AP66" s="257">
        <f t="shared" si="19"/>
        <v>0</v>
      </c>
      <c r="AQ66" s="257">
        <f t="shared" si="19"/>
        <v>0</v>
      </c>
      <c r="AR66" s="257">
        <f t="shared" si="19"/>
        <v>0</v>
      </c>
      <c r="AS66" s="257">
        <f t="shared" si="19"/>
        <v>0</v>
      </c>
      <c r="AT66" s="1314">
        <f t="shared" si="19"/>
        <v>0</v>
      </c>
      <c r="AU66" s="1314">
        <f t="shared" si="19"/>
        <v>0</v>
      </c>
      <c r="AV66" s="1314">
        <f t="shared" si="19"/>
        <v>0</v>
      </c>
      <c r="AW66" s="1314">
        <f t="shared" si="19"/>
        <v>0</v>
      </c>
      <c r="AX66" s="1314">
        <f t="shared" si="19"/>
        <v>0</v>
      </c>
      <c r="AY66" s="1290"/>
      <c r="AZ66" s="1290"/>
      <c r="BA66" s="1290"/>
      <c r="BB66" s="180"/>
      <c r="BC66" s="180"/>
      <c r="BD66" s="1031" t="s">
        <v>2087</v>
      </c>
      <c r="BE66" s="1031"/>
      <c r="BF66" s="1031"/>
      <c r="BG66" s="1032"/>
      <c r="BH66" s="1032"/>
      <c r="BI66" s="1064"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M10655::ТЭ.42.26322895.0003::Неопределено::Неопределено::Неопределено::Неопределено::147.0.5.::Неопределено::Неопределено</v>
      </c>
    </row>
    <row r="67" spans="1:61" s="1229" customFormat="1" ht="16.5" hidden="1" customHeight="1">
      <c r="A67" s="983"/>
      <c r="B67" s="783"/>
      <c r="C67" s="1094" t="s">
        <v>1753</v>
      </c>
      <c r="D67" s="1113" t="s">
        <v>1754</v>
      </c>
      <c r="E67" s="676">
        <v>17</v>
      </c>
      <c r="F67" s="620" t="str" cm="1">
        <f t="array" aca="1" ref="F67" ca="1">OFFSET(G67,-1,-1)</f>
        <v>1</v>
      </c>
      <c r="G67" s="180"/>
      <c r="H67" s="180"/>
      <c r="I67" s="180"/>
      <c r="J67" s="180"/>
      <c r="K67" s="180"/>
      <c r="L67" s="1080" cm="1">
        <f t="array" ref="L67">AC67</f>
        <v>0</v>
      </c>
      <c r="M67" s="1080" t="str" cm="1">
        <f t="array" aca="1" ref="M67" ca="1">OFFSET(L67,-1,1)</f>
        <v>ТЭ.42.26322895.0003</v>
      </c>
      <c r="N67" s="1080"/>
      <c r="O67" s="1080"/>
      <c r="P67" s="1080"/>
      <c r="Q67" s="1082" t="s">
        <v>2069</v>
      </c>
      <c r="R67" s="1082"/>
      <c r="S67" s="1080"/>
      <c r="T67" s="687" t="b">
        <f t="shared" ca="1" si="16"/>
        <v>0</v>
      </c>
      <c r="U67" s="1153"/>
      <c r="V67" s="1153"/>
      <c r="W67" s="126" t="s">
        <v>236</v>
      </c>
      <c r="X67" s="1726"/>
      <c r="Y67" s="126">
        <v>0</v>
      </c>
      <c r="Z67" s="1726"/>
      <c r="AA67" s="11" t="s">
        <v>218</v>
      </c>
      <c r="AB67" s="487" t="str">
        <f>"1.2.2."&amp;Y67</f>
        <v>1.2.2.0</v>
      </c>
      <c r="AC67" s="98"/>
      <c r="AD67" s="855" t="s">
        <v>1460</v>
      </c>
      <c r="AE67" s="257"/>
      <c r="AF67" s="257"/>
      <c r="AG67" s="257"/>
      <c r="AH67" s="257"/>
      <c r="AI67" s="257"/>
      <c r="AJ67" s="53"/>
      <c r="AK67" s="53"/>
      <c r="AL67" s="53"/>
      <c r="AM67" s="53"/>
      <c r="AN67" s="53"/>
      <c r="AO67" s="257"/>
      <c r="AP67" s="257"/>
      <c r="AQ67" s="257"/>
      <c r="AR67" s="257"/>
      <c r="AS67" s="257"/>
      <c r="AT67" s="53"/>
      <c r="AU67" s="53"/>
      <c r="AV67" s="53"/>
      <c r="AW67" s="53"/>
      <c r="AX67" s="53"/>
      <c r="AY67" s="28"/>
      <c r="AZ67" s="28"/>
      <c r="BA67" s="28"/>
      <c r="BB67" s="180"/>
      <c r="BC67" s="180"/>
      <c r="BD67" s="1031" t="s">
        <v>2087</v>
      </c>
      <c r="BE67" s="1031" t="s">
        <v>2088</v>
      </c>
      <c r="BF67" s="1031" cm="1">
        <f t="array" ref="BF67">AC67</f>
        <v>0</v>
      </c>
      <c r="BG67" s="1032"/>
      <c r="BH67" s="1032" t="b">
        <v>1</v>
      </c>
      <c r="BI67" s="1064"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M10655::ТЭ.42.26322895.0003::0::Неопределено::Неопределено::Неопределено::147.0.5.::Неопределено::Неопределено</v>
      </c>
    </row>
    <row r="68" spans="1:61" s="1229" customFormat="1" ht="16.5" customHeight="1">
      <c r="A68" s="983"/>
      <c r="B68" s="783"/>
      <c r="C68" s="1093"/>
      <c r="D68" s="1083"/>
      <c r="E68" s="676">
        <v>17</v>
      </c>
      <c r="F68" s="620" t="str" cm="1">
        <f t="array" aca="1" ref="F68" ca="1">OFFSET(G68,-1,-1)</f>
        <v>1</v>
      </c>
      <c r="G68" s="180"/>
      <c r="H68" s="180"/>
      <c r="I68" s="180"/>
      <c r="J68" s="180"/>
      <c r="K68" s="180"/>
      <c r="L68" s="1064"/>
      <c r="M68" s="1080" t="str" cm="1">
        <f t="array" aca="1" ref="M68" ca="1">OFFSET(L68,-1,1)</f>
        <v>ТЭ.42.26322895.0003</v>
      </c>
      <c r="N68" s="1064"/>
      <c r="O68" s="1064"/>
      <c r="P68" s="1064"/>
      <c r="Q68" s="1072"/>
      <c r="R68" s="1072"/>
      <c r="S68" s="1064"/>
      <c r="T68" s="687" t="b">
        <f t="shared" ca="1" si="16"/>
        <v>1</v>
      </c>
      <c r="U68" s="1153"/>
      <c r="V68" s="1153"/>
      <c r="W68" s="858" t="s">
        <v>1016</v>
      </c>
      <c r="X68" s="1726"/>
      <c r="Y68" s="1153"/>
      <c r="Z68" s="1726"/>
      <c r="AA68" s="180"/>
      <c r="AB68" s="249"/>
      <c r="AC68" s="616" t="s">
        <v>238</v>
      </c>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180"/>
      <c r="BC68" s="180"/>
      <c r="BD68" s="1031" t="str">
        <f>IF(AND(ISNUMBER(VALUE(TRIM(SUBSTITUTE(AB68,".","")))),TRIM(SUBSTITUTE(AB68,".",""))&lt;&gt;""),"P"&amp;SUBSTITUTE(AB68,".",""),"")</f>
        <v/>
      </c>
      <c r="BE68" s="1031"/>
      <c r="BF68" s="1031"/>
      <c r="BG68" s="1032" t="s">
        <v>2088</v>
      </c>
      <c r="BH68" s="1032"/>
      <c r="BI68" s="1126"/>
    </row>
    <row r="69" spans="1:61" s="1229" customFormat="1" ht="16.5" customHeight="1">
      <c r="A69" s="983"/>
      <c r="B69" s="783"/>
      <c r="C69" s="1094" t="s">
        <v>1753</v>
      </c>
      <c r="D69" s="1113" t="s">
        <v>1754</v>
      </c>
      <c r="E69" s="676">
        <v>17</v>
      </c>
      <c r="F69" s="620" t="str" cm="1">
        <f t="array" aca="1" ref="F69" ca="1">OFFSET(G69,-1,-1)</f>
        <v>1</v>
      </c>
      <c r="G69" s="180"/>
      <c r="H69" s="180"/>
      <c r="I69" s="180"/>
      <c r="J69" s="180"/>
      <c r="K69" s="180"/>
      <c r="L69" s="1080"/>
      <c r="M69" s="1080" t="str" cm="1">
        <f t="array" aca="1" ref="M69" ca="1">OFFSET(L69,-1,1)</f>
        <v>ТЭ.42.26322895.0003</v>
      </c>
      <c r="N69" s="1080"/>
      <c r="O69" s="1080"/>
      <c r="P69" s="1080"/>
      <c r="Q69" s="1082" t="s">
        <v>2073</v>
      </c>
      <c r="R69" s="1082"/>
      <c r="S69" s="1080"/>
      <c r="T69" s="687" t="b">
        <f t="shared" ca="1" si="16"/>
        <v>1</v>
      </c>
      <c r="U69" s="1153"/>
      <c r="V69" s="1153"/>
      <c r="W69" s="1153"/>
      <c r="X69" s="1726"/>
      <c r="Y69" s="1153"/>
      <c r="Z69" s="1726"/>
      <c r="AA69" s="180"/>
      <c r="AB69" s="924" t="s">
        <v>2089</v>
      </c>
      <c r="AC69" s="471" t="s">
        <v>2075</v>
      </c>
      <c r="AD69" s="855" t="s">
        <v>1460</v>
      </c>
      <c r="AE69" s="257">
        <f t="shared" ref="AE69:AX69" si="20">SUM(AE70:AE71)</f>
        <v>0</v>
      </c>
      <c r="AF69" s="257">
        <f t="shared" si="20"/>
        <v>0</v>
      </c>
      <c r="AG69" s="257">
        <f t="shared" si="20"/>
        <v>0</v>
      </c>
      <c r="AH69" s="257">
        <f t="shared" si="20"/>
        <v>0</v>
      </c>
      <c r="AI69" s="257">
        <f t="shared" si="20"/>
        <v>0</v>
      </c>
      <c r="AJ69" s="1314">
        <f t="shared" si="20"/>
        <v>0</v>
      </c>
      <c r="AK69" s="1314">
        <f t="shared" si="20"/>
        <v>0</v>
      </c>
      <c r="AL69" s="1314">
        <f t="shared" si="20"/>
        <v>0</v>
      </c>
      <c r="AM69" s="1314">
        <f t="shared" si="20"/>
        <v>0</v>
      </c>
      <c r="AN69" s="1314">
        <f t="shared" si="20"/>
        <v>0</v>
      </c>
      <c r="AO69" s="257">
        <f t="shared" si="20"/>
        <v>0</v>
      </c>
      <c r="AP69" s="257">
        <f t="shared" si="20"/>
        <v>0</v>
      </c>
      <c r="AQ69" s="257">
        <f t="shared" si="20"/>
        <v>0</v>
      </c>
      <c r="AR69" s="257">
        <f t="shared" si="20"/>
        <v>0</v>
      </c>
      <c r="AS69" s="257">
        <f t="shared" si="20"/>
        <v>0</v>
      </c>
      <c r="AT69" s="1314">
        <f t="shared" si="20"/>
        <v>0</v>
      </c>
      <c r="AU69" s="1314">
        <f t="shared" si="20"/>
        <v>0</v>
      </c>
      <c r="AV69" s="1314">
        <f t="shared" si="20"/>
        <v>0</v>
      </c>
      <c r="AW69" s="1314">
        <f t="shared" si="20"/>
        <v>0</v>
      </c>
      <c r="AX69" s="1314">
        <f t="shared" si="20"/>
        <v>0</v>
      </c>
      <c r="AY69" s="1290"/>
      <c r="AZ69" s="1290"/>
      <c r="BA69" s="1290"/>
      <c r="BB69" s="180"/>
      <c r="BC69" s="180"/>
      <c r="BD69" s="1031" t="s">
        <v>2090</v>
      </c>
      <c r="BE69" s="1031"/>
      <c r="BF69" s="1031"/>
      <c r="BG69" s="1032"/>
      <c r="BH69" s="1032"/>
      <c r="BI69" s="1064"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M10655::ТЭ.42.26322895.0003::Неопределено::Неопределено::Неопределено::Неопределено::147.0.1.::Неопределено::Неопределено</v>
      </c>
    </row>
    <row r="70" spans="1:61" s="1229" customFormat="1" ht="16.5" hidden="1" customHeight="1">
      <c r="A70" s="983"/>
      <c r="B70" s="783"/>
      <c r="C70" s="1094" t="s">
        <v>1753</v>
      </c>
      <c r="D70" s="1113" t="s">
        <v>1754</v>
      </c>
      <c r="E70" s="676">
        <v>17</v>
      </c>
      <c r="F70" s="620" t="str" cm="1">
        <f t="array" aca="1" ref="F70" ca="1">OFFSET(G70,-1,-1)</f>
        <v>1</v>
      </c>
      <c r="G70" s="180"/>
      <c r="H70" s="180"/>
      <c r="I70" s="180"/>
      <c r="J70" s="180"/>
      <c r="K70" s="180"/>
      <c r="L70" s="1080" cm="1">
        <f t="array" ref="L70">AC70</f>
        <v>0</v>
      </c>
      <c r="M70" s="1080" t="str" cm="1">
        <f t="array" aca="1" ref="M70" ca="1">OFFSET(L70,-1,1)</f>
        <v>ТЭ.42.26322895.0003</v>
      </c>
      <c r="N70" s="1080"/>
      <c r="O70" s="1080"/>
      <c r="P70" s="1080"/>
      <c r="Q70" s="1082" t="s">
        <v>2073</v>
      </c>
      <c r="R70" s="1082"/>
      <c r="S70" s="1080"/>
      <c r="T70" s="687" t="b">
        <f t="shared" ca="1" si="16"/>
        <v>0</v>
      </c>
      <c r="U70" s="1153"/>
      <c r="V70" s="1153"/>
      <c r="W70" s="126" t="s">
        <v>236</v>
      </c>
      <c r="X70" s="1726"/>
      <c r="Y70" s="126">
        <v>0</v>
      </c>
      <c r="Z70" s="1726"/>
      <c r="AA70" s="11" t="s">
        <v>218</v>
      </c>
      <c r="AB70" s="487" t="str">
        <f>"1.2.3."&amp;Y70</f>
        <v>1.2.3.0</v>
      </c>
      <c r="AC70" s="98"/>
      <c r="AD70" s="855" t="s">
        <v>1460</v>
      </c>
      <c r="AE70" s="257"/>
      <c r="AF70" s="257"/>
      <c r="AG70" s="257"/>
      <c r="AH70" s="257"/>
      <c r="AI70" s="257"/>
      <c r="AJ70" s="53"/>
      <c r="AK70" s="53"/>
      <c r="AL70" s="53"/>
      <c r="AM70" s="53"/>
      <c r="AN70" s="53"/>
      <c r="AO70" s="257"/>
      <c r="AP70" s="257"/>
      <c r="AQ70" s="257"/>
      <c r="AR70" s="257"/>
      <c r="AS70" s="257"/>
      <c r="AT70" s="53"/>
      <c r="AU70" s="53"/>
      <c r="AV70" s="53"/>
      <c r="AW70" s="53"/>
      <c r="AX70" s="53"/>
      <c r="AY70" s="28"/>
      <c r="AZ70" s="28"/>
      <c r="BA70" s="28"/>
      <c r="BB70" s="180"/>
      <c r="BC70" s="180"/>
      <c r="BD70" s="1031" t="s">
        <v>2090</v>
      </c>
      <c r="BE70" s="1031" t="s">
        <v>2091</v>
      </c>
      <c r="BF70" s="1031" cm="1">
        <f t="array" ref="BF70">AC70</f>
        <v>0</v>
      </c>
      <c r="BG70" s="1032"/>
      <c r="BH70" s="1032" t="b">
        <v>1</v>
      </c>
      <c r="BI70" s="1064"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M10655::ТЭ.42.26322895.0003::0::Неопределено::Неопределено::Неопределено::147.0.1.::Неопределено::Неопределено</v>
      </c>
    </row>
    <row r="71" spans="1:61" s="1229" customFormat="1" ht="16.5" customHeight="1">
      <c r="A71" s="983"/>
      <c r="B71" s="783"/>
      <c r="C71" s="1093"/>
      <c r="D71" s="1083"/>
      <c r="E71" s="676">
        <v>17</v>
      </c>
      <c r="F71" s="620" t="str" cm="1">
        <f t="array" aca="1" ref="F71" ca="1">OFFSET(G71,-1,-1)</f>
        <v>1</v>
      </c>
      <c r="G71" s="180"/>
      <c r="H71" s="180"/>
      <c r="I71" s="180"/>
      <c r="J71" s="180"/>
      <c r="K71" s="180"/>
      <c r="L71" s="1064"/>
      <c r="M71" s="1080" t="str" cm="1">
        <f t="array" aca="1" ref="M71" ca="1">OFFSET(L71,-1,1)</f>
        <v>ТЭ.42.26322895.0003</v>
      </c>
      <c r="N71" s="1064"/>
      <c r="O71" s="1064"/>
      <c r="P71" s="1064"/>
      <c r="Q71" s="1072"/>
      <c r="R71" s="1072"/>
      <c r="S71" s="1064"/>
      <c r="T71" s="687" t="b">
        <f t="shared" ca="1" si="16"/>
        <v>1</v>
      </c>
      <c r="U71" s="1153"/>
      <c r="V71" s="1153"/>
      <c r="W71" s="858" t="s">
        <v>1257</v>
      </c>
      <c r="X71" s="1726"/>
      <c r="Y71" s="1153"/>
      <c r="Z71" s="1726"/>
      <c r="AA71" s="180"/>
      <c r="AB71" s="249"/>
      <c r="AC71" s="616" t="s">
        <v>238</v>
      </c>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180"/>
      <c r="BC71" s="180"/>
      <c r="BD71" s="1031" t="str">
        <f>IF(AND(ISNUMBER(VALUE(TRIM(SUBSTITUTE(AB71,".","")))),TRIM(SUBSTITUTE(AB71,".",""))&lt;&gt;""),"P"&amp;SUBSTITUTE(AB71,".",""),"")</f>
        <v/>
      </c>
      <c r="BE71" s="1031"/>
      <c r="BF71" s="1031"/>
      <c r="BG71" s="1032" t="s">
        <v>2091</v>
      </c>
      <c r="BH71" s="1032"/>
      <c r="BI71" s="1126"/>
    </row>
    <row r="72" spans="1:61" s="1229" customFormat="1" ht="16.5" customHeight="1">
      <c r="A72" s="983"/>
      <c r="B72" s="783"/>
      <c r="C72" s="1094" t="s">
        <v>1753</v>
      </c>
      <c r="D72" s="1113" t="s">
        <v>1754</v>
      </c>
      <c r="E72" s="676">
        <v>17</v>
      </c>
      <c r="F72" s="620" t="str" cm="1">
        <f t="array" aca="1" ref="F72" ca="1">OFFSET(G72,-1,-1)</f>
        <v>1</v>
      </c>
      <c r="G72" s="180"/>
      <c r="H72" s="180"/>
      <c r="I72" s="180"/>
      <c r="J72" s="180"/>
      <c r="K72" s="180"/>
      <c r="L72" s="1080"/>
      <c r="M72" s="1080" t="str" cm="1">
        <f t="array" aca="1" ref="M72" ca="1">OFFSET(L72,-1,1)</f>
        <v>ТЭ.42.26322895.0003</v>
      </c>
      <c r="N72" s="1080" t="s">
        <v>2092</v>
      </c>
      <c r="O72" s="1080"/>
      <c r="P72" s="1080"/>
      <c r="Q72" s="1082"/>
      <c r="R72" s="1082"/>
      <c r="S72" s="1080"/>
      <c r="T72" s="687" t="b">
        <f t="shared" ca="1" si="16"/>
        <v>1</v>
      </c>
      <c r="U72" s="1153"/>
      <c r="V72" s="1153"/>
      <c r="W72" s="1153"/>
      <c r="X72" s="1726"/>
      <c r="Y72" s="1153"/>
      <c r="Z72" s="1726"/>
      <c r="AA72" s="180"/>
      <c r="AB72" s="924" t="s">
        <v>991</v>
      </c>
      <c r="AC72" s="115" t="s">
        <v>2093</v>
      </c>
      <c r="AD72" s="855" t="s">
        <v>1460</v>
      </c>
      <c r="AE72" s="257"/>
      <c r="AF72" s="257"/>
      <c r="AG72" s="257"/>
      <c r="AH72" s="257"/>
      <c r="AI72" s="257"/>
      <c r="AJ72" s="1314"/>
      <c r="AK72" s="1314"/>
      <c r="AL72" s="1314"/>
      <c r="AM72" s="1314"/>
      <c r="AN72" s="1314"/>
      <c r="AO72" s="257"/>
      <c r="AP72" s="257"/>
      <c r="AQ72" s="257"/>
      <c r="AR72" s="257"/>
      <c r="AS72" s="257"/>
      <c r="AT72" s="1314"/>
      <c r="AU72" s="1314"/>
      <c r="AV72" s="1314"/>
      <c r="AW72" s="1314"/>
      <c r="AX72" s="1314"/>
      <c r="AY72" s="1290"/>
      <c r="AZ72" s="1290"/>
      <c r="BA72" s="1290"/>
      <c r="BB72" s="180"/>
      <c r="BC72" s="180"/>
      <c r="BD72" s="1031" t="s">
        <v>1448</v>
      </c>
      <c r="BE72" s="1031"/>
      <c r="BF72" s="1031"/>
      <c r="BG72" s="1032"/>
      <c r="BH72" s="1032"/>
      <c r="BI72" s="1064"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M10655::ТЭ.42.26322895.0003::Неопределено::110.0.3.::Неопределено::Неопределено::Неопределено::Неопределено::Неопределено</v>
      </c>
    </row>
    <row r="73" spans="1:61" s="1229" customFormat="1" ht="16.5" customHeight="1">
      <c r="A73" s="983"/>
      <c r="B73" s="783"/>
      <c r="C73" s="1100"/>
      <c r="D73" s="1114"/>
      <c r="E73" s="676">
        <v>17</v>
      </c>
      <c r="F73" s="620" t="str" cm="1">
        <f t="array" aca="1" ref="F73" ca="1">OFFSET(G73,-1,-1)</f>
        <v>1</v>
      </c>
      <c r="G73" s="180"/>
      <c r="H73" s="180"/>
      <c r="I73" s="180"/>
      <c r="J73" s="180"/>
      <c r="K73" s="180"/>
      <c r="L73" s="1134"/>
      <c r="M73" s="1080" t="str" cm="1">
        <f t="array" aca="1" ref="M73" ca="1">OFFSET(L73,-1,1)</f>
        <v>ТЭ.42.26322895.0003</v>
      </c>
      <c r="N73" s="1134"/>
      <c r="O73" s="1134"/>
      <c r="P73" s="1134"/>
      <c r="Q73" s="1136"/>
      <c r="R73" s="1136"/>
      <c r="S73" s="1134"/>
      <c r="T73" s="687" t="b">
        <f t="shared" ca="1" si="16"/>
        <v>1</v>
      </c>
      <c r="U73" s="1153"/>
      <c r="V73" s="1153"/>
      <c r="W73" s="1153"/>
      <c r="X73" s="1726"/>
      <c r="Y73" s="1153"/>
      <c r="Z73" s="1726"/>
      <c r="AA73" s="180"/>
      <c r="AB73" s="487" t="s">
        <v>348</v>
      </c>
      <c r="AC73" s="269" t="s">
        <v>2094</v>
      </c>
      <c r="AD73" s="855"/>
      <c r="AE73" s="855"/>
      <c r="AF73" s="855"/>
      <c r="AG73" s="855"/>
      <c r="AH73" s="855"/>
      <c r="AI73" s="855"/>
      <c r="AJ73" s="855"/>
      <c r="AK73" s="855"/>
      <c r="AL73" s="855"/>
      <c r="AM73" s="855"/>
      <c r="AN73" s="855"/>
      <c r="AO73" s="855"/>
      <c r="AP73" s="855"/>
      <c r="AQ73" s="855"/>
      <c r="AR73" s="855"/>
      <c r="AS73" s="855"/>
      <c r="AT73" s="855"/>
      <c r="AU73" s="855"/>
      <c r="AV73" s="855"/>
      <c r="AW73" s="855"/>
      <c r="AX73" s="855"/>
      <c r="AY73" s="855"/>
      <c r="AZ73" s="855"/>
      <c r="BA73" s="855"/>
      <c r="BB73" s="180"/>
      <c r="BC73" s="180"/>
      <c r="BD73" s="1031"/>
      <c r="BE73" s="1031"/>
      <c r="BF73" s="1031"/>
      <c r="BG73" s="1032"/>
      <c r="BH73" s="1032"/>
      <c r="BI73" s="1126"/>
    </row>
    <row r="74" spans="1:61" s="1229" customFormat="1" ht="16.5" customHeight="1">
      <c r="A74" s="983"/>
      <c r="B74" s="783"/>
      <c r="C74" s="1094" t="s">
        <v>1779</v>
      </c>
      <c r="D74" s="1113" t="s">
        <v>1780</v>
      </c>
      <c r="E74" s="676">
        <v>17</v>
      </c>
      <c r="F74" s="620" t="str" cm="1">
        <f t="array" aca="1" ref="F74" ca="1">OFFSET(G74,-1,-1)</f>
        <v>1</v>
      </c>
      <c r="G74" s="143" t="s">
        <v>1781</v>
      </c>
      <c r="H74" s="180"/>
      <c r="I74" s="180"/>
      <c r="J74" s="180"/>
      <c r="K74" s="180"/>
      <c r="L74" s="1080"/>
      <c r="M74" s="1080" t="str" cm="1">
        <f t="array" aca="1" ref="M74" ca="1">OFFSET(L74,-1,1)</f>
        <v>ТЭ.42.26322895.0003</v>
      </c>
      <c r="N74" s="1080"/>
      <c r="O74" s="1080"/>
      <c r="P74" s="1080"/>
      <c r="Q74" s="1082"/>
      <c r="R74" s="1082"/>
      <c r="S74" s="1082" t="s">
        <v>1782</v>
      </c>
      <c r="T74" s="687" t="b">
        <f t="shared" ca="1" si="16"/>
        <v>1</v>
      </c>
      <c r="U74" s="1153"/>
      <c r="V74" s="1153"/>
      <c r="W74" s="1153"/>
      <c r="X74" s="1726"/>
      <c r="Y74" s="1153"/>
      <c r="Z74" s="1726"/>
      <c r="AA74" s="180"/>
      <c r="AB74" s="124" t="s">
        <v>491</v>
      </c>
      <c r="AC74" s="236" t="s">
        <v>1783</v>
      </c>
      <c r="AD74" s="468" t="s">
        <v>634</v>
      </c>
      <c r="AE74" s="257"/>
      <c r="AF74" s="257"/>
      <c r="AG74" s="257"/>
      <c r="AH74" s="257"/>
      <c r="AI74" s="257"/>
      <c r="AJ74" s="1314"/>
      <c r="AK74" s="1314"/>
      <c r="AL74" s="1314"/>
      <c r="AM74" s="1314"/>
      <c r="AN74" s="1314"/>
      <c r="AO74" s="257"/>
      <c r="AP74" s="257"/>
      <c r="AQ74" s="257"/>
      <c r="AR74" s="257"/>
      <c r="AS74" s="257"/>
      <c r="AT74" s="1314"/>
      <c r="AU74" s="1314"/>
      <c r="AV74" s="1314"/>
      <c r="AW74" s="1314"/>
      <c r="AX74" s="1314"/>
      <c r="AY74" s="1290"/>
      <c r="AZ74" s="1290"/>
      <c r="BA74" s="1290"/>
      <c r="BB74" s="180"/>
      <c r="BC74" s="180"/>
      <c r="BD74" s="1031" t="s">
        <v>2095</v>
      </c>
      <c r="BE74" s="1031"/>
      <c r="BF74" s="1031"/>
      <c r="BG74" s="1032"/>
      <c r="BH74" s="1032"/>
      <c r="BI74" s="1064"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M10670::ТЭ.42.26322895.0003::Неопределено::Неопределено::Неопределено::Неопределено::Неопределено::Неопределено::8.0.3.</v>
      </c>
    </row>
    <row r="75" spans="1:61" s="1229" customFormat="1" ht="16.5" customHeight="1">
      <c r="A75" s="983"/>
      <c r="B75" s="783"/>
      <c r="C75" s="1094" t="s">
        <v>1785</v>
      </c>
      <c r="D75" s="1113" t="s">
        <v>1786</v>
      </c>
      <c r="E75" s="676">
        <v>17</v>
      </c>
      <c r="F75" s="620" t="str" cm="1">
        <f t="array" aca="1" ref="F75" ca="1">OFFSET(G75,-1,-1)</f>
        <v>1</v>
      </c>
      <c r="G75" s="620" t="s">
        <v>1787</v>
      </c>
      <c r="H75" s="180"/>
      <c r="I75" s="180"/>
      <c r="J75" s="180"/>
      <c r="K75" s="180"/>
      <c r="L75" s="1080"/>
      <c r="M75" s="1080" t="str" cm="1">
        <f t="array" aca="1" ref="M75" ca="1">OFFSET(L75,-1,1)</f>
        <v>ТЭ.42.26322895.0003</v>
      </c>
      <c r="N75" s="1080"/>
      <c r="O75" s="1080"/>
      <c r="P75" s="1080"/>
      <c r="Q75" s="1082"/>
      <c r="R75" s="1082"/>
      <c r="S75" s="1082" t="s">
        <v>1782</v>
      </c>
      <c r="T75" s="687" t="b">
        <f t="shared" ca="1" si="16"/>
        <v>1</v>
      </c>
      <c r="U75" s="1153"/>
      <c r="V75" s="1153"/>
      <c r="W75" s="1153"/>
      <c r="X75" s="1726"/>
      <c r="Y75" s="1153"/>
      <c r="Z75" s="1726"/>
      <c r="AA75" s="180"/>
      <c r="AB75" s="124" t="s">
        <v>518</v>
      </c>
      <c r="AC75" s="236" t="s">
        <v>1788</v>
      </c>
      <c r="AD75" s="468" t="s">
        <v>929</v>
      </c>
      <c r="AE75" s="257"/>
      <c r="AF75" s="257"/>
      <c r="AG75" s="257"/>
      <c r="AH75" s="257"/>
      <c r="AI75" s="257"/>
      <c r="AJ75" s="1314"/>
      <c r="AK75" s="1314"/>
      <c r="AL75" s="1314"/>
      <c r="AM75" s="1314"/>
      <c r="AN75" s="1314"/>
      <c r="AO75" s="257"/>
      <c r="AP75" s="257"/>
      <c r="AQ75" s="257"/>
      <c r="AR75" s="257"/>
      <c r="AS75" s="257"/>
      <c r="AT75" s="1314"/>
      <c r="AU75" s="1314"/>
      <c r="AV75" s="1314"/>
      <c r="AW75" s="1314"/>
      <c r="AX75" s="1314"/>
      <c r="AY75" s="1290"/>
      <c r="AZ75" s="1290"/>
      <c r="BA75" s="1290"/>
      <c r="BB75" s="180"/>
      <c r="BC75" s="180"/>
      <c r="BD75" s="1031" t="s">
        <v>2096</v>
      </c>
      <c r="BE75" s="1031"/>
      <c r="BF75" s="1031"/>
      <c r="BG75" s="1032"/>
      <c r="BH75" s="1032"/>
      <c r="BI75" s="1064"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M10546::ТЭ.42.26322895.0003::Неопределено::Неопределено::Неопределено::Неопределено::Неопределено::Неопределено::8.0.3.</v>
      </c>
    </row>
    <row r="76" spans="1:61" s="1229" customFormat="1" ht="16.5" customHeight="1">
      <c r="A76" s="983"/>
      <c r="B76" s="783"/>
      <c r="C76" s="1094" t="s">
        <v>1779</v>
      </c>
      <c r="D76" s="1113" t="s">
        <v>1780</v>
      </c>
      <c r="E76" s="676">
        <v>17</v>
      </c>
      <c r="F76" s="620" t="str" cm="1">
        <f t="array" aca="1" ref="F76" ca="1">OFFSET(G76,-1,-1)</f>
        <v>1</v>
      </c>
      <c r="G76" s="143" t="s">
        <v>1790</v>
      </c>
      <c r="H76" s="180"/>
      <c r="I76" s="180"/>
      <c r="J76" s="180"/>
      <c r="K76" s="180"/>
      <c r="L76" s="1080"/>
      <c r="M76" s="1080" t="str" cm="1">
        <f t="array" aca="1" ref="M76" ca="1">OFFSET(L76,-1,1)</f>
        <v>ТЭ.42.26322895.0003</v>
      </c>
      <c r="N76" s="1080"/>
      <c r="O76" s="1080"/>
      <c r="P76" s="1080"/>
      <c r="Q76" s="1082"/>
      <c r="R76" s="1082"/>
      <c r="S76" s="1082" t="s">
        <v>1791</v>
      </c>
      <c r="T76" s="687" t="b">
        <f t="shared" ca="1" si="16"/>
        <v>1</v>
      </c>
      <c r="U76" s="1153"/>
      <c r="V76" s="1153"/>
      <c r="W76" s="1153"/>
      <c r="X76" s="1726"/>
      <c r="Y76" s="1153"/>
      <c r="Z76" s="1726"/>
      <c r="AA76" s="180"/>
      <c r="AB76" s="124" t="s">
        <v>522</v>
      </c>
      <c r="AC76" s="236" t="s">
        <v>1792</v>
      </c>
      <c r="AD76" s="258" t="s">
        <v>634</v>
      </c>
      <c r="AE76" s="257"/>
      <c r="AF76" s="257"/>
      <c r="AG76" s="257"/>
      <c r="AH76" s="257"/>
      <c r="AI76" s="257"/>
      <c r="AJ76" s="1314"/>
      <c r="AK76" s="1314"/>
      <c r="AL76" s="1314"/>
      <c r="AM76" s="1314"/>
      <c r="AN76" s="1314"/>
      <c r="AO76" s="257"/>
      <c r="AP76" s="257"/>
      <c r="AQ76" s="257"/>
      <c r="AR76" s="257"/>
      <c r="AS76" s="257"/>
      <c r="AT76" s="1314"/>
      <c r="AU76" s="1314"/>
      <c r="AV76" s="1314"/>
      <c r="AW76" s="1314"/>
      <c r="AX76" s="1314"/>
      <c r="AY76" s="1290"/>
      <c r="AZ76" s="1290"/>
      <c r="BA76" s="1290"/>
      <c r="BB76" s="180"/>
      <c r="BC76" s="180"/>
      <c r="BD76" s="1031" t="s">
        <v>2097</v>
      </c>
      <c r="BE76" s="1031"/>
      <c r="BF76" s="1031"/>
      <c r="BG76" s="1032"/>
      <c r="BH76" s="1032"/>
      <c r="BI76" s="1064"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M10670::ТЭ.42.26322895.0003::Неопределено::Неопределено::Неопределено::Неопределено::Неопределено::Неопределено::8.0.5.</v>
      </c>
    </row>
    <row r="77" spans="1:61" s="1521" customFormat="1" ht="16.5" customHeight="1">
      <c r="A77" s="185"/>
      <c r="B77" s="185"/>
      <c r="C77" s="1094" t="s">
        <v>1785</v>
      </c>
      <c r="D77" s="1113" t="s">
        <v>1786</v>
      </c>
      <c r="E77" s="676">
        <v>17</v>
      </c>
      <c r="F77" s="620" t="str" cm="1">
        <f t="array" aca="1" ref="F77" ca="1">OFFSET(G77,-1,-1)</f>
        <v>1</v>
      </c>
      <c r="G77" s="620" t="s">
        <v>1794</v>
      </c>
      <c r="H77" s="185"/>
      <c r="I77" s="185"/>
      <c r="J77" s="185"/>
      <c r="K77" s="185"/>
      <c r="L77" s="1079"/>
      <c r="M77" s="1080" t="str" cm="1">
        <f t="array" aca="1" ref="M77" ca="1">OFFSET(L77,-1,1)</f>
        <v>ТЭ.42.26322895.0003</v>
      </c>
      <c r="N77" s="1079"/>
      <c r="O77" s="1079"/>
      <c r="P77" s="1079"/>
      <c r="Q77" s="1090"/>
      <c r="R77" s="1090"/>
      <c r="S77" s="1082" t="s">
        <v>1791</v>
      </c>
      <c r="T77" s="687" t="b">
        <f t="shared" ca="1" si="16"/>
        <v>1</v>
      </c>
      <c r="U77" s="185"/>
      <c r="V77" s="185"/>
      <c r="W77" s="185"/>
      <c r="X77" s="1823"/>
      <c r="Y77" s="185"/>
      <c r="Z77" s="1823"/>
      <c r="AA77" s="185"/>
      <c r="AB77" s="124" t="s">
        <v>526</v>
      </c>
      <c r="AC77" s="236" t="s">
        <v>1795</v>
      </c>
      <c r="AD77" s="120" t="s">
        <v>929</v>
      </c>
      <c r="AE77" s="257">
        <f t="shared" ref="AE77:AX77" si="21">IFERROR((AE55*1000-AE74*AE75)/AE76,0)</f>
        <v>0</v>
      </c>
      <c r="AF77" s="257">
        <f t="shared" si="21"/>
        <v>0</v>
      </c>
      <c r="AG77" s="257">
        <f t="shared" si="21"/>
        <v>0</v>
      </c>
      <c r="AH77" s="257">
        <f t="shared" si="21"/>
        <v>0</v>
      </c>
      <c r="AI77" s="257">
        <f t="shared" si="21"/>
        <v>0</v>
      </c>
      <c r="AJ77" s="1314">
        <f t="shared" si="21"/>
        <v>0</v>
      </c>
      <c r="AK77" s="1314">
        <f t="shared" si="21"/>
        <v>0</v>
      </c>
      <c r="AL77" s="1314">
        <f t="shared" si="21"/>
        <v>0</v>
      </c>
      <c r="AM77" s="1314">
        <f t="shared" si="21"/>
        <v>0</v>
      </c>
      <c r="AN77" s="1314">
        <f t="shared" si="21"/>
        <v>0</v>
      </c>
      <c r="AO77" s="257">
        <f t="shared" si="21"/>
        <v>0</v>
      </c>
      <c r="AP77" s="257">
        <f t="shared" si="21"/>
        <v>0</v>
      </c>
      <c r="AQ77" s="257">
        <f t="shared" si="21"/>
        <v>0</v>
      </c>
      <c r="AR77" s="257">
        <f t="shared" si="21"/>
        <v>0</v>
      </c>
      <c r="AS77" s="257">
        <f t="shared" si="21"/>
        <v>0</v>
      </c>
      <c r="AT77" s="1314">
        <f t="shared" si="21"/>
        <v>0</v>
      </c>
      <c r="AU77" s="1314">
        <f t="shared" si="21"/>
        <v>0</v>
      </c>
      <c r="AV77" s="1314">
        <f t="shared" si="21"/>
        <v>0</v>
      </c>
      <c r="AW77" s="1314">
        <f t="shared" si="21"/>
        <v>0</v>
      </c>
      <c r="AX77" s="1314">
        <f t="shared" si="21"/>
        <v>0</v>
      </c>
      <c r="AY77" s="1290"/>
      <c r="AZ77" s="1290"/>
      <c r="BA77" s="1290"/>
      <c r="BB77" s="185"/>
      <c r="BC77" s="185"/>
      <c r="BD77" s="1031" t="s">
        <v>2098</v>
      </c>
      <c r="BE77" s="1031"/>
      <c r="BF77" s="1039"/>
      <c r="BG77" s="1040"/>
      <c r="BH77" s="1040"/>
      <c r="BI77" s="1064"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M10546::ТЭ.42.26322895.0003::Неопределено::Неопределено::Неопределено::Неопределено::Неопределено::Неопределено::8.0.5.</v>
      </c>
    </row>
    <row r="78" spans="1:61" s="1522" customFormat="1" ht="16.5" customHeight="1">
      <c r="A78" s="185"/>
      <c r="B78" s="185"/>
      <c r="C78" s="1094" t="s">
        <v>1797</v>
      </c>
      <c r="D78" s="1113" t="s">
        <v>1798</v>
      </c>
      <c r="E78" s="676">
        <v>17</v>
      </c>
      <c r="F78" s="620" t="str" cm="1">
        <f t="array" aca="1" ref="F78" ca="1">OFFSET(G78,-1,-1)</f>
        <v>1</v>
      </c>
      <c r="G78" s="185"/>
      <c r="H78" s="185"/>
      <c r="I78" s="185"/>
      <c r="J78" s="185"/>
      <c r="K78" s="185"/>
      <c r="L78" s="1079"/>
      <c r="M78" s="1080" t="str" cm="1">
        <f t="array" aca="1" ref="M78" ca="1">OFFSET(L78,-1,1)</f>
        <v>ТЭ.42.26322895.0003</v>
      </c>
      <c r="N78" s="1079"/>
      <c r="O78" s="1079"/>
      <c r="P78" s="1079"/>
      <c r="Q78" s="1090"/>
      <c r="R78" s="1090"/>
      <c r="S78" s="1079"/>
      <c r="T78" s="687" t="b">
        <f t="shared" ca="1" si="16"/>
        <v>1</v>
      </c>
      <c r="U78" s="185"/>
      <c r="V78" s="185"/>
      <c r="W78" s="185"/>
      <c r="X78" s="1823"/>
      <c r="Y78" s="185"/>
      <c r="Z78" s="1823"/>
      <c r="AA78" s="185"/>
      <c r="AB78" s="124" t="s">
        <v>1619</v>
      </c>
      <c r="AC78" s="115" t="s">
        <v>2099</v>
      </c>
      <c r="AD78" s="468" t="s">
        <v>533</v>
      </c>
      <c r="AE78" s="555">
        <f t="shared" ref="AE78:AX78" si="22">IFERROR(AE77/AE75,0)</f>
        <v>0</v>
      </c>
      <c r="AF78" s="555">
        <f t="shared" si="22"/>
        <v>0</v>
      </c>
      <c r="AG78" s="555">
        <f t="shared" si="22"/>
        <v>0</v>
      </c>
      <c r="AH78" s="555">
        <f t="shared" si="22"/>
        <v>0</v>
      </c>
      <c r="AI78" s="555">
        <f t="shared" si="22"/>
        <v>0</v>
      </c>
      <c r="AJ78" s="555">
        <f t="shared" si="22"/>
        <v>0</v>
      </c>
      <c r="AK78" s="555">
        <f t="shared" si="22"/>
        <v>0</v>
      </c>
      <c r="AL78" s="555">
        <f t="shared" si="22"/>
        <v>0</v>
      </c>
      <c r="AM78" s="555">
        <f t="shared" si="22"/>
        <v>0</v>
      </c>
      <c r="AN78" s="555">
        <f t="shared" si="22"/>
        <v>0</v>
      </c>
      <c r="AO78" s="555">
        <f t="shared" si="22"/>
        <v>0</v>
      </c>
      <c r="AP78" s="555">
        <f t="shared" si="22"/>
        <v>0</v>
      </c>
      <c r="AQ78" s="555">
        <f t="shared" si="22"/>
        <v>0</v>
      </c>
      <c r="AR78" s="555">
        <f t="shared" si="22"/>
        <v>0</v>
      </c>
      <c r="AS78" s="555">
        <f t="shared" si="22"/>
        <v>0</v>
      </c>
      <c r="AT78" s="555">
        <f t="shared" si="22"/>
        <v>0</v>
      </c>
      <c r="AU78" s="555">
        <f t="shared" si="22"/>
        <v>0</v>
      </c>
      <c r="AV78" s="555">
        <f t="shared" si="22"/>
        <v>0</v>
      </c>
      <c r="AW78" s="555">
        <f t="shared" si="22"/>
        <v>0</v>
      </c>
      <c r="AX78" s="555">
        <f t="shared" si="22"/>
        <v>0</v>
      </c>
      <c r="AY78" s="1290"/>
      <c r="AZ78" s="1290"/>
      <c r="BA78" s="1290"/>
      <c r="BB78" s="185"/>
      <c r="BC78" s="185"/>
      <c r="BD78" s="1031" t="s">
        <v>2100</v>
      </c>
      <c r="BE78" s="1031"/>
      <c r="BF78" s="1031"/>
      <c r="BG78" s="1032"/>
      <c r="BH78" s="1032"/>
      <c r="BI78" s="1064"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M11244::ТЭ.42.26322895.0003::Неопределено::Неопределено::Неопределено::Неопределено::Неопределено::Неопределено::Неопределено</v>
      </c>
    </row>
    <row r="79" spans="1:61" s="1229" customFormat="1" ht="16.5" customHeight="1">
      <c r="A79" s="983"/>
      <c r="B79" s="783"/>
      <c r="C79" s="1094" t="s">
        <v>1801</v>
      </c>
      <c r="D79" s="1113" t="s">
        <v>1802</v>
      </c>
      <c r="E79" s="676">
        <v>17</v>
      </c>
      <c r="F79" s="620" t="str" cm="1">
        <f t="array" aca="1" ref="F79" ca="1">OFFSET(G79,-1,-1)</f>
        <v>1</v>
      </c>
      <c r="G79" s="180"/>
      <c r="H79" s="180"/>
      <c r="I79" s="180"/>
      <c r="J79" s="180"/>
      <c r="K79" s="180"/>
      <c r="L79" s="1080"/>
      <c r="M79" s="1080" t="str" cm="1">
        <f t="array" aca="1" ref="M79" ca="1">OFFSET(L79,-1,1)</f>
        <v>ТЭ.42.26322895.0003</v>
      </c>
      <c r="N79" s="1080"/>
      <c r="O79" s="1080"/>
      <c r="P79" s="1080"/>
      <c r="Q79" s="1082"/>
      <c r="R79" s="1082"/>
      <c r="S79" s="1080"/>
      <c r="T79" s="687" t="b">
        <f t="shared" ca="1" si="16"/>
        <v>1</v>
      </c>
      <c r="U79" s="1153"/>
      <c r="V79" s="1153"/>
      <c r="W79" s="1153"/>
      <c r="X79" s="1726"/>
      <c r="Y79" s="1153"/>
      <c r="Z79" s="1726"/>
      <c r="AA79" s="180"/>
      <c r="AB79" s="124" t="s">
        <v>2046</v>
      </c>
      <c r="AC79" s="115" t="s">
        <v>2101</v>
      </c>
      <c r="AD79" s="468" t="s">
        <v>929</v>
      </c>
      <c r="AE79" s="593">
        <f t="shared" ref="AE79:AX79" si="23">IFERROR(AE55*1000/(AE74+AE76),0)</f>
        <v>0</v>
      </c>
      <c r="AF79" s="593">
        <f t="shared" si="23"/>
        <v>0</v>
      </c>
      <c r="AG79" s="593">
        <f t="shared" si="23"/>
        <v>0</v>
      </c>
      <c r="AH79" s="593">
        <f t="shared" si="23"/>
        <v>0</v>
      </c>
      <c r="AI79" s="593">
        <f t="shared" si="23"/>
        <v>0</v>
      </c>
      <c r="AJ79" s="1380">
        <f t="shared" si="23"/>
        <v>0</v>
      </c>
      <c r="AK79" s="1380">
        <f t="shared" si="23"/>
        <v>0</v>
      </c>
      <c r="AL79" s="1380">
        <f t="shared" si="23"/>
        <v>0</v>
      </c>
      <c r="AM79" s="1380">
        <f t="shared" si="23"/>
        <v>0</v>
      </c>
      <c r="AN79" s="1380">
        <f t="shared" si="23"/>
        <v>0</v>
      </c>
      <c r="AO79" s="593">
        <f t="shared" si="23"/>
        <v>0</v>
      </c>
      <c r="AP79" s="593">
        <f t="shared" si="23"/>
        <v>0</v>
      </c>
      <c r="AQ79" s="593">
        <f t="shared" si="23"/>
        <v>0</v>
      </c>
      <c r="AR79" s="593">
        <f t="shared" si="23"/>
        <v>0</v>
      </c>
      <c r="AS79" s="593">
        <f t="shared" si="23"/>
        <v>0</v>
      </c>
      <c r="AT79" s="1380">
        <f t="shared" si="23"/>
        <v>0</v>
      </c>
      <c r="AU79" s="1380">
        <f t="shared" si="23"/>
        <v>0</v>
      </c>
      <c r="AV79" s="1380">
        <f t="shared" si="23"/>
        <v>0</v>
      </c>
      <c r="AW79" s="1380">
        <f t="shared" si="23"/>
        <v>0</v>
      </c>
      <c r="AX79" s="1380">
        <f t="shared" si="23"/>
        <v>0</v>
      </c>
      <c r="AY79" s="1290"/>
      <c r="AZ79" s="1290"/>
      <c r="BA79" s="1290"/>
      <c r="BB79" s="180"/>
      <c r="BC79" s="180"/>
      <c r="BD79" s="1031" t="s">
        <v>2102</v>
      </c>
      <c r="BE79" s="1031"/>
      <c r="BF79" s="1031"/>
      <c r="BG79" s="1032"/>
      <c r="BH79" s="1032"/>
      <c r="BI79" s="1064"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M10552::ТЭ.42.26322895.0003::Неопределено::Неопределено::Неопределено::Неопределено::Неопределено::Неопределено::Неопределено</v>
      </c>
    </row>
    <row r="80" spans="1:61" s="1229" customFormat="1" ht="33.75" customHeight="1">
      <c r="A80" s="983"/>
      <c r="B80" s="783"/>
      <c r="C80" s="1094" t="s">
        <v>1845</v>
      </c>
      <c r="D80" s="1113" t="s">
        <v>1846</v>
      </c>
      <c r="E80" s="676">
        <v>35</v>
      </c>
      <c r="F80" s="620" t="str" cm="1">
        <f t="array" aca="1" ref="F80" ca="1">OFFSET(G80,-1,-1)</f>
        <v>1</v>
      </c>
      <c r="G80" s="180"/>
      <c r="H80" s="180"/>
      <c r="I80" s="180"/>
      <c r="J80" s="180"/>
      <c r="K80" s="180"/>
      <c r="L80" s="1080"/>
      <c r="M80" s="1080" t="str" cm="1">
        <f t="array" aca="1" ref="M80" ca="1">OFFSET(L80,-1,1)</f>
        <v>ТЭ.42.26322895.0003</v>
      </c>
      <c r="N80" s="1080"/>
      <c r="O80" s="1080"/>
      <c r="P80" s="1080"/>
      <c r="Q80" s="1082"/>
      <c r="R80" s="1082"/>
      <c r="S80" s="1080"/>
      <c r="T80" s="687" t="b">
        <f t="shared" ca="1" si="16"/>
        <v>1</v>
      </c>
      <c r="U80" s="1153"/>
      <c r="V80" s="1153"/>
      <c r="W80" s="1153"/>
      <c r="X80" s="1726"/>
      <c r="Y80" s="1153"/>
      <c r="Z80" s="1726"/>
      <c r="AA80" s="180"/>
      <c r="AB80" s="124" t="s">
        <v>437</v>
      </c>
      <c r="AC80" s="269" t="s">
        <v>1848</v>
      </c>
      <c r="AD80" s="481" t="s">
        <v>1460</v>
      </c>
      <c r="AE80" s="257"/>
      <c r="AF80" s="257"/>
      <c r="AG80" s="257"/>
      <c r="AH80" s="257"/>
      <c r="AI80" s="257"/>
      <c r="AJ80" s="1314"/>
      <c r="AK80" s="1314"/>
      <c r="AL80" s="1314"/>
      <c r="AM80" s="1314"/>
      <c r="AN80" s="1314"/>
      <c r="AO80" s="257"/>
      <c r="AP80" s="257"/>
      <c r="AQ80" s="257"/>
      <c r="AR80" s="257"/>
      <c r="AS80" s="257"/>
      <c r="AT80" s="1314"/>
      <c r="AU80" s="1314"/>
      <c r="AV80" s="1314"/>
      <c r="AW80" s="1314"/>
      <c r="AX80" s="1314"/>
      <c r="AY80" s="1290"/>
      <c r="AZ80" s="1290"/>
      <c r="BA80" s="1290"/>
      <c r="BB80" s="180"/>
      <c r="BC80" s="180"/>
      <c r="BD80" s="1031" t="s">
        <v>1849</v>
      </c>
      <c r="BE80" s="1031"/>
      <c r="BF80" s="1031"/>
      <c r="BG80" s="1032"/>
      <c r="BH80" s="1032"/>
      <c r="BI80" s="1064"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M10591::ТЭ.42.26322895.0003::Неопределено::Неопределено::Неопределено::Неопределено::Неопределено::Неопределено::Неопределено</v>
      </c>
    </row>
    <row r="81" spans="1:61" s="1523" customFormat="1" ht="16.5" customHeight="1">
      <c r="A81" s="170"/>
      <c r="B81" s="170"/>
      <c r="C81" s="1098"/>
      <c r="D81" s="1112"/>
      <c r="E81" s="676">
        <v>17.100000000000001</v>
      </c>
      <c r="F81" s="620" t="str" cm="1">
        <f t="array" ref="F81">X81</f>
        <v>2</v>
      </c>
      <c r="G81" s="620" t="str" cm="1">
        <f t="array" ref="G81">INDEX('Общие сведения'!$AK$187:$AK$236,MATCH($F81,'Общие сведения'!$Z$187:$Z$236,0))</f>
        <v>одноставочный</v>
      </c>
      <c r="H81" s="170"/>
      <c r="I81" s="163" t="str" cm="1">
        <f t="array" ref="I81">INDEX('Общие сведения'!$AE$187:$AE$236,MATCH($F81,'Общие сведения'!$Z$187:$Z$236,0))</f>
        <v>Теплоснабжение</v>
      </c>
      <c r="J81" s="170"/>
      <c r="K81" s="163" t="str" cm="1">
        <f t="array" ref="K81">INDEX('Общие сведения'!$AL$187:$AL$236,MATCH($F81,'Общие сведения'!$Z$187:$Z$236,0))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L81" s="1092"/>
      <c r="M81" s="1092"/>
      <c r="N81" s="1092"/>
      <c r="O81" s="1092"/>
      <c r="P81" s="1092"/>
      <c r="Q81" s="1088"/>
      <c r="R81" s="1088"/>
      <c r="S81" s="1092"/>
      <c r="T81" s="687" t="b">
        <f t="shared" si="16"/>
        <v>1</v>
      </c>
      <c r="U81" s="170"/>
      <c r="V81" s="126" t="str" cm="1">
        <f t="array" ref="V81">'Базовый уровень (МСА)'!$AB$75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1" s="170"/>
      <c r="X81" s="1838" t="s">
        <v>348</v>
      </c>
      <c r="Y81" s="170"/>
      <c r="Z81" s="1724"/>
      <c r="AA81" s="170"/>
      <c r="AB81" s="275" t="str" cm="1">
        <f t="array" ref="AB81">IF(ISBLANK('Базовый уровень (МСА)'!$AB$75),"",'Базовый уровень (МСА)'!$AB$75)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1" s="276"/>
      <c r="AD81" s="276"/>
      <c r="AE81" s="276"/>
      <c r="AF81" s="276"/>
      <c r="AG81" s="276"/>
      <c r="AH81" s="276"/>
      <c r="AI81" s="276"/>
      <c r="AJ81" s="276"/>
      <c r="AK81" s="276"/>
      <c r="AL81" s="276"/>
      <c r="AM81" s="276"/>
      <c r="AN81" s="276"/>
      <c r="AO81" s="276"/>
      <c r="AP81" s="276"/>
      <c r="AQ81" s="276"/>
      <c r="AR81" s="276"/>
      <c r="AS81" s="276"/>
      <c r="AT81" s="276"/>
      <c r="AU81" s="276"/>
      <c r="AV81" s="276"/>
      <c r="AW81" s="276"/>
      <c r="AX81" s="276"/>
      <c r="AY81" s="276"/>
      <c r="AZ81" s="276"/>
      <c r="BA81" s="276"/>
      <c r="BB81" s="170"/>
      <c r="BC81" s="170"/>
      <c r="BD81" s="981"/>
      <c r="BE81" s="981"/>
      <c r="BF81" s="981"/>
      <c r="BG81" s="984"/>
      <c r="BH81" s="984"/>
      <c r="BI81" s="1076"/>
    </row>
    <row r="82" spans="1:61" s="1229" customFormat="1" ht="16.5" customHeight="1">
      <c r="A82" s="983"/>
      <c r="B82" s="783"/>
      <c r="C82" s="1094" t="s">
        <v>1753</v>
      </c>
      <c r="D82" s="1113" t="s">
        <v>1754</v>
      </c>
      <c r="E82" s="676">
        <v>17</v>
      </c>
      <c r="F82" s="620" t="str" cm="1">
        <f t="array" aca="1" ref="F82" ca="1">OFFSET(G82,-1,-1)</f>
        <v>2</v>
      </c>
      <c r="G82" s="180"/>
      <c r="H82" s="180"/>
      <c r="I82" s="180"/>
      <c r="J82" s="180"/>
      <c r="K82" s="180"/>
      <c r="L82" s="1080"/>
      <c r="M82" s="1080" t="str" cm="1">
        <f t="array" ref="M82">INDEX('Общие сведения'!$N$187:$N$236,MATCH($F81,'Общие сведения'!$Z$187:$Z$236,0)+1)</f>
        <v>ТЭ.42.26322895.0004</v>
      </c>
      <c r="N82" s="1080" t="s">
        <v>2057</v>
      </c>
      <c r="O82" s="1080"/>
      <c r="P82" s="1080"/>
      <c r="Q82" s="1082"/>
      <c r="R82" s="1082"/>
      <c r="S82" s="1080"/>
      <c r="T82" s="687" t="b">
        <f t="shared" ca="1" si="16"/>
        <v>1</v>
      </c>
      <c r="U82" s="1153"/>
      <c r="V82" s="1153"/>
      <c r="W82" s="1153"/>
      <c r="X82" s="1726"/>
      <c r="Y82" s="1153"/>
      <c r="Z82" s="1726"/>
      <c r="AA82" s="180"/>
      <c r="AB82" s="124">
        <v>1</v>
      </c>
      <c r="AC82" s="526" t="s">
        <v>2058</v>
      </c>
      <c r="AD82" s="468" t="s">
        <v>1460</v>
      </c>
      <c r="AE82" s="257">
        <f t="shared" ref="AE82:AX82" si="24">AE83+AE89+AE99</f>
        <v>0</v>
      </c>
      <c r="AF82" s="257">
        <f t="shared" si="24"/>
        <v>0</v>
      </c>
      <c r="AG82" s="257">
        <f t="shared" si="24"/>
        <v>0</v>
      </c>
      <c r="AH82" s="257">
        <f t="shared" si="24"/>
        <v>0</v>
      </c>
      <c r="AI82" s="257">
        <f t="shared" si="24"/>
        <v>0</v>
      </c>
      <c r="AJ82" s="1314">
        <f t="shared" si="24"/>
        <v>0</v>
      </c>
      <c r="AK82" s="1314">
        <f t="shared" si="24"/>
        <v>0</v>
      </c>
      <c r="AL82" s="1314">
        <f t="shared" si="24"/>
        <v>0</v>
      </c>
      <c r="AM82" s="1314">
        <f t="shared" si="24"/>
        <v>0</v>
      </c>
      <c r="AN82" s="1314">
        <f t="shared" si="24"/>
        <v>0</v>
      </c>
      <c r="AO82" s="257">
        <f t="shared" si="24"/>
        <v>0</v>
      </c>
      <c r="AP82" s="257">
        <f t="shared" si="24"/>
        <v>0</v>
      </c>
      <c r="AQ82" s="257">
        <f t="shared" si="24"/>
        <v>0</v>
      </c>
      <c r="AR82" s="257">
        <f t="shared" si="24"/>
        <v>0</v>
      </c>
      <c r="AS82" s="257">
        <f t="shared" si="24"/>
        <v>0</v>
      </c>
      <c r="AT82" s="1314">
        <f t="shared" si="24"/>
        <v>0</v>
      </c>
      <c r="AU82" s="1314">
        <f t="shared" si="24"/>
        <v>0</v>
      </c>
      <c r="AV82" s="1314">
        <f t="shared" si="24"/>
        <v>0</v>
      </c>
      <c r="AW82" s="1314">
        <f t="shared" si="24"/>
        <v>0</v>
      </c>
      <c r="AX82" s="1314">
        <f t="shared" si="24"/>
        <v>0</v>
      </c>
      <c r="AY82" s="1290"/>
      <c r="AZ82" s="1290"/>
      <c r="BA82" s="1290"/>
      <c r="BB82" s="180"/>
      <c r="BC82" s="180"/>
      <c r="BD82" s="1031" t="s">
        <v>2059</v>
      </c>
      <c r="BE82" s="1031"/>
      <c r="BF82" s="1031"/>
      <c r="BG82" s="1032"/>
      <c r="BH82" s="1032"/>
      <c r="BI82" s="1064" t="str" cm="1">
        <f t="array" ref="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M10655::ТЭ.42.26322895.0004::Неопределено::110.0.36.::Неопределено::Неопределено::Неопределено::Неопределено::Неопределено</v>
      </c>
    </row>
    <row r="83" spans="1:61" s="1229" customFormat="1" ht="16.5" customHeight="1">
      <c r="A83" s="983"/>
      <c r="B83" s="783"/>
      <c r="C83" s="1094" t="s">
        <v>1753</v>
      </c>
      <c r="D83" s="1113" t="s">
        <v>1754</v>
      </c>
      <c r="E83" s="676">
        <v>17</v>
      </c>
      <c r="F83" s="620" t="str" cm="1">
        <f t="array" aca="1" ref="F83" ca="1">OFFSET(G83,-1,-1)</f>
        <v>2</v>
      </c>
      <c r="G83" s="180"/>
      <c r="H83" s="180"/>
      <c r="I83" s="180"/>
      <c r="J83" s="180"/>
      <c r="K83" s="180"/>
      <c r="L83" s="1080"/>
      <c r="M83" s="1080" t="str" cm="1">
        <f t="array" aca="1" ref="M83" ca="1">OFFSET(L83,-1,1)</f>
        <v>ТЭ.42.26322895.0004</v>
      </c>
      <c r="N83" s="1080" t="s">
        <v>2057</v>
      </c>
      <c r="O83" s="1080" t="s">
        <v>1828</v>
      </c>
      <c r="P83" s="1080"/>
      <c r="Q83" s="1082"/>
      <c r="R83" s="1082"/>
      <c r="S83" s="1080"/>
      <c r="T83" s="687" t="b">
        <f t="shared" ca="1" si="16"/>
        <v>1</v>
      </c>
      <c r="U83" s="1153"/>
      <c r="V83" s="1153"/>
      <c r="W83" s="1153"/>
      <c r="X83" s="1726"/>
      <c r="Y83" s="1153"/>
      <c r="Z83" s="1726"/>
      <c r="AA83" s="180"/>
      <c r="AB83" s="124" t="s">
        <v>484</v>
      </c>
      <c r="AC83" s="869" t="s">
        <v>2060</v>
      </c>
      <c r="AD83" s="468" t="s">
        <v>1460</v>
      </c>
      <c r="AE83" s="257">
        <f t="shared" ref="AE83:AX83" si="25">AE84+AE88</f>
        <v>0</v>
      </c>
      <c r="AF83" s="257">
        <f t="shared" si="25"/>
        <v>0</v>
      </c>
      <c r="AG83" s="257">
        <f t="shared" si="25"/>
        <v>0</v>
      </c>
      <c r="AH83" s="257">
        <f t="shared" si="25"/>
        <v>0</v>
      </c>
      <c r="AI83" s="257">
        <f t="shared" si="25"/>
        <v>0</v>
      </c>
      <c r="AJ83" s="1314">
        <f t="shared" si="25"/>
        <v>0</v>
      </c>
      <c r="AK83" s="1314">
        <f t="shared" si="25"/>
        <v>0</v>
      </c>
      <c r="AL83" s="1314">
        <f t="shared" si="25"/>
        <v>0</v>
      </c>
      <c r="AM83" s="1314">
        <f t="shared" si="25"/>
        <v>0</v>
      </c>
      <c r="AN83" s="1314">
        <f t="shared" si="25"/>
        <v>0</v>
      </c>
      <c r="AO83" s="257">
        <f t="shared" si="25"/>
        <v>0</v>
      </c>
      <c r="AP83" s="257">
        <f t="shared" si="25"/>
        <v>0</v>
      </c>
      <c r="AQ83" s="257">
        <f t="shared" si="25"/>
        <v>0</v>
      </c>
      <c r="AR83" s="257">
        <f t="shared" si="25"/>
        <v>0</v>
      </c>
      <c r="AS83" s="257">
        <f t="shared" si="25"/>
        <v>0</v>
      </c>
      <c r="AT83" s="1314">
        <f t="shared" si="25"/>
        <v>0</v>
      </c>
      <c r="AU83" s="1314">
        <f t="shared" si="25"/>
        <v>0</v>
      </c>
      <c r="AV83" s="1314">
        <f t="shared" si="25"/>
        <v>0</v>
      </c>
      <c r="AW83" s="1314">
        <f t="shared" si="25"/>
        <v>0</v>
      </c>
      <c r="AX83" s="1314">
        <f t="shared" si="25"/>
        <v>0</v>
      </c>
      <c r="AY83" s="1290"/>
      <c r="AZ83" s="1290"/>
      <c r="BA83" s="1290"/>
      <c r="BB83" s="180"/>
      <c r="BC83" s="180"/>
      <c r="BD83" s="1031" t="s">
        <v>2061</v>
      </c>
      <c r="BE83" s="1031"/>
      <c r="BF83" s="1031"/>
      <c r="BG83" s="1032"/>
      <c r="BH83" s="1032"/>
      <c r="BI83" s="1064" t="str" cm="1">
        <f t="array" aca="1" ref="BI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M10655::ТЭ.42.26322895.0004::Неопределено::110.0.36.::90.0.0.::Неопределено::Неопределено::Неопределено::Неопределено</v>
      </c>
    </row>
    <row r="84" spans="1:61" s="1229" customFormat="1" ht="16.5" customHeight="1">
      <c r="A84" s="983"/>
      <c r="B84" s="783"/>
      <c r="C84" s="1094" t="s">
        <v>1753</v>
      </c>
      <c r="D84" s="1113" t="s">
        <v>1754</v>
      </c>
      <c r="E84" s="676">
        <v>17</v>
      </c>
      <c r="F84" s="620" t="str" cm="1">
        <f t="array" aca="1" ref="F84" ca="1">OFFSET(G84,-1,-1)</f>
        <v>2</v>
      </c>
      <c r="G84" s="180"/>
      <c r="H84" s="180"/>
      <c r="I84" s="180"/>
      <c r="J84" s="180"/>
      <c r="K84" s="180"/>
      <c r="L84" s="1080"/>
      <c r="M84" s="1080" t="str" cm="1">
        <f t="array" aca="1" ref="M84" ca="1">OFFSET(L84,-1,1)</f>
        <v>ТЭ.42.26322895.0004</v>
      </c>
      <c r="N84" s="1080" t="s">
        <v>2057</v>
      </c>
      <c r="O84" s="1080" t="s">
        <v>1828</v>
      </c>
      <c r="P84" s="1080" t="s">
        <v>2062</v>
      </c>
      <c r="Q84" s="1082"/>
      <c r="R84" s="1082"/>
      <c r="S84" s="1080"/>
      <c r="T84" s="687" t="b">
        <f t="shared" ca="1" si="16"/>
        <v>1</v>
      </c>
      <c r="U84" s="1153"/>
      <c r="V84" s="1153"/>
      <c r="W84" s="1153"/>
      <c r="X84" s="1726"/>
      <c r="Y84" s="1153"/>
      <c r="Z84" s="1726"/>
      <c r="AA84" s="180"/>
      <c r="AB84" s="487" t="s">
        <v>1210</v>
      </c>
      <c r="AC84" s="471" t="s">
        <v>2063</v>
      </c>
      <c r="AD84" s="855" t="s">
        <v>1460</v>
      </c>
      <c r="AE84" s="257"/>
      <c r="AF84" s="257"/>
      <c r="AG84" s="257"/>
      <c r="AH84" s="257"/>
      <c r="AI84" s="257"/>
      <c r="AJ84" s="1314"/>
      <c r="AK84" s="1314"/>
      <c r="AL84" s="1314"/>
      <c r="AM84" s="1314"/>
      <c r="AN84" s="1314"/>
      <c r="AO84" s="257"/>
      <c r="AP84" s="257"/>
      <c r="AQ84" s="257"/>
      <c r="AR84" s="257"/>
      <c r="AS84" s="257"/>
      <c r="AT84" s="1314"/>
      <c r="AU84" s="1314"/>
      <c r="AV84" s="1314"/>
      <c r="AW84" s="1314"/>
      <c r="AX84" s="1314"/>
      <c r="AY84" s="1290"/>
      <c r="AZ84" s="1290"/>
      <c r="BA84" s="1290"/>
      <c r="BB84" s="180"/>
      <c r="BC84" s="180"/>
      <c r="BD84" s="1031" t="s">
        <v>2064</v>
      </c>
      <c r="BE84" s="1031"/>
      <c r="BF84" s="1031"/>
      <c r="BG84" s="1032"/>
      <c r="BH84" s="1032"/>
      <c r="BI84" s="1064" t="str" cm="1">
        <f t="array" aca="1" ref="BI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M10655::ТЭ.42.26322895.0004::Неопределено::110.0.36.::90.0.0.::33.0.8.::Неопределено::Неопределено::Неопределено</v>
      </c>
    </row>
    <row r="85" spans="1:61" s="1229" customFormat="1" ht="16.5" customHeight="1">
      <c r="A85" s="983"/>
      <c r="B85" s="783"/>
      <c r="C85" s="1094" t="s">
        <v>1753</v>
      </c>
      <c r="D85" s="1113" t="s">
        <v>1754</v>
      </c>
      <c r="E85" s="676">
        <v>17</v>
      </c>
      <c r="F85" s="620" t="str" cm="1">
        <f t="array" aca="1" ref="F85" ca="1">OFFSET(G85,-1,-1)</f>
        <v>2</v>
      </c>
      <c r="G85" s="180"/>
      <c r="H85" s="180"/>
      <c r="I85" s="180"/>
      <c r="J85" s="180"/>
      <c r="K85" s="180"/>
      <c r="L85" s="1080"/>
      <c r="M85" s="1080" t="str" cm="1">
        <f t="array" aca="1" ref="M85" ca="1">OFFSET(L85,-1,1)</f>
        <v>ТЭ.42.26322895.0004</v>
      </c>
      <c r="N85" s="1080" t="s">
        <v>2057</v>
      </c>
      <c r="O85" s="1080" t="s">
        <v>1828</v>
      </c>
      <c r="P85" s="1080" t="s">
        <v>2062</v>
      </c>
      <c r="Q85" s="1082"/>
      <c r="R85" s="1082" t="s">
        <v>2065</v>
      </c>
      <c r="S85" s="1080"/>
      <c r="T85" s="687" t="b">
        <f t="shared" ca="1" si="16"/>
        <v>1</v>
      </c>
      <c r="U85" s="1153"/>
      <c r="V85" s="1153"/>
      <c r="W85" s="1153"/>
      <c r="X85" s="1726"/>
      <c r="Y85" s="1153"/>
      <c r="Z85" s="1726"/>
      <c r="AA85" s="180"/>
      <c r="AB85" s="487" t="s">
        <v>2066</v>
      </c>
      <c r="AC85" s="496" t="s">
        <v>2067</v>
      </c>
      <c r="AD85" s="855" t="s">
        <v>1460</v>
      </c>
      <c r="AE85" s="257"/>
      <c r="AF85" s="257"/>
      <c r="AG85" s="257"/>
      <c r="AH85" s="257"/>
      <c r="AI85" s="257"/>
      <c r="AJ85" s="1314"/>
      <c r="AK85" s="1314"/>
      <c r="AL85" s="1314"/>
      <c r="AM85" s="1314"/>
      <c r="AN85" s="1314"/>
      <c r="AO85" s="257"/>
      <c r="AP85" s="257"/>
      <c r="AQ85" s="257"/>
      <c r="AR85" s="257"/>
      <c r="AS85" s="257"/>
      <c r="AT85" s="1314"/>
      <c r="AU85" s="1314"/>
      <c r="AV85" s="1314"/>
      <c r="AW85" s="1314"/>
      <c r="AX85" s="1314"/>
      <c r="AY85" s="1290"/>
      <c r="AZ85" s="1290"/>
      <c r="BA85" s="1290"/>
      <c r="BB85" s="180"/>
      <c r="BC85" s="180"/>
      <c r="BD85" s="1031" t="s">
        <v>2068</v>
      </c>
      <c r="BE85" s="1031"/>
      <c r="BF85" s="1031"/>
      <c r="BG85" s="1032"/>
      <c r="BH85" s="1032"/>
      <c r="BI85" s="1064" t="str" cm="1">
        <f t="array" aca="1" ref="BI85" ca="1">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M10655::ТЭ.42.26322895.0004::Неопределено::110.0.36.::90.0.0.::33.0.8.::Неопределено::22.0.10.::Неопределено</v>
      </c>
    </row>
    <row r="86" spans="1:61" s="1229" customFormat="1" ht="33.75" customHeight="1">
      <c r="A86" s="983"/>
      <c r="B86" s="783"/>
      <c r="C86" s="1094" t="s">
        <v>1753</v>
      </c>
      <c r="D86" s="1113" t="s">
        <v>1754</v>
      </c>
      <c r="E86" s="676">
        <v>35</v>
      </c>
      <c r="F86" s="620" t="str" cm="1">
        <f t="array" aca="1" ref="F86" ca="1">OFFSET(G86,-1,-1)</f>
        <v>2</v>
      </c>
      <c r="G86" s="180"/>
      <c r="H86" s="180"/>
      <c r="I86" s="180"/>
      <c r="J86" s="180"/>
      <c r="K86" s="180"/>
      <c r="L86" s="1080"/>
      <c r="M86" s="1080" t="str" cm="1">
        <f t="array" aca="1" ref="M86" ca="1">OFFSET(L86,-1,1)</f>
        <v>ТЭ.42.26322895.0004</v>
      </c>
      <c r="N86" s="1080" t="s">
        <v>2057</v>
      </c>
      <c r="O86" s="1080" t="s">
        <v>1828</v>
      </c>
      <c r="P86" s="1080" t="s">
        <v>2062</v>
      </c>
      <c r="Q86" s="1082" t="s">
        <v>2069</v>
      </c>
      <c r="R86" s="1082"/>
      <c r="S86" s="1080"/>
      <c r="T86" s="687" t="b">
        <f t="shared" ca="1" si="16"/>
        <v>1</v>
      </c>
      <c r="U86" s="1153"/>
      <c r="V86" s="1153"/>
      <c r="W86" s="1153"/>
      <c r="X86" s="1726"/>
      <c r="Y86" s="1153"/>
      <c r="Z86" s="1726"/>
      <c r="AA86" s="180"/>
      <c r="AB86" s="487" t="s">
        <v>2070</v>
      </c>
      <c r="AC86" s="488" t="s">
        <v>2071</v>
      </c>
      <c r="AD86" s="855" t="s">
        <v>1460</v>
      </c>
      <c r="AE86" s="257"/>
      <c r="AF86" s="257"/>
      <c r="AG86" s="257"/>
      <c r="AH86" s="257"/>
      <c r="AI86" s="257"/>
      <c r="AJ86" s="1314"/>
      <c r="AK86" s="1314"/>
      <c r="AL86" s="1314"/>
      <c r="AM86" s="1314"/>
      <c r="AN86" s="1314"/>
      <c r="AO86" s="257"/>
      <c r="AP86" s="257"/>
      <c r="AQ86" s="257"/>
      <c r="AR86" s="257"/>
      <c r="AS86" s="257"/>
      <c r="AT86" s="1314"/>
      <c r="AU86" s="1314"/>
      <c r="AV86" s="1314"/>
      <c r="AW86" s="1314"/>
      <c r="AX86" s="1314"/>
      <c r="AY86" s="1290"/>
      <c r="AZ86" s="1290"/>
      <c r="BA86" s="1290"/>
      <c r="BB86" s="180"/>
      <c r="BC86" s="180"/>
      <c r="BD86" s="1031" t="s">
        <v>2072</v>
      </c>
      <c r="BE86" s="1031"/>
      <c r="BF86" s="1031"/>
      <c r="BG86" s="1032"/>
      <c r="BH86" s="1032"/>
      <c r="BI86" s="1064" t="str" cm="1">
        <f t="array" aca="1" ref="BI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M10655::ТЭ.42.26322895.0004::Неопределено::110.0.36.::90.0.0.::33.0.8.::147.0.5.::Неопределено::Неопределено</v>
      </c>
    </row>
    <row r="87" spans="1:61" s="1229" customFormat="1" ht="16.5" customHeight="1">
      <c r="A87" s="983"/>
      <c r="B87" s="783"/>
      <c r="C87" s="1094" t="s">
        <v>1753</v>
      </c>
      <c r="D87" s="1113" t="s">
        <v>1754</v>
      </c>
      <c r="E87" s="676">
        <v>17</v>
      </c>
      <c r="F87" s="620" t="str" cm="1">
        <f t="array" aca="1" ref="F87" ca="1">OFFSET(G87,-1,-1)</f>
        <v>2</v>
      </c>
      <c r="G87" s="180"/>
      <c r="H87" s="180"/>
      <c r="I87" s="180"/>
      <c r="J87" s="180"/>
      <c r="K87" s="180"/>
      <c r="L87" s="1080"/>
      <c r="M87" s="1080" t="str" cm="1">
        <f t="array" aca="1" ref="M87" ca="1">OFFSET(L87,-1,1)</f>
        <v>ТЭ.42.26322895.0004</v>
      </c>
      <c r="N87" s="1080" t="s">
        <v>2057</v>
      </c>
      <c r="O87" s="1080" t="s">
        <v>1828</v>
      </c>
      <c r="P87" s="1080" t="s">
        <v>2062</v>
      </c>
      <c r="Q87" s="1082" t="s">
        <v>2073</v>
      </c>
      <c r="R87" s="1082"/>
      <c r="S87" s="1080"/>
      <c r="T87" s="687" t="b">
        <f t="shared" ca="1" si="16"/>
        <v>1</v>
      </c>
      <c r="U87" s="1153"/>
      <c r="V87" s="1153"/>
      <c r="W87" s="1153"/>
      <c r="X87" s="1726"/>
      <c r="Y87" s="1153"/>
      <c r="Z87" s="1726"/>
      <c r="AA87" s="180"/>
      <c r="AB87" s="487" t="s">
        <v>2074</v>
      </c>
      <c r="AC87" s="488" t="s">
        <v>2075</v>
      </c>
      <c r="AD87" s="855" t="s">
        <v>1460</v>
      </c>
      <c r="AE87" s="257"/>
      <c r="AF87" s="257"/>
      <c r="AG87" s="257"/>
      <c r="AH87" s="257"/>
      <c r="AI87" s="257"/>
      <c r="AJ87" s="1314"/>
      <c r="AK87" s="1314"/>
      <c r="AL87" s="1314"/>
      <c r="AM87" s="1314"/>
      <c r="AN87" s="1314"/>
      <c r="AO87" s="257"/>
      <c r="AP87" s="257"/>
      <c r="AQ87" s="257"/>
      <c r="AR87" s="257"/>
      <c r="AS87" s="257"/>
      <c r="AT87" s="1314"/>
      <c r="AU87" s="1314"/>
      <c r="AV87" s="1314"/>
      <c r="AW87" s="1314"/>
      <c r="AX87" s="1314"/>
      <c r="AY87" s="1290"/>
      <c r="AZ87" s="1290"/>
      <c r="BA87" s="1290"/>
      <c r="BB87" s="180"/>
      <c r="BC87" s="180"/>
      <c r="BD87" s="1031" t="s">
        <v>2076</v>
      </c>
      <c r="BE87" s="1031"/>
      <c r="BF87" s="1031"/>
      <c r="BG87" s="1032"/>
      <c r="BH87" s="1032"/>
      <c r="BI87" s="1064" t="str" cm="1">
        <f t="array" aca="1" ref="BI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M10655::ТЭ.42.26322895.0004::Неопределено::110.0.36.::90.0.0.::33.0.8.::147.0.1.::Неопределено::Неопределено</v>
      </c>
    </row>
    <row r="88" spans="1:61" s="1229" customFormat="1" ht="16.5" customHeight="1">
      <c r="A88" s="983"/>
      <c r="B88" s="783"/>
      <c r="C88" s="1094" t="s">
        <v>1753</v>
      </c>
      <c r="D88" s="1113" t="s">
        <v>1754</v>
      </c>
      <c r="E88" s="676">
        <v>17</v>
      </c>
      <c r="F88" s="620" t="str" cm="1">
        <f t="array" aca="1" ref="F88" ca="1">OFFSET(G88,-1,-1)</f>
        <v>2</v>
      </c>
      <c r="G88" s="180"/>
      <c r="H88" s="180"/>
      <c r="I88" s="180"/>
      <c r="J88" s="180"/>
      <c r="K88" s="180"/>
      <c r="L88" s="1080"/>
      <c r="M88" s="1080" t="str" cm="1">
        <f t="array" aca="1" ref="M88" ca="1">OFFSET(L88,-1,1)</f>
        <v>ТЭ.42.26322895.0004</v>
      </c>
      <c r="N88" s="1080" t="s">
        <v>2057</v>
      </c>
      <c r="O88" s="1080" t="s">
        <v>1828</v>
      </c>
      <c r="P88" s="1080" t="s">
        <v>2077</v>
      </c>
      <c r="Q88" s="1082"/>
      <c r="R88" s="1082"/>
      <c r="S88" s="1080"/>
      <c r="T88" s="687" t="b">
        <f t="shared" ca="1" si="16"/>
        <v>1</v>
      </c>
      <c r="U88" s="1153"/>
      <c r="V88" s="1153"/>
      <c r="W88" s="1153"/>
      <c r="X88" s="1726"/>
      <c r="Y88" s="1153"/>
      <c r="Z88" s="1726"/>
      <c r="AA88" s="180"/>
      <c r="AB88" s="923" t="s">
        <v>1214</v>
      </c>
      <c r="AC88" s="471" t="s">
        <v>2078</v>
      </c>
      <c r="AD88" s="855" t="s">
        <v>1460</v>
      </c>
      <c r="AE88" s="257"/>
      <c r="AF88" s="257"/>
      <c r="AG88" s="257"/>
      <c r="AH88" s="257"/>
      <c r="AI88" s="257"/>
      <c r="AJ88" s="1314"/>
      <c r="AK88" s="1314"/>
      <c r="AL88" s="1314"/>
      <c r="AM88" s="1314"/>
      <c r="AN88" s="1314"/>
      <c r="AO88" s="257"/>
      <c r="AP88" s="257"/>
      <c r="AQ88" s="257"/>
      <c r="AR88" s="257"/>
      <c r="AS88" s="257"/>
      <c r="AT88" s="1314"/>
      <c r="AU88" s="1314"/>
      <c r="AV88" s="1314"/>
      <c r="AW88" s="1314"/>
      <c r="AX88" s="1314"/>
      <c r="AY88" s="1290"/>
      <c r="AZ88" s="1290"/>
      <c r="BA88" s="1290"/>
      <c r="BB88" s="180"/>
      <c r="BC88" s="180"/>
      <c r="BD88" s="1031" t="s">
        <v>2079</v>
      </c>
      <c r="BE88" s="1031"/>
      <c r="BF88" s="1031"/>
      <c r="BG88" s="1032"/>
      <c r="BH88" s="1032"/>
      <c r="BI88" s="1064" t="str" cm="1">
        <f t="array" aca="1" ref="BI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M10655::ТЭ.42.26322895.0004::Неопределено::110.0.36.::90.0.0.::33.0.2.::Неопределено::Неопределено::Неопределено</v>
      </c>
    </row>
    <row r="89" spans="1:61" s="1229" customFormat="1" ht="33.75" customHeight="1">
      <c r="A89" s="983"/>
      <c r="B89" s="783"/>
      <c r="C89" s="1094" t="s">
        <v>1753</v>
      </c>
      <c r="D89" s="1113" t="s">
        <v>1754</v>
      </c>
      <c r="E89" s="676">
        <v>35</v>
      </c>
      <c r="F89" s="620" t="str" cm="1">
        <f t="array" aca="1" ref="F89" ca="1">OFFSET(G89,-1,-1)</f>
        <v>2</v>
      </c>
      <c r="G89" s="180"/>
      <c r="H89" s="180"/>
      <c r="I89" s="180"/>
      <c r="J89" s="180"/>
      <c r="K89" s="180"/>
      <c r="L89" s="1080"/>
      <c r="M89" s="1080" t="str" cm="1">
        <f t="array" aca="1" ref="M89" ca="1">OFFSET(L89,-1,1)</f>
        <v>ТЭ.42.26322895.0004</v>
      </c>
      <c r="N89" s="1080" t="s">
        <v>2057</v>
      </c>
      <c r="O89" s="1080" t="s">
        <v>1828</v>
      </c>
      <c r="P89" s="1080" t="s">
        <v>2080</v>
      </c>
      <c r="Q89" s="1082"/>
      <c r="R89" s="1082"/>
      <c r="S89" s="1080"/>
      <c r="T89" s="687" t="b">
        <f t="shared" ca="1" si="16"/>
        <v>1</v>
      </c>
      <c r="U89" s="1153"/>
      <c r="V89" s="1153"/>
      <c r="W89" s="1153"/>
      <c r="X89" s="1726"/>
      <c r="Y89" s="1153"/>
      <c r="Z89" s="1726"/>
      <c r="AA89" s="180"/>
      <c r="AB89" s="487" t="s">
        <v>989</v>
      </c>
      <c r="AC89" s="115" t="s">
        <v>2081</v>
      </c>
      <c r="AD89" s="855" t="s">
        <v>1460</v>
      </c>
      <c r="AE89" s="257">
        <f t="shared" ref="AE89:AX89" si="26">AE90+AE93+AE96</f>
        <v>0</v>
      </c>
      <c r="AF89" s="257">
        <f t="shared" si="26"/>
        <v>0</v>
      </c>
      <c r="AG89" s="257">
        <f t="shared" si="26"/>
        <v>0</v>
      </c>
      <c r="AH89" s="257">
        <f t="shared" si="26"/>
        <v>0</v>
      </c>
      <c r="AI89" s="257">
        <f t="shared" si="26"/>
        <v>0</v>
      </c>
      <c r="AJ89" s="1314">
        <f t="shared" si="26"/>
        <v>0</v>
      </c>
      <c r="AK89" s="1314">
        <f t="shared" si="26"/>
        <v>0</v>
      </c>
      <c r="AL89" s="1314">
        <f t="shared" si="26"/>
        <v>0</v>
      </c>
      <c r="AM89" s="1314">
        <f t="shared" si="26"/>
        <v>0</v>
      </c>
      <c r="AN89" s="1314">
        <f t="shared" si="26"/>
        <v>0</v>
      </c>
      <c r="AO89" s="257">
        <f t="shared" si="26"/>
        <v>0</v>
      </c>
      <c r="AP89" s="257">
        <f t="shared" si="26"/>
        <v>0</v>
      </c>
      <c r="AQ89" s="257">
        <f t="shared" si="26"/>
        <v>0</v>
      </c>
      <c r="AR89" s="257">
        <f t="shared" si="26"/>
        <v>0</v>
      </c>
      <c r="AS89" s="257">
        <f t="shared" si="26"/>
        <v>0</v>
      </c>
      <c r="AT89" s="1314">
        <f t="shared" si="26"/>
        <v>0</v>
      </c>
      <c r="AU89" s="1314">
        <f t="shared" si="26"/>
        <v>0</v>
      </c>
      <c r="AV89" s="1314">
        <f t="shared" si="26"/>
        <v>0</v>
      </c>
      <c r="AW89" s="1314">
        <f t="shared" si="26"/>
        <v>0</v>
      </c>
      <c r="AX89" s="1314">
        <f t="shared" si="26"/>
        <v>0</v>
      </c>
      <c r="AY89" s="1290"/>
      <c r="AZ89" s="1290"/>
      <c r="BA89" s="1290"/>
      <c r="BB89" s="180"/>
      <c r="BC89" s="180"/>
      <c r="BD89" s="1031" t="s">
        <v>2082</v>
      </c>
      <c r="BE89" s="1031"/>
      <c r="BF89" s="1031"/>
      <c r="BG89" s="1032"/>
      <c r="BH89" s="1032"/>
      <c r="BI89" s="1064" t="str" cm="1">
        <f t="array" aca="1" ref="BI89" ca="1">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M10655::ТЭ.42.26322895.0004::Неопределено::110.0.36.::90.0.0.::33.0.4.::Неопределено::Неопределено::Неопределено</v>
      </c>
    </row>
    <row r="90" spans="1:61" s="1229" customFormat="1" ht="16.5" customHeight="1">
      <c r="A90" s="983"/>
      <c r="B90" s="783"/>
      <c r="C90" s="1094" t="s">
        <v>1753</v>
      </c>
      <c r="D90" s="1113" t="s">
        <v>1754</v>
      </c>
      <c r="E90" s="676">
        <v>17</v>
      </c>
      <c r="F90" s="620" t="str" cm="1">
        <f t="array" aca="1" ref="F90" ca="1">OFFSET(G90,-1,-1)</f>
        <v>2</v>
      </c>
      <c r="G90" s="180"/>
      <c r="H90" s="180"/>
      <c r="I90" s="180"/>
      <c r="J90" s="180"/>
      <c r="K90" s="180"/>
      <c r="L90" s="1133"/>
      <c r="M90" s="1080" t="str" cm="1">
        <f t="array" aca="1" ref="M90" ca="1">OFFSET(L90,-1,1)</f>
        <v>ТЭ.42.26322895.0004</v>
      </c>
      <c r="N90" s="1080" t="s">
        <v>2057</v>
      </c>
      <c r="O90" s="1133" t="s">
        <v>1828</v>
      </c>
      <c r="P90" s="1133"/>
      <c r="Q90" s="1135"/>
      <c r="R90" s="1135" t="s">
        <v>2065</v>
      </c>
      <c r="S90" s="1133"/>
      <c r="T90" s="687" t="b">
        <f t="shared" ca="1" si="16"/>
        <v>1</v>
      </c>
      <c r="U90" s="1153"/>
      <c r="V90" s="1153"/>
      <c r="W90" s="1153"/>
      <c r="X90" s="1726"/>
      <c r="Y90" s="1153"/>
      <c r="Z90" s="1726"/>
      <c r="AA90" s="180"/>
      <c r="AB90" s="487" t="s">
        <v>2083</v>
      </c>
      <c r="AC90" s="471" t="s">
        <v>2067</v>
      </c>
      <c r="AD90" s="855" t="s">
        <v>1460</v>
      </c>
      <c r="AE90" s="257">
        <f t="shared" ref="AE90:AX90" si="27">SUM(AE91:AE92)</f>
        <v>0</v>
      </c>
      <c r="AF90" s="257">
        <f t="shared" si="27"/>
        <v>0</v>
      </c>
      <c r="AG90" s="257">
        <f t="shared" si="27"/>
        <v>0</v>
      </c>
      <c r="AH90" s="257">
        <f t="shared" si="27"/>
        <v>0</v>
      </c>
      <c r="AI90" s="257">
        <f t="shared" si="27"/>
        <v>0</v>
      </c>
      <c r="AJ90" s="1314">
        <f t="shared" si="27"/>
        <v>0</v>
      </c>
      <c r="AK90" s="1314">
        <f t="shared" si="27"/>
        <v>0</v>
      </c>
      <c r="AL90" s="1314">
        <f t="shared" si="27"/>
        <v>0</v>
      </c>
      <c r="AM90" s="1314">
        <f t="shared" si="27"/>
        <v>0</v>
      </c>
      <c r="AN90" s="1314">
        <f t="shared" si="27"/>
        <v>0</v>
      </c>
      <c r="AO90" s="257">
        <f t="shared" si="27"/>
        <v>0</v>
      </c>
      <c r="AP90" s="257">
        <f t="shared" si="27"/>
        <v>0</v>
      </c>
      <c r="AQ90" s="257">
        <f t="shared" si="27"/>
        <v>0</v>
      </c>
      <c r="AR90" s="257">
        <f t="shared" si="27"/>
        <v>0</v>
      </c>
      <c r="AS90" s="257">
        <f t="shared" si="27"/>
        <v>0</v>
      </c>
      <c r="AT90" s="1314">
        <f t="shared" si="27"/>
        <v>0</v>
      </c>
      <c r="AU90" s="1314">
        <f t="shared" si="27"/>
        <v>0</v>
      </c>
      <c r="AV90" s="1314">
        <f t="shared" si="27"/>
        <v>0</v>
      </c>
      <c r="AW90" s="1314">
        <f t="shared" si="27"/>
        <v>0</v>
      </c>
      <c r="AX90" s="1314">
        <f t="shared" si="27"/>
        <v>0</v>
      </c>
      <c r="AY90" s="1290"/>
      <c r="AZ90" s="1290"/>
      <c r="BA90" s="1290"/>
      <c r="BB90" s="180"/>
      <c r="BC90" s="180"/>
      <c r="BD90" s="1031" t="s">
        <v>2084</v>
      </c>
      <c r="BE90" s="1031"/>
      <c r="BF90" s="1031"/>
      <c r="BG90" s="1032"/>
      <c r="BH90" s="1032"/>
      <c r="BI90" s="1064" t="str" cm="1">
        <f t="array" aca="1" ref="BI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M10655::ТЭ.42.26322895.0004::Неопределено::110.0.36.::90.0.0.::Неопределено::Неопределено::22.0.10.::Неопределено</v>
      </c>
    </row>
    <row r="91" spans="1:61" s="1229" customFormat="1" ht="16.5" hidden="1" customHeight="1">
      <c r="A91" s="983"/>
      <c r="B91" s="783"/>
      <c r="C91" s="1094" t="s">
        <v>1753</v>
      </c>
      <c r="D91" s="1113" t="s">
        <v>1754</v>
      </c>
      <c r="E91" s="676">
        <v>17</v>
      </c>
      <c r="F91" s="620" t="str" cm="1">
        <f t="array" aca="1" ref="F91" ca="1">OFFSET(G91,-1,-1)</f>
        <v>2</v>
      </c>
      <c r="G91" s="180"/>
      <c r="H91" s="180"/>
      <c r="I91" s="180"/>
      <c r="J91" s="180"/>
      <c r="K91" s="180"/>
      <c r="L91" s="1080" cm="1">
        <f t="array" ref="L91">AC91</f>
        <v>0</v>
      </c>
      <c r="M91" s="1080" t="str" cm="1">
        <f t="array" aca="1" ref="M91" ca="1">OFFSET(L91,-1,1)</f>
        <v>ТЭ.42.26322895.0004</v>
      </c>
      <c r="N91" s="1080"/>
      <c r="O91" s="1080"/>
      <c r="P91" s="1080"/>
      <c r="Q91" s="1082"/>
      <c r="R91" s="1082" t="s">
        <v>2065</v>
      </c>
      <c r="S91" s="1080"/>
      <c r="T91" s="687" t="b">
        <f t="shared" ref="T91:T107" ca="1" si="28">AND(F91&gt;0,OR(ISBLANK(Y91),Y91&gt;0))</f>
        <v>0</v>
      </c>
      <c r="U91" s="1153"/>
      <c r="V91" s="1153"/>
      <c r="W91" s="126" t="s">
        <v>236</v>
      </c>
      <c r="X91" s="1726"/>
      <c r="Y91" s="126">
        <v>0</v>
      </c>
      <c r="Z91" s="1726"/>
      <c r="AA91" s="11" t="s">
        <v>218</v>
      </c>
      <c r="AB91" s="487" t="str">
        <f>"1.2.1."&amp;Y91</f>
        <v>1.2.1.0</v>
      </c>
      <c r="AC91" s="98"/>
      <c r="AD91" s="855" t="s">
        <v>1460</v>
      </c>
      <c r="AE91" s="257"/>
      <c r="AF91" s="257"/>
      <c r="AG91" s="257"/>
      <c r="AH91" s="257"/>
      <c r="AI91" s="257"/>
      <c r="AJ91" s="53"/>
      <c r="AK91" s="53"/>
      <c r="AL91" s="53"/>
      <c r="AM91" s="53"/>
      <c r="AN91" s="53"/>
      <c r="AO91" s="257"/>
      <c r="AP91" s="257"/>
      <c r="AQ91" s="257"/>
      <c r="AR91" s="257"/>
      <c r="AS91" s="257"/>
      <c r="AT91" s="53"/>
      <c r="AU91" s="53"/>
      <c r="AV91" s="53"/>
      <c r="AW91" s="53"/>
      <c r="AX91" s="53"/>
      <c r="AY91" s="28"/>
      <c r="AZ91" s="28"/>
      <c r="BA91" s="28"/>
      <c r="BB91" s="180"/>
      <c r="BC91" s="180"/>
      <c r="BD91" s="1031" t="s">
        <v>2084</v>
      </c>
      <c r="BE91" s="1031" t="s">
        <v>2085</v>
      </c>
      <c r="BF91" s="1031" cm="1">
        <f t="array" ref="BF91">AC91</f>
        <v>0</v>
      </c>
      <c r="BG91" s="1032"/>
      <c r="BH91" s="1032" t="b">
        <v>1</v>
      </c>
      <c r="BI91" s="1064" t="str" cm="1">
        <f t="array" aca="1" ref="BI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M10655::ТЭ.42.26322895.0004::0::Неопределено::Неопределено::Неопределено::Неопределено::22.0.10.::Неопределено</v>
      </c>
    </row>
    <row r="92" spans="1:61" s="1229" customFormat="1" ht="16.5" customHeight="1">
      <c r="A92" s="983"/>
      <c r="B92" s="783"/>
      <c r="C92" s="1093"/>
      <c r="D92" s="1083"/>
      <c r="E92" s="676">
        <v>17</v>
      </c>
      <c r="F92" s="620" t="str" cm="1">
        <f t="array" aca="1" ref="F92" ca="1">OFFSET(G92,-1,-1)</f>
        <v>2</v>
      </c>
      <c r="G92" s="180"/>
      <c r="H92" s="180"/>
      <c r="I92" s="180"/>
      <c r="J92" s="180"/>
      <c r="K92" s="180"/>
      <c r="L92" s="1064"/>
      <c r="M92" s="1080" t="str" cm="1">
        <f t="array" aca="1" ref="M92" ca="1">OFFSET(L92,-1,1)</f>
        <v>ТЭ.42.26322895.0004</v>
      </c>
      <c r="N92" s="1064"/>
      <c r="O92" s="1064"/>
      <c r="P92" s="1064"/>
      <c r="Q92" s="1072"/>
      <c r="R92" s="1072"/>
      <c r="S92" s="1064"/>
      <c r="T92" s="687" t="b">
        <f t="shared" ca="1" si="28"/>
        <v>1</v>
      </c>
      <c r="U92" s="1153"/>
      <c r="V92" s="1153"/>
      <c r="W92" s="858" t="s">
        <v>1005</v>
      </c>
      <c r="X92" s="1726"/>
      <c r="Y92" s="1153"/>
      <c r="Z92" s="1726"/>
      <c r="AA92" s="180"/>
      <c r="AB92" s="249"/>
      <c r="AC92" s="616" t="s">
        <v>238</v>
      </c>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180"/>
      <c r="BC92" s="180"/>
      <c r="BD92" s="1031" t="str">
        <f>IF(AND(ISNUMBER(VALUE(TRIM(SUBSTITUTE(AB92,".","")))),TRIM(SUBSTITUTE(AB92,".",""))&lt;&gt;""),"P"&amp;SUBSTITUTE(AB92,".",""),"")</f>
        <v/>
      </c>
      <c r="BE92" s="1031"/>
      <c r="BF92" s="1031"/>
      <c r="BG92" s="1032" t="s">
        <v>2085</v>
      </c>
      <c r="BH92" s="1032"/>
      <c r="BI92" s="1126"/>
    </row>
    <row r="93" spans="1:61" s="1229" customFormat="1" ht="33.75" customHeight="1">
      <c r="A93" s="983"/>
      <c r="B93" s="783"/>
      <c r="C93" s="1094" t="s">
        <v>1753</v>
      </c>
      <c r="D93" s="1113" t="s">
        <v>1754</v>
      </c>
      <c r="E93" s="676">
        <v>35</v>
      </c>
      <c r="F93" s="620" t="str" cm="1">
        <f t="array" aca="1" ref="F93" ca="1">OFFSET(G93,-1,-1)</f>
        <v>2</v>
      </c>
      <c r="G93" s="180"/>
      <c r="H93" s="180"/>
      <c r="I93" s="180"/>
      <c r="J93" s="180"/>
      <c r="K93" s="180"/>
      <c r="L93" s="1080"/>
      <c r="M93" s="1080" t="str" cm="1">
        <f t="array" aca="1" ref="M93" ca="1">OFFSET(L93,-1,1)</f>
        <v>ТЭ.42.26322895.0004</v>
      </c>
      <c r="N93" s="1080"/>
      <c r="O93" s="1080"/>
      <c r="P93" s="1080"/>
      <c r="Q93" s="1082" t="s">
        <v>2069</v>
      </c>
      <c r="R93" s="1082"/>
      <c r="S93" s="1080"/>
      <c r="T93" s="687" t="b">
        <f t="shared" ca="1" si="28"/>
        <v>1</v>
      </c>
      <c r="U93" s="1153"/>
      <c r="V93" s="1153"/>
      <c r="W93" s="1153"/>
      <c r="X93" s="1726"/>
      <c r="Y93" s="1153"/>
      <c r="Z93" s="1726"/>
      <c r="AA93" s="180"/>
      <c r="AB93" s="487" t="s">
        <v>2086</v>
      </c>
      <c r="AC93" s="471" t="s">
        <v>2071</v>
      </c>
      <c r="AD93" s="855" t="s">
        <v>1460</v>
      </c>
      <c r="AE93" s="257">
        <f t="shared" ref="AE93:AX93" si="29">SUM(AE94:AE95)</f>
        <v>0</v>
      </c>
      <c r="AF93" s="257">
        <f t="shared" si="29"/>
        <v>0</v>
      </c>
      <c r="AG93" s="257">
        <f t="shared" si="29"/>
        <v>0</v>
      </c>
      <c r="AH93" s="257">
        <f t="shared" si="29"/>
        <v>0</v>
      </c>
      <c r="AI93" s="257">
        <f t="shared" si="29"/>
        <v>0</v>
      </c>
      <c r="AJ93" s="1314">
        <f t="shared" si="29"/>
        <v>0</v>
      </c>
      <c r="AK93" s="1314">
        <f t="shared" si="29"/>
        <v>0</v>
      </c>
      <c r="AL93" s="1314">
        <f t="shared" si="29"/>
        <v>0</v>
      </c>
      <c r="AM93" s="1314">
        <f t="shared" si="29"/>
        <v>0</v>
      </c>
      <c r="AN93" s="1314">
        <f t="shared" si="29"/>
        <v>0</v>
      </c>
      <c r="AO93" s="257">
        <f t="shared" si="29"/>
        <v>0</v>
      </c>
      <c r="AP93" s="257">
        <f t="shared" si="29"/>
        <v>0</v>
      </c>
      <c r="AQ93" s="257">
        <f t="shared" si="29"/>
        <v>0</v>
      </c>
      <c r="AR93" s="257">
        <f t="shared" si="29"/>
        <v>0</v>
      </c>
      <c r="AS93" s="257">
        <f t="shared" si="29"/>
        <v>0</v>
      </c>
      <c r="AT93" s="1314">
        <f t="shared" si="29"/>
        <v>0</v>
      </c>
      <c r="AU93" s="1314">
        <f t="shared" si="29"/>
        <v>0</v>
      </c>
      <c r="AV93" s="1314">
        <f t="shared" si="29"/>
        <v>0</v>
      </c>
      <c r="AW93" s="1314">
        <f t="shared" si="29"/>
        <v>0</v>
      </c>
      <c r="AX93" s="1314">
        <f t="shared" si="29"/>
        <v>0</v>
      </c>
      <c r="AY93" s="1290"/>
      <c r="AZ93" s="1290"/>
      <c r="BA93" s="1290"/>
      <c r="BB93" s="180"/>
      <c r="BC93" s="180"/>
      <c r="BD93" s="1031" t="s">
        <v>2087</v>
      </c>
      <c r="BE93" s="1031"/>
      <c r="BF93" s="1031"/>
      <c r="BG93" s="1032"/>
      <c r="BH93" s="1032"/>
      <c r="BI93" s="1064" t="str" cm="1">
        <f t="array" aca="1" ref="BI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M10655::ТЭ.42.26322895.0004::Неопределено::Неопределено::Неопределено::Неопределено::147.0.5.::Неопределено::Неопределено</v>
      </c>
    </row>
    <row r="94" spans="1:61" s="1229" customFormat="1" ht="16.5" hidden="1" customHeight="1">
      <c r="A94" s="983"/>
      <c r="B94" s="783"/>
      <c r="C94" s="1094" t="s">
        <v>1753</v>
      </c>
      <c r="D94" s="1113" t="s">
        <v>1754</v>
      </c>
      <c r="E94" s="676">
        <v>17</v>
      </c>
      <c r="F94" s="620" t="str" cm="1">
        <f t="array" aca="1" ref="F94" ca="1">OFFSET(G94,-1,-1)</f>
        <v>2</v>
      </c>
      <c r="G94" s="180"/>
      <c r="H94" s="180"/>
      <c r="I94" s="180"/>
      <c r="J94" s="180"/>
      <c r="K94" s="180"/>
      <c r="L94" s="1080" cm="1">
        <f t="array" ref="L94">AC94</f>
        <v>0</v>
      </c>
      <c r="M94" s="1080" t="str" cm="1">
        <f t="array" aca="1" ref="M94" ca="1">OFFSET(L94,-1,1)</f>
        <v>ТЭ.42.26322895.0004</v>
      </c>
      <c r="N94" s="1080"/>
      <c r="O94" s="1080"/>
      <c r="P94" s="1080"/>
      <c r="Q94" s="1082" t="s">
        <v>2069</v>
      </c>
      <c r="R94" s="1082"/>
      <c r="S94" s="1080"/>
      <c r="T94" s="687" t="b">
        <f t="shared" ca="1" si="28"/>
        <v>0</v>
      </c>
      <c r="U94" s="1153"/>
      <c r="V94" s="1153"/>
      <c r="W94" s="126" t="s">
        <v>236</v>
      </c>
      <c r="X94" s="1726"/>
      <c r="Y94" s="126">
        <v>0</v>
      </c>
      <c r="Z94" s="1726"/>
      <c r="AA94" s="11" t="s">
        <v>218</v>
      </c>
      <c r="AB94" s="487" t="str">
        <f>"1.2.2."&amp;Y94</f>
        <v>1.2.2.0</v>
      </c>
      <c r="AC94" s="98"/>
      <c r="AD94" s="855" t="s">
        <v>1460</v>
      </c>
      <c r="AE94" s="257"/>
      <c r="AF94" s="257"/>
      <c r="AG94" s="257"/>
      <c r="AH94" s="257"/>
      <c r="AI94" s="257"/>
      <c r="AJ94" s="53"/>
      <c r="AK94" s="53"/>
      <c r="AL94" s="53"/>
      <c r="AM94" s="53"/>
      <c r="AN94" s="53"/>
      <c r="AO94" s="257"/>
      <c r="AP94" s="257"/>
      <c r="AQ94" s="257"/>
      <c r="AR94" s="257"/>
      <c r="AS94" s="257"/>
      <c r="AT94" s="53"/>
      <c r="AU94" s="53"/>
      <c r="AV94" s="53"/>
      <c r="AW94" s="53"/>
      <c r="AX94" s="53"/>
      <c r="AY94" s="28"/>
      <c r="AZ94" s="28"/>
      <c r="BA94" s="28"/>
      <c r="BB94" s="180"/>
      <c r="BC94" s="180"/>
      <c r="BD94" s="1031" t="s">
        <v>2087</v>
      </c>
      <c r="BE94" s="1031" t="s">
        <v>2088</v>
      </c>
      <c r="BF94" s="1031" cm="1">
        <f t="array" ref="BF94">AC94</f>
        <v>0</v>
      </c>
      <c r="BG94" s="1032"/>
      <c r="BH94" s="1032" t="b">
        <v>1</v>
      </c>
      <c r="BI94" s="1064" t="str" cm="1">
        <f t="array" aca="1" ref="BI94" ca="1">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M10655::ТЭ.42.26322895.0004::0::Неопределено::Неопределено::Неопределено::147.0.5.::Неопределено::Неопределено</v>
      </c>
    </row>
    <row r="95" spans="1:61" s="1229" customFormat="1" ht="16.5" customHeight="1">
      <c r="A95" s="983"/>
      <c r="B95" s="783"/>
      <c r="C95" s="1093"/>
      <c r="D95" s="1083"/>
      <c r="E95" s="676">
        <v>17</v>
      </c>
      <c r="F95" s="620" t="str" cm="1">
        <f t="array" aca="1" ref="F95" ca="1">OFFSET(G95,-1,-1)</f>
        <v>2</v>
      </c>
      <c r="G95" s="180"/>
      <c r="H95" s="180"/>
      <c r="I95" s="180"/>
      <c r="J95" s="180"/>
      <c r="K95" s="180"/>
      <c r="L95" s="1064"/>
      <c r="M95" s="1080" t="str" cm="1">
        <f t="array" aca="1" ref="M95" ca="1">OFFSET(L95,-1,1)</f>
        <v>ТЭ.42.26322895.0004</v>
      </c>
      <c r="N95" s="1064"/>
      <c r="O95" s="1064"/>
      <c r="P95" s="1064"/>
      <c r="Q95" s="1072"/>
      <c r="R95" s="1072"/>
      <c r="S95" s="1064"/>
      <c r="T95" s="687" t="b">
        <f t="shared" ca="1" si="28"/>
        <v>1</v>
      </c>
      <c r="U95" s="1153"/>
      <c r="V95" s="1153"/>
      <c r="W95" s="858" t="s">
        <v>1016</v>
      </c>
      <c r="X95" s="1726"/>
      <c r="Y95" s="1153"/>
      <c r="Z95" s="1726"/>
      <c r="AA95" s="180"/>
      <c r="AB95" s="249"/>
      <c r="AC95" s="616" t="s">
        <v>238</v>
      </c>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180"/>
      <c r="BC95" s="180"/>
      <c r="BD95" s="1031" t="str">
        <f>IF(AND(ISNUMBER(VALUE(TRIM(SUBSTITUTE(AB95,".","")))),TRIM(SUBSTITUTE(AB95,".",""))&lt;&gt;""),"P"&amp;SUBSTITUTE(AB95,".",""),"")</f>
        <v/>
      </c>
      <c r="BE95" s="1031"/>
      <c r="BF95" s="1031"/>
      <c r="BG95" s="1032" t="s">
        <v>2088</v>
      </c>
      <c r="BH95" s="1032"/>
      <c r="BI95" s="1126"/>
    </row>
    <row r="96" spans="1:61" s="1229" customFormat="1" ht="16.5" customHeight="1">
      <c r="A96" s="983"/>
      <c r="B96" s="783"/>
      <c r="C96" s="1094" t="s">
        <v>1753</v>
      </c>
      <c r="D96" s="1113" t="s">
        <v>1754</v>
      </c>
      <c r="E96" s="676">
        <v>17</v>
      </c>
      <c r="F96" s="620" t="str" cm="1">
        <f t="array" aca="1" ref="F96" ca="1">OFFSET(G96,-1,-1)</f>
        <v>2</v>
      </c>
      <c r="G96" s="180"/>
      <c r="H96" s="180"/>
      <c r="I96" s="180"/>
      <c r="J96" s="180"/>
      <c r="K96" s="180"/>
      <c r="L96" s="1080"/>
      <c r="M96" s="1080" t="str" cm="1">
        <f t="array" aca="1" ref="M96" ca="1">OFFSET(L96,-1,1)</f>
        <v>ТЭ.42.26322895.0004</v>
      </c>
      <c r="N96" s="1080"/>
      <c r="O96" s="1080"/>
      <c r="P96" s="1080"/>
      <c r="Q96" s="1082" t="s">
        <v>2073</v>
      </c>
      <c r="R96" s="1082"/>
      <c r="S96" s="1080"/>
      <c r="T96" s="687" t="b">
        <f t="shared" ca="1" si="28"/>
        <v>1</v>
      </c>
      <c r="U96" s="1153"/>
      <c r="V96" s="1153"/>
      <c r="W96" s="1153"/>
      <c r="X96" s="1726"/>
      <c r="Y96" s="1153"/>
      <c r="Z96" s="1726"/>
      <c r="AA96" s="180"/>
      <c r="AB96" s="924" t="s">
        <v>2089</v>
      </c>
      <c r="AC96" s="471" t="s">
        <v>2075</v>
      </c>
      <c r="AD96" s="855" t="s">
        <v>1460</v>
      </c>
      <c r="AE96" s="257">
        <f t="shared" ref="AE96:AX96" si="30">SUM(AE97:AE98)</f>
        <v>0</v>
      </c>
      <c r="AF96" s="257">
        <f t="shared" si="30"/>
        <v>0</v>
      </c>
      <c r="AG96" s="257">
        <f t="shared" si="30"/>
        <v>0</v>
      </c>
      <c r="AH96" s="257">
        <f t="shared" si="30"/>
        <v>0</v>
      </c>
      <c r="AI96" s="257">
        <f t="shared" si="30"/>
        <v>0</v>
      </c>
      <c r="AJ96" s="1314">
        <f t="shared" si="30"/>
        <v>0</v>
      </c>
      <c r="AK96" s="1314">
        <f t="shared" si="30"/>
        <v>0</v>
      </c>
      <c r="AL96" s="1314">
        <f t="shared" si="30"/>
        <v>0</v>
      </c>
      <c r="AM96" s="1314">
        <f t="shared" si="30"/>
        <v>0</v>
      </c>
      <c r="AN96" s="1314">
        <f t="shared" si="30"/>
        <v>0</v>
      </c>
      <c r="AO96" s="257">
        <f t="shared" si="30"/>
        <v>0</v>
      </c>
      <c r="AP96" s="257">
        <f t="shared" si="30"/>
        <v>0</v>
      </c>
      <c r="AQ96" s="257">
        <f t="shared" si="30"/>
        <v>0</v>
      </c>
      <c r="AR96" s="257">
        <f t="shared" si="30"/>
        <v>0</v>
      </c>
      <c r="AS96" s="257">
        <f t="shared" si="30"/>
        <v>0</v>
      </c>
      <c r="AT96" s="1314">
        <f t="shared" si="30"/>
        <v>0</v>
      </c>
      <c r="AU96" s="1314">
        <f t="shared" si="30"/>
        <v>0</v>
      </c>
      <c r="AV96" s="1314">
        <f t="shared" si="30"/>
        <v>0</v>
      </c>
      <c r="AW96" s="1314">
        <f t="shared" si="30"/>
        <v>0</v>
      </c>
      <c r="AX96" s="1314">
        <f t="shared" si="30"/>
        <v>0</v>
      </c>
      <c r="AY96" s="1290"/>
      <c r="AZ96" s="1290"/>
      <c r="BA96" s="1290"/>
      <c r="BB96" s="180"/>
      <c r="BC96" s="180"/>
      <c r="BD96" s="1031" t="s">
        <v>2090</v>
      </c>
      <c r="BE96" s="1031"/>
      <c r="BF96" s="1031"/>
      <c r="BG96" s="1032"/>
      <c r="BH96" s="1032"/>
      <c r="BI96" s="1064" t="str" cm="1">
        <f t="array" aca="1" ref="BI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M10655::ТЭ.42.26322895.0004::Неопределено::Неопределено::Неопределено::Неопределено::147.0.1.::Неопределено::Неопределено</v>
      </c>
    </row>
    <row r="97" spans="1:61" s="1229" customFormat="1" ht="16.5" hidden="1" customHeight="1">
      <c r="A97" s="983"/>
      <c r="B97" s="783"/>
      <c r="C97" s="1094" t="s">
        <v>1753</v>
      </c>
      <c r="D97" s="1113" t="s">
        <v>1754</v>
      </c>
      <c r="E97" s="676">
        <v>17</v>
      </c>
      <c r="F97" s="620" t="str" cm="1">
        <f t="array" aca="1" ref="F97" ca="1">OFFSET(G97,-1,-1)</f>
        <v>2</v>
      </c>
      <c r="G97" s="180"/>
      <c r="H97" s="180"/>
      <c r="I97" s="180"/>
      <c r="J97" s="180"/>
      <c r="K97" s="180"/>
      <c r="L97" s="1080" cm="1">
        <f t="array" ref="L97">AC97</f>
        <v>0</v>
      </c>
      <c r="M97" s="1080" t="str" cm="1">
        <f t="array" aca="1" ref="M97" ca="1">OFFSET(L97,-1,1)</f>
        <v>ТЭ.42.26322895.0004</v>
      </c>
      <c r="N97" s="1080"/>
      <c r="O97" s="1080"/>
      <c r="P97" s="1080"/>
      <c r="Q97" s="1082" t="s">
        <v>2073</v>
      </c>
      <c r="R97" s="1082"/>
      <c r="S97" s="1080"/>
      <c r="T97" s="687" t="b">
        <f t="shared" ca="1" si="28"/>
        <v>0</v>
      </c>
      <c r="U97" s="1153"/>
      <c r="V97" s="1153"/>
      <c r="W97" s="126" t="s">
        <v>236</v>
      </c>
      <c r="X97" s="1726"/>
      <c r="Y97" s="126">
        <v>0</v>
      </c>
      <c r="Z97" s="1726"/>
      <c r="AA97" s="11" t="s">
        <v>218</v>
      </c>
      <c r="AB97" s="487" t="str">
        <f>"1.2.3."&amp;Y97</f>
        <v>1.2.3.0</v>
      </c>
      <c r="AC97" s="98"/>
      <c r="AD97" s="855" t="s">
        <v>1460</v>
      </c>
      <c r="AE97" s="257"/>
      <c r="AF97" s="257"/>
      <c r="AG97" s="257"/>
      <c r="AH97" s="257"/>
      <c r="AI97" s="257"/>
      <c r="AJ97" s="53"/>
      <c r="AK97" s="53"/>
      <c r="AL97" s="53"/>
      <c r="AM97" s="53"/>
      <c r="AN97" s="53"/>
      <c r="AO97" s="257"/>
      <c r="AP97" s="257"/>
      <c r="AQ97" s="257"/>
      <c r="AR97" s="257"/>
      <c r="AS97" s="257"/>
      <c r="AT97" s="53"/>
      <c r="AU97" s="53"/>
      <c r="AV97" s="53"/>
      <c r="AW97" s="53"/>
      <c r="AX97" s="53"/>
      <c r="AY97" s="28"/>
      <c r="AZ97" s="28"/>
      <c r="BA97" s="28"/>
      <c r="BB97" s="180"/>
      <c r="BC97" s="180"/>
      <c r="BD97" s="1031" t="s">
        <v>2090</v>
      </c>
      <c r="BE97" s="1031" t="s">
        <v>2091</v>
      </c>
      <c r="BF97" s="1031" cm="1">
        <f t="array" ref="BF97">AC97</f>
        <v>0</v>
      </c>
      <c r="BG97" s="1032"/>
      <c r="BH97" s="1032" t="b">
        <v>1</v>
      </c>
      <c r="BI97" s="1064" t="str" cm="1">
        <f t="array" aca="1" ref="BI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M10655::ТЭ.42.26322895.0004::0::Неопределено::Неопределено::Неопределено::147.0.1.::Неопределено::Неопределено</v>
      </c>
    </row>
    <row r="98" spans="1:61" s="1229" customFormat="1" ht="16.5" customHeight="1">
      <c r="A98" s="983"/>
      <c r="B98" s="783"/>
      <c r="C98" s="1093"/>
      <c r="D98" s="1083"/>
      <c r="E98" s="676">
        <v>17</v>
      </c>
      <c r="F98" s="620" t="str" cm="1">
        <f t="array" aca="1" ref="F98" ca="1">OFFSET(G98,-1,-1)</f>
        <v>2</v>
      </c>
      <c r="G98" s="180"/>
      <c r="H98" s="180"/>
      <c r="I98" s="180"/>
      <c r="J98" s="180"/>
      <c r="K98" s="180"/>
      <c r="L98" s="1064"/>
      <c r="M98" s="1080" t="str" cm="1">
        <f t="array" aca="1" ref="M98" ca="1">OFFSET(L98,-1,1)</f>
        <v>ТЭ.42.26322895.0004</v>
      </c>
      <c r="N98" s="1064"/>
      <c r="O98" s="1064"/>
      <c r="P98" s="1064"/>
      <c r="Q98" s="1072"/>
      <c r="R98" s="1072"/>
      <c r="S98" s="1064"/>
      <c r="T98" s="687" t="b">
        <f t="shared" ca="1" si="28"/>
        <v>1</v>
      </c>
      <c r="U98" s="1153"/>
      <c r="V98" s="1153"/>
      <c r="W98" s="858" t="s">
        <v>1257</v>
      </c>
      <c r="X98" s="1726"/>
      <c r="Y98" s="1153"/>
      <c r="Z98" s="1726"/>
      <c r="AA98" s="180"/>
      <c r="AB98" s="249"/>
      <c r="AC98" s="616" t="s">
        <v>238</v>
      </c>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180"/>
      <c r="BC98" s="180"/>
      <c r="BD98" s="1031" t="str">
        <f>IF(AND(ISNUMBER(VALUE(TRIM(SUBSTITUTE(AB98,".","")))),TRIM(SUBSTITUTE(AB98,".",""))&lt;&gt;""),"P"&amp;SUBSTITUTE(AB98,".",""),"")</f>
        <v/>
      </c>
      <c r="BE98" s="1031"/>
      <c r="BF98" s="1031"/>
      <c r="BG98" s="1032" t="s">
        <v>2091</v>
      </c>
      <c r="BH98" s="1032"/>
      <c r="BI98" s="1126"/>
    </row>
    <row r="99" spans="1:61" s="1229" customFormat="1" ht="16.5" customHeight="1">
      <c r="A99" s="983"/>
      <c r="B99" s="783"/>
      <c r="C99" s="1094" t="s">
        <v>1753</v>
      </c>
      <c r="D99" s="1113" t="s">
        <v>1754</v>
      </c>
      <c r="E99" s="676">
        <v>17</v>
      </c>
      <c r="F99" s="620" t="str" cm="1">
        <f t="array" aca="1" ref="F99" ca="1">OFFSET(G99,-1,-1)</f>
        <v>2</v>
      </c>
      <c r="G99" s="180"/>
      <c r="H99" s="180"/>
      <c r="I99" s="180"/>
      <c r="J99" s="180"/>
      <c r="K99" s="180"/>
      <c r="L99" s="1080"/>
      <c r="M99" s="1080" t="str" cm="1">
        <f t="array" aca="1" ref="M99" ca="1">OFFSET(L99,-1,1)</f>
        <v>ТЭ.42.26322895.0004</v>
      </c>
      <c r="N99" s="1080" t="s">
        <v>2092</v>
      </c>
      <c r="O99" s="1080"/>
      <c r="P99" s="1080"/>
      <c r="Q99" s="1082"/>
      <c r="R99" s="1082"/>
      <c r="S99" s="1080"/>
      <c r="T99" s="687" t="b">
        <f t="shared" ca="1" si="28"/>
        <v>1</v>
      </c>
      <c r="U99" s="1153"/>
      <c r="V99" s="1153"/>
      <c r="W99" s="1153"/>
      <c r="X99" s="1726"/>
      <c r="Y99" s="1153"/>
      <c r="Z99" s="1726"/>
      <c r="AA99" s="180"/>
      <c r="AB99" s="924" t="s">
        <v>991</v>
      </c>
      <c r="AC99" s="115" t="s">
        <v>2093</v>
      </c>
      <c r="AD99" s="855" t="s">
        <v>1460</v>
      </c>
      <c r="AE99" s="257"/>
      <c r="AF99" s="257"/>
      <c r="AG99" s="257"/>
      <c r="AH99" s="257"/>
      <c r="AI99" s="257"/>
      <c r="AJ99" s="1314"/>
      <c r="AK99" s="1314"/>
      <c r="AL99" s="1314"/>
      <c r="AM99" s="1314"/>
      <c r="AN99" s="1314"/>
      <c r="AO99" s="257"/>
      <c r="AP99" s="257"/>
      <c r="AQ99" s="257"/>
      <c r="AR99" s="257"/>
      <c r="AS99" s="257"/>
      <c r="AT99" s="1314"/>
      <c r="AU99" s="1314"/>
      <c r="AV99" s="1314"/>
      <c r="AW99" s="1314"/>
      <c r="AX99" s="1314"/>
      <c r="AY99" s="1290"/>
      <c r="AZ99" s="1290"/>
      <c r="BA99" s="1290"/>
      <c r="BB99" s="180"/>
      <c r="BC99" s="180"/>
      <c r="BD99" s="1031" t="s">
        <v>1448</v>
      </c>
      <c r="BE99" s="1031"/>
      <c r="BF99" s="1031"/>
      <c r="BG99" s="1032"/>
      <c r="BH99" s="1032"/>
      <c r="BI99" s="1064" t="str" cm="1">
        <f t="array" aca="1" ref="BI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M10655::ТЭ.42.26322895.0004::Неопределено::110.0.3.::Неопределено::Неопределено::Неопределено::Неопределено::Неопределено</v>
      </c>
    </row>
    <row r="100" spans="1:61" s="1229" customFormat="1" ht="16.5" customHeight="1">
      <c r="A100" s="983"/>
      <c r="B100" s="783"/>
      <c r="C100" s="1100"/>
      <c r="D100" s="1114"/>
      <c r="E100" s="676">
        <v>17</v>
      </c>
      <c r="F100" s="620" t="str" cm="1">
        <f t="array" aca="1" ref="F100" ca="1">OFFSET(G100,-1,-1)</f>
        <v>2</v>
      </c>
      <c r="G100" s="180"/>
      <c r="H100" s="180"/>
      <c r="I100" s="180"/>
      <c r="J100" s="180"/>
      <c r="K100" s="180"/>
      <c r="L100" s="1134"/>
      <c r="M100" s="1080" t="str" cm="1">
        <f t="array" aca="1" ref="M100" ca="1">OFFSET(L100,-1,1)</f>
        <v>ТЭ.42.26322895.0004</v>
      </c>
      <c r="N100" s="1134"/>
      <c r="O100" s="1134"/>
      <c r="P100" s="1134"/>
      <c r="Q100" s="1136"/>
      <c r="R100" s="1136"/>
      <c r="S100" s="1134"/>
      <c r="T100" s="687" t="b">
        <f t="shared" ca="1" si="28"/>
        <v>1</v>
      </c>
      <c r="U100" s="1153"/>
      <c r="V100" s="1153"/>
      <c r="W100" s="1153"/>
      <c r="X100" s="1726"/>
      <c r="Y100" s="1153"/>
      <c r="Z100" s="1726"/>
      <c r="AA100" s="180"/>
      <c r="AB100" s="487" t="s">
        <v>348</v>
      </c>
      <c r="AC100" s="269" t="s">
        <v>2094</v>
      </c>
      <c r="AD100" s="855"/>
      <c r="AE100" s="855"/>
      <c r="AF100" s="855"/>
      <c r="AG100" s="855"/>
      <c r="AH100" s="855"/>
      <c r="AI100" s="855"/>
      <c r="AJ100" s="855"/>
      <c r="AK100" s="855"/>
      <c r="AL100" s="855"/>
      <c r="AM100" s="855"/>
      <c r="AN100" s="855"/>
      <c r="AO100" s="855"/>
      <c r="AP100" s="855"/>
      <c r="AQ100" s="855"/>
      <c r="AR100" s="855"/>
      <c r="AS100" s="855"/>
      <c r="AT100" s="855"/>
      <c r="AU100" s="855"/>
      <c r="AV100" s="855"/>
      <c r="AW100" s="855"/>
      <c r="AX100" s="855"/>
      <c r="AY100" s="855"/>
      <c r="AZ100" s="855"/>
      <c r="BA100" s="855"/>
      <c r="BB100" s="180"/>
      <c r="BC100" s="180"/>
      <c r="BD100" s="1031"/>
      <c r="BE100" s="1031"/>
      <c r="BF100" s="1031"/>
      <c r="BG100" s="1032"/>
      <c r="BH100" s="1032"/>
      <c r="BI100" s="1126"/>
    </row>
    <row r="101" spans="1:61" s="1229" customFormat="1" ht="16.5" customHeight="1">
      <c r="A101" s="983"/>
      <c r="B101" s="783"/>
      <c r="C101" s="1094" t="s">
        <v>1779</v>
      </c>
      <c r="D101" s="1113" t="s">
        <v>1780</v>
      </c>
      <c r="E101" s="676">
        <v>17</v>
      </c>
      <c r="F101" s="620" t="str" cm="1">
        <f t="array" aca="1" ref="F101" ca="1">OFFSET(G101,-1,-1)</f>
        <v>2</v>
      </c>
      <c r="G101" s="143" t="s">
        <v>1781</v>
      </c>
      <c r="H101" s="180"/>
      <c r="I101" s="180"/>
      <c r="J101" s="180"/>
      <c r="K101" s="180"/>
      <c r="L101" s="1080"/>
      <c r="M101" s="1080" t="str" cm="1">
        <f t="array" aca="1" ref="M101" ca="1">OFFSET(L101,-1,1)</f>
        <v>ТЭ.42.26322895.0004</v>
      </c>
      <c r="N101" s="1080"/>
      <c r="O101" s="1080"/>
      <c r="P101" s="1080"/>
      <c r="Q101" s="1082"/>
      <c r="R101" s="1082"/>
      <c r="S101" s="1082" t="s">
        <v>1782</v>
      </c>
      <c r="T101" s="687" t="b">
        <f t="shared" ca="1" si="28"/>
        <v>1</v>
      </c>
      <c r="U101" s="1153"/>
      <c r="V101" s="1153"/>
      <c r="W101" s="1153"/>
      <c r="X101" s="1726"/>
      <c r="Y101" s="1153"/>
      <c r="Z101" s="1726"/>
      <c r="AA101" s="180"/>
      <c r="AB101" s="124" t="s">
        <v>491</v>
      </c>
      <c r="AC101" s="236" t="s">
        <v>1783</v>
      </c>
      <c r="AD101" s="468" t="s">
        <v>634</v>
      </c>
      <c r="AE101" s="257"/>
      <c r="AF101" s="257"/>
      <c r="AG101" s="257"/>
      <c r="AH101" s="257"/>
      <c r="AI101" s="257"/>
      <c r="AJ101" s="1314"/>
      <c r="AK101" s="1314"/>
      <c r="AL101" s="1314"/>
      <c r="AM101" s="1314"/>
      <c r="AN101" s="1314"/>
      <c r="AO101" s="257"/>
      <c r="AP101" s="257"/>
      <c r="AQ101" s="257"/>
      <c r="AR101" s="257"/>
      <c r="AS101" s="257"/>
      <c r="AT101" s="1314"/>
      <c r="AU101" s="1314"/>
      <c r="AV101" s="1314"/>
      <c r="AW101" s="1314"/>
      <c r="AX101" s="1314"/>
      <c r="AY101" s="1290"/>
      <c r="AZ101" s="1290"/>
      <c r="BA101" s="1290"/>
      <c r="BB101" s="180"/>
      <c r="BC101" s="180"/>
      <c r="BD101" s="1031" t="s">
        <v>2095</v>
      </c>
      <c r="BE101" s="1031"/>
      <c r="BF101" s="1031"/>
      <c r="BG101" s="1032"/>
      <c r="BH101" s="1032"/>
      <c r="BI101" s="1064" t="str" cm="1">
        <f t="array" aca="1" ref="BI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M10670::ТЭ.42.26322895.0004::Неопределено::Неопределено::Неопределено::Неопределено::Неопределено::Неопределено::8.0.3.</v>
      </c>
    </row>
    <row r="102" spans="1:61" s="1229" customFormat="1" ht="16.5" customHeight="1">
      <c r="A102" s="983"/>
      <c r="B102" s="783"/>
      <c r="C102" s="1094" t="s">
        <v>1785</v>
      </c>
      <c r="D102" s="1113" t="s">
        <v>1786</v>
      </c>
      <c r="E102" s="676">
        <v>17</v>
      </c>
      <c r="F102" s="620" t="str" cm="1">
        <f t="array" aca="1" ref="F102" ca="1">OFFSET(G102,-1,-1)</f>
        <v>2</v>
      </c>
      <c r="G102" s="620" t="s">
        <v>1787</v>
      </c>
      <c r="H102" s="180"/>
      <c r="I102" s="180"/>
      <c r="J102" s="180"/>
      <c r="K102" s="180"/>
      <c r="L102" s="1080"/>
      <c r="M102" s="1080" t="str" cm="1">
        <f t="array" aca="1" ref="M102" ca="1">OFFSET(L102,-1,1)</f>
        <v>ТЭ.42.26322895.0004</v>
      </c>
      <c r="N102" s="1080"/>
      <c r="O102" s="1080"/>
      <c r="P102" s="1080"/>
      <c r="Q102" s="1082"/>
      <c r="R102" s="1082"/>
      <c r="S102" s="1082" t="s">
        <v>1782</v>
      </c>
      <c r="T102" s="687" t="b">
        <f t="shared" ca="1" si="28"/>
        <v>1</v>
      </c>
      <c r="U102" s="1153"/>
      <c r="V102" s="1153"/>
      <c r="W102" s="1153"/>
      <c r="X102" s="1726"/>
      <c r="Y102" s="1153"/>
      <c r="Z102" s="1726"/>
      <c r="AA102" s="180"/>
      <c r="AB102" s="124" t="s">
        <v>518</v>
      </c>
      <c r="AC102" s="236" t="s">
        <v>1788</v>
      </c>
      <c r="AD102" s="468" t="s">
        <v>929</v>
      </c>
      <c r="AE102" s="257"/>
      <c r="AF102" s="257"/>
      <c r="AG102" s="257"/>
      <c r="AH102" s="257"/>
      <c r="AI102" s="257"/>
      <c r="AJ102" s="1314"/>
      <c r="AK102" s="1314"/>
      <c r="AL102" s="1314"/>
      <c r="AM102" s="1314"/>
      <c r="AN102" s="1314"/>
      <c r="AO102" s="257"/>
      <c r="AP102" s="257"/>
      <c r="AQ102" s="257"/>
      <c r="AR102" s="257"/>
      <c r="AS102" s="257"/>
      <c r="AT102" s="1314"/>
      <c r="AU102" s="1314"/>
      <c r="AV102" s="1314"/>
      <c r="AW102" s="1314"/>
      <c r="AX102" s="1314"/>
      <c r="AY102" s="1290"/>
      <c r="AZ102" s="1290"/>
      <c r="BA102" s="1290"/>
      <c r="BB102" s="180"/>
      <c r="BC102" s="180"/>
      <c r="BD102" s="1031" t="s">
        <v>2096</v>
      </c>
      <c r="BE102" s="1031"/>
      <c r="BF102" s="1031"/>
      <c r="BG102" s="1032"/>
      <c r="BH102" s="1032"/>
      <c r="BI102" s="1064" t="str" cm="1">
        <f t="array" aca="1" ref="BI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M10546::ТЭ.42.26322895.0004::Неопределено::Неопределено::Неопределено::Неопределено::Неопределено::Неопределено::8.0.3.</v>
      </c>
    </row>
    <row r="103" spans="1:61" s="1229" customFormat="1" ht="16.5" customHeight="1">
      <c r="A103" s="983"/>
      <c r="B103" s="783"/>
      <c r="C103" s="1094" t="s">
        <v>1779</v>
      </c>
      <c r="D103" s="1113" t="s">
        <v>1780</v>
      </c>
      <c r="E103" s="676">
        <v>17</v>
      </c>
      <c r="F103" s="620" t="str" cm="1">
        <f t="array" aca="1" ref="F103" ca="1">OFFSET(G103,-1,-1)</f>
        <v>2</v>
      </c>
      <c r="G103" s="143" t="s">
        <v>1790</v>
      </c>
      <c r="H103" s="180"/>
      <c r="I103" s="180"/>
      <c r="J103" s="180"/>
      <c r="K103" s="180"/>
      <c r="L103" s="1080"/>
      <c r="M103" s="1080" t="str" cm="1">
        <f t="array" aca="1" ref="M103" ca="1">OFFSET(L103,-1,1)</f>
        <v>ТЭ.42.26322895.0004</v>
      </c>
      <c r="N103" s="1080"/>
      <c r="O103" s="1080"/>
      <c r="P103" s="1080"/>
      <c r="Q103" s="1082"/>
      <c r="R103" s="1082"/>
      <c r="S103" s="1082" t="s">
        <v>1791</v>
      </c>
      <c r="T103" s="687" t="b">
        <f t="shared" ca="1" si="28"/>
        <v>1</v>
      </c>
      <c r="U103" s="1153"/>
      <c r="V103" s="1153"/>
      <c r="W103" s="1153"/>
      <c r="X103" s="1726"/>
      <c r="Y103" s="1153"/>
      <c r="Z103" s="1726"/>
      <c r="AA103" s="180"/>
      <c r="AB103" s="124" t="s">
        <v>522</v>
      </c>
      <c r="AC103" s="236" t="s">
        <v>1792</v>
      </c>
      <c r="AD103" s="258" t="s">
        <v>634</v>
      </c>
      <c r="AE103" s="257"/>
      <c r="AF103" s="257"/>
      <c r="AG103" s="257"/>
      <c r="AH103" s="257"/>
      <c r="AI103" s="257"/>
      <c r="AJ103" s="1314"/>
      <c r="AK103" s="1314"/>
      <c r="AL103" s="1314"/>
      <c r="AM103" s="1314"/>
      <c r="AN103" s="1314"/>
      <c r="AO103" s="257"/>
      <c r="AP103" s="257"/>
      <c r="AQ103" s="257"/>
      <c r="AR103" s="257"/>
      <c r="AS103" s="257"/>
      <c r="AT103" s="1314"/>
      <c r="AU103" s="1314"/>
      <c r="AV103" s="1314"/>
      <c r="AW103" s="1314"/>
      <c r="AX103" s="1314"/>
      <c r="AY103" s="1290"/>
      <c r="AZ103" s="1290"/>
      <c r="BA103" s="1290"/>
      <c r="BB103" s="180"/>
      <c r="BC103" s="180"/>
      <c r="BD103" s="1031" t="s">
        <v>2097</v>
      </c>
      <c r="BE103" s="1031"/>
      <c r="BF103" s="1031"/>
      <c r="BG103" s="1032"/>
      <c r="BH103" s="1032"/>
      <c r="BI103" s="1064" t="str" cm="1">
        <f t="array" aca="1" ref="BI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M10670::ТЭ.42.26322895.0004::Неопределено::Неопределено::Неопределено::Неопределено::Неопределено::Неопределено::8.0.5.</v>
      </c>
    </row>
    <row r="104" spans="1:61" s="1524" customFormat="1" ht="16.5" customHeight="1">
      <c r="A104" s="185"/>
      <c r="B104" s="185"/>
      <c r="C104" s="1094" t="s">
        <v>1785</v>
      </c>
      <c r="D104" s="1113" t="s">
        <v>1786</v>
      </c>
      <c r="E104" s="676">
        <v>17</v>
      </c>
      <c r="F104" s="620" t="str" cm="1">
        <f t="array" aca="1" ref="F104" ca="1">OFFSET(G104,-1,-1)</f>
        <v>2</v>
      </c>
      <c r="G104" s="620" t="s">
        <v>1794</v>
      </c>
      <c r="H104" s="185"/>
      <c r="I104" s="185"/>
      <c r="J104" s="185"/>
      <c r="K104" s="185"/>
      <c r="L104" s="1079"/>
      <c r="M104" s="1080" t="str" cm="1">
        <f t="array" aca="1" ref="M104" ca="1">OFFSET(L104,-1,1)</f>
        <v>ТЭ.42.26322895.0004</v>
      </c>
      <c r="N104" s="1079"/>
      <c r="O104" s="1079"/>
      <c r="P104" s="1079"/>
      <c r="Q104" s="1090"/>
      <c r="R104" s="1090"/>
      <c r="S104" s="1082" t="s">
        <v>1791</v>
      </c>
      <c r="T104" s="687" t="b">
        <f t="shared" ca="1" si="28"/>
        <v>1</v>
      </c>
      <c r="U104" s="185"/>
      <c r="V104" s="185"/>
      <c r="W104" s="185"/>
      <c r="X104" s="1823"/>
      <c r="Y104" s="185"/>
      <c r="Z104" s="1823"/>
      <c r="AA104" s="185"/>
      <c r="AB104" s="124" t="s">
        <v>526</v>
      </c>
      <c r="AC104" s="236" t="s">
        <v>1795</v>
      </c>
      <c r="AD104" s="120" t="s">
        <v>929</v>
      </c>
      <c r="AE104" s="257">
        <f t="shared" ref="AE104:AX104" si="31">IFERROR((AE82*1000-AE101*AE102)/AE103,0)</f>
        <v>0</v>
      </c>
      <c r="AF104" s="257">
        <f t="shared" si="31"/>
        <v>0</v>
      </c>
      <c r="AG104" s="257">
        <f t="shared" si="31"/>
        <v>0</v>
      </c>
      <c r="AH104" s="257">
        <f t="shared" si="31"/>
        <v>0</v>
      </c>
      <c r="AI104" s="257">
        <f t="shared" si="31"/>
        <v>0</v>
      </c>
      <c r="AJ104" s="1314">
        <f t="shared" si="31"/>
        <v>0</v>
      </c>
      <c r="AK104" s="1314">
        <f t="shared" si="31"/>
        <v>0</v>
      </c>
      <c r="AL104" s="1314">
        <f t="shared" si="31"/>
        <v>0</v>
      </c>
      <c r="AM104" s="1314">
        <f t="shared" si="31"/>
        <v>0</v>
      </c>
      <c r="AN104" s="1314">
        <f t="shared" si="31"/>
        <v>0</v>
      </c>
      <c r="AO104" s="257">
        <f t="shared" si="31"/>
        <v>0</v>
      </c>
      <c r="AP104" s="257">
        <f t="shared" si="31"/>
        <v>0</v>
      </c>
      <c r="AQ104" s="257">
        <f t="shared" si="31"/>
        <v>0</v>
      </c>
      <c r="AR104" s="257">
        <f t="shared" si="31"/>
        <v>0</v>
      </c>
      <c r="AS104" s="257">
        <f t="shared" si="31"/>
        <v>0</v>
      </c>
      <c r="AT104" s="1314">
        <f t="shared" si="31"/>
        <v>0</v>
      </c>
      <c r="AU104" s="1314">
        <f t="shared" si="31"/>
        <v>0</v>
      </c>
      <c r="AV104" s="1314">
        <f t="shared" si="31"/>
        <v>0</v>
      </c>
      <c r="AW104" s="1314">
        <f t="shared" si="31"/>
        <v>0</v>
      </c>
      <c r="AX104" s="1314">
        <f t="shared" si="31"/>
        <v>0</v>
      </c>
      <c r="AY104" s="1290"/>
      <c r="AZ104" s="1290"/>
      <c r="BA104" s="1290"/>
      <c r="BB104" s="185"/>
      <c r="BC104" s="185"/>
      <c r="BD104" s="1031" t="s">
        <v>2098</v>
      </c>
      <c r="BE104" s="1031"/>
      <c r="BF104" s="1039"/>
      <c r="BG104" s="1040"/>
      <c r="BH104" s="1040"/>
      <c r="BI104" s="1064" t="str" cm="1">
        <f t="array" aca="1" ref="BI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M10546::ТЭ.42.26322895.0004::Неопределено::Неопределено::Неопределено::Неопределено::Неопределено::Неопределено::8.0.5.</v>
      </c>
    </row>
    <row r="105" spans="1:61" s="1525" customFormat="1" ht="16.5" customHeight="1">
      <c r="A105" s="185"/>
      <c r="B105" s="185"/>
      <c r="C105" s="1094" t="s">
        <v>1797</v>
      </c>
      <c r="D105" s="1113" t="s">
        <v>1798</v>
      </c>
      <c r="E105" s="676">
        <v>17</v>
      </c>
      <c r="F105" s="620" t="str" cm="1">
        <f t="array" aca="1" ref="F105" ca="1">OFFSET(G105,-1,-1)</f>
        <v>2</v>
      </c>
      <c r="G105" s="185"/>
      <c r="H105" s="185"/>
      <c r="I105" s="185"/>
      <c r="J105" s="185"/>
      <c r="K105" s="185"/>
      <c r="L105" s="1079"/>
      <c r="M105" s="1080" t="str" cm="1">
        <f t="array" aca="1" ref="M105" ca="1">OFFSET(L105,-1,1)</f>
        <v>ТЭ.42.26322895.0004</v>
      </c>
      <c r="N105" s="1079"/>
      <c r="O105" s="1079"/>
      <c r="P105" s="1079"/>
      <c r="Q105" s="1090"/>
      <c r="R105" s="1090"/>
      <c r="S105" s="1079"/>
      <c r="T105" s="687" t="b">
        <f t="shared" ca="1" si="28"/>
        <v>1</v>
      </c>
      <c r="U105" s="185"/>
      <c r="V105" s="185"/>
      <c r="W105" s="185"/>
      <c r="X105" s="1823"/>
      <c r="Y105" s="185"/>
      <c r="Z105" s="1823"/>
      <c r="AA105" s="185"/>
      <c r="AB105" s="124" t="s">
        <v>1619</v>
      </c>
      <c r="AC105" s="115" t="s">
        <v>2099</v>
      </c>
      <c r="AD105" s="468" t="s">
        <v>533</v>
      </c>
      <c r="AE105" s="555">
        <f t="shared" ref="AE105:AX105" si="32">IFERROR(AE104/AE102,0)</f>
        <v>0</v>
      </c>
      <c r="AF105" s="555">
        <f t="shared" si="32"/>
        <v>0</v>
      </c>
      <c r="AG105" s="555">
        <f t="shared" si="32"/>
        <v>0</v>
      </c>
      <c r="AH105" s="555">
        <f t="shared" si="32"/>
        <v>0</v>
      </c>
      <c r="AI105" s="555">
        <f t="shared" si="32"/>
        <v>0</v>
      </c>
      <c r="AJ105" s="555">
        <f t="shared" si="32"/>
        <v>0</v>
      </c>
      <c r="AK105" s="555">
        <f t="shared" si="32"/>
        <v>0</v>
      </c>
      <c r="AL105" s="555">
        <f t="shared" si="32"/>
        <v>0</v>
      </c>
      <c r="AM105" s="555">
        <f t="shared" si="32"/>
        <v>0</v>
      </c>
      <c r="AN105" s="555">
        <f t="shared" si="32"/>
        <v>0</v>
      </c>
      <c r="AO105" s="555">
        <f t="shared" si="32"/>
        <v>0</v>
      </c>
      <c r="AP105" s="555">
        <f t="shared" si="32"/>
        <v>0</v>
      </c>
      <c r="AQ105" s="555">
        <f t="shared" si="32"/>
        <v>0</v>
      </c>
      <c r="AR105" s="555">
        <f t="shared" si="32"/>
        <v>0</v>
      </c>
      <c r="AS105" s="555">
        <f t="shared" si="32"/>
        <v>0</v>
      </c>
      <c r="AT105" s="555">
        <f t="shared" si="32"/>
        <v>0</v>
      </c>
      <c r="AU105" s="555">
        <f t="shared" si="32"/>
        <v>0</v>
      </c>
      <c r="AV105" s="555">
        <f t="shared" si="32"/>
        <v>0</v>
      </c>
      <c r="AW105" s="555">
        <f t="shared" si="32"/>
        <v>0</v>
      </c>
      <c r="AX105" s="555">
        <f t="shared" si="32"/>
        <v>0</v>
      </c>
      <c r="AY105" s="1290"/>
      <c r="AZ105" s="1290"/>
      <c r="BA105" s="1290"/>
      <c r="BB105" s="185"/>
      <c r="BC105" s="185"/>
      <c r="BD105" s="1031" t="s">
        <v>2100</v>
      </c>
      <c r="BE105" s="1031"/>
      <c r="BF105" s="1031"/>
      <c r="BG105" s="1032"/>
      <c r="BH105" s="1032"/>
      <c r="BI105" s="1064" t="str" cm="1">
        <f t="array" aca="1" ref="BI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M11244::ТЭ.42.26322895.0004::Неопределено::Неопределено::Неопределено::Неопределено::Неопределено::Неопределено::Неопределено</v>
      </c>
    </row>
    <row r="106" spans="1:61" s="1229" customFormat="1" ht="16.5" customHeight="1">
      <c r="A106" s="983"/>
      <c r="B106" s="783"/>
      <c r="C106" s="1094" t="s">
        <v>1801</v>
      </c>
      <c r="D106" s="1113" t="s">
        <v>1802</v>
      </c>
      <c r="E106" s="676">
        <v>17</v>
      </c>
      <c r="F106" s="620" t="str" cm="1">
        <f t="array" aca="1" ref="F106" ca="1">OFFSET(G106,-1,-1)</f>
        <v>2</v>
      </c>
      <c r="G106" s="180"/>
      <c r="H106" s="180"/>
      <c r="I106" s="180"/>
      <c r="J106" s="180"/>
      <c r="K106" s="180"/>
      <c r="L106" s="1080"/>
      <c r="M106" s="1080" t="str" cm="1">
        <f t="array" aca="1" ref="M106" ca="1">OFFSET(L106,-1,1)</f>
        <v>ТЭ.42.26322895.0004</v>
      </c>
      <c r="N106" s="1080"/>
      <c r="O106" s="1080"/>
      <c r="P106" s="1080"/>
      <c r="Q106" s="1082"/>
      <c r="R106" s="1082"/>
      <c r="S106" s="1080"/>
      <c r="T106" s="687" t="b">
        <f t="shared" ca="1" si="28"/>
        <v>1</v>
      </c>
      <c r="U106" s="1153"/>
      <c r="V106" s="1153"/>
      <c r="W106" s="1153"/>
      <c r="X106" s="1726"/>
      <c r="Y106" s="1153"/>
      <c r="Z106" s="1726"/>
      <c r="AA106" s="180"/>
      <c r="AB106" s="124" t="s">
        <v>2046</v>
      </c>
      <c r="AC106" s="115" t="s">
        <v>2101</v>
      </c>
      <c r="AD106" s="468" t="s">
        <v>929</v>
      </c>
      <c r="AE106" s="593">
        <f t="shared" ref="AE106:AX106" si="33">IFERROR(AE82*1000/(AE101+AE103),0)</f>
        <v>0</v>
      </c>
      <c r="AF106" s="593">
        <f t="shared" si="33"/>
        <v>0</v>
      </c>
      <c r="AG106" s="593">
        <f t="shared" si="33"/>
        <v>0</v>
      </c>
      <c r="AH106" s="593">
        <f t="shared" si="33"/>
        <v>0</v>
      </c>
      <c r="AI106" s="593">
        <f t="shared" si="33"/>
        <v>0</v>
      </c>
      <c r="AJ106" s="1380">
        <f t="shared" si="33"/>
        <v>0</v>
      </c>
      <c r="AK106" s="1380">
        <f t="shared" si="33"/>
        <v>0</v>
      </c>
      <c r="AL106" s="1380">
        <f t="shared" si="33"/>
        <v>0</v>
      </c>
      <c r="AM106" s="1380">
        <f t="shared" si="33"/>
        <v>0</v>
      </c>
      <c r="AN106" s="1380">
        <f t="shared" si="33"/>
        <v>0</v>
      </c>
      <c r="AO106" s="593">
        <f t="shared" si="33"/>
        <v>0</v>
      </c>
      <c r="AP106" s="593">
        <f t="shared" si="33"/>
        <v>0</v>
      </c>
      <c r="AQ106" s="593">
        <f t="shared" si="33"/>
        <v>0</v>
      </c>
      <c r="AR106" s="593">
        <f t="shared" si="33"/>
        <v>0</v>
      </c>
      <c r="AS106" s="593">
        <f t="shared" si="33"/>
        <v>0</v>
      </c>
      <c r="AT106" s="1380">
        <f t="shared" si="33"/>
        <v>0</v>
      </c>
      <c r="AU106" s="1380">
        <f t="shared" si="33"/>
        <v>0</v>
      </c>
      <c r="AV106" s="1380">
        <f t="shared" si="33"/>
        <v>0</v>
      </c>
      <c r="AW106" s="1380">
        <f t="shared" si="33"/>
        <v>0</v>
      </c>
      <c r="AX106" s="1380">
        <f t="shared" si="33"/>
        <v>0</v>
      </c>
      <c r="AY106" s="1290"/>
      <c r="AZ106" s="1290"/>
      <c r="BA106" s="1290"/>
      <c r="BB106" s="180"/>
      <c r="BC106" s="180"/>
      <c r="BD106" s="1031" t="s">
        <v>2102</v>
      </c>
      <c r="BE106" s="1031"/>
      <c r="BF106" s="1031"/>
      <c r="BG106" s="1032"/>
      <c r="BH106" s="1032"/>
      <c r="BI106" s="1064" t="str" cm="1">
        <f t="array" aca="1" ref="BI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M10552::ТЭ.42.26322895.0004::Неопределено::Неопределено::Неопределено::Неопределено::Неопределено::Неопределено::Неопределено</v>
      </c>
    </row>
    <row r="107" spans="1:61" s="1229" customFormat="1" ht="33.75" customHeight="1">
      <c r="A107" s="983"/>
      <c r="B107" s="783"/>
      <c r="C107" s="1094" t="s">
        <v>1845</v>
      </c>
      <c r="D107" s="1113" t="s">
        <v>1846</v>
      </c>
      <c r="E107" s="676">
        <v>35</v>
      </c>
      <c r="F107" s="620" t="str" cm="1">
        <f t="array" aca="1" ref="F107" ca="1">OFFSET(G107,-1,-1)</f>
        <v>2</v>
      </c>
      <c r="G107" s="180"/>
      <c r="H107" s="180"/>
      <c r="I107" s="180"/>
      <c r="J107" s="180"/>
      <c r="K107" s="180"/>
      <c r="L107" s="1080"/>
      <c r="M107" s="1080" t="str" cm="1">
        <f t="array" aca="1" ref="M107" ca="1">OFFSET(L107,-1,1)</f>
        <v>ТЭ.42.26322895.0004</v>
      </c>
      <c r="N107" s="1080"/>
      <c r="O107" s="1080"/>
      <c r="P107" s="1080"/>
      <c r="Q107" s="1082"/>
      <c r="R107" s="1082"/>
      <c r="S107" s="1080"/>
      <c r="T107" s="687" t="b">
        <f t="shared" ca="1" si="28"/>
        <v>1</v>
      </c>
      <c r="U107" s="1153"/>
      <c r="V107" s="1153"/>
      <c r="W107" s="1153"/>
      <c r="X107" s="1726"/>
      <c r="Y107" s="1153"/>
      <c r="Z107" s="1726"/>
      <c r="AA107" s="180"/>
      <c r="AB107" s="124" t="s">
        <v>437</v>
      </c>
      <c r="AC107" s="269" t="s">
        <v>1848</v>
      </c>
      <c r="AD107" s="481" t="s">
        <v>1460</v>
      </c>
      <c r="AE107" s="257"/>
      <c r="AF107" s="257"/>
      <c r="AG107" s="257"/>
      <c r="AH107" s="257"/>
      <c r="AI107" s="257"/>
      <c r="AJ107" s="1314"/>
      <c r="AK107" s="1314"/>
      <c r="AL107" s="1314"/>
      <c r="AM107" s="1314"/>
      <c r="AN107" s="1314"/>
      <c r="AO107" s="257"/>
      <c r="AP107" s="257"/>
      <c r="AQ107" s="257"/>
      <c r="AR107" s="257"/>
      <c r="AS107" s="257"/>
      <c r="AT107" s="1314"/>
      <c r="AU107" s="1314"/>
      <c r="AV107" s="1314"/>
      <c r="AW107" s="1314"/>
      <c r="AX107" s="1314"/>
      <c r="AY107" s="1290"/>
      <c r="AZ107" s="1290"/>
      <c r="BA107" s="1290"/>
      <c r="BB107" s="180"/>
      <c r="BC107" s="180"/>
      <c r="BD107" s="1031" t="s">
        <v>1849</v>
      </c>
      <c r="BE107" s="1031"/>
      <c r="BF107" s="1031"/>
      <c r="BG107" s="1032"/>
      <c r="BH107" s="1032"/>
      <c r="BI107" s="1064" t="str" cm="1">
        <f t="array" aca="1" ref="BI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M10591::ТЭ.42.26322895.0004::Неопределено::Неопределено::Неопределено::Неопределено::Неопределено::Неопределено::Неопределено</v>
      </c>
    </row>
    <row r="108" spans="1:61" ht="9.9499999999999993" customHeight="1">
      <c r="E108" s="676">
        <v>10.199999999999999</v>
      </c>
      <c r="U108" s="129" t="s">
        <v>238</v>
      </c>
      <c r="V108" s="122" t="s">
        <v>2103</v>
      </c>
    </row>
    <row r="109" spans="1:61" ht="11.25" hidden="1" customHeight="1">
      <c r="E109" s="676">
        <v>0</v>
      </c>
    </row>
    <row r="110" spans="1:61" ht="14.65" customHeight="1">
      <c r="E110" s="676">
        <v>15</v>
      </c>
      <c r="AB110" s="1802" t="s">
        <v>734</v>
      </c>
      <c r="AC110" s="1802"/>
      <c r="AD110" s="1802"/>
      <c r="AE110" s="1802"/>
      <c r="AF110" s="1802"/>
      <c r="AG110" s="1802"/>
      <c r="AH110" s="1802"/>
      <c r="AI110" s="1802"/>
      <c r="AJ110" s="1802"/>
      <c r="AK110" s="1802"/>
      <c r="AL110" s="1802"/>
      <c r="AM110" s="1802"/>
      <c r="AN110" s="1802"/>
      <c r="AO110" s="1802"/>
      <c r="AP110" s="1802"/>
      <c r="AQ110" s="1802"/>
      <c r="AR110" s="1802"/>
      <c r="AS110" s="1802"/>
      <c r="AT110" s="1802"/>
      <c r="AU110" s="1802"/>
      <c r="AV110" s="1802"/>
      <c r="AW110" s="1802"/>
      <c r="AX110" s="1802"/>
      <c r="AY110" s="1802"/>
      <c r="AZ110" s="1802"/>
      <c r="BA110" s="1802"/>
    </row>
    <row r="111" spans="1:61" ht="14.65" customHeight="1">
      <c r="E111" s="676">
        <v>15</v>
      </c>
      <c r="AA111" s="778"/>
      <c r="AB111" s="1817"/>
      <c r="AC111" s="1818"/>
      <c r="AD111" s="1818"/>
      <c r="AE111" s="1818"/>
      <c r="AF111" s="1818"/>
      <c r="AG111" s="1818"/>
      <c r="AH111" s="1818"/>
      <c r="AI111" s="1818"/>
      <c r="AJ111" s="1818"/>
      <c r="AK111" s="1818"/>
      <c r="AL111" s="1818"/>
      <c r="AM111" s="1818"/>
      <c r="AN111" s="1818"/>
      <c r="AO111" s="1818"/>
      <c r="AP111" s="1818"/>
      <c r="AQ111" s="1818"/>
      <c r="AR111" s="1818"/>
      <c r="AS111" s="1818"/>
      <c r="AT111" s="1818"/>
      <c r="AU111" s="1818"/>
      <c r="AV111" s="1818"/>
      <c r="AW111" s="1818"/>
      <c r="AX111" s="1818"/>
      <c r="AY111" s="1818"/>
      <c r="AZ111" s="1818"/>
      <c r="BA111" s="1818"/>
    </row>
    <row r="112" spans="1:61" ht="14.65" hidden="1" customHeight="1">
      <c r="E112" s="676">
        <v>15</v>
      </c>
      <c r="T112" s="687" t="b">
        <f>ROW(W112)&gt;ROW(W$112)</f>
        <v>0</v>
      </c>
      <c r="W112" s="126" t="s">
        <v>236</v>
      </c>
      <c r="AA112" s="774" t="s">
        <v>218</v>
      </c>
      <c r="AB112" s="1820"/>
      <c r="AC112" s="1818"/>
      <c r="AD112" s="1818"/>
      <c r="AE112" s="1818"/>
      <c r="AF112" s="1818"/>
      <c r="AG112" s="1818"/>
      <c r="AH112" s="1818"/>
      <c r="AI112" s="1818"/>
      <c r="AJ112" s="1818"/>
      <c r="AK112" s="1818"/>
      <c r="AL112" s="1818"/>
      <c r="AM112" s="1818"/>
      <c r="AN112" s="1818"/>
      <c r="AO112" s="1818"/>
      <c r="AP112" s="1818"/>
      <c r="AQ112" s="1818"/>
      <c r="AR112" s="1818"/>
      <c r="AS112" s="1818"/>
      <c r="AT112" s="1818"/>
      <c r="AU112" s="1818"/>
      <c r="AV112" s="1818"/>
      <c r="AW112" s="1818"/>
      <c r="AX112" s="1818"/>
      <c r="AY112" s="1818"/>
      <c r="AZ112" s="1818"/>
      <c r="BA112" s="1818"/>
    </row>
    <row r="113" spans="5:53" ht="14.65" customHeight="1">
      <c r="E113" s="676">
        <v>15</v>
      </c>
      <c r="W113" s="122" t="s">
        <v>1261</v>
      </c>
      <c r="AA113" s="163"/>
      <c r="AB113" s="1736" t="s">
        <v>735</v>
      </c>
      <c r="AC113" s="1737"/>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294"/>
    </row>
  </sheetData>
  <sheetProtection formatColumns="0" formatRows="0" insertRows="0" deleteColumns="0" deleteRows="0" sort="0" autoFilter="0"/>
  <mergeCells count="16">
    <mergeCell ref="AZ24:AZ25"/>
    <mergeCell ref="BA24:BA25"/>
    <mergeCell ref="AB113:AC113"/>
    <mergeCell ref="AB24:AB25"/>
    <mergeCell ref="AC24:AC25"/>
    <mergeCell ref="AD24:AD25"/>
    <mergeCell ref="AY24:AY25"/>
    <mergeCell ref="X27:X53"/>
    <mergeCell ref="Z27:Z53"/>
    <mergeCell ref="AB110:BA110"/>
    <mergeCell ref="AB111:BA111"/>
    <mergeCell ref="AB112:BA112"/>
    <mergeCell ref="X54:X80"/>
    <mergeCell ref="Z54:Z80"/>
    <mergeCell ref="X81:X107"/>
    <mergeCell ref="Z81:Z107"/>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DB18-E136-90B6-0506-AC3EF1E54E68}">
  <sheetPr>
    <tabColor rgb="FF002060"/>
    <outlinePr summaryBelow="0"/>
  </sheetPr>
  <dimension ref="A1:BF95"/>
  <sheetViews>
    <sheetView showGridLines="0" workbookViewId="0">
      <pane xSplit="30" ySplit="28" topLeftCell="AF52" activePane="bottomRight" state="frozen"/>
      <selection pane="topRight" activeCell="AE1" sqref="AE1"/>
      <selection pane="bottomLeft" activeCell="A29" sqref="A29"/>
      <selection pane="bottomRight" activeCell="AG53" sqref="AG53"/>
    </sheetView>
  </sheetViews>
  <sheetFormatPr defaultColWidth="8.8554687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28515625" style="1153" hidden="1" customWidth="1"/>
    <col min="7" max="7" width="8.140625" style="425" hidden="1" customWidth="1"/>
    <col min="8" max="19" width="3.5703125" style="425"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0" customWidth="1"/>
    <col min="28" max="28" width="7.42578125" style="170" customWidth="1"/>
    <col min="29" max="29" width="54.140625" style="170" customWidth="1"/>
    <col min="30" max="30" width="11.28515625" style="170" customWidth="1"/>
    <col min="31" max="31" width="23" style="170" customWidth="1"/>
    <col min="32" max="32" width="12.5703125" style="170" customWidth="1"/>
    <col min="33" max="33" width="23.7109375" style="170" customWidth="1"/>
    <col min="34" max="39" width="12.5703125" style="170" customWidth="1"/>
    <col min="40" max="44" width="12.5703125" style="170" hidden="1" customWidth="1"/>
    <col min="45" max="49" width="12.5703125" style="170" customWidth="1"/>
    <col min="50" max="54" width="12.5703125" style="170" hidden="1" customWidth="1"/>
    <col min="55" max="55" width="20.5703125" style="170" customWidth="1"/>
    <col min="56" max="56" width="3" style="170" customWidth="1"/>
    <col min="57" max="57" width="8.85546875" style="170" hidden="1"/>
    <col min="58" max="58" width="8.85546875" style="1015" hidden="1"/>
  </cols>
  <sheetData>
    <row r="1" spans="1:58" s="1153" customFormat="1" ht="12" hidden="1" customHeight="1">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382</v>
      </c>
      <c r="Z1" s="687" t="s">
        <v>93</v>
      </c>
      <c r="AA1" s="698" t="s">
        <v>90</v>
      </c>
      <c r="AB1" s="698" t="s">
        <v>92</v>
      </c>
      <c r="BF1" s="981" t="s">
        <v>383</v>
      </c>
    </row>
    <row r="2" spans="1:58" s="783" customFormat="1" ht="12" hidden="1" customHeight="1">
      <c r="B2" s="768" t="s">
        <v>15</v>
      </c>
      <c r="G2" s="786"/>
      <c r="H2" s="786"/>
      <c r="I2" s="786"/>
      <c r="J2" s="786"/>
      <c r="K2" s="786"/>
      <c r="L2" s="786"/>
      <c r="M2" s="786"/>
      <c r="N2" s="786"/>
      <c r="O2" s="786"/>
      <c r="P2" s="786"/>
      <c r="Q2" s="786"/>
      <c r="R2" s="786"/>
      <c r="S2" s="786"/>
      <c r="AI2" s="688" t="b">
        <f t="shared" ref="AI2:BB2" si="0">AI6&lt;=last_year_vis</f>
        <v>1</v>
      </c>
      <c r="AJ2" s="688" t="b">
        <f t="shared" si="0"/>
        <v>1</v>
      </c>
      <c r="AK2" s="688" t="b">
        <f t="shared" si="0"/>
        <v>1</v>
      </c>
      <c r="AL2" s="688" t="b">
        <f t="shared" si="0"/>
        <v>1</v>
      </c>
      <c r="AM2" s="688" t="b">
        <f t="shared" si="0"/>
        <v>1</v>
      </c>
      <c r="AN2" s="688" t="b">
        <f t="shared" si="0"/>
        <v>0</v>
      </c>
      <c r="AO2" s="688" t="b">
        <f t="shared" si="0"/>
        <v>0</v>
      </c>
      <c r="AP2" s="688" t="b">
        <f t="shared" si="0"/>
        <v>0</v>
      </c>
      <c r="AQ2" s="688" t="b">
        <f t="shared" si="0"/>
        <v>0</v>
      </c>
      <c r="AR2" s="688" t="b">
        <f t="shared" si="0"/>
        <v>0</v>
      </c>
      <c r="AS2" s="688" t="b">
        <f t="shared" si="0"/>
        <v>1</v>
      </c>
      <c r="AT2" s="688" t="b">
        <f t="shared" si="0"/>
        <v>1</v>
      </c>
      <c r="AU2" s="688" t="b">
        <f t="shared" si="0"/>
        <v>1</v>
      </c>
      <c r="AV2" s="688" t="b">
        <f t="shared" si="0"/>
        <v>1</v>
      </c>
      <c r="AW2" s="688" t="b">
        <f t="shared" si="0"/>
        <v>1</v>
      </c>
      <c r="AX2" s="688" t="b">
        <f t="shared" si="0"/>
        <v>0</v>
      </c>
      <c r="AY2" s="688" t="b">
        <f t="shared" si="0"/>
        <v>0</v>
      </c>
      <c r="AZ2" s="688" t="b">
        <f t="shared" si="0"/>
        <v>0</v>
      </c>
      <c r="BA2" s="688" t="b">
        <f t="shared" si="0"/>
        <v>0</v>
      </c>
      <c r="BB2" s="688" t="b">
        <f t="shared" si="0"/>
        <v>0</v>
      </c>
      <c r="BF2" s="973"/>
    </row>
    <row r="3" spans="1:58" s="1153" customFormat="1" ht="12" hidden="1" customHeight="1">
      <c r="B3" s="667"/>
      <c r="E3" s="667"/>
      <c r="G3" s="163"/>
      <c r="H3" s="163"/>
      <c r="I3" s="163"/>
      <c r="J3" s="163"/>
      <c r="K3" s="163"/>
      <c r="L3" s="163"/>
      <c r="M3" s="163"/>
      <c r="N3" s="163"/>
      <c r="O3" s="163"/>
      <c r="P3" s="163"/>
      <c r="Q3" s="163"/>
      <c r="R3" s="163"/>
      <c r="S3" s="163"/>
      <c r="BF3" s="981"/>
    </row>
    <row r="4" spans="1:58" s="1153" customFormat="1" ht="12" hidden="1" customHeight="1">
      <c r="B4" s="667"/>
      <c r="E4" s="667"/>
      <c r="G4" s="163"/>
      <c r="H4" s="163"/>
      <c r="I4" s="163"/>
      <c r="J4" s="163"/>
      <c r="K4" s="163"/>
      <c r="L4" s="163"/>
      <c r="M4" s="163"/>
      <c r="N4" s="163"/>
      <c r="O4" s="163"/>
      <c r="P4" s="163"/>
      <c r="Q4" s="163"/>
      <c r="R4" s="163"/>
      <c r="S4" s="163"/>
      <c r="BF4" s="981"/>
    </row>
    <row r="5" spans="1:58" s="782" customFormat="1" ht="12" hidden="1" customHeight="1">
      <c r="A5" s="667"/>
      <c r="B5" s="667"/>
      <c r="C5" s="667"/>
      <c r="D5" s="667"/>
      <c r="E5" s="676" t="s">
        <v>16</v>
      </c>
      <c r="G5" s="787"/>
      <c r="H5" s="787"/>
      <c r="I5" s="787"/>
      <c r="J5" s="787"/>
      <c r="K5" s="787"/>
      <c r="L5" s="787"/>
      <c r="M5" s="787"/>
      <c r="N5" s="787"/>
      <c r="O5" s="787"/>
      <c r="P5" s="787"/>
      <c r="Q5" s="787"/>
      <c r="R5" s="787"/>
      <c r="S5" s="787"/>
      <c r="AA5" s="676">
        <v>3</v>
      </c>
      <c r="AB5" s="676">
        <v>7.38</v>
      </c>
      <c r="AC5" s="676">
        <v>54.13</v>
      </c>
      <c r="AD5" s="676">
        <v>11.25</v>
      </c>
      <c r="AE5" s="676">
        <v>23</v>
      </c>
      <c r="AF5" s="676">
        <v>12.63</v>
      </c>
      <c r="AG5" s="676">
        <v>23.75</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20.63</v>
      </c>
      <c r="BD5" s="676">
        <v>3</v>
      </c>
      <c r="BF5" s="973"/>
    </row>
    <row r="6" spans="1:58" s="1153" customFormat="1" ht="12" hidden="1" customHeight="1">
      <c r="B6" s="667"/>
      <c r="E6" s="676"/>
      <c r="G6" s="163"/>
      <c r="H6" s="163"/>
      <c r="I6" s="163"/>
      <c r="J6" s="163"/>
      <c r="K6" s="163"/>
      <c r="L6" s="163"/>
      <c r="M6" s="163"/>
      <c r="N6" s="163"/>
      <c r="O6" s="163"/>
      <c r="P6" s="163"/>
      <c r="Q6" s="163"/>
      <c r="R6" s="163"/>
      <c r="S6" s="163"/>
      <c r="AE6" s="126">
        <f>god-2</f>
        <v>2024</v>
      </c>
      <c r="AF6" s="126">
        <f>god-2</f>
        <v>2024</v>
      </c>
      <c r="AG6" s="126">
        <f>god-1</f>
        <v>2025</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1"/>
    </row>
    <row r="7" spans="1:58" s="425" customFormat="1" ht="12" hidden="1" customHeight="1">
      <c r="A7" s="126"/>
      <c r="B7" s="667"/>
      <c r="C7" s="126"/>
      <c r="D7" s="126"/>
      <c r="E7" s="676"/>
      <c r="AE7" s="163" t="str" cm="1">
        <f t="array" ref="AE7">AE27</f>
        <v>Капитальные вложения в соответствии с инвестиционной программой, утвержденной в установленном порядке</v>
      </c>
      <c r="AF7" s="163" t="str" cm="1">
        <f t="array" ref="AF7">AF27</f>
        <v>Принято органом регулирования</v>
      </c>
      <c r="AG7" s="163" t="str" cm="1">
        <f t="array" ref="AG7">AG27</f>
        <v>Капитальные вложения в соответствии с инвестиционной программой, утвержденной в установленном порядке</v>
      </c>
      <c r="AH7" s="163" t="str" cm="1">
        <f t="array" ref="AH7">AH27</f>
        <v>Принято органом регулирования</v>
      </c>
      <c r="AI7" s="163" t="str" cm="1">
        <f t="array" ref="AI7">AI27</f>
        <v>Предложение организации</v>
      </c>
      <c r="AJ7" s="163" t="str" cm="1">
        <f t="array" ref="AJ7">AJ27</f>
        <v>Предложение организации</v>
      </c>
      <c r="AK7" s="163" t="str" cm="1">
        <f t="array" ref="AK7">AK27</f>
        <v>Предложение организации</v>
      </c>
      <c r="AL7" s="163" t="str" cm="1">
        <f t="array" ref="AL7">AL27</f>
        <v>Предложение организации</v>
      </c>
      <c r="AM7" s="163" t="str" cm="1">
        <f t="array" ref="AM7">AM27</f>
        <v>Предложение организации</v>
      </c>
      <c r="AN7" s="163" t="str" cm="1">
        <f t="array" ref="AN7">AN27</f>
        <v>Предложение организации</v>
      </c>
      <c r="AO7" s="163" t="str" cm="1">
        <f t="array" ref="AO7">AO27</f>
        <v>Предложение организации</v>
      </c>
      <c r="AP7" s="163" t="str" cm="1">
        <f t="array" ref="AP7">AP27</f>
        <v>Предложение организации</v>
      </c>
      <c r="AQ7" s="163" t="str" cm="1">
        <f t="array" ref="AQ7">AQ27</f>
        <v>Предложение организации</v>
      </c>
      <c r="AR7" s="163" t="str" cm="1">
        <f t="array" ref="AR7">AR27</f>
        <v>Предложение организации</v>
      </c>
      <c r="AS7" s="163" t="str" cm="1">
        <f t="array" ref="AS7">AS27</f>
        <v>Принято органом регулирования</v>
      </c>
      <c r="AT7" s="163" t="str" cm="1">
        <f t="array" ref="AT7">AT27</f>
        <v>Принято органом регулирования</v>
      </c>
      <c r="AU7" s="163" t="str" cm="1">
        <f t="array" ref="AU7">AU27</f>
        <v>Принято органом регулирования</v>
      </c>
      <c r="AV7" s="163" t="str" cm="1">
        <f t="array" ref="AV7">AV27</f>
        <v>Принято органом регулирования</v>
      </c>
      <c r="AW7" s="163" t="str" cm="1">
        <f t="array" ref="AW7">AW27</f>
        <v>Принято органом регулирования</v>
      </c>
      <c r="AX7" s="163" t="str" cm="1">
        <f t="array" ref="AX7">AX27</f>
        <v>Принято органом регулирования</v>
      </c>
      <c r="AY7" s="163" t="str" cm="1">
        <f t="array" ref="AY7">AY27</f>
        <v>Принято органом регулирования</v>
      </c>
      <c r="AZ7" s="163" t="str" cm="1">
        <f t="array" ref="AZ7">AZ27</f>
        <v>Принято органом регулирования</v>
      </c>
      <c r="BA7" s="163" t="str" cm="1">
        <f t="array" ref="BA7">BA27</f>
        <v>Принято органом регулирования</v>
      </c>
      <c r="BB7" s="163" t="str" cm="1">
        <f t="array" ref="BB7">BB27</f>
        <v>Принято органом регулирования</v>
      </c>
      <c r="BF7" s="981"/>
    </row>
    <row r="8" spans="1:58" s="425" customFormat="1" ht="12" hidden="1" customHeight="1">
      <c r="A8" s="126"/>
      <c r="B8" s="667"/>
      <c r="C8" s="126"/>
      <c r="D8" s="126"/>
      <c r="E8" s="676"/>
      <c r="BF8" s="981"/>
    </row>
    <row r="9" spans="1:58" s="1013" customFormat="1" ht="12" hidden="1" customHeight="1">
      <c r="A9" s="958" t="s">
        <v>472</v>
      </c>
      <c r="B9" s="951"/>
      <c r="E9" s="951"/>
      <c r="AE9" s="959">
        <f>god-2</f>
        <v>2024</v>
      </c>
      <c r="AF9" s="959">
        <f>god-2</f>
        <v>2024</v>
      </c>
      <c r="AG9" s="959">
        <f>god-1</f>
        <v>2025</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81"/>
    </row>
    <row r="10" spans="1:58" s="1013" customFormat="1" ht="12" hidden="1" customHeight="1">
      <c r="A10" s="958" t="s">
        <v>473</v>
      </c>
      <c r="B10" s="951"/>
      <c r="E10" s="951"/>
      <c r="AE10" s="959" t="str" cm="1">
        <f t="array" ref="AE10">AE27</f>
        <v>Капитальные вложения в соответствии с инвестиционной программой, утвержденной в установленном порядке</v>
      </c>
      <c r="AF10" s="959" t="str" cm="1">
        <f t="array" ref="AF10">AF27</f>
        <v>Принято органом регулирования</v>
      </c>
      <c r="AG10" s="959" t="str" cm="1">
        <f t="array" ref="AG10">AG27</f>
        <v>Капитальные вложения в соответствии с инвестиционной программой, утвержденной в установленном порядке</v>
      </c>
      <c r="AH10" s="959" t="str" cm="1">
        <f t="array" ref="AH10">AH27</f>
        <v>Принято органом регулирования</v>
      </c>
      <c r="AI10" s="959" t="str" cm="1">
        <f t="array" ref="AI10">AI27</f>
        <v>Предложение организации</v>
      </c>
      <c r="AJ10" s="959" t="str" cm="1">
        <f t="array" ref="AJ10">AJ27</f>
        <v>Предложение организации</v>
      </c>
      <c r="AK10" s="959" t="str" cm="1">
        <f t="array" ref="AK10">AK27</f>
        <v>Предложение организации</v>
      </c>
      <c r="AL10" s="959" t="str" cm="1">
        <f t="array" ref="AL10">AL27</f>
        <v>Предложение организации</v>
      </c>
      <c r="AM10" s="959" t="str" cm="1">
        <f t="array" ref="AM10">AM27</f>
        <v>Предложение организации</v>
      </c>
      <c r="AN10" s="959" t="str" cm="1">
        <f t="array" ref="AN10">AN27</f>
        <v>Предложение организации</v>
      </c>
      <c r="AO10" s="959" t="str" cm="1">
        <f t="array" ref="AO10">AO27</f>
        <v>Предложение организации</v>
      </c>
      <c r="AP10" s="959" t="str" cm="1">
        <f t="array" ref="AP10">AP27</f>
        <v>Предложение организации</v>
      </c>
      <c r="AQ10" s="959" t="str" cm="1">
        <f t="array" ref="AQ10">AQ27</f>
        <v>Предложение организации</v>
      </c>
      <c r="AR10" s="959" t="str" cm="1">
        <f t="array" ref="AR10">AR27</f>
        <v>Предложение организации</v>
      </c>
      <c r="AS10" s="959" t="str" cm="1">
        <f t="array" ref="AS10">AS27</f>
        <v>Принято органом регулирования</v>
      </c>
      <c r="AT10" s="959" t="str" cm="1">
        <f t="array" ref="AT10">AT27</f>
        <v>Принято органом регулирования</v>
      </c>
      <c r="AU10" s="959" t="str" cm="1">
        <f t="array" ref="AU10">AU27</f>
        <v>Принято органом регулирования</v>
      </c>
      <c r="AV10" s="959" t="str" cm="1">
        <f t="array" ref="AV10">AV27</f>
        <v>Принято органом регулирования</v>
      </c>
      <c r="AW10" s="959" t="str" cm="1">
        <f t="array" ref="AW10">AW27</f>
        <v>Принято органом регулирования</v>
      </c>
      <c r="AX10" s="959" t="str" cm="1">
        <f t="array" ref="AX10">AX27</f>
        <v>Принято органом регулирования</v>
      </c>
      <c r="AY10" s="959" t="str" cm="1">
        <f t="array" ref="AY10">AY27</f>
        <v>Принято органом регулирования</v>
      </c>
      <c r="AZ10" s="959" t="str" cm="1">
        <f t="array" ref="AZ10">AZ27</f>
        <v>Принято органом регулирования</v>
      </c>
      <c r="BA10" s="959" t="str" cm="1">
        <f t="array" ref="BA10">BA27</f>
        <v>Принято органом регулирования</v>
      </c>
      <c r="BB10" s="959" t="str" cm="1">
        <f t="array" ref="BB10">BB27</f>
        <v>Принято органом регулирования</v>
      </c>
      <c r="BF10" s="981"/>
    </row>
    <row r="11" spans="1:58" s="1013" customFormat="1" ht="12" hidden="1" customHeight="1">
      <c r="A11" s="958" t="s">
        <v>474</v>
      </c>
      <c r="B11" s="951"/>
      <c r="E11" s="951"/>
      <c r="G11" s="967"/>
      <c r="H11" s="967"/>
      <c r="I11" s="967"/>
      <c r="J11" s="967"/>
      <c r="K11" s="967"/>
      <c r="L11" s="967"/>
      <c r="M11" s="967"/>
      <c r="N11" s="967"/>
      <c r="O11" s="967"/>
      <c r="P11" s="967"/>
      <c r="Q11" s="967"/>
      <c r="R11" s="967"/>
      <c r="S11" s="967"/>
      <c r="BC11" s="959" t="str" cm="1">
        <f t="array" ref="BC11">BC26</f>
        <v>Ссылка на правовую норму (основание для принятия показателя в расчет тарифа)</v>
      </c>
      <c r="BF11" s="981"/>
    </row>
    <row r="12" spans="1:58" s="1153" customFormat="1" ht="12" hidden="1" customHeight="1">
      <c r="B12" s="667"/>
      <c r="E12" s="676"/>
      <c r="G12" s="163"/>
      <c r="H12" s="163"/>
      <c r="I12" s="163"/>
      <c r="J12" s="163"/>
      <c r="K12" s="163"/>
      <c r="L12" s="163"/>
      <c r="M12" s="163"/>
      <c r="N12" s="163"/>
      <c r="O12" s="163"/>
      <c r="P12" s="163"/>
      <c r="Q12" s="163"/>
      <c r="R12" s="163"/>
      <c r="S12" s="163"/>
      <c r="BF12" s="981"/>
    </row>
    <row r="13" spans="1:58" s="1153" customFormat="1" ht="12" hidden="1" customHeight="1">
      <c r="B13" s="667"/>
      <c r="E13" s="676"/>
      <c r="G13" s="163"/>
      <c r="H13" s="163"/>
      <c r="I13" s="163"/>
      <c r="J13" s="163"/>
      <c r="K13" s="163"/>
      <c r="L13" s="163"/>
      <c r="M13" s="163"/>
      <c r="N13" s="163"/>
      <c r="O13" s="163"/>
      <c r="P13" s="163"/>
      <c r="Q13" s="163"/>
      <c r="R13" s="163"/>
      <c r="S13" s="163"/>
      <c r="BF13" s="981"/>
    </row>
    <row r="14" spans="1:58" s="1153" customFormat="1" ht="12" hidden="1" customHeight="1">
      <c r="B14" s="667"/>
      <c r="E14" s="676"/>
      <c r="G14" s="163"/>
      <c r="H14" s="163"/>
      <c r="I14" s="163"/>
      <c r="J14" s="163"/>
      <c r="K14" s="163"/>
      <c r="L14" s="163"/>
      <c r="M14" s="163"/>
      <c r="N14" s="163"/>
      <c r="O14" s="163"/>
      <c r="P14" s="163"/>
      <c r="Q14" s="163"/>
      <c r="R14" s="163"/>
      <c r="S14" s="163"/>
      <c r="BF14" s="981"/>
    </row>
    <row r="15" spans="1:58" s="1153" customFormat="1" ht="12" hidden="1" customHeight="1">
      <c r="B15" s="667"/>
      <c r="E15" s="676"/>
      <c r="G15" s="163"/>
      <c r="H15" s="163"/>
      <c r="I15" s="163"/>
      <c r="J15" s="163"/>
      <c r="K15" s="163"/>
      <c r="L15" s="163"/>
      <c r="M15" s="163"/>
      <c r="N15" s="163"/>
      <c r="O15" s="163"/>
      <c r="P15" s="163"/>
      <c r="Q15" s="163"/>
      <c r="R15" s="163"/>
      <c r="S15" s="163"/>
      <c r="BF15" s="981"/>
    </row>
    <row r="16" spans="1:58" s="1153" customFormat="1" ht="12" hidden="1" customHeight="1">
      <c r="B16" s="667"/>
      <c r="E16" s="676"/>
      <c r="G16" s="163"/>
      <c r="H16" s="163"/>
      <c r="I16" s="163"/>
      <c r="J16" s="163"/>
      <c r="K16" s="163"/>
      <c r="L16" s="163"/>
      <c r="M16" s="163"/>
      <c r="N16" s="163"/>
      <c r="O16" s="163"/>
      <c r="P16" s="163"/>
      <c r="Q16" s="163"/>
      <c r="R16" s="163"/>
      <c r="S16" s="163"/>
      <c r="BF16" s="981"/>
    </row>
    <row r="17" spans="2:58" s="1153" customFormat="1" ht="12" hidden="1" customHeight="1">
      <c r="B17" s="667"/>
      <c r="E17" s="676"/>
      <c r="G17" s="163"/>
      <c r="H17" s="163"/>
      <c r="I17" s="163"/>
      <c r="J17" s="163"/>
      <c r="K17" s="163"/>
      <c r="L17" s="163"/>
      <c r="M17" s="163"/>
      <c r="N17" s="163"/>
      <c r="O17" s="163"/>
      <c r="P17" s="163"/>
      <c r="Q17" s="163"/>
      <c r="R17" s="163"/>
      <c r="S17" s="163"/>
      <c r="BF17" s="981"/>
    </row>
    <row r="18" spans="2:58" s="1153" customFormat="1" ht="12" hidden="1" customHeight="1">
      <c r="B18" s="667"/>
      <c r="E18" s="676"/>
      <c r="G18" s="163"/>
      <c r="H18" s="163"/>
      <c r="I18" s="163"/>
      <c r="J18" s="163"/>
      <c r="K18" s="163"/>
      <c r="L18" s="163"/>
      <c r="M18" s="163"/>
      <c r="N18" s="163"/>
      <c r="O18" s="163"/>
      <c r="P18" s="163"/>
      <c r="Q18" s="163"/>
      <c r="R18" s="163"/>
      <c r="S18" s="163"/>
      <c r="BF18" s="981"/>
    </row>
    <row r="19" spans="2:58" s="1153" customFormat="1" ht="12" hidden="1" customHeight="1">
      <c r="B19" s="667"/>
      <c r="E19" s="676"/>
      <c r="G19" s="163"/>
      <c r="H19" s="163"/>
      <c r="I19" s="163"/>
      <c r="J19" s="163"/>
      <c r="K19" s="163"/>
      <c r="L19" s="163"/>
      <c r="M19" s="163"/>
      <c r="N19" s="163"/>
      <c r="O19" s="163"/>
      <c r="P19" s="163"/>
      <c r="Q19" s="163"/>
      <c r="R19" s="163"/>
      <c r="S19" s="163"/>
      <c r="BF19" s="981"/>
    </row>
    <row r="20" spans="2:58" s="1153" customFormat="1" ht="12" hidden="1" customHeight="1">
      <c r="B20" s="667"/>
      <c r="E20" s="676"/>
      <c r="G20" s="163"/>
      <c r="H20" s="163"/>
      <c r="I20" s="163"/>
      <c r="J20" s="163"/>
      <c r="K20" s="163"/>
      <c r="L20" s="163"/>
      <c r="M20" s="163"/>
      <c r="N20" s="163"/>
      <c r="O20" s="163"/>
      <c r="P20" s="163"/>
      <c r="Q20" s="163"/>
      <c r="R20" s="163"/>
      <c r="S20" s="163"/>
      <c r="BF20" s="981"/>
    </row>
    <row r="21" spans="2:58" ht="14.65" customHeight="1">
      <c r="E21" s="676">
        <v>15</v>
      </c>
      <c r="AA21" s="699"/>
      <c r="AC21" s="343" t="str" cm="1">
        <f t="array" ref="AC21">tpl_title</f>
        <v>Кемеровская область / 2026 / ОАО «СКЭК» (ИНН:4205153492, КПП:420501001) / ДПР: 2021-2030</v>
      </c>
    </row>
    <row r="22" spans="2:58" ht="19.5" customHeight="1">
      <c r="E22" s="676">
        <v>20.100000000000001</v>
      </c>
      <c r="AB22" s="333" t="s">
        <v>75</v>
      </c>
      <c r="AC22" s="253"/>
      <c r="AD22" s="253"/>
      <c r="AE22" s="253"/>
      <c r="AF22" s="253"/>
      <c r="AG22" s="253"/>
      <c r="AH22" s="253"/>
      <c r="AI22" s="253"/>
      <c r="AJ22" s="253"/>
      <c r="AK22" s="253"/>
      <c r="AL22" s="253"/>
      <c r="AM22" s="253"/>
      <c r="AN22" s="253"/>
      <c r="AO22" s="253"/>
      <c r="AP22" s="253"/>
      <c r="AQ22" s="253"/>
      <c r="AR22" s="253"/>
      <c r="AS22" s="253"/>
      <c r="AT22" s="254"/>
      <c r="AU22" s="254"/>
      <c r="AV22" s="254"/>
      <c r="AW22" s="254"/>
      <c r="AX22" s="254"/>
      <c r="AY22" s="254"/>
      <c r="AZ22" s="254"/>
      <c r="BA22" s="254"/>
      <c r="BB22" s="254"/>
      <c r="BC22" s="254"/>
    </row>
    <row r="23" spans="2:58" ht="11.1" customHeight="1">
      <c r="E23" s="676">
        <v>11.3</v>
      </c>
    </row>
    <row r="24" spans="2:58" ht="21.95" customHeight="1">
      <c r="E24" s="676">
        <v>22.5</v>
      </c>
      <c r="AB24" s="1851" t="s">
        <v>2104</v>
      </c>
      <c r="AC24" s="1851"/>
      <c r="AD24" s="342" t="str">
        <f>"нет"</f>
        <v>нет</v>
      </c>
    </row>
    <row r="25" spans="2:58" ht="11.1" customHeight="1">
      <c r="E25" s="676">
        <v>11.3</v>
      </c>
    </row>
    <row r="26" spans="2:58" ht="14.65" customHeight="1">
      <c r="E26" s="676">
        <v>15</v>
      </c>
      <c r="AB26" s="1730" t="s">
        <v>396</v>
      </c>
      <c r="AC26" s="1748" t="s">
        <v>2105</v>
      </c>
      <c r="AD26" s="1748" t="s">
        <v>476</v>
      </c>
      <c r="AE26" s="120" t="str">
        <f>god-2&amp;" год"</f>
        <v>2024 год</v>
      </c>
      <c r="AF26" s="120" t="str">
        <f>god-2&amp;" год"</f>
        <v>2024 год</v>
      </c>
      <c r="AG26" s="352" t="str">
        <f>god-1&amp;" год"</f>
        <v>2025 год</v>
      </c>
      <c r="AH26" s="352" t="str">
        <f>god-1&amp;" год"</f>
        <v>2025 год</v>
      </c>
      <c r="AI26" s="1141" t="str">
        <f>god&amp;" год"</f>
        <v>2026 год</v>
      </c>
      <c r="AJ26" s="1141" t="str">
        <f>god+1&amp;" год"</f>
        <v>2027 год</v>
      </c>
      <c r="AK26" s="1141" t="str">
        <f>god+2&amp;" год"</f>
        <v>2028 год</v>
      </c>
      <c r="AL26" s="1141" t="str">
        <f>god+3&amp;" год"</f>
        <v>2029 год</v>
      </c>
      <c r="AM26" s="1141" t="str">
        <f>god+4&amp;" год"</f>
        <v>2030 год</v>
      </c>
      <c r="AN26" s="1141" t="str">
        <f>god+5&amp;" год"</f>
        <v>2031 год</v>
      </c>
      <c r="AO26" s="1141" t="str">
        <f>god+6&amp;" год"</f>
        <v>2032 год</v>
      </c>
      <c r="AP26" s="1141" t="str">
        <f>god+7&amp;" год"</f>
        <v>2033 год</v>
      </c>
      <c r="AQ26" s="1141" t="str">
        <f>god+8&amp;" год"</f>
        <v>2034 год</v>
      </c>
      <c r="AR26" s="1141" t="str">
        <f>god+9&amp;" год"</f>
        <v>2035 год</v>
      </c>
      <c r="AS26" s="121" t="str">
        <f>god&amp;" год"</f>
        <v>2026 год</v>
      </c>
      <c r="AT26" s="121" t="str">
        <f>god+1&amp;" год"</f>
        <v>2027 год</v>
      </c>
      <c r="AU26" s="121" t="str">
        <f>god+2&amp;" год"</f>
        <v>2028 год</v>
      </c>
      <c r="AV26" s="121" t="str">
        <f>god+3&amp;" год"</f>
        <v>2029 год</v>
      </c>
      <c r="AW26" s="121" t="str">
        <f>god+4&amp;" год"</f>
        <v>2030 год</v>
      </c>
      <c r="AX26" s="121" t="str">
        <f>god+5&amp;" год"</f>
        <v>2031 год</v>
      </c>
      <c r="AY26" s="121" t="str">
        <f>god+6&amp;" год"</f>
        <v>2032 год</v>
      </c>
      <c r="AZ26" s="121" t="str">
        <f>god+7&amp;" год"</f>
        <v>2033 год</v>
      </c>
      <c r="BA26" s="121" t="str">
        <f>god+8&amp;" год"</f>
        <v>2034 год</v>
      </c>
      <c r="BB26" s="121" t="str">
        <f>god+9&amp;" год"</f>
        <v>2035 год</v>
      </c>
      <c r="BC26" s="1748" t="s">
        <v>630</v>
      </c>
    </row>
    <row r="27" spans="2:58" s="1154" customFormat="1" ht="74.650000000000006" customHeight="1">
      <c r="B27" s="671"/>
      <c r="E27" s="682">
        <v>76.5</v>
      </c>
      <c r="G27" s="165"/>
      <c r="H27" s="165"/>
      <c r="I27" s="165"/>
      <c r="J27" s="165"/>
      <c r="K27" s="165"/>
      <c r="L27" s="165"/>
      <c r="M27" s="165"/>
      <c r="N27" s="165"/>
      <c r="O27" s="165"/>
      <c r="P27" s="165"/>
      <c r="Q27" s="165"/>
      <c r="R27" s="165"/>
      <c r="S27" s="165"/>
      <c r="AB27" s="1730"/>
      <c r="AC27" s="1748"/>
      <c r="AD27" s="1748"/>
      <c r="AE27" s="120" t="s">
        <v>2106</v>
      </c>
      <c r="AF27" s="120" t="s">
        <v>412</v>
      </c>
      <c r="AG27" s="120" t="s">
        <v>2106</v>
      </c>
      <c r="AH27" s="268" t="s">
        <v>412</v>
      </c>
      <c r="AI27" s="1142" t="s">
        <v>413</v>
      </c>
      <c r="AJ27" s="1142" t="s">
        <v>413</v>
      </c>
      <c r="AK27" s="1142" t="s">
        <v>413</v>
      </c>
      <c r="AL27" s="1142" t="s">
        <v>413</v>
      </c>
      <c r="AM27" s="1142" t="s">
        <v>413</v>
      </c>
      <c r="AN27" s="1142" t="s">
        <v>413</v>
      </c>
      <c r="AO27" s="1142" t="s">
        <v>413</v>
      </c>
      <c r="AP27" s="1142" t="s">
        <v>413</v>
      </c>
      <c r="AQ27" s="1142" t="s">
        <v>413</v>
      </c>
      <c r="AR27" s="1142" t="s">
        <v>413</v>
      </c>
      <c r="AS27" s="351" t="s">
        <v>412</v>
      </c>
      <c r="AT27" s="351" t="s">
        <v>412</v>
      </c>
      <c r="AU27" s="351" t="s">
        <v>412</v>
      </c>
      <c r="AV27" s="351" t="s">
        <v>412</v>
      </c>
      <c r="AW27" s="351" t="s">
        <v>412</v>
      </c>
      <c r="AX27" s="351" t="s">
        <v>412</v>
      </c>
      <c r="AY27" s="351" t="s">
        <v>412</v>
      </c>
      <c r="AZ27" s="351" t="s">
        <v>412</v>
      </c>
      <c r="BA27" s="351" t="s">
        <v>412</v>
      </c>
      <c r="BB27" s="351" t="s">
        <v>412</v>
      </c>
      <c r="BC27" s="1748"/>
      <c r="BF27" s="981"/>
    </row>
    <row r="28" spans="2:58" s="1154" customFormat="1" ht="16.5" hidden="1" customHeight="1">
      <c r="B28" s="671"/>
      <c r="E28" s="682">
        <v>0</v>
      </c>
      <c r="G28" s="165"/>
      <c r="H28" s="165"/>
      <c r="I28" s="165"/>
      <c r="J28" s="165"/>
      <c r="K28" s="165"/>
      <c r="L28" s="165"/>
      <c r="M28" s="165"/>
      <c r="N28" s="165"/>
      <c r="O28" s="165"/>
      <c r="P28" s="165"/>
      <c r="Q28" s="165"/>
      <c r="R28" s="165"/>
      <c r="S28" s="165"/>
      <c r="AB28" s="318"/>
      <c r="AD28" s="444"/>
      <c r="AE28" s="444"/>
      <c r="AF28" s="444"/>
      <c r="AG28" s="444"/>
      <c r="AH28" s="444"/>
      <c r="BC28" s="444"/>
      <c r="BF28" s="981"/>
    </row>
    <row r="29" spans="2:58" ht="11.1" hidden="1" customHeight="1">
      <c r="E29" s="676">
        <v>11.4</v>
      </c>
      <c r="F29" s="779" cm="1">
        <f t="array" ref="F29">X29</f>
        <v>0</v>
      </c>
      <c r="T29" s="687" t="b">
        <f>X29&gt;0</f>
        <v>0</v>
      </c>
      <c r="V29" s="126" t="s">
        <v>315</v>
      </c>
      <c r="X29" s="1726">
        <v>0</v>
      </c>
      <c r="Z29" s="1726"/>
      <c r="AB29" s="275" t="str" cm="1">
        <f t="array" ref="AB29">INDEX('Общие сведения'!$AG$187:$AG$236,MATCH($F29,'Общие сведения'!$Z$187:$Z$236,0))</f>
        <v xml:space="preserve">Тариф 0 (Теплоснабжение) - </v>
      </c>
      <c r="AC29" s="276"/>
      <c r="AD29" s="267"/>
      <c r="AE29" s="267"/>
      <c r="AF29" s="267"/>
      <c r="AG29" s="267"/>
      <c r="AH29" s="267"/>
      <c r="AI29" s="267"/>
      <c r="AJ29" s="267"/>
      <c r="AK29" s="267"/>
      <c r="AL29" s="267"/>
      <c r="AM29" s="267"/>
      <c r="AN29" s="267"/>
      <c r="AO29" s="267"/>
      <c r="AP29" s="267"/>
      <c r="AQ29" s="267"/>
      <c r="AR29" s="267"/>
      <c r="AS29" s="267"/>
      <c r="AT29" s="267"/>
      <c r="AU29" s="267"/>
      <c r="AV29" s="267"/>
      <c r="AW29" s="267"/>
      <c r="AX29" s="267"/>
      <c r="AY29" s="267"/>
      <c r="AZ29" s="267"/>
      <c r="BA29" s="267"/>
      <c r="BB29" s="267"/>
      <c r="BC29" s="267"/>
    </row>
    <row r="30" spans="2:58" s="265" customFormat="1" ht="22.15" hidden="1" customHeight="1">
      <c r="E30" s="676">
        <v>22.8</v>
      </c>
      <c r="F30" s="779" cm="1">
        <f t="array" aca="1" ref="F30" ca="1">OFFSET(G30,-1,-1)</f>
        <v>0</v>
      </c>
      <c r="T30" s="687" t="b" cm="1">
        <f t="array" ref="T30">T29</f>
        <v>0</v>
      </c>
      <c r="X30" s="1816"/>
      <c r="Z30" s="1816"/>
      <c r="AB30" s="263"/>
      <c r="AC30" s="259" t="s">
        <v>2107</v>
      </c>
      <c r="AD30" s="264" t="s">
        <v>839</v>
      </c>
      <c r="AE30" s="255">
        <f t="shared" ref="AE30:BB30" si="1">AE31+AE40+AE44+AE48+AE39</f>
        <v>0</v>
      </c>
      <c r="AF30" s="255">
        <f t="shared" si="1"/>
        <v>0</v>
      </c>
      <c r="AG30" s="255">
        <f t="shared" si="1"/>
        <v>0</v>
      </c>
      <c r="AH30" s="255">
        <f t="shared" si="1"/>
        <v>0</v>
      </c>
      <c r="AI30" s="255">
        <f t="shared" si="1"/>
        <v>0</v>
      </c>
      <c r="AJ30" s="255">
        <f t="shared" si="1"/>
        <v>0</v>
      </c>
      <c r="AK30" s="255">
        <f t="shared" si="1"/>
        <v>0</v>
      </c>
      <c r="AL30" s="255">
        <f t="shared" si="1"/>
        <v>0</v>
      </c>
      <c r="AM30" s="255">
        <f t="shared" si="1"/>
        <v>0</v>
      </c>
      <c r="AN30" s="255">
        <f t="shared" si="1"/>
        <v>0</v>
      </c>
      <c r="AO30" s="255">
        <f t="shared" si="1"/>
        <v>0</v>
      </c>
      <c r="AP30" s="255">
        <f t="shared" si="1"/>
        <v>0</v>
      </c>
      <c r="AQ30" s="255">
        <f t="shared" si="1"/>
        <v>0</v>
      </c>
      <c r="AR30" s="255">
        <f t="shared" si="1"/>
        <v>0</v>
      </c>
      <c r="AS30" s="255">
        <f t="shared" si="1"/>
        <v>0</v>
      </c>
      <c r="AT30" s="255">
        <f t="shared" si="1"/>
        <v>0</v>
      </c>
      <c r="AU30" s="255">
        <f t="shared" si="1"/>
        <v>0</v>
      </c>
      <c r="AV30" s="255">
        <f t="shared" si="1"/>
        <v>0</v>
      </c>
      <c r="AW30" s="255">
        <f t="shared" si="1"/>
        <v>0</v>
      </c>
      <c r="AX30" s="255">
        <f t="shared" si="1"/>
        <v>0</v>
      </c>
      <c r="AY30" s="255">
        <f t="shared" si="1"/>
        <v>0</v>
      </c>
      <c r="AZ30" s="255">
        <f t="shared" si="1"/>
        <v>0</v>
      </c>
      <c r="BA30" s="255">
        <f t="shared" si="1"/>
        <v>0</v>
      </c>
      <c r="BB30" s="255">
        <f t="shared" si="1"/>
        <v>0</v>
      </c>
      <c r="BC30" s="28"/>
      <c r="BF30" s="981" t="s">
        <v>635</v>
      </c>
    </row>
    <row r="31" spans="2:58" ht="16.7" hidden="1" customHeight="1">
      <c r="E31" s="676">
        <v>17.100000000000001</v>
      </c>
      <c r="F31" s="779" cm="1">
        <f t="array" aca="1" ref="F31" ca="1">OFFSET(G31,-1,-1)</f>
        <v>0</v>
      </c>
      <c r="T31" s="687" t="b" cm="1">
        <f t="array" ref="T31">T30</f>
        <v>0</v>
      </c>
      <c r="X31" s="1726"/>
      <c r="Z31" s="1726"/>
      <c r="AB31" s="120">
        <v>1</v>
      </c>
      <c r="AC31" s="261" t="s">
        <v>2108</v>
      </c>
      <c r="AD31" s="258" t="s">
        <v>839</v>
      </c>
      <c r="AE31" s="256">
        <f t="shared" ref="AE31:BB31" si="2">AE32+AE33+AE34+AE37+AE38</f>
        <v>0</v>
      </c>
      <c r="AF31" s="256">
        <f t="shared" si="2"/>
        <v>0</v>
      </c>
      <c r="AG31" s="256">
        <f t="shared" si="2"/>
        <v>0</v>
      </c>
      <c r="AH31" s="256">
        <f t="shared" si="2"/>
        <v>0</v>
      </c>
      <c r="AI31" s="256">
        <f t="shared" si="2"/>
        <v>0</v>
      </c>
      <c r="AJ31" s="256">
        <f t="shared" si="2"/>
        <v>0</v>
      </c>
      <c r="AK31" s="256">
        <f t="shared" si="2"/>
        <v>0</v>
      </c>
      <c r="AL31" s="256">
        <f t="shared" si="2"/>
        <v>0</v>
      </c>
      <c r="AM31" s="256">
        <f t="shared" si="2"/>
        <v>0</v>
      </c>
      <c r="AN31" s="256">
        <f t="shared" si="2"/>
        <v>0</v>
      </c>
      <c r="AO31" s="256">
        <f t="shared" si="2"/>
        <v>0</v>
      </c>
      <c r="AP31" s="256">
        <f t="shared" si="2"/>
        <v>0</v>
      </c>
      <c r="AQ31" s="256">
        <f t="shared" si="2"/>
        <v>0</v>
      </c>
      <c r="AR31" s="256">
        <f t="shared" si="2"/>
        <v>0</v>
      </c>
      <c r="AS31" s="256">
        <f t="shared" si="2"/>
        <v>0</v>
      </c>
      <c r="AT31" s="256">
        <f t="shared" si="2"/>
        <v>0</v>
      </c>
      <c r="AU31" s="256">
        <f t="shared" si="2"/>
        <v>0</v>
      </c>
      <c r="AV31" s="256">
        <f t="shared" si="2"/>
        <v>0</v>
      </c>
      <c r="AW31" s="256">
        <f t="shared" si="2"/>
        <v>0</v>
      </c>
      <c r="AX31" s="256">
        <f t="shared" si="2"/>
        <v>0</v>
      </c>
      <c r="AY31" s="256">
        <f t="shared" si="2"/>
        <v>0</v>
      </c>
      <c r="AZ31" s="256">
        <f t="shared" si="2"/>
        <v>0</v>
      </c>
      <c r="BA31" s="256">
        <f t="shared" si="2"/>
        <v>0</v>
      </c>
      <c r="BB31" s="256">
        <f t="shared" si="2"/>
        <v>0</v>
      </c>
      <c r="BC31" s="28"/>
      <c r="BF31" s="981" t="s">
        <v>649</v>
      </c>
    </row>
    <row r="32" spans="2:58" ht="22.15" hidden="1" customHeight="1">
      <c r="E32" s="676">
        <v>22.8</v>
      </c>
      <c r="F32" s="779" cm="1">
        <f t="array" aca="1" ref="F32" ca="1">OFFSET(G32,-1,-1)</f>
        <v>0</v>
      </c>
      <c r="T32" s="687" t="b" cm="1">
        <f t="array" ref="T32">T31</f>
        <v>0</v>
      </c>
      <c r="X32" s="1726"/>
      <c r="Z32" s="1726"/>
      <c r="AB32" s="260" t="s">
        <v>484</v>
      </c>
      <c r="AC32" s="261" t="s">
        <v>2109</v>
      </c>
      <c r="AD32" s="258" t="s">
        <v>839</v>
      </c>
      <c r="AE32" s="53"/>
      <c r="AF32" s="53"/>
      <c r="AG32" s="53"/>
      <c r="AH32" s="53"/>
      <c r="AI32" s="257"/>
      <c r="AJ32" s="257"/>
      <c r="AK32" s="257"/>
      <c r="AL32" s="257"/>
      <c r="AM32" s="257"/>
      <c r="AN32" s="53"/>
      <c r="AO32" s="53"/>
      <c r="AP32" s="53"/>
      <c r="AQ32" s="53"/>
      <c r="AR32" s="53"/>
      <c r="AS32" s="257"/>
      <c r="AT32" s="257"/>
      <c r="AU32" s="257"/>
      <c r="AV32" s="257"/>
      <c r="AW32" s="257"/>
      <c r="AX32" s="53"/>
      <c r="AY32" s="53"/>
      <c r="AZ32" s="53"/>
      <c r="BA32" s="53"/>
      <c r="BB32" s="53"/>
      <c r="BC32" s="28"/>
      <c r="BF32" s="981" t="s">
        <v>1430</v>
      </c>
    </row>
    <row r="33" spans="5:58" ht="33.4" hidden="1" customHeight="1">
      <c r="E33" s="676">
        <v>34.200000000000003</v>
      </c>
      <c r="F33" s="779" cm="1">
        <f t="array" aca="1" ref="F33" ca="1">OFFSET(G33,-1,-1)</f>
        <v>0</v>
      </c>
      <c r="T33" s="687" t="b" cm="1">
        <f t="array" ref="T33">T32</f>
        <v>0</v>
      </c>
      <c r="X33" s="1726"/>
      <c r="Z33" s="1726"/>
      <c r="AB33" s="260" t="s">
        <v>989</v>
      </c>
      <c r="AC33" s="261" t="s">
        <v>2110</v>
      </c>
      <c r="AD33" s="258" t="s">
        <v>839</v>
      </c>
      <c r="AE33" s="53"/>
      <c r="AF33" s="53"/>
      <c r="AG33" s="53"/>
      <c r="AH33" s="53"/>
      <c r="AI33" s="257"/>
      <c r="AJ33" s="257"/>
      <c r="AK33" s="257"/>
      <c r="AL33" s="257"/>
      <c r="AM33" s="257"/>
      <c r="AN33" s="53"/>
      <c r="AO33" s="53"/>
      <c r="AP33" s="53"/>
      <c r="AQ33" s="53"/>
      <c r="AR33" s="53"/>
      <c r="AS33" s="257"/>
      <c r="AT33" s="257"/>
      <c r="AU33" s="257"/>
      <c r="AV33" s="257"/>
      <c r="AW33" s="257"/>
      <c r="AX33" s="53"/>
      <c r="AY33" s="53"/>
      <c r="AZ33" s="53"/>
      <c r="BA33" s="53"/>
      <c r="BB33" s="53"/>
      <c r="BC33" s="28"/>
      <c r="BF33" s="981" t="s">
        <v>2111</v>
      </c>
    </row>
    <row r="34" spans="5:58" ht="16.7" hidden="1" customHeight="1">
      <c r="E34" s="676">
        <v>17.100000000000001</v>
      </c>
      <c r="F34" s="779" cm="1">
        <f t="array" aca="1" ref="F34" ca="1">OFFSET(G34,-1,-1)</f>
        <v>0</v>
      </c>
      <c r="T34" s="687" t="b" cm="1">
        <f t="array" ref="T34">T33</f>
        <v>0</v>
      </c>
      <c r="X34" s="1726"/>
      <c r="Z34" s="1726"/>
      <c r="AB34" s="260" t="s">
        <v>991</v>
      </c>
      <c r="AC34" s="261" t="s">
        <v>2112</v>
      </c>
      <c r="AD34" s="258" t="s">
        <v>839</v>
      </c>
      <c r="AE34" s="53"/>
      <c r="AF34" s="53"/>
      <c r="AG34" s="53"/>
      <c r="AH34" s="53"/>
      <c r="AI34" s="257"/>
      <c r="AJ34" s="257"/>
      <c r="AK34" s="257"/>
      <c r="AL34" s="257"/>
      <c r="AM34" s="257"/>
      <c r="AN34" s="53"/>
      <c r="AO34" s="53"/>
      <c r="AP34" s="53"/>
      <c r="AQ34" s="53"/>
      <c r="AR34" s="53"/>
      <c r="AS34" s="257"/>
      <c r="AT34" s="257"/>
      <c r="AU34" s="257"/>
      <c r="AV34" s="257"/>
      <c r="AW34" s="257"/>
      <c r="AX34" s="53"/>
      <c r="AY34" s="53"/>
      <c r="AZ34" s="53"/>
      <c r="BA34" s="53"/>
      <c r="BB34" s="53"/>
      <c r="BC34" s="28"/>
      <c r="BF34" s="981" t="s">
        <v>1438</v>
      </c>
    </row>
    <row r="35" spans="5:58" ht="22.15" hidden="1" customHeight="1">
      <c r="E35" s="676">
        <v>22.8</v>
      </c>
      <c r="F35" s="779" cm="1">
        <f t="array" aca="1" ref="F35" ca="1">OFFSET(G35,-1,-1)</f>
        <v>0</v>
      </c>
      <c r="T35" s="687" t="b" cm="1">
        <f t="array" ref="T35">T34</f>
        <v>0</v>
      </c>
      <c r="X35" s="1726"/>
      <c r="Z35" s="1726"/>
      <c r="AB35" s="260" t="s">
        <v>1223</v>
      </c>
      <c r="AC35" s="261" t="s">
        <v>2113</v>
      </c>
      <c r="AD35" s="258" t="s">
        <v>839</v>
      </c>
      <c r="AE35" s="53"/>
      <c r="AF35" s="53"/>
      <c r="AG35" s="53"/>
      <c r="AH35" s="53"/>
      <c r="AI35" s="257"/>
      <c r="AJ35" s="257"/>
      <c r="AK35" s="257"/>
      <c r="AL35" s="257"/>
      <c r="AM35" s="257"/>
      <c r="AN35" s="53"/>
      <c r="AO35" s="53"/>
      <c r="AP35" s="53"/>
      <c r="AQ35" s="53"/>
      <c r="AR35" s="53"/>
      <c r="AS35" s="257"/>
      <c r="AT35" s="257"/>
      <c r="AU35" s="257"/>
      <c r="AV35" s="257"/>
      <c r="AW35" s="257"/>
      <c r="AX35" s="53"/>
      <c r="AY35" s="53"/>
      <c r="AZ35" s="53"/>
      <c r="BA35" s="53"/>
      <c r="BB35" s="53"/>
      <c r="BC35" s="28"/>
      <c r="BF35" s="981" t="s">
        <v>2114</v>
      </c>
    </row>
    <row r="36" spans="5:58" ht="55.5" hidden="1" customHeight="1">
      <c r="E36" s="676">
        <v>57</v>
      </c>
      <c r="F36" s="779" cm="1">
        <f t="array" aca="1" ref="F36" ca="1">OFFSET(G36,-1,-1)</f>
        <v>0</v>
      </c>
      <c r="T36" s="687" t="b" cm="1">
        <f t="array" ref="T36">T35</f>
        <v>0</v>
      </c>
      <c r="X36" s="1726"/>
      <c r="Z36" s="1726"/>
      <c r="AB36" s="260" t="s">
        <v>1227</v>
      </c>
      <c r="AC36" s="261" t="s">
        <v>2115</v>
      </c>
      <c r="AD36" s="258" t="s">
        <v>839</v>
      </c>
      <c r="AE36" s="53"/>
      <c r="AF36" s="53"/>
      <c r="AG36" s="53"/>
      <c r="AH36" s="53"/>
      <c r="AI36" s="257"/>
      <c r="AJ36" s="257"/>
      <c r="AK36" s="257"/>
      <c r="AL36" s="257"/>
      <c r="AM36" s="257"/>
      <c r="AN36" s="53"/>
      <c r="AO36" s="53"/>
      <c r="AP36" s="53"/>
      <c r="AQ36" s="53"/>
      <c r="AR36" s="53"/>
      <c r="AS36" s="257"/>
      <c r="AT36" s="257"/>
      <c r="AU36" s="257"/>
      <c r="AV36" s="257"/>
      <c r="AW36" s="257"/>
      <c r="AX36" s="53"/>
      <c r="AY36" s="53"/>
      <c r="AZ36" s="53"/>
      <c r="BA36" s="53"/>
      <c r="BB36" s="53"/>
      <c r="BC36" s="28"/>
      <c r="BF36" s="981" t="s">
        <v>2116</v>
      </c>
    </row>
    <row r="37" spans="5:58" ht="44.45" hidden="1" customHeight="1">
      <c r="E37" s="676">
        <v>45.6</v>
      </c>
      <c r="F37" s="779" cm="1">
        <f t="array" aca="1" ref="F37" ca="1">OFFSET(G37,-1,-1)</f>
        <v>0</v>
      </c>
      <c r="T37" s="687" t="b" cm="1">
        <f t="array" ref="T37">T36</f>
        <v>0</v>
      </c>
      <c r="X37" s="1726"/>
      <c r="Z37" s="1726"/>
      <c r="AB37" s="260" t="s">
        <v>995</v>
      </c>
      <c r="AC37" s="261" t="s">
        <v>2117</v>
      </c>
      <c r="AD37" s="258" t="s">
        <v>839</v>
      </c>
      <c r="AE37" s="53"/>
      <c r="AF37" s="53"/>
      <c r="AG37" s="53"/>
      <c r="AH37" s="53"/>
      <c r="AI37" s="257"/>
      <c r="AJ37" s="257"/>
      <c r="AK37" s="257"/>
      <c r="AL37" s="257"/>
      <c r="AM37" s="257"/>
      <c r="AN37" s="53"/>
      <c r="AO37" s="53"/>
      <c r="AP37" s="53"/>
      <c r="AQ37" s="53"/>
      <c r="AR37" s="53"/>
      <c r="AS37" s="257"/>
      <c r="AT37" s="257"/>
      <c r="AU37" s="257"/>
      <c r="AV37" s="257"/>
      <c r="AW37" s="257"/>
      <c r="AX37" s="53"/>
      <c r="AY37" s="53"/>
      <c r="AZ37" s="53"/>
      <c r="BA37" s="53"/>
      <c r="BB37" s="53"/>
      <c r="BC37" s="28"/>
      <c r="BF37" s="981" t="s">
        <v>2118</v>
      </c>
    </row>
    <row r="38" spans="5:58" ht="22.15" hidden="1" customHeight="1">
      <c r="E38" s="676">
        <v>22.8</v>
      </c>
      <c r="F38" s="779" cm="1">
        <f t="array" aca="1" ref="F38" ca="1">OFFSET(G38,-1,-1)</f>
        <v>0</v>
      </c>
      <c r="T38" s="687" t="b" cm="1">
        <f t="array" ref="T38">T37</f>
        <v>0</v>
      </c>
      <c r="X38" s="1726"/>
      <c r="Z38" s="1726"/>
      <c r="AB38" s="260" t="s">
        <v>1100</v>
      </c>
      <c r="AC38" s="261" t="s">
        <v>2119</v>
      </c>
      <c r="AD38" s="258" t="s">
        <v>839</v>
      </c>
      <c r="AE38" s="53"/>
      <c r="AF38" s="53"/>
      <c r="AG38" s="53"/>
      <c r="AH38" s="53"/>
      <c r="AI38" s="257"/>
      <c r="AJ38" s="257"/>
      <c r="AK38" s="257"/>
      <c r="AL38" s="257"/>
      <c r="AM38" s="257"/>
      <c r="AN38" s="53"/>
      <c r="AO38" s="53"/>
      <c r="AP38" s="53"/>
      <c r="AQ38" s="53"/>
      <c r="AR38" s="53"/>
      <c r="AS38" s="257"/>
      <c r="AT38" s="257"/>
      <c r="AU38" s="257"/>
      <c r="AV38" s="257"/>
      <c r="AW38" s="257"/>
      <c r="AX38" s="53"/>
      <c r="AY38" s="53"/>
      <c r="AZ38" s="53"/>
      <c r="BA38" s="53"/>
      <c r="BB38" s="53"/>
      <c r="BC38" s="28"/>
      <c r="BF38" s="981" t="s">
        <v>1221</v>
      </c>
    </row>
    <row r="39" spans="5:58" ht="22.15" hidden="1" customHeight="1">
      <c r="E39" s="676">
        <v>22.8</v>
      </c>
      <c r="F39" s="779" cm="1">
        <f t="array" aca="1" ref="F39" ca="1">OFFSET(G39,-1,-1)</f>
        <v>0</v>
      </c>
      <c r="T39" s="687" t="b" cm="1">
        <f t="array" ref="T39">T38</f>
        <v>0</v>
      </c>
      <c r="X39" s="1726"/>
      <c r="Z39" s="1726"/>
      <c r="AB39" s="260" t="s">
        <v>348</v>
      </c>
      <c r="AC39" s="261" t="s">
        <v>2120</v>
      </c>
      <c r="AD39" s="258" t="s">
        <v>839</v>
      </c>
      <c r="AE39" s="53"/>
      <c r="AF39" s="53"/>
      <c r="AG39" s="53"/>
      <c r="AH39" s="53"/>
      <c r="AI39" s="257"/>
      <c r="AJ39" s="257"/>
      <c r="AK39" s="257"/>
      <c r="AL39" s="257"/>
      <c r="AM39" s="257"/>
      <c r="AN39" s="53"/>
      <c r="AO39" s="53"/>
      <c r="AP39" s="53"/>
      <c r="AQ39" s="53"/>
      <c r="AR39" s="53"/>
      <c r="AS39" s="257"/>
      <c r="AT39" s="257"/>
      <c r="AU39" s="257"/>
      <c r="AV39" s="257"/>
      <c r="AW39" s="257"/>
      <c r="AX39" s="53"/>
      <c r="AY39" s="53"/>
      <c r="AZ39" s="53"/>
      <c r="BA39" s="53"/>
      <c r="BB39" s="53"/>
      <c r="BC39" s="28"/>
      <c r="BF39" s="981" t="s">
        <v>1326</v>
      </c>
    </row>
    <row r="40" spans="5:58" ht="16.7" hidden="1" customHeight="1">
      <c r="E40" s="676">
        <v>17.100000000000001</v>
      </c>
      <c r="F40" s="779" cm="1">
        <f t="array" aca="1" ref="F40" ca="1">OFFSET(G40,-1,-1)</f>
        <v>0</v>
      </c>
      <c r="T40" s="687" t="b" cm="1">
        <f t="array" ref="T40">T39</f>
        <v>0</v>
      </c>
      <c r="X40" s="1726"/>
      <c r="Z40" s="1726"/>
      <c r="AB40" s="260" t="s">
        <v>437</v>
      </c>
      <c r="AC40" s="261" t="s">
        <v>2121</v>
      </c>
      <c r="AD40" s="258" t="s">
        <v>839</v>
      </c>
      <c r="AE40" s="256">
        <f t="shared" ref="AE40:BB40" si="3">AE41+AE42+AE43</f>
        <v>0</v>
      </c>
      <c r="AF40" s="256">
        <f t="shared" si="3"/>
        <v>0</v>
      </c>
      <c r="AG40" s="256">
        <f t="shared" si="3"/>
        <v>0</v>
      </c>
      <c r="AH40" s="256">
        <f t="shared" si="3"/>
        <v>0</v>
      </c>
      <c r="AI40" s="256">
        <f t="shared" si="3"/>
        <v>0</v>
      </c>
      <c r="AJ40" s="256">
        <f t="shared" si="3"/>
        <v>0</v>
      </c>
      <c r="AK40" s="256">
        <f t="shared" si="3"/>
        <v>0</v>
      </c>
      <c r="AL40" s="256">
        <f t="shared" si="3"/>
        <v>0</v>
      </c>
      <c r="AM40" s="256">
        <f t="shared" si="3"/>
        <v>0</v>
      </c>
      <c r="AN40" s="256">
        <f t="shared" si="3"/>
        <v>0</v>
      </c>
      <c r="AO40" s="256">
        <f t="shared" si="3"/>
        <v>0</v>
      </c>
      <c r="AP40" s="256">
        <f t="shared" si="3"/>
        <v>0</v>
      </c>
      <c r="AQ40" s="256">
        <f t="shared" si="3"/>
        <v>0</v>
      </c>
      <c r="AR40" s="256">
        <f t="shared" si="3"/>
        <v>0</v>
      </c>
      <c r="AS40" s="256">
        <f t="shared" si="3"/>
        <v>0</v>
      </c>
      <c r="AT40" s="256">
        <f t="shared" si="3"/>
        <v>0</v>
      </c>
      <c r="AU40" s="256">
        <f t="shared" si="3"/>
        <v>0</v>
      </c>
      <c r="AV40" s="256">
        <f t="shared" si="3"/>
        <v>0</v>
      </c>
      <c r="AW40" s="256">
        <f t="shared" si="3"/>
        <v>0</v>
      </c>
      <c r="AX40" s="256">
        <f t="shared" si="3"/>
        <v>0</v>
      </c>
      <c r="AY40" s="256">
        <f t="shared" si="3"/>
        <v>0</v>
      </c>
      <c r="AZ40" s="256">
        <f t="shared" si="3"/>
        <v>0</v>
      </c>
      <c r="BA40" s="256">
        <f t="shared" si="3"/>
        <v>0</v>
      </c>
      <c r="BB40" s="256">
        <f t="shared" si="3"/>
        <v>0</v>
      </c>
      <c r="BC40" s="28"/>
      <c r="BF40" s="981" t="s">
        <v>2122</v>
      </c>
    </row>
    <row r="41" spans="5:58" ht="16.7" hidden="1" customHeight="1">
      <c r="E41" s="676">
        <v>17.100000000000001</v>
      </c>
      <c r="F41" s="779" cm="1">
        <f t="array" aca="1" ref="F41" ca="1">OFFSET(G41,-1,-1)</f>
        <v>0</v>
      </c>
      <c r="T41" s="687" t="b" cm="1">
        <f t="array" ref="T41">T40</f>
        <v>0</v>
      </c>
      <c r="X41" s="1726"/>
      <c r="Z41" s="1726"/>
      <c r="AB41" s="260" t="s">
        <v>744</v>
      </c>
      <c r="AC41" s="262" t="s">
        <v>2123</v>
      </c>
      <c r="AD41" s="258" t="s">
        <v>839</v>
      </c>
      <c r="AE41" s="53"/>
      <c r="AF41" s="53"/>
      <c r="AG41" s="53"/>
      <c r="AH41" s="53"/>
      <c r="AI41" s="257"/>
      <c r="AJ41" s="257"/>
      <c r="AK41" s="257"/>
      <c r="AL41" s="257"/>
      <c r="AM41" s="257"/>
      <c r="AN41" s="53"/>
      <c r="AO41" s="53"/>
      <c r="AP41" s="53"/>
      <c r="AQ41" s="53"/>
      <c r="AR41" s="53"/>
      <c r="AS41" s="257"/>
      <c r="AT41" s="257"/>
      <c r="AU41" s="257"/>
      <c r="AV41" s="257"/>
      <c r="AW41" s="257"/>
      <c r="AX41" s="53"/>
      <c r="AY41" s="53"/>
      <c r="AZ41" s="53"/>
      <c r="BA41" s="53"/>
      <c r="BB41" s="53"/>
      <c r="BC41" s="28"/>
      <c r="BF41" s="981" t="s">
        <v>1432</v>
      </c>
    </row>
    <row r="42" spans="5:58" ht="16.7" hidden="1" customHeight="1">
      <c r="E42" s="676">
        <v>17.100000000000001</v>
      </c>
      <c r="F42" s="779" cm="1">
        <f t="array" aca="1" ref="F42" ca="1">OFFSET(G42,-1,-1)</f>
        <v>0</v>
      </c>
      <c r="T42" s="687" t="b" cm="1">
        <f t="array" ref="T42">T41</f>
        <v>0</v>
      </c>
      <c r="X42" s="1726"/>
      <c r="Z42" s="1726"/>
      <c r="AB42" s="260" t="s">
        <v>747</v>
      </c>
      <c r="AC42" s="262" t="s">
        <v>2124</v>
      </c>
      <c r="AD42" s="258" t="s">
        <v>839</v>
      </c>
      <c r="AE42" s="53"/>
      <c r="AF42" s="53"/>
      <c r="AG42" s="53"/>
      <c r="AH42" s="53"/>
      <c r="AI42" s="257"/>
      <c r="AJ42" s="257"/>
      <c r="AK42" s="257"/>
      <c r="AL42" s="257"/>
      <c r="AM42" s="257"/>
      <c r="AN42" s="53"/>
      <c r="AO42" s="53"/>
      <c r="AP42" s="53"/>
      <c r="AQ42" s="53"/>
      <c r="AR42" s="53"/>
      <c r="AS42" s="257"/>
      <c r="AT42" s="257"/>
      <c r="AU42" s="257"/>
      <c r="AV42" s="257"/>
      <c r="AW42" s="257"/>
      <c r="AX42" s="53"/>
      <c r="AY42" s="53"/>
      <c r="AZ42" s="53"/>
      <c r="BA42" s="53"/>
      <c r="BB42" s="53"/>
      <c r="BC42" s="28"/>
      <c r="BF42" s="981" t="s">
        <v>2125</v>
      </c>
    </row>
    <row r="43" spans="5:58" ht="16.7" hidden="1" customHeight="1">
      <c r="E43" s="676">
        <v>17.100000000000001</v>
      </c>
      <c r="F43" s="779" cm="1">
        <f t="array" aca="1" ref="F43" ca="1">OFFSET(G43,-1,-1)</f>
        <v>0</v>
      </c>
      <c r="T43" s="687" t="b" cm="1">
        <f t="array" ref="T43">T42</f>
        <v>0</v>
      </c>
      <c r="X43" s="1726"/>
      <c r="Z43" s="1726"/>
      <c r="AB43" s="260" t="s">
        <v>1966</v>
      </c>
      <c r="AC43" s="262" t="s">
        <v>2126</v>
      </c>
      <c r="AD43" s="258" t="s">
        <v>839</v>
      </c>
      <c r="AE43" s="53"/>
      <c r="AF43" s="53"/>
      <c r="AG43" s="53"/>
      <c r="AH43" s="53"/>
      <c r="AI43" s="257"/>
      <c r="AJ43" s="257"/>
      <c r="AK43" s="257"/>
      <c r="AL43" s="257"/>
      <c r="AM43" s="257"/>
      <c r="AN43" s="53"/>
      <c r="AO43" s="53"/>
      <c r="AP43" s="53"/>
      <c r="AQ43" s="53"/>
      <c r="AR43" s="53"/>
      <c r="AS43" s="257"/>
      <c r="AT43" s="257"/>
      <c r="AU43" s="257"/>
      <c r="AV43" s="257"/>
      <c r="AW43" s="257"/>
      <c r="AX43" s="53"/>
      <c r="AY43" s="53"/>
      <c r="AZ43" s="53"/>
      <c r="BA43" s="53"/>
      <c r="BB43" s="53"/>
      <c r="BC43" s="28"/>
      <c r="BF43" s="981" t="s">
        <v>2127</v>
      </c>
    </row>
    <row r="44" spans="5:58" ht="16.7" hidden="1" customHeight="1">
      <c r="E44" s="676">
        <v>17.100000000000001</v>
      </c>
      <c r="F44" s="779" cm="1">
        <f t="array" aca="1" ref="F44" ca="1">OFFSET(G44,-1,-1)</f>
        <v>0</v>
      </c>
      <c r="T44" s="687" t="b" cm="1">
        <f t="array" ref="T44">T43</f>
        <v>0</v>
      </c>
      <c r="X44" s="1726"/>
      <c r="Z44" s="1726"/>
      <c r="AB44" s="260" t="s">
        <v>440</v>
      </c>
      <c r="AC44" s="261" t="s">
        <v>2128</v>
      </c>
      <c r="AD44" s="258" t="s">
        <v>839</v>
      </c>
      <c r="AE44" s="256">
        <f t="shared" ref="AE44:BB44" si="4">AE45+AE46+AE47</f>
        <v>0</v>
      </c>
      <c r="AF44" s="256">
        <f t="shared" si="4"/>
        <v>0</v>
      </c>
      <c r="AG44" s="256">
        <f t="shared" si="4"/>
        <v>0</v>
      </c>
      <c r="AH44" s="256">
        <f t="shared" si="4"/>
        <v>0</v>
      </c>
      <c r="AI44" s="256">
        <f t="shared" si="4"/>
        <v>0</v>
      </c>
      <c r="AJ44" s="256">
        <f t="shared" si="4"/>
        <v>0</v>
      </c>
      <c r="AK44" s="256">
        <f t="shared" si="4"/>
        <v>0</v>
      </c>
      <c r="AL44" s="256">
        <f t="shared" si="4"/>
        <v>0</v>
      </c>
      <c r="AM44" s="256">
        <f t="shared" si="4"/>
        <v>0</v>
      </c>
      <c r="AN44" s="256">
        <f t="shared" si="4"/>
        <v>0</v>
      </c>
      <c r="AO44" s="256">
        <f t="shared" si="4"/>
        <v>0</v>
      </c>
      <c r="AP44" s="256">
        <f t="shared" si="4"/>
        <v>0</v>
      </c>
      <c r="AQ44" s="256">
        <f t="shared" si="4"/>
        <v>0</v>
      </c>
      <c r="AR44" s="256">
        <f t="shared" si="4"/>
        <v>0</v>
      </c>
      <c r="AS44" s="256">
        <f t="shared" si="4"/>
        <v>0</v>
      </c>
      <c r="AT44" s="256">
        <f t="shared" si="4"/>
        <v>0</v>
      </c>
      <c r="AU44" s="256">
        <f t="shared" si="4"/>
        <v>0</v>
      </c>
      <c r="AV44" s="256">
        <f t="shared" si="4"/>
        <v>0</v>
      </c>
      <c r="AW44" s="256">
        <f t="shared" si="4"/>
        <v>0</v>
      </c>
      <c r="AX44" s="256">
        <f t="shared" si="4"/>
        <v>0</v>
      </c>
      <c r="AY44" s="256">
        <f t="shared" si="4"/>
        <v>0</v>
      </c>
      <c r="AZ44" s="256">
        <f t="shared" si="4"/>
        <v>0</v>
      </c>
      <c r="BA44" s="256">
        <f t="shared" si="4"/>
        <v>0</v>
      </c>
      <c r="BB44" s="256">
        <f t="shared" si="4"/>
        <v>0</v>
      </c>
      <c r="BC44" s="28"/>
      <c r="BF44" s="981" t="s">
        <v>1849</v>
      </c>
    </row>
    <row r="45" spans="5:58" ht="16.7" hidden="1" customHeight="1">
      <c r="E45" s="676">
        <v>17.100000000000001</v>
      </c>
      <c r="F45" s="779" cm="1">
        <f t="array" aca="1" ref="F45" ca="1">OFFSET(G45,-1,-1)</f>
        <v>0</v>
      </c>
      <c r="T45" s="687" t="b" cm="1">
        <f t="array" ref="T45">T44</f>
        <v>0</v>
      </c>
      <c r="X45" s="1726"/>
      <c r="Z45" s="1726"/>
      <c r="AB45" s="260" t="s">
        <v>780</v>
      </c>
      <c r="AC45" s="262" t="s">
        <v>2129</v>
      </c>
      <c r="AD45" s="258" t="s">
        <v>839</v>
      </c>
      <c r="AE45" s="53"/>
      <c r="AF45" s="53"/>
      <c r="AG45" s="53"/>
      <c r="AH45" s="53"/>
      <c r="AI45" s="257"/>
      <c r="AJ45" s="257"/>
      <c r="AK45" s="257"/>
      <c r="AL45" s="257"/>
      <c r="AM45" s="257"/>
      <c r="AN45" s="53"/>
      <c r="AO45" s="53"/>
      <c r="AP45" s="53"/>
      <c r="AQ45" s="53"/>
      <c r="AR45" s="53"/>
      <c r="AS45" s="257"/>
      <c r="AT45" s="257"/>
      <c r="AU45" s="257"/>
      <c r="AV45" s="257"/>
      <c r="AW45" s="257"/>
      <c r="AX45" s="53"/>
      <c r="AY45" s="53"/>
      <c r="AZ45" s="53"/>
      <c r="BA45" s="53"/>
      <c r="BB45" s="53"/>
      <c r="BC45" s="28"/>
      <c r="BF45" s="981" t="s">
        <v>2130</v>
      </c>
    </row>
    <row r="46" spans="5:58" ht="16.7" hidden="1" customHeight="1">
      <c r="E46" s="676">
        <v>17.100000000000001</v>
      </c>
      <c r="F46" s="779" cm="1">
        <f t="array" aca="1" ref="F46" ca="1">OFFSET(G46,-1,-1)</f>
        <v>0</v>
      </c>
      <c r="T46" s="687" t="b" cm="1">
        <f t="array" ref="T46">T45</f>
        <v>0</v>
      </c>
      <c r="X46" s="1726"/>
      <c r="Z46" s="1726"/>
      <c r="AB46" s="260" t="s">
        <v>1667</v>
      </c>
      <c r="AC46" s="262" t="s">
        <v>2131</v>
      </c>
      <c r="AD46" s="258" t="s">
        <v>839</v>
      </c>
      <c r="AE46" s="53"/>
      <c r="AF46" s="53"/>
      <c r="AG46" s="53"/>
      <c r="AH46" s="53"/>
      <c r="AI46" s="257"/>
      <c r="AJ46" s="257"/>
      <c r="AK46" s="257"/>
      <c r="AL46" s="257"/>
      <c r="AM46" s="257"/>
      <c r="AN46" s="53"/>
      <c r="AO46" s="53"/>
      <c r="AP46" s="53"/>
      <c r="AQ46" s="53"/>
      <c r="AR46" s="53"/>
      <c r="AS46" s="257"/>
      <c r="AT46" s="257"/>
      <c r="AU46" s="257"/>
      <c r="AV46" s="257"/>
      <c r="AW46" s="257"/>
      <c r="AX46" s="53"/>
      <c r="AY46" s="53"/>
      <c r="AZ46" s="53"/>
      <c r="BA46" s="53"/>
      <c r="BB46" s="53"/>
      <c r="BC46" s="28"/>
      <c r="BF46" s="981" t="s">
        <v>2132</v>
      </c>
    </row>
    <row r="47" spans="5:58" ht="16.7" hidden="1" customHeight="1">
      <c r="E47" s="676">
        <v>17.100000000000001</v>
      </c>
      <c r="F47" s="779" cm="1">
        <f t="array" aca="1" ref="F47" ca="1">OFFSET(G47,-1,-1)</f>
        <v>0</v>
      </c>
      <c r="T47" s="687" t="b" cm="1">
        <f t="array" ref="T47">T46</f>
        <v>0</v>
      </c>
      <c r="X47" s="1726"/>
      <c r="Z47" s="1726"/>
      <c r="AB47" s="260" t="s">
        <v>1722</v>
      </c>
      <c r="AC47" s="262" t="s">
        <v>2133</v>
      </c>
      <c r="AD47" s="258" t="s">
        <v>839</v>
      </c>
      <c r="AE47" s="53"/>
      <c r="AF47" s="53"/>
      <c r="AG47" s="53"/>
      <c r="AH47" s="53"/>
      <c r="AI47" s="257"/>
      <c r="AJ47" s="257"/>
      <c r="AK47" s="257"/>
      <c r="AL47" s="257"/>
      <c r="AM47" s="257"/>
      <c r="AN47" s="53"/>
      <c r="AO47" s="53"/>
      <c r="AP47" s="53"/>
      <c r="AQ47" s="53"/>
      <c r="AR47" s="53"/>
      <c r="AS47" s="257"/>
      <c r="AT47" s="257"/>
      <c r="AU47" s="257"/>
      <c r="AV47" s="257"/>
      <c r="AW47" s="257"/>
      <c r="AX47" s="53"/>
      <c r="AY47" s="53"/>
      <c r="AZ47" s="53"/>
      <c r="BA47" s="53"/>
      <c r="BB47" s="53"/>
      <c r="BC47" s="28"/>
      <c r="BF47" s="981" t="s">
        <v>2134</v>
      </c>
    </row>
    <row r="48" spans="5:58" ht="16.7" hidden="1" customHeight="1">
      <c r="E48" s="676">
        <v>17.100000000000001</v>
      </c>
      <c r="F48" s="779" cm="1">
        <f t="array" aca="1" ref="F48" ca="1">OFFSET(G48,-1,-1)</f>
        <v>0</v>
      </c>
      <c r="T48" s="687" t="b" cm="1">
        <f t="array" ref="T48">T47</f>
        <v>0</v>
      </c>
      <c r="X48" s="1726"/>
      <c r="Z48" s="1726"/>
      <c r="AB48" s="260" t="s">
        <v>443</v>
      </c>
      <c r="AC48" s="262" t="s">
        <v>2135</v>
      </c>
      <c r="AD48" s="258" t="s">
        <v>839</v>
      </c>
      <c r="AE48" s="53"/>
      <c r="AF48" s="53"/>
      <c r="AG48" s="53"/>
      <c r="AH48" s="53"/>
      <c r="AI48" s="257"/>
      <c r="AJ48" s="257"/>
      <c r="AK48" s="257"/>
      <c r="AL48" s="257"/>
      <c r="AM48" s="257"/>
      <c r="AN48" s="53"/>
      <c r="AO48" s="53"/>
      <c r="AP48" s="53"/>
      <c r="AQ48" s="53"/>
      <c r="AR48" s="53"/>
      <c r="AS48" s="257"/>
      <c r="AT48" s="257"/>
      <c r="AU48" s="257"/>
      <c r="AV48" s="257"/>
      <c r="AW48" s="257"/>
      <c r="AX48" s="53"/>
      <c r="AY48" s="53"/>
      <c r="AZ48" s="53"/>
      <c r="BA48" s="53"/>
      <c r="BB48" s="53"/>
      <c r="BC48" s="28"/>
      <c r="BF48" s="981" t="s">
        <v>2136</v>
      </c>
    </row>
    <row r="49" spans="1:58" s="1229" customFormat="1" ht="10.5" customHeight="1">
      <c r="A49" s="1153"/>
      <c r="B49" s="783"/>
      <c r="C49" s="1153"/>
      <c r="D49" s="1153"/>
      <c r="E49" s="676">
        <v>11.4</v>
      </c>
      <c r="F49" s="779" t="str" cm="1">
        <f t="array" ref="F49">X49</f>
        <v>1</v>
      </c>
      <c r="G49" s="425"/>
      <c r="H49" s="425"/>
      <c r="I49" s="425"/>
      <c r="J49" s="425"/>
      <c r="K49" s="425"/>
      <c r="L49" s="425"/>
      <c r="M49" s="425"/>
      <c r="N49" s="425"/>
      <c r="O49" s="425"/>
      <c r="P49" s="425"/>
      <c r="Q49" s="425"/>
      <c r="R49" s="425"/>
      <c r="S49" s="425"/>
      <c r="T49" s="687" t="b">
        <f>X49&gt;0</f>
        <v>1</v>
      </c>
      <c r="U49" s="1153"/>
      <c r="V49" s="126" t="str" cm="1">
        <f t="array" ref="V49">'Калькуляция (МСА)'!$AB$54</f>
        <v>Тариф 1 (Теплоснабжение) - Тариф на тепловую энергию (мощность), поставляемую потребителям (Не определено)</v>
      </c>
      <c r="W49" s="1153"/>
      <c r="X49" s="1726" t="s">
        <v>341</v>
      </c>
      <c r="Y49" s="1153"/>
      <c r="Z49" s="1726"/>
      <c r="AA49" s="170"/>
      <c r="AB49" s="275"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6"/>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170"/>
      <c r="BE49" s="170"/>
      <c r="BF49" s="1015"/>
    </row>
    <row r="50" spans="1:58" s="1526" customFormat="1" ht="21.75" customHeight="1">
      <c r="A50" s="265"/>
      <c r="B50" s="265"/>
      <c r="C50" s="265"/>
      <c r="D50" s="265"/>
      <c r="E50" s="676">
        <v>22.8</v>
      </c>
      <c r="F50" s="779" t="str" cm="1">
        <f t="array" aca="1" ref="F50" ca="1">OFFSET(G50,-1,-1)</f>
        <v>1</v>
      </c>
      <c r="G50" s="265"/>
      <c r="H50" s="265"/>
      <c r="I50" s="265"/>
      <c r="J50" s="265"/>
      <c r="K50" s="265"/>
      <c r="L50" s="265"/>
      <c r="M50" s="265"/>
      <c r="N50" s="265"/>
      <c r="O50" s="265"/>
      <c r="P50" s="265"/>
      <c r="Q50" s="265"/>
      <c r="R50" s="265"/>
      <c r="S50" s="265"/>
      <c r="T50" s="687" t="b" cm="1">
        <f t="array" ref="T50">T49</f>
        <v>1</v>
      </c>
      <c r="U50" s="265"/>
      <c r="V50" s="265"/>
      <c r="W50" s="265"/>
      <c r="X50" s="1816"/>
      <c r="Y50" s="265"/>
      <c r="Z50" s="1816"/>
      <c r="AA50" s="265"/>
      <c r="AB50" s="263"/>
      <c r="AC50" s="259" t="s">
        <v>2107</v>
      </c>
      <c r="AD50" s="264" t="s">
        <v>839</v>
      </c>
      <c r="AE50" s="255">
        <f t="shared" ref="AE50:BB50" si="5">AE51+AE60+AE64+AE68+AE59</f>
        <v>0</v>
      </c>
      <c r="AF50" s="255">
        <f t="shared" si="5"/>
        <v>0</v>
      </c>
      <c r="AG50" s="255">
        <f t="shared" si="5"/>
        <v>0</v>
      </c>
      <c r="AH50" s="255">
        <f t="shared" si="5"/>
        <v>57009</v>
      </c>
      <c r="AI50" s="255">
        <f t="shared" si="5"/>
        <v>0</v>
      </c>
      <c r="AJ50" s="255">
        <f t="shared" si="5"/>
        <v>0</v>
      </c>
      <c r="AK50" s="255">
        <f t="shared" si="5"/>
        <v>0</v>
      </c>
      <c r="AL50" s="255">
        <f t="shared" si="5"/>
        <v>0</v>
      </c>
      <c r="AM50" s="255">
        <f t="shared" si="5"/>
        <v>0</v>
      </c>
      <c r="AN50" s="255">
        <f t="shared" si="5"/>
        <v>0</v>
      </c>
      <c r="AO50" s="255">
        <f t="shared" si="5"/>
        <v>0</v>
      </c>
      <c r="AP50" s="255">
        <f t="shared" si="5"/>
        <v>0</v>
      </c>
      <c r="AQ50" s="255">
        <f t="shared" si="5"/>
        <v>0</v>
      </c>
      <c r="AR50" s="255">
        <f t="shared" si="5"/>
        <v>0</v>
      </c>
      <c r="AS50" s="255">
        <f t="shared" si="5"/>
        <v>72981</v>
      </c>
      <c r="AT50" s="255">
        <f t="shared" si="5"/>
        <v>0</v>
      </c>
      <c r="AU50" s="255">
        <f t="shared" si="5"/>
        <v>0</v>
      </c>
      <c r="AV50" s="255">
        <f t="shared" si="5"/>
        <v>0</v>
      </c>
      <c r="AW50" s="255">
        <f t="shared" si="5"/>
        <v>0</v>
      </c>
      <c r="AX50" s="255">
        <f t="shared" si="5"/>
        <v>0</v>
      </c>
      <c r="AY50" s="255">
        <f t="shared" si="5"/>
        <v>0</v>
      </c>
      <c r="AZ50" s="255">
        <f t="shared" si="5"/>
        <v>0</v>
      </c>
      <c r="BA50" s="255">
        <f t="shared" si="5"/>
        <v>0</v>
      </c>
      <c r="BB50" s="255">
        <f t="shared" si="5"/>
        <v>0</v>
      </c>
      <c r="BC50" s="1290"/>
      <c r="BD50" s="265"/>
      <c r="BE50" s="265"/>
      <c r="BF50" s="981" t="s">
        <v>635</v>
      </c>
    </row>
    <row r="51" spans="1:58" s="1229" customFormat="1" ht="16.5" customHeight="1">
      <c r="A51" s="1153"/>
      <c r="B51" s="783"/>
      <c r="C51" s="1153"/>
      <c r="D51" s="1153"/>
      <c r="E51" s="676">
        <v>17.100000000000001</v>
      </c>
      <c r="F51" s="779" t="str" cm="1">
        <f t="array" aca="1" ref="F51" ca="1">OFFSET(G51,-1,-1)</f>
        <v>1</v>
      </c>
      <c r="G51" s="425"/>
      <c r="H51" s="425"/>
      <c r="I51" s="425"/>
      <c r="J51" s="425"/>
      <c r="K51" s="425"/>
      <c r="L51" s="425"/>
      <c r="M51" s="425"/>
      <c r="N51" s="425"/>
      <c r="O51" s="425"/>
      <c r="P51" s="425"/>
      <c r="Q51" s="425"/>
      <c r="R51" s="425"/>
      <c r="S51" s="425"/>
      <c r="T51" s="687" t="b" cm="1">
        <f t="array" ref="T51">T50</f>
        <v>1</v>
      </c>
      <c r="U51" s="1153"/>
      <c r="V51" s="1153"/>
      <c r="W51" s="1153"/>
      <c r="X51" s="1726"/>
      <c r="Y51" s="1153"/>
      <c r="Z51" s="1726"/>
      <c r="AA51" s="170"/>
      <c r="AB51" s="120">
        <v>1</v>
      </c>
      <c r="AC51" s="261" t="s">
        <v>2108</v>
      </c>
      <c r="AD51" s="258" t="s">
        <v>839</v>
      </c>
      <c r="AE51" s="256">
        <f t="shared" ref="AE51:BB51" si="6">AE52+AE53+AE54+AE57+AE58</f>
        <v>0</v>
      </c>
      <c r="AF51" s="256">
        <f t="shared" si="6"/>
        <v>0</v>
      </c>
      <c r="AG51" s="256">
        <f t="shared" si="6"/>
        <v>0</v>
      </c>
      <c r="AH51" s="256">
        <f t="shared" si="6"/>
        <v>57009</v>
      </c>
      <c r="AI51" s="256">
        <f t="shared" si="6"/>
        <v>0</v>
      </c>
      <c r="AJ51" s="256">
        <f t="shared" si="6"/>
        <v>0</v>
      </c>
      <c r="AK51" s="256">
        <f t="shared" si="6"/>
        <v>0</v>
      </c>
      <c r="AL51" s="256">
        <f t="shared" si="6"/>
        <v>0</v>
      </c>
      <c r="AM51" s="256">
        <f t="shared" si="6"/>
        <v>0</v>
      </c>
      <c r="AN51" s="256">
        <f t="shared" si="6"/>
        <v>0</v>
      </c>
      <c r="AO51" s="256">
        <f t="shared" si="6"/>
        <v>0</v>
      </c>
      <c r="AP51" s="256">
        <f t="shared" si="6"/>
        <v>0</v>
      </c>
      <c r="AQ51" s="256">
        <f t="shared" si="6"/>
        <v>0</v>
      </c>
      <c r="AR51" s="256">
        <f t="shared" si="6"/>
        <v>0</v>
      </c>
      <c r="AS51" s="256">
        <f t="shared" si="6"/>
        <v>72981</v>
      </c>
      <c r="AT51" s="256">
        <f t="shared" si="6"/>
        <v>0</v>
      </c>
      <c r="AU51" s="256">
        <f t="shared" si="6"/>
        <v>0</v>
      </c>
      <c r="AV51" s="256">
        <f t="shared" si="6"/>
        <v>0</v>
      </c>
      <c r="AW51" s="256">
        <f t="shared" si="6"/>
        <v>0</v>
      </c>
      <c r="AX51" s="256">
        <f t="shared" si="6"/>
        <v>0</v>
      </c>
      <c r="AY51" s="256">
        <f t="shared" si="6"/>
        <v>0</v>
      </c>
      <c r="AZ51" s="256">
        <f t="shared" si="6"/>
        <v>0</v>
      </c>
      <c r="BA51" s="256">
        <f t="shared" si="6"/>
        <v>0</v>
      </c>
      <c r="BB51" s="256">
        <f t="shared" si="6"/>
        <v>0</v>
      </c>
      <c r="BC51" s="1290"/>
      <c r="BD51" s="170"/>
      <c r="BE51" s="170"/>
      <c r="BF51" s="981" t="s">
        <v>649</v>
      </c>
    </row>
    <row r="52" spans="1:58" s="1229" customFormat="1" ht="21.75" customHeight="1">
      <c r="A52" s="1153"/>
      <c r="B52" s="783"/>
      <c r="C52" s="1153"/>
      <c r="D52" s="1153"/>
      <c r="E52" s="676">
        <v>22.8</v>
      </c>
      <c r="F52" s="779" t="str" cm="1">
        <f t="array" aca="1" ref="F52" ca="1">OFFSET(G52,-1,-1)</f>
        <v>1</v>
      </c>
      <c r="G52" s="425"/>
      <c r="H52" s="425"/>
      <c r="I52" s="425"/>
      <c r="J52" s="425"/>
      <c r="K52" s="425"/>
      <c r="L52" s="425"/>
      <c r="M52" s="425"/>
      <c r="N52" s="425"/>
      <c r="O52" s="425"/>
      <c r="P52" s="425"/>
      <c r="Q52" s="425"/>
      <c r="R52" s="425"/>
      <c r="S52" s="425"/>
      <c r="T52" s="687" t="b" cm="1">
        <f t="array" ref="T52">T51</f>
        <v>1</v>
      </c>
      <c r="U52" s="1153"/>
      <c r="V52" s="1153"/>
      <c r="W52" s="1153"/>
      <c r="X52" s="1726"/>
      <c r="Y52" s="1153"/>
      <c r="Z52" s="1726"/>
      <c r="AA52" s="170"/>
      <c r="AB52" s="260" t="s">
        <v>484</v>
      </c>
      <c r="AC52" s="261" t="s">
        <v>2109</v>
      </c>
      <c r="AD52" s="258" t="s">
        <v>839</v>
      </c>
      <c r="AE52" s="1314"/>
      <c r="AF52" s="1314"/>
      <c r="AG52" s="1314"/>
      <c r="AH52" s="1314">
        <v>11769</v>
      </c>
      <c r="AI52" s="257"/>
      <c r="AJ52" s="257"/>
      <c r="AK52" s="257"/>
      <c r="AL52" s="257"/>
      <c r="AM52" s="257"/>
      <c r="AN52" s="1314"/>
      <c r="AO52" s="1314"/>
      <c r="AP52" s="1314"/>
      <c r="AQ52" s="1314"/>
      <c r="AR52" s="1314"/>
      <c r="AS52" s="257">
        <v>18611</v>
      </c>
      <c r="AT52" s="257"/>
      <c r="AU52" s="257"/>
      <c r="AV52" s="257"/>
      <c r="AW52" s="257"/>
      <c r="AX52" s="1314"/>
      <c r="AY52" s="1314"/>
      <c r="AZ52" s="1314"/>
      <c r="BA52" s="1314"/>
      <c r="BB52" s="1314"/>
      <c r="BC52" s="1290"/>
      <c r="BD52" s="170"/>
      <c r="BE52" s="170"/>
      <c r="BF52" s="981" t="s">
        <v>1430</v>
      </c>
    </row>
    <row r="53" spans="1:58" s="1229" customFormat="1" ht="33" customHeight="1">
      <c r="A53" s="1153"/>
      <c r="B53" s="783"/>
      <c r="C53" s="1153"/>
      <c r="D53" s="1153"/>
      <c r="E53" s="676">
        <v>34.200000000000003</v>
      </c>
      <c r="F53" s="779" t="str" cm="1">
        <f t="array" aca="1" ref="F53" ca="1">OFFSET(G53,-1,-1)</f>
        <v>1</v>
      </c>
      <c r="G53" s="425"/>
      <c r="H53" s="425"/>
      <c r="I53" s="425"/>
      <c r="J53" s="425"/>
      <c r="K53" s="425"/>
      <c r="L53" s="425"/>
      <c r="M53" s="425"/>
      <c r="N53" s="425"/>
      <c r="O53" s="425"/>
      <c r="P53" s="425"/>
      <c r="Q53" s="425"/>
      <c r="R53" s="425"/>
      <c r="S53" s="425"/>
      <c r="T53" s="687" t="b" cm="1">
        <f t="array" ref="T53">T52</f>
        <v>1</v>
      </c>
      <c r="U53" s="1153"/>
      <c r="V53" s="1153"/>
      <c r="W53" s="1153"/>
      <c r="X53" s="1726"/>
      <c r="Y53" s="1153"/>
      <c r="Z53" s="1726"/>
      <c r="AA53" s="170"/>
      <c r="AB53" s="260" t="s">
        <v>989</v>
      </c>
      <c r="AC53" s="261" t="s">
        <v>2110</v>
      </c>
      <c r="AD53" s="258" t="s">
        <v>839</v>
      </c>
      <c r="AE53" s="1314"/>
      <c r="AF53" s="1314"/>
      <c r="AG53" s="1314"/>
      <c r="AH53" s="1314">
        <v>45240</v>
      </c>
      <c r="AI53" s="257"/>
      <c r="AJ53" s="257"/>
      <c r="AK53" s="257"/>
      <c r="AL53" s="257"/>
      <c r="AM53" s="257"/>
      <c r="AN53" s="1314"/>
      <c r="AO53" s="1314"/>
      <c r="AP53" s="1314"/>
      <c r="AQ53" s="1314"/>
      <c r="AR53" s="1314"/>
      <c r="AS53" s="257">
        <v>54370</v>
      </c>
      <c r="AT53" s="257"/>
      <c r="AU53" s="257"/>
      <c r="AV53" s="257"/>
      <c r="AW53" s="257"/>
      <c r="AX53" s="1314"/>
      <c r="AY53" s="1314"/>
      <c r="AZ53" s="1314"/>
      <c r="BA53" s="1314"/>
      <c r="BB53" s="1314"/>
      <c r="BC53" s="1290"/>
      <c r="BD53" s="170"/>
      <c r="BE53" s="170"/>
      <c r="BF53" s="981" t="s">
        <v>2111</v>
      </c>
    </row>
    <row r="54" spans="1:58" s="1229" customFormat="1" ht="16.5" customHeight="1">
      <c r="A54" s="1153"/>
      <c r="B54" s="783"/>
      <c r="C54" s="1153"/>
      <c r="D54" s="1153"/>
      <c r="E54" s="676">
        <v>17.100000000000001</v>
      </c>
      <c r="F54" s="779" t="str" cm="1">
        <f t="array" aca="1" ref="F54" ca="1">OFFSET(G54,-1,-1)</f>
        <v>1</v>
      </c>
      <c r="G54" s="425"/>
      <c r="H54" s="425"/>
      <c r="I54" s="425"/>
      <c r="J54" s="425"/>
      <c r="K54" s="425"/>
      <c r="L54" s="425"/>
      <c r="M54" s="425"/>
      <c r="N54" s="425"/>
      <c r="O54" s="425"/>
      <c r="P54" s="425"/>
      <c r="Q54" s="425"/>
      <c r="R54" s="425"/>
      <c r="S54" s="425"/>
      <c r="T54" s="687" t="b" cm="1">
        <f t="array" ref="T54">T53</f>
        <v>1</v>
      </c>
      <c r="U54" s="1153"/>
      <c r="V54" s="1153"/>
      <c r="W54" s="1153"/>
      <c r="X54" s="1726"/>
      <c r="Y54" s="1153"/>
      <c r="Z54" s="1726"/>
      <c r="AA54" s="170"/>
      <c r="AB54" s="260" t="s">
        <v>991</v>
      </c>
      <c r="AC54" s="261" t="s">
        <v>2112</v>
      </c>
      <c r="AD54" s="258" t="s">
        <v>839</v>
      </c>
      <c r="AE54" s="1314"/>
      <c r="AF54" s="1314"/>
      <c r="AG54" s="1314"/>
      <c r="AH54" s="1314"/>
      <c r="AI54" s="257"/>
      <c r="AJ54" s="257"/>
      <c r="AK54" s="257"/>
      <c r="AL54" s="257"/>
      <c r="AM54" s="257"/>
      <c r="AN54" s="1314"/>
      <c r="AO54" s="1314"/>
      <c r="AP54" s="1314"/>
      <c r="AQ54" s="1314"/>
      <c r="AR54" s="1314"/>
      <c r="AS54" s="257"/>
      <c r="AT54" s="257"/>
      <c r="AU54" s="257"/>
      <c r="AV54" s="257"/>
      <c r="AW54" s="257"/>
      <c r="AX54" s="1314"/>
      <c r="AY54" s="1314"/>
      <c r="AZ54" s="1314"/>
      <c r="BA54" s="1314"/>
      <c r="BB54" s="1314"/>
      <c r="BC54" s="1290"/>
      <c r="BD54" s="170"/>
      <c r="BE54" s="170"/>
      <c r="BF54" s="981" t="s">
        <v>1438</v>
      </c>
    </row>
    <row r="55" spans="1:58" s="1229" customFormat="1" ht="21.75" customHeight="1">
      <c r="A55" s="1153"/>
      <c r="B55" s="783"/>
      <c r="C55" s="1153"/>
      <c r="D55" s="1153"/>
      <c r="E55" s="676">
        <v>22.8</v>
      </c>
      <c r="F55" s="779" t="str" cm="1">
        <f t="array" aca="1" ref="F55" ca="1">OFFSET(G55,-1,-1)</f>
        <v>1</v>
      </c>
      <c r="G55" s="425"/>
      <c r="H55" s="425"/>
      <c r="I55" s="425"/>
      <c r="J55" s="425"/>
      <c r="K55" s="425"/>
      <c r="L55" s="425"/>
      <c r="M55" s="425"/>
      <c r="N55" s="425"/>
      <c r="O55" s="425"/>
      <c r="P55" s="425"/>
      <c r="Q55" s="425"/>
      <c r="R55" s="425"/>
      <c r="S55" s="425"/>
      <c r="T55" s="687" t="b" cm="1">
        <f t="array" ref="T55">T54</f>
        <v>1</v>
      </c>
      <c r="U55" s="1153"/>
      <c r="V55" s="1153"/>
      <c r="W55" s="1153"/>
      <c r="X55" s="1726"/>
      <c r="Y55" s="1153"/>
      <c r="Z55" s="1726"/>
      <c r="AA55" s="170"/>
      <c r="AB55" s="260" t="s">
        <v>1223</v>
      </c>
      <c r="AC55" s="261" t="s">
        <v>2113</v>
      </c>
      <c r="AD55" s="258" t="s">
        <v>839</v>
      </c>
      <c r="AE55" s="1314"/>
      <c r="AF55" s="1314"/>
      <c r="AG55" s="1314"/>
      <c r="AH55" s="1314"/>
      <c r="AI55" s="257"/>
      <c r="AJ55" s="257"/>
      <c r="AK55" s="257"/>
      <c r="AL55" s="257"/>
      <c r="AM55" s="257"/>
      <c r="AN55" s="1314"/>
      <c r="AO55" s="1314"/>
      <c r="AP55" s="1314"/>
      <c r="AQ55" s="1314"/>
      <c r="AR55" s="1314"/>
      <c r="AS55" s="257"/>
      <c r="AT55" s="257"/>
      <c r="AU55" s="257"/>
      <c r="AV55" s="257"/>
      <c r="AW55" s="257"/>
      <c r="AX55" s="1314"/>
      <c r="AY55" s="1314"/>
      <c r="AZ55" s="1314"/>
      <c r="BA55" s="1314"/>
      <c r="BB55" s="1314"/>
      <c r="BC55" s="1290"/>
      <c r="BD55" s="170"/>
      <c r="BE55" s="170"/>
      <c r="BF55" s="981" t="s">
        <v>2114</v>
      </c>
    </row>
    <row r="56" spans="1:58" s="1229" customFormat="1" ht="55.5" customHeight="1">
      <c r="A56" s="1153"/>
      <c r="B56" s="783"/>
      <c r="C56" s="1153"/>
      <c r="D56" s="1153"/>
      <c r="E56" s="676">
        <v>57</v>
      </c>
      <c r="F56" s="779" t="str" cm="1">
        <f t="array" aca="1" ref="F56" ca="1">OFFSET(G56,-1,-1)</f>
        <v>1</v>
      </c>
      <c r="G56" s="425"/>
      <c r="H56" s="425"/>
      <c r="I56" s="425"/>
      <c r="J56" s="425"/>
      <c r="K56" s="425"/>
      <c r="L56" s="425"/>
      <c r="M56" s="425"/>
      <c r="N56" s="425"/>
      <c r="O56" s="425"/>
      <c r="P56" s="425"/>
      <c r="Q56" s="425"/>
      <c r="R56" s="425"/>
      <c r="S56" s="425"/>
      <c r="T56" s="687" t="b" cm="1">
        <f t="array" ref="T56">T55</f>
        <v>1</v>
      </c>
      <c r="U56" s="1153"/>
      <c r="V56" s="1153"/>
      <c r="W56" s="1153"/>
      <c r="X56" s="1726"/>
      <c r="Y56" s="1153"/>
      <c r="Z56" s="1726"/>
      <c r="AA56" s="170"/>
      <c r="AB56" s="260" t="s">
        <v>1227</v>
      </c>
      <c r="AC56" s="261" t="s">
        <v>2115</v>
      </c>
      <c r="AD56" s="258" t="s">
        <v>839</v>
      </c>
      <c r="AE56" s="1314"/>
      <c r="AF56" s="1314"/>
      <c r="AG56" s="1314"/>
      <c r="AH56" s="1314"/>
      <c r="AI56" s="257"/>
      <c r="AJ56" s="257"/>
      <c r="AK56" s="257"/>
      <c r="AL56" s="257"/>
      <c r="AM56" s="257"/>
      <c r="AN56" s="1314"/>
      <c r="AO56" s="1314"/>
      <c r="AP56" s="1314"/>
      <c r="AQ56" s="1314"/>
      <c r="AR56" s="1314"/>
      <c r="AS56" s="257"/>
      <c r="AT56" s="257"/>
      <c r="AU56" s="257"/>
      <c r="AV56" s="257"/>
      <c r="AW56" s="257"/>
      <c r="AX56" s="1314"/>
      <c r="AY56" s="1314"/>
      <c r="AZ56" s="1314"/>
      <c r="BA56" s="1314"/>
      <c r="BB56" s="1314"/>
      <c r="BC56" s="1290"/>
      <c r="BD56" s="170"/>
      <c r="BE56" s="170"/>
      <c r="BF56" s="981" t="s">
        <v>2116</v>
      </c>
    </row>
    <row r="57" spans="1:58" s="1229" customFormat="1" ht="44.25" customHeight="1">
      <c r="A57" s="1153"/>
      <c r="B57" s="783"/>
      <c r="C57" s="1153"/>
      <c r="D57" s="1153"/>
      <c r="E57" s="676">
        <v>45.6</v>
      </c>
      <c r="F57" s="779" t="str" cm="1">
        <f t="array" aca="1" ref="F57" ca="1">OFFSET(G57,-1,-1)</f>
        <v>1</v>
      </c>
      <c r="G57" s="425"/>
      <c r="H57" s="425"/>
      <c r="I57" s="425"/>
      <c r="J57" s="425"/>
      <c r="K57" s="425"/>
      <c r="L57" s="425"/>
      <c r="M57" s="425"/>
      <c r="N57" s="425"/>
      <c r="O57" s="425"/>
      <c r="P57" s="425"/>
      <c r="Q57" s="425"/>
      <c r="R57" s="425"/>
      <c r="S57" s="425"/>
      <c r="T57" s="687" t="b" cm="1">
        <f t="array" ref="T57">T56</f>
        <v>1</v>
      </c>
      <c r="U57" s="1153"/>
      <c r="V57" s="1153"/>
      <c r="W57" s="1153"/>
      <c r="X57" s="1726"/>
      <c r="Y57" s="1153"/>
      <c r="Z57" s="1726"/>
      <c r="AA57" s="170"/>
      <c r="AB57" s="260" t="s">
        <v>995</v>
      </c>
      <c r="AC57" s="261" t="s">
        <v>2117</v>
      </c>
      <c r="AD57" s="258" t="s">
        <v>839</v>
      </c>
      <c r="AE57" s="1314"/>
      <c r="AF57" s="1314"/>
      <c r="AG57" s="1314"/>
      <c r="AH57" s="1314"/>
      <c r="AI57" s="257"/>
      <c r="AJ57" s="257"/>
      <c r="AK57" s="257"/>
      <c r="AL57" s="257"/>
      <c r="AM57" s="257"/>
      <c r="AN57" s="1314"/>
      <c r="AO57" s="1314"/>
      <c r="AP57" s="1314"/>
      <c r="AQ57" s="1314"/>
      <c r="AR57" s="1314"/>
      <c r="AS57" s="257"/>
      <c r="AT57" s="257"/>
      <c r="AU57" s="257"/>
      <c r="AV57" s="257"/>
      <c r="AW57" s="257"/>
      <c r="AX57" s="1314"/>
      <c r="AY57" s="1314"/>
      <c r="AZ57" s="1314"/>
      <c r="BA57" s="1314"/>
      <c r="BB57" s="1314"/>
      <c r="BC57" s="1290"/>
      <c r="BD57" s="170"/>
      <c r="BE57" s="170"/>
      <c r="BF57" s="981" t="s">
        <v>2118</v>
      </c>
    </row>
    <row r="58" spans="1:58" s="1229" customFormat="1" ht="21.75" customHeight="1">
      <c r="A58" s="1153"/>
      <c r="B58" s="783"/>
      <c r="C58" s="1153"/>
      <c r="D58" s="1153"/>
      <c r="E58" s="676">
        <v>22.8</v>
      </c>
      <c r="F58" s="779" t="str" cm="1">
        <f t="array" aca="1" ref="F58" ca="1">OFFSET(G58,-1,-1)</f>
        <v>1</v>
      </c>
      <c r="G58" s="425"/>
      <c r="H58" s="425"/>
      <c r="I58" s="425"/>
      <c r="J58" s="425"/>
      <c r="K58" s="425"/>
      <c r="L58" s="425"/>
      <c r="M58" s="425"/>
      <c r="N58" s="425"/>
      <c r="O58" s="425"/>
      <c r="P58" s="425"/>
      <c r="Q58" s="425"/>
      <c r="R58" s="425"/>
      <c r="S58" s="425"/>
      <c r="T58" s="687" t="b" cm="1">
        <f t="array" ref="T58">T57</f>
        <v>1</v>
      </c>
      <c r="U58" s="1153"/>
      <c r="V58" s="1153"/>
      <c r="W58" s="1153"/>
      <c r="X58" s="1726"/>
      <c r="Y58" s="1153"/>
      <c r="Z58" s="1726"/>
      <c r="AA58" s="170"/>
      <c r="AB58" s="260" t="s">
        <v>1100</v>
      </c>
      <c r="AC58" s="261" t="s">
        <v>2119</v>
      </c>
      <c r="AD58" s="258" t="s">
        <v>839</v>
      </c>
      <c r="AE58" s="1314"/>
      <c r="AF58" s="1314"/>
      <c r="AG58" s="1314"/>
      <c r="AH58" s="1314"/>
      <c r="AI58" s="257"/>
      <c r="AJ58" s="257"/>
      <c r="AK58" s="257"/>
      <c r="AL58" s="257"/>
      <c r="AM58" s="257"/>
      <c r="AN58" s="1314"/>
      <c r="AO58" s="1314"/>
      <c r="AP58" s="1314"/>
      <c r="AQ58" s="1314"/>
      <c r="AR58" s="1314"/>
      <c r="AS58" s="257"/>
      <c r="AT58" s="257"/>
      <c r="AU58" s="257"/>
      <c r="AV58" s="257"/>
      <c r="AW58" s="257"/>
      <c r="AX58" s="1314"/>
      <c r="AY58" s="1314"/>
      <c r="AZ58" s="1314"/>
      <c r="BA58" s="1314"/>
      <c r="BB58" s="1314"/>
      <c r="BC58" s="1290"/>
      <c r="BD58" s="170"/>
      <c r="BE58" s="170"/>
      <c r="BF58" s="981" t="s">
        <v>1221</v>
      </c>
    </row>
    <row r="59" spans="1:58" s="1229" customFormat="1" ht="21.75" customHeight="1">
      <c r="A59" s="1153"/>
      <c r="B59" s="783"/>
      <c r="C59" s="1153"/>
      <c r="D59" s="1153"/>
      <c r="E59" s="676">
        <v>22.8</v>
      </c>
      <c r="F59" s="779" t="str" cm="1">
        <f t="array" aca="1" ref="F59" ca="1">OFFSET(G59,-1,-1)</f>
        <v>1</v>
      </c>
      <c r="G59" s="425"/>
      <c r="H59" s="425"/>
      <c r="I59" s="425"/>
      <c r="J59" s="425"/>
      <c r="K59" s="425"/>
      <c r="L59" s="425"/>
      <c r="M59" s="425"/>
      <c r="N59" s="425"/>
      <c r="O59" s="425"/>
      <c r="P59" s="425"/>
      <c r="Q59" s="425"/>
      <c r="R59" s="425"/>
      <c r="S59" s="425"/>
      <c r="T59" s="687" t="b" cm="1">
        <f t="array" ref="T59">T58</f>
        <v>1</v>
      </c>
      <c r="U59" s="1153"/>
      <c r="V59" s="1153"/>
      <c r="W59" s="1153"/>
      <c r="X59" s="1726"/>
      <c r="Y59" s="1153"/>
      <c r="Z59" s="1726"/>
      <c r="AA59" s="170"/>
      <c r="AB59" s="260" t="s">
        <v>348</v>
      </c>
      <c r="AC59" s="261" t="s">
        <v>2120</v>
      </c>
      <c r="AD59" s="258" t="s">
        <v>839</v>
      </c>
      <c r="AE59" s="1314"/>
      <c r="AF59" s="1314"/>
      <c r="AG59" s="1314"/>
      <c r="AH59" s="1314"/>
      <c r="AI59" s="257"/>
      <c r="AJ59" s="257"/>
      <c r="AK59" s="257"/>
      <c r="AL59" s="257"/>
      <c r="AM59" s="257"/>
      <c r="AN59" s="1314"/>
      <c r="AO59" s="1314"/>
      <c r="AP59" s="1314"/>
      <c r="AQ59" s="1314"/>
      <c r="AR59" s="1314"/>
      <c r="AS59" s="257"/>
      <c r="AT59" s="257"/>
      <c r="AU59" s="257"/>
      <c r="AV59" s="257"/>
      <c r="AW59" s="257"/>
      <c r="AX59" s="1314"/>
      <c r="AY59" s="1314"/>
      <c r="AZ59" s="1314"/>
      <c r="BA59" s="1314"/>
      <c r="BB59" s="1314"/>
      <c r="BC59" s="1290"/>
      <c r="BD59" s="170"/>
      <c r="BE59" s="170"/>
      <c r="BF59" s="981" t="s">
        <v>1326</v>
      </c>
    </row>
    <row r="60" spans="1:58" s="1229" customFormat="1" ht="16.5" customHeight="1">
      <c r="A60" s="1153"/>
      <c r="B60" s="783"/>
      <c r="C60" s="1153"/>
      <c r="D60" s="1153"/>
      <c r="E60" s="676">
        <v>17.100000000000001</v>
      </c>
      <c r="F60" s="779" t="str" cm="1">
        <f t="array" aca="1" ref="F60" ca="1">OFFSET(G60,-1,-1)</f>
        <v>1</v>
      </c>
      <c r="G60" s="425"/>
      <c r="H60" s="425"/>
      <c r="I60" s="425"/>
      <c r="J60" s="425"/>
      <c r="K60" s="425"/>
      <c r="L60" s="425"/>
      <c r="M60" s="425"/>
      <c r="N60" s="425"/>
      <c r="O60" s="425"/>
      <c r="P60" s="425"/>
      <c r="Q60" s="425"/>
      <c r="R60" s="425"/>
      <c r="S60" s="425"/>
      <c r="T60" s="687" t="b" cm="1">
        <f t="array" ref="T60">T59</f>
        <v>1</v>
      </c>
      <c r="U60" s="1153"/>
      <c r="V60" s="1153"/>
      <c r="W60" s="1153"/>
      <c r="X60" s="1726"/>
      <c r="Y60" s="1153"/>
      <c r="Z60" s="1726"/>
      <c r="AA60" s="170"/>
      <c r="AB60" s="260" t="s">
        <v>437</v>
      </c>
      <c r="AC60" s="261" t="s">
        <v>2121</v>
      </c>
      <c r="AD60" s="258" t="s">
        <v>839</v>
      </c>
      <c r="AE60" s="256">
        <f t="shared" ref="AE60:BB60" si="7">AE61+AE62+AE63</f>
        <v>0</v>
      </c>
      <c r="AF60" s="256">
        <f t="shared" si="7"/>
        <v>0</v>
      </c>
      <c r="AG60" s="256">
        <f t="shared" si="7"/>
        <v>0</v>
      </c>
      <c r="AH60" s="256">
        <f t="shared" si="7"/>
        <v>0</v>
      </c>
      <c r="AI60" s="256">
        <f t="shared" si="7"/>
        <v>0</v>
      </c>
      <c r="AJ60" s="256">
        <f t="shared" si="7"/>
        <v>0</v>
      </c>
      <c r="AK60" s="256">
        <f t="shared" si="7"/>
        <v>0</v>
      </c>
      <c r="AL60" s="256">
        <f t="shared" si="7"/>
        <v>0</v>
      </c>
      <c r="AM60" s="256">
        <f t="shared" si="7"/>
        <v>0</v>
      </c>
      <c r="AN60" s="256">
        <f t="shared" si="7"/>
        <v>0</v>
      </c>
      <c r="AO60" s="256">
        <f t="shared" si="7"/>
        <v>0</v>
      </c>
      <c r="AP60" s="256">
        <f t="shared" si="7"/>
        <v>0</v>
      </c>
      <c r="AQ60" s="256">
        <f t="shared" si="7"/>
        <v>0</v>
      </c>
      <c r="AR60" s="256">
        <f t="shared" si="7"/>
        <v>0</v>
      </c>
      <c r="AS60" s="256">
        <f t="shared" si="7"/>
        <v>0</v>
      </c>
      <c r="AT60" s="256">
        <f t="shared" si="7"/>
        <v>0</v>
      </c>
      <c r="AU60" s="256">
        <f t="shared" si="7"/>
        <v>0</v>
      </c>
      <c r="AV60" s="256">
        <f t="shared" si="7"/>
        <v>0</v>
      </c>
      <c r="AW60" s="256">
        <f t="shared" si="7"/>
        <v>0</v>
      </c>
      <c r="AX60" s="256">
        <f t="shared" si="7"/>
        <v>0</v>
      </c>
      <c r="AY60" s="256">
        <f t="shared" si="7"/>
        <v>0</v>
      </c>
      <c r="AZ60" s="256">
        <f t="shared" si="7"/>
        <v>0</v>
      </c>
      <c r="BA60" s="256">
        <f t="shared" si="7"/>
        <v>0</v>
      </c>
      <c r="BB60" s="256">
        <f t="shared" si="7"/>
        <v>0</v>
      </c>
      <c r="BC60" s="1290"/>
      <c r="BD60" s="170"/>
      <c r="BE60" s="170"/>
      <c r="BF60" s="981" t="s">
        <v>2122</v>
      </c>
    </row>
    <row r="61" spans="1:58" s="1229" customFormat="1" ht="16.5" customHeight="1">
      <c r="A61" s="1153"/>
      <c r="B61" s="783"/>
      <c r="C61" s="1153"/>
      <c r="D61" s="1153"/>
      <c r="E61" s="676">
        <v>17.100000000000001</v>
      </c>
      <c r="F61" s="779" t="str" cm="1">
        <f t="array" aca="1" ref="F61" ca="1">OFFSET(G61,-1,-1)</f>
        <v>1</v>
      </c>
      <c r="G61" s="425"/>
      <c r="H61" s="425"/>
      <c r="I61" s="425"/>
      <c r="J61" s="425"/>
      <c r="K61" s="425"/>
      <c r="L61" s="425"/>
      <c r="M61" s="425"/>
      <c r="N61" s="425"/>
      <c r="O61" s="425"/>
      <c r="P61" s="425"/>
      <c r="Q61" s="425"/>
      <c r="R61" s="425"/>
      <c r="S61" s="425"/>
      <c r="T61" s="687" t="b" cm="1">
        <f t="array" ref="T61">T60</f>
        <v>1</v>
      </c>
      <c r="U61" s="1153"/>
      <c r="V61" s="1153"/>
      <c r="W61" s="1153"/>
      <c r="X61" s="1726"/>
      <c r="Y61" s="1153"/>
      <c r="Z61" s="1726"/>
      <c r="AA61" s="170"/>
      <c r="AB61" s="260" t="s">
        <v>744</v>
      </c>
      <c r="AC61" s="262" t="s">
        <v>2123</v>
      </c>
      <c r="AD61" s="258" t="s">
        <v>839</v>
      </c>
      <c r="AE61" s="1314"/>
      <c r="AF61" s="1314"/>
      <c r="AG61" s="1314"/>
      <c r="AH61" s="1314"/>
      <c r="AI61" s="257"/>
      <c r="AJ61" s="257"/>
      <c r="AK61" s="257"/>
      <c r="AL61" s="257"/>
      <c r="AM61" s="257"/>
      <c r="AN61" s="1314"/>
      <c r="AO61" s="1314"/>
      <c r="AP61" s="1314"/>
      <c r="AQ61" s="1314"/>
      <c r="AR61" s="1314"/>
      <c r="AS61" s="257"/>
      <c r="AT61" s="257"/>
      <c r="AU61" s="257"/>
      <c r="AV61" s="257"/>
      <c r="AW61" s="257"/>
      <c r="AX61" s="1314"/>
      <c r="AY61" s="1314"/>
      <c r="AZ61" s="1314"/>
      <c r="BA61" s="1314"/>
      <c r="BB61" s="1314"/>
      <c r="BC61" s="1290"/>
      <c r="BD61" s="170"/>
      <c r="BE61" s="170"/>
      <c r="BF61" s="981" t="s">
        <v>1432</v>
      </c>
    </row>
    <row r="62" spans="1:58" s="1229" customFormat="1" ht="16.5" customHeight="1">
      <c r="A62" s="1153"/>
      <c r="B62" s="783"/>
      <c r="C62" s="1153"/>
      <c r="D62" s="1153"/>
      <c r="E62" s="676">
        <v>17.100000000000001</v>
      </c>
      <c r="F62" s="779" t="str" cm="1">
        <f t="array" aca="1" ref="F62" ca="1">OFFSET(G62,-1,-1)</f>
        <v>1</v>
      </c>
      <c r="G62" s="425"/>
      <c r="H62" s="425"/>
      <c r="I62" s="425"/>
      <c r="J62" s="425"/>
      <c r="K62" s="425"/>
      <c r="L62" s="425"/>
      <c r="M62" s="425"/>
      <c r="N62" s="425"/>
      <c r="O62" s="425"/>
      <c r="P62" s="425"/>
      <c r="Q62" s="425"/>
      <c r="R62" s="425"/>
      <c r="S62" s="425"/>
      <c r="T62" s="687" t="b" cm="1">
        <f t="array" ref="T62">T61</f>
        <v>1</v>
      </c>
      <c r="U62" s="1153"/>
      <c r="V62" s="1153"/>
      <c r="W62" s="1153"/>
      <c r="X62" s="1726"/>
      <c r="Y62" s="1153"/>
      <c r="Z62" s="1726"/>
      <c r="AA62" s="170"/>
      <c r="AB62" s="260" t="s">
        <v>747</v>
      </c>
      <c r="AC62" s="262" t="s">
        <v>2124</v>
      </c>
      <c r="AD62" s="258" t="s">
        <v>839</v>
      </c>
      <c r="AE62" s="1314"/>
      <c r="AF62" s="1314"/>
      <c r="AG62" s="1314"/>
      <c r="AH62" s="1314"/>
      <c r="AI62" s="257"/>
      <c r="AJ62" s="257"/>
      <c r="AK62" s="257"/>
      <c r="AL62" s="257"/>
      <c r="AM62" s="257"/>
      <c r="AN62" s="1314"/>
      <c r="AO62" s="1314"/>
      <c r="AP62" s="1314"/>
      <c r="AQ62" s="1314"/>
      <c r="AR62" s="1314"/>
      <c r="AS62" s="257"/>
      <c r="AT62" s="257"/>
      <c r="AU62" s="257"/>
      <c r="AV62" s="257"/>
      <c r="AW62" s="257"/>
      <c r="AX62" s="1314"/>
      <c r="AY62" s="1314"/>
      <c r="AZ62" s="1314"/>
      <c r="BA62" s="1314"/>
      <c r="BB62" s="1314"/>
      <c r="BC62" s="1290"/>
      <c r="BD62" s="170"/>
      <c r="BE62" s="170"/>
      <c r="BF62" s="981" t="s">
        <v>2125</v>
      </c>
    </row>
    <row r="63" spans="1:58" s="1229" customFormat="1" ht="16.5" customHeight="1">
      <c r="A63" s="1153"/>
      <c r="B63" s="783"/>
      <c r="C63" s="1153"/>
      <c r="D63" s="1153"/>
      <c r="E63" s="676">
        <v>17.100000000000001</v>
      </c>
      <c r="F63" s="779" t="str" cm="1">
        <f t="array" aca="1" ref="F63" ca="1">OFFSET(G63,-1,-1)</f>
        <v>1</v>
      </c>
      <c r="G63" s="425"/>
      <c r="H63" s="425"/>
      <c r="I63" s="425"/>
      <c r="J63" s="425"/>
      <c r="K63" s="425"/>
      <c r="L63" s="425"/>
      <c r="M63" s="425"/>
      <c r="N63" s="425"/>
      <c r="O63" s="425"/>
      <c r="P63" s="425"/>
      <c r="Q63" s="425"/>
      <c r="R63" s="425"/>
      <c r="S63" s="425"/>
      <c r="T63" s="687" t="b" cm="1">
        <f t="array" ref="T63">T62</f>
        <v>1</v>
      </c>
      <c r="U63" s="1153"/>
      <c r="V63" s="1153"/>
      <c r="W63" s="1153"/>
      <c r="X63" s="1726"/>
      <c r="Y63" s="1153"/>
      <c r="Z63" s="1726"/>
      <c r="AA63" s="170"/>
      <c r="AB63" s="260" t="s">
        <v>1966</v>
      </c>
      <c r="AC63" s="262" t="s">
        <v>2126</v>
      </c>
      <c r="AD63" s="258" t="s">
        <v>839</v>
      </c>
      <c r="AE63" s="1314"/>
      <c r="AF63" s="1314"/>
      <c r="AG63" s="1314"/>
      <c r="AH63" s="1314"/>
      <c r="AI63" s="257"/>
      <c r="AJ63" s="257"/>
      <c r="AK63" s="257"/>
      <c r="AL63" s="257"/>
      <c r="AM63" s="257"/>
      <c r="AN63" s="1314"/>
      <c r="AO63" s="1314"/>
      <c r="AP63" s="1314"/>
      <c r="AQ63" s="1314"/>
      <c r="AR63" s="1314"/>
      <c r="AS63" s="257"/>
      <c r="AT63" s="257"/>
      <c r="AU63" s="257"/>
      <c r="AV63" s="257"/>
      <c r="AW63" s="257"/>
      <c r="AX63" s="1314"/>
      <c r="AY63" s="1314"/>
      <c r="AZ63" s="1314"/>
      <c r="BA63" s="1314"/>
      <c r="BB63" s="1314"/>
      <c r="BC63" s="1290"/>
      <c r="BD63" s="170"/>
      <c r="BE63" s="170"/>
      <c r="BF63" s="981" t="s">
        <v>2127</v>
      </c>
    </row>
    <row r="64" spans="1:58" s="1229" customFormat="1" ht="16.5" customHeight="1">
      <c r="A64" s="1153"/>
      <c r="B64" s="783"/>
      <c r="C64" s="1153"/>
      <c r="D64" s="1153"/>
      <c r="E64" s="676">
        <v>17.100000000000001</v>
      </c>
      <c r="F64" s="779" t="str" cm="1">
        <f t="array" aca="1" ref="F64" ca="1">OFFSET(G64,-1,-1)</f>
        <v>1</v>
      </c>
      <c r="G64" s="425"/>
      <c r="H64" s="425"/>
      <c r="I64" s="425"/>
      <c r="J64" s="425"/>
      <c r="K64" s="425"/>
      <c r="L64" s="425"/>
      <c r="M64" s="425"/>
      <c r="N64" s="425"/>
      <c r="O64" s="425"/>
      <c r="P64" s="425"/>
      <c r="Q64" s="425"/>
      <c r="R64" s="425"/>
      <c r="S64" s="425"/>
      <c r="T64" s="687" t="b" cm="1">
        <f t="array" ref="T64">T63</f>
        <v>1</v>
      </c>
      <c r="U64" s="1153"/>
      <c r="V64" s="1153"/>
      <c r="W64" s="1153"/>
      <c r="X64" s="1726"/>
      <c r="Y64" s="1153"/>
      <c r="Z64" s="1726"/>
      <c r="AA64" s="170"/>
      <c r="AB64" s="260" t="s">
        <v>440</v>
      </c>
      <c r="AC64" s="261" t="s">
        <v>2128</v>
      </c>
      <c r="AD64" s="258" t="s">
        <v>839</v>
      </c>
      <c r="AE64" s="256">
        <f t="shared" ref="AE64:BB64" si="8">AE65+AE66+AE67</f>
        <v>0</v>
      </c>
      <c r="AF64" s="256">
        <f t="shared" si="8"/>
        <v>0</v>
      </c>
      <c r="AG64" s="256">
        <f t="shared" si="8"/>
        <v>0</v>
      </c>
      <c r="AH64" s="256">
        <f t="shared" si="8"/>
        <v>0</v>
      </c>
      <c r="AI64" s="256">
        <f t="shared" si="8"/>
        <v>0</v>
      </c>
      <c r="AJ64" s="256">
        <f t="shared" si="8"/>
        <v>0</v>
      </c>
      <c r="AK64" s="256">
        <f t="shared" si="8"/>
        <v>0</v>
      </c>
      <c r="AL64" s="256">
        <f t="shared" si="8"/>
        <v>0</v>
      </c>
      <c r="AM64" s="256">
        <f t="shared" si="8"/>
        <v>0</v>
      </c>
      <c r="AN64" s="256">
        <f t="shared" si="8"/>
        <v>0</v>
      </c>
      <c r="AO64" s="256">
        <f t="shared" si="8"/>
        <v>0</v>
      </c>
      <c r="AP64" s="256">
        <f t="shared" si="8"/>
        <v>0</v>
      </c>
      <c r="AQ64" s="256">
        <f t="shared" si="8"/>
        <v>0</v>
      </c>
      <c r="AR64" s="256">
        <f t="shared" si="8"/>
        <v>0</v>
      </c>
      <c r="AS64" s="256">
        <f t="shared" si="8"/>
        <v>0</v>
      </c>
      <c r="AT64" s="256">
        <f t="shared" si="8"/>
        <v>0</v>
      </c>
      <c r="AU64" s="256">
        <f t="shared" si="8"/>
        <v>0</v>
      </c>
      <c r="AV64" s="256">
        <f t="shared" si="8"/>
        <v>0</v>
      </c>
      <c r="AW64" s="256">
        <f t="shared" si="8"/>
        <v>0</v>
      </c>
      <c r="AX64" s="256">
        <f t="shared" si="8"/>
        <v>0</v>
      </c>
      <c r="AY64" s="256">
        <f t="shared" si="8"/>
        <v>0</v>
      </c>
      <c r="AZ64" s="256">
        <f t="shared" si="8"/>
        <v>0</v>
      </c>
      <c r="BA64" s="256">
        <f t="shared" si="8"/>
        <v>0</v>
      </c>
      <c r="BB64" s="256">
        <f t="shared" si="8"/>
        <v>0</v>
      </c>
      <c r="BC64" s="1290"/>
      <c r="BD64" s="170"/>
      <c r="BE64" s="170"/>
      <c r="BF64" s="981" t="s">
        <v>1849</v>
      </c>
    </row>
    <row r="65" spans="1:58" s="1229" customFormat="1" ht="16.5" customHeight="1">
      <c r="A65" s="1153"/>
      <c r="B65" s="783"/>
      <c r="C65" s="1153"/>
      <c r="D65" s="1153"/>
      <c r="E65" s="676">
        <v>17.100000000000001</v>
      </c>
      <c r="F65" s="779" t="str" cm="1">
        <f t="array" aca="1" ref="F65" ca="1">OFFSET(G65,-1,-1)</f>
        <v>1</v>
      </c>
      <c r="G65" s="425"/>
      <c r="H65" s="425"/>
      <c r="I65" s="425"/>
      <c r="J65" s="425"/>
      <c r="K65" s="425"/>
      <c r="L65" s="425"/>
      <c r="M65" s="425"/>
      <c r="N65" s="425"/>
      <c r="O65" s="425"/>
      <c r="P65" s="425"/>
      <c r="Q65" s="425"/>
      <c r="R65" s="425"/>
      <c r="S65" s="425"/>
      <c r="T65" s="687" t="b" cm="1">
        <f t="array" ref="T65">T64</f>
        <v>1</v>
      </c>
      <c r="U65" s="1153"/>
      <c r="V65" s="1153"/>
      <c r="W65" s="1153"/>
      <c r="X65" s="1726"/>
      <c r="Y65" s="1153"/>
      <c r="Z65" s="1726"/>
      <c r="AA65" s="170"/>
      <c r="AB65" s="260" t="s">
        <v>780</v>
      </c>
      <c r="AC65" s="262" t="s">
        <v>2129</v>
      </c>
      <c r="AD65" s="258" t="s">
        <v>839</v>
      </c>
      <c r="AE65" s="1314"/>
      <c r="AF65" s="1314"/>
      <c r="AG65" s="1314"/>
      <c r="AH65" s="1314"/>
      <c r="AI65" s="257"/>
      <c r="AJ65" s="257"/>
      <c r="AK65" s="257"/>
      <c r="AL65" s="257"/>
      <c r="AM65" s="257"/>
      <c r="AN65" s="1314"/>
      <c r="AO65" s="1314"/>
      <c r="AP65" s="1314"/>
      <c r="AQ65" s="1314"/>
      <c r="AR65" s="1314"/>
      <c r="AS65" s="257"/>
      <c r="AT65" s="257"/>
      <c r="AU65" s="257"/>
      <c r="AV65" s="257"/>
      <c r="AW65" s="257"/>
      <c r="AX65" s="1314"/>
      <c r="AY65" s="1314"/>
      <c r="AZ65" s="1314"/>
      <c r="BA65" s="1314"/>
      <c r="BB65" s="1314"/>
      <c r="BC65" s="1290"/>
      <c r="BD65" s="170"/>
      <c r="BE65" s="170"/>
      <c r="BF65" s="981" t="s">
        <v>2130</v>
      </c>
    </row>
    <row r="66" spans="1:58" s="1229" customFormat="1" ht="16.5" customHeight="1">
      <c r="A66" s="1153"/>
      <c r="B66" s="783"/>
      <c r="C66" s="1153"/>
      <c r="D66" s="1153"/>
      <c r="E66" s="676">
        <v>17.100000000000001</v>
      </c>
      <c r="F66" s="779" t="str" cm="1">
        <f t="array" aca="1" ref="F66" ca="1">OFFSET(G66,-1,-1)</f>
        <v>1</v>
      </c>
      <c r="G66" s="425"/>
      <c r="H66" s="425"/>
      <c r="I66" s="425"/>
      <c r="J66" s="425"/>
      <c r="K66" s="425"/>
      <c r="L66" s="425"/>
      <c r="M66" s="425"/>
      <c r="N66" s="425"/>
      <c r="O66" s="425"/>
      <c r="P66" s="425"/>
      <c r="Q66" s="425"/>
      <c r="R66" s="425"/>
      <c r="S66" s="425"/>
      <c r="T66" s="687" t="b" cm="1">
        <f t="array" ref="T66">T65</f>
        <v>1</v>
      </c>
      <c r="U66" s="1153"/>
      <c r="V66" s="1153"/>
      <c r="W66" s="1153"/>
      <c r="X66" s="1726"/>
      <c r="Y66" s="1153"/>
      <c r="Z66" s="1726"/>
      <c r="AA66" s="170"/>
      <c r="AB66" s="260" t="s">
        <v>1667</v>
      </c>
      <c r="AC66" s="262" t="s">
        <v>2131</v>
      </c>
      <c r="AD66" s="258" t="s">
        <v>839</v>
      </c>
      <c r="AE66" s="1314"/>
      <c r="AF66" s="1314"/>
      <c r="AG66" s="1314"/>
      <c r="AH66" s="1314"/>
      <c r="AI66" s="257"/>
      <c r="AJ66" s="257"/>
      <c r="AK66" s="257"/>
      <c r="AL66" s="257"/>
      <c r="AM66" s="257"/>
      <c r="AN66" s="1314"/>
      <c r="AO66" s="1314"/>
      <c r="AP66" s="1314"/>
      <c r="AQ66" s="1314"/>
      <c r="AR66" s="1314"/>
      <c r="AS66" s="257"/>
      <c r="AT66" s="257"/>
      <c r="AU66" s="257"/>
      <c r="AV66" s="257"/>
      <c r="AW66" s="257"/>
      <c r="AX66" s="1314"/>
      <c r="AY66" s="1314"/>
      <c r="AZ66" s="1314"/>
      <c r="BA66" s="1314"/>
      <c r="BB66" s="1314"/>
      <c r="BC66" s="1290"/>
      <c r="BD66" s="170"/>
      <c r="BE66" s="170"/>
      <c r="BF66" s="981" t="s">
        <v>2132</v>
      </c>
    </row>
    <row r="67" spans="1:58" s="1229" customFormat="1" ht="16.5" customHeight="1">
      <c r="A67" s="1153"/>
      <c r="B67" s="783"/>
      <c r="C67" s="1153"/>
      <c r="D67" s="1153"/>
      <c r="E67" s="676">
        <v>17.100000000000001</v>
      </c>
      <c r="F67" s="779" t="str" cm="1">
        <f t="array" aca="1" ref="F67" ca="1">OFFSET(G67,-1,-1)</f>
        <v>1</v>
      </c>
      <c r="G67" s="425"/>
      <c r="H67" s="425"/>
      <c r="I67" s="425"/>
      <c r="J67" s="425"/>
      <c r="K67" s="425"/>
      <c r="L67" s="425"/>
      <c r="M67" s="425"/>
      <c r="N67" s="425"/>
      <c r="O67" s="425"/>
      <c r="P67" s="425"/>
      <c r="Q67" s="425"/>
      <c r="R67" s="425"/>
      <c r="S67" s="425"/>
      <c r="T67" s="687" t="b" cm="1">
        <f t="array" ref="T67">T66</f>
        <v>1</v>
      </c>
      <c r="U67" s="1153"/>
      <c r="V67" s="1153"/>
      <c r="W67" s="1153"/>
      <c r="X67" s="1726"/>
      <c r="Y67" s="1153"/>
      <c r="Z67" s="1726"/>
      <c r="AA67" s="170"/>
      <c r="AB67" s="260" t="s">
        <v>1722</v>
      </c>
      <c r="AC67" s="262" t="s">
        <v>2133</v>
      </c>
      <c r="AD67" s="258" t="s">
        <v>839</v>
      </c>
      <c r="AE67" s="1314"/>
      <c r="AF67" s="1314"/>
      <c r="AG67" s="1314"/>
      <c r="AH67" s="1314"/>
      <c r="AI67" s="257"/>
      <c r="AJ67" s="257"/>
      <c r="AK67" s="257"/>
      <c r="AL67" s="257"/>
      <c r="AM67" s="257"/>
      <c r="AN67" s="1314"/>
      <c r="AO67" s="1314"/>
      <c r="AP67" s="1314"/>
      <c r="AQ67" s="1314"/>
      <c r="AR67" s="1314"/>
      <c r="AS67" s="257"/>
      <c r="AT67" s="257"/>
      <c r="AU67" s="257"/>
      <c r="AV67" s="257"/>
      <c r="AW67" s="257"/>
      <c r="AX67" s="1314"/>
      <c r="AY67" s="1314"/>
      <c r="AZ67" s="1314"/>
      <c r="BA67" s="1314"/>
      <c r="BB67" s="1314"/>
      <c r="BC67" s="1290"/>
      <c r="BD67" s="170"/>
      <c r="BE67" s="170"/>
      <c r="BF67" s="981" t="s">
        <v>2134</v>
      </c>
    </row>
    <row r="68" spans="1:58" s="1229" customFormat="1" ht="16.5" customHeight="1">
      <c r="A68" s="1153"/>
      <c r="B68" s="783"/>
      <c r="C68" s="1153"/>
      <c r="D68" s="1153"/>
      <c r="E68" s="676">
        <v>17.100000000000001</v>
      </c>
      <c r="F68" s="779" t="str" cm="1">
        <f t="array" aca="1" ref="F68" ca="1">OFFSET(G68,-1,-1)</f>
        <v>1</v>
      </c>
      <c r="G68" s="425"/>
      <c r="H68" s="425"/>
      <c r="I68" s="425"/>
      <c r="J68" s="425"/>
      <c r="K68" s="425"/>
      <c r="L68" s="425"/>
      <c r="M68" s="425"/>
      <c r="N68" s="425"/>
      <c r="O68" s="425"/>
      <c r="P68" s="425"/>
      <c r="Q68" s="425"/>
      <c r="R68" s="425"/>
      <c r="S68" s="425"/>
      <c r="T68" s="687" t="b" cm="1">
        <f t="array" ref="T68">T67</f>
        <v>1</v>
      </c>
      <c r="U68" s="1153"/>
      <c r="V68" s="1153"/>
      <c r="W68" s="1153"/>
      <c r="X68" s="1726"/>
      <c r="Y68" s="1153"/>
      <c r="Z68" s="1726"/>
      <c r="AA68" s="170"/>
      <c r="AB68" s="260" t="s">
        <v>443</v>
      </c>
      <c r="AC68" s="262" t="s">
        <v>2135</v>
      </c>
      <c r="AD68" s="258" t="s">
        <v>839</v>
      </c>
      <c r="AE68" s="1314"/>
      <c r="AF68" s="1314"/>
      <c r="AG68" s="1314"/>
      <c r="AH68" s="1314"/>
      <c r="AI68" s="257"/>
      <c r="AJ68" s="257"/>
      <c r="AK68" s="257"/>
      <c r="AL68" s="257"/>
      <c r="AM68" s="257"/>
      <c r="AN68" s="1314"/>
      <c r="AO68" s="1314"/>
      <c r="AP68" s="1314"/>
      <c r="AQ68" s="1314"/>
      <c r="AR68" s="1314"/>
      <c r="AS68" s="257"/>
      <c r="AT68" s="257"/>
      <c r="AU68" s="257"/>
      <c r="AV68" s="257"/>
      <c r="AW68" s="257"/>
      <c r="AX68" s="1314"/>
      <c r="AY68" s="1314"/>
      <c r="AZ68" s="1314"/>
      <c r="BA68" s="1314"/>
      <c r="BB68" s="1314"/>
      <c r="BC68" s="1290"/>
      <c r="BD68" s="170"/>
      <c r="BE68" s="170"/>
      <c r="BF68" s="981" t="s">
        <v>2136</v>
      </c>
    </row>
    <row r="69" spans="1:58" s="1229" customFormat="1" ht="10.5" customHeight="1">
      <c r="A69" s="1153"/>
      <c r="B69" s="783"/>
      <c r="C69" s="1153"/>
      <c r="D69" s="1153"/>
      <c r="E69" s="676">
        <v>11.4</v>
      </c>
      <c r="F69" s="779" t="str" cm="1">
        <f t="array" ref="F69">X69</f>
        <v>2</v>
      </c>
      <c r="G69" s="425"/>
      <c r="H69" s="425"/>
      <c r="I69" s="425"/>
      <c r="J69" s="425"/>
      <c r="K69" s="425"/>
      <c r="L69" s="425"/>
      <c r="M69" s="425"/>
      <c r="N69" s="425"/>
      <c r="O69" s="425"/>
      <c r="P69" s="425"/>
      <c r="Q69" s="425"/>
      <c r="R69" s="425"/>
      <c r="S69" s="425"/>
      <c r="T69" s="687" t="b">
        <f>X69&gt;0</f>
        <v>1</v>
      </c>
      <c r="U69" s="1153"/>
      <c r="V69" s="126" t="str" cm="1">
        <f t="array" ref="V69">'Калькуляция (МСА)'!$AB$81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9" s="1153"/>
      <c r="X69" s="1726" t="s">
        <v>348</v>
      </c>
      <c r="Y69" s="1153"/>
      <c r="Z69" s="1726"/>
      <c r="AA69" s="170"/>
      <c r="AB69" s="275" t="str" cm="1">
        <f t="array" ref="AB69">IF(ISBLANK('Калькуляция (МСА)'!$AB$81),"",'Калькуляция (МСА)'!$AB$81)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9" s="276"/>
      <c r="AD69" s="267"/>
      <c r="AE69" s="267"/>
      <c r="AF69" s="267"/>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170"/>
      <c r="BE69" s="170"/>
      <c r="BF69" s="1015"/>
    </row>
    <row r="70" spans="1:58" s="1527" customFormat="1" ht="21.75" customHeight="1">
      <c r="A70" s="265"/>
      <c r="B70" s="265"/>
      <c r="C70" s="265"/>
      <c r="D70" s="265"/>
      <c r="E70" s="676">
        <v>22.8</v>
      </c>
      <c r="F70" s="779" t="str" cm="1">
        <f t="array" aca="1" ref="F70" ca="1">OFFSET(G70,-1,-1)</f>
        <v>2</v>
      </c>
      <c r="G70" s="265"/>
      <c r="H70" s="265"/>
      <c r="I70" s="265"/>
      <c r="J70" s="265"/>
      <c r="K70" s="265"/>
      <c r="L70" s="265"/>
      <c r="M70" s="265"/>
      <c r="N70" s="265"/>
      <c r="O70" s="265"/>
      <c r="P70" s="265"/>
      <c r="Q70" s="265"/>
      <c r="R70" s="265"/>
      <c r="S70" s="265"/>
      <c r="T70" s="687" t="b" cm="1">
        <f t="array" ref="T70">T69</f>
        <v>1</v>
      </c>
      <c r="U70" s="265"/>
      <c r="V70" s="265"/>
      <c r="W70" s="265"/>
      <c r="X70" s="1816"/>
      <c r="Y70" s="265"/>
      <c r="Z70" s="1816"/>
      <c r="AA70" s="265"/>
      <c r="AB70" s="263"/>
      <c r="AC70" s="259" t="s">
        <v>2107</v>
      </c>
      <c r="AD70" s="264" t="s">
        <v>839</v>
      </c>
      <c r="AE70" s="255">
        <f t="shared" ref="AE70:BB70" si="9">AE71+AE80+AE84+AE88+AE79</f>
        <v>0</v>
      </c>
      <c r="AF70" s="255">
        <f t="shared" si="9"/>
        <v>0</v>
      </c>
      <c r="AG70" s="255">
        <f t="shared" si="9"/>
        <v>0</v>
      </c>
      <c r="AH70" s="255">
        <f t="shared" si="9"/>
        <v>0</v>
      </c>
      <c r="AI70" s="255">
        <f t="shared" si="9"/>
        <v>0</v>
      </c>
      <c r="AJ70" s="255">
        <f t="shared" si="9"/>
        <v>0</v>
      </c>
      <c r="AK70" s="255">
        <f t="shared" si="9"/>
        <v>0</v>
      </c>
      <c r="AL70" s="255">
        <f t="shared" si="9"/>
        <v>0</v>
      </c>
      <c r="AM70" s="255">
        <f t="shared" si="9"/>
        <v>0</v>
      </c>
      <c r="AN70" s="255">
        <f t="shared" si="9"/>
        <v>0</v>
      </c>
      <c r="AO70" s="255">
        <f t="shared" si="9"/>
        <v>0</v>
      </c>
      <c r="AP70" s="255">
        <f t="shared" si="9"/>
        <v>0</v>
      </c>
      <c r="AQ70" s="255">
        <f t="shared" si="9"/>
        <v>0</v>
      </c>
      <c r="AR70" s="255">
        <f t="shared" si="9"/>
        <v>0</v>
      </c>
      <c r="AS70" s="255">
        <f t="shared" si="9"/>
        <v>0</v>
      </c>
      <c r="AT70" s="255">
        <f t="shared" si="9"/>
        <v>0</v>
      </c>
      <c r="AU70" s="255">
        <f t="shared" si="9"/>
        <v>0</v>
      </c>
      <c r="AV70" s="255">
        <f t="shared" si="9"/>
        <v>0</v>
      </c>
      <c r="AW70" s="255">
        <f t="shared" si="9"/>
        <v>0</v>
      </c>
      <c r="AX70" s="255">
        <f t="shared" si="9"/>
        <v>0</v>
      </c>
      <c r="AY70" s="255">
        <f t="shared" si="9"/>
        <v>0</v>
      </c>
      <c r="AZ70" s="255">
        <f t="shared" si="9"/>
        <v>0</v>
      </c>
      <c r="BA70" s="255">
        <f t="shared" si="9"/>
        <v>0</v>
      </c>
      <c r="BB70" s="255">
        <f t="shared" si="9"/>
        <v>0</v>
      </c>
      <c r="BC70" s="1290"/>
      <c r="BD70" s="265"/>
      <c r="BE70" s="265"/>
      <c r="BF70" s="981" t="s">
        <v>635</v>
      </c>
    </row>
    <row r="71" spans="1:58" s="1229" customFormat="1" ht="16.5" customHeight="1">
      <c r="A71" s="1153"/>
      <c r="B71" s="783"/>
      <c r="C71" s="1153"/>
      <c r="D71" s="1153"/>
      <c r="E71" s="676">
        <v>17.100000000000001</v>
      </c>
      <c r="F71" s="779" t="str" cm="1">
        <f t="array" aca="1" ref="F71" ca="1">OFFSET(G71,-1,-1)</f>
        <v>2</v>
      </c>
      <c r="G71" s="425"/>
      <c r="H71" s="425"/>
      <c r="I71" s="425"/>
      <c r="J71" s="425"/>
      <c r="K71" s="425"/>
      <c r="L71" s="425"/>
      <c r="M71" s="425"/>
      <c r="N71" s="425"/>
      <c r="O71" s="425"/>
      <c r="P71" s="425"/>
      <c r="Q71" s="425"/>
      <c r="R71" s="425"/>
      <c r="S71" s="425"/>
      <c r="T71" s="687" t="b" cm="1">
        <f t="array" ref="T71">T70</f>
        <v>1</v>
      </c>
      <c r="U71" s="1153"/>
      <c r="V71" s="1153"/>
      <c r="W71" s="1153"/>
      <c r="X71" s="1726"/>
      <c r="Y71" s="1153"/>
      <c r="Z71" s="1726"/>
      <c r="AA71" s="170"/>
      <c r="AB71" s="120">
        <v>1</v>
      </c>
      <c r="AC71" s="261" t="s">
        <v>2108</v>
      </c>
      <c r="AD71" s="258" t="s">
        <v>839</v>
      </c>
      <c r="AE71" s="256">
        <f t="shared" ref="AE71:BB71" si="10">AE72+AE73+AE74+AE77+AE78</f>
        <v>0</v>
      </c>
      <c r="AF71" s="256">
        <f t="shared" si="10"/>
        <v>0</v>
      </c>
      <c r="AG71" s="256">
        <f t="shared" si="10"/>
        <v>0</v>
      </c>
      <c r="AH71" s="256">
        <f t="shared" si="10"/>
        <v>0</v>
      </c>
      <c r="AI71" s="256">
        <f t="shared" si="10"/>
        <v>0</v>
      </c>
      <c r="AJ71" s="256">
        <f t="shared" si="10"/>
        <v>0</v>
      </c>
      <c r="AK71" s="256">
        <f t="shared" si="10"/>
        <v>0</v>
      </c>
      <c r="AL71" s="256">
        <f t="shared" si="10"/>
        <v>0</v>
      </c>
      <c r="AM71" s="256">
        <f t="shared" si="10"/>
        <v>0</v>
      </c>
      <c r="AN71" s="256">
        <f t="shared" si="10"/>
        <v>0</v>
      </c>
      <c r="AO71" s="256">
        <f t="shared" si="10"/>
        <v>0</v>
      </c>
      <c r="AP71" s="256">
        <f t="shared" si="10"/>
        <v>0</v>
      </c>
      <c r="AQ71" s="256">
        <f t="shared" si="10"/>
        <v>0</v>
      </c>
      <c r="AR71" s="256">
        <f t="shared" si="10"/>
        <v>0</v>
      </c>
      <c r="AS71" s="256">
        <f t="shared" si="10"/>
        <v>0</v>
      </c>
      <c r="AT71" s="256">
        <f t="shared" si="10"/>
        <v>0</v>
      </c>
      <c r="AU71" s="256">
        <f t="shared" si="10"/>
        <v>0</v>
      </c>
      <c r="AV71" s="256">
        <f t="shared" si="10"/>
        <v>0</v>
      </c>
      <c r="AW71" s="256">
        <f t="shared" si="10"/>
        <v>0</v>
      </c>
      <c r="AX71" s="256">
        <f t="shared" si="10"/>
        <v>0</v>
      </c>
      <c r="AY71" s="256">
        <f t="shared" si="10"/>
        <v>0</v>
      </c>
      <c r="AZ71" s="256">
        <f t="shared" si="10"/>
        <v>0</v>
      </c>
      <c r="BA71" s="256">
        <f t="shared" si="10"/>
        <v>0</v>
      </c>
      <c r="BB71" s="256">
        <f t="shared" si="10"/>
        <v>0</v>
      </c>
      <c r="BC71" s="1290"/>
      <c r="BD71" s="170"/>
      <c r="BE71" s="170"/>
      <c r="BF71" s="981" t="s">
        <v>649</v>
      </c>
    </row>
    <row r="72" spans="1:58" s="1229" customFormat="1" ht="21.75" customHeight="1">
      <c r="A72" s="1153"/>
      <c r="B72" s="783"/>
      <c r="C72" s="1153"/>
      <c r="D72" s="1153"/>
      <c r="E72" s="676">
        <v>22.8</v>
      </c>
      <c r="F72" s="779" t="str" cm="1">
        <f t="array" aca="1" ref="F72" ca="1">OFFSET(G72,-1,-1)</f>
        <v>2</v>
      </c>
      <c r="G72" s="425"/>
      <c r="H72" s="425"/>
      <c r="I72" s="425"/>
      <c r="J72" s="425"/>
      <c r="K72" s="425"/>
      <c r="L72" s="425"/>
      <c r="M72" s="425"/>
      <c r="N72" s="425"/>
      <c r="O72" s="425"/>
      <c r="P72" s="425"/>
      <c r="Q72" s="425"/>
      <c r="R72" s="425"/>
      <c r="S72" s="425"/>
      <c r="T72" s="687" t="b" cm="1">
        <f t="array" ref="T72">T71</f>
        <v>1</v>
      </c>
      <c r="U72" s="1153"/>
      <c r="V72" s="1153"/>
      <c r="W72" s="1153"/>
      <c r="X72" s="1726"/>
      <c r="Y72" s="1153"/>
      <c r="Z72" s="1726"/>
      <c r="AA72" s="170"/>
      <c r="AB72" s="260" t="s">
        <v>484</v>
      </c>
      <c r="AC72" s="261" t="s">
        <v>2109</v>
      </c>
      <c r="AD72" s="258" t="s">
        <v>839</v>
      </c>
      <c r="AE72" s="1314"/>
      <c r="AF72" s="1314"/>
      <c r="AG72" s="1314"/>
      <c r="AH72" s="1314"/>
      <c r="AI72" s="257"/>
      <c r="AJ72" s="257"/>
      <c r="AK72" s="257"/>
      <c r="AL72" s="257"/>
      <c r="AM72" s="257"/>
      <c r="AN72" s="1314"/>
      <c r="AO72" s="1314"/>
      <c r="AP72" s="1314"/>
      <c r="AQ72" s="1314"/>
      <c r="AR72" s="1314"/>
      <c r="AS72" s="257"/>
      <c r="AT72" s="257"/>
      <c r="AU72" s="257"/>
      <c r="AV72" s="257"/>
      <c r="AW72" s="257"/>
      <c r="AX72" s="1314"/>
      <c r="AY72" s="1314"/>
      <c r="AZ72" s="1314"/>
      <c r="BA72" s="1314"/>
      <c r="BB72" s="1314"/>
      <c r="BC72" s="1290"/>
      <c r="BD72" s="170"/>
      <c r="BE72" s="170"/>
      <c r="BF72" s="981" t="s">
        <v>1430</v>
      </c>
    </row>
    <row r="73" spans="1:58" s="1229" customFormat="1" ht="33" customHeight="1">
      <c r="A73" s="1153"/>
      <c r="B73" s="783"/>
      <c r="C73" s="1153"/>
      <c r="D73" s="1153"/>
      <c r="E73" s="676">
        <v>34.200000000000003</v>
      </c>
      <c r="F73" s="779" t="str" cm="1">
        <f t="array" aca="1" ref="F73" ca="1">OFFSET(G73,-1,-1)</f>
        <v>2</v>
      </c>
      <c r="G73" s="425"/>
      <c r="H73" s="425"/>
      <c r="I73" s="425"/>
      <c r="J73" s="425"/>
      <c r="K73" s="425"/>
      <c r="L73" s="425"/>
      <c r="M73" s="425"/>
      <c r="N73" s="425"/>
      <c r="O73" s="425"/>
      <c r="P73" s="425"/>
      <c r="Q73" s="425"/>
      <c r="R73" s="425"/>
      <c r="S73" s="425"/>
      <c r="T73" s="687" t="b" cm="1">
        <f t="array" ref="T73">T72</f>
        <v>1</v>
      </c>
      <c r="U73" s="1153"/>
      <c r="V73" s="1153"/>
      <c r="W73" s="1153"/>
      <c r="X73" s="1726"/>
      <c r="Y73" s="1153"/>
      <c r="Z73" s="1726"/>
      <c r="AA73" s="170"/>
      <c r="AB73" s="260" t="s">
        <v>989</v>
      </c>
      <c r="AC73" s="261" t="s">
        <v>2110</v>
      </c>
      <c r="AD73" s="258" t="s">
        <v>839</v>
      </c>
      <c r="AE73" s="1314"/>
      <c r="AF73" s="1314"/>
      <c r="AG73" s="1314"/>
      <c r="AH73" s="1314"/>
      <c r="AI73" s="257"/>
      <c r="AJ73" s="257"/>
      <c r="AK73" s="257"/>
      <c r="AL73" s="257"/>
      <c r="AM73" s="257"/>
      <c r="AN73" s="1314"/>
      <c r="AO73" s="1314"/>
      <c r="AP73" s="1314"/>
      <c r="AQ73" s="1314"/>
      <c r="AR73" s="1314"/>
      <c r="AS73" s="257"/>
      <c r="AT73" s="257"/>
      <c r="AU73" s="257"/>
      <c r="AV73" s="257"/>
      <c r="AW73" s="257"/>
      <c r="AX73" s="1314"/>
      <c r="AY73" s="1314"/>
      <c r="AZ73" s="1314"/>
      <c r="BA73" s="1314"/>
      <c r="BB73" s="1314"/>
      <c r="BC73" s="1290"/>
      <c r="BD73" s="170"/>
      <c r="BE73" s="170"/>
      <c r="BF73" s="981" t="s">
        <v>2111</v>
      </c>
    </row>
    <row r="74" spans="1:58" s="1229" customFormat="1" ht="16.5" customHeight="1">
      <c r="A74" s="1153"/>
      <c r="B74" s="783"/>
      <c r="C74" s="1153"/>
      <c r="D74" s="1153"/>
      <c r="E74" s="676">
        <v>17.100000000000001</v>
      </c>
      <c r="F74" s="779" t="str" cm="1">
        <f t="array" aca="1" ref="F74" ca="1">OFFSET(G74,-1,-1)</f>
        <v>2</v>
      </c>
      <c r="G74" s="425"/>
      <c r="H74" s="425"/>
      <c r="I74" s="425"/>
      <c r="J74" s="425"/>
      <c r="K74" s="425"/>
      <c r="L74" s="425"/>
      <c r="M74" s="425"/>
      <c r="N74" s="425"/>
      <c r="O74" s="425"/>
      <c r="P74" s="425"/>
      <c r="Q74" s="425"/>
      <c r="R74" s="425"/>
      <c r="S74" s="425"/>
      <c r="T74" s="687" t="b" cm="1">
        <f t="array" ref="T74">T73</f>
        <v>1</v>
      </c>
      <c r="U74" s="1153"/>
      <c r="V74" s="1153"/>
      <c r="W74" s="1153"/>
      <c r="X74" s="1726"/>
      <c r="Y74" s="1153"/>
      <c r="Z74" s="1726"/>
      <c r="AA74" s="170"/>
      <c r="AB74" s="260" t="s">
        <v>991</v>
      </c>
      <c r="AC74" s="261" t="s">
        <v>2112</v>
      </c>
      <c r="AD74" s="258" t="s">
        <v>839</v>
      </c>
      <c r="AE74" s="1314"/>
      <c r="AF74" s="1314"/>
      <c r="AG74" s="1314"/>
      <c r="AH74" s="1314"/>
      <c r="AI74" s="257"/>
      <c r="AJ74" s="257"/>
      <c r="AK74" s="257"/>
      <c r="AL74" s="257"/>
      <c r="AM74" s="257"/>
      <c r="AN74" s="1314"/>
      <c r="AO74" s="1314"/>
      <c r="AP74" s="1314"/>
      <c r="AQ74" s="1314"/>
      <c r="AR74" s="1314"/>
      <c r="AS74" s="257"/>
      <c r="AT74" s="257"/>
      <c r="AU74" s="257"/>
      <c r="AV74" s="257"/>
      <c r="AW74" s="257"/>
      <c r="AX74" s="1314"/>
      <c r="AY74" s="1314"/>
      <c r="AZ74" s="1314"/>
      <c r="BA74" s="1314"/>
      <c r="BB74" s="1314"/>
      <c r="BC74" s="1290"/>
      <c r="BD74" s="170"/>
      <c r="BE74" s="170"/>
      <c r="BF74" s="981" t="s">
        <v>1438</v>
      </c>
    </row>
    <row r="75" spans="1:58" s="1229" customFormat="1" ht="21.75" customHeight="1">
      <c r="A75" s="1153"/>
      <c r="B75" s="783"/>
      <c r="C75" s="1153"/>
      <c r="D75" s="1153"/>
      <c r="E75" s="676">
        <v>22.8</v>
      </c>
      <c r="F75" s="779" t="str" cm="1">
        <f t="array" aca="1" ref="F75" ca="1">OFFSET(G75,-1,-1)</f>
        <v>2</v>
      </c>
      <c r="G75" s="425"/>
      <c r="H75" s="425"/>
      <c r="I75" s="425"/>
      <c r="J75" s="425"/>
      <c r="K75" s="425"/>
      <c r="L75" s="425"/>
      <c r="M75" s="425"/>
      <c r="N75" s="425"/>
      <c r="O75" s="425"/>
      <c r="P75" s="425"/>
      <c r="Q75" s="425"/>
      <c r="R75" s="425"/>
      <c r="S75" s="425"/>
      <c r="T75" s="687" t="b" cm="1">
        <f t="array" ref="T75">T74</f>
        <v>1</v>
      </c>
      <c r="U75" s="1153"/>
      <c r="V75" s="1153"/>
      <c r="W75" s="1153"/>
      <c r="X75" s="1726"/>
      <c r="Y75" s="1153"/>
      <c r="Z75" s="1726"/>
      <c r="AA75" s="170"/>
      <c r="AB75" s="260" t="s">
        <v>1223</v>
      </c>
      <c r="AC75" s="261" t="s">
        <v>2113</v>
      </c>
      <c r="AD75" s="258" t="s">
        <v>839</v>
      </c>
      <c r="AE75" s="1314"/>
      <c r="AF75" s="1314"/>
      <c r="AG75" s="1314"/>
      <c r="AH75" s="1314"/>
      <c r="AI75" s="257"/>
      <c r="AJ75" s="257"/>
      <c r="AK75" s="257"/>
      <c r="AL75" s="257"/>
      <c r="AM75" s="257"/>
      <c r="AN75" s="1314"/>
      <c r="AO75" s="1314"/>
      <c r="AP75" s="1314"/>
      <c r="AQ75" s="1314"/>
      <c r="AR75" s="1314"/>
      <c r="AS75" s="257"/>
      <c r="AT75" s="257"/>
      <c r="AU75" s="257"/>
      <c r="AV75" s="257"/>
      <c r="AW75" s="257"/>
      <c r="AX75" s="1314"/>
      <c r="AY75" s="1314"/>
      <c r="AZ75" s="1314"/>
      <c r="BA75" s="1314"/>
      <c r="BB75" s="1314"/>
      <c r="BC75" s="1290"/>
      <c r="BD75" s="170"/>
      <c r="BE75" s="170"/>
      <c r="BF75" s="981" t="s">
        <v>2114</v>
      </c>
    </row>
    <row r="76" spans="1:58" s="1229" customFormat="1" ht="55.5" customHeight="1">
      <c r="A76" s="1153"/>
      <c r="B76" s="783"/>
      <c r="C76" s="1153"/>
      <c r="D76" s="1153"/>
      <c r="E76" s="676">
        <v>57</v>
      </c>
      <c r="F76" s="779" t="str" cm="1">
        <f t="array" aca="1" ref="F76" ca="1">OFFSET(G76,-1,-1)</f>
        <v>2</v>
      </c>
      <c r="G76" s="425"/>
      <c r="H76" s="425"/>
      <c r="I76" s="425"/>
      <c r="J76" s="425"/>
      <c r="K76" s="425"/>
      <c r="L76" s="425"/>
      <c r="M76" s="425"/>
      <c r="N76" s="425"/>
      <c r="O76" s="425"/>
      <c r="P76" s="425"/>
      <c r="Q76" s="425"/>
      <c r="R76" s="425"/>
      <c r="S76" s="425"/>
      <c r="T76" s="687" t="b" cm="1">
        <f t="array" ref="T76">T75</f>
        <v>1</v>
      </c>
      <c r="U76" s="1153"/>
      <c r="V76" s="1153"/>
      <c r="W76" s="1153"/>
      <c r="X76" s="1726"/>
      <c r="Y76" s="1153"/>
      <c r="Z76" s="1726"/>
      <c r="AA76" s="170"/>
      <c r="AB76" s="260" t="s">
        <v>1227</v>
      </c>
      <c r="AC76" s="261" t="s">
        <v>2115</v>
      </c>
      <c r="AD76" s="258" t="s">
        <v>839</v>
      </c>
      <c r="AE76" s="1314"/>
      <c r="AF76" s="1314"/>
      <c r="AG76" s="1314"/>
      <c r="AH76" s="1314"/>
      <c r="AI76" s="257"/>
      <c r="AJ76" s="257"/>
      <c r="AK76" s="257"/>
      <c r="AL76" s="257"/>
      <c r="AM76" s="257"/>
      <c r="AN76" s="1314"/>
      <c r="AO76" s="1314"/>
      <c r="AP76" s="1314"/>
      <c r="AQ76" s="1314"/>
      <c r="AR76" s="1314"/>
      <c r="AS76" s="257"/>
      <c r="AT76" s="257"/>
      <c r="AU76" s="257"/>
      <c r="AV76" s="257"/>
      <c r="AW76" s="257"/>
      <c r="AX76" s="1314"/>
      <c r="AY76" s="1314"/>
      <c r="AZ76" s="1314"/>
      <c r="BA76" s="1314"/>
      <c r="BB76" s="1314"/>
      <c r="BC76" s="1290"/>
      <c r="BD76" s="170"/>
      <c r="BE76" s="170"/>
      <c r="BF76" s="981" t="s">
        <v>2116</v>
      </c>
    </row>
    <row r="77" spans="1:58" s="1229" customFormat="1" ht="44.25" customHeight="1">
      <c r="A77" s="1153"/>
      <c r="B77" s="783"/>
      <c r="C77" s="1153"/>
      <c r="D77" s="1153"/>
      <c r="E77" s="676">
        <v>45.6</v>
      </c>
      <c r="F77" s="779" t="str" cm="1">
        <f t="array" aca="1" ref="F77" ca="1">OFFSET(G77,-1,-1)</f>
        <v>2</v>
      </c>
      <c r="G77" s="425"/>
      <c r="H77" s="425"/>
      <c r="I77" s="425"/>
      <c r="J77" s="425"/>
      <c r="K77" s="425"/>
      <c r="L77" s="425"/>
      <c r="M77" s="425"/>
      <c r="N77" s="425"/>
      <c r="O77" s="425"/>
      <c r="P77" s="425"/>
      <c r="Q77" s="425"/>
      <c r="R77" s="425"/>
      <c r="S77" s="425"/>
      <c r="T77" s="687" t="b" cm="1">
        <f t="array" ref="T77">T76</f>
        <v>1</v>
      </c>
      <c r="U77" s="1153"/>
      <c r="V77" s="1153"/>
      <c r="W77" s="1153"/>
      <c r="X77" s="1726"/>
      <c r="Y77" s="1153"/>
      <c r="Z77" s="1726"/>
      <c r="AA77" s="170"/>
      <c r="AB77" s="260" t="s">
        <v>995</v>
      </c>
      <c r="AC77" s="261" t="s">
        <v>2117</v>
      </c>
      <c r="AD77" s="258" t="s">
        <v>839</v>
      </c>
      <c r="AE77" s="1314"/>
      <c r="AF77" s="1314"/>
      <c r="AG77" s="1314"/>
      <c r="AH77" s="1314"/>
      <c r="AI77" s="257"/>
      <c r="AJ77" s="257"/>
      <c r="AK77" s="257"/>
      <c r="AL77" s="257"/>
      <c r="AM77" s="257"/>
      <c r="AN77" s="1314"/>
      <c r="AO77" s="1314"/>
      <c r="AP77" s="1314"/>
      <c r="AQ77" s="1314"/>
      <c r="AR77" s="1314"/>
      <c r="AS77" s="257"/>
      <c r="AT77" s="257"/>
      <c r="AU77" s="257"/>
      <c r="AV77" s="257"/>
      <c r="AW77" s="257"/>
      <c r="AX77" s="1314"/>
      <c r="AY77" s="1314"/>
      <c r="AZ77" s="1314"/>
      <c r="BA77" s="1314"/>
      <c r="BB77" s="1314"/>
      <c r="BC77" s="1290"/>
      <c r="BD77" s="170"/>
      <c r="BE77" s="170"/>
      <c r="BF77" s="981" t="s">
        <v>2118</v>
      </c>
    </row>
    <row r="78" spans="1:58" s="1229" customFormat="1" ht="21.75" customHeight="1">
      <c r="A78" s="1153"/>
      <c r="B78" s="783"/>
      <c r="C78" s="1153"/>
      <c r="D78" s="1153"/>
      <c r="E78" s="676">
        <v>22.8</v>
      </c>
      <c r="F78" s="779" t="str" cm="1">
        <f t="array" aca="1" ref="F78" ca="1">OFFSET(G78,-1,-1)</f>
        <v>2</v>
      </c>
      <c r="G78" s="425"/>
      <c r="H78" s="425"/>
      <c r="I78" s="425"/>
      <c r="J78" s="425"/>
      <c r="K78" s="425"/>
      <c r="L78" s="425"/>
      <c r="M78" s="425"/>
      <c r="N78" s="425"/>
      <c r="O78" s="425"/>
      <c r="P78" s="425"/>
      <c r="Q78" s="425"/>
      <c r="R78" s="425"/>
      <c r="S78" s="425"/>
      <c r="T78" s="687" t="b" cm="1">
        <f t="array" ref="T78">T77</f>
        <v>1</v>
      </c>
      <c r="U78" s="1153"/>
      <c r="V78" s="1153"/>
      <c r="W78" s="1153"/>
      <c r="X78" s="1726"/>
      <c r="Y78" s="1153"/>
      <c r="Z78" s="1726"/>
      <c r="AA78" s="170"/>
      <c r="AB78" s="260" t="s">
        <v>1100</v>
      </c>
      <c r="AC78" s="261" t="s">
        <v>2119</v>
      </c>
      <c r="AD78" s="258" t="s">
        <v>839</v>
      </c>
      <c r="AE78" s="1314"/>
      <c r="AF78" s="1314"/>
      <c r="AG78" s="1314"/>
      <c r="AH78" s="1314"/>
      <c r="AI78" s="257"/>
      <c r="AJ78" s="257"/>
      <c r="AK78" s="257"/>
      <c r="AL78" s="257"/>
      <c r="AM78" s="257"/>
      <c r="AN78" s="1314"/>
      <c r="AO78" s="1314"/>
      <c r="AP78" s="1314"/>
      <c r="AQ78" s="1314"/>
      <c r="AR78" s="1314"/>
      <c r="AS78" s="257"/>
      <c r="AT78" s="257"/>
      <c r="AU78" s="257"/>
      <c r="AV78" s="257"/>
      <c r="AW78" s="257"/>
      <c r="AX78" s="1314"/>
      <c r="AY78" s="1314"/>
      <c r="AZ78" s="1314"/>
      <c r="BA78" s="1314"/>
      <c r="BB78" s="1314"/>
      <c r="BC78" s="1290"/>
      <c r="BD78" s="170"/>
      <c r="BE78" s="170"/>
      <c r="BF78" s="981" t="s">
        <v>1221</v>
      </c>
    </row>
    <row r="79" spans="1:58" s="1229" customFormat="1" ht="21.75" customHeight="1">
      <c r="A79" s="1153"/>
      <c r="B79" s="783"/>
      <c r="C79" s="1153"/>
      <c r="D79" s="1153"/>
      <c r="E79" s="676">
        <v>22.8</v>
      </c>
      <c r="F79" s="779" t="str" cm="1">
        <f t="array" aca="1" ref="F79" ca="1">OFFSET(G79,-1,-1)</f>
        <v>2</v>
      </c>
      <c r="G79" s="425"/>
      <c r="H79" s="425"/>
      <c r="I79" s="425"/>
      <c r="J79" s="425"/>
      <c r="K79" s="425"/>
      <c r="L79" s="425"/>
      <c r="M79" s="425"/>
      <c r="N79" s="425"/>
      <c r="O79" s="425"/>
      <c r="P79" s="425"/>
      <c r="Q79" s="425"/>
      <c r="R79" s="425"/>
      <c r="S79" s="425"/>
      <c r="T79" s="687" t="b" cm="1">
        <f t="array" ref="T79">T78</f>
        <v>1</v>
      </c>
      <c r="U79" s="1153"/>
      <c r="V79" s="1153"/>
      <c r="W79" s="1153"/>
      <c r="X79" s="1726"/>
      <c r="Y79" s="1153"/>
      <c r="Z79" s="1726"/>
      <c r="AA79" s="170"/>
      <c r="AB79" s="260" t="s">
        <v>348</v>
      </c>
      <c r="AC79" s="261" t="s">
        <v>2120</v>
      </c>
      <c r="AD79" s="258" t="s">
        <v>839</v>
      </c>
      <c r="AE79" s="1314"/>
      <c r="AF79" s="1314"/>
      <c r="AG79" s="1314"/>
      <c r="AH79" s="1314"/>
      <c r="AI79" s="257"/>
      <c r="AJ79" s="257"/>
      <c r="AK79" s="257"/>
      <c r="AL79" s="257"/>
      <c r="AM79" s="257"/>
      <c r="AN79" s="1314"/>
      <c r="AO79" s="1314"/>
      <c r="AP79" s="1314"/>
      <c r="AQ79" s="1314"/>
      <c r="AR79" s="1314"/>
      <c r="AS79" s="257"/>
      <c r="AT79" s="257"/>
      <c r="AU79" s="257"/>
      <c r="AV79" s="257"/>
      <c r="AW79" s="257"/>
      <c r="AX79" s="1314"/>
      <c r="AY79" s="1314"/>
      <c r="AZ79" s="1314"/>
      <c r="BA79" s="1314"/>
      <c r="BB79" s="1314"/>
      <c r="BC79" s="1290"/>
      <c r="BD79" s="170"/>
      <c r="BE79" s="170"/>
      <c r="BF79" s="981" t="s">
        <v>1326</v>
      </c>
    </row>
    <row r="80" spans="1:58" s="1229" customFormat="1" ht="16.5" customHeight="1">
      <c r="A80" s="1153"/>
      <c r="B80" s="783"/>
      <c r="C80" s="1153"/>
      <c r="D80" s="1153"/>
      <c r="E80" s="676">
        <v>17.100000000000001</v>
      </c>
      <c r="F80" s="779" t="str" cm="1">
        <f t="array" aca="1" ref="F80" ca="1">OFFSET(G80,-1,-1)</f>
        <v>2</v>
      </c>
      <c r="G80" s="425"/>
      <c r="H80" s="425"/>
      <c r="I80" s="425"/>
      <c r="J80" s="425"/>
      <c r="K80" s="425"/>
      <c r="L80" s="425"/>
      <c r="M80" s="425"/>
      <c r="N80" s="425"/>
      <c r="O80" s="425"/>
      <c r="P80" s="425"/>
      <c r="Q80" s="425"/>
      <c r="R80" s="425"/>
      <c r="S80" s="425"/>
      <c r="T80" s="687" t="b" cm="1">
        <f t="array" ref="T80">T79</f>
        <v>1</v>
      </c>
      <c r="U80" s="1153"/>
      <c r="V80" s="1153"/>
      <c r="W80" s="1153"/>
      <c r="X80" s="1726"/>
      <c r="Y80" s="1153"/>
      <c r="Z80" s="1726"/>
      <c r="AA80" s="170"/>
      <c r="AB80" s="260" t="s">
        <v>437</v>
      </c>
      <c r="AC80" s="261" t="s">
        <v>2121</v>
      </c>
      <c r="AD80" s="258" t="s">
        <v>839</v>
      </c>
      <c r="AE80" s="256">
        <f t="shared" ref="AE80:BB80" si="11">AE81+AE82+AE83</f>
        <v>0</v>
      </c>
      <c r="AF80" s="256">
        <f t="shared" si="11"/>
        <v>0</v>
      </c>
      <c r="AG80" s="256">
        <f t="shared" si="11"/>
        <v>0</v>
      </c>
      <c r="AH80" s="256">
        <f t="shared" si="11"/>
        <v>0</v>
      </c>
      <c r="AI80" s="256">
        <f t="shared" si="11"/>
        <v>0</v>
      </c>
      <c r="AJ80" s="256">
        <f t="shared" si="11"/>
        <v>0</v>
      </c>
      <c r="AK80" s="256">
        <f t="shared" si="11"/>
        <v>0</v>
      </c>
      <c r="AL80" s="256">
        <f t="shared" si="11"/>
        <v>0</v>
      </c>
      <c r="AM80" s="256">
        <f t="shared" si="11"/>
        <v>0</v>
      </c>
      <c r="AN80" s="256">
        <f t="shared" si="11"/>
        <v>0</v>
      </c>
      <c r="AO80" s="256">
        <f t="shared" si="11"/>
        <v>0</v>
      </c>
      <c r="AP80" s="256">
        <f t="shared" si="11"/>
        <v>0</v>
      </c>
      <c r="AQ80" s="256">
        <f t="shared" si="11"/>
        <v>0</v>
      </c>
      <c r="AR80" s="256">
        <f t="shared" si="11"/>
        <v>0</v>
      </c>
      <c r="AS80" s="256">
        <f t="shared" si="11"/>
        <v>0</v>
      </c>
      <c r="AT80" s="256">
        <f t="shared" si="11"/>
        <v>0</v>
      </c>
      <c r="AU80" s="256">
        <f t="shared" si="11"/>
        <v>0</v>
      </c>
      <c r="AV80" s="256">
        <f t="shared" si="11"/>
        <v>0</v>
      </c>
      <c r="AW80" s="256">
        <f t="shared" si="11"/>
        <v>0</v>
      </c>
      <c r="AX80" s="256">
        <f t="shared" si="11"/>
        <v>0</v>
      </c>
      <c r="AY80" s="256">
        <f t="shared" si="11"/>
        <v>0</v>
      </c>
      <c r="AZ80" s="256">
        <f t="shared" si="11"/>
        <v>0</v>
      </c>
      <c r="BA80" s="256">
        <f t="shared" si="11"/>
        <v>0</v>
      </c>
      <c r="BB80" s="256">
        <f t="shared" si="11"/>
        <v>0</v>
      </c>
      <c r="BC80" s="1290"/>
      <c r="BD80" s="170"/>
      <c r="BE80" s="170"/>
      <c r="BF80" s="981" t="s">
        <v>2122</v>
      </c>
    </row>
    <row r="81" spans="1:58" s="1229" customFormat="1" ht="16.5" customHeight="1">
      <c r="A81" s="1153"/>
      <c r="B81" s="783"/>
      <c r="C81" s="1153"/>
      <c r="D81" s="1153"/>
      <c r="E81" s="676">
        <v>17.100000000000001</v>
      </c>
      <c r="F81" s="779" t="str" cm="1">
        <f t="array" aca="1" ref="F81" ca="1">OFFSET(G81,-1,-1)</f>
        <v>2</v>
      </c>
      <c r="G81" s="425"/>
      <c r="H81" s="425"/>
      <c r="I81" s="425"/>
      <c r="J81" s="425"/>
      <c r="K81" s="425"/>
      <c r="L81" s="425"/>
      <c r="M81" s="425"/>
      <c r="N81" s="425"/>
      <c r="O81" s="425"/>
      <c r="P81" s="425"/>
      <c r="Q81" s="425"/>
      <c r="R81" s="425"/>
      <c r="S81" s="425"/>
      <c r="T81" s="687" t="b" cm="1">
        <f t="array" ref="T81">T80</f>
        <v>1</v>
      </c>
      <c r="U81" s="1153"/>
      <c r="V81" s="1153"/>
      <c r="W81" s="1153"/>
      <c r="X81" s="1726"/>
      <c r="Y81" s="1153"/>
      <c r="Z81" s="1726"/>
      <c r="AA81" s="170"/>
      <c r="AB81" s="260" t="s">
        <v>744</v>
      </c>
      <c r="AC81" s="262" t="s">
        <v>2123</v>
      </c>
      <c r="AD81" s="258" t="s">
        <v>839</v>
      </c>
      <c r="AE81" s="1314"/>
      <c r="AF81" s="1314"/>
      <c r="AG81" s="1314"/>
      <c r="AH81" s="1314"/>
      <c r="AI81" s="257"/>
      <c r="AJ81" s="257"/>
      <c r="AK81" s="257"/>
      <c r="AL81" s="257"/>
      <c r="AM81" s="257"/>
      <c r="AN81" s="1314"/>
      <c r="AO81" s="1314"/>
      <c r="AP81" s="1314"/>
      <c r="AQ81" s="1314"/>
      <c r="AR81" s="1314"/>
      <c r="AS81" s="257"/>
      <c r="AT81" s="257"/>
      <c r="AU81" s="257"/>
      <c r="AV81" s="257"/>
      <c r="AW81" s="257"/>
      <c r="AX81" s="1314"/>
      <c r="AY81" s="1314"/>
      <c r="AZ81" s="1314"/>
      <c r="BA81" s="1314"/>
      <c r="BB81" s="1314"/>
      <c r="BC81" s="1290"/>
      <c r="BD81" s="170"/>
      <c r="BE81" s="170"/>
      <c r="BF81" s="981" t="s">
        <v>1432</v>
      </c>
    </row>
    <row r="82" spans="1:58" s="1229" customFormat="1" ht="16.5" customHeight="1">
      <c r="A82" s="1153"/>
      <c r="B82" s="783"/>
      <c r="C82" s="1153"/>
      <c r="D82" s="1153"/>
      <c r="E82" s="676">
        <v>17.100000000000001</v>
      </c>
      <c r="F82" s="779" t="str" cm="1">
        <f t="array" aca="1" ref="F82" ca="1">OFFSET(G82,-1,-1)</f>
        <v>2</v>
      </c>
      <c r="G82" s="425"/>
      <c r="H82" s="425"/>
      <c r="I82" s="425"/>
      <c r="J82" s="425"/>
      <c r="K82" s="425"/>
      <c r="L82" s="425"/>
      <c r="M82" s="425"/>
      <c r="N82" s="425"/>
      <c r="O82" s="425"/>
      <c r="P82" s="425"/>
      <c r="Q82" s="425"/>
      <c r="R82" s="425"/>
      <c r="S82" s="425"/>
      <c r="T82" s="687" t="b" cm="1">
        <f t="array" ref="T82">T81</f>
        <v>1</v>
      </c>
      <c r="U82" s="1153"/>
      <c r="V82" s="1153"/>
      <c r="W82" s="1153"/>
      <c r="X82" s="1726"/>
      <c r="Y82" s="1153"/>
      <c r="Z82" s="1726"/>
      <c r="AA82" s="170"/>
      <c r="AB82" s="260" t="s">
        <v>747</v>
      </c>
      <c r="AC82" s="262" t="s">
        <v>2124</v>
      </c>
      <c r="AD82" s="258" t="s">
        <v>839</v>
      </c>
      <c r="AE82" s="1314"/>
      <c r="AF82" s="1314"/>
      <c r="AG82" s="1314"/>
      <c r="AH82" s="1314"/>
      <c r="AI82" s="257"/>
      <c r="AJ82" s="257"/>
      <c r="AK82" s="257"/>
      <c r="AL82" s="257"/>
      <c r="AM82" s="257"/>
      <c r="AN82" s="1314"/>
      <c r="AO82" s="1314"/>
      <c r="AP82" s="1314"/>
      <c r="AQ82" s="1314"/>
      <c r="AR82" s="1314"/>
      <c r="AS82" s="257"/>
      <c r="AT82" s="257"/>
      <c r="AU82" s="257"/>
      <c r="AV82" s="257"/>
      <c r="AW82" s="257"/>
      <c r="AX82" s="1314"/>
      <c r="AY82" s="1314"/>
      <c r="AZ82" s="1314"/>
      <c r="BA82" s="1314"/>
      <c r="BB82" s="1314"/>
      <c r="BC82" s="1290"/>
      <c r="BD82" s="170"/>
      <c r="BE82" s="170"/>
      <c r="BF82" s="981" t="s">
        <v>2125</v>
      </c>
    </row>
    <row r="83" spans="1:58" s="1229" customFormat="1" ht="16.5" customHeight="1">
      <c r="A83" s="1153"/>
      <c r="B83" s="783"/>
      <c r="C83" s="1153"/>
      <c r="D83" s="1153"/>
      <c r="E83" s="676">
        <v>17.100000000000001</v>
      </c>
      <c r="F83" s="779" t="str" cm="1">
        <f t="array" aca="1" ref="F83" ca="1">OFFSET(G83,-1,-1)</f>
        <v>2</v>
      </c>
      <c r="G83" s="425"/>
      <c r="H83" s="425"/>
      <c r="I83" s="425"/>
      <c r="J83" s="425"/>
      <c r="K83" s="425"/>
      <c r="L83" s="425"/>
      <c r="M83" s="425"/>
      <c r="N83" s="425"/>
      <c r="O83" s="425"/>
      <c r="P83" s="425"/>
      <c r="Q83" s="425"/>
      <c r="R83" s="425"/>
      <c r="S83" s="425"/>
      <c r="T83" s="687" t="b" cm="1">
        <f t="array" ref="T83">T82</f>
        <v>1</v>
      </c>
      <c r="U83" s="1153"/>
      <c r="V83" s="1153"/>
      <c r="W83" s="1153"/>
      <c r="X83" s="1726"/>
      <c r="Y83" s="1153"/>
      <c r="Z83" s="1726"/>
      <c r="AA83" s="170"/>
      <c r="AB83" s="260" t="s">
        <v>1966</v>
      </c>
      <c r="AC83" s="262" t="s">
        <v>2126</v>
      </c>
      <c r="AD83" s="258" t="s">
        <v>839</v>
      </c>
      <c r="AE83" s="1314"/>
      <c r="AF83" s="1314"/>
      <c r="AG83" s="1314"/>
      <c r="AH83" s="1314"/>
      <c r="AI83" s="257"/>
      <c r="AJ83" s="257"/>
      <c r="AK83" s="257"/>
      <c r="AL83" s="257"/>
      <c r="AM83" s="257"/>
      <c r="AN83" s="1314"/>
      <c r="AO83" s="1314"/>
      <c r="AP83" s="1314"/>
      <c r="AQ83" s="1314"/>
      <c r="AR83" s="1314"/>
      <c r="AS83" s="257"/>
      <c r="AT83" s="257"/>
      <c r="AU83" s="257"/>
      <c r="AV83" s="257"/>
      <c r="AW83" s="257"/>
      <c r="AX83" s="1314"/>
      <c r="AY83" s="1314"/>
      <c r="AZ83" s="1314"/>
      <c r="BA83" s="1314"/>
      <c r="BB83" s="1314"/>
      <c r="BC83" s="1290"/>
      <c r="BD83" s="170"/>
      <c r="BE83" s="170"/>
      <c r="BF83" s="981" t="s">
        <v>2127</v>
      </c>
    </row>
    <row r="84" spans="1:58" s="1229" customFormat="1" ht="16.5" customHeight="1">
      <c r="A84" s="1153"/>
      <c r="B84" s="783"/>
      <c r="C84" s="1153"/>
      <c r="D84" s="1153"/>
      <c r="E84" s="676">
        <v>17.100000000000001</v>
      </c>
      <c r="F84" s="779" t="str" cm="1">
        <f t="array" aca="1" ref="F84" ca="1">OFFSET(G84,-1,-1)</f>
        <v>2</v>
      </c>
      <c r="G84" s="425"/>
      <c r="H84" s="425"/>
      <c r="I84" s="425"/>
      <c r="J84" s="425"/>
      <c r="K84" s="425"/>
      <c r="L84" s="425"/>
      <c r="M84" s="425"/>
      <c r="N84" s="425"/>
      <c r="O84" s="425"/>
      <c r="P84" s="425"/>
      <c r="Q84" s="425"/>
      <c r="R84" s="425"/>
      <c r="S84" s="425"/>
      <c r="T84" s="687" t="b" cm="1">
        <f t="array" ref="T84">T83</f>
        <v>1</v>
      </c>
      <c r="U84" s="1153"/>
      <c r="V84" s="1153"/>
      <c r="W84" s="1153"/>
      <c r="X84" s="1726"/>
      <c r="Y84" s="1153"/>
      <c r="Z84" s="1726"/>
      <c r="AA84" s="170"/>
      <c r="AB84" s="260" t="s">
        <v>440</v>
      </c>
      <c r="AC84" s="261" t="s">
        <v>2128</v>
      </c>
      <c r="AD84" s="258" t="s">
        <v>839</v>
      </c>
      <c r="AE84" s="256">
        <f t="shared" ref="AE84:BB84" si="12">AE85+AE86+AE87</f>
        <v>0</v>
      </c>
      <c r="AF84" s="256">
        <f t="shared" si="12"/>
        <v>0</v>
      </c>
      <c r="AG84" s="256">
        <f t="shared" si="12"/>
        <v>0</v>
      </c>
      <c r="AH84" s="256">
        <f t="shared" si="12"/>
        <v>0</v>
      </c>
      <c r="AI84" s="256">
        <f t="shared" si="12"/>
        <v>0</v>
      </c>
      <c r="AJ84" s="256">
        <f t="shared" si="12"/>
        <v>0</v>
      </c>
      <c r="AK84" s="256">
        <f t="shared" si="12"/>
        <v>0</v>
      </c>
      <c r="AL84" s="256">
        <f t="shared" si="12"/>
        <v>0</v>
      </c>
      <c r="AM84" s="256">
        <f t="shared" si="12"/>
        <v>0</v>
      </c>
      <c r="AN84" s="256">
        <f t="shared" si="12"/>
        <v>0</v>
      </c>
      <c r="AO84" s="256">
        <f t="shared" si="12"/>
        <v>0</v>
      </c>
      <c r="AP84" s="256">
        <f t="shared" si="12"/>
        <v>0</v>
      </c>
      <c r="AQ84" s="256">
        <f t="shared" si="12"/>
        <v>0</v>
      </c>
      <c r="AR84" s="256">
        <f t="shared" si="12"/>
        <v>0</v>
      </c>
      <c r="AS84" s="256">
        <f t="shared" si="12"/>
        <v>0</v>
      </c>
      <c r="AT84" s="256">
        <f t="shared" si="12"/>
        <v>0</v>
      </c>
      <c r="AU84" s="256">
        <f t="shared" si="12"/>
        <v>0</v>
      </c>
      <c r="AV84" s="256">
        <f t="shared" si="12"/>
        <v>0</v>
      </c>
      <c r="AW84" s="256">
        <f t="shared" si="12"/>
        <v>0</v>
      </c>
      <c r="AX84" s="256">
        <f t="shared" si="12"/>
        <v>0</v>
      </c>
      <c r="AY84" s="256">
        <f t="shared" si="12"/>
        <v>0</v>
      </c>
      <c r="AZ84" s="256">
        <f t="shared" si="12"/>
        <v>0</v>
      </c>
      <c r="BA84" s="256">
        <f t="shared" si="12"/>
        <v>0</v>
      </c>
      <c r="BB84" s="256">
        <f t="shared" si="12"/>
        <v>0</v>
      </c>
      <c r="BC84" s="1290"/>
      <c r="BD84" s="170"/>
      <c r="BE84" s="170"/>
      <c r="BF84" s="981" t="s">
        <v>1849</v>
      </c>
    </row>
    <row r="85" spans="1:58" s="1229" customFormat="1" ht="16.5" customHeight="1">
      <c r="A85" s="1153"/>
      <c r="B85" s="783"/>
      <c r="C85" s="1153"/>
      <c r="D85" s="1153"/>
      <c r="E85" s="676">
        <v>17.100000000000001</v>
      </c>
      <c r="F85" s="779" t="str" cm="1">
        <f t="array" aca="1" ref="F85" ca="1">OFFSET(G85,-1,-1)</f>
        <v>2</v>
      </c>
      <c r="G85" s="425"/>
      <c r="H85" s="425"/>
      <c r="I85" s="425"/>
      <c r="J85" s="425"/>
      <c r="K85" s="425"/>
      <c r="L85" s="425"/>
      <c r="M85" s="425"/>
      <c r="N85" s="425"/>
      <c r="O85" s="425"/>
      <c r="P85" s="425"/>
      <c r="Q85" s="425"/>
      <c r="R85" s="425"/>
      <c r="S85" s="425"/>
      <c r="T85" s="687" t="b" cm="1">
        <f t="array" ref="T85">T84</f>
        <v>1</v>
      </c>
      <c r="U85" s="1153"/>
      <c r="V85" s="1153"/>
      <c r="W85" s="1153"/>
      <c r="X85" s="1726"/>
      <c r="Y85" s="1153"/>
      <c r="Z85" s="1726"/>
      <c r="AA85" s="170"/>
      <c r="AB85" s="260" t="s">
        <v>780</v>
      </c>
      <c r="AC85" s="262" t="s">
        <v>2129</v>
      </c>
      <c r="AD85" s="258" t="s">
        <v>839</v>
      </c>
      <c r="AE85" s="1314"/>
      <c r="AF85" s="1314"/>
      <c r="AG85" s="1314"/>
      <c r="AH85" s="1314"/>
      <c r="AI85" s="257"/>
      <c r="AJ85" s="257"/>
      <c r="AK85" s="257"/>
      <c r="AL85" s="257"/>
      <c r="AM85" s="257"/>
      <c r="AN85" s="1314"/>
      <c r="AO85" s="1314"/>
      <c r="AP85" s="1314"/>
      <c r="AQ85" s="1314"/>
      <c r="AR85" s="1314"/>
      <c r="AS85" s="257"/>
      <c r="AT85" s="257"/>
      <c r="AU85" s="257"/>
      <c r="AV85" s="257"/>
      <c r="AW85" s="257"/>
      <c r="AX85" s="1314"/>
      <c r="AY85" s="1314"/>
      <c r="AZ85" s="1314"/>
      <c r="BA85" s="1314"/>
      <c r="BB85" s="1314"/>
      <c r="BC85" s="1290"/>
      <c r="BD85" s="170"/>
      <c r="BE85" s="170"/>
      <c r="BF85" s="981" t="s">
        <v>2130</v>
      </c>
    </row>
    <row r="86" spans="1:58" s="1229" customFormat="1" ht="16.5" customHeight="1">
      <c r="A86" s="1153"/>
      <c r="B86" s="783"/>
      <c r="C86" s="1153"/>
      <c r="D86" s="1153"/>
      <c r="E86" s="676">
        <v>17.100000000000001</v>
      </c>
      <c r="F86" s="779" t="str" cm="1">
        <f t="array" aca="1" ref="F86" ca="1">OFFSET(G86,-1,-1)</f>
        <v>2</v>
      </c>
      <c r="G86" s="425"/>
      <c r="H86" s="425"/>
      <c r="I86" s="425"/>
      <c r="J86" s="425"/>
      <c r="K86" s="425"/>
      <c r="L86" s="425"/>
      <c r="M86" s="425"/>
      <c r="N86" s="425"/>
      <c r="O86" s="425"/>
      <c r="P86" s="425"/>
      <c r="Q86" s="425"/>
      <c r="R86" s="425"/>
      <c r="S86" s="425"/>
      <c r="T86" s="687" t="b" cm="1">
        <f t="array" ref="T86">T85</f>
        <v>1</v>
      </c>
      <c r="U86" s="1153"/>
      <c r="V86" s="1153"/>
      <c r="W86" s="1153"/>
      <c r="X86" s="1726"/>
      <c r="Y86" s="1153"/>
      <c r="Z86" s="1726"/>
      <c r="AA86" s="170"/>
      <c r="AB86" s="260" t="s">
        <v>1667</v>
      </c>
      <c r="AC86" s="262" t="s">
        <v>2131</v>
      </c>
      <c r="AD86" s="258" t="s">
        <v>839</v>
      </c>
      <c r="AE86" s="1314"/>
      <c r="AF86" s="1314"/>
      <c r="AG86" s="1314"/>
      <c r="AH86" s="1314"/>
      <c r="AI86" s="257"/>
      <c r="AJ86" s="257"/>
      <c r="AK86" s="257"/>
      <c r="AL86" s="257"/>
      <c r="AM86" s="257"/>
      <c r="AN86" s="1314"/>
      <c r="AO86" s="1314"/>
      <c r="AP86" s="1314"/>
      <c r="AQ86" s="1314"/>
      <c r="AR86" s="1314"/>
      <c r="AS86" s="257"/>
      <c r="AT86" s="257"/>
      <c r="AU86" s="257"/>
      <c r="AV86" s="257"/>
      <c r="AW86" s="257"/>
      <c r="AX86" s="1314"/>
      <c r="AY86" s="1314"/>
      <c r="AZ86" s="1314"/>
      <c r="BA86" s="1314"/>
      <c r="BB86" s="1314"/>
      <c r="BC86" s="1290"/>
      <c r="BD86" s="170"/>
      <c r="BE86" s="170"/>
      <c r="BF86" s="981" t="s">
        <v>2132</v>
      </c>
    </row>
    <row r="87" spans="1:58" s="1229" customFormat="1" ht="16.5" customHeight="1">
      <c r="A87" s="1153"/>
      <c r="B87" s="783"/>
      <c r="C87" s="1153"/>
      <c r="D87" s="1153"/>
      <c r="E87" s="676">
        <v>17.100000000000001</v>
      </c>
      <c r="F87" s="779" t="str" cm="1">
        <f t="array" aca="1" ref="F87" ca="1">OFFSET(G87,-1,-1)</f>
        <v>2</v>
      </c>
      <c r="G87" s="425"/>
      <c r="H87" s="425"/>
      <c r="I87" s="425"/>
      <c r="J87" s="425"/>
      <c r="K87" s="425"/>
      <c r="L87" s="425"/>
      <c r="M87" s="425"/>
      <c r="N87" s="425"/>
      <c r="O87" s="425"/>
      <c r="P87" s="425"/>
      <c r="Q87" s="425"/>
      <c r="R87" s="425"/>
      <c r="S87" s="425"/>
      <c r="T87" s="687" t="b" cm="1">
        <f t="array" ref="T87">T86</f>
        <v>1</v>
      </c>
      <c r="U87" s="1153"/>
      <c r="V87" s="1153"/>
      <c r="W87" s="1153"/>
      <c r="X87" s="1726"/>
      <c r="Y87" s="1153"/>
      <c r="Z87" s="1726"/>
      <c r="AA87" s="170"/>
      <c r="AB87" s="260" t="s">
        <v>1722</v>
      </c>
      <c r="AC87" s="262" t="s">
        <v>2133</v>
      </c>
      <c r="AD87" s="258" t="s">
        <v>839</v>
      </c>
      <c r="AE87" s="1314"/>
      <c r="AF87" s="1314"/>
      <c r="AG87" s="1314"/>
      <c r="AH87" s="1314"/>
      <c r="AI87" s="257"/>
      <c r="AJ87" s="257"/>
      <c r="AK87" s="257"/>
      <c r="AL87" s="257"/>
      <c r="AM87" s="257"/>
      <c r="AN87" s="1314"/>
      <c r="AO87" s="1314"/>
      <c r="AP87" s="1314"/>
      <c r="AQ87" s="1314"/>
      <c r="AR87" s="1314"/>
      <c r="AS87" s="257"/>
      <c r="AT87" s="257"/>
      <c r="AU87" s="257"/>
      <c r="AV87" s="257"/>
      <c r="AW87" s="257"/>
      <c r="AX87" s="1314"/>
      <c r="AY87" s="1314"/>
      <c r="AZ87" s="1314"/>
      <c r="BA87" s="1314"/>
      <c r="BB87" s="1314"/>
      <c r="BC87" s="1290"/>
      <c r="BD87" s="170"/>
      <c r="BE87" s="170"/>
      <c r="BF87" s="981" t="s">
        <v>2134</v>
      </c>
    </row>
    <row r="88" spans="1:58" s="1229" customFormat="1" ht="16.5" customHeight="1">
      <c r="A88" s="1153"/>
      <c r="B88" s="783"/>
      <c r="C88" s="1153"/>
      <c r="D88" s="1153"/>
      <c r="E88" s="676">
        <v>17.100000000000001</v>
      </c>
      <c r="F88" s="779" t="str" cm="1">
        <f t="array" aca="1" ref="F88" ca="1">OFFSET(G88,-1,-1)</f>
        <v>2</v>
      </c>
      <c r="G88" s="425"/>
      <c r="H88" s="425"/>
      <c r="I88" s="425"/>
      <c r="J88" s="425"/>
      <c r="K88" s="425"/>
      <c r="L88" s="425"/>
      <c r="M88" s="425"/>
      <c r="N88" s="425"/>
      <c r="O88" s="425"/>
      <c r="P88" s="425"/>
      <c r="Q88" s="425"/>
      <c r="R88" s="425"/>
      <c r="S88" s="425"/>
      <c r="T88" s="687" t="b" cm="1">
        <f t="array" ref="T88">T87</f>
        <v>1</v>
      </c>
      <c r="U88" s="1153"/>
      <c r="V88" s="1153"/>
      <c r="W88" s="1153"/>
      <c r="X88" s="1726"/>
      <c r="Y88" s="1153"/>
      <c r="Z88" s="1726"/>
      <c r="AA88" s="170"/>
      <c r="AB88" s="260" t="s">
        <v>443</v>
      </c>
      <c r="AC88" s="262" t="s">
        <v>2135</v>
      </c>
      <c r="AD88" s="258" t="s">
        <v>839</v>
      </c>
      <c r="AE88" s="1314"/>
      <c r="AF88" s="1314"/>
      <c r="AG88" s="1314"/>
      <c r="AH88" s="1314"/>
      <c r="AI88" s="257"/>
      <c r="AJ88" s="257"/>
      <c r="AK88" s="257"/>
      <c r="AL88" s="257"/>
      <c r="AM88" s="257"/>
      <c r="AN88" s="1314"/>
      <c r="AO88" s="1314"/>
      <c r="AP88" s="1314"/>
      <c r="AQ88" s="1314"/>
      <c r="AR88" s="1314"/>
      <c r="AS88" s="257"/>
      <c r="AT88" s="257"/>
      <c r="AU88" s="257"/>
      <c r="AV88" s="257"/>
      <c r="AW88" s="257"/>
      <c r="AX88" s="1314"/>
      <c r="AY88" s="1314"/>
      <c r="AZ88" s="1314"/>
      <c r="BA88" s="1314"/>
      <c r="BB88" s="1314"/>
      <c r="BC88" s="1290"/>
      <c r="BD88" s="170"/>
      <c r="BE88" s="170"/>
      <c r="BF88" s="981" t="s">
        <v>2136</v>
      </c>
    </row>
    <row r="89" spans="1:58" ht="11.65" customHeight="1">
      <c r="E89" s="676">
        <v>12</v>
      </c>
      <c r="U89" s="129" t="s">
        <v>238</v>
      </c>
      <c r="V89" s="122" t="s">
        <v>2137</v>
      </c>
      <c r="AC89" s="163"/>
    </row>
    <row r="90" spans="1:58" ht="12.75" hidden="1" customHeight="1">
      <c r="E90" s="676">
        <v>0</v>
      </c>
      <c r="AC90" s="163"/>
    </row>
    <row r="91" spans="1:58" ht="14.65" customHeight="1">
      <c r="E91" s="676">
        <v>15</v>
      </c>
      <c r="AB91" s="1802" t="s">
        <v>734</v>
      </c>
      <c r="AC91" s="1852"/>
      <c r="AD91" s="1852"/>
      <c r="AE91" s="1852"/>
      <c r="AF91" s="1852"/>
      <c r="AG91" s="1852"/>
      <c r="AH91" s="1852"/>
      <c r="AI91" s="1852"/>
      <c r="AJ91" s="1852"/>
      <c r="AK91" s="1852"/>
      <c r="AL91" s="1852"/>
      <c r="AM91" s="1852"/>
      <c r="AN91" s="1852"/>
      <c r="AO91" s="1852"/>
      <c r="AP91" s="1852"/>
      <c r="AQ91" s="1852"/>
      <c r="AR91" s="1852"/>
      <c r="AS91" s="1852"/>
      <c r="AT91" s="1852"/>
      <c r="AU91" s="1852"/>
      <c r="AV91" s="1852"/>
      <c r="AW91" s="1852"/>
      <c r="AX91" s="1852"/>
      <c r="AY91" s="1852"/>
      <c r="AZ91" s="1852"/>
      <c r="BA91" s="1852"/>
      <c r="BB91" s="1852"/>
      <c r="BC91" s="1852"/>
    </row>
    <row r="92" spans="1:58" ht="14.65" customHeight="1">
      <c r="E92" s="676">
        <v>15</v>
      </c>
      <c r="AA92" s="778"/>
      <c r="AB92" s="1817"/>
      <c r="AC92" s="1817"/>
      <c r="AD92" s="1817"/>
      <c r="AE92" s="1817"/>
      <c r="AF92" s="1817"/>
      <c r="AG92" s="1817"/>
      <c r="AH92" s="1817"/>
      <c r="AI92" s="1817"/>
      <c r="AJ92" s="1817"/>
      <c r="AK92" s="1817"/>
      <c r="AL92" s="1817"/>
      <c r="AM92" s="1817"/>
      <c r="AN92" s="1820"/>
      <c r="AO92" s="1820"/>
      <c r="AP92" s="1820"/>
      <c r="AQ92" s="1820"/>
      <c r="AR92" s="1820"/>
      <c r="AS92" s="1817"/>
      <c r="AT92" s="1817"/>
      <c r="AU92" s="1817"/>
      <c r="AV92" s="1817"/>
      <c r="AW92" s="1817"/>
      <c r="AX92" s="1820"/>
      <c r="AY92" s="1820"/>
      <c r="AZ92" s="1820"/>
      <c r="BA92" s="1820"/>
      <c r="BB92" s="1820"/>
      <c r="BC92" s="1817"/>
    </row>
    <row r="93" spans="1:58" ht="14.65" hidden="1" customHeight="1">
      <c r="E93" s="676">
        <v>15</v>
      </c>
      <c r="T93" s="687" t="b">
        <f>ROW(W93)&gt;ROW(W$93)</f>
        <v>0</v>
      </c>
      <c r="W93" s="126" t="s">
        <v>236</v>
      </c>
      <c r="AA93" s="774" t="s">
        <v>218</v>
      </c>
      <c r="AB93" s="1820"/>
      <c r="AC93" s="1820"/>
      <c r="AD93" s="1820"/>
      <c r="AE93" s="1820"/>
      <c r="AF93" s="1820"/>
      <c r="AG93" s="1820"/>
      <c r="AH93" s="1820"/>
      <c r="AI93" s="1817"/>
      <c r="AJ93" s="1817"/>
      <c r="AK93" s="1817"/>
      <c r="AL93" s="1817"/>
      <c r="AM93" s="1817"/>
      <c r="AN93" s="1820"/>
      <c r="AO93" s="1820"/>
      <c r="AP93" s="1820"/>
      <c r="AQ93" s="1820"/>
      <c r="AR93" s="1820"/>
      <c r="AS93" s="1817"/>
      <c r="AT93" s="1817"/>
      <c r="AU93" s="1817"/>
      <c r="AV93" s="1817"/>
      <c r="AW93" s="1817"/>
      <c r="AX93" s="1820"/>
      <c r="AY93" s="1820"/>
      <c r="AZ93" s="1820"/>
      <c r="BA93" s="1820"/>
      <c r="BB93" s="1820"/>
      <c r="BC93" s="1820"/>
    </row>
    <row r="94" spans="1:58" ht="14.65" customHeight="1">
      <c r="E94" s="676">
        <v>15</v>
      </c>
      <c r="W94" s="122" t="s">
        <v>237</v>
      </c>
      <c r="AA94" s="163"/>
      <c r="AB94" s="1736" t="s">
        <v>735</v>
      </c>
      <c r="AC94" s="1737"/>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294"/>
    </row>
    <row r="95" spans="1:58" ht="11.25" customHeight="1">
      <c r="BD95" s="151"/>
    </row>
  </sheetData>
  <sheetProtection formatColumns="0" formatRows="0" insertRows="0" deleteColumns="0" deleteRows="0" sort="0" autoFilter="0"/>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86C2-8B12-5DF6-1428-D81CAF5FF488}">
  <sheetPr>
    <tabColor rgb="FF002060"/>
    <outlinePr summaryBelow="0" summaryRight="0"/>
  </sheetPr>
  <dimension ref="A1:GD172"/>
  <sheetViews>
    <sheetView showGridLines="0" workbookViewId="0">
      <pane xSplit="29" ySplit="27" topLeftCell="AD124" activePane="bottomRight" state="frozen"/>
      <selection pane="topRight" activeCell="AD1" sqref="AD1"/>
      <selection pane="bottomLeft" activeCell="A28" sqref="A28"/>
      <selection pane="bottomRight" activeCell="AB129" sqref="AB129"/>
    </sheetView>
  </sheetViews>
  <sheetFormatPr defaultColWidth="9.140625" defaultRowHeight="11.25" customHeight="1"/>
  <cols>
    <col min="1" max="1" width="3.5703125" style="1153" hidden="1" customWidth="1"/>
    <col min="2" max="2" width="8.5703125" style="783" hidden="1" customWidth="1"/>
    <col min="3" max="3" width="13.28515625" style="1118" hidden="1" customWidth="1"/>
    <col min="4" max="4" width="12.28515625" style="1087" hidden="1" customWidth="1"/>
    <col min="5" max="5" width="8.42578125" style="782" hidden="1" customWidth="1"/>
    <col min="6" max="6" width="6.42578125" style="1153" hidden="1" customWidth="1"/>
    <col min="7" max="9" width="3.5703125" style="425" hidden="1" customWidth="1"/>
    <col min="10" max="16" width="14.42578125" style="1110" hidden="1" customWidth="1"/>
    <col min="17" max="17" width="14.42578125" style="1542" hidden="1" customWidth="1"/>
    <col min="18" max="18" width="14.140625" style="784" hidden="1" customWidth="1"/>
    <col min="19" max="19" width="8.140625" style="425" hidden="1" customWidth="1"/>
    <col min="20" max="20" width="8" style="1153" hidden="1" customWidth="1"/>
    <col min="21" max="21" width="6" style="1153" hidden="1" customWidth="1"/>
    <col min="22" max="23" width="6.28515625" style="1153" hidden="1" customWidth="1"/>
    <col min="24" max="24" width="5.85546875" style="1153" hidden="1" customWidth="1"/>
    <col min="25" max="25" width="5.7109375" style="1153" hidden="1" customWidth="1"/>
    <col min="26" max="26" width="5.42578125" style="1153" hidden="1" customWidth="1"/>
    <col min="27" max="27" width="3" style="425" customWidth="1"/>
    <col min="28" max="28" width="90" style="277" customWidth="1"/>
    <col min="29" max="29" width="23.5703125" style="165" customWidth="1"/>
    <col min="30" max="44" width="14.28515625" style="425" customWidth="1"/>
    <col min="45" max="179" width="14.28515625" style="425" hidden="1" customWidth="1"/>
    <col min="180" max="180" width="3" style="425" customWidth="1"/>
    <col min="181" max="181" width="9.140625" style="425" hidden="1"/>
    <col min="182" max="182" width="8.5703125" style="1015" hidden="1" customWidth="1"/>
    <col min="183" max="183" width="8.5703125" style="1543" hidden="1" customWidth="1"/>
    <col min="184" max="184" width="8.5703125" style="1544" hidden="1" customWidth="1"/>
    <col min="185" max="185" width="8.5703125" style="1545" hidden="1" customWidth="1"/>
    <col min="186" max="186" width="8.5703125" style="1546" hidden="1" customWidth="1"/>
  </cols>
  <sheetData>
    <row r="1" spans="1:186" s="1153" customFormat="1" ht="12" hidden="1" customHeight="1">
      <c r="B1" s="667"/>
      <c r="C1" s="1118" t="s">
        <v>84</v>
      </c>
      <c r="D1" s="1087" t="s">
        <v>85</v>
      </c>
      <c r="E1" s="667"/>
      <c r="F1" s="698" t="s">
        <v>83</v>
      </c>
      <c r="G1" s="163"/>
      <c r="H1" s="163"/>
      <c r="I1" s="163"/>
      <c r="J1" s="1092" t="s">
        <v>2138</v>
      </c>
      <c r="K1" s="1092" t="s">
        <v>1626</v>
      </c>
      <c r="L1" s="1092" t="s">
        <v>2139</v>
      </c>
      <c r="M1" s="1092" t="s">
        <v>1627</v>
      </c>
      <c r="N1" s="1092" t="s">
        <v>2140</v>
      </c>
      <c r="O1" s="1092" t="s">
        <v>2055</v>
      </c>
      <c r="P1" s="1092" t="s">
        <v>2141</v>
      </c>
      <c r="Q1" s="1110" t="s">
        <v>94</v>
      </c>
      <c r="R1" s="620"/>
      <c r="S1" s="163"/>
      <c r="T1" s="687" t="s">
        <v>86</v>
      </c>
      <c r="U1" s="687" t="s">
        <v>91</v>
      </c>
      <c r="V1" s="687" t="s">
        <v>87</v>
      </c>
      <c r="W1" s="687" t="s">
        <v>88</v>
      </c>
      <c r="X1" s="687" t="s">
        <v>89</v>
      </c>
      <c r="Y1" s="698" t="s">
        <v>382</v>
      </c>
      <c r="Z1" s="687" t="s">
        <v>93</v>
      </c>
      <c r="AA1" s="698" t="s">
        <v>90</v>
      </c>
      <c r="AB1" s="698" t="s">
        <v>92</v>
      </c>
      <c r="AC1" s="122"/>
      <c r="FZ1" s="981" t="s">
        <v>383</v>
      </c>
      <c r="GA1" s="1015" t="s">
        <v>384</v>
      </c>
      <c r="GB1" s="1015" t="s">
        <v>385</v>
      </c>
      <c r="GC1" s="1015" t="s">
        <v>388</v>
      </c>
      <c r="GD1" s="1015" t="s">
        <v>389</v>
      </c>
    </row>
    <row r="2" spans="1:186" s="783" customFormat="1" ht="12" hidden="1" customHeight="1">
      <c r="B2" s="768" t="s">
        <v>15</v>
      </c>
      <c r="C2" s="1119"/>
      <c r="D2" s="1050"/>
      <c r="G2" s="786"/>
      <c r="H2" s="786"/>
      <c r="I2" s="786"/>
      <c r="J2" s="1091"/>
      <c r="K2" s="1091"/>
      <c r="L2" s="1091"/>
      <c r="M2" s="1091"/>
      <c r="N2" s="1091"/>
      <c r="O2" s="1091"/>
      <c r="P2" s="1091"/>
      <c r="Q2" s="1125"/>
      <c r="R2" s="786"/>
      <c r="S2" s="786"/>
      <c r="AB2" s="671"/>
      <c r="AC2" s="671"/>
      <c r="AG2" s="688" t="b">
        <f t="shared" ref="AG2:BL2" si="0">AG6&lt;=last_year_vis</f>
        <v>1</v>
      </c>
      <c r="AH2" s="688" t="b">
        <f t="shared" si="0"/>
        <v>1</v>
      </c>
      <c r="AI2" s="688" t="b">
        <f t="shared" si="0"/>
        <v>1</v>
      </c>
      <c r="AJ2" s="688" t="b">
        <f t="shared" si="0"/>
        <v>1</v>
      </c>
      <c r="AK2" s="688" t="b">
        <f t="shared" si="0"/>
        <v>1</v>
      </c>
      <c r="AL2" s="688" t="b">
        <f t="shared" si="0"/>
        <v>1</v>
      </c>
      <c r="AM2" s="688" t="b">
        <f t="shared" si="0"/>
        <v>1</v>
      </c>
      <c r="AN2" s="688" t="b">
        <f t="shared" si="0"/>
        <v>1</v>
      </c>
      <c r="AO2" s="688" t="b">
        <f t="shared" si="0"/>
        <v>1</v>
      </c>
      <c r="AP2" s="688" t="b">
        <f t="shared" si="0"/>
        <v>1</v>
      </c>
      <c r="AQ2" s="688" t="b">
        <f t="shared" si="0"/>
        <v>1</v>
      </c>
      <c r="AR2" s="688" t="b">
        <f t="shared" si="0"/>
        <v>1</v>
      </c>
      <c r="AS2" s="688" t="b">
        <f t="shared" si="0"/>
        <v>0</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0</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ref="BM2:CR2" si="1">BM6&lt;=last_year_vis</f>
        <v>0</v>
      </c>
      <c r="BN2" s="688" t="b">
        <f t="shared" si="1"/>
        <v>0</v>
      </c>
      <c r="BO2" s="688" t="b">
        <f t="shared" si="1"/>
        <v>0</v>
      </c>
      <c r="BP2" s="688" t="b">
        <f t="shared" si="1"/>
        <v>0</v>
      </c>
      <c r="BQ2" s="688" t="b">
        <f t="shared" si="1"/>
        <v>0</v>
      </c>
      <c r="BR2" s="688" t="b">
        <f t="shared" si="1"/>
        <v>0</v>
      </c>
      <c r="BS2" s="688" t="b">
        <f t="shared" si="1"/>
        <v>0</v>
      </c>
      <c r="BT2" s="688" t="b">
        <f t="shared" si="1"/>
        <v>0</v>
      </c>
      <c r="BU2" s="688" t="b">
        <f t="shared" si="1"/>
        <v>0</v>
      </c>
      <c r="BV2" s="688" t="b">
        <f t="shared" si="1"/>
        <v>0</v>
      </c>
      <c r="BW2" s="688" t="b">
        <f t="shared" si="1"/>
        <v>0</v>
      </c>
      <c r="BX2" s="688" t="b">
        <f t="shared" si="1"/>
        <v>0</v>
      </c>
      <c r="BY2" s="688" t="b">
        <f t="shared" si="1"/>
        <v>0</v>
      </c>
      <c r="BZ2" s="688" t="b">
        <f t="shared" si="1"/>
        <v>0</v>
      </c>
      <c r="CA2" s="688" t="b">
        <f t="shared" si="1"/>
        <v>0</v>
      </c>
      <c r="CB2" s="688" t="b">
        <f t="shared" si="1"/>
        <v>0</v>
      </c>
      <c r="CC2" s="688" t="b">
        <f t="shared" si="1"/>
        <v>0</v>
      </c>
      <c r="CD2" s="688" t="b">
        <f t="shared" si="1"/>
        <v>0</v>
      </c>
      <c r="CE2" s="688" t="b">
        <f t="shared" si="1"/>
        <v>0</v>
      </c>
      <c r="CF2" s="688" t="b">
        <f t="shared" si="1"/>
        <v>0</v>
      </c>
      <c r="CG2" s="688" t="b">
        <f t="shared" si="1"/>
        <v>0</v>
      </c>
      <c r="CH2" s="688" t="b">
        <f t="shared" si="1"/>
        <v>0</v>
      </c>
      <c r="CI2" s="688" t="b">
        <f t="shared" si="1"/>
        <v>0</v>
      </c>
      <c r="CJ2" s="688" t="b">
        <f t="shared" si="1"/>
        <v>0</v>
      </c>
      <c r="CK2" s="688" t="b">
        <f t="shared" si="1"/>
        <v>0</v>
      </c>
      <c r="CL2" s="688" t="b">
        <f t="shared" si="1"/>
        <v>0</v>
      </c>
      <c r="CM2" s="688" t="b">
        <f t="shared" si="1"/>
        <v>0</v>
      </c>
      <c r="CN2" s="688" t="b">
        <f t="shared" si="1"/>
        <v>0</v>
      </c>
      <c r="CO2" s="688" t="b">
        <f t="shared" si="1"/>
        <v>0</v>
      </c>
      <c r="CP2" s="688" t="b">
        <f t="shared" si="1"/>
        <v>0</v>
      </c>
      <c r="CQ2" s="688" t="b">
        <f t="shared" si="1"/>
        <v>0</v>
      </c>
      <c r="CR2" s="688" t="b">
        <f t="shared" si="1"/>
        <v>0</v>
      </c>
      <c r="CS2" s="688" t="b">
        <f t="shared" ref="CS2:DX2" si="2">CS6&lt;=last_year_vis</f>
        <v>0</v>
      </c>
      <c r="CT2" s="688" t="b">
        <f t="shared" si="2"/>
        <v>0</v>
      </c>
      <c r="CU2" s="688" t="b">
        <f t="shared" si="2"/>
        <v>0</v>
      </c>
      <c r="CV2" s="688" t="b">
        <f t="shared" si="2"/>
        <v>0</v>
      </c>
      <c r="CW2" s="688" t="b">
        <f t="shared" si="2"/>
        <v>0</v>
      </c>
      <c r="CX2" s="688" t="b">
        <f t="shared" si="2"/>
        <v>0</v>
      </c>
      <c r="CY2" s="688" t="b">
        <f t="shared" si="2"/>
        <v>0</v>
      </c>
      <c r="CZ2" s="688" t="b">
        <f t="shared" si="2"/>
        <v>0</v>
      </c>
      <c r="DA2" s="688" t="b">
        <f t="shared" si="2"/>
        <v>0</v>
      </c>
      <c r="DB2" s="688" t="b">
        <f t="shared" si="2"/>
        <v>0</v>
      </c>
      <c r="DC2" s="688" t="b">
        <f t="shared" si="2"/>
        <v>0</v>
      </c>
      <c r="DD2" s="688" t="b">
        <f t="shared" si="2"/>
        <v>0</v>
      </c>
      <c r="DE2" s="688" t="b">
        <f t="shared" si="2"/>
        <v>0</v>
      </c>
      <c r="DF2" s="688" t="b">
        <f t="shared" si="2"/>
        <v>0</v>
      </c>
      <c r="DG2" s="688" t="b">
        <f t="shared" si="2"/>
        <v>0</v>
      </c>
      <c r="DH2" s="688" t="b">
        <f t="shared" si="2"/>
        <v>0</v>
      </c>
      <c r="DI2" s="688" t="b">
        <f t="shared" si="2"/>
        <v>0</v>
      </c>
      <c r="DJ2" s="688" t="b">
        <f t="shared" si="2"/>
        <v>0</v>
      </c>
      <c r="DK2" s="688" t="b">
        <f t="shared" si="2"/>
        <v>0</v>
      </c>
      <c r="DL2" s="688" t="b">
        <f t="shared" si="2"/>
        <v>0</v>
      </c>
      <c r="DM2" s="688" t="b">
        <f t="shared" si="2"/>
        <v>0</v>
      </c>
      <c r="DN2" s="688" t="b">
        <f t="shared" si="2"/>
        <v>0</v>
      </c>
      <c r="DO2" s="688" t="b">
        <f t="shared" si="2"/>
        <v>0</v>
      </c>
      <c r="DP2" s="688" t="b">
        <f t="shared" si="2"/>
        <v>0</v>
      </c>
      <c r="DQ2" s="688" t="b">
        <f t="shared" si="2"/>
        <v>0</v>
      </c>
      <c r="DR2" s="688" t="b">
        <f t="shared" si="2"/>
        <v>0</v>
      </c>
      <c r="DS2" s="688" t="b">
        <f t="shared" si="2"/>
        <v>0</v>
      </c>
      <c r="DT2" s="688" t="b">
        <f t="shared" si="2"/>
        <v>0</v>
      </c>
      <c r="DU2" s="688" t="b">
        <f t="shared" si="2"/>
        <v>0</v>
      </c>
      <c r="DV2" s="688" t="b">
        <f t="shared" si="2"/>
        <v>0</v>
      </c>
      <c r="DW2" s="688" t="b">
        <f t="shared" si="2"/>
        <v>0</v>
      </c>
      <c r="DX2" s="688" t="b">
        <f t="shared" si="2"/>
        <v>0</v>
      </c>
      <c r="DY2" s="688" t="b">
        <f t="shared" ref="DY2:FD2" si="3">DY6&lt;=last_year_vis</f>
        <v>0</v>
      </c>
      <c r="DZ2" s="688" t="b">
        <f t="shared" si="3"/>
        <v>0</v>
      </c>
      <c r="EA2" s="688" t="b">
        <f t="shared" si="3"/>
        <v>0</v>
      </c>
      <c r="EB2" s="688" t="b">
        <f t="shared" si="3"/>
        <v>0</v>
      </c>
      <c r="EC2" s="688" t="b">
        <f t="shared" si="3"/>
        <v>0</v>
      </c>
      <c r="ED2" s="688" t="b">
        <f t="shared" si="3"/>
        <v>0</v>
      </c>
      <c r="EE2" s="688" t="b">
        <f t="shared" si="3"/>
        <v>0</v>
      </c>
      <c r="EF2" s="688" t="b">
        <f t="shared" si="3"/>
        <v>0</v>
      </c>
      <c r="EG2" s="688" t="b">
        <f t="shared" si="3"/>
        <v>0</v>
      </c>
      <c r="EH2" s="688" t="b">
        <f t="shared" si="3"/>
        <v>0</v>
      </c>
      <c r="EI2" s="688" t="b">
        <f t="shared" si="3"/>
        <v>0</v>
      </c>
      <c r="EJ2" s="688" t="b">
        <f t="shared" si="3"/>
        <v>0</v>
      </c>
      <c r="EK2" s="688" t="b">
        <f t="shared" si="3"/>
        <v>0</v>
      </c>
      <c r="EL2" s="688" t="b">
        <f t="shared" si="3"/>
        <v>0</v>
      </c>
      <c r="EM2" s="688" t="b">
        <f t="shared" si="3"/>
        <v>0</v>
      </c>
      <c r="EN2" s="688" t="b">
        <f t="shared" si="3"/>
        <v>0</v>
      </c>
      <c r="EO2" s="688" t="b">
        <f t="shared" si="3"/>
        <v>0</v>
      </c>
      <c r="EP2" s="688" t="b">
        <f t="shared" si="3"/>
        <v>0</v>
      </c>
      <c r="EQ2" s="688" t="b">
        <f t="shared" si="3"/>
        <v>0</v>
      </c>
      <c r="ER2" s="688" t="b">
        <f t="shared" si="3"/>
        <v>0</v>
      </c>
      <c r="ES2" s="688" t="b">
        <f t="shared" si="3"/>
        <v>0</v>
      </c>
      <c r="ET2" s="688" t="b">
        <f t="shared" si="3"/>
        <v>0</v>
      </c>
      <c r="EU2" s="688" t="b">
        <f t="shared" si="3"/>
        <v>0</v>
      </c>
      <c r="EV2" s="688" t="b">
        <f t="shared" si="3"/>
        <v>0</v>
      </c>
      <c r="EW2" s="688" t="b">
        <f t="shared" si="3"/>
        <v>0</v>
      </c>
      <c r="EX2" s="688" t="b">
        <f t="shared" si="3"/>
        <v>0</v>
      </c>
      <c r="EY2" s="688" t="b">
        <f t="shared" si="3"/>
        <v>0</v>
      </c>
      <c r="EZ2" s="688" t="b">
        <f t="shared" si="3"/>
        <v>0</v>
      </c>
      <c r="FA2" s="688" t="b">
        <f t="shared" si="3"/>
        <v>0</v>
      </c>
      <c r="FB2" s="688" t="b">
        <f t="shared" si="3"/>
        <v>0</v>
      </c>
      <c r="FC2" s="688" t="b">
        <f t="shared" si="3"/>
        <v>0</v>
      </c>
      <c r="FD2" s="688" t="b">
        <f t="shared" si="3"/>
        <v>0</v>
      </c>
      <c r="FE2" s="688" t="b">
        <f t="shared" ref="FE2:FW2" si="4">FE6&lt;=last_year_vis</f>
        <v>0</v>
      </c>
      <c r="FF2" s="688" t="b">
        <f t="shared" si="4"/>
        <v>0</v>
      </c>
      <c r="FG2" s="688" t="b">
        <f t="shared" si="4"/>
        <v>0</v>
      </c>
      <c r="FH2" s="688" t="b">
        <f t="shared" si="4"/>
        <v>0</v>
      </c>
      <c r="FI2" s="688" t="b">
        <f t="shared" si="4"/>
        <v>0</v>
      </c>
      <c r="FJ2" s="688" t="b">
        <f t="shared" si="4"/>
        <v>0</v>
      </c>
      <c r="FK2" s="688" t="b">
        <f t="shared" si="4"/>
        <v>0</v>
      </c>
      <c r="FL2" s="688" t="b">
        <f t="shared" si="4"/>
        <v>0</v>
      </c>
      <c r="FM2" s="688" t="b">
        <f t="shared" si="4"/>
        <v>0</v>
      </c>
      <c r="FN2" s="688" t="b">
        <f t="shared" si="4"/>
        <v>0</v>
      </c>
      <c r="FO2" s="688" t="b">
        <f t="shared" si="4"/>
        <v>0</v>
      </c>
      <c r="FP2" s="688" t="b">
        <f t="shared" si="4"/>
        <v>0</v>
      </c>
      <c r="FQ2" s="688" t="b">
        <f t="shared" si="4"/>
        <v>0</v>
      </c>
      <c r="FR2" s="688" t="b">
        <f t="shared" si="4"/>
        <v>0</v>
      </c>
      <c r="FS2" s="688" t="b">
        <f t="shared" si="4"/>
        <v>0</v>
      </c>
      <c r="FT2" s="688" t="b">
        <f t="shared" si="4"/>
        <v>0</v>
      </c>
      <c r="FU2" s="688" t="b">
        <f t="shared" si="4"/>
        <v>0</v>
      </c>
      <c r="FV2" s="688" t="b">
        <f t="shared" si="4"/>
        <v>0</v>
      </c>
      <c r="FW2" s="688" t="b">
        <f t="shared" si="4"/>
        <v>0</v>
      </c>
      <c r="FZ2" s="973"/>
      <c r="GA2" s="1018"/>
      <c r="GB2" s="1018"/>
      <c r="GC2" s="1018"/>
      <c r="GD2" s="1018"/>
    </row>
    <row r="3" spans="1:186" s="1153" customFormat="1" ht="12" hidden="1" customHeight="1">
      <c r="B3" s="667"/>
      <c r="C3" s="1118"/>
      <c r="D3" s="1087"/>
      <c r="E3" s="667"/>
      <c r="G3" s="163"/>
      <c r="H3" s="163"/>
      <c r="I3" s="163"/>
      <c r="J3" s="1092"/>
      <c r="K3" s="1092"/>
      <c r="L3" s="1092"/>
      <c r="M3" s="1092"/>
      <c r="N3" s="1092"/>
      <c r="O3" s="1092"/>
      <c r="P3" s="1092"/>
      <c r="Q3" s="1110"/>
      <c r="R3" s="620"/>
      <c r="S3" s="163"/>
      <c r="AB3" s="122"/>
      <c r="AC3" s="122"/>
      <c r="FZ3" s="981"/>
      <c r="GA3" s="1015"/>
      <c r="GB3" s="1015"/>
      <c r="GC3" s="1015"/>
      <c r="GD3" s="1015"/>
    </row>
    <row r="4" spans="1:186" s="1153" customFormat="1" ht="12" hidden="1" customHeight="1">
      <c r="B4" s="667"/>
      <c r="C4" s="1118"/>
      <c r="D4" s="1087"/>
      <c r="E4" s="667"/>
      <c r="G4" s="163"/>
      <c r="H4" s="163"/>
      <c r="I4" s="163"/>
      <c r="J4" s="1092"/>
      <c r="K4" s="1092"/>
      <c r="L4" s="1092"/>
      <c r="M4" s="1092"/>
      <c r="N4" s="1092"/>
      <c r="O4" s="1092"/>
      <c r="P4" s="1092"/>
      <c r="Q4" s="1110"/>
      <c r="R4" s="620"/>
      <c r="S4" s="163"/>
      <c r="AB4" s="122"/>
      <c r="AC4" s="122"/>
      <c r="FZ4" s="981"/>
      <c r="GA4" s="1015"/>
      <c r="GB4" s="1015"/>
      <c r="GC4" s="1015"/>
      <c r="GD4" s="1015"/>
    </row>
    <row r="5" spans="1:186" s="782" customFormat="1" ht="12" hidden="1" customHeight="1">
      <c r="A5" s="667"/>
      <c r="B5" s="667"/>
      <c r="C5" s="1119"/>
      <c r="D5" s="1050"/>
      <c r="E5" s="676" t="s">
        <v>16</v>
      </c>
      <c r="G5" s="787"/>
      <c r="H5" s="787"/>
      <c r="I5" s="787"/>
      <c r="J5" s="1091"/>
      <c r="K5" s="1091"/>
      <c r="L5" s="1091"/>
      <c r="M5" s="1091"/>
      <c r="N5" s="1091"/>
      <c r="O5" s="1091"/>
      <c r="P5" s="1091"/>
      <c r="Q5" s="1125"/>
      <c r="R5" s="787"/>
      <c r="S5" s="787"/>
      <c r="AA5" s="676">
        <v>3</v>
      </c>
      <c r="AB5" s="682">
        <v>90</v>
      </c>
      <c r="AC5" s="682">
        <v>23.63</v>
      </c>
      <c r="AD5" s="676">
        <v>14.25</v>
      </c>
      <c r="AE5" s="676">
        <v>14.25</v>
      </c>
      <c r="AF5" s="676">
        <v>14.25</v>
      </c>
      <c r="AG5" s="676">
        <v>14.25</v>
      </c>
      <c r="AH5" s="676">
        <v>14.25</v>
      </c>
      <c r="AI5" s="676">
        <v>14.25</v>
      </c>
      <c r="AJ5" s="676">
        <v>14.25</v>
      </c>
      <c r="AK5" s="676">
        <v>14.25</v>
      </c>
      <c r="AL5" s="676">
        <v>14.25</v>
      </c>
      <c r="AM5" s="676">
        <v>14.25</v>
      </c>
      <c r="AN5" s="676">
        <v>14.25</v>
      </c>
      <c r="AO5" s="676">
        <v>14.25</v>
      </c>
      <c r="AP5" s="676">
        <v>14.25</v>
      </c>
      <c r="AQ5" s="676">
        <v>14.25</v>
      </c>
      <c r="AR5" s="676">
        <v>14.25</v>
      </c>
      <c r="AS5" s="676">
        <v>14.25</v>
      </c>
      <c r="AT5" s="676">
        <v>14.25</v>
      </c>
      <c r="AU5" s="676">
        <v>14.25</v>
      </c>
      <c r="AV5" s="676">
        <v>14.25</v>
      </c>
      <c r="AW5" s="676">
        <v>14.25</v>
      </c>
      <c r="AX5" s="676">
        <v>14.25</v>
      </c>
      <c r="AY5" s="676">
        <v>14.25</v>
      </c>
      <c r="AZ5" s="676">
        <v>14.25</v>
      </c>
      <c r="BA5" s="676">
        <v>14.25</v>
      </c>
      <c r="BB5" s="676">
        <v>14.25</v>
      </c>
      <c r="BC5" s="676">
        <v>14.25</v>
      </c>
      <c r="BD5" s="676">
        <v>14.25</v>
      </c>
      <c r="BE5" s="676">
        <v>14.25</v>
      </c>
      <c r="BF5" s="676">
        <v>14.25</v>
      </c>
      <c r="BG5" s="676">
        <v>14.25</v>
      </c>
      <c r="BH5" s="676">
        <v>14.25</v>
      </c>
      <c r="BI5" s="676">
        <v>14.25</v>
      </c>
      <c r="BJ5" s="676">
        <v>14.25</v>
      </c>
      <c r="BK5" s="676">
        <v>14.25</v>
      </c>
      <c r="BL5" s="676">
        <v>14.25</v>
      </c>
      <c r="BM5" s="676">
        <v>14.25</v>
      </c>
      <c r="BN5" s="676">
        <v>14.25</v>
      </c>
      <c r="BO5" s="676">
        <v>14.25</v>
      </c>
      <c r="BP5" s="676">
        <v>14.25</v>
      </c>
      <c r="BQ5" s="676">
        <v>14.25</v>
      </c>
      <c r="BR5" s="676">
        <v>14.25</v>
      </c>
      <c r="BS5" s="676">
        <v>14.25</v>
      </c>
      <c r="BT5" s="676">
        <v>14.25</v>
      </c>
      <c r="BU5" s="676">
        <v>14.25</v>
      </c>
      <c r="BV5" s="676">
        <v>14.25</v>
      </c>
      <c r="BW5" s="676">
        <v>14.25</v>
      </c>
      <c r="BX5" s="676">
        <v>14.25</v>
      </c>
      <c r="BY5" s="676">
        <v>14.25</v>
      </c>
      <c r="BZ5" s="676">
        <v>14.25</v>
      </c>
      <c r="CA5" s="676">
        <v>14.25</v>
      </c>
      <c r="CB5" s="676">
        <v>14.25</v>
      </c>
      <c r="CC5" s="676">
        <v>14.25</v>
      </c>
      <c r="CD5" s="676">
        <v>14.25</v>
      </c>
      <c r="CE5" s="676">
        <v>14.25</v>
      </c>
      <c r="CF5" s="676">
        <v>14.25</v>
      </c>
      <c r="CG5" s="676">
        <v>14.25</v>
      </c>
      <c r="CH5" s="676">
        <v>14.25</v>
      </c>
      <c r="CI5" s="676">
        <v>14.25</v>
      </c>
      <c r="CJ5" s="676">
        <v>14.25</v>
      </c>
      <c r="CK5" s="676">
        <v>14.25</v>
      </c>
      <c r="CL5" s="676">
        <v>14.25</v>
      </c>
      <c r="CM5" s="676">
        <v>14.25</v>
      </c>
      <c r="CN5" s="676">
        <v>14.25</v>
      </c>
      <c r="CO5" s="676">
        <v>14.25</v>
      </c>
      <c r="CP5" s="676">
        <v>14.25</v>
      </c>
      <c r="CQ5" s="676">
        <v>14.25</v>
      </c>
      <c r="CR5" s="676">
        <v>14.25</v>
      </c>
      <c r="CS5" s="676">
        <v>14.25</v>
      </c>
      <c r="CT5" s="676">
        <v>14.25</v>
      </c>
      <c r="CU5" s="676">
        <v>14.25</v>
      </c>
      <c r="CV5" s="676">
        <v>14.25</v>
      </c>
      <c r="CW5" s="676">
        <v>14.25</v>
      </c>
      <c r="CX5" s="676">
        <v>14.25</v>
      </c>
      <c r="CY5" s="676">
        <v>14.25</v>
      </c>
      <c r="CZ5" s="676">
        <v>14.25</v>
      </c>
      <c r="DA5" s="676">
        <v>14.25</v>
      </c>
      <c r="DB5" s="676">
        <v>14.25</v>
      </c>
      <c r="DC5" s="676">
        <v>14.25</v>
      </c>
      <c r="DD5" s="676">
        <v>14.25</v>
      </c>
      <c r="DE5" s="676">
        <v>14.25</v>
      </c>
      <c r="DF5" s="676">
        <v>14.25</v>
      </c>
      <c r="DG5" s="676">
        <v>14.25</v>
      </c>
      <c r="DH5" s="676">
        <v>14.25</v>
      </c>
      <c r="DI5" s="676">
        <v>14.25</v>
      </c>
      <c r="DJ5" s="676">
        <v>14.25</v>
      </c>
      <c r="DK5" s="676">
        <v>14.25</v>
      </c>
      <c r="DL5" s="676">
        <v>14.25</v>
      </c>
      <c r="DM5" s="676">
        <v>14.25</v>
      </c>
      <c r="DN5" s="676">
        <v>14.25</v>
      </c>
      <c r="DO5" s="676">
        <v>14.25</v>
      </c>
      <c r="DP5" s="676">
        <v>14.25</v>
      </c>
      <c r="DQ5" s="676">
        <v>14.25</v>
      </c>
      <c r="DR5" s="676">
        <v>14.25</v>
      </c>
      <c r="DS5" s="676">
        <v>14.25</v>
      </c>
      <c r="DT5" s="676">
        <v>14.25</v>
      </c>
      <c r="DU5" s="676">
        <v>14.25</v>
      </c>
      <c r="DV5" s="676">
        <v>14.25</v>
      </c>
      <c r="DW5" s="676">
        <v>14.25</v>
      </c>
      <c r="DX5" s="676">
        <v>14.25</v>
      </c>
      <c r="DY5" s="676">
        <v>14.25</v>
      </c>
      <c r="DZ5" s="676">
        <v>14.25</v>
      </c>
      <c r="EA5" s="676">
        <v>14.25</v>
      </c>
      <c r="EB5" s="676">
        <v>14.25</v>
      </c>
      <c r="EC5" s="676">
        <v>14.25</v>
      </c>
      <c r="ED5" s="676">
        <v>14.25</v>
      </c>
      <c r="EE5" s="676">
        <v>14.25</v>
      </c>
      <c r="EF5" s="676">
        <v>14.25</v>
      </c>
      <c r="EG5" s="676">
        <v>14.25</v>
      </c>
      <c r="EH5" s="676">
        <v>14.25</v>
      </c>
      <c r="EI5" s="676">
        <v>14.25</v>
      </c>
      <c r="EJ5" s="676">
        <v>14.25</v>
      </c>
      <c r="EK5" s="676">
        <v>14.25</v>
      </c>
      <c r="EL5" s="676">
        <v>14.25</v>
      </c>
      <c r="EM5" s="676">
        <v>14.25</v>
      </c>
      <c r="EN5" s="676">
        <v>14.25</v>
      </c>
      <c r="EO5" s="676">
        <v>14.25</v>
      </c>
      <c r="EP5" s="676">
        <v>14.25</v>
      </c>
      <c r="EQ5" s="676">
        <v>14.25</v>
      </c>
      <c r="ER5" s="676">
        <v>14.25</v>
      </c>
      <c r="ES5" s="676">
        <v>14.25</v>
      </c>
      <c r="ET5" s="676">
        <v>14.25</v>
      </c>
      <c r="EU5" s="676">
        <v>14.25</v>
      </c>
      <c r="EV5" s="676">
        <v>14.25</v>
      </c>
      <c r="EW5" s="676">
        <v>14.25</v>
      </c>
      <c r="EX5" s="676">
        <v>14.25</v>
      </c>
      <c r="EY5" s="676">
        <v>14.25</v>
      </c>
      <c r="EZ5" s="676">
        <v>14.25</v>
      </c>
      <c r="FA5" s="676">
        <v>14.25</v>
      </c>
      <c r="FB5" s="676">
        <v>14.25</v>
      </c>
      <c r="FC5" s="676">
        <v>14.25</v>
      </c>
      <c r="FD5" s="676">
        <v>14.25</v>
      </c>
      <c r="FE5" s="676">
        <v>14.25</v>
      </c>
      <c r="FF5" s="676">
        <v>14.25</v>
      </c>
      <c r="FG5" s="676">
        <v>14.25</v>
      </c>
      <c r="FH5" s="676">
        <v>14.25</v>
      </c>
      <c r="FI5" s="676">
        <v>14.25</v>
      </c>
      <c r="FJ5" s="676">
        <v>14.25</v>
      </c>
      <c r="FK5" s="676">
        <v>14.25</v>
      </c>
      <c r="FL5" s="676">
        <v>14.25</v>
      </c>
      <c r="FM5" s="676">
        <v>14.25</v>
      </c>
      <c r="FN5" s="676">
        <v>14.25</v>
      </c>
      <c r="FO5" s="676">
        <v>14.25</v>
      </c>
      <c r="FP5" s="676">
        <v>14.25</v>
      </c>
      <c r="FQ5" s="676">
        <v>14.25</v>
      </c>
      <c r="FR5" s="676">
        <v>14.25</v>
      </c>
      <c r="FS5" s="676">
        <v>14.25</v>
      </c>
      <c r="FT5" s="676">
        <v>14.25</v>
      </c>
      <c r="FU5" s="676">
        <v>14.25</v>
      </c>
      <c r="FV5" s="676">
        <v>14.25</v>
      </c>
      <c r="FW5" s="676">
        <v>14.25</v>
      </c>
      <c r="FX5" s="676">
        <v>3</v>
      </c>
      <c r="FZ5" s="973"/>
      <c r="GA5" s="1018"/>
      <c r="GB5" s="1018"/>
      <c r="GC5" s="1018"/>
      <c r="GD5" s="1018"/>
    </row>
    <row r="6" spans="1:186" s="1153" customFormat="1" ht="12" hidden="1" customHeight="1">
      <c r="B6" s="667"/>
      <c r="C6" s="1118"/>
      <c r="D6" s="1087"/>
      <c r="E6" s="676"/>
      <c r="G6" s="163"/>
      <c r="H6" s="163"/>
      <c r="I6" s="163"/>
      <c r="J6" s="1092"/>
      <c r="K6" s="1092"/>
      <c r="L6" s="1092"/>
      <c r="M6" s="1092"/>
      <c r="N6" s="1092"/>
      <c r="O6" s="1092"/>
      <c r="P6" s="1092"/>
      <c r="Q6" s="1110"/>
      <c r="R6" s="620"/>
      <c r="S6" s="163"/>
      <c r="AB6" s="122"/>
      <c r="AC6" s="122"/>
      <c r="AD6" s="126" cm="1">
        <f t="array" ref="AD6">god</f>
        <v>2026</v>
      </c>
      <c r="AE6" s="126" cm="1">
        <f t="array" ref="AE6">god</f>
        <v>2026</v>
      </c>
      <c r="AF6" s="126" cm="1">
        <f t="array" ref="AF6">god</f>
        <v>2026</v>
      </c>
      <c r="AG6" s="126">
        <f>god+1</f>
        <v>2027</v>
      </c>
      <c r="AH6" s="126">
        <f>god+1</f>
        <v>2027</v>
      </c>
      <c r="AI6" s="126">
        <f>god+1</f>
        <v>2027</v>
      </c>
      <c r="AJ6" s="126">
        <f>god+2</f>
        <v>2028</v>
      </c>
      <c r="AK6" s="126">
        <f>god+2</f>
        <v>2028</v>
      </c>
      <c r="AL6" s="126">
        <f>god+2</f>
        <v>2028</v>
      </c>
      <c r="AM6" s="126">
        <f>god+3</f>
        <v>2029</v>
      </c>
      <c r="AN6" s="126">
        <f>god+3</f>
        <v>2029</v>
      </c>
      <c r="AO6" s="126">
        <f>god+3</f>
        <v>2029</v>
      </c>
      <c r="AP6" s="126">
        <f>god+4</f>
        <v>2030</v>
      </c>
      <c r="AQ6" s="126">
        <f>god+4</f>
        <v>2030</v>
      </c>
      <c r="AR6" s="126">
        <f>god+4</f>
        <v>2030</v>
      </c>
      <c r="AS6" s="126">
        <f>god+5</f>
        <v>2031</v>
      </c>
      <c r="AT6" s="126">
        <f>god+5</f>
        <v>2031</v>
      </c>
      <c r="AU6" s="126">
        <f>god+5</f>
        <v>2031</v>
      </c>
      <c r="AV6" s="126">
        <f>god+6</f>
        <v>2032</v>
      </c>
      <c r="AW6" s="126">
        <f>god+6</f>
        <v>2032</v>
      </c>
      <c r="AX6" s="126">
        <f>god+6</f>
        <v>2032</v>
      </c>
      <c r="AY6" s="126">
        <f>god+7</f>
        <v>2033</v>
      </c>
      <c r="AZ6" s="126">
        <f>god+7</f>
        <v>2033</v>
      </c>
      <c r="BA6" s="126">
        <f>god+7</f>
        <v>2033</v>
      </c>
      <c r="BB6" s="126">
        <f>god+8</f>
        <v>2034</v>
      </c>
      <c r="BC6" s="126">
        <f>god+8</f>
        <v>2034</v>
      </c>
      <c r="BD6" s="126">
        <f>god+8</f>
        <v>2034</v>
      </c>
      <c r="BE6" s="126">
        <f>god+9</f>
        <v>2035</v>
      </c>
      <c r="BF6" s="126">
        <f>god+9</f>
        <v>2035</v>
      </c>
      <c r="BG6" s="126">
        <f>god+9</f>
        <v>2035</v>
      </c>
      <c r="BH6" s="126">
        <f>god+10</f>
        <v>2036</v>
      </c>
      <c r="BI6" s="126">
        <f>god+10</f>
        <v>2036</v>
      </c>
      <c r="BJ6" s="126">
        <f>god+10</f>
        <v>2036</v>
      </c>
      <c r="BK6" s="126">
        <f>god+11</f>
        <v>2037</v>
      </c>
      <c r="BL6" s="126">
        <f>god+11</f>
        <v>2037</v>
      </c>
      <c r="BM6" s="126">
        <f>god+11</f>
        <v>2037</v>
      </c>
      <c r="BN6" s="126">
        <f>god+12</f>
        <v>2038</v>
      </c>
      <c r="BO6" s="126">
        <f>god+12</f>
        <v>2038</v>
      </c>
      <c r="BP6" s="126">
        <f>god+12</f>
        <v>2038</v>
      </c>
      <c r="BQ6" s="126">
        <f>god+13</f>
        <v>2039</v>
      </c>
      <c r="BR6" s="126">
        <f>god+13</f>
        <v>2039</v>
      </c>
      <c r="BS6" s="126">
        <f>god+13</f>
        <v>2039</v>
      </c>
      <c r="BT6" s="126">
        <f>god+14</f>
        <v>2040</v>
      </c>
      <c r="BU6" s="126">
        <f>god+14</f>
        <v>2040</v>
      </c>
      <c r="BV6" s="126">
        <f>god+14</f>
        <v>2040</v>
      </c>
      <c r="BW6" s="126">
        <f>god+15</f>
        <v>2041</v>
      </c>
      <c r="BX6" s="126">
        <f>god+15</f>
        <v>2041</v>
      </c>
      <c r="BY6" s="126">
        <f>god+15</f>
        <v>2041</v>
      </c>
      <c r="BZ6" s="126">
        <f>god+16</f>
        <v>2042</v>
      </c>
      <c r="CA6" s="126">
        <f>god+16</f>
        <v>2042</v>
      </c>
      <c r="CB6" s="126">
        <f>god+16</f>
        <v>2042</v>
      </c>
      <c r="CC6" s="126">
        <f>god+17</f>
        <v>2043</v>
      </c>
      <c r="CD6" s="126">
        <f>god+17</f>
        <v>2043</v>
      </c>
      <c r="CE6" s="126">
        <f>god+17</f>
        <v>2043</v>
      </c>
      <c r="CF6" s="126">
        <f>god+18</f>
        <v>2044</v>
      </c>
      <c r="CG6" s="126">
        <f>god+18</f>
        <v>2044</v>
      </c>
      <c r="CH6" s="126">
        <f>god+18</f>
        <v>2044</v>
      </c>
      <c r="CI6" s="126">
        <f>god+19</f>
        <v>2045</v>
      </c>
      <c r="CJ6" s="126">
        <f>god+19</f>
        <v>2045</v>
      </c>
      <c r="CK6" s="126">
        <f>god+19</f>
        <v>2045</v>
      </c>
      <c r="CL6" s="126">
        <f>god+20</f>
        <v>2046</v>
      </c>
      <c r="CM6" s="126">
        <f>god+20</f>
        <v>2046</v>
      </c>
      <c r="CN6" s="126">
        <f>god+20</f>
        <v>2046</v>
      </c>
      <c r="CO6" s="126">
        <f>god+21</f>
        <v>2047</v>
      </c>
      <c r="CP6" s="126">
        <f>god+21</f>
        <v>2047</v>
      </c>
      <c r="CQ6" s="126">
        <f>god+21</f>
        <v>2047</v>
      </c>
      <c r="CR6" s="126">
        <f>god+22</f>
        <v>2048</v>
      </c>
      <c r="CS6" s="126">
        <f>god+22</f>
        <v>2048</v>
      </c>
      <c r="CT6" s="126">
        <f>god+22</f>
        <v>2048</v>
      </c>
      <c r="CU6" s="126">
        <f>god+23</f>
        <v>2049</v>
      </c>
      <c r="CV6" s="126">
        <f>god+23</f>
        <v>2049</v>
      </c>
      <c r="CW6" s="126">
        <f>god+23</f>
        <v>2049</v>
      </c>
      <c r="CX6" s="126">
        <f>god+24</f>
        <v>2050</v>
      </c>
      <c r="CY6" s="126">
        <f>god+24</f>
        <v>2050</v>
      </c>
      <c r="CZ6" s="126">
        <f>god+24</f>
        <v>2050</v>
      </c>
      <c r="DA6" s="126">
        <f>god+25</f>
        <v>2051</v>
      </c>
      <c r="DB6" s="126">
        <f>god+25</f>
        <v>2051</v>
      </c>
      <c r="DC6" s="126">
        <f>god+25</f>
        <v>2051</v>
      </c>
      <c r="DD6" s="126">
        <f>god+26</f>
        <v>2052</v>
      </c>
      <c r="DE6" s="126">
        <f>god+26</f>
        <v>2052</v>
      </c>
      <c r="DF6" s="126">
        <f>god+26</f>
        <v>2052</v>
      </c>
      <c r="DG6" s="126">
        <f>god+27</f>
        <v>2053</v>
      </c>
      <c r="DH6" s="126">
        <f>god+27</f>
        <v>2053</v>
      </c>
      <c r="DI6" s="126">
        <f>god+27</f>
        <v>2053</v>
      </c>
      <c r="DJ6" s="126">
        <f>god+28</f>
        <v>2054</v>
      </c>
      <c r="DK6" s="126">
        <f>god+28</f>
        <v>2054</v>
      </c>
      <c r="DL6" s="126">
        <f>god+28</f>
        <v>2054</v>
      </c>
      <c r="DM6" s="126">
        <f>god+29</f>
        <v>2055</v>
      </c>
      <c r="DN6" s="126">
        <f>god+29</f>
        <v>2055</v>
      </c>
      <c r="DO6" s="126">
        <f>god+29</f>
        <v>2055</v>
      </c>
      <c r="DP6" s="126">
        <f>god+30</f>
        <v>2056</v>
      </c>
      <c r="DQ6" s="126">
        <f>god+30</f>
        <v>2056</v>
      </c>
      <c r="DR6" s="126">
        <f>god+30</f>
        <v>2056</v>
      </c>
      <c r="DS6" s="126">
        <f>god+31</f>
        <v>2057</v>
      </c>
      <c r="DT6" s="126">
        <f>god+31</f>
        <v>2057</v>
      </c>
      <c r="DU6" s="126">
        <f>god+31</f>
        <v>2057</v>
      </c>
      <c r="DV6" s="126">
        <f>god+32</f>
        <v>2058</v>
      </c>
      <c r="DW6" s="126">
        <f>god+32</f>
        <v>2058</v>
      </c>
      <c r="DX6" s="126">
        <f>god+32</f>
        <v>2058</v>
      </c>
      <c r="DY6" s="126">
        <f>god+33</f>
        <v>2059</v>
      </c>
      <c r="DZ6" s="126">
        <f>god+33</f>
        <v>2059</v>
      </c>
      <c r="EA6" s="126">
        <f>god+33</f>
        <v>2059</v>
      </c>
      <c r="EB6" s="126">
        <f>god+34</f>
        <v>2060</v>
      </c>
      <c r="EC6" s="126">
        <f>god+34</f>
        <v>2060</v>
      </c>
      <c r="ED6" s="126">
        <f>god+34</f>
        <v>2060</v>
      </c>
      <c r="EE6" s="126">
        <f>god+35</f>
        <v>2061</v>
      </c>
      <c r="EF6" s="126">
        <f>god+35</f>
        <v>2061</v>
      </c>
      <c r="EG6" s="126">
        <f>god+35</f>
        <v>2061</v>
      </c>
      <c r="EH6" s="126">
        <f>god+36</f>
        <v>2062</v>
      </c>
      <c r="EI6" s="126">
        <f>god+36</f>
        <v>2062</v>
      </c>
      <c r="EJ6" s="126">
        <f>god+36</f>
        <v>2062</v>
      </c>
      <c r="EK6" s="126">
        <f>god+37</f>
        <v>2063</v>
      </c>
      <c r="EL6" s="126">
        <f>god+37</f>
        <v>2063</v>
      </c>
      <c r="EM6" s="126">
        <f>god+37</f>
        <v>2063</v>
      </c>
      <c r="EN6" s="126">
        <f>god+38</f>
        <v>2064</v>
      </c>
      <c r="EO6" s="126">
        <f>god+38</f>
        <v>2064</v>
      </c>
      <c r="EP6" s="126">
        <f>god+38</f>
        <v>2064</v>
      </c>
      <c r="EQ6" s="126">
        <f>god+39</f>
        <v>2065</v>
      </c>
      <c r="ER6" s="126">
        <f>god+39</f>
        <v>2065</v>
      </c>
      <c r="ES6" s="126">
        <f>god+39</f>
        <v>2065</v>
      </c>
      <c r="ET6" s="126">
        <f>god+40</f>
        <v>2066</v>
      </c>
      <c r="EU6" s="126">
        <f>god+40</f>
        <v>2066</v>
      </c>
      <c r="EV6" s="126">
        <f>god+40</f>
        <v>2066</v>
      </c>
      <c r="EW6" s="126">
        <f>god+41</f>
        <v>2067</v>
      </c>
      <c r="EX6" s="126">
        <f>god+41</f>
        <v>2067</v>
      </c>
      <c r="EY6" s="126">
        <f>god+41</f>
        <v>2067</v>
      </c>
      <c r="EZ6" s="126">
        <f>god+42</f>
        <v>2068</v>
      </c>
      <c r="FA6" s="126">
        <f>god+42</f>
        <v>2068</v>
      </c>
      <c r="FB6" s="126">
        <f>god+42</f>
        <v>2068</v>
      </c>
      <c r="FC6" s="126">
        <f>god+43</f>
        <v>2069</v>
      </c>
      <c r="FD6" s="126">
        <f>god+43</f>
        <v>2069</v>
      </c>
      <c r="FE6" s="126">
        <f>god+43</f>
        <v>2069</v>
      </c>
      <c r="FF6" s="126">
        <f>god+44</f>
        <v>2070</v>
      </c>
      <c r="FG6" s="126">
        <f>god+44</f>
        <v>2070</v>
      </c>
      <c r="FH6" s="126">
        <f>god+44</f>
        <v>2070</v>
      </c>
      <c r="FI6" s="126">
        <f>god+45</f>
        <v>2071</v>
      </c>
      <c r="FJ6" s="126">
        <f>god+45</f>
        <v>2071</v>
      </c>
      <c r="FK6" s="126">
        <f>god+45</f>
        <v>2071</v>
      </c>
      <c r="FL6" s="126">
        <f>god+46</f>
        <v>2072</v>
      </c>
      <c r="FM6" s="126">
        <f>god+46</f>
        <v>2072</v>
      </c>
      <c r="FN6" s="126">
        <f>god+46</f>
        <v>2072</v>
      </c>
      <c r="FO6" s="126">
        <f>god+47</f>
        <v>2073</v>
      </c>
      <c r="FP6" s="126">
        <f>god+47</f>
        <v>2073</v>
      </c>
      <c r="FQ6" s="126">
        <f>god+47</f>
        <v>2073</v>
      </c>
      <c r="FR6" s="126">
        <f>god+48</f>
        <v>2074</v>
      </c>
      <c r="FS6" s="126">
        <f>god+48</f>
        <v>2074</v>
      </c>
      <c r="FT6" s="126">
        <f>god+48</f>
        <v>2074</v>
      </c>
      <c r="FU6" s="126">
        <f>god+49</f>
        <v>2075</v>
      </c>
      <c r="FV6" s="126">
        <f>god+49</f>
        <v>2075</v>
      </c>
      <c r="FW6" s="126">
        <f>god+49</f>
        <v>2075</v>
      </c>
      <c r="FZ6" s="981"/>
      <c r="GA6" s="1015"/>
      <c r="GB6" s="1015"/>
      <c r="GC6" s="1015"/>
      <c r="GD6" s="1015"/>
    </row>
    <row r="7" spans="1:186" ht="12" hidden="1" customHeight="1">
      <c r="F7" s="163"/>
      <c r="Q7" s="1110"/>
      <c r="T7" s="163"/>
      <c r="U7" s="163"/>
      <c r="V7" s="163"/>
      <c r="W7" s="163"/>
      <c r="X7" s="163"/>
      <c r="Y7" s="163"/>
      <c r="Z7" s="163"/>
      <c r="AB7" s="165"/>
      <c r="AD7" s="163" t="str" cm="1">
        <f t="array" ref="AD7">AD26</f>
        <v>Предложение организации</v>
      </c>
      <c r="AE7" s="163" t="str" cm="1">
        <f t="array" ref="AE7">AE26</f>
        <v>Принято органом регулирования</v>
      </c>
      <c r="AF7" s="163" t="str" cm="1">
        <f t="array" ref="AF7">AF26</f>
        <v>Отклонение, %</v>
      </c>
      <c r="AG7" s="163" t="str" cm="1">
        <f t="array" ref="AG7">AG26</f>
        <v>Предложение организации</v>
      </c>
      <c r="AH7" s="163" t="str" cm="1">
        <f t="array" ref="AH7">AH26</f>
        <v>Принято органом регулирования</v>
      </c>
      <c r="AI7" s="163" t="str" cm="1">
        <f t="array" ref="AI7">AI26</f>
        <v>Отклонение, %</v>
      </c>
      <c r="AJ7" s="163" t="str" cm="1">
        <f t="array" ref="AJ7">AJ26</f>
        <v>Предложение организации</v>
      </c>
      <c r="AK7" s="163" t="str" cm="1">
        <f t="array" ref="AK7">AK26</f>
        <v>Принято органом регулирования</v>
      </c>
      <c r="AL7" s="163" t="str" cm="1">
        <f t="array" ref="AL7">AL26</f>
        <v>Отклонение, %</v>
      </c>
      <c r="AM7" s="163" t="str" cm="1">
        <f t="array" ref="AM7">AM26</f>
        <v>Предложение организации</v>
      </c>
      <c r="AN7" s="163" t="str" cm="1">
        <f t="array" ref="AN7">AN26</f>
        <v>Принято органом регулирования</v>
      </c>
      <c r="AO7" s="163" t="str" cm="1">
        <f t="array" ref="AO7">AO26</f>
        <v>Отклонение, %</v>
      </c>
      <c r="AP7" s="163" t="str" cm="1">
        <f t="array" ref="AP7">AP26</f>
        <v>Предложение организации</v>
      </c>
      <c r="AQ7" s="163" t="str" cm="1">
        <f t="array" ref="AQ7">AQ26</f>
        <v>Принято органом регулирования</v>
      </c>
      <c r="AR7" s="163" t="str" cm="1">
        <f t="array" ref="AR7">AR26</f>
        <v>Отклонение, %</v>
      </c>
      <c r="AS7" s="163" t="str" cm="1">
        <f t="array" ref="AS7">AS26</f>
        <v>Предложение организации</v>
      </c>
      <c r="AT7" s="163" t="str" cm="1">
        <f t="array" ref="AT7">AT26</f>
        <v>Принято органом регулирования</v>
      </c>
      <c r="AU7" s="163" t="str" cm="1">
        <f t="array" ref="AU7">AU26</f>
        <v>Отклонение, %</v>
      </c>
      <c r="AV7" s="163" t="str" cm="1">
        <f t="array" ref="AV7">AV26</f>
        <v>Предложение организации</v>
      </c>
      <c r="AW7" s="163" t="str" cm="1">
        <f t="array" ref="AW7">AW26</f>
        <v>Принято органом регулирования</v>
      </c>
      <c r="AX7" s="163" t="str" cm="1">
        <f t="array" ref="AX7">AX26</f>
        <v>Отклонение, %</v>
      </c>
      <c r="AY7" s="163" t="str" cm="1">
        <f t="array" ref="AY7">AY26</f>
        <v>Предложение организации</v>
      </c>
      <c r="AZ7" s="163" t="str" cm="1">
        <f t="array" ref="AZ7">AZ26</f>
        <v>Принято органом регулирования</v>
      </c>
      <c r="BA7" s="163" t="str" cm="1">
        <f t="array" ref="BA7">BA26</f>
        <v>Отклонение, %</v>
      </c>
      <c r="BB7" s="163" t="str" cm="1">
        <f t="array" ref="BB7">BB26</f>
        <v>Предложение организации</v>
      </c>
      <c r="BC7" s="163" t="str" cm="1">
        <f t="array" ref="BC7">BC26</f>
        <v>Принято органом регулирования</v>
      </c>
      <c r="BD7" s="163" t="str" cm="1">
        <f t="array" ref="BD7">BD26</f>
        <v>Отклонение, %</v>
      </c>
      <c r="BE7" s="163" t="str" cm="1">
        <f t="array" ref="BE7">BE26</f>
        <v>Предложение организации</v>
      </c>
      <c r="BF7" s="163" t="str" cm="1">
        <f t="array" ref="BF7">BF26</f>
        <v>Принято органом регулирования</v>
      </c>
      <c r="BG7" s="163" t="str" cm="1">
        <f t="array" ref="BG7">BG26</f>
        <v>Отклонение, %</v>
      </c>
      <c r="BH7" s="163" t="str" cm="1">
        <f t="array" ref="BH7">BH26</f>
        <v>Предложение организации</v>
      </c>
      <c r="BI7" s="163" t="str" cm="1">
        <f t="array" ref="BI7">BI26</f>
        <v>Принято органом регулирования</v>
      </c>
      <c r="BJ7" s="163" t="str" cm="1">
        <f t="array" ref="BJ7">BJ26</f>
        <v>Отклонение, %</v>
      </c>
      <c r="BK7" s="163" t="str" cm="1">
        <f t="array" ref="BK7">BK26</f>
        <v>Предложение организации</v>
      </c>
      <c r="BL7" s="163" t="str" cm="1">
        <f t="array" ref="BL7">BL26</f>
        <v>Принято органом регулирования</v>
      </c>
      <c r="BM7" s="163" t="str" cm="1">
        <f t="array" ref="BM7">BM26</f>
        <v>Отклонение, %</v>
      </c>
      <c r="BN7" s="163" t="str" cm="1">
        <f t="array" ref="BN7">BN26</f>
        <v>Предложение организации</v>
      </c>
      <c r="BO7" s="163" t="str" cm="1">
        <f t="array" ref="BO7">BO26</f>
        <v>Принято органом регулирования</v>
      </c>
      <c r="BP7" s="163" t="str" cm="1">
        <f t="array" ref="BP7">BP26</f>
        <v>Отклонение, %</v>
      </c>
      <c r="BQ7" s="163" t="str" cm="1">
        <f t="array" ref="BQ7">BQ26</f>
        <v>Предложение организации</v>
      </c>
      <c r="BR7" s="163" t="str" cm="1">
        <f t="array" ref="BR7">BR26</f>
        <v>Принято органом регулирования</v>
      </c>
      <c r="BS7" s="163" t="str" cm="1">
        <f t="array" ref="BS7">BS26</f>
        <v>Отклонение, %</v>
      </c>
      <c r="BT7" s="163" t="str" cm="1">
        <f t="array" ref="BT7">BT26</f>
        <v>Предложение организации</v>
      </c>
      <c r="BU7" s="163" t="str" cm="1">
        <f t="array" ref="BU7">BU26</f>
        <v>Принято органом регулирования</v>
      </c>
      <c r="BV7" s="163" t="str" cm="1">
        <f t="array" ref="BV7">BV26</f>
        <v>Отклонение, %</v>
      </c>
      <c r="BW7" s="163" t="str" cm="1">
        <f t="array" ref="BW7">BW26</f>
        <v>Предложение организации</v>
      </c>
      <c r="BX7" s="163" t="str" cm="1">
        <f t="array" ref="BX7">BX26</f>
        <v>Принято органом регулирования</v>
      </c>
      <c r="BY7" s="163" t="str" cm="1">
        <f t="array" ref="BY7">BY26</f>
        <v>Отклонение, %</v>
      </c>
      <c r="BZ7" s="163" t="str" cm="1">
        <f t="array" ref="BZ7">BZ26</f>
        <v>Предложение организации</v>
      </c>
      <c r="CA7" s="163" t="str" cm="1">
        <f t="array" ref="CA7">CA26</f>
        <v>Принято органом регулирования</v>
      </c>
      <c r="CB7" s="163" t="str" cm="1">
        <f t="array" ref="CB7">CB26</f>
        <v>Отклонение, %</v>
      </c>
      <c r="CC7" s="163" t="str" cm="1">
        <f t="array" ref="CC7">CC26</f>
        <v>Предложение организации</v>
      </c>
      <c r="CD7" s="163" t="str" cm="1">
        <f t="array" ref="CD7">CD26</f>
        <v>Принято органом регулирования</v>
      </c>
      <c r="CE7" s="163" t="str" cm="1">
        <f t="array" ref="CE7">CE26</f>
        <v>Отклонение, %</v>
      </c>
      <c r="CF7" s="163" t="str" cm="1">
        <f t="array" ref="CF7">CF26</f>
        <v>Предложение организации</v>
      </c>
      <c r="CG7" s="163" t="str" cm="1">
        <f t="array" ref="CG7">CG26</f>
        <v>Принято органом регулирования</v>
      </c>
      <c r="CH7" s="163" t="str" cm="1">
        <f t="array" ref="CH7">CH26</f>
        <v>Отклонение, %</v>
      </c>
      <c r="CI7" s="163" t="str" cm="1">
        <f t="array" ref="CI7">CI26</f>
        <v>Предложение организации</v>
      </c>
      <c r="CJ7" s="163" t="str" cm="1">
        <f t="array" ref="CJ7">CJ26</f>
        <v>Принято органом регулирования</v>
      </c>
      <c r="CK7" s="163" t="str" cm="1">
        <f t="array" ref="CK7">CK26</f>
        <v>Отклонение, %</v>
      </c>
      <c r="CL7" s="163" t="str" cm="1">
        <f t="array" ref="CL7">CL26</f>
        <v>Предложение организации</v>
      </c>
      <c r="CM7" s="163" t="str" cm="1">
        <f t="array" ref="CM7">CM26</f>
        <v>Принято органом регулирования</v>
      </c>
      <c r="CN7" s="163" t="str" cm="1">
        <f t="array" ref="CN7">CN26</f>
        <v>Отклонение, %</v>
      </c>
      <c r="CO7" s="163" t="str" cm="1">
        <f t="array" ref="CO7">CO26</f>
        <v>Предложение организации</v>
      </c>
      <c r="CP7" s="163" t="str" cm="1">
        <f t="array" ref="CP7">CP26</f>
        <v>Принято органом регулирования</v>
      </c>
      <c r="CQ7" s="163" t="str" cm="1">
        <f t="array" ref="CQ7">CQ26</f>
        <v>Отклонение, %</v>
      </c>
      <c r="CR7" s="163" t="str" cm="1">
        <f t="array" ref="CR7">CR26</f>
        <v>Предложение организации</v>
      </c>
      <c r="CS7" s="163" t="str" cm="1">
        <f t="array" ref="CS7">CS26</f>
        <v>Принято органом регулирования</v>
      </c>
      <c r="CT7" s="163" t="str" cm="1">
        <f t="array" ref="CT7">CT26</f>
        <v>Отклонение, %</v>
      </c>
      <c r="CU7" s="163" t="str" cm="1">
        <f t="array" ref="CU7">CU26</f>
        <v>Предложение организации</v>
      </c>
      <c r="CV7" s="163" t="str" cm="1">
        <f t="array" ref="CV7">CV26</f>
        <v>Принято органом регулирования</v>
      </c>
      <c r="CW7" s="163" t="str" cm="1">
        <f t="array" ref="CW7">CW26</f>
        <v>Отклонение, %</v>
      </c>
      <c r="CX7" s="163" t="str" cm="1">
        <f t="array" ref="CX7">CX26</f>
        <v>Предложение организации</v>
      </c>
      <c r="CY7" s="163" t="str" cm="1">
        <f t="array" ref="CY7">CY26</f>
        <v>Принято органом регулирования</v>
      </c>
      <c r="CZ7" s="163" t="str" cm="1">
        <f t="array" ref="CZ7">CZ26</f>
        <v>Отклонение, %</v>
      </c>
      <c r="DA7" s="163" t="str" cm="1">
        <f t="array" ref="DA7">DA26</f>
        <v>Предложение организации</v>
      </c>
      <c r="DB7" s="163" t="str" cm="1">
        <f t="array" ref="DB7">DB26</f>
        <v>Принято органом регулирования</v>
      </c>
      <c r="DC7" s="163" t="str" cm="1">
        <f t="array" ref="DC7">DC26</f>
        <v>Отклонение, %</v>
      </c>
      <c r="DD7" s="163" t="str" cm="1">
        <f t="array" ref="DD7">DD26</f>
        <v>Предложение организации</v>
      </c>
      <c r="DE7" s="163" t="str" cm="1">
        <f t="array" ref="DE7">DE26</f>
        <v>Принято органом регулирования</v>
      </c>
      <c r="DF7" s="163" t="str" cm="1">
        <f t="array" ref="DF7">DF26</f>
        <v>Отклонение, %</v>
      </c>
      <c r="DG7" s="163" t="str" cm="1">
        <f t="array" ref="DG7">DG26</f>
        <v>Предложение организации</v>
      </c>
      <c r="DH7" s="163" t="str" cm="1">
        <f t="array" ref="DH7">DH26</f>
        <v>Принято органом регулирования</v>
      </c>
      <c r="DI7" s="163" t="str" cm="1">
        <f t="array" ref="DI7">DI26</f>
        <v>Отклонение, %</v>
      </c>
      <c r="DJ7" s="163" t="str" cm="1">
        <f t="array" ref="DJ7">DJ26</f>
        <v>Предложение организации</v>
      </c>
      <c r="DK7" s="163" t="str" cm="1">
        <f t="array" ref="DK7">DK26</f>
        <v>Принято органом регулирования</v>
      </c>
      <c r="DL7" s="163" t="str" cm="1">
        <f t="array" ref="DL7">DL26</f>
        <v>Отклонение, %</v>
      </c>
      <c r="DM7" s="163" t="str" cm="1">
        <f t="array" ref="DM7">DM26</f>
        <v>Предложение организации</v>
      </c>
      <c r="DN7" s="163" t="str" cm="1">
        <f t="array" ref="DN7">DN26</f>
        <v>Принято органом регулирования</v>
      </c>
      <c r="DO7" s="163" t="str" cm="1">
        <f t="array" ref="DO7">DO26</f>
        <v>Отклонение, %</v>
      </c>
      <c r="DP7" s="163" t="str" cm="1">
        <f t="array" ref="DP7">DP26</f>
        <v>Предложение организации</v>
      </c>
      <c r="DQ7" s="163" t="str" cm="1">
        <f t="array" ref="DQ7">DQ26</f>
        <v>Принято органом регулирования</v>
      </c>
      <c r="DR7" s="163" t="str" cm="1">
        <f t="array" ref="DR7">DR26</f>
        <v>Отклонение, %</v>
      </c>
      <c r="DS7" s="163" t="str" cm="1">
        <f t="array" ref="DS7">DS26</f>
        <v>Предложение организации</v>
      </c>
      <c r="DT7" s="163" t="str" cm="1">
        <f t="array" ref="DT7">DT26</f>
        <v>Принято органом регулирования</v>
      </c>
      <c r="DU7" s="163" t="str" cm="1">
        <f t="array" ref="DU7">DU26</f>
        <v>Отклонение, %</v>
      </c>
      <c r="DV7" s="163" t="str" cm="1">
        <f t="array" ref="DV7">DV26</f>
        <v>Предложение организации</v>
      </c>
      <c r="DW7" s="163" t="str" cm="1">
        <f t="array" ref="DW7">DW26</f>
        <v>Принято органом регулирования</v>
      </c>
      <c r="DX7" s="163" t="str" cm="1">
        <f t="array" ref="DX7">DX26</f>
        <v>Отклонение, %</v>
      </c>
      <c r="DY7" s="163" t="str" cm="1">
        <f t="array" ref="DY7">DY26</f>
        <v>Предложение организации</v>
      </c>
      <c r="DZ7" s="163" t="str" cm="1">
        <f t="array" ref="DZ7">DZ26</f>
        <v>Принято органом регулирования</v>
      </c>
      <c r="EA7" s="163" t="str" cm="1">
        <f t="array" ref="EA7">EA26</f>
        <v>Отклонение, %</v>
      </c>
      <c r="EB7" s="163" t="str" cm="1">
        <f t="array" ref="EB7">EB26</f>
        <v>Предложение организации</v>
      </c>
      <c r="EC7" s="163" t="str" cm="1">
        <f t="array" ref="EC7">EC26</f>
        <v>Принято органом регулирования</v>
      </c>
      <c r="ED7" s="163" t="str" cm="1">
        <f t="array" ref="ED7">ED26</f>
        <v>Отклонение, %</v>
      </c>
      <c r="EE7" s="163" t="str" cm="1">
        <f t="array" ref="EE7">EE26</f>
        <v>Предложение организации</v>
      </c>
      <c r="EF7" s="163" t="str" cm="1">
        <f t="array" ref="EF7">EF26</f>
        <v>Принято органом регулирования</v>
      </c>
      <c r="EG7" s="163" t="str" cm="1">
        <f t="array" ref="EG7">EG26</f>
        <v>Отклонение, %</v>
      </c>
      <c r="EH7" s="163" t="str" cm="1">
        <f t="array" ref="EH7">EH26</f>
        <v>Предложение организации</v>
      </c>
      <c r="EI7" s="163" t="str" cm="1">
        <f t="array" ref="EI7">EI26</f>
        <v>Принято органом регулирования</v>
      </c>
      <c r="EJ7" s="163" t="str" cm="1">
        <f t="array" ref="EJ7">EJ26</f>
        <v>Отклонение, %</v>
      </c>
      <c r="EK7" s="163" t="str" cm="1">
        <f t="array" ref="EK7">EK26</f>
        <v>Предложение организации</v>
      </c>
      <c r="EL7" s="163" t="str" cm="1">
        <f t="array" ref="EL7">EL26</f>
        <v>Принято органом регулирования</v>
      </c>
      <c r="EM7" s="163" t="str" cm="1">
        <f t="array" ref="EM7">EM26</f>
        <v>Отклонение, %</v>
      </c>
      <c r="EN7" s="163" t="str" cm="1">
        <f t="array" ref="EN7">EN26</f>
        <v>Предложение организации</v>
      </c>
      <c r="EO7" s="163" t="str" cm="1">
        <f t="array" ref="EO7">EO26</f>
        <v>Принято органом регулирования</v>
      </c>
      <c r="EP7" s="163" t="str" cm="1">
        <f t="array" ref="EP7">EP26</f>
        <v>Отклонение, %</v>
      </c>
      <c r="EQ7" s="163" t="str" cm="1">
        <f t="array" ref="EQ7">EQ26</f>
        <v>Предложение организации</v>
      </c>
      <c r="ER7" s="163" t="str" cm="1">
        <f t="array" ref="ER7">ER26</f>
        <v>Принято органом регулирования</v>
      </c>
      <c r="ES7" s="163" t="str" cm="1">
        <f t="array" ref="ES7">ES26</f>
        <v>Отклонение, %</v>
      </c>
      <c r="ET7" s="163" t="str" cm="1">
        <f t="array" ref="ET7">ET26</f>
        <v>Предложение организации</v>
      </c>
      <c r="EU7" s="163" t="str" cm="1">
        <f t="array" ref="EU7">EU26</f>
        <v>Принято органом регулирования</v>
      </c>
      <c r="EV7" s="163" t="str" cm="1">
        <f t="array" ref="EV7">EV26</f>
        <v>Отклонение, %</v>
      </c>
      <c r="EW7" s="163" t="str" cm="1">
        <f t="array" ref="EW7">EW26</f>
        <v>Предложение организации</v>
      </c>
      <c r="EX7" s="163" t="str" cm="1">
        <f t="array" ref="EX7">EX26</f>
        <v>Принято органом регулирования</v>
      </c>
      <c r="EY7" s="163" t="str" cm="1">
        <f t="array" ref="EY7">EY26</f>
        <v>Отклонение, %</v>
      </c>
      <c r="EZ7" s="163" t="str" cm="1">
        <f t="array" ref="EZ7">EZ26</f>
        <v>Предложение организации</v>
      </c>
      <c r="FA7" s="163" t="str" cm="1">
        <f t="array" ref="FA7">FA26</f>
        <v>Принято органом регулирования</v>
      </c>
      <c r="FB7" s="163" t="str" cm="1">
        <f t="array" ref="FB7">FB26</f>
        <v>Отклонение, %</v>
      </c>
      <c r="FC7" s="163" t="str" cm="1">
        <f t="array" ref="FC7">FC26</f>
        <v>Предложение организации</v>
      </c>
      <c r="FD7" s="163" t="str" cm="1">
        <f t="array" ref="FD7">FD26</f>
        <v>Принято органом регулирования</v>
      </c>
      <c r="FE7" s="163" t="str" cm="1">
        <f t="array" ref="FE7">FE26</f>
        <v>Отклонение, %</v>
      </c>
      <c r="FF7" s="163" t="str" cm="1">
        <f t="array" ref="FF7">FF26</f>
        <v>Предложение организации</v>
      </c>
      <c r="FG7" s="163" t="str" cm="1">
        <f t="array" ref="FG7">FG26</f>
        <v>Принято органом регулирования</v>
      </c>
      <c r="FH7" s="163" t="str" cm="1">
        <f t="array" ref="FH7">FH26</f>
        <v>Отклонение, %</v>
      </c>
      <c r="FI7" s="163" t="str" cm="1">
        <f t="array" ref="FI7">FI26</f>
        <v>Предложение организации</v>
      </c>
      <c r="FJ7" s="163" t="str" cm="1">
        <f t="array" ref="FJ7">FJ26</f>
        <v>Принято органом регулирования</v>
      </c>
      <c r="FK7" s="163" t="str" cm="1">
        <f t="array" ref="FK7">FK26</f>
        <v>Отклонение, %</v>
      </c>
      <c r="FL7" s="163" t="str" cm="1">
        <f t="array" ref="FL7">FL26</f>
        <v>Предложение организации</v>
      </c>
      <c r="FM7" s="163" t="str" cm="1">
        <f t="array" ref="FM7">FM26</f>
        <v>Принято органом регулирования</v>
      </c>
      <c r="FN7" s="163" t="str" cm="1">
        <f t="array" ref="FN7">FN26</f>
        <v>Отклонение, %</v>
      </c>
      <c r="FO7" s="163" t="str" cm="1">
        <f t="array" ref="FO7">FO26</f>
        <v>Предложение организации</v>
      </c>
      <c r="FP7" s="163" t="str" cm="1">
        <f t="array" ref="FP7">FP26</f>
        <v>Принято органом регулирования</v>
      </c>
      <c r="FQ7" s="163" t="str" cm="1">
        <f t="array" ref="FQ7">FQ26</f>
        <v>Отклонение, %</v>
      </c>
      <c r="FR7" s="163" t="str" cm="1">
        <f t="array" ref="FR7">FR26</f>
        <v>Предложение организации</v>
      </c>
      <c r="FS7" s="163" t="str" cm="1">
        <f t="array" ref="FS7">FS26</f>
        <v>Принято органом регулирования</v>
      </c>
      <c r="FT7" s="163" t="str" cm="1">
        <f t="array" ref="FT7">FT26</f>
        <v>Отклонение, %</v>
      </c>
      <c r="FU7" s="163" t="str" cm="1">
        <f t="array" ref="FU7">FU26</f>
        <v>Предложение организации</v>
      </c>
      <c r="FV7" s="163" t="str" cm="1">
        <f t="array" ref="FV7">FV26</f>
        <v>Принято органом регулирования</v>
      </c>
      <c r="FW7" s="163" t="str" cm="1">
        <f t="array" ref="FW7">FW26</f>
        <v>Отклонение, %</v>
      </c>
      <c r="GA7" s="1015"/>
      <c r="GB7" s="1015"/>
      <c r="GC7" s="1015"/>
      <c r="GD7" s="1015"/>
    </row>
    <row r="8" spans="1:186" ht="12" hidden="1" customHeight="1">
      <c r="F8" s="163"/>
      <c r="Q8" s="1110"/>
      <c r="T8" s="163"/>
      <c r="U8" s="163"/>
      <c r="V8" s="163"/>
      <c r="W8" s="163"/>
      <c r="X8" s="163"/>
      <c r="Y8" s="163"/>
      <c r="Z8" s="163"/>
      <c r="AB8" s="165"/>
      <c r="AD8" s="163" t="str">
        <f t="shared" ref="AD8:BI8" si="5">AD6&amp;AD7</f>
        <v>2026Предложение организации</v>
      </c>
      <c r="AE8" s="163" t="str">
        <f t="shared" si="5"/>
        <v>2026Принято органом регулирования</v>
      </c>
      <c r="AF8" s="163" t="str">
        <f t="shared" si="5"/>
        <v>2026Отклонение, %</v>
      </c>
      <c r="AG8" s="163" t="str">
        <f t="shared" si="5"/>
        <v>2027Предложение организации</v>
      </c>
      <c r="AH8" s="163" t="str">
        <f t="shared" si="5"/>
        <v>2027Принято органом регулирования</v>
      </c>
      <c r="AI8" s="163" t="str">
        <f t="shared" si="5"/>
        <v>2027Отклонение, %</v>
      </c>
      <c r="AJ8" s="163" t="str">
        <f t="shared" si="5"/>
        <v>2028Предложение организации</v>
      </c>
      <c r="AK8" s="163" t="str">
        <f t="shared" si="5"/>
        <v>2028Принято органом регулирования</v>
      </c>
      <c r="AL8" s="163" t="str">
        <f t="shared" si="5"/>
        <v>2028Отклонение, %</v>
      </c>
      <c r="AM8" s="163" t="str">
        <f t="shared" si="5"/>
        <v>2029Предложение организации</v>
      </c>
      <c r="AN8" s="163" t="str">
        <f t="shared" si="5"/>
        <v>2029Принято органом регулирования</v>
      </c>
      <c r="AO8" s="163" t="str">
        <f t="shared" si="5"/>
        <v>2029Отклонение, %</v>
      </c>
      <c r="AP8" s="163" t="str">
        <f t="shared" si="5"/>
        <v>2030Предложение организации</v>
      </c>
      <c r="AQ8" s="163" t="str">
        <f t="shared" si="5"/>
        <v>2030Принято органом регулирования</v>
      </c>
      <c r="AR8" s="163" t="str">
        <f t="shared" si="5"/>
        <v>2030Отклонение, %</v>
      </c>
      <c r="AS8" s="163" t="str">
        <f t="shared" si="5"/>
        <v>2031Предложение организации</v>
      </c>
      <c r="AT8" s="163" t="str">
        <f t="shared" si="5"/>
        <v>2031Принято органом регулирования</v>
      </c>
      <c r="AU8" s="163" t="str">
        <f t="shared" si="5"/>
        <v>2031Отклонение, %</v>
      </c>
      <c r="AV8" s="163" t="str">
        <f t="shared" si="5"/>
        <v>2032Предложение организации</v>
      </c>
      <c r="AW8" s="163" t="str">
        <f t="shared" si="5"/>
        <v>2032Принято органом регулирования</v>
      </c>
      <c r="AX8" s="163" t="str">
        <f t="shared" si="5"/>
        <v>2032Отклонение, %</v>
      </c>
      <c r="AY8" s="163" t="str">
        <f t="shared" si="5"/>
        <v>2033Предложение организации</v>
      </c>
      <c r="AZ8" s="163" t="str">
        <f t="shared" si="5"/>
        <v>2033Принято органом регулирования</v>
      </c>
      <c r="BA8" s="163" t="str">
        <f t="shared" si="5"/>
        <v>2033Отклонение, %</v>
      </c>
      <c r="BB8" s="163" t="str">
        <f t="shared" si="5"/>
        <v>2034Предложение организации</v>
      </c>
      <c r="BC8" s="163" t="str">
        <f t="shared" si="5"/>
        <v>2034Принято органом регулирования</v>
      </c>
      <c r="BD8" s="163" t="str">
        <f t="shared" si="5"/>
        <v>2034Отклонение, %</v>
      </c>
      <c r="BE8" s="163" t="str">
        <f t="shared" si="5"/>
        <v>2035Предложение организации</v>
      </c>
      <c r="BF8" s="163" t="str">
        <f t="shared" si="5"/>
        <v>2035Принято органом регулирования</v>
      </c>
      <c r="BG8" s="163" t="str">
        <f t="shared" si="5"/>
        <v>2035Отклонение, %</v>
      </c>
      <c r="BH8" s="163" t="str">
        <f t="shared" si="5"/>
        <v>2036Предложение организации</v>
      </c>
      <c r="BI8" s="163" t="str">
        <f t="shared" si="5"/>
        <v>2036Принято органом регулирования</v>
      </c>
      <c r="BJ8" s="163" t="str">
        <f t="shared" ref="BJ8:CO8" si="6">BJ6&amp;BJ7</f>
        <v>2036Отклонение, %</v>
      </c>
      <c r="BK8" s="163" t="str">
        <f t="shared" si="6"/>
        <v>2037Предложение организации</v>
      </c>
      <c r="BL8" s="163" t="str">
        <f t="shared" si="6"/>
        <v>2037Принято органом регулирования</v>
      </c>
      <c r="BM8" s="163" t="str">
        <f t="shared" si="6"/>
        <v>2037Отклонение, %</v>
      </c>
      <c r="BN8" s="163" t="str">
        <f t="shared" si="6"/>
        <v>2038Предложение организации</v>
      </c>
      <c r="BO8" s="163" t="str">
        <f t="shared" si="6"/>
        <v>2038Принято органом регулирования</v>
      </c>
      <c r="BP8" s="163" t="str">
        <f t="shared" si="6"/>
        <v>2038Отклонение, %</v>
      </c>
      <c r="BQ8" s="163" t="str">
        <f t="shared" si="6"/>
        <v>2039Предложение организации</v>
      </c>
      <c r="BR8" s="163" t="str">
        <f t="shared" si="6"/>
        <v>2039Принято органом регулирования</v>
      </c>
      <c r="BS8" s="163" t="str">
        <f t="shared" si="6"/>
        <v>2039Отклонение, %</v>
      </c>
      <c r="BT8" s="163" t="str">
        <f t="shared" si="6"/>
        <v>2040Предложение организации</v>
      </c>
      <c r="BU8" s="163" t="str">
        <f t="shared" si="6"/>
        <v>2040Принято органом регулирования</v>
      </c>
      <c r="BV8" s="163" t="str">
        <f t="shared" si="6"/>
        <v>2040Отклонение, %</v>
      </c>
      <c r="BW8" s="163" t="str">
        <f t="shared" si="6"/>
        <v>2041Предложение организации</v>
      </c>
      <c r="BX8" s="163" t="str">
        <f t="shared" si="6"/>
        <v>2041Принято органом регулирования</v>
      </c>
      <c r="BY8" s="163" t="str">
        <f t="shared" si="6"/>
        <v>2041Отклонение, %</v>
      </c>
      <c r="BZ8" s="163" t="str">
        <f t="shared" si="6"/>
        <v>2042Предложение организации</v>
      </c>
      <c r="CA8" s="163" t="str">
        <f t="shared" si="6"/>
        <v>2042Принято органом регулирования</v>
      </c>
      <c r="CB8" s="163" t="str">
        <f t="shared" si="6"/>
        <v>2042Отклонение, %</v>
      </c>
      <c r="CC8" s="163" t="str">
        <f t="shared" si="6"/>
        <v>2043Предложение организации</v>
      </c>
      <c r="CD8" s="163" t="str">
        <f t="shared" si="6"/>
        <v>2043Принято органом регулирования</v>
      </c>
      <c r="CE8" s="163" t="str">
        <f t="shared" si="6"/>
        <v>2043Отклонение, %</v>
      </c>
      <c r="CF8" s="163" t="str">
        <f t="shared" si="6"/>
        <v>2044Предложение организации</v>
      </c>
      <c r="CG8" s="163" t="str">
        <f t="shared" si="6"/>
        <v>2044Принято органом регулирования</v>
      </c>
      <c r="CH8" s="163" t="str">
        <f t="shared" si="6"/>
        <v>2044Отклонение, %</v>
      </c>
      <c r="CI8" s="163" t="str">
        <f t="shared" si="6"/>
        <v>2045Предложение организации</v>
      </c>
      <c r="CJ8" s="163" t="str">
        <f t="shared" si="6"/>
        <v>2045Принято органом регулирования</v>
      </c>
      <c r="CK8" s="163" t="str">
        <f t="shared" si="6"/>
        <v>2045Отклонение, %</v>
      </c>
      <c r="CL8" s="163" t="str">
        <f t="shared" si="6"/>
        <v>2046Предложение организации</v>
      </c>
      <c r="CM8" s="163" t="str">
        <f t="shared" si="6"/>
        <v>2046Принято органом регулирования</v>
      </c>
      <c r="CN8" s="163" t="str">
        <f t="shared" si="6"/>
        <v>2046Отклонение, %</v>
      </c>
      <c r="CO8" s="163" t="str">
        <f t="shared" si="6"/>
        <v>2047Предложение организации</v>
      </c>
      <c r="CP8" s="163" t="str">
        <f t="shared" ref="CP8:DU8" si="7">CP6&amp;CP7</f>
        <v>2047Принято органом регулирования</v>
      </c>
      <c r="CQ8" s="163" t="str">
        <f t="shared" si="7"/>
        <v>2047Отклонение, %</v>
      </c>
      <c r="CR8" s="163" t="str">
        <f t="shared" si="7"/>
        <v>2048Предложение организации</v>
      </c>
      <c r="CS8" s="163" t="str">
        <f t="shared" si="7"/>
        <v>2048Принято органом регулирования</v>
      </c>
      <c r="CT8" s="163" t="str">
        <f t="shared" si="7"/>
        <v>2048Отклонение, %</v>
      </c>
      <c r="CU8" s="163" t="str">
        <f t="shared" si="7"/>
        <v>2049Предложение организации</v>
      </c>
      <c r="CV8" s="163" t="str">
        <f t="shared" si="7"/>
        <v>2049Принято органом регулирования</v>
      </c>
      <c r="CW8" s="163" t="str">
        <f t="shared" si="7"/>
        <v>2049Отклонение, %</v>
      </c>
      <c r="CX8" s="163" t="str">
        <f t="shared" si="7"/>
        <v>2050Предложение организации</v>
      </c>
      <c r="CY8" s="163" t="str">
        <f t="shared" si="7"/>
        <v>2050Принято органом регулирования</v>
      </c>
      <c r="CZ8" s="163" t="str">
        <f t="shared" si="7"/>
        <v>2050Отклонение, %</v>
      </c>
      <c r="DA8" s="163" t="str">
        <f t="shared" si="7"/>
        <v>2051Предложение организации</v>
      </c>
      <c r="DB8" s="163" t="str">
        <f t="shared" si="7"/>
        <v>2051Принято органом регулирования</v>
      </c>
      <c r="DC8" s="163" t="str">
        <f t="shared" si="7"/>
        <v>2051Отклонение, %</v>
      </c>
      <c r="DD8" s="163" t="str">
        <f t="shared" si="7"/>
        <v>2052Предложение организации</v>
      </c>
      <c r="DE8" s="163" t="str">
        <f t="shared" si="7"/>
        <v>2052Принято органом регулирования</v>
      </c>
      <c r="DF8" s="163" t="str">
        <f t="shared" si="7"/>
        <v>2052Отклонение, %</v>
      </c>
      <c r="DG8" s="163" t="str">
        <f t="shared" si="7"/>
        <v>2053Предложение организации</v>
      </c>
      <c r="DH8" s="163" t="str">
        <f t="shared" si="7"/>
        <v>2053Принято органом регулирования</v>
      </c>
      <c r="DI8" s="163" t="str">
        <f t="shared" si="7"/>
        <v>2053Отклонение, %</v>
      </c>
      <c r="DJ8" s="163" t="str">
        <f t="shared" si="7"/>
        <v>2054Предложение организации</v>
      </c>
      <c r="DK8" s="163" t="str">
        <f t="shared" si="7"/>
        <v>2054Принято органом регулирования</v>
      </c>
      <c r="DL8" s="163" t="str">
        <f t="shared" si="7"/>
        <v>2054Отклонение, %</v>
      </c>
      <c r="DM8" s="163" t="str">
        <f t="shared" si="7"/>
        <v>2055Предложение организации</v>
      </c>
      <c r="DN8" s="163" t="str">
        <f t="shared" si="7"/>
        <v>2055Принято органом регулирования</v>
      </c>
      <c r="DO8" s="163" t="str">
        <f t="shared" si="7"/>
        <v>2055Отклонение, %</v>
      </c>
      <c r="DP8" s="163" t="str">
        <f t="shared" si="7"/>
        <v>2056Предложение организации</v>
      </c>
      <c r="DQ8" s="163" t="str">
        <f t="shared" si="7"/>
        <v>2056Принято органом регулирования</v>
      </c>
      <c r="DR8" s="163" t="str">
        <f t="shared" si="7"/>
        <v>2056Отклонение, %</v>
      </c>
      <c r="DS8" s="163" t="str">
        <f t="shared" si="7"/>
        <v>2057Предложение организации</v>
      </c>
      <c r="DT8" s="163" t="str">
        <f t="shared" si="7"/>
        <v>2057Принято органом регулирования</v>
      </c>
      <c r="DU8" s="163" t="str">
        <f t="shared" si="7"/>
        <v>2057Отклонение, %</v>
      </c>
      <c r="DV8" s="163" t="str">
        <f t="shared" ref="DV8:FA8" si="8">DV6&amp;DV7</f>
        <v>2058Предложение организации</v>
      </c>
      <c r="DW8" s="163" t="str">
        <f t="shared" si="8"/>
        <v>2058Принято органом регулирования</v>
      </c>
      <c r="DX8" s="163" t="str">
        <f t="shared" si="8"/>
        <v>2058Отклонение, %</v>
      </c>
      <c r="DY8" s="163" t="str">
        <f t="shared" si="8"/>
        <v>2059Предложение организации</v>
      </c>
      <c r="DZ8" s="163" t="str">
        <f t="shared" si="8"/>
        <v>2059Принято органом регулирования</v>
      </c>
      <c r="EA8" s="163" t="str">
        <f t="shared" si="8"/>
        <v>2059Отклонение, %</v>
      </c>
      <c r="EB8" s="163" t="str">
        <f t="shared" si="8"/>
        <v>2060Предложение организации</v>
      </c>
      <c r="EC8" s="163" t="str">
        <f t="shared" si="8"/>
        <v>2060Принято органом регулирования</v>
      </c>
      <c r="ED8" s="163" t="str">
        <f t="shared" si="8"/>
        <v>2060Отклонение, %</v>
      </c>
      <c r="EE8" s="163" t="str">
        <f t="shared" si="8"/>
        <v>2061Предложение организации</v>
      </c>
      <c r="EF8" s="163" t="str">
        <f t="shared" si="8"/>
        <v>2061Принято органом регулирования</v>
      </c>
      <c r="EG8" s="163" t="str">
        <f t="shared" si="8"/>
        <v>2061Отклонение, %</v>
      </c>
      <c r="EH8" s="163" t="str">
        <f t="shared" si="8"/>
        <v>2062Предложение организации</v>
      </c>
      <c r="EI8" s="163" t="str">
        <f t="shared" si="8"/>
        <v>2062Принято органом регулирования</v>
      </c>
      <c r="EJ8" s="163" t="str">
        <f t="shared" si="8"/>
        <v>2062Отклонение, %</v>
      </c>
      <c r="EK8" s="163" t="str">
        <f t="shared" si="8"/>
        <v>2063Предложение организации</v>
      </c>
      <c r="EL8" s="163" t="str">
        <f t="shared" si="8"/>
        <v>2063Принято органом регулирования</v>
      </c>
      <c r="EM8" s="163" t="str">
        <f t="shared" si="8"/>
        <v>2063Отклонение, %</v>
      </c>
      <c r="EN8" s="163" t="str">
        <f t="shared" si="8"/>
        <v>2064Предложение организации</v>
      </c>
      <c r="EO8" s="163" t="str">
        <f t="shared" si="8"/>
        <v>2064Принято органом регулирования</v>
      </c>
      <c r="EP8" s="163" t="str">
        <f t="shared" si="8"/>
        <v>2064Отклонение, %</v>
      </c>
      <c r="EQ8" s="163" t="str">
        <f t="shared" si="8"/>
        <v>2065Предложение организации</v>
      </c>
      <c r="ER8" s="163" t="str">
        <f t="shared" si="8"/>
        <v>2065Принято органом регулирования</v>
      </c>
      <c r="ES8" s="163" t="str">
        <f t="shared" si="8"/>
        <v>2065Отклонение, %</v>
      </c>
      <c r="ET8" s="163" t="str">
        <f t="shared" si="8"/>
        <v>2066Предложение организации</v>
      </c>
      <c r="EU8" s="163" t="str">
        <f t="shared" si="8"/>
        <v>2066Принято органом регулирования</v>
      </c>
      <c r="EV8" s="163" t="str">
        <f t="shared" si="8"/>
        <v>2066Отклонение, %</v>
      </c>
      <c r="EW8" s="163" t="str">
        <f t="shared" si="8"/>
        <v>2067Предложение организации</v>
      </c>
      <c r="EX8" s="163" t="str">
        <f t="shared" si="8"/>
        <v>2067Принято органом регулирования</v>
      </c>
      <c r="EY8" s="163" t="str">
        <f t="shared" si="8"/>
        <v>2067Отклонение, %</v>
      </c>
      <c r="EZ8" s="163" t="str">
        <f t="shared" si="8"/>
        <v>2068Предложение организации</v>
      </c>
      <c r="FA8" s="163" t="str">
        <f t="shared" si="8"/>
        <v>2068Принято органом регулирования</v>
      </c>
      <c r="FB8" s="163" t="str">
        <f t="shared" ref="FB8:GG8" si="9">FB6&amp;FB7</f>
        <v>2068Отклонение, %</v>
      </c>
      <c r="FC8" s="163" t="str">
        <f t="shared" si="9"/>
        <v>2069Предложение организации</v>
      </c>
      <c r="FD8" s="163" t="str">
        <f t="shared" si="9"/>
        <v>2069Принято органом регулирования</v>
      </c>
      <c r="FE8" s="163" t="str">
        <f t="shared" si="9"/>
        <v>2069Отклонение, %</v>
      </c>
      <c r="FF8" s="163" t="str">
        <f t="shared" si="9"/>
        <v>2070Предложение организации</v>
      </c>
      <c r="FG8" s="163" t="str">
        <f t="shared" si="9"/>
        <v>2070Принято органом регулирования</v>
      </c>
      <c r="FH8" s="163" t="str">
        <f t="shared" si="9"/>
        <v>2070Отклонение, %</v>
      </c>
      <c r="FI8" s="163" t="str">
        <f t="shared" si="9"/>
        <v>2071Предложение организации</v>
      </c>
      <c r="FJ8" s="163" t="str">
        <f t="shared" si="9"/>
        <v>2071Принято органом регулирования</v>
      </c>
      <c r="FK8" s="163" t="str">
        <f t="shared" si="9"/>
        <v>2071Отклонение, %</v>
      </c>
      <c r="FL8" s="163" t="str">
        <f t="shared" si="9"/>
        <v>2072Предложение организации</v>
      </c>
      <c r="FM8" s="163" t="str">
        <f t="shared" si="9"/>
        <v>2072Принято органом регулирования</v>
      </c>
      <c r="FN8" s="163" t="str">
        <f t="shared" si="9"/>
        <v>2072Отклонение, %</v>
      </c>
      <c r="FO8" s="163" t="str">
        <f t="shared" si="9"/>
        <v>2073Предложение организации</v>
      </c>
      <c r="FP8" s="163" t="str">
        <f t="shared" si="9"/>
        <v>2073Принято органом регулирования</v>
      </c>
      <c r="FQ8" s="163" t="str">
        <f t="shared" si="9"/>
        <v>2073Отклонение, %</v>
      </c>
      <c r="FR8" s="163" t="str">
        <f t="shared" si="9"/>
        <v>2074Предложение организации</v>
      </c>
      <c r="FS8" s="163" t="str">
        <f t="shared" si="9"/>
        <v>2074Принято органом регулирования</v>
      </c>
      <c r="FT8" s="163" t="str">
        <f t="shared" si="9"/>
        <v>2074Отклонение, %</v>
      </c>
      <c r="FU8" s="163" t="str">
        <f t="shared" si="9"/>
        <v>2075Предложение организации</v>
      </c>
      <c r="FV8" s="163" t="str">
        <f t="shared" si="9"/>
        <v>2075Принято органом регулирования</v>
      </c>
      <c r="FW8" s="163" t="str">
        <f t="shared" si="9"/>
        <v>2075Отклонение, %</v>
      </c>
      <c r="GA8" s="1015"/>
      <c r="GB8" s="1015"/>
      <c r="GC8" s="1015"/>
      <c r="GD8" s="1015"/>
    </row>
    <row r="9" spans="1:186" s="1013" customFormat="1" ht="12" hidden="1" customHeight="1">
      <c r="A9" s="958" t="s">
        <v>472</v>
      </c>
      <c r="B9" s="951"/>
      <c r="C9" s="1118"/>
      <c r="D9" s="1087"/>
      <c r="E9" s="951"/>
      <c r="J9" s="1066"/>
      <c r="K9" s="1066"/>
      <c r="L9" s="1066"/>
      <c r="M9" s="1066"/>
      <c r="N9" s="1066"/>
      <c r="O9" s="1066"/>
      <c r="P9" s="1066"/>
      <c r="Q9" s="1075"/>
      <c r="R9" s="960"/>
      <c r="AD9" s="959" cm="1">
        <f t="array" ref="AD9">god</f>
        <v>2026</v>
      </c>
      <c r="AE9" s="959" cm="1">
        <f t="array" ref="AE9">god</f>
        <v>2026</v>
      </c>
      <c r="AF9" s="959" cm="1">
        <f t="array" ref="AF9">god</f>
        <v>2026</v>
      </c>
      <c r="AG9" s="959">
        <f>god+1</f>
        <v>2027</v>
      </c>
      <c r="AH9" s="959">
        <f>god+1</f>
        <v>2027</v>
      </c>
      <c r="AI9" s="959">
        <f>god+1</f>
        <v>2027</v>
      </c>
      <c r="AJ9" s="959">
        <f>god+2</f>
        <v>2028</v>
      </c>
      <c r="AK9" s="959">
        <f>god+2</f>
        <v>2028</v>
      </c>
      <c r="AL9" s="959">
        <f>god+2</f>
        <v>2028</v>
      </c>
      <c r="AM9" s="959">
        <f>god+3</f>
        <v>2029</v>
      </c>
      <c r="AN9" s="959">
        <f>god+3</f>
        <v>2029</v>
      </c>
      <c r="AO9" s="959">
        <f>god+3</f>
        <v>2029</v>
      </c>
      <c r="AP9" s="959">
        <f>god+4</f>
        <v>2030</v>
      </c>
      <c r="AQ9" s="959">
        <f>god+4</f>
        <v>2030</v>
      </c>
      <c r="AR9" s="959">
        <f>god+4</f>
        <v>2030</v>
      </c>
      <c r="AS9" s="959">
        <f>god+5</f>
        <v>2031</v>
      </c>
      <c r="AT9" s="959">
        <f>god+5</f>
        <v>2031</v>
      </c>
      <c r="AU9" s="959">
        <f>god+5</f>
        <v>2031</v>
      </c>
      <c r="AV9" s="959">
        <f>god+6</f>
        <v>2032</v>
      </c>
      <c r="AW9" s="959">
        <f>god+6</f>
        <v>2032</v>
      </c>
      <c r="AX9" s="959">
        <f>god+6</f>
        <v>2032</v>
      </c>
      <c r="AY9" s="959">
        <f>god+7</f>
        <v>2033</v>
      </c>
      <c r="AZ9" s="959">
        <f>god+7</f>
        <v>2033</v>
      </c>
      <c r="BA9" s="959">
        <f>god+7</f>
        <v>2033</v>
      </c>
      <c r="BB9" s="959">
        <f>god+8</f>
        <v>2034</v>
      </c>
      <c r="BC9" s="959">
        <f>god+8</f>
        <v>2034</v>
      </c>
      <c r="BD9" s="959">
        <f>god+8</f>
        <v>2034</v>
      </c>
      <c r="BE9" s="959">
        <f>god+9</f>
        <v>2035</v>
      </c>
      <c r="BF9" s="959">
        <f>god+9</f>
        <v>2035</v>
      </c>
      <c r="BG9" s="959">
        <f>god+9</f>
        <v>2035</v>
      </c>
      <c r="BH9" s="959">
        <f>god+10</f>
        <v>2036</v>
      </c>
      <c r="BI9" s="959">
        <f>god+10</f>
        <v>2036</v>
      </c>
      <c r="BJ9" s="959">
        <f>god+10</f>
        <v>2036</v>
      </c>
      <c r="BK9" s="959">
        <f>god+11</f>
        <v>2037</v>
      </c>
      <c r="BL9" s="959">
        <f>god+11</f>
        <v>2037</v>
      </c>
      <c r="BM9" s="959">
        <f>god+11</f>
        <v>2037</v>
      </c>
      <c r="BN9" s="959">
        <f>god+12</f>
        <v>2038</v>
      </c>
      <c r="BO9" s="959">
        <f>god+12</f>
        <v>2038</v>
      </c>
      <c r="BP9" s="959">
        <f>god+12</f>
        <v>2038</v>
      </c>
      <c r="BQ9" s="959">
        <f>god+13</f>
        <v>2039</v>
      </c>
      <c r="BR9" s="959">
        <f>god+13</f>
        <v>2039</v>
      </c>
      <c r="BS9" s="959">
        <f>god+13</f>
        <v>2039</v>
      </c>
      <c r="BT9" s="959">
        <f>god+14</f>
        <v>2040</v>
      </c>
      <c r="BU9" s="959">
        <f>god+14</f>
        <v>2040</v>
      </c>
      <c r="BV9" s="959">
        <f>god+14</f>
        <v>2040</v>
      </c>
      <c r="BW9" s="959">
        <f>god+15</f>
        <v>2041</v>
      </c>
      <c r="BX9" s="959">
        <f>god+15</f>
        <v>2041</v>
      </c>
      <c r="BY9" s="959">
        <f>god+15</f>
        <v>2041</v>
      </c>
      <c r="BZ9" s="959">
        <f>god+16</f>
        <v>2042</v>
      </c>
      <c r="CA9" s="959">
        <f>god+16</f>
        <v>2042</v>
      </c>
      <c r="CB9" s="959">
        <f>god+16</f>
        <v>2042</v>
      </c>
      <c r="CC9" s="959">
        <f>god+17</f>
        <v>2043</v>
      </c>
      <c r="CD9" s="959">
        <f>god+17</f>
        <v>2043</v>
      </c>
      <c r="CE9" s="959">
        <f>god+17</f>
        <v>2043</v>
      </c>
      <c r="CF9" s="959">
        <f>god+18</f>
        <v>2044</v>
      </c>
      <c r="CG9" s="959">
        <f>god+18</f>
        <v>2044</v>
      </c>
      <c r="CH9" s="959">
        <f>god+18</f>
        <v>2044</v>
      </c>
      <c r="CI9" s="959">
        <f>god+19</f>
        <v>2045</v>
      </c>
      <c r="CJ9" s="959">
        <f>god+19</f>
        <v>2045</v>
      </c>
      <c r="CK9" s="959">
        <f>god+19</f>
        <v>2045</v>
      </c>
      <c r="CL9" s="959">
        <f>god+20</f>
        <v>2046</v>
      </c>
      <c r="CM9" s="959">
        <f>god+20</f>
        <v>2046</v>
      </c>
      <c r="CN9" s="959">
        <f>god+20</f>
        <v>2046</v>
      </c>
      <c r="CO9" s="959">
        <f>god+21</f>
        <v>2047</v>
      </c>
      <c r="CP9" s="959">
        <f>god+21</f>
        <v>2047</v>
      </c>
      <c r="CQ9" s="959">
        <f>god+21</f>
        <v>2047</v>
      </c>
      <c r="CR9" s="959">
        <f>god+22</f>
        <v>2048</v>
      </c>
      <c r="CS9" s="959">
        <f>god+22</f>
        <v>2048</v>
      </c>
      <c r="CT9" s="959">
        <f>god+22</f>
        <v>2048</v>
      </c>
      <c r="CU9" s="959">
        <f>god+23</f>
        <v>2049</v>
      </c>
      <c r="CV9" s="959">
        <f>god+23</f>
        <v>2049</v>
      </c>
      <c r="CW9" s="959">
        <f>god+23</f>
        <v>2049</v>
      </c>
      <c r="CX9" s="959">
        <f>god+24</f>
        <v>2050</v>
      </c>
      <c r="CY9" s="959">
        <f>god+24</f>
        <v>2050</v>
      </c>
      <c r="CZ9" s="959">
        <f>god+24</f>
        <v>2050</v>
      </c>
      <c r="DA9" s="959">
        <f>god+25</f>
        <v>2051</v>
      </c>
      <c r="DB9" s="959">
        <f>god+25</f>
        <v>2051</v>
      </c>
      <c r="DC9" s="959">
        <f>god+25</f>
        <v>2051</v>
      </c>
      <c r="DD9" s="959">
        <f>god+26</f>
        <v>2052</v>
      </c>
      <c r="DE9" s="959">
        <f>god+26</f>
        <v>2052</v>
      </c>
      <c r="DF9" s="959">
        <f>god+26</f>
        <v>2052</v>
      </c>
      <c r="DG9" s="959">
        <f>god+27</f>
        <v>2053</v>
      </c>
      <c r="DH9" s="959">
        <f>god+27</f>
        <v>2053</v>
      </c>
      <c r="DI9" s="959">
        <f>god+27</f>
        <v>2053</v>
      </c>
      <c r="DJ9" s="959">
        <f>god+28</f>
        <v>2054</v>
      </c>
      <c r="DK9" s="959">
        <f>god+28</f>
        <v>2054</v>
      </c>
      <c r="DL9" s="959">
        <f>god+28</f>
        <v>2054</v>
      </c>
      <c r="DM9" s="959">
        <f>god+29</f>
        <v>2055</v>
      </c>
      <c r="DN9" s="959">
        <f>god+29</f>
        <v>2055</v>
      </c>
      <c r="DO9" s="959">
        <f>god+29</f>
        <v>2055</v>
      </c>
      <c r="DP9" s="959">
        <f>god+30</f>
        <v>2056</v>
      </c>
      <c r="DQ9" s="959">
        <f>god+30</f>
        <v>2056</v>
      </c>
      <c r="DR9" s="959">
        <f>god+30</f>
        <v>2056</v>
      </c>
      <c r="DS9" s="959">
        <f>god+31</f>
        <v>2057</v>
      </c>
      <c r="DT9" s="959">
        <f>god+31</f>
        <v>2057</v>
      </c>
      <c r="DU9" s="959">
        <f>god+31</f>
        <v>2057</v>
      </c>
      <c r="DV9" s="959">
        <f>god+32</f>
        <v>2058</v>
      </c>
      <c r="DW9" s="959">
        <f>god+32</f>
        <v>2058</v>
      </c>
      <c r="DX9" s="959">
        <f>god+32</f>
        <v>2058</v>
      </c>
      <c r="DY9" s="959">
        <f>god+33</f>
        <v>2059</v>
      </c>
      <c r="DZ9" s="959">
        <f>god+33</f>
        <v>2059</v>
      </c>
      <c r="EA9" s="959">
        <f>god+33</f>
        <v>2059</v>
      </c>
      <c r="EB9" s="959">
        <f>god+34</f>
        <v>2060</v>
      </c>
      <c r="EC9" s="959">
        <f>god+34</f>
        <v>2060</v>
      </c>
      <c r="ED9" s="959">
        <f>god+34</f>
        <v>2060</v>
      </c>
      <c r="EE9" s="959">
        <f>god+35</f>
        <v>2061</v>
      </c>
      <c r="EF9" s="959">
        <f>god+35</f>
        <v>2061</v>
      </c>
      <c r="EG9" s="959">
        <f>god+35</f>
        <v>2061</v>
      </c>
      <c r="EH9" s="959">
        <f>god+36</f>
        <v>2062</v>
      </c>
      <c r="EI9" s="959">
        <f>god+36</f>
        <v>2062</v>
      </c>
      <c r="EJ9" s="959">
        <f>god+36</f>
        <v>2062</v>
      </c>
      <c r="EK9" s="959">
        <f>god+37</f>
        <v>2063</v>
      </c>
      <c r="EL9" s="959">
        <f>god+37</f>
        <v>2063</v>
      </c>
      <c r="EM9" s="959">
        <f>god+37</f>
        <v>2063</v>
      </c>
      <c r="EN9" s="959">
        <f>god+38</f>
        <v>2064</v>
      </c>
      <c r="EO9" s="959">
        <f>god+38</f>
        <v>2064</v>
      </c>
      <c r="EP9" s="959">
        <f>god+38</f>
        <v>2064</v>
      </c>
      <c r="EQ9" s="959">
        <f>god+39</f>
        <v>2065</v>
      </c>
      <c r="ER9" s="959">
        <f>god+39</f>
        <v>2065</v>
      </c>
      <c r="ES9" s="959">
        <f>god+39</f>
        <v>2065</v>
      </c>
      <c r="ET9" s="959">
        <f>god+40</f>
        <v>2066</v>
      </c>
      <c r="EU9" s="959">
        <f>god+40</f>
        <v>2066</v>
      </c>
      <c r="EV9" s="959">
        <f>god+40</f>
        <v>2066</v>
      </c>
      <c r="EW9" s="959">
        <f>god+41</f>
        <v>2067</v>
      </c>
      <c r="EX9" s="959">
        <f>god+41</f>
        <v>2067</v>
      </c>
      <c r="EY9" s="959">
        <f>god+41</f>
        <v>2067</v>
      </c>
      <c r="EZ9" s="959">
        <f>god+42</f>
        <v>2068</v>
      </c>
      <c r="FA9" s="959">
        <f>god+42</f>
        <v>2068</v>
      </c>
      <c r="FB9" s="959">
        <f>god+42</f>
        <v>2068</v>
      </c>
      <c r="FC9" s="959">
        <f>god+43</f>
        <v>2069</v>
      </c>
      <c r="FD9" s="959">
        <f>god+43</f>
        <v>2069</v>
      </c>
      <c r="FE9" s="959">
        <f>god+43</f>
        <v>2069</v>
      </c>
      <c r="FF9" s="959">
        <f>god+44</f>
        <v>2070</v>
      </c>
      <c r="FG9" s="959">
        <f>god+44</f>
        <v>2070</v>
      </c>
      <c r="FH9" s="959">
        <f>god+44</f>
        <v>2070</v>
      </c>
      <c r="FI9" s="959">
        <f>god+45</f>
        <v>2071</v>
      </c>
      <c r="FJ9" s="959">
        <f>god+45</f>
        <v>2071</v>
      </c>
      <c r="FK9" s="959">
        <f>god+45</f>
        <v>2071</v>
      </c>
      <c r="FL9" s="959">
        <f>god+46</f>
        <v>2072</v>
      </c>
      <c r="FM9" s="959">
        <f>god+46</f>
        <v>2072</v>
      </c>
      <c r="FN9" s="959">
        <f>god+46</f>
        <v>2072</v>
      </c>
      <c r="FO9" s="959">
        <f>god+47</f>
        <v>2073</v>
      </c>
      <c r="FP9" s="959">
        <f>god+47</f>
        <v>2073</v>
      </c>
      <c r="FQ9" s="959">
        <f>god+47</f>
        <v>2073</v>
      </c>
      <c r="FR9" s="959">
        <f>god+48</f>
        <v>2074</v>
      </c>
      <c r="FS9" s="959">
        <f>god+48</f>
        <v>2074</v>
      </c>
      <c r="FT9" s="959">
        <f>god+48</f>
        <v>2074</v>
      </c>
      <c r="FU9" s="959">
        <f>god+49</f>
        <v>2075</v>
      </c>
      <c r="FV9" s="959">
        <f>god+49</f>
        <v>2075</v>
      </c>
      <c r="FW9" s="959">
        <f>god+49</f>
        <v>2075</v>
      </c>
      <c r="FZ9" s="981"/>
      <c r="GA9" s="1015"/>
      <c r="GB9" s="1015"/>
      <c r="GC9" s="1015"/>
      <c r="GD9" s="1015"/>
    </row>
    <row r="10" spans="1:186" s="1013" customFormat="1" ht="12" hidden="1" customHeight="1">
      <c r="A10" s="958" t="s">
        <v>473</v>
      </c>
      <c r="B10" s="951"/>
      <c r="C10" s="1118"/>
      <c r="D10" s="1087"/>
      <c r="E10" s="951"/>
      <c r="J10" s="1066"/>
      <c r="K10" s="1066"/>
      <c r="L10" s="1066"/>
      <c r="M10" s="1066"/>
      <c r="N10" s="1066"/>
      <c r="O10" s="1066"/>
      <c r="P10" s="1066"/>
      <c r="Q10" s="1075"/>
      <c r="R10" s="960"/>
      <c r="AD10" s="959" t="str" cm="1">
        <f t="array" ref="AD10">AD26</f>
        <v>Предложение организации</v>
      </c>
      <c r="AE10" s="959" t="str" cm="1">
        <f t="array" ref="AE10">AE26</f>
        <v>Принято органом регулирования</v>
      </c>
      <c r="AF10" s="959" t="str" cm="1">
        <f t="array" ref="AF10">AF26</f>
        <v>Отклонение, %</v>
      </c>
      <c r="AG10" s="959" t="str" cm="1">
        <f t="array" ref="AG10">AG26</f>
        <v>Предложение организации</v>
      </c>
      <c r="AH10" s="959" t="str" cm="1">
        <f t="array" ref="AH10">AH26</f>
        <v>Принято органом регулирования</v>
      </c>
      <c r="AI10" s="959" t="str" cm="1">
        <f t="array" ref="AI10">AI26</f>
        <v>Отклонение, %</v>
      </c>
      <c r="AJ10" s="959" t="str" cm="1">
        <f t="array" ref="AJ10">AJ26</f>
        <v>Предложение организации</v>
      </c>
      <c r="AK10" s="959" t="str" cm="1">
        <f t="array" ref="AK10">AK26</f>
        <v>Принято органом регулирования</v>
      </c>
      <c r="AL10" s="959" t="str" cm="1">
        <f t="array" ref="AL10">AL26</f>
        <v>Отклонение, %</v>
      </c>
      <c r="AM10" s="959" t="str" cm="1">
        <f t="array" ref="AM10">AM26</f>
        <v>Предложение организации</v>
      </c>
      <c r="AN10" s="959" t="str" cm="1">
        <f t="array" ref="AN10">AN26</f>
        <v>Принято органом регулирования</v>
      </c>
      <c r="AO10" s="959" t="str" cm="1">
        <f t="array" ref="AO10">AO26</f>
        <v>Отклонение, %</v>
      </c>
      <c r="AP10" s="959" t="str" cm="1">
        <f t="array" ref="AP10">AP26</f>
        <v>Предложение организации</v>
      </c>
      <c r="AQ10" s="959" t="str" cm="1">
        <f t="array" ref="AQ10">AQ26</f>
        <v>Принято органом регулирования</v>
      </c>
      <c r="AR10" s="959" t="str" cm="1">
        <f t="array" ref="AR10">AR26</f>
        <v>Отклонение, %</v>
      </c>
      <c r="AS10" s="959" t="str" cm="1">
        <f t="array" ref="AS10">AS26</f>
        <v>Предложение организации</v>
      </c>
      <c r="AT10" s="959" t="str" cm="1">
        <f t="array" ref="AT10">AT26</f>
        <v>Принято органом регулирования</v>
      </c>
      <c r="AU10" s="959" t="str" cm="1">
        <f t="array" ref="AU10">AU26</f>
        <v>Отклонение, %</v>
      </c>
      <c r="AV10" s="959" t="str" cm="1">
        <f t="array" ref="AV10">AV26</f>
        <v>Предложение организации</v>
      </c>
      <c r="AW10" s="959" t="str" cm="1">
        <f t="array" ref="AW10">AW26</f>
        <v>Принято органом регулирования</v>
      </c>
      <c r="AX10" s="959" t="str" cm="1">
        <f t="array" ref="AX10">AX26</f>
        <v>Отклонение, %</v>
      </c>
      <c r="AY10" s="959" t="str" cm="1">
        <f t="array" ref="AY10">AY26</f>
        <v>Предложение организации</v>
      </c>
      <c r="AZ10" s="959" t="str" cm="1">
        <f t="array" ref="AZ10">AZ26</f>
        <v>Принято органом регулирования</v>
      </c>
      <c r="BA10" s="959" t="str" cm="1">
        <f t="array" ref="BA10">BA26</f>
        <v>Отклонение, %</v>
      </c>
      <c r="BB10" s="959" t="str" cm="1">
        <f t="array" ref="BB10">BB26</f>
        <v>Предложение организации</v>
      </c>
      <c r="BC10" s="959" t="str" cm="1">
        <f t="array" ref="BC10">BC26</f>
        <v>Принято органом регулирования</v>
      </c>
      <c r="BD10" s="959" t="str" cm="1">
        <f t="array" ref="BD10">BD26</f>
        <v>Отклонение, %</v>
      </c>
      <c r="BE10" s="959" t="str" cm="1">
        <f t="array" ref="BE10">BE26</f>
        <v>Предложение организации</v>
      </c>
      <c r="BF10" s="959" t="str" cm="1">
        <f t="array" ref="BF10">BF26</f>
        <v>Принято органом регулирования</v>
      </c>
      <c r="BG10" s="959" t="str" cm="1">
        <f t="array" ref="BG10">BG26</f>
        <v>Отклонение, %</v>
      </c>
      <c r="BH10" s="959" t="str" cm="1">
        <f t="array" ref="BH10">BH26</f>
        <v>Предложение организации</v>
      </c>
      <c r="BI10" s="959" t="str" cm="1">
        <f t="array" ref="BI10">BI26</f>
        <v>Принято органом регулирования</v>
      </c>
      <c r="BJ10" s="959" t="str" cm="1">
        <f t="array" ref="BJ10">BJ26</f>
        <v>Отклонение, %</v>
      </c>
      <c r="BK10" s="959" t="str" cm="1">
        <f t="array" ref="BK10">BK26</f>
        <v>Предложение организации</v>
      </c>
      <c r="BL10" s="959" t="str" cm="1">
        <f t="array" ref="BL10">BL26</f>
        <v>Принято органом регулирования</v>
      </c>
      <c r="BM10" s="959" t="str" cm="1">
        <f t="array" ref="BM10">BM26</f>
        <v>Отклонение, %</v>
      </c>
      <c r="BN10" s="959" t="str" cm="1">
        <f t="array" ref="BN10">BN26</f>
        <v>Предложение организации</v>
      </c>
      <c r="BO10" s="959" t="str" cm="1">
        <f t="array" ref="BO10">BO26</f>
        <v>Принято органом регулирования</v>
      </c>
      <c r="BP10" s="959" t="str" cm="1">
        <f t="array" ref="BP10">BP26</f>
        <v>Отклонение, %</v>
      </c>
      <c r="BQ10" s="959" t="str" cm="1">
        <f t="array" ref="BQ10">BQ26</f>
        <v>Предложение организации</v>
      </c>
      <c r="BR10" s="959" t="str" cm="1">
        <f t="array" ref="BR10">BR26</f>
        <v>Принято органом регулирования</v>
      </c>
      <c r="BS10" s="959" t="str" cm="1">
        <f t="array" ref="BS10">BS26</f>
        <v>Отклонение, %</v>
      </c>
      <c r="BT10" s="959" t="str" cm="1">
        <f t="array" ref="BT10">BT26</f>
        <v>Предложение организации</v>
      </c>
      <c r="BU10" s="959" t="str" cm="1">
        <f t="array" ref="BU10">BU26</f>
        <v>Принято органом регулирования</v>
      </c>
      <c r="BV10" s="959" t="str" cm="1">
        <f t="array" ref="BV10">BV26</f>
        <v>Отклонение, %</v>
      </c>
      <c r="BW10" s="959" t="str" cm="1">
        <f t="array" ref="BW10">BW26</f>
        <v>Предложение организации</v>
      </c>
      <c r="BX10" s="959" t="str" cm="1">
        <f t="array" ref="BX10">BX26</f>
        <v>Принято органом регулирования</v>
      </c>
      <c r="BY10" s="959" t="str" cm="1">
        <f t="array" ref="BY10">BY26</f>
        <v>Отклонение, %</v>
      </c>
      <c r="BZ10" s="959" t="str" cm="1">
        <f t="array" ref="BZ10">BZ26</f>
        <v>Предложение организации</v>
      </c>
      <c r="CA10" s="959" t="str" cm="1">
        <f t="array" ref="CA10">CA26</f>
        <v>Принято органом регулирования</v>
      </c>
      <c r="CB10" s="959" t="str" cm="1">
        <f t="array" ref="CB10">CB26</f>
        <v>Отклонение, %</v>
      </c>
      <c r="CC10" s="959" t="str" cm="1">
        <f t="array" ref="CC10">CC26</f>
        <v>Предложение организации</v>
      </c>
      <c r="CD10" s="959" t="str" cm="1">
        <f t="array" ref="CD10">CD26</f>
        <v>Принято органом регулирования</v>
      </c>
      <c r="CE10" s="959" t="str" cm="1">
        <f t="array" ref="CE10">CE26</f>
        <v>Отклонение, %</v>
      </c>
      <c r="CF10" s="959" t="str" cm="1">
        <f t="array" ref="CF10">CF26</f>
        <v>Предложение организации</v>
      </c>
      <c r="CG10" s="959" t="str" cm="1">
        <f t="array" ref="CG10">CG26</f>
        <v>Принято органом регулирования</v>
      </c>
      <c r="CH10" s="959" t="str" cm="1">
        <f t="array" ref="CH10">CH26</f>
        <v>Отклонение, %</v>
      </c>
      <c r="CI10" s="959" t="str" cm="1">
        <f t="array" ref="CI10">CI26</f>
        <v>Предложение организации</v>
      </c>
      <c r="CJ10" s="959" t="str" cm="1">
        <f t="array" ref="CJ10">CJ26</f>
        <v>Принято органом регулирования</v>
      </c>
      <c r="CK10" s="959" t="str" cm="1">
        <f t="array" ref="CK10">CK26</f>
        <v>Отклонение, %</v>
      </c>
      <c r="CL10" s="959" t="str" cm="1">
        <f t="array" ref="CL10">CL26</f>
        <v>Предложение организации</v>
      </c>
      <c r="CM10" s="959" t="str" cm="1">
        <f t="array" ref="CM10">CM26</f>
        <v>Принято органом регулирования</v>
      </c>
      <c r="CN10" s="959" t="str" cm="1">
        <f t="array" ref="CN10">CN26</f>
        <v>Отклонение, %</v>
      </c>
      <c r="CO10" s="959" t="str" cm="1">
        <f t="array" ref="CO10">CO26</f>
        <v>Предложение организации</v>
      </c>
      <c r="CP10" s="959" t="str" cm="1">
        <f t="array" ref="CP10">CP26</f>
        <v>Принято органом регулирования</v>
      </c>
      <c r="CQ10" s="959" t="str" cm="1">
        <f t="array" ref="CQ10">CQ26</f>
        <v>Отклонение, %</v>
      </c>
      <c r="CR10" s="959" t="str" cm="1">
        <f t="array" ref="CR10">CR26</f>
        <v>Предложение организации</v>
      </c>
      <c r="CS10" s="959" t="str" cm="1">
        <f t="array" ref="CS10">CS26</f>
        <v>Принято органом регулирования</v>
      </c>
      <c r="CT10" s="959" t="str" cm="1">
        <f t="array" ref="CT10">CT26</f>
        <v>Отклонение, %</v>
      </c>
      <c r="CU10" s="959" t="str" cm="1">
        <f t="array" ref="CU10">CU26</f>
        <v>Предложение организации</v>
      </c>
      <c r="CV10" s="959" t="str" cm="1">
        <f t="array" ref="CV10">CV26</f>
        <v>Принято органом регулирования</v>
      </c>
      <c r="CW10" s="959" t="str" cm="1">
        <f t="array" ref="CW10">CW26</f>
        <v>Отклонение, %</v>
      </c>
      <c r="CX10" s="959" t="str" cm="1">
        <f t="array" ref="CX10">CX26</f>
        <v>Предложение организации</v>
      </c>
      <c r="CY10" s="959" t="str" cm="1">
        <f t="array" ref="CY10">CY26</f>
        <v>Принято органом регулирования</v>
      </c>
      <c r="CZ10" s="959" t="str" cm="1">
        <f t="array" ref="CZ10">CZ26</f>
        <v>Отклонение, %</v>
      </c>
      <c r="DA10" s="959" t="str" cm="1">
        <f t="array" ref="DA10">DA26</f>
        <v>Предложение организации</v>
      </c>
      <c r="DB10" s="959" t="str" cm="1">
        <f t="array" ref="DB10">DB26</f>
        <v>Принято органом регулирования</v>
      </c>
      <c r="DC10" s="959" t="str" cm="1">
        <f t="array" ref="DC10">DC26</f>
        <v>Отклонение, %</v>
      </c>
      <c r="DD10" s="959" t="str" cm="1">
        <f t="array" ref="DD10">DD26</f>
        <v>Предложение организации</v>
      </c>
      <c r="DE10" s="959" t="str" cm="1">
        <f t="array" ref="DE10">DE26</f>
        <v>Принято органом регулирования</v>
      </c>
      <c r="DF10" s="959" t="str" cm="1">
        <f t="array" ref="DF10">DF26</f>
        <v>Отклонение, %</v>
      </c>
      <c r="DG10" s="959" t="str" cm="1">
        <f t="array" ref="DG10">DG26</f>
        <v>Предложение организации</v>
      </c>
      <c r="DH10" s="959" t="str" cm="1">
        <f t="array" ref="DH10">DH26</f>
        <v>Принято органом регулирования</v>
      </c>
      <c r="DI10" s="959" t="str" cm="1">
        <f t="array" ref="DI10">DI26</f>
        <v>Отклонение, %</v>
      </c>
      <c r="DJ10" s="959" t="str" cm="1">
        <f t="array" ref="DJ10">DJ26</f>
        <v>Предложение организации</v>
      </c>
      <c r="DK10" s="959" t="str" cm="1">
        <f t="array" ref="DK10">DK26</f>
        <v>Принято органом регулирования</v>
      </c>
      <c r="DL10" s="959" t="str" cm="1">
        <f t="array" ref="DL10">DL26</f>
        <v>Отклонение, %</v>
      </c>
      <c r="DM10" s="959" t="str" cm="1">
        <f t="array" ref="DM10">DM26</f>
        <v>Предложение организации</v>
      </c>
      <c r="DN10" s="959" t="str" cm="1">
        <f t="array" ref="DN10">DN26</f>
        <v>Принято органом регулирования</v>
      </c>
      <c r="DO10" s="959" t="str" cm="1">
        <f t="array" ref="DO10">DO26</f>
        <v>Отклонение, %</v>
      </c>
      <c r="DP10" s="959" t="str" cm="1">
        <f t="array" ref="DP10">DP26</f>
        <v>Предложение организации</v>
      </c>
      <c r="DQ10" s="959" t="str" cm="1">
        <f t="array" ref="DQ10">DQ26</f>
        <v>Принято органом регулирования</v>
      </c>
      <c r="DR10" s="959" t="str" cm="1">
        <f t="array" ref="DR10">DR26</f>
        <v>Отклонение, %</v>
      </c>
      <c r="DS10" s="959" t="str" cm="1">
        <f t="array" ref="DS10">DS26</f>
        <v>Предложение организации</v>
      </c>
      <c r="DT10" s="959" t="str" cm="1">
        <f t="array" ref="DT10">DT26</f>
        <v>Принято органом регулирования</v>
      </c>
      <c r="DU10" s="959" t="str" cm="1">
        <f t="array" ref="DU10">DU26</f>
        <v>Отклонение, %</v>
      </c>
      <c r="DV10" s="959" t="str" cm="1">
        <f t="array" ref="DV10">DV26</f>
        <v>Предложение организации</v>
      </c>
      <c r="DW10" s="959" t="str" cm="1">
        <f t="array" ref="DW10">DW26</f>
        <v>Принято органом регулирования</v>
      </c>
      <c r="DX10" s="959" t="str" cm="1">
        <f t="array" ref="DX10">DX26</f>
        <v>Отклонение, %</v>
      </c>
      <c r="DY10" s="959" t="str" cm="1">
        <f t="array" ref="DY10">DY26</f>
        <v>Предложение организации</v>
      </c>
      <c r="DZ10" s="959" t="str" cm="1">
        <f t="array" ref="DZ10">DZ26</f>
        <v>Принято органом регулирования</v>
      </c>
      <c r="EA10" s="959" t="str" cm="1">
        <f t="array" ref="EA10">EA26</f>
        <v>Отклонение, %</v>
      </c>
      <c r="EB10" s="959" t="str" cm="1">
        <f t="array" ref="EB10">EB26</f>
        <v>Предложение организации</v>
      </c>
      <c r="EC10" s="959" t="str" cm="1">
        <f t="array" ref="EC10">EC26</f>
        <v>Принято органом регулирования</v>
      </c>
      <c r="ED10" s="959" t="str" cm="1">
        <f t="array" ref="ED10">ED26</f>
        <v>Отклонение, %</v>
      </c>
      <c r="EE10" s="959" t="str" cm="1">
        <f t="array" ref="EE10">EE26</f>
        <v>Предложение организации</v>
      </c>
      <c r="EF10" s="959" t="str" cm="1">
        <f t="array" ref="EF10">EF26</f>
        <v>Принято органом регулирования</v>
      </c>
      <c r="EG10" s="959" t="str" cm="1">
        <f t="array" ref="EG10">EG26</f>
        <v>Отклонение, %</v>
      </c>
      <c r="EH10" s="959" t="str" cm="1">
        <f t="array" ref="EH10">EH26</f>
        <v>Предложение организации</v>
      </c>
      <c r="EI10" s="959" t="str" cm="1">
        <f t="array" ref="EI10">EI26</f>
        <v>Принято органом регулирования</v>
      </c>
      <c r="EJ10" s="959" t="str" cm="1">
        <f t="array" ref="EJ10">EJ26</f>
        <v>Отклонение, %</v>
      </c>
      <c r="EK10" s="959" t="str" cm="1">
        <f t="array" ref="EK10">EK26</f>
        <v>Предложение организации</v>
      </c>
      <c r="EL10" s="959" t="str" cm="1">
        <f t="array" ref="EL10">EL26</f>
        <v>Принято органом регулирования</v>
      </c>
      <c r="EM10" s="959" t="str" cm="1">
        <f t="array" ref="EM10">EM26</f>
        <v>Отклонение, %</v>
      </c>
      <c r="EN10" s="959" t="str" cm="1">
        <f t="array" ref="EN10">EN26</f>
        <v>Предложение организации</v>
      </c>
      <c r="EO10" s="959" t="str" cm="1">
        <f t="array" ref="EO10">EO26</f>
        <v>Принято органом регулирования</v>
      </c>
      <c r="EP10" s="959" t="str" cm="1">
        <f t="array" ref="EP10">EP26</f>
        <v>Отклонение, %</v>
      </c>
      <c r="EQ10" s="959" t="str" cm="1">
        <f t="array" ref="EQ10">EQ26</f>
        <v>Предложение организации</v>
      </c>
      <c r="ER10" s="959" t="str" cm="1">
        <f t="array" ref="ER10">ER26</f>
        <v>Принято органом регулирования</v>
      </c>
      <c r="ES10" s="959" t="str" cm="1">
        <f t="array" ref="ES10">ES26</f>
        <v>Отклонение, %</v>
      </c>
      <c r="ET10" s="959" t="str" cm="1">
        <f t="array" ref="ET10">ET26</f>
        <v>Предложение организации</v>
      </c>
      <c r="EU10" s="959" t="str" cm="1">
        <f t="array" ref="EU10">EU26</f>
        <v>Принято органом регулирования</v>
      </c>
      <c r="EV10" s="959" t="str" cm="1">
        <f t="array" ref="EV10">EV26</f>
        <v>Отклонение, %</v>
      </c>
      <c r="EW10" s="959" t="str" cm="1">
        <f t="array" ref="EW10">EW26</f>
        <v>Предложение организации</v>
      </c>
      <c r="EX10" s="959" t="str" cm="1">
        <f t="array" ref="EX10">EX26</f>
        <v>Принято органом регулирования</v>
      </c>
      <c r="EY10" s="959" t="str" cm="1">
        <f t="array" ref="EY10">EY26</f>
        <v>Отклонение, %</v>
      </c>
      <c r="EZ10" s="959" t="str" cm="1">
        <f t="array" ref="EZ10">EZ26</f>
        <v>Предложение организации</v>
      </c>
      <c r="FA10" s="959" t="str" cm="1">
        <f t="array" ref="FA10">FA26</f>
        <v>Принято органом регулирования</v>
      </c>
      <c r="FB10" s="959" t="str" cm="1">
        <f t="array" ref="FB10">FB26</f>
        <v>Отклонение, %</v>
      </c>
      <c r="FC10" s="959" t="str" cm="1">
        <f t="array" ref="FC10">FC26</f>
        <v>Предложение организации</v>
      </c>
      <c r="FD10" s="959" t="str" cm="1">
        <f t="array" ref="FD10">FD26</f>
        <v>Принято органом регулирования</v>
      </c>
      <c r="FE10" s="959" t="str" cm="1">
        <f t="array" ref="FE10">FE26</f>
        <v>Отклонение, %</v>
      </c>
      <c r="FF10" s="959" t="str" cm="1">
        <f t="array" ref="FF10">FF26</f>
        <v>Предложение организации</v>
      </c>
      <c r="FG10" s="959" t="str" cm="1">
        <f t="array" ref="FG10">FG26</f>
        <v>Принято органом регулирования</v>
      </c>
      <c r="FH10" s="959" t="str" cm="1">
        <f t="array" ref="FH10">FH26</f>
        <v>Отклонение, %</v>
      </c>
      <c r="FI10" s="959" t="str" cm="1">
        <f t="array" ref="FI10">FI26</f>
        <v>Предложение организации</v>
      </c>
      <c r="FJ10" s="959" t="str" cm="1">
        <f t="array" ref="FJ10">FJ26</f>
        <v>Принято органом регулирования</v>
      </c>
      <c r="FK10" s="959" t="str" cm="1">
        <f t="array" ref="FK10">FK26</f>
        <v>Отклонение, %</v>
      </c>
      <c r="FL10" s="959" t="str" cm="1">
        <f t="array" ref="FL10">FL26</f>
        <v>Предложение организации</v>
      </c>
      <c r="FM10" s="959" t="str" cm="1">
        <f t="array" ref="FM10">FM26</f>
        <v>Принято органом регулирования</v>
      </c>
      <c r="FN10" s="959" t="str" cm="1">
        <f t="array" ref="FN10">FN26</f>
        <v>Отклонение, %</v>
      </c>
      <c r="FO10" s="959" t="str" cm="1">
        <f t="array" ref="FO10">FO26</f>
        <v>Предложение организации</v>
      </c>
      <c r="FP10" s="959" t="str" cm="1">
        <f t="array" ref="FP10">FP26</f>
        <v>Принято органом регулирования</v>
      </c>
      <c r="FQ10" s="959" t="str" cm="1">
        <f t="array" ref="FQ10">FQ26</f>
        <v>Отклонение, %</v>
      </c>
      <c r="FR10" s="959" t="str" cm="1">
        <f t="array" ref="FR10">FR26</f>
        <v>Предложение организации</v>
      </c>
      <c r="FS10" s="959" t="str" cm="1">
        <f t="array" ref="FS10">FS26</f>
        <v>Принято органом регулирования</v>
      </c>
      <c r="FT10" s="959" t="str" cm="1">
        <f t="array" ref="FT10">FT26</f>
        <v>Отклонение, %</v>
      </c>
      <c r="FU10" s="959" t="str" cm="1">
        <f t="array" ref="FU10">FU26</f>
        <v>Предложение организации</v>
      </c>
      <c r="FV10" s="959" t="str" cm="1">
        <f t="array" ref="FV10">FV26</f>
        <v>Принято органом регулирования</v>
      </c>
      <c r="FW10" s="959" t="str" cm="1">
        <f t="array" ref="FW10">FW26</f>
        <v>Отклонение, %</v>
      </c>
      <c r="FZ10" s="981"/>
      <c r="GA10" s="1015"/>
      <c r="GB10" s="1015"/>
      <c r="GC10" s="1015"/>
      <c r="GD10" s="1015"/>
    </row>
    <row r="11" spans="1:186" s="1075" customFormat="1" ht="12" hidden="1" customHeight="1">
      <c r="A11" s="1069" t="s">
        <v>103</v>
      </c>
      <c r="B11" s="1051"/>
      <c r="C11" s="1120"/>
      <c r="E11" s="1051"/>
      <c r="G11" s="1092"/>
      <c r="H11" s="1092"/>
      <c r="I11" s="1092"/>
      <c r="J11" s="1092"/>
      <c r="K11" s="1092"/>
      <c r="L11" s="1092"/>
      <c r="M11" s="1092"/>
      <c r="N11" s="1092"/>
      <c r="O11" s="1092"/>
      <c r="P11" s="1092"/>
      <c r="Q11" s="1110"/>
      <c r="R11" s="1104"/>
      <c r="S11" s="1092"/>
      <c r="AB11" s="1105"/>
      <c r="AC11" s="1105"/>
      <c r="AD11" s="1066" t="s">
        <v>1631</v>
      </c>
      <c r="AE11" s="1066" t="s">
        <v>1631</v>
      </c>
      <c r="AF11" s="1066" t="s">
        <v>1631</v>
      </c>
      <c r="AG11" s="1066" t="s">
        <v>1631</v>
      </c>
      <c r="AH11" s="1066" t="s">
        <v>1631</v>
      </c>
      <c r="AI11" s="1066" t="s">
        <v>1631</v>
      </c>
      <c r="AJ11" s="1066" t="s">
        <v>1631</v>
      </c>
      <c r="AK11" s="1066" t="s">
        <v>1631</v>
      </c>
      <c r="AL11" s="1066" t="s">
        <v>1631</v>
      </c>
      <c r="AM11" s="1066" t="s">
        <v>1631</v>
      </c>
      <c r="AN11" s="1066" t="s">
        <v>1631</v>
      </c>
      <c r="AO11" s="1066" t="s">
        <v>1631</v>
      </c>
      <c r="AP11" s="1066" t="s">
        <v>1631</v>
      </c>
      <c r="AQ11" s="1066" t="s">
        <v>1631</v>
      </c>
      <c r="AR11" s="1066" t="s">
        <v>1631</v>
      </c>
      <c r="AS11" s="1066" t="s">
        <v>1631</v>
      </c>
      <c r="AT11" s="1066" t="s">
        <v>1631</v>
      </c>
      <c r="AU11" s="1066" t="s">
        <v>1631</v>
      </c>
      <c r="AV11" s="1066" t="s">
        <v>1631</v>
      </c>
      <c r="AW11" s="1066" t="s">
        <v>1631</v>
      </c>
      <c r="AX11" s="1066" t="s">
        <v>1631</v>
      </c>
      <c r="AY11" s="1066" t="s">
        <v>1631</v>
      </c>
      <c r="AZ11" s="1066" t="s">
        <v>1631</v>
      </c>
      <c r="BA11" s="1066" t="s">
        <v>1631</v>
      </c>
      <c r="BB11" s="1066" t="s">
        <v>1631</v>
      </c>
      <c r="BC11" s="1066" t="s">
        <v>1631</v>
      </c>
      <c r="BD11" s="1066" t="s">
        <v>1631</v>
      </c>
      <c r="BE11" s="1066" t="s">
        <v>1631</v>
      </c>
      <c r="BF11" s="1066" t="s">
        <v>1631</v>
      </c>
      <c r="BG11" s="1066" t="s">
        <v>1631</v>
      </c>
      <c r="BH11" s="1066" t="s">
        <v>1631</v>
      </c>
      <c r="BI11" s="1066" t="s">
        <v>1631</v>
      </c>
      <c r="BJ11" s="1066" t="s">
        <v>1631</v>
      </c>
      <c r="BK11" s="1066" t="s">
        <v>1631</v>
      </c>
      <c r="BL11" s="1066" t="s">
        <v>1631</v>
      </c>
      <c r="BM11" s="1066" t="s">
        <v>1631</v>
      </c>
      <c r="BN11" s="1066" t="s">
        <v>1631</v>
      </c>
      <c r="BO11" s="1066" t="s">
        <v>1631</v>
      </c>
      <c r="BP11" s="1066" t="s">
        <v>1631</v>
      </c>
      <c r="BQ11" s="1066" t="s">
        <v>1631</v>
      </c>
      <c r="BR11" s="1066" t="s">
        <v>1631</v>
      </c>
      <c r="BS11" s="1066" t="s">
        <v>1631</v>
      </c>
      <c r="BT11" s="1066" t="s">
        <v>1631</v>
      </c>
      <c r="BU11" s="1066" t="s">
        <v>1631</v>
      </c>
      <c r="BV11" s="1066" t="s">
        <v>1631</v>
      </c>
      <c r="BW11" s="1066" t="s">
        <v>1631</v>
      </c>
      <c r="BX11" s="1066" t="s">
        <v>1631</v>
      </c>
      <c r="BY11" s="1066" t="s">
        <v>1631</v>
      </c>
      <c r="BZ11" s="1066" t="s">
        <v>1631</v>
      </c>
      <c r="CA11" s="1066" t="s">
        <v>1631</v>
      </c>
      <c r="CB11" s="1066" t="s">
        <v>1631</v>
      </c>
      <c r="CC11" s="1066" t="s">
        <v>1631</v>
      </c>
      <c r="CD11" s="1066" t="s">
        <v>1631</v>
      </c>
      <c r="CE11" s="1066" t="s">
        <v>1631</v>
      </c>
      <c r="CF11" s="1066" t="s">
        <v>1631</v>
      </c>
      <c r="CG11" s="1066" t="s">
        <v>1631</v>
      </c>
      <c r="CH11" s="1066" t="s">
        <v>1631</v>
      </c>
      <c r="CI11" s="1066" t="s">
        <v>1631</v>
      </c>
      <c r="CJ11" s="1066" t="s">
        <v>1631</v>
      </c>
      <c r="CK11" s="1066" t="s">
        <v>1631</v>
      </c>
      <c r="CL11" s="1066" t="s">
        <v>1631</v>
      </c>
      <c r="CM11" s="1066" t="s">
        <v>1631</v>
      </c>
      <c r="CN11" s="1066" t="s">
        <v>1631</v>
      </c>
      <c r="CO11" s="1066" t="s">
        <v>1631</v>
      </c>
      <c r="CP11" s="1066" t="s">
        <v>1631</v>
      </c>
      <c r="CQ11" s="1066" t="s">
        <v>1631</v>
      </c>
      <c r="CR11" s="1066" t="s">
        <v>1631</v>
      </c>
      <c r="CS11" s="1066" t="s">
        <v>1631</v>
      </c>
      <c r="CT11" s="1066" t="s">
        <v>1631</v>
      </c>
      <c r="CU11" s="1066" t="s">
        <v>1631</v>
      </c>
      <c r="CV11" s="1066" t="s">
        <v>1631</v>
      </c>
      <c r="CW11" s="1066" t="s">
        <v>1631</v>
      </c>
      <c r="CX11" s="1066" t="s">
        <v>1631</v>
      </c>
      <c r="CY11" s="1066" t="s">
        <v>1631</v>
      </c>
      <c r="CZ11" s="1066" t="s">
        <v>1631</v>
      </c>
      <c r="DA11" s="1066" t="s">
        <v>1631</v>
      </c>
      <c r="DB11" s="1066" t="s">
        <v>1631</v>
      </c>
      <c r="DC11" s="1066" t="s">
        <v>1631</v>
      </c>
      <c r="DD11" s="1066" t="s">
        <v>1631</v>
      </c>
      <c r="DE11" s="1066" t="s">
        <v>1631</v>
      </c>
      <c r="DF11" s="1066" t="s">
        <v>1631</v>
      </c>
      <c r="DG11" s="1066" t="s">
        <v>1631</v>
      </c>
      <c r="DH11" s="1066" t="s">
        <v>1631</v>
      </c>
      <c r="DI11" s="1066" t="s">
        <v>1631</v>
      </c>
      <c r="DJ11" s="1066" t="s">
        <v>1631</v>
      </c>
      <c r="DK11" s="1066" t="s">
        <v>1631</v>
      </c>
      <c r="DL11" s="1066" t="s">
        <v>1631</v>
      </c>
      <c r="DM11" s="1066" t="s">
        <v>1631</v>
      </c>
      <c r="DN11" s="1066" t="s">
        <v>1631</v>
      </c>
      <c r="DO11" s="1066" t="s">
        <v>1631</v>
      </c>
      <c r="DP11" s="1066" t="s">
        <v>1631</v>
      </c>
      <c r="DQ11" s="1066" t="s">
        <v>1631</v>
      </c>
      <c r="DR11" s="1066" t="s">
        <v>1631</v>
      </c>
      <c r="DS11" s="1066" t="s">
        <v>1631</v>
      </c>
      <c r="DT11" s="1066" t="s">
        <v>1631</v>
      </c>
      <c r="DU11" s="1066" t="s">
        <v>1631</v>
      </c>
      <c r="DV11" s="1066" t="s">
        <v>1631</v>
      </c>
      <c r="DW11" s="1066" t="s">
        <v>1631</v>
      </c>
      <c r="DX11" s="1066" t="s">
        <v>1631</v>
      </c>
      <c r="DY11" s="1066" t="s">
        <v>1631</v>
      </c>
      <c r="DZ11" s="1066" t="s">
        <v>1631</v>
      </c>
      <c r="EA11" s="1066" t="s">
        <v>1631</v>
      </c>
      <c r="EB11" s="1066" t="s">
        <v>1631</v>
      </c>
      <c r="EC11" s="1066" t="s">
        <v>1631</v>
      </c>
      <c r="ED11" s="1066" t="s">
        <v>1631</v>
      </c>
      <c r="EE11" s="1066" t="s">
        <v>1631</v>
      </c>
      <c r="EF11" s="1066" t="s">
        <v>1631</v>
      </c>
      <c r="EG11" s="1066" t="s">
        <v>1631</v>
      </c>
      <c r="EH11" s="1066" t="s">
        <v>1631</v>
      </c>
      <c r="EI11" s="1066" t="s">
        <v>1631</v>
      </c>
      <c r="EJ11" s="1066" t="s">
        <v>1631</v>
      </c>
      <c r="EK11" s="1066" t="s">
        <v>1631</v>
      </c>
      <c r="EL11" s="1066" t="s">
        <v>1631</v>
      </c>
      <c r="EM11" s="1066" t="s">
        <v>1631</v>
      </c>
      <c r="EN11" s="1066" t="s">
        <v>1631</v>
      </c>
      <c r="EO11" s="1066" t="s">
        <v>1631</v>
      </c>
      <c r="EP11" s="1066" t="s">
        <v>1631</v>
      </c>
      <c r="EQ11" s="1066" t="s">
        <v>1631</v>
      </c>
      <c r="ER11" s="1066" t="s">
        <v>1631</v>
      </c>
      <c r="ES11" s="1066" t="s">
        <v>1631</v>
      </c>
      <c r="ET11" s="1066" t="s">
        <v>1631</v>
      </c>
      <c r="EU11" s="1066" t="s">
        <v>1631</v>
      </c>
      <c r="EV11" s="1066" t="s">
        <v>1631</v>
      </c>
      <c r="EW11" s="1066" t="s">
        <v>1631</v>
      </c>
      <c r="EX11" s="1066" t="s">
        <v>1631</v>
      </c>
      <c r="EY11" s="1066" t="s">
        <v>1631</v>
      </c>
      <c r="EZ11" s="1066" t="s">
        <v>1631</v>
      </c>
      <c r="FA11" s="1066" t="s">
        <v>1631</v>
      </c>
      <c r="FB11" s="1066" t="s">
        <v>1631</v>
      </c>
      <c r="FC11" s="1066" t="s">
        <v>1631</v>
      </c>
      <c r="FD11" s="1066" t="s">
        <v>1631</v>
      </c>
      <c r="FE11" s="1066" t="s">
        <v>1631</v>
      </c>
      <c r="FF11" s="1066" t="s">
        <v>1631</v>
      </c>
      <c r="FG11" s="1066" t="s">
        <v>1631</v>
      </c>
      <c r="FH11" s="1066" t="s">
        <v>1631</v>
      </c>
      <c r="FI11" s="1066" t="s">
        <v>1631</v>
      </c>
      <c r="FJ11" s="1066" t="s">
        <v>1631</v>
      </c>
      <c r="FK11" s="1066" t="s">
        <v>1631</v>
      </c>
      <c r="FL11" s="1066" t="s">
        <v>1631</v>
      </c>
      <c r="FM11" s="1066" t="s">
        <v>1631</v>
      </c>
      <c r="FN11" s="1066" t="s">
        <v>1631</v>
      </c>
      <c r="FO11" s="1066" t="s">
        <v>1631</v>
      </c>
      <c r="FP11" s="1066" t="s">
        <v>1631</v>
      </c>
      <c r="FQ11" s="1066" t="s">
        <v>1631</v>
      </c>
      <c r="FR11" s="1066" t="s">
        <v>1631</v>
      </c>
      <c r="FS11" s="1066" t="s">
        <v>1631</v>
      </c>
      <c r="FT11" s="1066" t="s">
        <v>1631</v>
      </c>
      <c r="FU11" s="1066" t="s">
        <v>1631</v>
      </c>
      <c r="FV11" s="1066" t="s">
        <v>1631</v>
      </c>
      <c r="FW11" s="1066" t="s">
        <v>1631</v>
      </c>
      <c r="FZ11" s="1106"/>
      <c r="GA11" s="1106"/>
      <c r="GB11" s="1106"/>
      <c r="GC11" s="1106"/>
      <c r="GD11" s="1106"/>
    </row>
    <row r="12" spans="1:186" s="1075" customFormat="1" ht="12" hidden="1" customHeight="1">
      <c r="A12" s="1069" t="s">
        <v>1632</v>
      </c>
      <c r="B12" s="1051"/>
      <c r="C12" s="1120"/>
      <c r="E12" s="1051"/>
      <c r="G12" s="1092"/>
      <c r="H12" s="1092"/>
      <c r="I12" s="1092"/>
      <c r="J12" s="1092"/>
      <c r="K12" s="1092"/>
      <c r="L12" s="1092"/>
      <c r="M12" s="1092"/>
      <c r="N12" s="1092"/>
      <c r="O12" s="1092"/>
      <c r="P12" s="1092"/>
      <c r="Q12" s="1110"/>
      <c r="R12" s="1104"/>
      <c r="S12" s="1092"/>
      <c r="AB12" s="1105"/>
      <c r="AC12" s="1105"/>
      <c r="AD12" s="1066" cm="1">
        <f t="array" ref="AD12">AD6</f>
        <v>2026</v>
      </c>
      <c r="AE12" s="1066" cm="1">
        <f t="array" ref="AE12">AE6</f>
        <v>2026</v>
      </c>
      <c r="AF12" s="1066" cm="1">
        <f t="array" ref="AF12">AF6</f>
        <v>2026</v>
      </c>
      <c r="AG12" s="1066" cm="1">
        <f t="array" ref="AG12">AG6</f>
        <v>2027</v>
      </c>
      <c r="AH12" s="1066" cm="1">
        <f t="array" ref="AH12">AH6</f>
        <v>2027</v>
      </c>
      <c r="AI12" s="1066" cm="1">
        <f t="array" ref="AI12">AI6</f>
        <v>2027</v>
      </c>
      <c r="AJ12" s="1066" cm="1">
        <f t="array" ref="AJ12">AJ6</f>
        <v>2028</v>
      </c>
      <c r="AK12" s="1066" cm="1">
        <f t="array" ref="AK12">AK6</f>
        <v>2028</v>
      </c>
      <c r="AL12" s="1066" cm="1">
        <f t="array" ref="AL12">AL6</f>
        <v>2028</v>
      </c>
      <c r="AM12" s="1066" cm="1">
        <f t="array" ref="AM12">AM6</f>
        <v>2029</v>
      </c>
      <c r="AN12" s="1066" cm="1">
        <f t="array" ref="AN12">AN6</f>
        <v>2029</v>
      </c>
      <c r="AO12" s="1066" cm="1">
        <f t="array" ref="AO12">AO6</f>
        <v>2029</v>
      </c>
      <c r="AP12" s="1066" cm="1">
        <f t="array" ref="AP12">AP6</f>
        <v>2030</v>
      </c>
      <c r="AQ12" s="1066" cm="1">
        <f t="array" ref="AQ12">AQ6</f>
        <v>2030</v>
      </c>
      <c r="AR12" s="1066" cm="1">
        <f t="array" ref="AR12">AR6</f>
        <v>2030</v>
      </c>
      <c r="AS12" s="1066" cm="1">
        <f t="array" ref="AS12">AS6</f>
        <v>2031</v>
      </c>
      <c r="AT12" s="1066" cm="1">
        <f t="array" ref="AT12">AT6</f>
        <v>2031</v>
      </c>
      <c r="AU12" s="1066" cm="1">
        <f t="array" ref="AU12">AU6</f>
        <v>2031</v>
      </c>
      <c r="AV12" s="1066" cm="1">
        <f t="array" ref="AV12">AV6</f>
        <v>2032</v>
      </c>
      <c r="AW12" s="1066" cm="1">
        <f t="array" ref="AW12">AW6</f>
        <v>2032</v>
      </c>
      <c r="AX12" s="1066" cm="1">
        <f t="array" ref="AX12">AX6</f>
        <v>2032</v>
      </c>
      <c r="AY12" s="1066" cm="1">
        <f t="array" ref="AY12">AY6</f>
        <v>2033</v>
      </c>
      <c r="AZ12" s="1066" cm="1">
        <f t="array" ref="AZ12">AZ6</f>
        <v>2033</v>
      </c>
      <c r="BA12" s="1066" cm="1">
        <f t="array" ref="BA12">BA6</f>
        <v>2033</v>
      </c>
      <c r="BB12" s="1066" cm="1">
        <f t="array" ref="BB12">BB6</f>
        <v>2034</v>
      </c>
      <c r="BC12" s="1066" cm="1">
        <f t="array" ref="BC12">BC6</f>
        <v>2034</v>
      </c>
      <c r="BD12" s="1066" cm="1">
        <f t="array" ref="BD12">BD6</f>
        <v>2034</v>
      </c>
      <c r="BE12" s="1066" cm="1">
        <f t="array" ref="BE12">BE6</f>
        <v>2035</v>
      </c>
      <c r="BF12" s="1066" cm="1">
        <f t="array" ref="BF12">BF6</f>
        <v>2035</v>
      </c>
      <c r="BG12" s="1066" cm="1">
        <f t="array" ref="BG12">BG6</f>
        <v>2035</v>
      </c>
      <c r="BH12" s="1066" cm="1">
        <f t="array" ref="BH12">BH6</f>
        <v>2036</v>
      </c>
      <c r="BI12" s="1066" cm="1">
        <f t="array" ref="BI12">BI6</f>
        <v>2036</v>
      </c>
      <c r="BJ12" s="1066" cm="1">
        <f t="array" ref="BJ12">BJ6</f>
        <v>2036</v>
      </c>
      <c r="BK12" s="1066" cm="1">
        <f t="array" ref="BK12">BK6</f>
        <v>2037</v>
      </c>
      <c r="BL12" s="1066" cm="1">
        <f t="array" ref="BL12">BL6</f>
        <v>2037</v>
      </c>
      <c r="BM12" s="1066" cm="1">
        <f t="array" ref="BM12">BM6</f>
        <v>2037</v>
      </c>
      <c r="BN12" s="1066" cm="1">
        <f t="array" ref="BN12">BN6</f>
        <v>2038</v>
      </c>
      <c r="BO12" s="1066" cm="1">
        <f t="array" ref="BO12">BO6</f>
        <v>2038</v>
      </c>
      <c r="BP12" s="1066" cm="1">
        <f t="array" ref="BP12">BP6</f>
        <v>2038</v>
      </c>
      <c r="BQ12" s="1066" cm="1">
        <f t="array" ref="BQ12">BQ6</f>
        <v>2039</v>
      </c>
      <c r="BR12" s="1066" cm="1">
        <f t="array" ref="BR12">BR6</f>
        <v>2039</v>
      </c>
      <c r="BS12" s="1066" cm="1">
        <f t="array" ref="BS12">BS6</f>
        <v>2039</v>
      </c>
      <c r="BT12" s="1066" cm="1">
        <f t="array" ref="BT12">BT6</f>
        <v>2040</v>
      </c>
      <c r="BU12" s="1066" cm="1">
        <f t="array" ref="BU12">BU6</f>
        <v>2040</v>
      </c>
      <c r="BV12" s="1066" cm="1">
        <f t="array" ref="BV12">BV6</f>
        <v>2040</v>
      </c>
      <c r="BW12" s="1066" cm="1">
        <f t="array" ref="BW12">BW6</f>
        <v>2041</v>
      </c>
      <c r="BX12" s="1066" cm="1">
        <f t="array" ref="BX12">BX6</f>
        <v>2041</v>
      </c>
      <c r="BY12" s="1066" cm="1">
        <f t="array" ref="BY12">BY6</f>
        <v>2041</v>
      </c>
      <c r="BZ12" s="1066" cm="1">
        <f t="array" ref="BZ12">BZ6</f>
        <v>2042</v>
      </c>
      <c r="CA12" s="1066" cm="1">
        <f t="array" ref="CA12">CA6</f>
        <v>2042</v>
      </c>
      <c r="CB12" s="1066" cm="1">
        <f t="array" ref="CB12">CB6</f>
        <v>2042</v>
      </c>
      <c r="CC12" s="1066" cm="1">
        <f t="array" ref="CC12">CC6</f>
        <v>2043</v>
      </c>
      <c r="CD12" s="1066" cm="1">
        <f t="array" ref="CD12">CD6</f>
        <v>2043</v>
      </c>
      <c r="CE12" s="1066" cm="1">
        <f t="array" ref="CE12">CE6</f>
        <v>2043</v>
      </c>
      <c r="CF12" s="1066" cm="1">
        <f t="array" ref="CF12">CF6</f>
        <v>2044</v>
      </c>
      <c r="CG12" s="1066" cm="1">
        <f t="array" ref="CG12">CG6</f>
        <v>2044</v>
      </c>
      <c r="CH12" s="1066" cm="1">
        <f t="array" ref="CH12">CH6</f>
        <v>2044</v>
      </c>
      <c r="CI12" s="1066" cm="1">
        <f t="array" ref="CI12">CI6</f>
        <v>2045</v>
      </c>
      <c r="CJ12" s="1066" cm="1">
        <f t="array" ref="CJ12">CJ6</f>
        <v>2045</v>
      </c>
      <c r="CK12" s="1066" cm="1">
        <f t="array" ref="CK12">CK6</f>
        <v>2045</v>
      </c>
      <c r="CL12" s="1066" cm="1">
        <f t="array" ref="CL12">CL6</f>
        <v>2046</v>
      </c>
      <c r="CM12" s="1066" cm="1">
        <f t="array" ref="CM12">CM6</f>
        <v>2046</v>
      </c>
      <c r="CN12" s="1066" cm="1">
        <f t="array" ref="CN12">CN6</f>
        <v>2046</v>
      </c>
      <c r="CO12" s="1066" cm="1">
        <f t="array" ref="CO12">CO6</f>
        <v>2047</v>
      </c>
      <c r="CP12" s="1066" cm="1">
        <f t="array" ref="CP12">CP6</f>
        <v>2047</v>
      </c>
      <c r="CQ12" s="1066" cm="1">
        <f t="array" ref="CQ12">CQ6</f>
        <v>2047</v>
      </c>
      <c r="CR12" s="1066" cm="1">
        <f t="array" ref="CR12">CR6</f>
        <v>2048</v>
      </c>
      <c r="CS12" s="1066" cm="1">
        <f t="array" ref="CS12">CS6</f>
        <v>2048</v>
      </c>
      <c r="CT12" s="1066" cm="1">
        <f t="array" ref="CT12">CT6</f>
        <v>2048</v>
      </c>
      <c r="CU12" s="1066" cm="1">
        <f t="array" ref="CU12">CU6</f>
        <v>2049</v>
      </c>
      <c r="CV12" s="1066" cm="1">
        <f t="array" ref="CV12">CV6</f>
        <v>2049</v>
      </c>
      <c r="CW12" s="1066" cm="1">
        <f t="array" ref="CW12">CW6</f>
        <v>2049</v>
      </c>
      <c r="CX12" s="1066" cm="1">
        <f t="array" ref="CX12">CX6</f>
        <v>2050</v>
      </c>
      <c r="CY12" s="1066" cm="1">
        <f t="array" ref="CY12">CY6</f>
        <v>2050</v>
      </c>
      <c r="CZ12" s="1066" cm="1">
        <f t="array" ref="CZ12">CZ6</f>
        <v>2050</v>
      </c>
      <c r="DA12" s="1066" cm="1">
        <f t="array" ref="DA12">DA6</f>
        <v>2051</v>
      </c>
      <c r="DB12" s="1066" cm="1">
        <f t="array" ref="DB12">DB6</f>
        <v>2051</v>
      </c>
      <c r="DC12" s="1066" cm="1">
        <f t="array" ref="DC12">DC6</f>
        <v>2051</v>
      </c>
      <c r="DD12" s="1066" cm="1">
        <f t="array" ref="DD12">DD6</f>
        <v>2052</v>
      </c>
      <c r="DE12" s="1066" cm="1">
        <f t="array" ref="DE12">DE6</f>
        <v>2052</v>
      </c>
      <c r="DF12" s="1066" cm="1">
        <f t="array" ref="DF12">DF6</f>
        <v>2052</v>
      </c>
      <c r="DG12" s="1066" cm="1">
        <f t="array" ref="DG12">DG6</f>
        <v>2053</v>
      </c>
      <c r="DH12" s="1066" cm="1">
        <f t="array" ref="DH12">DH6</f>
        <v>2053</v>
      </c>
      <c r="DI12" s="1066" cm="1">
        <f t="array" ref="DI12">DI6</f>
        <v>2053</v>
      </c>
      <c r="DJ12" s="1066" cm="1">
        <f t="array" ref="DJ12">DJ6</f>
        <v>2054</v>
      </c>
      <c r="DK12" s="1066" cm="1">
        <f t="array" ref="DK12">DK6</f>
        <v>2054</v>
      </c>
      <c r="DL12" s="1066" cm="1">
        <f t="array" ref="DL12">DL6</f>
        <v>2054</v>
      </c>
      <c r="DM12" s="1066" cm="1">
        <f t="array" ref="DM12">DM6</f>
        <v>2055</v>
      </c>
      <c r="DN12" s="1066" cm="1">
        <f t="array" ref="DN12">DN6</f>
        <v>2055</v>
      </c>
      <c r="DO12" s="1066" cm="1">
        <f t="array" ref="DO12">DO6</f>
        <v>2055</v>
      </c>
      <c r="DP12" s="1066" cm="1">
        <f t="array" ref="DP12">DP6</f>
        <v>2056</v>
      </c>
      <c r="DQ12" s="1066" cm="1">
        <f t="array" ref="DQ12">DQ6</f>
        <v>2056</v>
      </c>
      <c r="DR12" s="1066" cm="1">
        <f t="array" ref="DR12">DR6</f>
        <v>2056</v>
      </c>
      <c r="DS12" s="1066" cm="1">
        <f t="array" ref="DS12">DS6</f>
        <v>2057</v>
      </c>
      <c r="DT12" s="1066" cm="1">
        <f t="array" ref="DT12">DT6</f>
        <v>2057</v>
      </c>
      <c r="DU12" s="1066" cm="1">
        <f t="array" ref="DU12">DU6</f>
        <v>2057</v>
      </c>
      <c r="DV12" s="1066" cm="1">
        <f t="array" ref="DV12">DV6</f>
        <v>2058</v>
      </c>
      <c r="DW12" s="1066" cm="1">
        <f t="array" ref="DW12">DW6</f>
        <v>2058</v>
      </c>
      <c r="DX12" s="1066" cm="1">
        <f t="array" ref="DX12">DX6</f>
        <v>2058</v>
      </c>
      <c r="DY12" s="1066" cm="1">
        <f t="array" ref="DY12">DY6</f>
        <v>2059</v>
      </c>
      <c r="DZ12" s="1066" cm="1">
        <f t="array" ref="DZ12">DZ6</f>
        <v>2059</v>
      </c>
      <c r="EA12" s="1066" cm="1">
        <f t="array" ref="EA12">EA6</f>
        <v>2059</v>
      </c>
      <c r="EB12" s="1066" cm="1">
        <f t="array" ref="EB12">EB6</f>
        <v>2060</v>
      </c>
      <c r="EC12" s="1066" cm="1">
        <f t="array" ref="EC12">EC6</f>
        <v>2060</v>
      </c>
      <c r="ED12" s="1066" cm="1">
        <f t="array" ref="ED12">ED6</f>
        <v>2060</v>
      </c>
      <c r="EE12" s="1066" cm="1">
        <f t="array" ref="EE12">EE6</f>
        <v>2061</v>
      </c>
      <c r="EF12" s="1066" cm="1">
        <f t="array" ref="EF12">EF6</f>
        <v>2061</v>
      </c>
      <c r="EG12" s="1066" cm="1">
        <f t="array" ref="EG12">EG6</f>
        <v>2061</v>
      </c>
      <c r="EH12" s="1066" cm="1">
        <f t="array" ref="EH12">EH6</f>
        <v>2062</v>
      </c>
      <c r="EI12" s="1066" cm="1">
        <f t="array" ref="EI12">EI6</f>
        <v>2062</v>
      </c>
      <c r="EJ12" s="1066" cm="1">
        <f t="array" ref="EJ12">EJ6</f>
        <v>2062</v>
      </c>
      <c r="EK12" s="1066" cm="1">
        <f t="array" ref="EK12">EK6</f>
        <v>2063</v>
      </c>
      <c r="EL12" s="1066" cm="1">
        <f t="array" ref="EL12">EL6</f>
        <v>2063</v>
      </c>
      <c r="EM12" s="1066" cm="1">
        <f t="array" ref="EM12">EM6</f>
        <v>2063</v>
      </c>
      <c r="EN12" s="1066" cm="1">
        <f t="array" ref="EN12">EN6</f>
        <v>2064</v>
      </c>
      <c r="EO12" s="1066" cm="1">
        <f t="array" ref="EO12">EO6</f>
        <v>2064</v>
      </c>
      <c r="EP12" s="1066" cm="1">
        <f t="array" ref="EP12">EP6</f>
        <v>2064</v>
      </c>
      <c r="EQ12" s="1066" cm="1">
        <f t="array" ref="EQ12">EQ6</f>
        <v>2065</v>
      </c>
      <c r="ER12" s="1066" cm="1">
        <f t="array" ref="ER12">ER6</f>
        <v>2065</v>
      </c>
      <c r="ES12" s="1066" cm="1">
        <f t="array" ref="ES12">ES6</f>
        <v>2065</v>
      </c>
      <c r="ET12" s="1066" cm="1">
        <f t="array" ref="ET12">ET6</f>
        <v>2066</v>
      </c>
      <c r="EU12" s="1066" cm="1">
        <f t="array" ref="EU12">EU6</f>
        <v>2066</v>
      </c>
      <c r="EV12" s="1066" cm="1">
        <f t="array" ref="EV12">EV6</f>
        <v>2066</v>
      </c>
      <c r="EW12" s="1066" cm="1">
        <f t="array" ref="EW12">EW6</f>
        <v>2067</v>
      </c>
      <c r="EX12" s="1066" cm="1">
        <f t="array" ref="EX12">EX6</f>
        <v>2067</v>
      </c>
      <c r="EY12" s="1066" cm="1">
        <f t="array" ref="EY12">EY6</f>
        <v>2067</v>
      </c>
      <c r="EZ12" s="1066" cm="1">
        <f t="array" ref="EZ12">EZ6</f>
        <v>2068</v>
      </c>
      <c r="FA12" s="1066" cm="1">
        <f t="array" ref="FA12">FA6</f>
        <v>2068</v>
      </c>
      <c r="FB12" s="1066" cm="1">
        <f t="array" ref="FB12">FB6</f>
        <v>2068</v>
      </c>
      <c r="FC12" s="1066" cm="1">
        <f t="array" ref="FC12">FC6</f>
        <v>2069</v>
      </c>
      <c r="FD12" s="1066" cm="1">
        <f t="array" ref="FD12">FD6</f>
        <v>2069</v>
      </c>
      <c r="FE12" s="1066" cm="1">
        <f t="array" ref="FE12">FE6</f>
        <v>2069</v>
      </c>
      <c r="FF12" s="1066" cm="1">
        <f t="array" ref="FF12">FF6</f>
        <v>2070</v>
      </c>
      <c r="FG12" s="1066" cm="1">
        <f t="array" ref="FG12">FG6</f>
        <v>2070</v>
      </c>
      <c r="FH12" s="1066" cm="1">
        <f t="array" ref="FH12">FH6</f>
        <v>2070</v>
      </c>
      <c r="FI12" s="1066" cm="1">
        <f t="array" ref="FI12">FI6</f>
        <v>2071</v>
      </c>
      <c r="FJ12" s="1066" cm="1">
        <f t="array" ref="FJ12">FJ6</f>
        <v>2071</v>
      </c>
      <c r="FK12" s="1066" cm="1">
        <f t="array" ref="FK12">FK6</f>
        <v>2071</v>
      </c>
      <c r="FL12" s="1066" cm="1">
        <f t="array" ref="FL12">FL6</f>
        <v>2072</v>
      </c>
      <c r="FM12" s="1066" cm="1">
        <f t="array" ref="FM12">FM6</f>
        <v>2072</v>
      </c>
      <c r="FN12" s="1066" cm="1">
        <f t="array" ref="FN12">FN6</f>
        <v>2072</v>
      </c>
      <c r="FO12" s="1066" cm="1">
        <f t="array" ref="FO12">FO6</f>
        <v>2073</v>
      </c>
      <c r="FP12" s="1066" cm="1">
        <f t="array" ref="FP12">FP6</f>
        <v>2073</v>
      </c>
      <c r="FQ12" s="1066" cm="1">
        <f t="array" ref="FQ12">FQ6</f>
        <v>2073</v>
      </c>
      <c r="FR12" s="1066" cm="1">
        <f t="array" ref="FR12">FR6</f>
        <v>2074</v>
      </c>
      <c r="FS12" s="1066" cm="1">
        <f t="array" ref="FS12">FS6</f>
        <v>2074</v>
      </c>
      <c r="FT12" s="1066" cm="1">
        <f t="array" ref="FT12">FT6</f>
        <v>2074</v>
      </c>
      <c r="FU12" s="1066" cm="1">
        <f t="array" ref="FU12">FU6</f>
        <v>2075</v>
      </c>
      <c r="FV12" s="1066" cm="1">
        <f t="array" ref="FV12">FV6</f>
        <v>2075</v>
      </c>
      <c r="FW12" s="1066" cm="1">
        <f t="array" ref="FW12">FW6</f>
        <v>2075</v>
      </c>
      <c r="FZ12" s="1106"/>
      <c r="GA12" s="1106"/>
      <c r="GB12" s="1106"/>
      <c r="GC12" s="1106"/>
      <c r="GD12" s="1106"/>
    </row>
    <row r="13" spans="1:186" s="1075" customFormat="1" ht="12" hidden="1" customHeight="1">
      <c r="A13" s="1069" t="s">
        <v>1633</v>
      </c>
      <c r="B13" s="1051"/>
      <c r="C13" s="1120"/>
      <c r="E13" s="1051"/>
      <c r="G13" s="1092"/>
      <c r="H13" s="1092"/>
      <c r="I13" s="1092"/>
      <c r="J13" s="1092"/>
      <c r="K13" s="1092"/>
      <c r="L13" s="1092"/>
      <c r="M13" s="1092"/>
      <c r="N13" s="1092"/>
      <c r="O13" s="1092"/>
      <c r="P13" s="1092"/>
      <c r="Q13" s="1110"/>
      <c r="R13" s="1104"/>
      <c r="S13" s="1092"/>
      <c r="AB13" s="1105"/>
      <c r="AC13" s="1105"/>
      <c r="AD13" s="1066" t="s">
        <v>1635</v>
      </c>
      <c r="AE13" s="1066" t="s">
        <v>1634</v>
      </c>
      <c r="AF13" s="1066" t="s">
        <v>1636</v>
      </c>
      <c r="AG13" s="1066" t="s">
        <v>1635</v>
      </c>
      <c r="AH13" s="1066" t="s">
        <v>1634</v>
      </c>
      <c r="AI13" s="1066" t="s">
        <v>1636</v>
      </c>
      <c r="AJ13" s="1066" t="s">
        <v>1635</v>
      </c>
      <c r="AK13" s="1066" t="s">
        <v>1634</v>
      </c>
      <c r="AL13" s="1066" t="s">
        <v>1636</v>
      </c>
      <c r="AM13" s="1066" t="s">
        <v>1635</v>
      </c>
      <c r="AN13" s="1066" t="s">
        <v>1634</v>
      </c>
      <c r="AO13" s="1066" t="s">
        <v>1636</v>
      </c>
      <c r="AP13" s="1066" t="s">
        <v>1635</v>
      </c>
      <c r="AQ13" s="1066" t="s">
        <v>1634</v>
      </c>
      <c r="AR13" s="1066" t="s">
        <v>1636</v>
      </c>
      <c r="AS13" s="1066" t="s">
        <v>1635</v>
      </c>
      <c r="AT13" s="1066" t="s">
        <v>1634</v>
      </c>
      <c r="AU13" s="1066" t="s">
        <v>1636</v>
      </c>
      <c r="AV13" s="1066" t="s">
        <v>1635</v>
      </c>
      <c r="AW13" s="1066" t="s">
        <v>1634</v>
      </c>
      <c r="AX13" s="1066" t="s">
        <v>1636</v>
      </c>
      <c r="AY13" s="1066" t="s">
        <v>1635</v>
      </c>
      <c r="AZ13" s="1066" t="s">
        <v>1634</v>
      </c>
      <c r="BA13" s="1066" t="s">
        <v>1636</v>
      </c>
      <c r="BB13" s="1066" t="s">
        <v>1635</v>
      </c>
      <c r="BC13" s="1066" t="s">
        <v>1634</v>
      </c>
      <c r="BD13" s="1066" t="s">
        <v>1636</v>
      </c>
      <c r="BE13" s="1066" t="s">
        <v>1635</v>
      </c>
      <c r="BF13" s="1066" t="s">
        <v>1634</v>
      </c>
      <c r="BG13" s="1066" t="s">
        <v>1636</v>
      </c>
      <c r="BH13" s="1066" t="s">
        <v>1635</v>
      </c>
      <c r="BI13" s="1066" t="s">
        <v>1634</v>
      </c>
      <c r="BJ13" s="1066" t="s">
        <v>1636</v>
      </c>
      <c r="BK13" s="1066" t="s">
        <v>1635</v>
      </c>
      <c r="BL13" s="1066" t="s">
        <v>1634</v>
      </c>
      <c r="BM13" s="1066" t="s">
        <v>1636</v>
      </c>
      <c r="BN13" s="1066" t="s">
        <v>1635</v>
      </c>
      <c r="BO13" s="1066" t="s">
        <v>1634</v>
      </c>
      <c r="BP13" s="1066" t="s">
        <v>1636</v>
      </c>
      <c r="BQ13" s="1066" t="s">
        <v>1635</v>
      </c>
      <c r="BR13" s="1066" t="s">
        <v>1634</v>
      </c>
      <c r="BS13" s="1066" t="s">
        <v>1636</v>
      </c>
      <c r="BT13" s="1066" t="s">
        <v>1635</v>
      </c>
      <c r="BU13" s="1066" t="s">
        <v>1634</v>
      </c>
      <c r="BV13" s="1066" t="s">
        <v>1636</v>
      </c>
      <c r="BW13" s="1066" t="s">
        <v>1635</v>
      </c>
      <c r="BX13" s="1066" t="s">
        <v>1634</v>
      </c>
      <c r="BY13" s="1066" t="s">
        <v>1636</v>
      </c>
      <c r="BZ13" s="1066" t="s">
        <v>1635</v>
      </c>
      <c r="CA13" s="1066" t="s">
        <v>1634</v>
      </c>
      <c r="CB13" s="1066" t="s">
        <v>1636</v>
      </c>
      <c r="CC13" s="1066" t="s">
        <v>1635</v>
      </c>
      <c r="CD13" s="1066" t="s">
        <v>1634</v>
      </c>
      <c r="CE13" s="1066" t="s">
        <v>1636</v>
      </c>
      <c r="CF13" s="1066" t="s">
        <v>1635</v>
      </c>
      <c r="CG13" s="1066" t="s">
        <v>1634</v>
      </c>
      <c r="CH13" s="1066" t="s">
        <v>1636</v>
      </c>
      <c r="CI13" s="1066" t="s">
        <v>1635</v>
      </c>
      <c r="CJ13" s="1066" t="s">
        <v>1634</v>
      </c>
      <c r="CK13" s="1066" t="s">
        <v>1636</v>
      </c>
      <c r="CL13" s="1066" t="s">
        <v>1635</v>
      </c>
      <c r="CM13" s="1066" t="s">
        <v>1634</v>
      </c>
      <c r="CN13" s="1066" t="s">
        <v>1636</v>
      </c>
      <c r="CO13" s="1066" t="s">
        <v>1635</v>
      </c>
      <c r="CP13" s="1066" t="s">
        <v>1634</v>
      </c>
      <c r="CQ13" s="1066" t="s">
        <v>1636</v>
      </c>
      <c r="CR13" s="1066" t="s">
        <v>1635</v>
      </c>
      <c r="CS13" s="1066" t="s">
        <v>1634</v>
      </c>
      <c r="CT13" s="1066" t="s">
        <v>1636</v>
      </c>
      <c r="CU13" s="1066" t="s">
        <v>1635</v>
      </c>
      <c r="CV13" s="1066" t="s">
        <v>1634</v>
      </c>
      <c r="CW13" s="1066" t="s">
        <v>1636</v>
      </c>
      <c r="CX13" s="1066" t="s">
        <v>1635</v>
      </c>
      <c r="CY13" s="1066" t="s">
        <v>1634</v>
      </c>
      <c r="CZ13" s="1066" t="s">
        <v>1636</v>
      </c>
      <c r="DA13" s="1066" t="s">
        <v>1635</v>
      </c>
      <c r="DB13" s="1066" t="s">
        <v>1634</v>
      </c>
      <c r="DC13" s="1066" t="s">
        <v>1636</v>
      </c>
      <c r="DD13" s="1066" t="s">
        <v>1635</v>
      </c>
      <c r="DE13" s="1066" t="s">
        <v>1634</v>
      </c>
      <c r="DF13" s="1066" t="s">
        <v>1636</v>
      </c>
      <c r="DG13" s="1066" t="s">
        <v>1635</v>
      </c>
      <c r="DH13" s="1066" t="s">
        <v>1634</v>
      </c>
      <c r="DI13" s="1066" t="s">
        <v>1636</v>
      </c>
      <c r="DJ13" s="1066" t="s">
        <v>1635</v>
      </c>
      <c r="DK13" s="1066" t="s">
        <v>1634</v>
      </c>
      <c r="DL13" s="1066" t="s">
        <v>1636</v>
      </c>
      <c r="DM13" s="1066" t="s">
        <v>1635</v>
      </c>
      <c r="DN13" s="1066" t="s">
        <v>1634</v>
      </c>
      <c r="DO13" s="1066" t="s">
        <v>1636</v>
      </c>
      <c r="DP13" s="1066" t="s">
        <v>1635</v>
      </c>
      <c r="DQ13" s="1066" t="s">
        <v>1634</v>
      </c>
      <c r="DR13" s="1066" t="s">
        <v>1636</v>
      </c>
      <c r="DS13" s="1066" t="s">
        <v>1635</v>
      </c>
      <c r="DT13" s="1066" t="s">
        <v>1634</v>
      </c>
      <c r="DU13" s="1066" t="s">
        <v>1636</v>
      </c>
      <c r="DV13" s="1066" t="s">
        <v>1635</v>
      </c>
      <c r="DW13" s="1066" t="s">
        <v>1634</v>
      </c>
      <c r="DX13" s="1066" t="s">
        <v>1636</v>
      </c>
      <c r="DY13" s="1066" t="s">
        <v>1635</v>
      </c>
      <c r="DZ13" s="1066" t="s">
        <v>1634</v>
      </c>
      <c r="EA13" s="1066" t="s">
        <v>1636</v>
      </c>
      <c r="EB13" s="1066" t="s">
        <v>1635</v>
      </c>
      <c r="EC13" s="1066" t="s">
        <v>1634</v>
      </c>
      <c r="ED13" s="1066" t="s">
        <v>1636</v>
      </c>
      <c r="EE13" s="1066" t="s">
        <v>1635</v>
      </c>
      <c r="EF13" s="1066" t="s">
        <v>1634</v>
      </c>
      <c r="EG13" s="1066" t="s">
        <v>1636</v>
      </c>
      <c r="EH13" s="1066" t="s">
        <v>1635</v>
      </c>
      <c r="EI13" s="1066" t="s">
        <v>1634</v>
      </c>
      <c r="EJ13" s="1066" t="s">
        <v>1636</v>
      </c>
      <c r="EK13" s="1066" t="s">
        <v>1635</v>
      </c>
      <c r="EL13" s="1066" t="s">
        <v>1634</v>
      </c>
      <c r="EM13" s="1066" t="s">
        <v>1636</v>
      </c>
      <c r="EN13" s="1066" t="s">
        <v>1635</v>
      </c>
      <c r="EO13" s="1066" t="s">
        <v>1634</v>
      </c>
      <c r="EP13" s="1066" t="s">
        <v>1636</v>
      </c>
      <c r="EQ13" s="1066" t="s">
        <v>1635</v>
      </c>
      <c r="ER13" s="1066" t="s">
        <v>1634</v>
      </c>
      <c r="ES13" s="1066" t="s">
        <v>1636</v>
      </c>
      <c r="ET13" s="1066" t="s">
        <v>1635</v>
      </c>
      <c r="EU13" s="1066" t="s">
        <v>1634</v>
      </c>
      <c r="EV13" s="1066" t="s">
        <v>1636</v>
      </c>
      <c r="EW13" s="1066" t="s">
        <v>1635</v>
      </c>
      <c r="EX13" s="1066" t="s">
        <v>1634</v>
      </c>
      <c r="EY13" s="1066" t="s">
        <v>1636</v>
      </c>
      <c r="EZ13" s="1066" t="s">
        <v>1635</v>
      </c>
      <c r="FA13" s="1066" t="s">
        <v>1634</v>
      </c>
      <c r="FB13" s="1066" t="s">
        <v>1636</v>
      </c>
      <c r="FC13" s="1066" t="s">
        <v>1635</v>
      </c>
      <c r="FD13" s="1066" t="s">
        <v>1634</v>
      </c>
      <c r="FE13" s="1066" t="s">
        <v>1636</v>
      </c>
      <c r="FF13" s="1066" t="s">
        <v>1635</v>
      </c>
      <c r="FG13" s="1066" t="s">
        <v>1634</v>
      </c>
      <c r="FH13" s="1066" t="s">
        <v>1636</v>
      </c>
      <c r="FI13" s="1066" t="s">
        <v>1635</v>
      </c>
      <c r="FJ13" s="1066" t="s">
        <v>1634</v>
      </c>
      <c r="FK13" s="1066" t="s">
        <v>1636</v>
      </c>
      <c r="FL13" s="1066" t="s">
        <v>1635</v>
      </c>
      <c r="FM13" s="1066" t="s">
        <v>1634</v>
      </c>
      <c r="FN13" s="1066" t="s">
        <v>1636</v>
      </c>
      <c r="FO13" s="1066" t="s">
        <v>1635</v>
      </c>
      <c r="FP13" s="1066" t="s">
        <v>1634</v>
      </c>
      <c r="FQ13" s="1066" t="s">
        <v>1636</v>
      </c>
      <c r="FR13" s="1066" t="s">
        <v>1635</v>
      </c>
      <c r="FS13" s="1066" t="s">
        <v>1634</v>
      </c>
      <c r="FT13" s="1066" t="s">
        <v>1636</v>
      </c>
      <c r="FU13" s="1066" t="s">
        <v>1635</v>
      </c>
      <c r="FV13" s="1066" t="s">
        <v>1634</v>
      </c>
      <c r="FW13" s="1066" t="s">
        <v>1636</v>
      </c>
      <c r="FZ13" s="1106"/>
      <c r="GA13" s="1106"/>
      <c r="GB13" s="1106"/>
      <c r="GC13" s="1106"/>
      <c r="GD13" s="1106"/>
    </row>
    <row r="14" spans="1:186" s="1528" customFormat="1" ht="12" hidden="1" customHeight="1">
      <c r="A14" s="1011" t="s">
        <v>394</v>
      </c>
      <c r="B14" s="1012"/>
      <c r="C14" s="1118"/>
      <c r="D14" s="1087"/>
      <c r="E14" s="1012"/>
      <c r="F14" s="1013"/>
      <c r="G14" s="1013"/>
      <c r="H14" s="1013"/>
      <c r="I14" s="1013"/>
      <c r="J14" s="1075"/>
      <c r="K14" s="1075"/>
      <c r="L14" s="1075"/>
      <c r="M14" s="1075"/>
      <c r="N14" s="1075"/>
      <c r="O14" s="1075"/>
      <c r="P14" s="1075"/>
      <c r="Q14" s="1075"/>
      <c r="R14" s="1014"/>
      <c r="S14" s="1013"/>
      <c r="T14" s="1013"/>
      <c r="U14" s="1013"/>
      <c r="V14" s="1013"/>
      <c r="W14" s="1013"/>
      <c r="X14" s="1013"/>
      <c r="Y14" s="1013"/>
      <c r="Z14" s="1013"/>
      <c r="AA14" s="1013"/>
      <c r="AB14" s="1013" t="s">
        <v>385</v>
      </c>
      <c r="AC14" s="1013"/>
      <c r="AD14" s="1013"/>
      <c r="AE14" s="1013"/>
      <c r="AF14" s="1013"/>
      <c r="AG14" s="1013"/>
      <c r="AH14" s="1013"/>
      <c r="AI14" s="1013"/>
      <c r="AJ14" s="1013"/>
      <c r="AK14" s="1013"/>
      <c r="AL14" s="1013"/>
      <c r="AM14" s="1013"/>
      <c r="AN14" s="1013"/>
      <c r="AO14" s="1013"/>
      <c r="AP14" s="1013"/>
      <c r="AQ14" s="1013"/>
      <c r="AR14" s="1013"/>
      <c r="AS14" s="1013"/>
      <c r="AT14" s="1013"/>
      <c r="AU14" s="1013"/>
      <c r="AV14" s="1013"/>
      <c r="AW14" s="1013"/>
      <c r="AX14" s="1013"/>
      <c r="AY14" s="1013"/>
      <c r="AZ14" s="1013"/>
      <c r="BA14" s="1013"/>
      <c r="BB14" s="1013"/>
      <c r="BC14" s="1013"/>
      <c r="BD14" s="1013"/>
      <c r="BE14" s="1013"/>
      <c r="BF14" s="1013"/>
      <c r="BG14" s="1013"/>
      <c r="BH14" s="1013"/>
      <c r="BI14" s="1013"/>
      <c r="BJ14" s="1013"/>
      <c r="BK14" s="1013"/>
      <c r="BL14" s="1013"/>
      <c r="BM14" s="1013"/>
      <c r="BN14" s="1013"/>
      <c r="BO14" s="1013"/>
      <c r="BP14" s="1013"/>
      <c r="BQ14" s="1013"/>
      <c r="BR14" s="1013"/>
      <c r="BS14" s="1013"/>
      <c r="BT14" s="1013"/>
      <c r="BU14" s="1013"/>
      <c r="BV14" s="1013"/>
      <c r="BW14" s="1013"/>
      <c r="BX14" s="1013"/>
      <c r="BY14" s="1013"/>
      <c r="BZ14" s="1013"/>
      <c r="CA14" s="1013"/>
      <c r="CB14" s="1013"/>
      <c r="CC14" s="1013"/>
      <c r="CD14" s="1013"/>
      <c r="CE14" s="1013"/>
      <c r="CF14" s="1013"/>
      <c r="CG14" s="1013"/>
      <c r="CH14" s="1013"/>
      <c r="CI14" s="1013"/>
      <c r="CJ14" s="1013"/>
      <c r="CK14" s="1013"/>
      <c r="CL14" s="1013"/>
      <c r="CM14" s="1013"/>
      <c r="CN14" s="1013"/>
      <c r="CO14" s="1013"/>
      <c r="CP14" s="1013"/>
      <c r="CQ14" s="1013"/>
      <c r="CR14" s="1013"/>
      <c r="CS14" s="1013"/>
      <c r="CT14" s="1013"/>
      <c r="CU14" s="1013"/>
      <c r="CV14" s="1013"/>
      <c r="CW14" s="1013"/>
      <c r="CX14" s="1013"/>
      <c r="CY14" s="1013"/>
      <c r="CZ14" s="1013"/>
      <c r="DA14" s="1013"/>
      <c r="DB14" s="1013"/>
      <c r="DC14" s="1013"/>
      <c r="DD14" s="1013"/>
      <c r="DE14" s="1013"/>
      <c r="DF14" s="1013"/>
      <c r="DG14" s="1013"/>
      <c r="DH14" s="1013"/>
      <c r="DI14" s="1013"/>
      <c r="DJ14" s="1013"/>
      <c r="DK14" s="1013"/>
      <c r="DL14" s="1013"/>
      <c r="DM14" s="1013"/>
      <c r="DN14" s="1013"/>
      <c r="DO14" s="1013"/>
      <c r="DP14" s="1013"/>
      <c r="DQ14" s="1013"/>
      <c r="DR14" s="1013"/>
      <c r="DS14" s="1013"/>
      <c r="DT14" s="1013"/>
      <c r="DU14" s="1013"/>
      <c r="DV14" s="1013"/>
      <c r="DW14" s="1013"/>
      <c r="DX14" s="1013"/>
      <c r="DY14" s="1013"/>
      <c r="DZ14" s="1013"/>
      <c r="EA14" s="1013"/>
      <c r="EB14" s="1013"/>
      <c r="EC14" s="1013"/>
      <c r="ED14" s="1013"/>
      <c r="EE14" s="1013"/>
      <c r="EF14" s="1013"/>
      <c r="EG14" s="1013"/>
      <c r="EH14" s="1013"/>
      <c r="EI14" s="1013"/>
      <c r="EJ14" s="1013"/>
      <c r="EK14" s="1013"/>
      <c r="EL14" s="1013"/>
      <c r="EM14" s="1013"/>
      <c r="EN14" s="1013"/>
      <c r="EO14" s="1013"/>
      <c r="EP14" s="1013"/>
      <c r="EQ14" s="1013"/>
      <c r="ER14" s="1013"/>
      <c r="ES14" s="1013"/>
      <c r="ET14" s="1013"/>
      <c r="EU14" s="1013"/>
      <c r="EV14" s="1013"/>
      <c r="EW14" s="1013"/>
      <c r="EX14" s="1013"/>
      <c r="EY14" s="1013"/>
      <c r="EZ14" s="1013"/>
      <c r="FA14" s="1013"/>
      <c r="FB14" s="1013"/>
      <c r="FC14" s="1013"/>
      <c r="FD14" s="1013"/>
      <c r="FE14" s="1013"/>
      <c r="FF14" s="1013"/>
      <c r="FG14" s="1013"/>
      <c r="FH14" s="1013"/>
      <c r="FI14" s="1013"/>
      <c r="FJ14" s="1013"/>
      <c r="FK14" s="1013"/>
      <c r="FL14" s="1013"/>
      <c r="FM14" s="1013"/>
      <c r="FN14" s="1013"/>
      <c r="FO14" s="1013"/>
      <c r="FP14" s="1013"/>
      <c r="FQ14" s="1013"/>
      <c r="FR14" s="1013"/>
      <c r="FS14" s="1013"/>
      <c r="FT14" s="1013"/>
      <c r="FU14" s="1013"/>
      <c r="FV14" s="1013"/>
      <c r="FW14" s="1013"/>
      <c r="FX14" s="1013"/>
      <c r="FY14" s="1013"/>
      <c r="FZ14" s="1015"/>
      <c r="GA14" s="1015"/>
      <c r="GB14" s="1015"/>
      <c r="GC14" s="1015"/>
      <c r="GD14" s="1015"/>
    </row>
    <row r="15" spans="1:186" s="1153" customFormat="1" ht="12" hidden="1" customHeight="1">
      <c r="B15" s="667"/>
      <c r="C15" s="1118"/>
      <c r="D15" s="1087"/>
      <c r="E15" s="676"/>
      <c r="G15" s="163"/>
      <c r="H15" s="163"/>
      <c r="I15" s="163"/>
      <c r="J15" s="1092"/>
      <c r="K15" s="1092"/>
      <c r="L15" s="1092"/>
      <c r="M15" s="1092"/>
      <c r="N15" s="1092"/>
      <c r="O15" s="1092"/>
      <c r="P15" s="1092"/>
      <c r="Q15" s="1110"/>
      <c r="R15" s="620"/>
      <c r="S15" s="163"/>
      <c r="AB15" s="122"/>
      <c r="AC15" s="122"/>
      <c r="FZ15" s="981"/>
      <c r="GA15" s="1015"/>
      <c r="GB15" s="1015"/>
      <c r="GC15" s="1015"/>
      <c r="GD15" s="1015"/>
    </row>
    <row r="16" spans="1:186" s="1153" customFormat="1" ht="12" hidden="1" customHeight="1">
      <c r="B16" s="667"/>
      <c r="C16" s="1118"/>
      <c r="D16" s="1087"/>
      <c r="E16" s="676"/>
      <c r="G16" s="163"/>
      <c r="H16" s="163"/>
      <c r="I16" s="163"/>
      <c r="J16" s="1092"/>
      <c r="K16" s="1092"/>
      <c r="L16" s="1092"/>
      <c r="M16" s="1092"/>
      <c r="N16" s="1092"/>
      <c r="O16" s="1092"/>
      <c r="P16" s="1092"/>
      <c r="Q16" s="1110"/>
      <c r="R16" s="620"/>
      <c r="S16" s="163"/>
      <c r="AB16" s="122"/>
      <c r="AC16" s="122"/>
      <c r="FZ16" s="981"/>
      <c r="GA16" s="1015"/>
      <c r="GB16" s="1015"/>
      <c r="GC16" s="1015"/>
      <c r="GD16" s="1015"/>
    </row>
    <row r="17" spans="1:186" s="1153" customFormat="1" ht="12" hidden="1" customHeight="1">
      <c r="B17" s="667"/>
      <c r="C17" s="1118"/>
      <c r="D17" s="1087"/>
      <c r="E17" s="676"/>
      <c r="G17" s="163"/>
      <c r="H17" s="163"/>
      <c r="I17" s="163"/>
      <c r="J17" s="1092"/>
      <c r="K17" s="1092"/>
      <c r="L17" s="1092"/>
      <c r="M17" s="1092"/>
      <c r="N17" s="1092"/>
      <c r="O17" s="1092"/>
      <c r="P17" s="1092"/>
      <c r="Q17" s="1110"/>
      <c r="R17" s="620"/>
      <c r="S17" s="163"/>
      <c r="AB17" s="122"/>
      <c r="AC17" s="122"/>
      <c r="FZ17" s="981"/>
      <c r="GA17" s="1015"/>
      <c r="GB17" s="1015"/>
      <c r="GC17" s="1015"/>
      <c r="GD17" s="1015"/>
    </row>
    <row r="18" spans="1:186" s="1153" customFormat="1" ht="12" hidden="1" customHeight="1">
      <c r="B18" s="667"/>
      <c r="C18" s="1118"/>
      <c r="D18" s="1087"/>
      <c r="E18" s="676"/>
      <c r="G18" s="163"/>
      <c r="H18" s="163"/>
      <c r="I18" s="163"/>
      <c r="J18" s="1092"/>
      <c r="K18" s="1092"/>
      <c r="L18" s="1092"/>
      <c r="M18" s="1092"/>
      <c r="N18" s="1092"/>
      <c r="O18" s="1092"/>
      <c r="P18" s="1092"/>
      <c r="Q18" s="1110"/>
      <c r="R18" s="620"/>
      <c r="S18" s="163"/>
      <c r="AB18" s="122"/>
      <c r="AC18" s="122"/>
      <c r="FZ18" s="981"/>
      <c r="GA18" s="1015"/>
      <c r="GB18" s="1015"/>
      <c r="GC18" s="1015"/>
      <c r="GD18" s="1015"/>
    </row>
    <row r="19" spans="1:186" s="1153" customFormat="1" ht="12" hidden="1" customHeight="1">
      <c r="B19" s="667"/>
      <c r="C19" s="1118"/>
      <c r="D19" s="1087"/>
      <c r="E19" s="676"/>
      <c r="G19" s="163"/>
      <c r="H19" s="163"/>
      <c r="I19" s="163"/>
      <c r="J19" s="1092"/>
      <c r="K19" s="1092"/>
      <c r="L19" s="1092"/>
      <c r="M19" s="1092"/>
      <c r="N19" s="1092"/>
      <c r="O19" s="1092"/>
      <c r="P19" s="1092"/>
      <c r="Q19" s="1110"/>
      <c r="R19" s="620"/>
      <c r="S19" s="163"/>
      <c r="AB19" s="122"/>
      <c r="AC19" s="122"/>
      <c r="FZ19" s="981"/>
      <c r="GA19" s="1015"/>
      <c r="GB19" s="1015"/>
      <c r="GC19" s="1015"/>
      <c r="GD19" s="1015"/>
    </row>
    <row r="20" spans="1:186" s="1153" customFormat="1" ht="12" hidden="1" customHeight="1">
      <c r="B20" s="667"/>
      <c r="C20" s="1118"/>
      <c r="D20" s="1087"/>
      <c r="E20" s="676"/>
      <c r="G20" s="163"/>
      <c r="H20" s="163"/>
      <c r="I20" s="163"/>
      <c r="J20" s="1092"/>
      <c r="K20" s="1092"/>
      <c r="L20" s="1092"/>
      <c r="M20" s="1092"/>
      <c r="N20" s="1092"/>
      <c r="O20" s="1092"/>
      <c r="P20" s="1092"/>
      <c r="Q20" s="1110"/>
      <c r="R20" s="620"/>
      <c r="S20" s="163"/>
      <c r="AB20" s="122"/>
      <c r="AC20" s="122"/>
      <c r="FZ20" s="981"/>
      <c r="GA20" s="1015"/>
      <c r="GB20" s="1015"/>
      <c r="GC20" s="1015"/>
      <c r="GD20" s="1015"/>
    </row>
    <row r="21" spans="1:186" ht="14.65" customHeight="1">
      <c r="E21" s="676">
        <v>15</v>
      </c>
      <c r="Q21" s="1110"/>
      <c r="AA21" s="699"/>
      <c r="AB21" s="794" t="str" cm="1">
        <f t="array" ref="AB21">tpl_title</f>
        <v>Кемеровская область / 2026 / ОАО «СКЭК» (ИНН:4205153492, КПП:420501001) / ДПР: 2021-2030</v>
      </c>
      <c r="GA21" s="1015"/>
      <c r="GB21" s="1015"/>
      <c r="GC21" s="1015"/>
      <c r="GD21" s="1015"/>
    </row>
    <row r="22" spans="1:186" s="814" customFormat="1" ht="23.45" customHeight="1">
      <c r="A22" s="129"/>
      <c r="B22" s="667"/>
      <c r="C22" s="1121"/>
      <c r="D22" s="1048"/>
      <c r="E22" s="676">
        <v>24</v>
      </c>
      <c r="F22" s="129"/>
      <c r="J22" s="1107"/>
      <c r="K22" s="1107"/>
      <c r="L22" s="1107"/>
      <c r="M22" s="1107"/>
      <c r="N22" s="1107"/>
      <c r="O22" s="1107"/>
      <c r="P22" s="1107"/>
      <c r="Q22" s="1107"/>
      <c r="R22" s="620"/>
      <c r="T22" s="129"/>
      <c r="U22" s="129"/>
      <c r="V22" s="129"/>
      <c r="W22" s="129"/>
      <c r="X22" s="129"/>
      <c r="Y22" s="129"/>
      <c r="Z22" s="129"/>
      <c r="AB22" s="333" t="s">
        <v>77</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Z22" s="970"/>
      <c r="GA22" s="977"/>
      <c r="GB22" s="977"/>
      <c r="GC22" s="977"/>
      <c r="GD22" s="977"/>
    </row>
    <row r="23" spans="1:186" ht="21.95" customHeight="1">
      <c r="E23" s="676">
        <v>22.5</v>
      </c>
      <c r="Q23" s="1110"/>
      <c r="AB23" s="165"/>
      <c r="AD23" s="165"/>
      <c r="GA23" s="1015"/>
      <c r="GB23" s="1015"/>
      <c r="GC23" s="1015"/>
      <c r="GD23" s="1015"/>
    </row>
    <row r="24" spans="1:186" s="814" customFormat="1" ht="21.95" customHeight="1">
      <c r="A24" s="129"/>
      <c r="B24" s="667"/>
      <c r="C24" s="1121"/>
      <c r="D24" s="1048"/>
      <c r="E24" s="676">
        <v>22.5</v>
      </c>
      <c r="F24" s="129"/>
      <c r="J24" s="1107"/>
      <c r="K24" s="1107"/>
      <c r="L24" s="1107"/>
      <c r="M24" s="1107"/>
      <c r="N24" s="1107"/>
      <c r="O24" s="1107"/>
      <c r="P24" s="1107"/>
      <c r="Q24" s="1107"/>
      <c r="S24" s="164" t="b">
        <f>OR(hasVS,hasVO)</f>
        <v>0</v>
      </c>
      <c r="T24" s="129"/>
      <c r="U24" s="129"/>
      <c r="V24" s="129"/>
      <c r="W24" s="129"/>
      <c r="X24" s="129"/>
      <c r="Y24" s="129"/>
      <c r="Z24" s="129"/>
      <c r="AA24" s="365"/>
      <c r="AB24" s="397" t="s">
        <v>77</v>
      </c>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8"/>
      <c r="CJ24" s="358"/>
      <c r="CK24" s="358"/>
      <c r="CL24" s="358"/>
      <c r="CM24" s="358"/>
      <c r="CN24" s="358"/>
      <c r="CO24" s="358"/>
      <c r="CP24" s="358"/>
      <c r="CQ24" s="358"/>
      <c r="CR24" s="358"/>
      <c r="CS24" s="358"/>
      <c r="CT24" s="358"/>
      <c r="CU24" s="358"/>
      <c r="CV24" s="358"/>
      <c r="CW24" s="358"/>
      <c r="CX24" s="358"/>
      <c r="CY24" s="358"/>
      <c r="CZ24" s="358"/>
      <c r="DA24" s="358"/>
      <c r="DB24" s="358"/>
      <c r="DC24" s="358"/>
      <c r="DD24" s="358"/>
      <c r="DE24" s="358"/>
      <c r="DF24" s="358"/>
      <c r="DG24" s="358"/>
      <c r="DH24" s="358"/>
      <c r="DI24" s="358"/>
      <c r="DJ24" s="358"/>
      <c r="DK24" s="358"/>
      <c r="DL24" s="358"/>
      <c r="DM24" s="358"/>
      <c r="DN24" s="358"/>
      <c r="DO24" s="358"/>
      <c r="DP24" s="358"/>
      <c r="DQ24" s="358"/>
      <c r="DR24" s="358"/>
      <c r="DS24" s="358"/>
      <c r="DT24" s="358"/>
      <c r="DU24" s="358"/>
      <c r="DV24" s="358"/>
      <c r="DW24" s="358"/>
      <c r="DX24" s="358"/>
      <c r="DY24" s="358"/>
      <c r="DZ24" s="358"/>
      <c r="EA24" s="358"/>
      <c r="EB24" s="358"/>
      <c r="EC24" s="358"/>
      <c r="ED24" s="358"/>
      <c r="EE24" s="358"/>
      <c r="EF24" s="358"/>
      <c r="EG24" s="358"/>
      <c r="EH24" s="358"/>
      <c r="EI24" s="358"/>
      <c r="EJ24" s="358"/>
      <c r="EK24" s="358"/>
      <c r="EL24" s="358"/>
      <c r="EM24" s="358"/>
      <c r="EN24" s="358"/>
      <c r="EO24" s="358"/>
      <c r="EP24" s="358"/>
      <c r="EQ24" s="358"/>
      <c r="ER24" s="358"/>
      <c r="ES24" s="358"/>
      <c r="ET24" s="358"/>
      <c r="EU24" s="358"/>
      <c r="EV24" s="358"/>
      <c r="EW24" s="358"/>
      <c r="EX24" s="358"/>
      <c r="EY24" s="358"/>
      <c r="EZ24" s="358"/>
      <c r="FA24" s="358"/>
      <c r="FB24" s="358"/>
      <c r="FC24" s="358"/>
      <c r="FD24" s="358"/>
      <c r="FE24" s="358"/>
      <c r="FF24" s="358"/>
      <c r="FG24" s="358"/>
      <c r="FH24" s="358"/>
      <c r="FI24" s="358"/>
      <c r="FJ24" s="358"/>
      <c r="FK24" s="358"/>
      <c r="FL24" s="358"/>
      <c r="FM24" s="358"/>
      <c r="FN24" s="358"/>
      <c r="FO24" s="358"/>
      <c r="FP24" s="358"/>
      <c r="FQ24" s="358"/>
      <c r="FR24" s="358"/>
      <c r="FS24" s="358"/>
      <c r="FT24" s="358"/>
      <c r="FU24" s="358"/>
      <c r="FV24" s="358"/>
      <c r="FW24" s="358"/>
      <c r="FZ24" s="970"/>
      <c r="GA24" s="977"/>
      <c r="GB24" s="977"/>
      <c r="GC24" s="977"/>
      <c r="GD24" s="977"/>
    </row>
    <row r="25" spans="1:186" ht="21.95" customHeight="1">
      <c r="E25" s="676">
        <v>22.5</v>
      </c>
      <c r="Q25" s="1110"/>
      <c r="R25" s="163"/>
      <c r="S25" s="164" t="b">
        <f>OR(hasVS,hasVO)</f>
        <v>0</v>
      </c>
      <c r="AB25" s="1730" t="s">
        <v>475</v>
      </c>
      <c r="AC25" s="1730" t="s">
        <v>476</v>
      </c>
      <c r="AD25" s="1732" t="str">
        <f>AD6&amp;" год"</f>
        <v>2026 год</v>
      </c>
      <c r="AE25" s="1858"/>
      <c r="AF25" s="1859"/>
      <c r="AG25" s="1732" t="str">
        <f>AG6&amp;" год"</f>
        <v>2027 год</v>
      </c>
      <c r="AH25" s="1858"/>
      <c r="AI25" s="1859"/>
      <c r="AJ25" s="1732" t="str">
        <f>AJ6&amp;" год"</f>
        <v>2028 год</v>
      </c>
      <c r="AK25" s="1858"/>
      <c r="AL25" s="1859"/>
      <c r="AM25" s="1732" t="str">
        <f>AM6&amp;" год"</f>
        <v>2029 год</v>
      </c>
      <c r="AN25" s="1858"/>
      <c r="AO25" s="1859"/>
      <c r="AP25" s="1732" t="str">
        <f>AP6&amp;" год"</f>
        <v>2030 год</v>
      </c>
      <c r="AQ25" s="1858"/>
      <c r="AR25" s="1859"/>
      <c r="AS25" s="1732" t="str">
        <f>AS6&amp;" год"</f>
        <v>2031 год</v>
      </c>
      <c r="AT25" s="1858"/>
      <c r="AU25" s="1859"/>
      <c r="AV25" s="1732" t="str">
        <f>AV6&amp;" год"</f>
        <v>2032 год</v>
      </c>
      <c r="AW25" s="1858"/>
      <c r="AX25" s="1859"/>
      <c r="AY25" s="1732" t="str">
        <f>AY6&amp;" год"</f>
        <v>2033 год</v>
      </c>
      <c r="AZ25" s="1858"/>
      <c r="BA25" s="1859"/>
      <c r="BB25" s="1732" t="str">
        <f>BB6&amp;" год"</f>
        <v>2034 год</v>
      </c>
      <c r="BC25" s="1858"/>
      <c r="BD25" s="1859"/>
      <c r="BE25" s="1732" t="str">
        <f>BE6&amp;" год"</f>
        <v>2035 год</v>
      </c>
      <c r="BF25" s="1858"/>
      <c r="BG25" s="1859"/>
      <c r="BH25" s="1732" t="str">
        <f>BH6&amp;" год"</f>
        <v>2036 год</v>
      </c>
      <c r="BI25" s="1858"/>
      <c r="BJ25" s="1859"/>
      <c r="BK25" s="1732" t="str">
        <f>BK6&amp;" год"</f>
        <v>2037 год</v>
      </c>
      <c r="BL25" s="1858"/>
      <c r="BM25" s="1859"/>
      <c r="BN25" s="1732" t="str">
        <f>BN6&amp;" год"</f>
        <v>2038 год</v>
      </c>
      <c r="BO25" s="1858"/>
      <c r="BP25" s="1859"/>
      <c r="BQ25" s="1732" t="str">
        <f>BQ6&amp;" год"</f>
        <v>2039 год</v>
      </c>
      <c r="BR25" s="1858"/>
      <c r="BS25" s="1859"/>
      <c r="BT25" s="1732" t="str">
        <f>BT6&amp;" год"</f>
        <v>2040 год</v>
      </c>
      <c r="BU25" s="1858"/>
      <c r="BV25" s="1859"/>
      <c r="BW25" s="1732" t="str">
        <f>BW6&amp;" год"</f>
        <v>2041 год</v>
      </c>
      <c r="BX25" s="1858"/>
      <c r="BY25" s="1859"/>
      <c r="BZ25" s="1732" t="str">
        <f>BZ6&amp;" год"</f>
        <v>2042 год</v>
      </c>
      <c r="CA25" s="1858"/>
      <c r="CB25" s="1859"/>
      <c r="CC25" s="1732" t="str">
        <f>CC6&amp;" год"</f>
        <v>2043 год</v>
      </c>
      <c r="CD25" s="1858"/>
      <c r="CE25" s="1859"/>
      <c r="CF25" s="1732" t="str">
        <f>CF6&amp;" год"</f>
        <v>2044 год</v>
      </c>
      <c r="CG25" s="1858"/>
      <c r="CH25" s="1859"/>
      <c r="CI25" s="1732" t="str">
        <f>CI6&amp;" год"</f>
        <v>2045 год</v>
      </c>
      <c r="CJ25" s="1858"/>
      <c r="CK25" s="1859"/>
      <c r="CL25" s="1732" t="str">
        <f>CL6&amp;" год"</f>
        <v>2046 год</v>
      </c>
      <c r="CM25" s="1858"/>
      <c r="CN25" s="1859"/>
      <c r="CO25" s="1732" t="str">
        <f>CO6&amp;" год"</f>
        <v>2047 год</v>
      </c>
      <c r="CP25" s="1858"/>
      <c r="CQ25" s="1859"/>
      <c r="CR25" s="1732" t="str">
        <f>CR6&amp;" год"</f>
        <v>2048 год</v>
      </c>
      <c r="CS25" s="1858"/>
      <c r="CT25" s="1859"/>
      <c r="CU25" s="1732" t="str">
        <f>CU6&amp;" год"</f>
        <v>2049 год</v>
      </c>
      <c r="CV25" s="1858"/>
      <c r="CW25" s="1859"/>
      <c r="CX25" s="1732" t="str">
        <f>CX6&amp;" год"</f>
        <v>2050 год</v>
      </c>
      <c r="CY25" s="1858"/>
      <c r="CZ25" s="1859"/>
      <c r="DA25" s="1732" t="str">
        <f>DA6&amp;" год"</f>
        <v>2051 год</v>
      </c>
      <c r="DB25" s="1858"/>
      <c r="DC25" s="1859"/>
      <c r="DD25" s="1732" t="str">
        <f>DD6&amp;" год"</f>
        <v>2052 год</v>
      </c>
      <c r="DE25" s="1858"/>
      <c r="DF25" s="1859"/>
      <c r="DG25" s="1732" t="str">
        <f>DG6&amp;" год"</f>
        <v>2053 год</v>
      </c>
      <c r="DH25" s="1858"/>
      <c r="DI25" s="1859"/>
      <c r="DJ25" s="1732" t="str">
        <f>DJ6&amp;" год"</f>
        <v>2054 год</v>
      </c>
      <c r="DK25" s="1858"/>
      <c r="DL25" s="1859"/>
      <c r="DM25" s="1732" t="str">
        <f>DM6&amp;" год"</f>
        <v>2055 год</v>
      </c>
      <c r="DN25" s="1858"/>
      <c r="DO25" s="1859"/>
      <c r="DP25" s="1732" t="str">
        <f>DP6&amp;" год"</f>
        <v>2056 год</v>
      </c>
      <c r="DQ25" s="1858"/>
      <c r="DR25" s="1859"/>
      <c r="DS25" s="1732" t="str">
        <f>DS6&amp;" год"</f>
        <v>2057 год</v>
      </c>
      <c r="DT25" s="1858"/>
      <c r="DU25" s="1859"/>
      <c r="DV25" s="1732" t="str">
        <f>DV6&amp;" год"</f>
        <v>2058 год</v>
      </c>
      <c r="DW25" s="1858"/>
      <c r="DX25" s="1859"/>
      <c r="DY25" s="1732" t="str">
        <f>DY6&amp;" год"</f>
        <v>2059 год</v>
      </c>
      <c r="DZ25" s="1858"/>
      <c r="EA25" s="1859"/>
      <c r="EB25" s="1732" t="str">
        <f>EB6&amp;" год"</f>
        <v>2060 год</v>
      </c>
      <c r="EC25" s="1858"/>
      <c r="ED25" s="1859"/>
      <c r="EE25" s="1732" t="str">
        <f>EE6&amp;" год"</f>
        <v>2061 год</v>
      </c>
      <c r="EF25" s="1858"/>
      <c r="EG25" s="1859"/>
      <c r="EH25" s="1732" t="str">
        <f>EH6&amp;" год"</f>
        <v>2062 год</v>
      </c>
      <c r="EI25" s="1858"/>
      <c r="EJ25" s="1859"/>
      <c r="EK25" s="1732" t="str">
        <f>EK6&amp;" год"</f>
        <v>2063 год</v>
      </c>
      <c r="EL25" s="1858"/>
      <c r="EM25" s="1859"/>
      <c r="EN25" s="1732" t="str">
        <f>EN6&amp;" год"</f>
        <v>2064 год</v>
      </c>
      <c r="EO25" s="1858"/>
      <c r="EP25" s="1859"/>
      <c r="EQ25" s="1732" t="str">
        <f>EQ6&amp;" год"</f>
        <v>2065 год</v>
      </c>
      <c r="ER25" s="1858"/>
      <c r="ES25" s="1859"/>
      <c r="ET25" s="1732" t="str">
        <f>ET6&amp;" год"</f>
        <v>2066 год</v>
      </c>
      <c r="EU25" s="1858"/>
      <c r="EV25" s="1859"/>
      <c r="EW25" s="1732" t="str">
        <f>EW6&amp;" год"</f>
        <v>2067 год</v>
      </c>
      <c r="EX25" s="1858"/>
      <c r="EY25" s="1859"/>
      <c r="EZ25" s="1732" t="str">
        <f>EZ6&amp;" год"</f>
        <v>2068 год</v>
      </c>
      <c r="FA25" s="1858"/>
      <c r="FB25" s="1859"/>
      <c r="FC25" s="1732" t="str">
        <f>FC6&amp;" год"</f>
        <v>2069 год</v>
      </c>
      <c r="FD25" s="1858"/>
      <c r="FE25" s="1859"/>
      <c r="FF25" s="1732" t="str">
        <f>FF6&amp;" год"</f>
        <v>2070 год</v>
      </c>
      <c r="FG25" s="1858"/>
      <c r="FH25" s="1859"/>
      <c r="FI25" s="1732" t="str">
        <f>FI6&amp;" год"</f>
        <v>2071 год</v>
      </c>
      <c r="FJ25" s="1858"/>
      <c r="FK25" s="1859"/>
      <c r="FL25" s="1732" t="str">
        <f>FL6&amp;" год"</f>
        <v>2072 год</v>
      </c>
      <c r="FM25" s="1858"/>
      <c r="FN25" s="1859"/>
      <c r="FO25" s="1732" t="str">
        <f>FO6&amp;" год"</f>
        <v>2073 год</v>
      </c>
      <c r="FP25" s="1858"/>
      <c r="FQ25" s="1859"/>
      <c r="FR25" s="1732" t="str">
        <f>FR6&amp;" год"</f>
        <v>2074 год</v>
      </c>
      <c r="FS25" s="1858"/>
      <c r="FT25" s="1859"/>
      <c r="FU25" s="1732" t="str">
        <f>FU6&amp;" год"</f>
        <v>2075 год</v>
      </c>
      <c r="FV25" s="1858"/>
      <c r="FW25" s="1859"/>
      <c r="GA25" s="1015"/>
      <c r="GB25" s="1015"/>
      <c r="GC25" s="1015"/>
      <c r="GD25" s="1015"/>
    </row>
    <row r="26" spans="1:186" ht="42.4" customHeight="1">
      <c r="E26" s="676">
        <v>43.5</v>
      </c>
      <c r="Q26" s="1110"/>
      <c r="R26" s="163"/>
      <c r="S26" s="164" t="b">
        <f>OR(hasVS,hasVO)</f>
        <v>0</v>
      </c>
      <c r="AB26" s="1730"/>
      <c r="AC26" s="1730"/>
      <c r="AD26" s="1142" t="s">
        <v>413</v>
      </c>
      <c r="AE26" s="123" t="s">
        <v>412</v>
      </c>
      <c r="AF26" s="123" t="s">
        <v>2142</v>
      </c>
      <c r="AG26" s="1145" t="s">
        <v>413</v>
      </c>
      <c r="AH26" s="123" t="s">
        <v>412</v>
      </c>
      <c r="AI26" s="123" t="s">
        <v>2142</v>
      </c>
      <c r="AJ26" s="1145" t="s">
        <v>413</v>
      </c>
      <c r="AK26" s="123" t="s">
        <v>412</v>
      </c>
      <c r="AL26" s="123" t="s">
        <v>2142</v>
      </c>
      <c r="AM26" s="1145" t="s">
        <v>413</v>
      </c>
      <c r="AN26" s="123" t="s">
        <v>412</v>
      </c>
      <c r="AO26" s="123" t="s">
        <v>2142</v>
      </c>
      <c r="AP26" s="1145" t="s">
        <v>413</v>
      </c>
      <c r="AQ26" s="123" t="s">
        <v>412</v>
      </c>
      <c r="AR26" s="123" t="s">
        <v>2142</v>
      </c>
      <c r="AS26" s="1145" t="s">
        <v>413</v>
      </c>
      <c r="AT26" s="123" t="s">
        <v>412</v>
      </c>
      <c r="AU26" s="123" t="s">
        <v>2142</v>
      </c>
      <c r="AV26" s="1145" t="s">
        <v>413</v>
      </c>
      <c r="AW26" s="123" t="s">
        <v>412</v>
      </c>
      <c r="AX26" s="123" t="s">
        <v>2142</v>
      </c>
      <c r="AY26" s="1145" t="s">
        <v>413</v>
      </c>
      <c r="AZ26" s="123" t="s">
        <v>412</v>
      </c>
      <c r="BA26" s="123" t="s">
        <v>2142</v>
      </c>
      <c r="BB26" s="1145" t="s">
        <v>413</v>
      </c>
      <c r="BC26" s="123" t="s">
        <v>412</v>
      </c>
      <c r="BD26" s="123" t="s">
        <v>2142</v>
      </c>
      <c r="BE26" s="1145" t="s">
        <v>413</v>
      </c>
      <c r="BF26" s="123" t="s">
        <v>412</v>
      </c>
      <c r="BG26" s="123" t="s">
        <v>2142</v>
      </c>
      <c r="BH26" s="1145" t="s">
        <v>413</v>
      </c>
      <c r="BI26" s="123" t="s">
        <v>412</v>
      </c>
      <c r="BJ26" s="123" t="s">
        <v>2142</v>
      </c>
      <c r="BK26" s="1145" t="s">
        <v>413</v>
      </c>
      <c r="BL26" s="123" t="s">
        <v>412</v>
      </c>
      <c r="BM26" s="123" t="s">
        <v>2142</v>
      </c>
      <c r="BN26" s="1145" t="s">
        <v>413</v>
      </c>
      <c r="BO26" s="123" t="s">
        <v>412</v>
      </c>
      <c r="BP26" s="123" t="s">
        <v>2142</v>
      </c>
      <c r="BQ26" s="1145" t="s">
        <v>413</v>
      </c>
      <c r="BR26" s="123" t="s">
        <v>412</v>
      </c>
      <c r="BS26" s="123" t="s">
        <v>2142</v>
      </c>
      <c r="BT26" s="1145" t="s">
        <v>413</v>
      </c>
      <c r="BU26" s="123" t="s">
        <v>412</v>
      </c>
      <c r="BV26" s="123" t="s">
        <v>2142</v>
      </c>
      <c r="BW26" s="123" t="s">
        <v>413</v>
      </c>
      <c r="BX26" s="123" t="s">
        <v>412</v>
      </c>
      <c r="BY26" s="123" t="s">
        <v>2142</v>
      </c>
      <c r="BZ26" s="123" t="s">
        <v>413</v>
      </c>
      <c r="CA26" s="123" t="s">
        <v>412</v>
      </c>
      <c r="CB26" s="123" t="s">
        <v>2142</v>
      </c>
      <c r="CC26" s="123" t="s">
        <v>413</v>
      </c>
      <c r="CD26" s="123" t="s">
        <v>412</v>
      </c>
      <c r="CE26" s="123" t="s">
        <v>2142</v>
      </c>
      <c r="CF26" s="123" t="s">
        <v>413</v>
      </c>
      <c r="CG26" s="123" t="s">
        <v>412</v>
      </c>
      <c r="CH26" s="123" t="s">
        <v>2142</v>
      </c>
      <c r="CI26" s="123" t="s">
        <v>413</v>
      </c>
      <c r="CJ26" s="123" t="s">
        <v>412</v>
      </c>
      <c r="CK26" s="123" t="s">
        <v>2142</v>
      </c>
      <c r="CL26" s="123" t="s">
        <v>413</v>
      </c>
      <c r="CM26" s="123" t="s">
        <v>412</v>
      </c>
      <c r="CN26" s="123" t="s">
        <v>2142</v>
      </c>
      <c r="CO26" s="123" t="s">
        <v>413</v>
      </c>
      <c r="CP26" s="123" t="s">
        <v>412</v>
      </c>
      <c r="CQ26" s="123" t="s">
        <v>2142</v>
      </c>
      <c r="CR26" s="123" t="s">
        <v>413</v>
      </c>
      <c r="CS26" s="123" t="s">
        <v>412</v>
      </c>
      <c r="CT26" s="123" t="s">
        <v>2142</v>
      </c>
      <c r="CU26" s="123" t="s">
        <v>413</v>
      </c>
      <c r="CV26" s="123" t="s">
        <v>412</v>
      </c>
      <c r="CW26" s="123" t="s">
        <v>2142</v>
      </c>
      <c r="CX26" s="123" t="s">
        <v>413</v>
      </c>
      <c r="CY26" s="123" t="s">
        <v>412</v>
      </c>
      <c r="CZ26" s="123" t="s">
        <v>2142</v>
      </c>
      <c r="DA26" s="123" t="s">
        <v>413</v>
      </c>
      <c r="DB26" s="123" t="s">
        <v>412</v>
      </c>
      <c r="DC26" s="123" t="s">
        <v>2142</v>
      </c>
      <c r="DD26" s="123" t="s">
        <v>413</v>
      </c>
      <c r="DE26" s="123" t="s">
        <v>412</v>
      </c>
      <c r="DF26" s="123" t="s">
        <v>2142</v>
      </c>
      <c r="DG26" s="123" t="s">
        <v>413</v>
      </c>
      <c r="DH26" s="123" t="s">
        <v>412</v>
      </c>
      <c r="DI26" s="123" t="s">
        <v>2142</v>
      </c>
      <c r="DJ26" s="123" t="s">
        <v>413</v>
      </c>
      <c r="DK26" s="123" t="s">
        <v>412</v>
      </c>
      <c r="DL26" s="123" t="s">
        <v>2142</v>
      </c>
      <c r="DM26" s="123" t="s">
        <v>413</v>
      </c>
      <c r="DN26" s="123" t="s">
        <v>412</v>
      </c>
      <c r="DO26" s="123" t="s">
        <v>2142</v>
      </c>
      <c r="DP26" s="123" t="s">
        <v>413</v>
      </c>
      <c r="DQ26" s="123" t="s">
        <v>412</v>
      </c>
      <c r="DR26" s="123" t="s">
        <v>2142</v>
      </c>
      <c r="DS26" s="123" t="s">
        <v>413</v>
      </c>
      <c r="DT26" s="123" t="s">
        <v>412</v>
      </c>
      <c r="DU26" s="123" t="s">
        <v>2142</v>
      </c>
      <c r="DV26" s="123" t="s">
        <v>413</v>
      </c>
      <c r="DW26" s="123" t="s">
        <v>412</v>
      </c>
      <c r="DX26" s="123" t="s">
        <v>2142</v>
      </c>
      <c r="DY26" s="123" t="s">
        <v>413</v>
      </c>
      <c r="DZ26" s="123" t="s">
        <v>412</v>
      </c>
      <c r="EA26" s="123" t="s">
        <v>2142</v>
      </c>
      <c r="EB26" s="123" t="s">
        <v>413</v>
      </c>
      <c r="EC26" s="123" t="s">
        <v>412</v>
      </c>
      <c r="ED26" s="123" t="s">
        <v>2142</v>
      </c>
      <c r="EE26" s="123" t="s">
        <v>413</v>
      </c>
      <c r="EF26" s="123" t="s">
        <v>412</v>
      </c>
      <c r="EG26" s="123" t="s">
        <v>2142</v>
      </c>
      <c r="EH26" s="123" t="s">
        <v>413</v>
      </c>
      <c r="EI26" s="123" t="s">
        <v>412</v>
      </c>
      <c r="EJ26" s="123" t="s">
        <v>2142</v>
      </c>
      <c r="EK26" s="123" t="s">
        <v>413</v>
      </c>
      <c r="EL26" s="123" t="s">
        <v>412</v>
      </c>
      <c r="EM26" s="123" t="s">
        <v>2142</v>
      </c>
      <c r="EN26" s="123" t="s">
        <v>413</v>
      </c>
      <c r="EO26" s="123" t="s">
        <v>412</v>
      </c>
      <c r="EP26" s="123" t="s">
        <v>2142</v>
      </c>
      <c r="EQ26" s="123" t="s">
        <v>413</v>
      </c>
      <c r="ER26" s="123" t="s">
        <v>412</v>
      </c>
      <c r="ES26" s="123" t="s">
        <v>2142</v>
      </c>
      <c r="ET26" s="123" t="s">
        <v>413</v>
      </c>
      <c r="EU26" s="123" t="s">
        <v>412</v>
      </c>
      <c r="EV26" s="123" t="s">
        <v>2142</v>
      </c>
      <c r="EW26" s="123" t="s">
        <v>413</v>
      </c>
      <c r="EX26" s="123" t="s">
        <v>412</v>
      </c>
      <c r="EY26" s="123" t="s">
        <v>2142</v>
      </c>
      <c r="EZ26" s="123" t="s">
        <v>413</v>
      </c>
      <c r="FA26" s="123" t="s">
        <v>412</v>
      </c>
      <c r="FB26" s="123" t="s">
        <v>2142</v>
      </c>
      <c r="FC26" s="123" t="s">
        <v>413</v>
      </c>
      <c r="FD26" s="123" t="s">
        <v>412</v>
      </c>
      <c r="FE26" s="123" t="s">
        <v>2142</v>
      </c>
      <c r="FF26" s="123" t="s">
        <v>413</v>
      </c>
      <c r="FG26" s="123" t="s">
        <v>412</v>
      </c>
      <c r="FH26" s="123" t="s">
        <v>2142</v>
      </c>
      <c r="FI26" s="123" t="s">
        <v>413</v>
      </c>
      <c r="FJ26" s="123" t="s">
        <v>412</v>
      </c>
      <c r="FK26" s="123" t="s">
        <v>2142</v>
      </c>
      <c r="FL26" s="123" t="s">
        <v>413</v>
      </c>
      <c r="FM26" s="123" t="s">
        <v>412</v>
      </c>
      <c r="FN26" s="123" t="s">
        <v>2142</v>
      </c>
      <c r="FO26" s="123" t="s">
        <v>413</v>
      </c>
      <c r="FP26" s="123" t="s">
        <v>412</v>
      </c>
      <c r="FQ26" s="123" t="s">
        <v>2142</v>
      </c>
      <c r="FR26" s="123" t="s">
        <v>413</v>
      </c>
      <c r="FS26" s="123" t="s">
        <v>412</v>
      </c>
      <c r="FT26" s="123" t="s">
        <v>2142</v>
      </c>
      <c r="FU26" s="123" t="s">
        <v>413</v>
      </c>
      <c r="FV26" s="123" t="s">
        <v>412</v>
      </c>
      <c r="FW26" s="123" t="s">
        <v>2142</v>
      </c>
      <c r="GA26" s="1015"/>
      <c r="GB26" s="1015"/>
      <c r="GC26" s="1015"/>
      <c r="GD26" s="1015"/>
    </row>
    <row r="27" spans="1:186" ht="43.5" hidden="1" customHeight="1">
      <c r="E27" s="676">
        <v>0</v>
      </c>
      <c r="Q27" s="1110"/>
      <c r="R27" s="163"/>
      <c r="S27" s="164"/>
      <c r="AB27" s="599"/>
      <c r="AC27" s="600"/>
      <c r="AD27" s="566"/>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c r="BC27" s="567"/>
      <c r="BD27" s="567"/>
      <c r="BE27" s="567"/>
      <c r="BF27" s="567"/>
      <c r="BG27" s="567"/>
      <c r="BH27" s="567"/>
      <c r="BI27" s="567"/>
      <c r="BJ27" s="567"/>
      <c r="BK27" s="567"/>
      <c r="BL27" s="567"/>
      <c r="BM27" s="567"/>
      <c r="BN27" s="567"/>
      <c r="BO27" s="567"/>
      <c r="BP27" s="567"/>
      <c r="BQ27" s="567"/>
      <c r="BR27" s="567"/>
      <c r="BS27" s="567"/>
      <c r="BT27" s="567"/>
      <c r="BU27" s="567"/>
      <c r="BV27" s="567"/>
      <c r="BW27" s="567"/>
      <c r="BX27" s="567"/>
      <c r="BY27" s="567"/>
      <c r="BZ27" s="567"/>
      <c r="CA27" s="567"/>
      <c r="CB27" s="567"/>
      <c r="CC27" s="567"/>
      <c r="CD27" s="567"/>
      <c r="CE27" s="567"/>
      <c r="CF27" s="567"/>
      <c r="CG27" s="567"/>
      <c r="CH27" s="567"/>
      <c r="CI27" s="567"/>
      <c r="CJ27" s="567"/>
      <c r="CK27" s="567"/>
      <c r="CL27" s="567"/>
      <c r="CM27" s="567"/>
      <c r="CN27" s="567"/>
      <c r="CO27" s="567"/>
      <c r="CP27" s="567"/>
      <c r="CQ27" s="567"/>
      <c r="CR27" s="567"/>
      <c r="CS27" s="567"/>
      <c r="CT27" s="567"/>
      <c r="CU27" s="567"/>
      <c r="CV27" s="567"/>
      <c r="CW27" s="567"/>
      <c r="CX27" s="567"/>
      <c r="CY27" s="567"/>
      <c r="CZ27" s="567"/>
      <c r="DA27" s="567"/>
      <c r="DB27" s="567"/>
      <c r="DC27" s="567"/>
      <c r="DD27" s="567"/>
      <c r="DE27" s="567"/>
      <c r="DF27" s="567"/>
      <c r="DG27" s="567"/>
      <c r="DH27" s="567"/>
      <c r="DI27" s="567"/>
      <c r="DJ27" s="567"/>
      <c r="DK27" s="567"/>
      <c r="DL27" s="567"/>
      <c r="DM27" s="567"/>
      <c r="DN27" s="567"/>
      <c r="DO27" s="567"/>
      <c r="DP27" s="567"/>
      <c r="DQ27" s="567"/>
      <c r="DR27" s="567"/>
      <c r="DS27" s="567"/>
      <c r="DT27" s="567"/>
      <c r="DU27" s="567"/>
      <c r="DV27" s="567"/>
      <c r="DW27" s="567"/>
      <c r="DX27" s="567"/>
      <c r="DY27" s="567"/>
      <c r="DZ27" s="567"/>
      <c r="EA27" s="567"/>
      <c r="EB27" s="567"/>
      <c r="EC27" s="567"/>
      <c r="ED27" s="567"/>
      <c r="EE27" s="567"/>
      <c r="EF27" s="567"/>
      <c r="EG27" s="567"/>
      <c r="EH27" s="567"/>
      <c r="EI27" s="567"/>
      <c r="EJ27" s="567"/>
      <c r="EK27" s="567"/>
      <c r="EL27" s="567"/>
      <c r="EM27" s="567"/>
      <c r="EN27" s="567"/>
      <c r="EO27" s="567"/>
      <c r="EP27" s="567"/>
      <c r="EQ27" s="567"/>
      <c r="ER27" s="567"/>
      <c r="ES27" s="567"/>
      <c r="ET27" s="567"/>
      <c r="EU27" s="567"/>
      <c r="EV27" s="567"/>
      <c r="EW27" s="567"/>
      <c r="EX27" s="567"/>
      <c r="EY27" s="567"/>
      <c r="EZ27" s="567"/>
      <c r="FA27" s="567"/>
      <c r="FB27" s="567"/>
      <c r="FC27" s="567"/>
      <c r="FD27" s="567"/>
      <c r="FE27" s="567"/>
      <c r="FF27" s="567"/>
      <c r="FG27" s="567"/>
      <c r="FH27" s="567"/>
      <c r="FI27" s="567"/>
      <c r="FJ27" s="567"/>
      <c r="FK27" s="567"/>
      <c r="FL27" s="567"/>
      <c r="FM27" s="567"/>
      <c r="FN27" s="567"/>
      <c r="FO27" s="567"/>
      <c r="FP27" s="567"/>
      <c r="FQ27" s="567"/>
      <c r="FR27" s="567"/>
      <c r="FS27" s="567"/>
      <c r="FT27" s="567"/>
      <c r="FU27" s="567"/>
      <c r="FV27" s="567"/>
      <c r="FW27" s="568"/>
      <c r="GA27" s="1015"/>
      <c r="GB27" s="1015"/>
      <c r="GC27" s="1015"/>
      <c r="GD27" s="1015"/>
    </row>
    <row r="28" spans="1:186" ht="21.95" hidden="1" customHeight="1">
      <c r="E28" s="676">
        <v>22.5</v>
      </c>
      <c r="F28" s="779" cm="1">
        <f t="array" ref="F28">X28</f>
        <v>0</v>
      </c>
      <c r="G28" s="620" cm="1">
        <f t="array" ref="G28">INDEX('Общие сведения'!$AK$187:$AK$236,MATCH($F28,'Общие сведения'!$Z$187:$Z$236,0))</f>
        <v>0</v>
      </c>
      <c r="Q28" s="1092"/>
      <c r="R28" s="163" cm="1">
        <f t="array" ref="R28">INDEX('Общие сведения'!$AK$187:$AK$236,MATCH($F28,'Общие сведения'!$Z$187:$Z$236,0))</f>
        <v>0</v>
      </c>
      <c r="T28" s="687" t="b">
        <f>X28&gt;0</f>
        <v>0</v>
      </c>
      <c r="V28" s="126" t="s">
        <v>315</v>
      </c>
      <c r="X28" s="1726">
        <v>0</v>
      </c>
      <c r="Z28" s="1726"/>
      <c r="AB28" s="1854" t="s">
        <v>396</v>
      </c>
      <c r="AC28" s="1855"/>
      <c r="AD28" s="298" t="str">
        <f>"Тариф "&amp;F28</f>
        <v>Тариф 0</v>
      </c>
      <c r="AE28" s="299"/>
      <c r="AF28" s="299"/>
      <c r="AG28" s="299"/>
      <c r="AH28" s="299"/>
      <c r="AI28" s="299"/>
      <c r="AJ28" s="299"/>
      <c r="AK28" s="299"/>
      <c r="AL28" s="299"/>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299"/>
      <c r="BL28" s="299"/>
      <c r="BM28" s="299"/>
      <c r="BN28" s="299"/>
      <c r="BO28" s="299"/>
      <c r="BP28" s="299"/>
      <c r="BQ28" s="299"/>
      <c r="BR28" s="299"/>
      <c r="BS28" s="299"/>
      <c r="BT28" s="299"/>
      <c r="BU28" s="299"/>
      <c r="BV28" s="299"/>
      <c r="BW28" s="299"/>
      <c r="BX28" s="299"/>
      <c r="BY28" s="299"/>
      <c r="BZ28" s="299"/>
      <c r="CA28" s="299"/>
      <c r="CB28" s="299"/>
      <c r="CC28" s="299"/>
      <c r="CD28" s="299"/>
      <c r="CE28" s="299"/>
      <c r="CF28" s="299"/>
      <c r="CG28" s="299"/>
      <c r="CH28" s="299"/>
      <c r="CI28" s="299"/>
      <c r="CJ28" s="299"/>
      <c r="CK28" s="299"/>
      <c r="CL28" s="299"/>
      <c r="CM28" s="299"/>
      <c r="CN28" s="299"/>
      <c r="CO28" s="299"/>
      <c r="CP28" s="299"/>
      <c r="CQ28" s="299"/>
      <c r="CR28" s="299"/>
      <c r="CS28" s="299"/>
      <c r="CT28" s="299"/>
      <c r="CU28" s="299"/>
      <c r="CV28" s="299"/>
      <c r="CW28" s="299"/>
      <c r="CX28" s="299"/>
      <c r="CY28" s="299"/>
      <c r="CZ28" s="299"/>
      <c r="DA28" s="299"/>
      <c r="DB28" s="299"/>
      <c r="DC28" s="299"/>
      <c r="DD28" s="299"/>
      <c r="DE28" s="299"/>
      <c r="DF28" s="299"/>
      <c r="DG28" s="299"/>
      <c r="DH28" s="299"/>
      <c r="DI28" s="299"/>
      <c r="DJ28" s="299"/>
      <c r="DK28" s="299"/>
      <c r="DL28" s="299"/>
      <c r="DM28" s="299"/>
      <c r="DN28" s="299"/>
      <c r="DO28" s="299"/>
      <c r="DP28" s="299"/>
      <c r="DQ28" s="299"/>
      <c r="DR28" s="299"/>
      <c r="DS28" s="299"/>
      <c r="DT28" s="299"/>
      <c r="DU28" s="299"/>
      <c r="DV28" s="299"/>
      <c r="DW28" s="299"/>
      <c r="DX28" s="299"/>
      <c r="DY28" s="299"/>
      <c r="DZ28" s="299"/>
      <c r="EA28" s="299"/>
      <c r="EB28" s="299"/>
      <c r="EC28" s="299"/>
      <c r="ED28" s="299"/>
      <c r="EE28" s="299"/>
      <c r="EF28" s="299"/>
      <c r="EG28" s="299"/>
      <c r="EH28" s="299"/>
      <c r="EI28" s="299"/>
      <c r="EJ28" s="299"/>
      <c r="EK28" s="299"/>
      <c r="EL28" s="299"/>
      <c r="EM28" s="299"/>
      <c r="EN28" s="299"/>
      <c r="EO28" s="299"/>
      <c r="EP28" s="299"/>
      <c r="EQ28" s="299"/>
      <c r="ER28" s="299"/>
      <c r="ES28" s="299"/>
      <c r="ET28" s="299"/>
      <c r="EU28" s="299"/>
      <c r="EV28" s="299"/>
      <c r="EW28" s="299"/>
      <c r="EX28" s="299"/>
      <c r="EY28" s="299"/>
      <c r="EZ28" s="299"/>
      <c r="FA28" s="299"/>
      <c r="FB28" s="299"/>
      <c r="FC28" s="299"/>
      <c r="FD28" s="299"/>
      <c r="FE28" s="299"/>
      <c r="FF28" s="299"/>
      <c r="FG28" s="299"/>
      <c r="FH28" s="299"/>
      <c r="FI28" s="299"/>
      <c r="FJ28" s="299"/>
      <c r="FK28" s="299"/>
      <c r="FL28" s="299"/>
      <c r="FM28" s="299"/>
      <c r="FN28" s="299"/>
      <c r="FO28" s="299"/>
      <c r="FP28" s="299"/>
      <c r="FQ28" s="299"/>
      <c r="FR28" s="299"/>
      <c r="FS28" s="299"/>
      <c r="FT28" s="299"/>
      <c r="FU28" s="299"/>
      <c r="FV28" s="299"/>
      <c r="FW28" s="300"/>
      <c r="GA28" s="981"/>
      <c r="GB28" s="981"/>
      <c r="GC28" s="981"/>
      <c r="GD28" s="981"/>
    </row>
    <row r="29" spans="1:186" ht="15" hidden="1" customHeight="1">
      <c r="E29" s="676">
        <v>0</v>
      </c>
      <c r="F29" s="779" cm="1">
        <f t="array" aca="1" ref="F29" ca="1">OFFSET(G29,-1,-1)</f>
        <v>0</v>
      </c>
      <c r="Q29" s="1092"/>
      <c r="T29" s="687" t="b">
        <v>0</v>
      </c>
      <c r="X29" s="1726"/>
      <c r="Z29" s="1726"/>
      <c r="AB29" s="1682"/>
      <c r="AC29" s="1684"/>
      <c r="AD29" s="298"/>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301"/>
      <c r="BW29" s="301"/>
      <c r="BX29" s="301"/>
      <c r="BY29" s="301"/>
      <c r="BZ29" s="301"/>
      <c r="CA29" s="301"/>
      <c r="CB29" s="301"/>
      <c r="CC29" s="301"/>
      <c r="CD29" s="301"/>
      <c r="CE29" s="301"/>
      <c r="CF29" s="301"/>
      <c r="CG29" s="301"/>
      <c r="CH29" s="301"/>
      <c r="CI29" s="301"/>
      <c r="CJ29" s="301"/>
      <c r="CK29" s="301"/>
      <c r="CL29" s="301"/>
      <c r="CM29" s="301"/>
      <c r="CN29" s="301"/>
      <c r="CO29" s="301"/>
      <c r="CP29" s="301"/>
      <c r="CQ29" s="301"/>
      <c r="CR29" s="301"/>
      <c r="CS29" s="301"/>
      <c r="CT29" s="301"/>
      <c r="CU29" s="301"/>
      <c r="CV29" s="301"/>
      <c r="CW29" s="301"/>
      <c r="CX29" s="301"/>
      <c r="CY29" s="301"/>
      <c r="CZ29" s="301"/>
      <c r="DA29" s="301"/>
      <c r="DB29" s="301"/>
      <c r="DC29" s="301"/>
      <c r="DD29" s="301"/>
      <c r="DE29" s="301"/>
      <c r="DF29" s="301"/>
      <c r="DG29" s="301"/>
      <c r="DH29" s="301"/>
      <c r="DI29" s="301"/>
      <c r="DJ29" s="301"/>
      <c r="DK29" s="301"/>
      <c r="DL29" s="301"/>
      <c r="DM29" s="301"/>
      <c r="DN29" s="301"/>
      <c r="DO29" s="301"/>
      <c r="DP29" s="301"/>
      <c r="DQ29" s="301"/>
      <c r="DR29" s="301"/>
      <c r="DS29" s="301"/>
      <c r="DT29" s="301"/>
      <c r="DU29" s="301"/>
      <c r="DV29" s="301"/>
      <c r="DW29" s="301"/>
      <c r="DX29" s="301"/>
      <c r="DY29" s="301"/>
      <c r="DZ29" s="301"/>
      <c r="EA29" s="301"/>
      <c r="EB29" s="301"/>
      <c r="EC29" s="301"/>
      <c r="ED29" s="301"/>
      <c r="EE29" s="301"/>
      <c r="EF29" s="301"/>
      <c r="EG29" s="301"/>
      <c r="EH29" s="301"/>
      <c r="EI29" s="301"/>
      <c r="EJ29" s="301"/>
      <c r="EK29" s="301"/>
      <c r="EL29" s="301"/>
      <c r="EM29" s="301"/>
      <c r="EN29" s="301"/>
      <c r="EO29" s="301"/>
      <c r="EP29" s="301"/>
      <c r="EQ29" s="301"/>
      <c r="ER29" s="301"/>
      <c r="ES29" s="301"/>
      <c r="ET29" s="301"/>
      <c r="EU29" s="301"/>
      <c r="EV29" s="301"/>
      <c r="EW29" s="301"/>
      <c r="EX29" s="301"/>
      <c r="EY29" s="301"/>
      <c r="EZ29" s="301"/>
      <c r="FA29" s="301"/>
      <c r="FB29" s="301"/>
      <c r="FC29" s="301"/>
      <c r="FD29" s="301"/>
      <c r="FE29" s="301"/>
      <c r="FF29" s="301"/>
      <c r="FG29" s="301"/>
      <c r="FH29" s="301"/>
      <c r="FI29" s="301"/>
      <c r="FJ29" s="301"/>
      <c r="FK29" s="301"/>
      <c r="FL29" s="301"/>
      <c r="FM29" s="301"/>
      <c r="FN29" s="301"/>
      <c r="FO29" s="301"/>
      <c r="FP29" s="301"/>
      <c r="FQ29" s="301"/>
      <c r="FR29" s="301"/>
      <c r="FS29" s="301"/>
      <c r="FT29" s="301"/>
      <c r="FU29" s="301"/>
      <c r="FV29" s="301"/>
      <c r="FW29" s="302"/>
      <c r="GA29" s="981"/>
      <c r="GB29" s="981"/>
      <c r="GC29" s="981"/>
      <c r="GD29" s="981"/>
    </row>
    <row r="30" spans="1:186" ht="16.7" hidden="1" customHeight="1">
      <c r="E30" s="676">
        <v>17.100000000000001</v>
      </c>
      <c r="F30" s="779" cm="1">
        <f t="array" aca="1" ref="F30" ca="1">OFFSET(G30,-1,-1)</f>
        <v>0</v>
      </c>
      <c r="Q30" s="1092"/>
      <c r="T30" s="687" t="b" cm="1">
        <f t="array" ref="T30">T28</f>
        <v>0</v>
      </c>
      <c r="X30" s="1726"/>
      <c r="Z30" s="1726"/>
      <c r="AB30" s="1682" t="s">
        <v>2143</v>
      </c>
      <c r="AC30" s="1684"/>
      <c r="AD30" s="298" cm="1">
        <f t="array" aca="1" ref="AD30" ca="1">INDEX('Общие сведения'!$AM$187:$AM$236,MATCH($F30,'Общие сведения'!$Z$187:$Z$236,0))</f>
        <v>0</v>
      </c>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301"/>
      <c r="BS30" s="301"/>
      <c r="BT30" s="301"/>
      <c r="BU30" s="301"/>
      <c r="BV30" s="301"/>
      <c r="BW30" s="301"/>
      <c r="BX30" s="301"/>
      <c r="BY30" s="301"/>
      <c r="BZ30" s="301"/>
      <c r="CA30" s="301"/>
      <c r="CB30" s="301"/>
      <c r="CC30" s="301"/>
      <c r="CD30" s="301"/>
      <c r="CE30" s="301"/>
      <c r="CF30" s="301"/>
      <c r="CG30" s="301"/>
      <c r="CH30" s="301"/>
      <c r="CI30" s="301"/>
      <c r="CJ30" s="301"/>
      <c r="CK30" s="301"/>
      <c r="CL30" s="301"/>
      <c r="CM30" s="301"/>
      <c r="CN30" s="301"/>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1"/>
      <c r="DL30" s="301"/>
      <c r="DM30" s="301"/>
      <c r="DN30" s="301"/>
      <c r="DO30" s="301"/>
      <c r="DP30" s="301"/>
      <c r="DQ30" s="301"/>
      <c r="DR30" s="301"/>
      <c r="DS30" s="301"/>
      <c r="DT30" s="301"/>
      <c r="DU30" s="301"/>
      <c r="DV30" s="301"/>
      <c r="DW30" s="301"/>
      <c r="DX30" s="301"/>
      <c r="DY30" s="301"/>
      <c r="DZ30" s="301"/>
      <c r="EA30" s="301"/>
      <c r="EB30" s="301"/>
      <c r="EC30" s="301"/>
      <c r="ED30" s="301"/>
      <c r="EE30" s="301"/>
      <c r="EF30" s="301"/>
      <c r="EG30" s="301"/>
      <c r="EH30" s="301"/>
      <c r="EI30" s="301"/>
      <c r="EJ30" s="301"/>
      <c r="EK30" s="301"/>
      <c r="EL30" s="301"/>
      <c r="EM30" s="301"/>
      <c r="EN30" s="301"/>
      <c r="EO30" s="301"/>
      <c r="EP30" s="301"/>
      <c r="EQ30" s="301"/>
      <c r="ER30" s="301"/>
      <c r="ES30" s="301"/>
      <c r="ET30" s="301"/>
      <c r="EU30" s="301"/>
      <c r="EV30" s="301"/>
      <c r="EW30" s="301"/>
      <c r="EX30" s="301"/>
      <c r="EY30" s="301"/>
      <c r="EZ30" s="301"/>
      <c r="FA30" s="301"/>
      <c r="FB30" s="301"/>
      <c r="FC30" s="301"/>
      <c r="FD30" s="301"/>
      <c r="FE30" s="301"/>
      <c r="FF30" s="301"/>
      <c r="FG30" s="301"/>
      <c r="FH30" s="301"/>
      <c r="FI30" s="301"/>
      <c r="FJ30" s="301"/>
      <c r="FK30" s="301"/>
      <c r="FL30" s="301"/>
      <c r="FM30" s="301"/>
      <c r="FN30" s="301"/>
      <c r="FO30" s="301"/>
      <c r="FP30" s="301"/>
      <c r="FQ30" s="301"/>
      <c r="FR30" s="301"/>
      <c r="FS30" s="301"/>
      <c r="FT30" s="301"/>
      <c r="FU30" s="301"/>
      <c r="FV30" s="301"/>
      <c r="FW30" s="302"/>
      <c r="GA30" s="981"/>
      <c r="GB30" s="981"/>
      <c r="GC30" s="981"/>
      <c r="GD30" s="981"/>
    </row>
    <row r="31" spans="1:186" ht="16.7" hidden="1" customHeight="1">
      <c r="E31" s="676">
        <v>17.100000000000001</v>
      </c>
      <c r="F31" s="779" cm="1">
        <f t="array" aca="1" ref="F31" ca="1">OFFSET(G31,-1,-1)</f>
        <v>0</v>
      </c>
      <c r="Q31" s="1092"/>
      <c r="T31" s="687" t="b" cm="1">
        <f t="array" ref="T31">T30</f>
        <v>0</v>
      </c>
      <c r="X31" s="1726"/>
      <c r="Z31" s="1726"/>
      <c r="AB31" s="1682" t="s">
        <v>2144</v>
      </c>
      <c r="AC31" s="1684"/>
      <c r="AD31" s="298" cm="1">
        <f t="array" aca="1" ref="AD31" ca="1">INDEX('Общие сведения'!$AJ$187:$AJ$236,MATCH($F31,'Общие сведения'!$Z$187:$Z$236,0))</f>
        <v>0</v>
      </c>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301"/>
      <c r="BW31" s="301"/>
      <c r="BX31" s="301"/>
      <c r="BY31" s="301"/>
      <c r="BZ31" s="301"/>
      <c r="CA31" s="301"/>
      <c r="CB31" s="301"/>
      <c r="CC31" s="301"/>
      <c r="CD31" s="301"/>
      <c r="CE31" s="301"/>
      <c r="CF31" s="301"/>
      <c r="CG31" s="301"/>
      <c r="CH31" s="301"/>
      <c r="CI31" s="301"/>
      <c r="CJ31" s="301"/>
      <c r="CK31" s="301"/>
      <c r="CL31" s="301"/>
      <c r="CM31" s="301"/>
      <c r="CN31" s="301"/>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1"/>
      <c r="DL31" s="301"/>
      <c r="DM31" s="301"/>
      <c r="DN31" s="301"/>
      <c r="DO31" s="301"/>
      <c r="DP31" s="301"/>
      <c r="DQ31" s="301"/>
      <c r="DR31" s="301"/>
      <c r="DS31" s="301"/>
      <c r="DT31" s="301"/>
      <c r="DU31" s="301"/>
      <c r="DV31" s="301"/>
      <c r="DW31" s="301"/>
      <c r="DX31" s="301"/>
      <c r="DY31" s="301"/>
      <c r="DZ31" s="301"/>
      <c r="EA31" s="301"/>
      <c r="EB31" s="301"/>
      <c r="EC31" s="301"/>
      <c r="ED31" s="301"/>
      <c r="EE31" s="301"/>
      <c r="EF31" s="301"/>
      <c r="EG31" s="301"/>
      <c r="EH31" s="301"/>
      <c r="EI31" s="301"/>
      <c r="EJ31" s="301"/>
      <c r="EK31" s="301"/>
      <c r="EL31" s="301"/>
      <c r="EM31" s="301"/>
      <c r="EN31" s="301"/>
      <c r="EO31" s="301"/>
      <c r="EP31" s="301"/>
      <c r="EQ31" s="301"/>
      <c r="ER31" s="301"/>
      <c r="ES31" s="301"/>
      <c r="ET31" s="301"/>
      <c r="EU31" s="301"/>
      <c r="EV31" s="301"/>
      <c r="EW31" s="301"/>
      <c r="EX31" s="301"/>
      <c r="EY31" s="301"/>
      <c r="EZ31" s="301"/>
      <c r="FA31" s="301"/>
      <c r="FB31" s="301"/>
      <c r="FC31" s="301"/>
      <c r="FD31" s="301"/>
      <c r="FE31" s="301"/>
      <c r="FF31" s="301"/>
      <c r="FG31" s="301"/>
      <c r="FH31" s="301"/>
      <c r="FI31" s="301"/>
      <c r="FJ31" s="301"/>
      <c r="FK31" s="301"/>
      <c r="FL31" s="301"/>
      <c r="FM31" s="301"/>
      <c r="FN31" s="301"/>
      <c r="FO31" s="301"/>
      <c r="FP31" s="301"/>
      <c r="FQ31" s="301"/>
      <c r="FR31" s="301"/>
      <c r="FS31" s="301"/>
      <c r="FT31" s="301"/>
      <c r="FU31" s="301"/>
      <c r="FV31" s="301"/>
      <c r="FW31" s="302"/>
      <c r="GA31" s="981"/>
      <c r="GB31" s="981"/>
      <c r="GC31" s="981"/>
      <c r="GD31" s="981"/>
    </row>
    <row r="32" spans="1:186" ht="16.7" hidden="1" customHeight="1">
      <c r="B32" s="813" t="b">
        <f>R28="одноставочный"</f>
        <v>0</v>
      </c>
      <c r="E32" s="676">
        <v>17.100000000000001</v>
      </c>
      <c r="F32" s="779" cm="1">
        <f t="array" aca="1" ref="F32" ca="1">OFFSET(G32,-1,-1)</f>
        <v>0</v>
      </c>
      <c r="Q32" s="1092"/>
      <c r="T32" s="687" t="b">
        <f ca="1">AND(F32&gt;0,G28="одноставочный")</f>
        <v>0</v>
      </c>
      <c r="X32" s="1726"/>
      <c r="Z32" s="1726"/>
      <c r="AB32" s="303" t="s">
        <v>2145</v>
      </c>
      <c r="AC32" s="304"/>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6"/>
      <c r="BK32" s="305"/>
      <c r="BL32" s="305"/>
      <c r="BM32" s="306"/>
      <c r="BN32" s="305"/>
      <c r="BO32" s="305"/>
      <c r="BP32" s="306"/>
      <c r="BQ32" s="305"/>
      <c r="BR32" s="305"/>
      <c r="BS32" s="306"/>
      <c r="BT32" s="305"/>
      <c r="BU32" s="305"/>
      <c r="BV32" s="306"/>
      <c r="BW32" s="305"/>
      <c r="BX32" s="305"/>
      <c r="BY32" s="306"/>
      <c r="BZ32" s="305"/>
      <c r="CA32" s="305"/>
      <c r="CB32" s="306"/>
      <c r="CC32" s="305"/>
      <c r="CD32" s="305"/>
      <c r="CE32" s="306"/>
      <c r="CF32" s="305"/>
      <c r="CG32" s="305"/>
      <c r="CH32" s="306"/>
      <c r="CI32" s="305"/>
      <c r="CJ32" s="305"/>
      <c r="CK32" s="306"/>
      <c r="CL32" s="305"/>
      <c r="CM32" s="305"/>
      <c r="CN32" s="306"/>
      <c r="CO32" s="305"/>
      <c r="CP32" s="305"/>
      <c r="CQ32" s="306"/>
      <c r="CR32" s="305"/>
      <c r="CS32" s="305"/>
      <c r="CT32" s="306"/>
      <c r="CU32" s="305"/>
      <c r="CV32" s="305"/>
      <c r="CW32" s="306"/>
      <c r="CX32" s="305"/>
      <c r="CY32" s="305"/>
      <c r="CZ32" s="306"/>
      <c r="DA32" s="305"/>
      <c r="DB32" s="305"/>
      <c r="DC32" s="306"/>
      <c r="DD32" s="305"/>
      <c r="DE32" s="305"/>
      <c r="DF32" s="306"/>
      <c r="DG32" s="305"/>
      <c r="DH32" s="305"/>
      <c r="DI32" s="306"/>
      <c r="DJ32" s="305"/>
      <c r="DK32" s="305"/>
      <c r="DL32" s="306"/>
      <c r="DM32" s="305"/>
      <c r="DN32" s="305"/>
      <c r="DO32" s="306"/>
      <c r="DP32" s="305"/>
      <c r="DQ32" s="305"/>
      <c r="DR32" s="306"/>
      <c r="DS32" s="305"/>
      <c r="DT32" s="305"/>
      <c r="DU32" s="306"/>
      <c r="DV32" s="305"/>
      <c r="DW32" s="305"/>
      <c r="DX32" s="306"/>
      <c r="DY32" s="305"/>
      <c r="DZ32" s="305"/>
      <c r="EA32" s="306"/>
      <c r="EB32" s="305"/>
      <c r="EC32" s="305"/>
      <c r="ED32" s="306"/>
      <c r="EE32" s="305"/>
      <c r="EF32" s="305"/>
      <c r="EG32" s="306"/>
      <c r="EH32" s="305"/>
      <c r="EI32" s="305"/>
      <c r="EJ32" s="306"/>
      <c r="EK32" s="305"/>
      <c r="EL32" s="305"/>
      <c r="EM32" s="306"/>
      <c r="EN32" s="305"/>
      <c r="EO32" s="305"/>
      <c r="EP32" s="306"/>
      <c r="EQ32" s="305"/>
      <c r="ER32" s="305"/>
      <c r="ES32" s="306"/>
      <c r="ET32" s="305"/>
      <c r="EU32" s="305"/>
      <c r="EV32" s="306"/>
      <c r="EW32" s="305"/>
      <c r="EX32" s="305"/>
      <c r="EY32" s="306"/>
      <c r="EZ32" s="305"/>
      <c r="FA32" s="305"/>
      <c r="FB32" s="306"/>
      <c r="FC32" s="305"/>
      <c r="FD32" s="305"/>
      <c r="FE32" s="306"/>
      <c r="FF32" s="305"/>
      <c r="FG32" s="305"/>
      <c r="FH32" s="306"/>
      <c r="FI32" s="305"/>
      <c r="FJ32" s="305"/>
      <c r="FK32" s="306"/>
      <c r="FL32" s="305"/>
      <c r="FM32" s="305"/>
      <c r="FN32" s="306"/>
      <c r="FO32" s="305"/>
      <c r="FP32" s="305"/>
      <c r="FQ32" s="306"/>
      <c r="FR32" s="305"/>
      <c r="FS32" s="305"/>
      <c r="FT32" s="306"/>
      <c r="FU32" s="305"/>
      <c r="FV32" s="305"/>
      <c r="FW32" s="306"/>
      <c r="GA32" s="981"/>
      <c r="GB32" s="981"/>
      <c r="GC32" s="981"/>
      <c r="GD32" s="981"/>
    </row>
    <row r="33" spans="2:186" s="307" customFormat="1" ht="16.7" hidden="1" customHeight="1">
      <c r="B33" s="813" t="b" cm="1">
        <f t="array" ref="B33">B32</f>
        <v>0</v>
      </c>
      <c r="C33" s="1118" t="s">
        <v>2146</v>
      </c>
      <c r="D33" s="1087" t="s">
        <v>2147</v>
      </c>
      <c r="E33" s="676">
        <v>17.100000000000001</v>
      </c>
      <c r="F33" s="779" cm="1">
        <f t="array" aca="1" ref="F33" ca="1">OFFSET(G33,-1,-1)</f>
        <v>0</v>
      </c>
      <c r="G33" s="620" t="s">
        <v>1787</v>
      </c>
      <c r="H33" s="163" t="s">
        <v>536</v>
      </c>
      <c r="I33" s="163" t="s">
        <v>2148</v>
      </c>
      <c r="J33" s="1108" t="s">
        <v>2149</v>
      </c>
      <c r="K33" s="1108" cm="1">
        <f t="array" aca="1" ref="K33" ca="1">INDEX('Общие сведения'!$N$187:$N$236,MATCH($F33,'Общие сведения'!$Z$187:$Z$236,0)+1)</f>
        <v>0</v>
      </c>
      <c r="L33" s="1108" t="s">
        <v>2150</v>
      </c>
      <c r="M33" s="1108" t="s">
        <v>1782</v>
      </c>
      <c r="N33" s="1108" t="s">
        <v>2151</v>
      </c>
      <c r="O33" s="1109" t="s">
        <v>2152</v>
      </c>
      <c r="P33" s="1108"/>
      <c r="Q33" s="1108"/>
      <c r="T33" s="687" t="b" cm="1">
        <f t="array" aca="1" ref="T33" ca="1">T32</f>
        <v>0</v>
      </c>
      <c r="X33" s="1853"/>
      <c r="Z33" s="1853"/>
      <c r="AB33" s="1140" t="s">
        <v>2153</v>
      </c>
      <c r="AC33" s="308" t="s">
        <v>929</v>
      </c>
      <c r="AD33" s="99">
        <f ca="1">IF(method_reg="Метод экономически обоснованных расходов",SUMIFS('Калькуляция (4.6)'!AJ$25:AJ$229,'Калькуляция (4.6)'!$F$25:$F$229,$F33,'Калькуляция (4.6)'!$G$25:$G$229,$G33),IF(method_reg="Метод сравнения аналогов",SUMIFS(INDEX('Калькуляция (МСА)'!$AE$25:$BC$109,,MATCH(AD$8,'Калькуляция (МСА)'!$AE$8:$BC$8,0)),'Калькуляция (МСА)'!$F$25:$F$109,$F33,'Калькуляция (МСА)'!$G$25:$G$109,$G33),SUMIFS(INDEX('Калькуляция (5.9)'!$AJ$25:$BC$194,,MATCH(AD$8,'Калькуляция (5.9)'!$AJ$8:$BC$8,0)),'Калькуляция (5.9)'!$F$25:$F$194,$F33,'Калькуляция (5.9)'!$G$25:$G$194,$G33)))</f>
        <v>0</v>
      </c>
      <c r="AE33" s="99">
        <f ca="1">IF(method_reg="Метод экономически обоснованных расходов",SUMIFS('Калькуляция (4.6)'!AK$25:AK$229,'Калькуляция (4.6)'!$F$25:$F$229,$F33,'Калькуляция (4.6)'!$G$25:$G$229,$G33),IF(method_reg="Метод сравнения аналогов",SUMIFS(INDEX('Калькуляция (МСА)'!$AE$25:$BC$109,,MATCH(AE$8,'Калькуляция (МСА)'!$AE$8:$BC$8,0)),'Калькуляция (МСА)'!$F$25:$F$109,$F33,'Калькуляция (МСА)'!$G$25:$G$109,$G33),SUMIFS(INDEX('Калькуляция (5.9)'!$AJ$25:$BC$194,,MATCH(AE$8,'Калькуляция (5.9)'!$AJ$8:$BC$8,0)),'Калькуляция (5.9)'!$F$25:$F$194,$F33,'Калькуляция (5.9)'!$G$25:$G$194,$G33)))</f>
        <v>0</v>
      </c>
      <c r="AF33" s="310">
        <f ca="1">IF(AD33=0,0,(AE33-AD33)/AD33*100)</f>
        <v>0</v>
      </c>
      <c r="AG33" s="309">
        <f ca="1">IF(method_reg="Метод сравнения аналогов",SUMIFS(INDEX('Калькуляция (МСА)'!$AE$25:$BC$109,,MATCH(AG$8,'Калькуляция (МСА)'!$AE$8:$BC$8,0)),'Калькуляция (МСА)'!$F$25:$F$109,$F33,'Калькуляция (МСА)'!$G$25:$G$109,$G33),SUMIFS(INDEX('Калькуляция (5.9)'!$AJ$25:$BC$194,,MATCH(AG$8,'Калькуляция (5.9)'!$AJ$8:$BC$8,0)),'Калькуляция (5.9)'!$F$25:$F$194,$F33,'Калькуляция (5.9)'!$G$25:$G$194,$G33))</f>
        <v>0</v>
      </c>
      <c r="AH33" s="309">
        <f ca="1">IF(method_reg="Метод сравнения аналогов",SUMIFS(INDEX('Калькуляция (МСА)'!$AE$25:$BC$109,,MATCH(AH$8,'Калькуляция (МСА)'!$AE$8:$BC$8,0)),'Калькуляция (МСА)'!$F$25:$F$109,$F33,'Калькуляция (МСА)'!$G$25:$G$109,$G33),SUMIFS(INDEX('Калькуляция (5.9)'!$AJ$25:$BC$194,,MATCH(AH$8,'Калькуляция (5.9)'!$AJ$8:$BC$8,0)),'Калькуляция (5.9)'!$F$25:$F$194,$F33,'Калькуляция (5.9)'!$G$25:$G$194,$G33))</f>
        <v>0</v>
      </c>
      <c r="AI33" s="310">
        <f ca="1">IF(AG33=0,0,(AH33-AG33)/AG33*100)</f>
        <v>0</v>
      </c>
      <c r="AJ33" s="309">
        <f ca="1">IF(method_reg="Метод сравнения аналогов",SUMIFS(INDEX('Калькуляция (МСА)'!$AE$25:$BC$109,,MATCH(AJ$8,'Калькуляция (МСА)'!$AE$8:$BC$8,0)),'Калькуляция (МСА)'!$F$25:$F$109,$F33,'Калькуляция (МСА)'!$G$25:$G$109,$G33),SUMIFS(INDEX('Калькуляция (5.9)'!$AJ$25:$BC$194,,MATCH(AJ$8,'Калькуляция (5.9)'!$AJ$8:$BC$8,0)),'Калькуляция (5.9)'!$F$25:$F$194,$F33,'Калькуляция (5.9)'!$G$25:$G$194,$G33))</f>
        <v>0</v>
      </c>
      <c r="AK33" s="309">
        <f ca="1">IF(method_reg="Метод сравнения аналогов",SUMIFS(INDEX('Калькуляция (МСА)'!$AE$25:$BC$109,,MATCH(AK$8,'Калькуляция (МСА)'!$AE$8:$BC$8,0)),'Калькуляция (МСА)'!$F$25:$F$109,$F33,'Калькуляция (МСА)'!$G$25:$G$109,$G33),SUMIFS(INDEX('Калькуляция (5.9)'!$AJ$25:$BC$194,,MATCH(AK$8,'Калькуляция (5.9)'!$AJ$8:$BC$8,0)),'Калькуляция (5.9)'!$F$25:$F$194,$F33,'Калькуляция (5.9)'!$G$25:$G$194,$G33))</f>
        <v>0</v>
      </c>
      <c r="AL33" s="310">
        <f ca="1">IF(AJ33=0,0,(AK33-AJ33)/AJ33*100)</f>
        <v>0</v>
      </c>
      <c r="AM33" s="309">
        <f ca="1">IF(method_reg="Метод сравнения аналогов",SUMIFS(INDEX('Калькуляция (МСА)'!$AE$25:$BC$109,,MATCH(AM$8,'Калькуляция (МСА)'!$AE$8:$BC$8,0)),'Калькуляция (МСА)'!$F$25:$F$109,$F33,'Калькуляция (МСА)'!$G$25:$G$109,$G33),SUMIFS(INDEX('Калькуляция (5.9)'!$AJ$25:$BC$194,,MATCH(AM$8,'Калькуляция (5.9)'!$AJ$8:$BC$8,0)),'Калькуляция (5.9)'!$F$25:$F$194,$F33,'Калькуляция (5.9)'!$G$25:$G$194,$G33))</f>
        <v>0</v>
      </c>
      <c r="AN33" s="309">
        <f ca="1">IF(method_reg="Метод сравнения аналогов",SUMIFS(INDEX('Калькуляция (МСА)'!$AE$25:$BC$109,,MATCH(AN$8,'Калькуляция (МСА)'!$AE$8:$BC$8,0)),'Калькуляция (МСА)'!$F$25:$F$109,$F33,'Калькуляция (МСА)'!$G$25:$G$109,$G33),SUMIFS(INDEX('Калькуляция (5.9)'!$AJ$25:$BC$194,,MATCH(AN$8,'Калькуляция (5.9)'!$AJ$8:$BC$8,0)),'Калькуляция (5.9)'!$F$25:$F$194,$F33,'Калькуляция (5.9)'!$G$25:$G$194,$G33))</f>
        <v>0</v>
      </c>
      <c r="AO33" s="310">
        <f ca="1">IF(AM33=0,0,(AN33-AM33)/AM33*100)</f>
        <v>0</v>
      </c>
      <c r="AP33" s="309">
        <f ca="1">IF(method_reg="Метод сравнения аналогов",SUMIFS(INDEX('Калькуляция (МСА)'!$AE$25:$BC$109,,MATCH(AP$8,'Калькуляция (МСА)'!$AE$8:$BC$8,0)),'Калькуляция (МСА)'!$F$25:$F$109,$F33,'Калькуляция (МСА)'!$G$25:$G$109,$G33),SUMIFS(INDEX('Калькуляция (5.9)'!$AJ$25:$BC$194,,MATCH(AP$8,'Калькуляция (5.9)'!$AJ$8:$BC$8,0)),'Калькуляция (5.9)'!$F$25:$F$194,$F33,'Калькуляция (5.9)'!$G$25:$G$194,$G33))</f>
        <v>0</v>
      </c>
      <c r="AQ33" s="309">
        <f ca="1">IF(method_reg="Метод сравнения аналогов",SUMIFS(INDEX('Калькуляция (МСА)'!$AE$25:$BC$109,,MATCH(AQ$8,'Калькуляция (МСА)'!$AE$8:$BC$8,0)),'Калькуляция (МСА)'!$F$25:$F$109,$F33,'Калькуляция (МСА)'!$G$25:$G$109,$G33),SUMIFS(INDEX('Калькуляция (5.9)'!$AJ$25:$BC$194,,MATCH(AQ$8,'Калькуляция (5.9)'!$AJ$8:$BC$8,0)),'Калькуляция (5.9)'!$F$25:$F$194,$F33,'Калькуляция (5.9)'!$G$25:$G$194,$G33))</f>
        <v>0</v>
      </c>
      <c r="AR33" s="310">
        <f ca="1">IF(AP33=0,0,(AQ33-AP33)/AP33*100)</f>
        <v>0</v>
      </c>
      <c r="AS33" s="99">
        <f ca="1">IF(method_reg="Метод сравнения аналогов",SUMIFS(INDEX('Калькуляция (МСА)'!$AE$25:$BC$109,,MATCH(AS$8,'Калькуляция (МСА)'!$AE$8:$BC$8,0)),'Калькуляция (МСА)'!$F$25:$F$109,$F33,'Калькуляция (МСА)'!$G$25:$G$109,$G33),SUMIFS(INDEX('Калькуляция (5.9)'!$AJ$25:$BC$194,,MATCH(AS$8,'Калькуляция (5.9)'!$AJ$8:$BC$8,0)),'Калькуляция (5.9)'!$F$25:$F$194,$F33,'Калькуляция (5.9)'!$G$25:$G$194,$G33))</f>
        <v>0</v>
      </c>
      <c r="AT33" s="99">
        <f ca="1">IF(method_reg="Метод сравнения аналогов",SUMIFS(INDEX('Калькуляция (МСА)'!$AE$25:$BC$109,,MATCH(AT$8,'Калькуляция (МСА)'!$AE$8:$BC$8,0)),'Калькуляция (МСА)'!$F$25:$F$109,$F33,'Калькуляция (МСА)'!$G$25:$G$109,$G33),SUMIFS(INDEX('Калькуляция (5.9)'!$AJ$25:$BC$194,,MATCH(AT$8,'Калькуляция (5.9)'!$AJ$8:$BC$8,0)),'Калькуляция (5.9)'!$F$25:$F$194,$F33,'Калькуляция (5.9)'!$G$25:$G$194,$G33))</f>
        <v>0</v>
      </c>
      <c r="AU33" s="310">
        <f ca="1">IF(AS33=0,0,(AT33-AS33)/AS33*100)</f>
        <v>0</v>
      </c>
      <c r="AV33" s="99">
        <f ca="1">IF(method_reg="Метод сравнения аналогов",SUMIFS(INDEX('Калькуляция (МСА)'!$AE$25:$BC$109,,MATCH(AV$8,'Калькуляция (МСА)'!$AE$8:$BC$8,0)),'Калькуляция (МСА)'!$F$25:$F$109,$F33,'Калькуляция (МСА)'!$G$25:$G$109,$G33),SUMIFS(INDEX('Калькуляция (5.9)'!$AJ$25:$BC$194,,MATCH(AV$8,'Калькуляция (5.9)'!$AJ$8:$BC$8,0)),'Калькуляция (5.9)'!$F$25:$F$194,$F33,'Калькуляция (5.9)'!$G$25:$G$194,$G33))</f>
        <v>0</v>
      </c>
      <c r="AW33" s="99">
        <f ca="1">IF(method_reg="Метод сравнения аналогов",SUMIFS(INDEX('Калькуляция (МСА)'!$AE$25:$BC$109,,MATCH(AW$8,'Калькуляция (МСА)'!$AE$8:$BC$8,0)),'Калькуляция (МСА)'!$F$25:$F$109,$F33,'Калькуляция (МСА)'!$G$25:$G$109,$G33),SUMIFS(INDEX('Калькуляция (5.9)'!$AJ$25:$BC$194,,MATCH(AW$8,'Калькуляция (5.9)'!$AJ$8:$BC$8,0)),'Калькуляция (5.9)'!$F$25:$F$194,$F33,'Калькуляция (5.9)'!$G$25:$G$194,$G33))</f>
        <v>0</v>
      </c>
      <c r="AX33" s="310">
        <f ca="1">IF(AV33=0,0,(AW33-AV33)/AV33*100)</f>
        <v>0</v>
      </c>
      <c r="AY33" s="99">
        <f ca="1">IF(method_reg="Метод сравнения аналогов",SUMIFS(INDEX('Калькуляция (МСА)'!$AE$25:$BC$109,,MATCH(AY$8,'Калькуляция (МСА)'!$AE$8:$BC$8,0)),'Калькуляция (МСА)'!$F$25:$F$109,$F33,'Калькуляция (МСА)'!$G$25:$G$109,$G33),SUMIFS(INDEX('Калькуляция (5.9)'!$AJ$25:$BC$194,,MATCH(AY$8,'Калькуляция (5.9)'!$AJ$8:$BC$8,0)),'Калькуляция (5.9)'!$F$25:$F$194,$F33,'Калькуляция (5.9)'!$G$25:$G$194,$G33))</f>
        <v>0</v>
      </c>
      <c r="AZ33" s="99">
        <f ca="1">IF(method_reg="Метод сравнения аналогов",SUMIFS(INDEX('Калькуляция (МСА)'!$AE$25:$BC$109,,MATCH(AZ$8,'Калькуляция (МСА)'!$AE$8:$BC$8,0)),'Калькуляция (МСА)'!$F$25:$F$109,$F33,'Калькуляция (МСА)'!$G$25:$G$109,$G33),SUMIFS(INDEX('Калькуляция (5.9)'!$AJ$25:$BC$194,,MATCH(AZ$8,'Калькуляция (5.9)'!$AJ$8:$BC$8,0)),'Калькуляция (5.9)'!$F$25:$F$194,$F33,'Калькуляция (5.9)'!$G$25:$G$194,$G33))</f>
        <v>0</v>
      </c>
      <c r="BA33" s="310">
        <f ca="1">IF(AY33=0,0,(AZ33-AY33)/AY33*100)</f>
        <v>0</v>
      </c>
      <c r="BB33" s="99">
        <f ca="1">IF(method_reg="Метод сравнения аналогов",SUMIFS(INDEX('Калькуляция (МСА)'!$AE$25:$BC$109,,MATCH(BB$8,'Калькуляция (МСА)'!$AE$8:$BC$8,0)),'Калькуляция (МСА)'!$F$25:$F$109,$F33,'Калькуляция (МСА)'!$G$25:$G$109,$G33),SUMIFS(INDEX('Калькуляция (5.9)'!$AJ$25:$BC$194,,MATCH(BB$8,'Калькуляция (5.9)'!$AJ$8:$BC$8,0)),'Калькуляция (5.9)'!$F$25:$F$194,$F33,'Калькуляция (5.9)'!$G$25:$G$194,$G33))</f>
        <v>0</v>
      </c>
      <c r="BC33" s="99">
        <f ca="1">IF(method_reg="Метод сравнения аналогов",SUMIFS(INDEX('Калькуляция (МСА)'!$AE$25:$BC$109,,MATCH(BC$8,'Калькуляция (МСА)'!$AE$8:$BC$8,0)),'Калькуляция (МСА)'!$F$25:$F$109,$F33,'Калькуляция (МСА)'!$G$25:$G$109,$G33),SUMIFS(INDEX('Калькуляция (5.9)'!$AJ$25:$BC$194,,MATCH(BC$8,'Калькуляция (5.9)'!$AJ$8:$BC$8,0)),'Калькуляция (5.9)'!$F$25:$F$194,$F33,'Калькуляция (5.9)'!$G$25:$G$194,$G33))</f>
        <v>0</v>
      </c>
      <c r="BD33" s="310">
        <f ca="1">IF(BB33=0,0,(BC33-BB33)/BB33*100)</f>
        <v>0</v>
      </c>
      <c r="BE33" s="99">
        <f ca="1">IF(method_reg="Метод сравнения аналогов",SUMIFS(INDEX('Калькуляция (МСА)'!$AE$25:$BC$109,,MATCH(BE$8,'Калькуляция (МСА)'!$AE$8:$BC$8,0)),'Калькуляция (МСА)'!$F$25:$F$109,$F33,'Калькуляция (МСА)'!$G$25:$G$109,$G33),SUMIFS(INDEX('Калькуляция (5.9)'!$AJ$25:$BC$194,,MATCH(BE$8,'Калькуляция (5.9)'!$AJ$8:$BC$8,0)),'Калькуляция (5.9)'!$F$25:$F$194,$F33,'Калькуляция (5.9)'!$G$25:$G$194,$G33))</f>
        <v>0</v>
      </c>
      <c r="BF33" s="99">
        <f ca="1">IF(method_reg="Метод сравнения аналогов",SUMIFS(INDEX('Калькуляция (МСА)'!$AE$25:$BC$109,,MATCH(BF$8,'Калькуляция (МСА)'!$AE$8:$BC$8,0)),'Калькуляция (МСА)'!$F$25:$F$109,$F33,'Калькуляция (МСА)'!$G$25:$G$109,$G33),SUMIFS(INDEX('Калькуляция (5.9)'!$AJ$25:$BC$194,,MATCH(BF$8,'Калькуляция (5.9)'!$AJ$8:$BC$8,0)),'Калькуляция (5.9)'!$F$25:$F$194,$F33,'Калькуляция (5.9)'!$G$25:$G$194,$G33))</f>
        <v>0</v>
      </c>
      <c r="BG33" s="310">
        <f ca="1">IF(BE33=0,0,(BF33-BE33)/BE33*100)</f>
        <v>0</v>
      </c>
      <c r="BH33" s="99"/>
      <c r="BI33" s="99"/>
      <c r="BJ33" s="310">
        <f>IF(BH33=0,0,(BI33-BH33)/BH33*100)</f>
        <v>0</v>
      </c>
      <c r="BK33" s="99"/>
      <c r="BL33" s="99"/>
      <c r="BM33" s="310">
        <f>IF(BK33=0,0,(BL33-BK33)/BK33*100)</f>
        <v>0</v>
      </c>
      <c r="BN33" s="99"/>
      <c r="BO33" s="99"/>
      <c r="BP33" s="310">
        <f>IF(BN33=0,0,(BO33-BN33)/BN33*100)</f>
        <v>0</v>
      </c>
      <c r="BQ33" s="99"/>
      <c r="BR33" s="99"/>
      <c r="BS33" s="310">
        <f>IF(BQ33=0,0,(BR33-BQ33)/BQ33*100)</f>
        <v>0</v>
      </c>
      <c r="BT33" s="99"/>
      <c r="BU33" s="99"/>
      <c r="BV33" s="310">
        <f>IF(BT33=0,0,(BU33-BT33)/BT33*100)</f>
        <v>0</v>
      </c>
      <c r="BW33" s="99"/>
      <c r="BX33" s="99"/>
      <c r="BY33" s="310">
        <f>IF(BW33=0,0,(BX33-BW33)/BW33*100)</f>
        <v>0</v>
      </c>
      <c r="BZ33" s="99"/>
      <c r="CA33" s="99"/>
      <c r="CB33" s="310">
        <f>IF(BZ33=0,0,(CA33-BZ33)/BZ33*100)</f>
        <v>0</v>
      </c>
      <c r="CC33" s="99"/>
      <c r="CD33" s="99"/>
      <c r="CE33" s="310">
        <f>IF(CC33=0,0,(CD33-CC33)/CC33*100)</f>
        <v>0</v>
      </c>
      <c r="CF33" s="99"/>
      <c r="CG33" s="99"/>
      <c r="CH33" s="310">
        <f>IF(CF33=0,0,(CG33-CF33)/CF33*100)</f>
        <v>0</v>
      </c>
      <c r="CI33" s="99"/>
      <c r="CJ33" s="99"/>
      <c r="CK33" s="310">
        <f>IF(CI33=0,0,(CJ33-CI33)/CI33*100)</f>
        <v>0</v>
      </c>
      <c r="CL33" s="99"/>
      <c r="CM33" s="99"/>
      <c r="CN33" s="310">
        <f>IF(CL33=0,0,(CM33-CL33)/CL33*100)</f>
        <v>0</v>
      </c>
      <c r="CO33" s="99"/>
      <c r="CP33" s="99"/>
      <c r="CQ33" s="310">
        <f>IF(CO33=0,0,(CP33-CO33)/CO33*100)</f>
        <v>0</v>
      </c>
      <c r="CR33" s="99"/>
      <c r="CS33" s="99"/>
      <c r="CT33" s="310">
        <f>IF(CR33=0,0,(CS33-CR33)/CR33*100)</f>
        <v>0</v>
      </c>
      <c r="CU33" s="99"/>
      <c r="CV33" s="99"/>
      <c r="CW33" s="310">
        <f>IF(CU33=0,0,(CV33-CU33)/CU33*100)</f>
        <v>0</v>
      </c>
      <c r="CX33" s="99"/>
      <c r="CY33" s="99"/>
      <c r="CZ33" s="310">
        <f>IF(CX33=0,0,(CY33-CX33)/CX33*100)</f>
        <v>0</v>
      </c>
      <c r="DA33" s="99"/>
      <c r="DB33" s="99"/>
      <c r="DC33" s="310">
        <f>IF(DA33=0,0,(DB33-DA33)/DA33*100)</f>
        <v>0</v>
      </c>
      <c r="DD33" s="99"/>
      <c r="DE33" s="99"/>
      <c r="DF33" s="310">
        <f>IF(DD33=0,0,(DE33-DD33)/DD33*100)</f>
        <v>0</v>
      </c>
      <c r="DG33" s="99"/>
      <c r="DH33" s="99"/>
      <c r="DI33" s="310">
        <f>IF(DG33=0,0,(DH33-DG33)/DG33*100)</f>
        <v>0</v>
      </c>
      <c r="DJ33" s="99"/>
      <c r="DK33" s="99"/>
      <c r="DL33" s="310">
        <f>IF(DJ33=0,0,(DK33-DJ33)/DJ33*100)</f>
        <v>0</v>
      </c>
      <c r="DM33" s="99"/>
      <c r="DN33" s="99"/>
      <c r="DO33" s="310">
        <f>IF(DM33=0,0,(DN33-DM33)/DM33*100)</f>
        <v>0</v>
      </c>
      <c r="DP33" s="99"/>
      <c r="DQ33" s="99"/>
      <c r="DR33" s="310">
        <f>IF(DP33=0,0,(DQ33-DP33)/DP33*100)</f>
        <v>0</v>
      </c>
      <c r="DS33" s="99"/>
      <c r="DT33" s="99"/>
      <c r="DU33" s="310">
        <f>IF(DS33=0,0,(DT33-DS33)/DS33*100)</f>
        <v>0</v>
      </c>
      <c r="DV33" s="99"/>
      <c r="DW33" s="99"/>
      <c r="DX33" s="310">
        <f>IF(DV33=0,0,(DW33-DV33)/DV33*100)</f>
        <v>0</v>
      </c>
      <c r="DY33" s="99"/>
      <c r="DZ33" s="99"/>
      <c r="EA33" s="310">
        <f>IF(DY33=0,0,(DZ33-DY33)/DY33*100)</f>
        <v>0</v>
      </c>
      <c r="EB33" s="99"/>
      <c r="EC33" s="99"/>
      <c r="ED33" s="310">
        <f>IF(EB33=0,0,(EC33-EB33)/EB33*100)</f>
        <v>0</v>
      </c>
      <c r="EE33" s="99"/>
      <c r="EF33" s="99"/>
      <c r="EG33" s="310">
        <f>IF(EE33=0,0,(EF33-EE33)/EE33*100)</f>
        <v>0</v>
      </c>
      <c r="EH33" s="99"/>
      <c r="EI33" s="99"/>
      <c r="EJ33" s="310">
        <f>IF(EH33=0,0,(EI33-EH33)/EH33*100)</f>
        <v>0</v>
      </c>
      <c r="EK33" s="99"/>
      <c r="EL33" s="99"/>
      <c r="EM33" s="310">
        <f>IF(EK33=0,0,(EL33-EK33)/EK33*100)</f>
        <v>0</v>
      </c>
      <c r="EN33" s="99"/>
      <c r="EO33" s="99"/>
      <c r="EP33" s="310">
        <f>IF(EN33=0,0,(EO33-EN33)/EN33*100)</f>
        <v>0</v>
      </c>
      <c r="EQ33" s="99"/>
      <c r="ER33" s="99"/>
      <c r="ES33" s="310">
        <f>IF(EQ33=0,0,(ER33-EQ33)/EQ33*100)</f>
        <v>0</v>
      </c>
      <c r="ET33" s="99"/>
      <c r="EU33" s="99"/>
      <c r="EV33" s="310">
        <f>IF(ET33=0,0,(EU33-ET33)/ET33*100)</f>
        <v>0</v>
      </c>
      <c r="EW33" s="99"/>
      <c r="EX33" s="99"/>
      <c r="EY33" s="310">
        <f>IF(EW33=0,0,(EX33-EW33)/EW33*100)</f>
        <v>0</v>
      </c>
      <c r="EZ33" s="99"/>
      <c r="FA33" s="99"/>
      <c r="FB33" s="310">
        <f>IF(EZ33=0,0,(FA33-EZ33)/EZ33*100)</f>
        <v>0</v>
      </c>
      <c r="FC33" s="99"/>
      <c r="FD33" s="99"/>
      <c r="FE33" s="310">
        <f>IF(FC33=0,0,(FD33-FC33)/FC33*100)</f>
        <v>0</v>
      </c>
      <c r="FF33" s="99"/>
      <c r="FG33" s="99"/>
      <c r="FH33" s="310">
        <f>IF(FF33=0,0,(FG33-FF33)/FF33*100)</f>
        <v>0</v>
      </c>
      <c r="FI33" s="99"/>
      <c r="FJ33" s="99"/>
      <c r="FK33" s="310">
        <f>IF(FI33=0,0,(FJ33-FI33)/FI33*100)</f>
        <v>0</v>
      </c>
      <c r="FL33" s="99"/>
      <c r="FM33" s="99"/>
      <c r="FN33" s="310">
        <f>IF(FL33=0,0,(FM33-FL33)/FL33*100)</f>
        <v>0</v>
      </c>
      <c r="FO33" s="99"/>
      <c r="FP33" s="99"/>
      <c r="FQ33" s="310">
        <f>IF(FO33=0,0,(FP33-FO33)/FO33*100)</f>
        <v>0</v>
      </c>
      <c r="FR33" s="99"/>
      <c r="FS33" s="99"/>
      <c r="FT33" s="310">
        <f>IF(FR33=0,0,(FS33-FR33)/FR33*100)</f>
        <v>0</v>
      </c>
      <c r="FU33" s="99"/>
      <c r="FV33" s="99"/>
      <c r="FW33" s="310">
        <f>IF(FU33=0,0,(FV33-FU33)/FU33*100)</f>
        <v>0</v>
      </c>
      <c r="FZ33" s="981" t="s">
        <v>2154</v>
      </c>
      <c r="GA33" s="981"/>
      <c r="GB33" s="981"/>
      <c r="GC33" s="981"/>
      <c r="GD33" s="981"/>
    </row>
    <row r="34" spans="2:186" s="307" customFormat="1" ht="16.7" hidden="1" customHeight="1">
      <c r="B34" s="813" t="b" cm="1">
        <f t="array" ref="B34">B33</f>
        <v>0</v>
      </c>
      <c r="C34" s="1118" t="s">
        <v>2146</v>
      </c>
      <c r="D34" s="1087" t="s">
        <v>2147</v>
      </c>
      <c r="E34" s="676">
        <v>17.100000000000001</v>
      </c>
      <c r="F34" s="779" cm="1">
        <f t="array" aca="1" ref="F34" ca="1">OFFSET(G34,-1,-1)</f>
        <v>0</v>
      </c>
      <c r="G34" s="620" t="s">
        <v>1794</v>
      </c>
      <c r="H34" s="163" t="s">
        <v>536</v>
      </c>
      <c r="I34" s="163" t="s">
        <v>2155</v>
      </c>
      <c r="J34" s="1108" t="s">
        <v>2149</v>
      </c>
      <c r="K34" s="1108" cm="1">
        <f t="array" aca="1" ref="K34" ca="1">OFFSET(J34,-1,1)</f>
        <v>0</v>
      </c>
      <c r="L34" s="1108" t="s">
        <v>2150</v>
      </c>
      <c r="M34" s="1108" t="s">
        <v>1791</v>
      </c>
      <c r="N34" s="1108" t="s">
        <v>2151</v>
      </c>
      <c r="O34" s="1109" t="s">
        <v>2152</v>
      </c>
      <c r="P34" s="1108"/>
      <c r="Q34" s="1108"/>
      <c r="T34" s="687" t="b" cm="1">
        <f t="array" aca="1" ref="T34" ca="1">T33</f>
        <v>0</v>
      </c>
      <c r="X34" s="1853"/>
      <c r="Z34" s="1853"/>
      <c r="AB34" s="1140" t="s">
        <v>2156</v>
      </c>
      <c r="AC34" s="308" t="s">
        <v>929</v>
      </c>
      <c r="AD34" s="99">
        <f ca="1">IF(method_reg="Метод экономически обоснованных расходов",SUMIFS('Калькуляция (4.6)'!AJ$25:AJ$229,'Калькуляция (4.6)'!$F$25:$F$229,$F34,'Калькуляция (4.6)'!$G$25:$G$229,$G34),IF(method_reg="Метод сравнения аналогов",SUMIFS(INDEX('Калькуляция (МСА)'!$AE$25:$BC$109,,MATCH(AD$8,'Калькуляция (МСА)'!$AE$8:$BC$8,0)),'Калькуляция (МСА)'!$F$25:$F$109,$F34,'Калькуляция (МСА)'!$G$25:$G$109,$G34),SUMIFS(INDEX('Калькуляция (5.9)'!$AJ$25:$BC$194,,MATCH(AD$8,'Калькуляция (5.9)'!$AJ$8:$BC$8,0)),'Калькуляция (5.9)'!$F$25:$F$194,$F34,'Калькуляция (5.9)'!$G$25:$G$194,$G34)))</f>
        <v>0</v>
      </c>
      <c r="AE34" s="99">
        <f ca="1">IF(method_reg="Метод экономически обоснованных расходов",SUMIFS('Калькуляция (4.6)'!AK$25:AK$229,'Калькуляция (4.6)'!$F$25:$F$229,$F34,'Калькуляция (4.6)'!$G$25:$G$229,$G34),IF(method_reg="Метод сравнения аналогов",SUMIFS(INDEX('Калькуляция (МСА)'!$AE$25:$BC$109,,MATCH(AE$8,'Калькуляция (МСА)'!$AE$8:$BC$8,0)),'Калькуляция (МСА)'!$F$25:$F$109,$F34,'Калькуляция (МСА)'!$G$25:$G$109,$G34),SUMIFS(INDEX('Калькуляция (5.9)'!$AJ$25:$BC$194,,MATCH(AE$8,'Калькуляция (5.9)'!$AJ$8:$BC$8,0)),'Калькуляция (5.9)'!$F$25:$F$194,$F34,'Калькуляция (5.9)'!$G$25:$G$194,$G34)))</f>
        <v>0</v>
      </c>
      <c r="AF34" s="310">
        <f ca="1">IF(AD34=0,0,(AE34-AD34)/AD34*100)</f>
        <v>0</v>
      </c>
      <c r="AG34" s="309">
        <f ca="1">IF(method_reg="Метод сравнения аналогов",SUMIFS(INDEX('Калькуляция (МСА)'!$AE$25:$BC$109,,MATCH(AG$8,'Калькуляция (МСА)'!$AE$8:$BC$8,0)),'Калькуляция (МСА)'!$F$25:$F$109,$F34,'Калькуляция (МСА)'!$G$25:$G$109,$G34),SUMIFS(INDEX('Калькуляция (5.9)'!$AJ$25:$BC$194,,MATCH(AG$8,'Калькуляция (5.9)'!$AJ$8:$BC$8,0)),'Калькуляция (5.9)'!$F$25:$F$194,$F34,'Калькуляция (5.9)'!$G$25:$G$194,$G34))</f>
        <v>0</v>
      </c>
      <c r="AH34" s="309">
        <f ca="1">IF(method_reg="Метод сравнения аналогов",SUMIFS(INDEX('Калькуляция (МСА)'!$AE$25:$BC$109,,MATCH(AH$8,'Калькуляция (МСА)'!$AE$8:$BC$8,0)),'Калькуляция (МСА)'!$F$25:$F$109,$F34,'Калькуляция (МСА)'!$G$25:$G$109,$G34),SUMIFS(INDEX('Калькуляция (5.9)'!$AJ$25:$BC$194,,MATCH(AH$8,'Калькуляция (5.9)'!$AJ$8:$BC$8,0)),'Калькуляция (5.9)'!$F$25:$F$194,$F34,'Калькуляция (5.9)'!$G$25:$G$194,$G34))</f>
        <v>0</v>
      </c>
      <c r="AI34" s="310">
        <f ca="1">IF(AG34=0,0,(AH34-AG34)/AG34*100)</f>
        <v>0</v>
      </c>
      <c r="AJ34" s="309">
        <f ca="1">IF(method_reg="Метод сравнения аналогов",SUMIFS(INDEX('Калькуляция (МСА)'!$AE$25:$BC$109,,MATCH(AJ$8,'Калькуляция (МСА)'!$AE$8:$BC$8,0)),'Калькуляция (МСА)'!$F$25:$F$109,$F34,'Калькуляция (МСА)'!$G$25:$G$109,$G34),SUMIFS(INDEX('Калькуляция (5.9)'!$AJ$25:$BC$194,,MATCH(AJ$8,'Калькуляция (5.9)'!$AJ$8:$BC$8,0)),'Калькуляция (5.9)'!$F$25:$F$194,$F34,'Калькуляция (5.9)'!$G$25:$G$194,$G34))</f>
        <v>0</v>
      </c>
      <c r="AK34" s="309">
        <f ca="1">IF(method_reg="Метод сравнения аналогов",SUMIFS(INDEX('Калькуляция (МСА)'!$AE$25:$BC$109,,MATCH(AK$8,'Калькуляция (МСА)'!$AE$8:$BC$8,0)),'Калькуляция (МСА)'!$F$25:$F$109,$F34,'Калькуляция (МСА)'!$G$25:$G$109,$G34),SUMIFS(INDEX('Калькуляция (5.9)'!$AJ$25:$BC$194,,MATCH(AK$8,'Калькуляция (5.9)'!$AJ$8:$BC$8,0)),'Калькуляция (5.9)'!$F$25:$F$194,$F34,'Калькуляция (5.9)'!$G$25:$G$194,$G34))</f>
        <v>0</v>
      </c>
      <c r="AL34" s="310">
        <f ca="1">IF(AJ34=0,0,(AK34-AJ34)/AJ34*100)</f>
        <v>0</v>
      </c>
      <c r="AM34" s="309">
        <f ca="1">IF(method_reg="Метод сравнения аналогов",SUMIFS(INDEX('Калькуляция (МСА)'!$AE$25:$BC$109,,MATCH(AM$8,'Калькуляция (МСА)'!$AE$8:$BC$8,0)),'Калькуляция (МСА)'!$F$25:$F$109,$F34,'Калькуляция (МСА)'!$G$25:$G$109,$G34),SUMIFS(INDEX('Калькуляция (5.9)'!$AJ$25:$BC$194,,MATCH(AM$8,'Калькуляция (5.9)'!$AJ$8:$BC$8,0)),'Калькуляция (5.9)'!$F$25:$F$194,$F34,'Калькуляция (5.9)'!$G$25:$G$194,$G34))</f>
        <v>0</v>
      </c>
      <c r="AN34" s="309">
        <f ca="1">IF(method_reg="Метод сравнения аналогов",SUMIFS(INDEX('Калькуляция (МСА)'!$AE$25:$BC$109,,MATCH(AN$8,'Калькуляция (МСА)'!$AE$8:$BC$8,0)),'Калькуляция (МСА)'!$F$25:$F$109,$F34,'Калькуляция (МСА)'!$G$25:$G$109,$G34),SUMIFS(INDEX('Калькуляция (5.9)'!$AJ$25:$BC$194,,MATCH(AN$8,'Калькуляция (5.9)'!$AJ$8:$BC$8,0)),'Калькуляция (5.9)'!$F$25:$F$194,$F34,'Калькуляция (5.9)'!$G$25:$G$194,$G34))</f>
        <v>0</v>
      </c>
      <c r="AO34" s="310">
        <f ca="1">IF(AM34=0,0,(AN34-AM34)/AM34*100)</f>
        <v>0</v>
      </c>
      <c r="AP34" s="309">
        <f ca="1">IF(method_reg="Метод сравнения аналогов",SUMIFS(INDEX('Калькуляция (МСА)'!$AE$25:$BC$109,,MATCH(AP$8,'Калькуляция (МСА)'!$AE$8:$BC$8,0)),'Калькуляция (МСА)'!$F$25:$F$109,$F34,'Калькуляция (МСА)'!$G$25:$G$109,$G34),SUMIFS(INDEX('Калькуляция (5.9)'!$AJ$25:$BC$194,,MATCH(AP$8,'Калькуляция (5.9)'!$AJ$8:$BC$8,0)),'Калькуляция (5.9)'!$F$25:$F$194,$F34,'Калькуляция (5.9)'!$G$25:$G$194,$G34))</f>
        <v>0</v>
      </c>
      <c r="AQ34" s="309">
        <f ca="1">IF(method_reg="Метод сравнения аналогов",SUMIFS(INDEX('Калькуляция (МСА)'!$AE$25:$BC$109,,MATCH(AQ$8,'Калькуляция (МСА)'!$AE$8:$BC$8,0)),'Калькуляция (МСА)'!$F$25:$F$109,$F34,'Калькуляция (МСА)'!$G$25:$G$109,$G34),SUMIFS(INDEX('Калькуляция (5.9)'!$AJ$25:$BC$194,,MATCH(AQ$8,'Калькуляция (5.9)'!$AJ$8:$BC$8,0)),'Калькуляция (5.9)'!$F$25:$F$194,$F34,'Калькуляция (5.9)'!$G$25:$G$194,$G34))</f>
        <v>0</v>
      </c>
      <c r="AR34" s="310">
        <f ca="1">IF(AP34=0,0,(AQ34-AP34)/AP34*100)</f>
        <v>0</v>
      </c>
      <c r="AS34" s="99">
        <f ca="1">IF(method_reg="Метод сравнения аналогов",SUMIFS(INDEX('Калькуляция (МСА)'!$AE$25:$BC$109,,MATCH(AS$8,'Калькуляция (МСА)'!$AE$8:$BC$8,0)),'Калькуляция (МСА)'!$F$25:$F$109,$F34,'Калькуляция (МСА)'!$G$25:$G$109,$G34),SUMIFS(INDEX('Калькуляция (5.9)'!$AJ$25:$BC$194,,MATCH(AS$8,'Калькуляция (5.9)'!$AJ$8:$BC$8,0)),'Калькуляция (5.9)'!$F$25:$F$194,$F34,'Калькуляция (5.9)'!$G$25:$G$194,$G34))</f>
        <v>0</v>
      </c>
      <c r="AT34" s="99">
        <f ca="1">IF(method_reg="Метод сравнения аналогов",SUMIFS(INDEX('Калькуляция (МСА)'!$AE$25:$BC$109,,MATCH(AT$8,'Калькуляция (МСА)'!$AE$8:$BC$8,0)),'Калькуляция (МСА)'!$F$25:$F$109,$F34,'Калькуляция (МСА)'!$G$25:$G$109,$G34),SUMIFS(INDEX('Калькуляция (5.9)'!$AJ$25:$BC$194,,MATCH(AT$8,'Калькуляция (5.9)'!$AJ$8:$BC$8,0)),'Калькуляция (5.9)'!$F$25:$F$194,$F34,'Калькуляция (5.9)'!$G$25:$G$194,$G34))</f>
        <v>0</v>
      </c>
      <c r="AU34" s="310">
        <f ca="1">IF(AS34=0,0,(AT34-AS34)/AS34*100)</f>
        <v>0</v>
      </c>
      <c r="AV34" s="99">
        <f ca="1">IF(method_reg="Метод сравнения аналогов",SUMIFS(INDEX('Калькуляция (МСА)'!$AE$25:$BC$109,,MATCH(AV$8,'Калькуляция (МСА)'!$AE$8:$BC$8,0)),'Калькуляция (МСА)'!$F$25:$F$109,$F34,'Калькуляция (МСА)'!$G$25:$G$109,$G34),SUMIFS(INDEX('Калькуляция (5.9)'!$AJ$25:$BC$194,,MATCH(AV$8,'Калькуляция (5.9)'!$AJ$8:$BC$8,0)),'Калькуляция (5.9)'!$F$25:$F$194,$F34,'Калькуляция (5.9)'!$G$25:$G$194,$G34))</f>
        <v>0</v>
      </c>
      <c r="AW34" s="99">
        <f ca="1">IF(method_reg="Метод сравнения аналогов",SUMIFS(INDEX('Калькуляция (МСА)'!$AE$25:$BC$109,,MATCH(AW$8,'Калькуляция (МСА)'!$AE$8:$BC$8,0)),'Калькуляция (МСА)'!$F$25:$F$109,$F34,'Калькуляция (МСА)'!$G$25:$G$109,$G34),SUMIFS(INDEX('Калькуляция (5.9)'!$AJ$25:$BC$194,,MATCH(AW$8,'Калькуляция (5.9)'!$AJ$8:$BC$8,0)),'Калькуляция (5.9)'!$F$25:$F$194,$F34,'Калькуляция (5.9)'!$G$25:$G$194,$G34))</f>
        <v>0</v>
      </c>
      <c r="AX34" s="310">
        <f ca="1">IF(AV34=0,0,(AW34-AV34)/AV34*100)</f>
        <v>0</v>
      </c>
      <c r="AY34" s="99">
        <f ca="1">IF(method_reg="Метод сравнения аналогов",SUMIFS(INDEX('Калькуляция (МСА)'!$AE$25:$BC$109,,MATCH(AY$8,'Калькуляция (МСА)'!$AE$8:$BC$8,0)),'Калькуляция (МСА)'!$F$25:$F$109,$F34,'Калькуляция (МСА)'!$G$25:$G$109,$G34),SUMIFS(INDEX('Калькуляция (5.9)'!$AJ$25:$BC$194,,MATCH(AY$8,'Калькуляция (5.9)'!$AJ$8:$BC$8,0)),'Калькуляция (5.9)'!$F$25:$F$194,$F34,'Калькуляция (5.9)'!$G$25:$G$194,$G34))</f>
        <v>0</v>
      </c>
      <c r="AZ34" s="99">
        <f ca="1">IF(method_reg="Метод сравнения аналогов",SUMIFS(INDEX('Калькуляция (МСА)'!$AE$25:$BC$109,,MATCH(AZ$8,'Калькуляция (МСА)'!$AE$8:$BC$8,0)),'Калькуляция (МСА)'!$F$25:$F$109,$F34,'Калькуляция (МСА)'!$G$25:$G$109,$G34),SUMIFS(INDEX('Калькуляция (5.9)'!$AJ$25:$BC$194,,MATCH(AZ$8,'Калькуляция (5.9)'!$AJ$8:$BC$8,0)),'Калькуляция (5.9)'!$F$25:$F$194,$F34,'Калькуляция (5.9)'!$G$25:$G$194,$G34))</f>
        <v>0</v>
      </c>
      <c r="BA34" s="310">
        <f ca="1">IF(AY34=0,0,(AZ34-AY34)/AY34*100)</f>
        <v>0</v>
      </c>
      <c r="BB34" s="99">
        <f ca="1">IF(method_reg="Метод сравнения аналогов",SUMIFS(INDEX('Калькуляция (МСА)'!$AE$25:$BC$109,,MATCH(BB$8,'Калькуляция (МСА)'!$AE$8:$BC$8,0)),'Калькуляция (МСА)'!$F$25:$F$109,$F34,'Калькуляция (МСА)'!$G$25:$G$109,$G34),SUMIFS(INDEX('Калькуляция (5.9)'!$AJ$25:$BC$194,,MATCH(BB$8,'Калькуляция (5.9)'!$AJ$8:$BC$8,0)),'Калькуляция (5.9)'!$F$25:$F$194,$F34,'Калькуляция (5.9)'!$G$25:$G$194,$G34))</f>
        <v>0</v>
      </c>
      <c r="BC34" s="99">
        <f ca="1">IF(method_reg="Метод сравнения аналогов",SUMIFS(INDEX('Калькуляция (МСА)'!$AE$25:$BC$109,,MATCH(BC$8,'Калькуляция (МСА)'!$AE$8:$BC$8,0)),'Калькуляция (МСА)'!$F$25:$F$109,$F34,'Калькуляция (МСА)'!$G$25:$G$109,$G34),SUMIFS(INDEX('Калькуляция (5.9)'!$AJ$25:$BC$194,,MATCH(BC$8,'Калькуляция (5.9)'!$AJ$8:$BC$8,0)),'Калькуляция (5.9)'!$F$25:$F$194,$F34,'Калькуляция (5.9)'!$G$25:$G$194,$G34))</f>
        <v>0</v>
      </c>
      <c r="BD34" s="310">
        <f ca="1">IF(BB34=0,0,(BC34-BB34)/BB34*100)</f>
        <v>0</v>
      </c>
      <c r="BE34" s="99">
        <f ca="1">IF(method_reg="Метод сравнения аналогов",SUMIFS(INDEX('Калькуляция (МСА)'!$AE$25:$BC$109,,MATCH(BE$8,'Калькуляция (МСА)'!$AE$8:$BC$8,0)),'Калькуляция (МСА)'!$F$25:$F$109,$F34,'Калькуляция (МСА)'!$G$25:$G$109,$G34),SUMIFS(INDEX('Калькуляция (5.9)'!$AJ$25:$BC$194,,MATCH(BE$8,'Калькуляция (5.9)'!$AJ$8:$BC$8,0)),'Калькуляция (5.9)'!$F$25:$F$194,$F34,'Калькуляция (5.9)'!$G$25:$G$194,$G34))</f>
        <v>0</v>
      </c>
      <c r="BF34" s="99">
        <f ca="1">IF(method_reg="Метод сравнения аналогов",SUMIFS(INDEX('Калькуляция (МСА)'!$AE$25:$BC$109,,MATCH(BF$8,'Калькуляция (МСА)'!$AE$8:$BC$8,0)),'Калькуляция (МСА)'!$F$25:$F$109,$F34,'Калькуляция (МСА)'!$G$25:$G$109,$G34),SUMIFS(INDEX('Калькуляция (5.9)'!$AJ$25:$BC$194,,MATCH(BF$8,'Калькуляция (5.9)'!$AJ$8:$BC$8,0)),'Калькуляция (5.9)'!$F$25:$F$194,$F34,'Калькуляция (5.9)'!$G$25:$G$194,$G34))</f>
        <v>0</v>
      </c>
      <c r="BG34" s="310">
        <f ca="1">IF(BE34=0,0,(BF34-BE34)/BE34*100)</f>
        <v>0</v>
      </c>
      <c r="BH34" s="99"/>
      <c r="BI34" s="99"/>
      <c r="BJ34" s="310">
        <f>IF(BH34=0,0,(BI34-BH34)/BH34*100)</f>
        <v>0</v>
      </c>
      <c r="BK34" s="99"/>
      <c r="BL34" s="99"/>
      <c r="BM34" s="310">
        <f>IF(BK34=0,0,(BL34-BK34)/BK34*100)</f>
        <v>0</v>
      </c>
      <c r="BN34" s="99"/>
      <c r="BO34" s="99"/>
      <c r="BP34" s="310">
        <f>IF(BN34=0,0,(BO34-BN34)/BN34*100)</f>
        <v>0</v>
      </c>
      <c r="BQ34" s="99"/>
      <c r="BR34" s="99"/>
      <c r="BS34" s="310">
        <f>IF(BQ34=0,0,(BR34-BQ34)/BQ34*100)</f>
        <v>0</v>
      </c>
      <c r="BT34" s="99"/>
      <c r="BU34" s="99"/>
      <c r="BV34" s="310">
        <f>IF(BT34=0,0,(BU34-BT34)/BT34*100)</f>
        <v>0</v>
      </c>
      <c r="BW34" s="99"/>
      <c r="BX34" s="99"/>
      <c r="BY34" s="310">
        <f>IF(BW34=0,0,(BX34-BW34)/BW34*100)</f>
        <v>0</v>
      </c>
      <c r="BZ34" s="99"/>
      <c r="CA34" s="99"/>
      <c r="CB34" s="310">
        <f>IF(BZ34=0,0,(CA34-BZ34)/BZ34*100)</f>
        <v>0</v>
      </c>
      <c r="CC34" s="99"/>
      <c r="CD34" s="99"/>
      <c r="CE34" s="310">
        <f>IF(CC34=0,0,(CD34-CC34)/CC34*100)</f>
        <v>0</v>
      </c>
      <c r="CF34" s="99"/>
      <c r="CG34" s="99"/>
      <c r="CH34" s="310">
        <f>IF(CF34=0,0,(CG34-CF34)/CF34*100)</f>
        <v>0</v>
      </c>
      <c r="CI34" s="99"/>
      <c r="CJ34" s="99"/>
      <c r="CK34" s="310">
        <f>IF(CI34=0,0,(CJ34-CI34)/CI34*100)</f>
        <v>0</v>
      </c>
      <c r="CL34" s="99"/>
      <c r="CM34" s="99"/>
      <c r="CN34" s="310">
        <f>IF(CL34=0,0,(CM34-CL34)/CL34*100)</f>
        <v>0</v>
      </c>
      <c r="CO34" s="99"/>
      <c r="CP34" s="99"/>
      <c r="CQ34" s="310">
        <f>IF(CO34=0,0,(CP34-CO34)/CO34*100)</f>
        <v>0</v>
      </c>
      <c r="CR34" s="99"/>
      <c r="CS34" s="99"/>
      <c r="CT34" s="310">
        <f>IF(CR34=0,0,(CS34-CR34)/CR34*100)</f>
        <v>0</v>
      </c>
      <c r="CU34" s="99"/>
      <c r="CV34" s="99"/>
      <c r="CW34" s="310">
        <f>IF(CU34=0,0,(CV34-CU34)/CU34*100)</f>
        <v>0</v>
      </c>
      <c r="CX34" s="99"/>
      <c r="CY34" s="99"/>
      <c r="CZ34" s="310">
        <f>IF(CX34=0,0,(CY34-CX34)/CX34*100)</f>
        <v>0</v>
      </c>
      <c r="DA34" s="99"/>
      <c r="DB34" s="99"/>
      <c r="DC34" s="310">
        <f>IF(DA34=0,0,(DB34-DA34)/DA34*100)</f>
        <v>0</v>
      </c>
      <c r="DD34" s="99"/>
      <c r="DE34" s="99"/>
      <c r="DF34" s="310">
        <f>IF(DD34=0,0,(DE34-DD34)/DD34*100)</f>
        <v>0</v>
      </c>
      <c r="DG34" s="99"/>
      <c r="DH34" s="99"/>
      <c r="DI34" s="310">
        <f>IF(DG34=0,0,(DH34-DG34)/DG34*100)</f>
        <v>0</v>
      </c>
      <c r="DJ34" s="99"/>
      <c r="DK34" s="99"/>
      <c r="DL34" s="310">
        <f>IF(DJ34=0,0,(DK34-DJ34)/DJ34*100)</f>
        <v>0</v>
      </c>
      <c r="DM34" s="99"/>
      <c r="DN34" s="99"/>
      <c r="DO34" s="310">
        <f>IF(DM34=0,0,(DN34-DM34)/DM34*100)</f>
        <v>0</v>
      </c>
      <c r="DP34" s="99"/>
      <c r="DQ34" s="99"/>
      <c r="DR34" s="310">
        <f>IF(DP34=0,0,(DQ34-DP34)/DP34*100)</f>
        <v>0</v>
      </c>
      <c r="DS34" s="99"/>
      <c r="DT34" s="99"/>
      <c r="DU34" s="310">
        <f>IF(DS34=0,0,(DT34-DS34)/DS34*100)</f>
        <v>0</v>
      </c>
      <c r="DV34" s="99"/>
      <c r="DW34" s="99"/>
      <c r="DX34" s="310">
        <f>IF(DV34=0,0,(DW34-DV34)/DV34*100)</f>
        <v>0</v>
      </c>
      <c r="DY34" s="99"/>
      <c r="DZ34" s="99"/>
      <c r="EA34" s="310">
        <f>IF(DY34=0,0,(DZ34-DY34)/DY34*100)</f>
        <v>0</v>
      </c>
      <c r="EB34" s="99"/>
      <c r="EC34" s="99"/>
      <c r="ED34" s="310">
        <f>IF(EB34=0,0,(EC34-EB34)/EB34*100)</f>
        <v>0</v>
      </c>
      <c r="EE34" s="99"/>
      <c r="EF34" s="99"/>
      <c r="EG34" s="310">
        <f>IF(EE34=0,0,(EF34-EE34)/EE34*100)</f>
        <v>0</v>
      </c>
      <c r="EH34" s="99"/>
      <c r="EI34" s="99"/>
      <c r="EJ34" s="310">
        <f>IF(EH34=0,0,(EI34-EH34)/EH34*100)</f>
        <v>0</v>
      </c>
      <c r="EK34" s="99"/>
      <c r="EL34" s="99"/>
      <c r="EM34" s="310">
        <f>IF(EK34=0,0,(EL34-EK34)/EK34*100)</f>
        <v>0</v>
      </c>
      <c r="EN34" s="99"/>
      <c r="EO34" s="99"/>
      <c r="EP34" s="310">
        <f>IF(EN34=0,0,(EO34-EN34)/EN34*100)</f>
        <v>0</v>
      </c>
      <c r="EQ34" s="99"/>
      <c r="ER34" s="99"/>
      <c r="ES34" s="310">
        <f>IF(EQ34=0,0,(ER34-EQ34)/EQ34*100)</f>
        <v>0</v>
      </c>
      <c r="ET34" s="99"/>
      <c r="EU34" s="99"/>
      <c r="EV34" s="310">
        <f>IF(ET34=0,0,(EU34-ET34)/ET34*100)</f>
        <v>0</v>
      </c>
      <c r="EW34" s="99"/>
      <c r="EX34" s="99"/>
      <c r="EY34" s="310">
        <f>IF(EW34=0,0,(EX34-EW34)/EW34*100)</f>
        <v>0</v>
      </c>
      <c r="EZ34" s="99"/>
      <c r="FA34" s="99"/>
      <c r="FB34" s="310">
        <f>IF(EZ34=0,0,(FA34-EZ34)/EZ34*100)</f>
        <v>0</v>
      </c>
      <c r="FC34" s="99"/>
      <c r="FD34" s="99"/>
      <c r="FE34" s="310">
        <f>IF(FC34=0,0,(FD34-FC34)/FC34*100)</f>
        <v>0</v>
      </c>
      <c r="FF34" s="99"/>
      <c r="FG34" s="99"/>
      <c r="FH34" s="310">
        <f>IF(FF34=0,0,(FG34-FF34)/FF34*100)</f>
        <v>0</v>
      </c>
      <c r="FI34" s="99"/>
      <c r="FJ34" s="99"/>
      <c r="FK34" s="310">
        <f>IF(FI34=0,0,(FJ34-FI34)/FI34*100)</f>
        <v>0</v>
      </c>
      <c r="FL34" s="99"/>
      <c r="FM34" s="99"/>
      <c r="FN34" s="310">
        <f>IF(FL34=0,0,(FM34-FL34)/FL34*100)</f>
        <v>0</v>
      </c>
      <c r="FO34" s="99"/>
      <c r="FP34" s="99"/>
      <c r="FQ34" s="310">
        <f>IF(FO34=0,0,(FP34-FO34)/FO34*100)</f>
        <v>0</v>
      </c>
      <c r="FR34" s="99"/>
      <c r="FS34" s="99"/>
      <c r="FT34" s="310">
        <f>IF(FR34=0,0,(FS34-FR34)/FR34*100)</f>
        <v>0</v>
      </c>
      <c r="FU34" s="99"/>
      <c r="FV34" s="99"/>
      <c r="FW34" s="310">
        <f>IF(FU34=0,0,(FV34-FU34)/FU34*100)</f>
        <v>0</v>
      </c>
      <c r="FZ34" s="981" t="s">
        <v>2157</v>
      </c>
      <c r="GA34" s="981"/>
      <c r="GB34" s="981"/>
      <c r="GC34" s="981"/>
      <c r="GD34" s="981"/>
    </row>
    <row r="35" spans="2:186" ht="16.7" hidden="1" customHeight="1">
      <c r="B35" s="813" t="b" cm="1">
        <f t="array" ref="B35">B34</f>
        <v>0</v>
      </c>
      <c r="C35" s="1118" t="s">
        <v>1797</v>
      </c>
      <c r="D35" s="1087" t="s">
        <v>1798</v>
      </c>
      <c r="E35" s="676">
        <v>17.100000000000001</v>
      </c>
      <c r="F35" s="779" cm="1">
        <f t="array" aca="1" ref="F35" ca="1">OFFSET(G35,-1,-1)</f>
        <v>0</v>
      </c>
      <c r="H35" s="163" t="s">
        <v>539</v>
      </c>
      <c r="I35" s="163" t="s">
        <v>2158</v>
      </c>
      <c r="J35" s="1108" t="s">
        <v>2149</v>
      </c>
      <c r="K35" s="1108" cm="1">
        <f t="array" aca="1" ref="K35" ca="1">OFFSET(J35,-1,1)</f>
        <v>0</v>
      </c>
      <c r="L35" s="1108" t="s">
        <v>2159</v>
      </c>
      <c r="M35" s="1108"/>
      <c r="N35" s="1108" t="s">
        <v>2151</v>
      </c>
      <c r="O35" s="1109" t="s">
        <v>2152</v>
      </c>
      <c r="P35" s="1108"/>
      <c r="Q35" s="1108"/>
      <c r="T35" s="687" t="b" cm="1">
        <f t="array" aca="1" ref="T35" ca="1">T34</f>
        <v>0</v>
      </c>
      <c r="X35" s="1726"/>
      <c r="Z35" s="1726"/>
      <c r="AB35" s="887" t="s">
        <v>2160</v>
      </c>
      <c r="AC35" s="123" t="s">
        <v>533</v>
      </c>
      <c r="AD35" s="876">
        <f ca="1">IF(AD33=0,0,AD34/AD33)</f>
        <v>0</v>
      </c>
      <c r="AE35" s="876">
        <f ca="1">IF(AE33=0,0,AE34/AE33)</f>
        <v>0</v>
      </c>
      <c r="AF35" s="893"/>
      <c r="AG35" s="876">
        <f ca="1">IF(AG33=0,0,AG34/AG33)</f>
        <v>0</v>
      </c>
      <c r="AH35" s="876">
        <f ca="1">IF(AH33=0,0,AH34/AH33)</f>
        <v>0</v>
      </c>
      <c r="AI35" s="893"/>
      <c r="AJ35" s="876">
        <f ca="1">IF(AJ33=0,0,AJ34/AJ33)</f>
        <v>0</v>
      </c>
      <c r="AK35" s="876">
        <f ca="1">IF(AK33=0,0,AK34/AK33)</f>
        <v>0</v>
      </c>
      <c r="AL35" s="893"/>
      <c r="AM35" s="876">
        <f ca="1">IF(AM33=0,0,AM34/AM33)</f>
        <v>0</v>
      </c>
      <c r="AN35" s="876">
        <f ca="1">IF(AN33=0,0,AN34/AN33)</f>
        <v>0</v>
      </c>
      <c r="AO35" s="893"/>
      <c r="AP35" s="876">
        <f ca="1">IF(AP33=0,0,AP34/AP33)</f>
        <v>0</v>
      </c>
      <c r="AQ35" s="876">
        <f ca="1">IF(AQ33=0,0,AQ34/AQ33)</f>
        <v>0</v>
      </c>
      <c r="AR35" s="893"/>
      <c r="AS35" s="876">
        <f ca="1">IF(AS33=0,0,AS34/AS33)</f>
        <v>0</v>
      </c>
      <c r="AT35" s="876">
        <f ca="1">IF(AT33=0,0,AT34/AT33)</f>
        <v>0</v>
      </c>
      <c r="AU35" s="893"/>
      <c r="AV35" s="876">
        <f ca="1">IF(AV33=0,0,AV34/AV33)</f>
        <v>0</v>
      </c>
      <c r="AW35" s="876">
        <f ca="1">IF(AW33=0,0,AW34/AW33)</f>
        <v>0</v>
      </c>
      <c r="AX35" s="893"/>
      <c r="AY35" s="876">
        <f ca="1">IF(AY33=0,0,AY34/AY33)</f>
        <v>0</v>
      </c>
      <c r="AZ35" s="876">
        <f ca="1">IF(AZ33=0,0,AZ34/AZ33)</f>
        <v>0</v>
      </c>
      <c r="BA35" s="893"/>
      <c r="BB35" s="876">
        <f ca="1">IF(BB33=0,0,BB34/BB33)</f>
        <v>0</v>
      </c>
      <c r="BC35" s="876">
        <f ca="1">IF(BC33=0,0,BC34/BC33)</f>
        <v>0</v>
      </c>
      <c r="BD35" s="893"/>
      <c r="BE35" s="876">
        <f ca="1">IF(BE33=0,0,BE34/BE33)</f>
        <v>0</v>
      </c>
      <c r="BF35" s="876">
        <f ca="1">IF(BF33=0,0,BF34/BF33)</f>
        <v>0</v>
      </c>
      <c r="BG35" s="893"/>
      <c r="BH35" s="876">
        <f>IF(BH33=0,0,BH34/BH33)</f>
        <v>0</v>
      </c>
      <c r="BI35" s="876">
        <f>IF(BI33=0,0,BI34/BI33)</f>
        <v>0</v>
      </c>
      <c r="BJ35" s="312"/>
      <c r="BK35" s="876">
        <f>IF(BK33=0,0,BK34/BK33)</f>
        <v>0</v>
      </c>
      <c r="BL35" s="876">
        <f>IF(BL33=0,0,BL34/BL33)</f>
        <v>0</v>
      </c>
      <c r="BM35" s="312"/>
      <c r="BN35" s="876">
        <f>IF(BN33=0,0,BN34/BN33)</f>
        <v>0</v>
      </c>
      <c r="BO35" s="876">
        <f>IF(BO33=0,0,BO34/BO33)</f>
        <v>0</v>
      </c>
      <c r="BP35" s="312"/>
      <c r="BQ35" s="876">
        <f>IF(BQ33=0,0,BQ34/BQ33)</f>
        <v>0</v>
      </c>
      <c r="BR35" s="876">
        <f>IF(BR33=0,0,BR34/BR33)</f>
        <v>0</v>
      </c>
      <c r="BS35" s="312"/>
      <c r="BT35" s="876">
        <f>IF(BT33=0,0,BT34/BT33)</f>
        <v>0</v>
      </c>
      <c r="BU35" s="876">
        <f>IF(BU33=0,0,BU34/BU33)</f>
        <v>0</v>
      </c>
      <c r="BV35" s="312"/>
      <c r="BW35" s="876">
        <f>IF(BW33=0,0,BW34/BW33)</f>
        <v>0</v>
      </c>
      <c r="BX35" s="876">
        <f>IF(BX33=0,0,BX34/BX33)</f>
        <v>0</v>
      </c>
      <c r="BY35" s="312"/>
      <c r="BZ35" s="876">
        <f>IF(BZ33=0,0,BZ34/BZ33)</f>
        <v>0</v>
      </c>
      <c r="CA35" s="876">
        <f>IF(CA33=0,0,CA34/CA33)</f>
        <v>0</v>
      </c>
      <c r="CB35" s="312"/>
      <c r="CC35" s="876">
        <f>IF(CC33=0,0,CC34/CC33)</f>
        <v>0</v>
      </c>
      <c r="CD35" s="876">
        <f>IF(CD33=0,0,CD34/CD33)</f>
        <v>0</v>
      </c>
      <c r="CE35" s="312"/>
      <c r="CF35" s="876">
        <f>IF(CF33=0,0,CF34/CF33)</f>
        <v>0</v>
      </c>
      <c r="CG35" s="876">
        <f>IF(CG33=0,0,CG34/CG33)</f>
        <v>0</v>
      </c>
      <c r="CH35" s="312"/>
      <c r="CI35" s="876">
        <f>IF(CI33=0,0,CI34/CI33)</f>
        <v>0</v>
      </c>
      <c r="CJ35" s="876">
        <f>IF(CJ33=0,0,CJ34/CJ33)</f>
        <v>0</v>
      </c>
      <c r="CK35" s="312"/>
      <c r="CL35" s="876">
        <f>IF(CL33=0,0,CL34/CL33)</f>
        <v>0</v>
      </c>
      <c r="CM35" s="876">
        <f>IF(CM33=0,0,CM34/CM33)</f>
        <v>0</v>
      </c>
      <c r="CN35" s="312"/>
      <c r="CO35" s="876">
        <f>IF(CO33=0,0,CO34/CO33)</f>
        <v>0</v>
      </c>
      <c r="CP35" s="876">
        <f>IF(CP33=0,0,CP34/CP33)</f>
        <v>0</v>
      </c>
      <c r="CQ35" s="312"/>
      <c r="CR35" s="876">
        <f>IF(CR33=0,0,CR34/CR33)</f>
        <v>0</v>
      </c>
      <c r="CS35" s="876">
        <f>IF(CS33=0,0,CS34/CS33)</f>
        <v>0</v>
      </c>
      <c r="CT35" s="312"/>
      <c r="CU35" s="876">
        <f>IF(CU33=0,0,CU34/CU33)</f>
        <v>0</v>
      </c>
      <c r="CV35" s="876">
        <f>IF(CV33=0,0,CV34/CV33)</f>
        <v>0</v>
      </c>
      <c r="CW35" s="312"/>
      <c r="CX35" s="876">
        <f>IF(CX33=0,0,CX34/CX33)</f>
        <v>0</v>
      </c>
      <c r="CY35" s="876">
        <f>IF(CY33=0,0,CY34/CY33)</f>
        <v>0</v>
      </c>
      <c r="CZ35" s="312"/>
      <c r="DA35" s="876">
        <f>IF(DA33=0,0,DA34/DA33)</f>
        <v>0</v>
      </c>
      <c r="DB35" s="876">
        <f>IF(DB33=0,0,DB34/DB33)</f>
        <v>0</v>
      </c>
      <c r="DC35" s="312"/>
      <c r="DD35" s="876">
        <f>IF(DD33=0,0,DD34/DD33)</f>
        <v>0</v>
      </c>
      <c r="DE35" s="876">
        <f>IF(DE33=0,0,DE34/DE33)</f>
        <v>0</v>
      </c>
      <c r="DF35" s="312"/>
      <c r="DG35" s="876">
        <f>IF(DG33=0,0,DG34/DG33)</f>
        <v>0</v>
      </c>
      <c r="DH35" s="876">
        <f>IF(DH33=0,0,DH34/DH33)</f>
        <v>0</v>
      </c>
      <c r="DI35" s="312"/>
      <c r="DJ35" s="876">
        <f>IF(DJ33=0,0,DJ34/DJ33)</f>
        <v>0</v>
      </c>
      <c r="DK35" s="876">
        <f>IF(DK33=0,0,DK34/DK33)</f>
        <v>0</v>
      </c>
      <c r="DL35" s="312"/>
      <c r="DM35" s="876">
        <f>IF(DM33=0,0,DM34/DM33)</f>
        <v>0</v>
      </c>
      <c r="DN35" s="876">
        <f>IF(DN33=0,0,DN34/DN33)</f>
        <v>0</v>
      </c>
      <c r="DO35" s="312"/>
      <c r="DP35" s="876">
        <f>IF(DP33=0,0,DP34/DP33)</f>
        <v>0</v>
      </c>
      <c r="DQ35" s="876">
        <f>IF(DQ33=0,0,DQ34/DQ33)</f>
        <v>0</v>
      </c>
      <c r="DR35" s="312"/>
      <c r="DS35" s="876">
        <f>IF(DS33=0,0,DS34/DS33)</f>
        <v>0</v>
      </c>
      <c r="DT35" s="876">
        <f>IF(DT33=0,0,DT34/DT33)</f>
        <v>0</v>
      </c>
      <c r="DU35" s="312"/>
      <c r="DV35" s="876">
        <f>IF(DV33=0,0,DV34/DV33)</f>
        <v>0</v>
      </c>
      <c r="DW35" s="876">
        <f>IF(DW33=0,0,DW34/DW33)</f>
        <v>0</v>
      </c>
      <c r="DX35" s="312"/>
      <c r="DY35" s="876">
        <f>IF(DY33=0,0,DY34/DY33)</f>
        <v>0</v>
      </c>
      <c r="DZ35" s="876">
        <f>IF(DZ33=0,0,DZ34/DZ33)</f>
        <v>0</v>
      </c>
      <c r="EA35" s="312"/>
      <c r="EB35" s="876">
        <f>IF(EB33=0,0,EB34/EB33)</f>
        <v>0</v>
      </c>
      <c r="EC35" s="876">
        <f>IF(EC33=0,0,EC34/EC33)</f>
        <v>0</v>
      </c>
      <c r="ED35" s="312"/>
      <c r="EE35" s="876">
        <f>IF(EE33=0,0,EE34/EE33)</f>
        <v>0</v>
      </c>
      <c r="EF35" s="876">
        <f>IF(EF33=0,0,EF34/EF33)</f>
        <v>0</v>
      </c>
      <c r="EG35" s="312"/>
      <c r="EH35" s="876">
        <f>IF(EH33=0,0,EH34/EH33)</f>
        <v>0</v>
      </c>
      <c r="EI35" s="876">
        <f>IF(EI33=0,0,EI34/EI33)</f>
        <v>0</v>
      </c>
      <c r="EJ35" s="312"/>
      <c r="EK35" s="876">
        <f>IF(EK33=0,0,EK34/EK33)</f>
        <v>0</v>
      </c>
      <c r="EL35" s="876">
        <f>IF(EL33=0,0,EL34/EL33)</f>
        <v>0</v>
      </c>
      <c r="EM35" s="312"/>
      <c r="EN35" s="876">
        <f>IF(EN33=0,0,EN34/EN33)</f>
        <v>0</v>
      </c>
      <c r="EO35" s="876">
        <f>IF(EO33=0,0,EO34/EO33)</f>
        <v>0</v>
      </c>
      <c r="EP35" s="312"/>
      <c r="EQ35" s="876">
        <f>IF(EQ33=0,0,EQ34/EQ33)</f>
        <v>0</v>
      </c>
      <c r="ER35" s="876">
        <f>IF(ER33=0,0,ER34/ER33)</f>
        <v>0</v>
      </c>
      <c r="ES35" s="312"/>
      <c r="ET35" s="876">
        <f>IF(ET33=0,0,ET34/ET33)</f>
        <v>0</v>
      </c>
      <c r="EU35" s="876">
        <f>IF(EU33=0,0,EU34/EU33)</f>
        <v>0</v>
      </c>
      <c r="EV35" s="312"/>
      <c r="EW35" s="876">
        <f>IF(EW33=0,0,EW34/EW33)</f>
        <v>0</v>
      </c>
      <c r="EX35" s="876">
        <f>IF(EX33=0,0,EX34/EX33)</f>
        <v>0</v>
      </c>
      <c r="EY35" s="312"/>
      <c r="EZ35" s="876">
        <f>IF(EZ33=0,0,EZ34/EZ33)</f>
        <v>0</v>
      </c>
      <c r="FA35" s="876">
        <f>IF(FA33=0,0,FA34/FA33)</f>
        <v>0</v>
      </c>
      <c r="FB35" s="312"/>
      <c r="FC35" s="876">
        <f>IF(FC33=0,0,FC34/FC33)</f>
        <v>0</v>
      </c>
      <c r="FD35" s="876">
        <f>IF(FD33=0,0,FD34/FD33)</f>
        <v>0</v>
      </c>
      <c r="FE35" s="312"/>
      <c r="FF35" s="876">
        <f>IF(FF33=0,0,FF34/FF33)</f>
        <v>0</v>
      </c>
      <c r="FG35" s="876">
        <f>IF(FG33=0,0,FG34/FG33)</f>
        <v>0</v>
      </c>
      <c r="FH35" s="312"/>
      <c r="FI35" s="876">
        <f>IF(FI33=0,0,FI34/FI33)</f>
        <v>0</v>
      </c>
      <c r="FJ35" s="876">
        <f>IF(FJ33=0,0,FJ34/FJ33)</f>
        <v>0</v>
      </c>
      <c r="FK35" s="312"/>
      <c r="FL35" s="876">
        <f>IF(FL33=0,0,FL34/FL33)</f>
        <v>0</v>
      </c>
      <c r="FM35" s="876">
        <f>IF(FM33=0,0,FM34/FM33)</f>
        <v>0</v>
      </c>
      <c r="FN35" s="312"/>
      <c r="FO35" s="876">
        <f>IF(FO33=0,0,FO34/FO33)</f>
        <v>0</v>
      </c>
      <c r="FP35" s="876">
        <f>IF(FP33=0,0,FP34/FP33)</f>
        <v>0</v>
      </c>
      <c r="FQ35" s="312"/>
      <c r="FR35" s="876">
        <f>IF(FR33=0,0,FR34/FR33)</f>
        <v>0</v>
      </c>
      <c r="FS35" s="876">
        <f>IF(FS33=0,0,FS34/FS33)</f>
        <v>0</v>
      </c>
      <c r="FT35" s="312"/>
      <c r="FU35" s="876">
        <f>IF(FU33=0,0,FU34/FU33)</f>
        <v>0</v>
      </c>
      <c r="FV35" s="876">
        <f>IF(FV33=0,0,FV34/FV33)</f>
        <v>0</v>
      </c>
      <c r="FW35" s="312"/>
      <c r="FZ35" s="981" t="s">
        <v>2161</v>
      </c>
      <c r="GA35" s="981"/>
      <c r="GB35" s="981"/>
      <c r="GC35" s="981"/>
      <c r="GD35" s="981"/>
    </row>
    <row r="36" spans="2:186" ht="16.7" hidden="1" customHeight="1">
      <c r="B36" s="813" t="b" cm="1">
        <f t="array" ref="B36">B35</f>
        <v>0</v>
      </c>
      <c r="C36" s="1118" t="s">
        <v>1779</v>
      </c>
      <c r="D36" s="1087" t="s">
        <v>1780</v>
      </c>
      <c r="E36" s="676">
        <v>17.100000000000001</v>
      </c>
      <c r="F36" s="779" cm="1">
        <f t="array" aca="1" ref="F36" ca="1">OFFSET(G36,-1,-1)</f>
        <v>0</v>
      </c>
      <c r="G36" s="143" t="s">
        <v>2162</v>
      </c>
      <c r="H36" s="163" t="s">
        <v>546</v>
      </c>
      <c r="I36" s="163" t="s">
        <v>2158</v>
      </c>
      <c r="J36" s="1108" t="s">
        <v>2149</v>
      </c>
      <c r="K36" s="1108" cm="1">
        <f t="array" aca="1" ref="K36" ca="1">OFFSET(J36,-1,1)</f>
        <v>0</v>
      </c>
      <c r="L36" s="1108" t="s">
        <v>2163</v>
      </c>
      <c r="M36" s="1108"/>
      <c r="N36" s="1108" t="s">
        <v>2151</v>
      </c>
      <c r="O36" s="1109" t="s">
        <v>2152</v>
      </c>
      <c r="P36" s="1108"/>
      <c r="Q36" s="1108"/>
      <c r="T36" s="687" t="b" cm="1">
        <f t="array" aca="1" ref="T36" ca="1">T35</f>
        <v>0</v>
      </c>
      <c r="X36" s="1726"/>
      <c r="Z36" s="1726"/>
      <c r="AB36" s="887" t="s">
        <v>2164</v>
      </c>
      <c r="AC36" s="123" t="s">
        <v>634</v>
      </c>
      <c r="AD36" s="100">
        <f ca="1">SUM(AD37:AD38)</f>
        <v>0</v>
      </c>
      <c r="AE36" s="100">
        <f ca="1">SUM(AE37:AE38)</f>
        <v>0</v>
      </c>
      <c r="AF36" s="341">
        <f ca="1">IF(AD36=0,0,(AE36-AD36)/AD36*100)</f>
        <v>0</v>
      </c>
      <c r="AG36" s="354">
        <f ca="1">SUM(AG37:AG38)</f>
        <v>0</v>
      </c>
      <c r="AH36" s="354">
        <f ca="1">SUM(AH37:AH38)</f>
        <v>0</v>
      </c>
      <c r="AI36" s="341">
        <f ca="1">IF(AG36=0,0,(AH36-AG36)/AG36*100)</f>
        <v>0</v>
      </c>
      <c r="AJ36" s="354">
        <f ca="1">SUM(AJ37:AJ38)</f>
        <v>0</v>
      </c>
      <c r="AK36" s="354">
        <f ca="1">SUM(AK37:AK38)</f>
        <v>0</v>
      </c>
      <c r="AL36" s="341">
        <f ca="1">IF(AJ36=0,0,(AK36-AJ36)/AJ36*100)</f>
        <v>0</v>
      </c>
      <c r="AM36" s="354">
        <f ca="1">SUM(AM37:AM38)</f>
        <v>0</v>
      </c>
      <c r="AN36" s="354">
        <f ca="1">SUM(AN37:AN38)</f>
        <v>0</v>
      </c>
      <c r="AO36" s="341">
        <f ca="1">IF(AM36=0,0,(AN36-AM36)/AM36*100)</f>
        <v>0</v>
      </c>
      <c r="AP36" s="354">
        <f ca="1">SUM(AP37:AP38)</f>
        <v>0</v>
      </c>
      <c r="AQ36" s="354">
        <f ca="1">SUM(AQ37:AQ38)</f>
        <v>0</v>
      </c>
      <c r="AR36" s="341">
        <f ca="1">IF(AP36=0,0,(AQ36-AP36)/AP36*100)</f>
        <v>0</v>
      </c>
      <c r="AS36" s="100">
        <f ca="1">SUM(AS37:AS38)</f>
        <v>0</v>
      </c>
      <c r="AT36" s="100">
        <f ca="1">SUM(AT37:AT38)</f>
        <v>0</v>
      </c>
      <c r="AU36" s="341">
        <f ca="1">IF(AS36=0,0,(AT36-AS36)/AS36*100)</f>
        <v>0</v>
      </c>
      <c r="AV36" s="100">
        <f ca="1">SUM(AV37:AV38)</f>
        <v>0</v>
      </c>
      <c r="AW36" s="100">
        <f ca="1">SUM(AW37:AW38)</f>
        <v>0</v>
      </c>
      <c r="AX36" s="341">
        <f ca="1">IF(AV36=0,0,(AW36-AV36)/AV36*100)</f>
        <v>0</v>
      </c>
      <c r="AY36" s="100">
        <f ca="1">SUM(AY37:AY38)</f>
        <v>0</v>
      </c>
      <c r="AZ36" s="100">
        <f ca="1">SUM(AZ37:AZ38)</f>
        <v>0</v>
      </c>
      <c r="BA36" s="341">
        <f ca="1">IF(AY36=0,0,(AZ36-AY36)/AY36*100)</f>
        <v>0</v>
      </c>
      <c r="BB36" s="100">
        <f ca="1">SUM(BB37:BB38)</f>
        <v>0</v>
      </c>
      <c r="BC36" s="100">
        <f ca="1">SUM(BC37:BC38)</f>
        <v>0</v>
      </c>
      <c r="BD36" s="341">
        <f ca="1">IF(BB36=0,0,(BC36-BB36)/BB36*100)</f>
        <v>0</v>
      </c>
      <c r="BE36" s="100">
        <f ca="1">SUM(BE37:BE38)</f>
        <v>0</v>
      </c>
      <c r="BF36" s="100">
        <f ca="1">SUM(BF37:BF38)</f>
        <v>0</v>
      </c>
      <c r="BG36" s="341">
        <f ca="1">IF(BE36=0,0,(BF36-BE36)/BE36*100)</f>
        <v>0</v>
      </c>
      <c r="BH36" s="100">
        <f>SUM(BH37:BH38)</f>
        <v>0</v>
      </c>
      <c r="BI36" s="100">
        <f>SUM(BI37:BI38)</f>
        <v>0</v>
      </c>
      <c r="BJ36" s="341">
        <f>IF(BH36=0,0,(BI36-BH36)/BH36*100)</f>
        <v>0</v>
      </c>
      <c r="BK36" s="100">
        <f>SUM(BK37:BK38)</f>
        <v>0</v>
      </c>
      <c r="BL36" s="100">
        <f>SUM(BL37:BL38)</f>
        <v>0</v>
      </c>
      <c r="BM36" s="341">
        <f>IF(BK36=0,0,(BL36-BK36)/BK36*100)</f>
        <v>0</v>
      </c>
      <c r="BN36" s="100">
        <f>SUM(BN37:BN38)</f>
        <v>0</v>
      </c>
      <c r="BO36" s="100">
        <f>SUM(BO37:BO38)</f>
        <v>0</v>
      </c>
      <c r="BP36" s="341">
        <f>IF(BN36=0,0,(BO36-BN36)/BN36*100)</f>
        <v>0</v>
      </c>
      <c r="BQ36" s="100">
        <f>SUM(BQ37:BQ38)</f>
        <v>0</v>
      </c>
      <c r="BR36" s="100">
        <f>SUM(BR37:BR38)</f>
        <v>0</v>
      </c>
      <c r="BS36" s="341">
        <f>IF(BQ36=0,0,(BR36-BQ36)/BQ36*100)</f>
        <v>0</v>
      </c>
      <c r="BT36" s="100">
        <f>SUM(BT37:BT38)</f>
        <v>0</v>
      </c>
      <c r="BU36" s="100">
        <f>SUM(BU37:BU38)</f>
        <v>0</v>
      </c>
      <c r="BV36" s="341">
        <f>IF(BT36=0,0,(BU36-BT36)/BT36*100)</f>
        <v>0</v>
      </c>
      <c r="BW36" s="100">
        <f>SUM(BW37:BW38)</f>
        <v>0</v>
      </c>
      <c r="BX36" s="100">
        <f>SUM(BX37:BX38)</f>
        <v>0</v>
      </c>
      <c r="BY36" s="341">
        <f>IF(BW36=0,0,(BX36-BW36)/BW36*100)</f>
        <v>0</v>
      </c>
      <c r="BZ36" s="100">
        <f>SUM(BZ37:BZ38)</f>
        <v>0</v>
      </c>
      <c r="CA36" s="100">
        <f>SUM(CA37:CA38)</f>
        <v>0</v>
      </c>
      <c r="CB36" s="341">
        <f>IF(BZ36=0,0,(CA36-BZ36)/BZ36*100)</f>
        <v>0</v>
      </c>
      <c r="CC36" s="100">
        <f>SUM(CC37:CC38)</f>
        <v>0</v>
      </c>
      <c r="CD36" s="100">
        <f>SUM(CD37:CD38)</f>
        <v>0</v>
      </c>
      <c r="CE36" s="341">
        <f>IF(CC36=0,0,(CD36-CC36)/CC36*100)</f>
        <v>0</v>
      </c>
      <c r="CF36" s="100">
        <f>SUM(CF37:CF38)</f>
        <v>0</v>
      </c>
      <c r="CG36" s="100">
        <f>SUM(CG37:CG38)</f>
        <v>0</v>
      </c>
      <c r="CH36" s="341">
        <f>IF(CF36=0,0,(CG36-CF36)/CF36*100)</f>
        <v>0</v>
      </c>
      <c r="CI36" s="100">
        <f>SUM(CI37:CI38)</f>
        <v>0</v>
      </c>
      <c r="CJ36" s="100">
        <f>SUM(CJ37:CJ38)</f>
        <v>0</v>
      </c>
      <c r="CK36" s="341">
        <f>IF(CI36=0,0,(CJ36-CI36)/CI36*100)</f>
        <v>0</v>
      </c>
      <c r="CL36" s="100">
        <f>SUM(CL37:CL38)</f>
        <v>0</v>
      </c>
      <c r="CM36" s="100">
        <f>SUM(CM37:CM38)</f>
        <v>0</v>
      </c>
      <c r="CN36" s="341">
        <f>IF(CL36=0,0,(CM36-CL36)/CL36*100)</f>
        <v>0</v>
      </c>
      <c r="CO36" s="100">
        <f>SUM(CO37:CO38)</f>
        <v>0</v>
      </c>
      <c r="CP36" s="100">
        <f>SUM(CP37:CP38)</f>
        <v>0</v>
      </c>
      <c r="CQ36" s="341">
        <f>IF(CO36=0,0,(CP36-CO36)/CO36*100)</f>
        <v>0</v>
      </c>
      <c r="CR36" s="100">
        <f>SUM(CR37:CR38)</f>
        <v>0</v>
      </c>
      <c r="CS36" s="100">
        <f>SUM(CS37:CS38)</f>
        <v>0</v>
      </c>
      <c r="CT36" s="341">
        <f>IF(CR36=0,0,(CS36-CR36)/CR36*100)</f>
        <v>0</v>
      </c>
      <c r="CU36" s="100">
        <f>SUM(CU37:CU38)</f>
        <v>0</v>
      </c>
      <c r="CV36" s="100">
        <f>SUM(CV37:CV38)</f>
        <v>0</v>
      </c>
      <c r="CW36" s="341">
        <f>IF(CU36=0,0,(CV36-CU36)/CU36*100)</f>
        <v>0</v>
      </c>
      <c r="CX36" s="100">
        <f>SUM(CX37:CX38)</f>
        <v>0</v>
      </c>
      <c r="CY36" s="100">
        <f>SUM(CY37:CY38)</f>
        <v>0</v>
      </c>
      <c r="CZ36" s="341">
        <f>IF(CX36=0,0,(CY36-CX36)/CX36*100)</f>
        <v>0</v>
      </c>
      <c r="DA36" s="100">
        <f>SUM(DA37:DA38)</f>
        <v>0</v>
      </c>
      <c r="DB36" s="100">
        <f>SUM(DB37:DB38)</f>
        <v>0</v>
      </c>
      <c r="DC36" s="341">
        <f>IF(DA36=0,0,(DB36-DA36)/DA36*100)</f>
        <v>0</v>
      </c>
      <c r="DD36" s="100">
        <f>SUM(DD37:DD38)</f>
        <v>0</v>
      </c>
      <c r="DE36" s="100">
        <f>SUM(DE37:DE38)</f>
        <v>0</v>
      </c>
      <c r="DF36" s="341">
        <f>IF(DD36=0,0,(DE36-DD36)/DD36*100)</f>
        <v>0</v>
      </c>
      <c r="DG36" s="100">
        <f>SUM(DG37:DG38)</f>
        <v>0</v>
      </c>
      <c r="DH36" s="100">
        <f>SUM(DH37:DH38)</f>
        <v>0</v>
      </c>
      <c r="DI36" s="341">
        <f>IF(DG36=0,0,(DH36-DG36)/DG36*100)</f>
        <v>0</v>
      </c>
      <c r="DJ36" s="100">
        <f>SUM(DJ37:DJ38)</f>
        <v>0</v>
      </c>
      <c r="DK36" s="100">
        <f>SUM(DK37:DK38)</f>
        <v>0</v>
      </c>
      <c r="DL36" s="341">
        <f>IF(DJ36=0,0,(DK36-DJ36)/DJ36*100)</f>
        <v>0</v>
      </c>
      <c r="DM36" s="100">
        <f>SUM(DM37:DM38)</f>
        <v>0</v>
      </c>
      <c r="DN36" s="100">
        <f>SUM(DN37:DN38)</f>
        <v>0</v>
      </c>
      <c r="DO36" s="341">
        <f>IF(DM36=0,0,(DN36-DM36)/DM36*100)</f>
        <v>0</v>
      </c>
      <c r="DP36" s="100">
        <f>SUM(DP37:DP38)</f>
        <v>0</v>
      </c>
      <c r="DQ36" s="100">
        <f>SUM(DQ37:DQ38)</f>
        <v>0</v>
      </c>
      <c r="DR36" s="341">
        <f>IF(DP36=0,0,(DQ36-DP36)/DP36*100)</f>
        <v>0</v>
      </c>
      <c r="DS36" s="100">
        <f>SUM(DS37:DS38)</f>
        <v>0</v>
      </c>
      <c r="DT36" s="100">
        <f>SUM(DT37:DT38)</f>
        <v>0</v>
      </c>
      <c r="DU36" s="341">
        <f>IF(DS36=0,0,(DT36-DS36)/DS36*100)</f>
        <v>0</v>
      </c>
      <c r="DV36" s="100">
        <f>SUM(DV37:DV38)</f>
        <v>0</v>
      </c>
      <c r="DW36" s="100">
        <f>SUM(DW37:DW38)</f>
        <v>0</v>
      </c>
      <c r="DX36" s="341">
        <f>IF(DV36=0,0,(DW36-DV36)/DV36*100)</f>
        <v>0</v>
      </c>
      <c r="DY36" s="100">
        <f>SUM(DY37:DY38)</f>
        <v>0</v>
      </c>
      <c r="DZ36" s="100">
        <f>SUM(DZ37:DZ38)</f>
        <v>0</v>
      </c>
      <c r="EA36" s="341">
        <f>IF(DY36=0,0,(DZ36-DY36)/DY36*100)</f>
        <v>0</v>
      </c>
      <c r="EB36" s="100">
        <f>SUM(EB37:EB38)</f>
        <v>0</v>
      </c>
      <c r="EC36" s="100">
        <f>SUM(EC37:EC38)</f>
        <v>0</v>
      </c>
      <c r="ED36" s="341">
        <f>IF(EB36=0,0,(EC36-EB36)/EB36*100)</f>
        <v>0</v>
      </c>
      <c r="EE36" s="100">
        <f>SUM(EE37:EE38)</f>
        <v>0</v>
      </c>
      <c r="EF36" s="100">
        <f>SUM(EF37:EF38)</f>
        <v>0</v>
      </c>
      <c r="EG36" s="341">
        <f>IF(EE36=0,0,(EF36-EE36)/EE36*100)</f>
        <v>0</v>
      </c>
      <c r="EH36" s="100">
        <f>SUM(EH37:EH38)</f>
        <v>0</v>
      </c>
      <c r="EI36" s="100">
        <f>SUM(EI37:EI38)</f>
        <v>0</v>
      </c>
      <c r="EJ36" s="341">
        <f>IF(EH36=0,0,(EI36-EH36)/EH36*100)</f>
        <v>0</v>
      </c>
      <c r="EK36" s="100">
        <f>SUM(EK37:EK38)</f>
        <v>0</v>
      </c>
      <c r="EL36" s="100">
        <f>SUM(EL37:EL38)</f>
        <v>0</v>
      </c>
      <c r="EM36" s="341">
        <f>IF(EK36=0,0,(EL36-EK36)/EK36*100)</f>
        <v>0</v>
      </c>
      <c r="EN36" s="100">
        <f>SUM(EN37:EN38)</f>
        <v>0</v>
      </c>
      <c r="EO36" s="100">
        <f>SUM(EO37:EO38)</f>
        <v>0</v>
      </c>
      <c r="EP36" s="341">
        <f>IF(EN36=0,0,(EO36-EN36)/EN36*100)</f>
        <v>0</v>
      </c>
      <c r="EQ36" s="100">
        <f>SUM(EQ37:EQ38)</f>
        <v>0</v>
      </c>
      <c r="ER36" s="100">
        <f>SUM(ER37:ER38)</f>
        <v>0</v>
      </c>
      <c r="ES36" s="341">
        <f>IF(EQ36=0,0,(ER36-EQ36)/EQ36*100)</f>
        <v>0</v>
      </c>
      <c r="ET36" s="100">
        <f>SUM(ET37:ET38)</f>
        <v>0</v>
      </c>
      <c r="EU36" s="100">
        <f>SUM(EU37:EU38)</f>
        <v>0</v>
      </c>
      <c r="EV36" s="341">
        <f>IF(ET36=0,0,(EU36-ET36)/ET36*100)</f>
        <v>0</v>
      </c>
      <c r="EW36" s="100">
        <f>SUM(EW37:EW38)</f>
        <v>0</v>
      </c>
      <c r="EX36" s="100">
        <f>SUM(EX37:EX38)</f>
        <v>0</v>
      </c>
      <c r="EY36" s="341">
        <f>IF(EW36=0,0,(EX36-EW36)/EW36*100)</f>
        <v>0</v>
      </c>
      <c r="EZ36" s="100">
        <f>SUM(EZ37:EZ38)</f>
        <v>0</v>
      </c>
      <c r="FA36" s="100">
        <f>SUM(FA37:FA38)</f>
        <v>0</v>
      </c>
      <c r="FB36" s="341">
        <f>IF(EZ36=0,0,(FA36-EZ36)/EZ36*100)</f>
        <v>0</v>
      </c>
      <c r="FC36" s="100">
        <f>SUM(FC37:FC38)</f>
        <v>0</v>
      </c>
      <c r="FD36" s="100">
        <f>SUM(FD37:FD38)</f>
        <v>0</v>
      </c>
      <c r="FE36" s="341">
        <f>IF(FC36=0,0,(FD36-FC36)/FC36*100)</f>
        <v>0</v>
      </c>
      <c r="FF36" s="100">
        <f>SUM(FF37:FF38)</f>
        <v>0</v>
      </c>
      <c r="FG36" s="100">
        <f>SUM(FG37:FG38)</f>
        <v>0</v>
      </c>
      <c r="FH36" s="341">
        <f>IF(FF36=0,0,(FG36-FF36)/FF36*100)</f>
        <v>0</v>
      </c>
      <c r="FI36" s="100">
        <f>SUM(FI37:FI38)</f>
        <v>0</v>
      </c>
      <c r="FJ36" s="100">
        <f>SUM(FJ37:FJ38)</f>
        <v>0</v>
      </c>
      <c r="FK36" s="341">
        <f>IF(FI36=0,0,(FJ36-FI36)/FI36*100)</f>
        <v>0</v>
      </c>
      <c r="FL36" s="100">
        <f>SUM(FL37:FL38)</f>
        <v>0</v>
      </c>
      <c r="FM36" s="100">
        <f>SUM(FM37:FM38)</f>
        <v>0</v>
      </c>
      <c r="FN36" s="341">
        <f>IF(FL36=0,0,(FM36-FL36)/FL36*100)</f>
        <v>0</v>
      </c>
      <c r="FO36" s="100">
        <f>SUM(FO37:FO38)</f>
        <v>0</v>
      </c>
      <c r="FP36" s="100">
        <f>SUM(FP37:FP38)</f>
        <v>0</v>
      </c>
      <c r="FQ36" s="341">
        <f>IF(FO36=0,0,(FP36-FO36)/FO36*100)</f>
        <v>0</v>
      </c>
      <c r="FR36" s="100">
        <f>SUM(FR37:FR38)</f>
        <v>0</v>
      </c>
      <c r="FS36" s="100">
        <f>SUM(FS37:FS38)</f>
        <v>0</v>
      </c>
      <c r="FT36" s="341">
        <f>IF(FR36=0,0,(FS36-FR36)/FR36*100)</f>
        <v>0</v>
      </c>
      <c r="FU36" s="100">
        <f>SUM(FU37:FU38)</f>
        <v>0</v>
      </c>
      <c r="FV36" s="100">
        <f>SUM(FV37:FV38)</f>
        <v>0</v>
      </c>
      <c r="FW36" s="341">
        <f>IF(FU36=0,0,(FV36-FU36)/FU36*100)</f>
        <v>0</v>
      </c>
      <c r="FZ36" s="981" t="s">
        <v>2165</v>
      </c>
      <c r="GA36" s="981"/>
      <c r="GB36" s="981"/>
      <c r="GC36" s="981"/>
      <c r="GD36" s="981"/>
    </row>
    <row r="37" spans="2:186" ht="16.7" hidden="1" customHeight="1">
      <c r="B37" s="813" t="b" cm="1">
        <f t="array" ref="B37">B36</f>
        <v>0</v>
      </c>
      <c r="C37" s="1118" t="s">
        <v>1779</v>
      </c>
      <c r="D37" s="1087" t="s">
        <v>1780</v>
      </c>
      <c r="E37" s="676">
        <v>17.100000000000001</v>
      </c>
      <c r="F37" s="779" cm="1">
        <f t="array" aca="1" ref="F37" ca="1">OFFSET(G37,-1,-1)</f>
        <v>0</v>
      </c>
      <c r="G37" s="143" t="s">
        <v>1781</v>
      </c>
      <c r="J37" s="1108" t="s">
        <v>2149</v>
      </c>
      <c r="K37" s="1108" cm="1">
        <f t="array" aca="1" ref="K37" ca="1">OFFSET(J37,-1,1)</f>
        <v>0</v>
      </c>
      <c r="L37" s="1108" t="s">
        <v>2163</v>
      </c>
      <c r="M37" s="1108" t="s">
        <v>1782</v>
      </c>
      <c r="N37" s="1108" t="s">
        <v>2151</v>
      </c>
      <c r="O37" s="1109" t="s">
        <v>2152</v>
      </c>
      <c r="P37" s="1108"/>
      <c r="Q37" s="1108"/>
      <c r="T37" s="687" t="b" cm="1">
        <f t="array" aca="1" ref="T37" ca="1">T36</f>
        <v>0</v>
      </c>
      <c r="X37" s="1726"/>
      <c r="Z37" s="1726"/>
      <c r="AB37" s="236" t="s">
        <v>1783</v>
      </c>
      <c r="AC37" s="123" t="s">
        <v>634</v>
      </c>
      <c r="AD37" s="100">
        <f ca="1">IF(method_reg="Метод экономически обоснованных расходов",SUMIFS('Калькуляция (4.6)'!AJ$25:AJ$229,'Калькуляция (4.6)'!$F$25:$F$229,$F37,'Калькуляция (4.6)'!$G$25:$G$229,$G37),IF(method_reg="Метод сравнения аналогов",SUMIFS(INDEX('Калькуляция (МСА)'!$AE$25:$BC$109,,MATCH(AD$8,'Калькуляция (МСА)'!$AE$8:$BC$8,0)),'Калькуляция (МСА)'!$F$25:$F$109,$F37,'Калькуляция (МСА)'!$G$25:$G$109,$G37),SUMIFS(INDEX('Калькуляция (5.9)'!$AJ$25:$BC$194,,MATCH(AD$8,'Калькуляция (5.9)'!$AJ$8:$BC$8,0)),'Калькуляция (5.9)'!$F$25:$F$194,$F37,'Калькуляция (5.9)'!$G$25:$G$194,$G37)))</f>
        <v>0</v>
      </c>
      <c r="AE37" s="100">
        <f ca="1">IF(method_reg="Метод экономически обоснованных расходов",SUMIFS('Калькуляция (4.6)'!AK$25:AK$229,'Калькуляция (4.6)'!$F$25:$F$229,$F37,'Калькуляция (4.6)'!$G$25:$G$229,$G37),IF(method_reg="Метод сравнения аналогов",SUMIFS(INDEX('Калькуляция (МСА)'!$AE$25:$BC$109,,MATCH(AE$8,'Калькуляция (МСА)'!$AE$8:$BC$8,0)),'Калькуляция (МСА)'!$F$25:$F$109,$F37,'Калькуляция (МСА)'!$G$25:$G$109,$G37),SUMIFS(INDEX('Калькуляция (5.9)'!$AJ$25:$BC$194,,MATCH(AE$8,'Калькуляция (5.9)'!$AJ$8:$BC$8,0)),'Калькуляция (5.9)'!$F$25:$F$194,$F37,'Калькуляция (5.9)'!$G$25:$G$194,$G37)))</f>
        <v>0</v>
      </c>
      <c r="AF37" s="341">
        <f ca="1">IF(AD37=0,0,(AE37-AD37)/AD37*100)</f>
        <v>0</v>
      </c>
      <c r="AG37" s="354">
        <f ca="1">IF(method_reg="Метод сравнения аналогов",SUMIFS(INDEX('Калькуляция (МСА)'!$AE$25:$BC$109,,MATCH(AG$8,'Калькуляция (МСА)'!$AE$8:$BC$8,0)),'Калькуляция (МСА)'!$F$25:$F$109,$F37,'Калькуляция (МСА)'!$G$25:$G$109,$G37),SUMIFS(INDEX('Калькуляция (5.9)'!$AJ$25:$BC$194,,MATCH(AG$8,'Калькуляция (5.9)'!$AJ$8:$BC$8,0)),'Калькуляция (5.9)'!$F$25:$F$194,$F37,'Калькуляция (5.9)'!$G$25:$G$194,$G37))</f>
        <v>0</v>
      </c>
      <c r="AH37" s="354">
        <f ca="1">IF(method_reg="Метод сравнения аналогов",SUMIFS(INDEX('Калькуляция (МСА)'!$AE$25:$BC$109,,MATCH(AH$8,'Калькуляция (МСА)'!$AE$8:$BC$8,0)),'Калькуляция (МСА)'!$F$25:$F$109,$F37,'Калькуляция (МСА)'!$G$25:$G$109,$G37),SUMIFS(INDEX('Калькуляция (5.9)'!$AJ$25:$BC$194,,MATCH(AH$8,'Калькуляция (5.9)'!$AJ$8:$BC$8,0)),'Калькуляция (5.9)'!$F$25:$F$194,$F37,'Калькуляция (5.9)'!$G$25:$G$194,$G37))</f>
        <v>0</v>
      </c>
      <c r="AI37" s="341">
        <f ca="1">IF(AG37=0,0,(AH37-AG37)/AG37*100)</f>
        <v>0</v>
      </c>
      <c r="AJ37" s="354">
        <f ca="1">IF(method_reg="Метод сравнения аналогов",SUMIFS(INDEX('Калькуляция (МСА)'!$AE$25:$BC$109,,MATCH(AJ$8,'Калькуляция (МСА)'!$AE$8:$BC$8,0)),'Калькуляция (МСА)'!$F$25:$F$109,$F37,'Калькуляция (МСА)'!$G$25:$G$109,$G37),SUMIFS(INDEX('Калькуляция (5.9)'!$AJ$25:$BC$194,,MATCH(AJ$8,'Калькуляция (5.9)'!$AJ$8:$BC$8,0)),'Калькуляция (5.9)'!$F$25:$F$194,$F37,'Калькуляция (5.9)'!$G$25:$G$194,$G37))</f>
        <v>0</v>
      </c>
      <c r="AK37" s="354">
        <f ca="1">IF(method_reg="Метод сравнения аналогов",SUMIFS(INDEX('Калькуляция (МСА)'!$AE$25:$BC$109,,MATCH(AK$8,'Калькуляция (МСА)'!$AE$8:$BC$8,0)),'Калькуляция (МСА)'!$F$25:$F$109,$F37,'Калькуляция (МСА)'!$G$25:$G$109,$G37),SUMIFS(INDEX('Калькуляция (5.9)'!$AJ$25:$BC$194,,MATCH(AK$8,'Калькуляция (5.9)'!$AJ$8:$BC$8,0)),'Калькуляция (5.9)'!$F$25:$F$194,$F37,'Калькуляция (5.9)'!$G$25:$G$194,$G37))</f>
        <v>0</v>
      </c>
      <c r="AL37" s="341">
        <f ca="1">IF(AJ37=0,0,(AK37-AJ37)/AJ37*100)</f>
        <v>0</v>
      </c>
      <c r="AM37" s="354">
        <f ca="1">IF(method_reg="Метод сравнения аналогов",SUMIFS(INDEX('Калькуляция (МСА)'!$AE$25:$BC$109,,MATCH(AM$8,'Калькуляция (МСА)'!$AE$8:$BC$8,0)),'Калькуляция (МСА)'!$F$25:$F$109,$F37,'Калькуляция (МСА)'!$G$25:$G$109,$G37),SUMIFS(INDEX('Калькуляция (5.9)'!$AJ$25:$BC$194,,MATCH(AM$8,'Калькуляция (5.9)'!$AJ$8:$BC$8,0)),'Калькуляция (5.9)'!$F$25:$F$194,$F37,'Калькуляция (5.9)'!$G$25:$G$194,$G37))</f>
        <v>0</v>
      </c>
      <c r="AN37" s="354">
        <f ca="1">IF(method_reg="Метод сравнения аналогов",SUMIFS(INDEX('Калькуляция (МСА)'!$AE$25:$BC$109,,MATCH(AN$8,'Калькуляция (МСА)'!$AE$8:$BC$8,0)),'Калькуляция (МСА)'!$F$25:$F$109,$F37,'Калькуляция (МСА)'!$G$25:$G$109,$G37),SUMIFS(INDEX('Калькуляция (5.9)'!$AJ$25:$BC$194,,MATCH(AN$8,'Калькуляция (5.9)'!$AJ$8:$BC$8,0)),'Калькуляция (5.9)'!$F$25:$F$194,$F37,'Калькуляция (5.9)'!$G$25:$G$194,$G37))</f>
        <v>0</v>
      </c>
      <c r="AO37" s="341">
        <f ca="1">IF(AM37=0,0,(AN37-AM37)/AM37*100)</f>
        <v>0</v>
      </c>
      <c r="AP37" s="354">
        <f ca="1">IF(method_reg="Метод сравнения аналогов",SUMIFS(INDEX('Калькуляция (МСА)'!$AE$25:$BC$109,,MATCH(AP$8,'Калькуляция (МСА)'!$AE$8:$BC$8,0)),'Калькуляция (МСА)'!$F$25:$F$109,$F37,'Калькуляция (МСА)'!$G$25:$G$109,$G37),SUMIFS(INDEX('Калькуляция (5.9)'!$AJ$25:$BC$194,,MATCH(AP$8,'Калькуляция (5.9)'!$AJ$8:$BC$8,0)),'Калькуляция (5.9)'!$F$25:$F$194,$F37,'Калькуляция (5.9)'!$G$25:$G$194,$G37))</f>
        <v>0</v>
      </c>
      <c r="AQ37" s="354">
        <f ca="1">IF(method_reg="Метод сравнения аналогов",SUMIFS(INDEX('Калькуляция (МСА)'!$AE$25:$BC$109,,MATCH(AQ$8,'Калькуляция (МСА)'!$AE$8:$BC$8,0)),'Калькуляция (МСА)'!$F$25:$F$109,$F37,'Калькуляция (МСА)'!$G$25:$G$109,$G37),SUMIFS(INDEX('Калькуляция (5.9)'!$AJ$25:$BC$194,,MATCH(AQ$8,'Калькуляция (5.9)'!$AJ$8:$BC$8,0)),'Калькуляция (5.9)'!$F$25:$F$194,$F37,'Калькуляция (5.9)'!$G$25:$G$194,$G37))</f>
        <v>0</v>
      </c>
      <c r="AR37" s="341">
        <f ca="1">IF(AP37=0,0,(AQ37-AP37)/AP37*100)</f>
        <v>0</v>
      </c>
      <c r="AS37" s="100">
        <f ca="1">IF(method_reg="Метод сравнения аналогов",SUMIFS(INDEX('Калькуляция (МСА)'!$AE$25:$BC$109,,MATCH(AS$8,'Калькуляция (МСА)'!$AE$8:$BC$8,0)),'Калькуляция (МСА)'!$F$25:$F$109,$F37,'Калькуляция (МСА)'!$G$25:$G$109,$G37),SUMIFS(INDEX('Калькуляция (5.9)'!$AJ$25:$BC$194,,MATCH(AS$8,'Калькуляция (5.9)'!$AJ$8:$BC$8,0)),'Калькуляция (5.9)'!$F$25:$F$194,$F37,'Калькуляция (5.9)'!$G$25:$G$194,$G37))</f>
        <v>0</v>
      </c>
      <c r="AT37" s="100">
        <f ca="1">IF(method_reg="Метод сравнения аналогов",SUMIFS(INDEX('Калькуляция (МСА)'!$AE$25:$BC$109,,MATCH(AT$8,'Калькуляция (МСА)'!$AE$8:$BC$8,0)),'Калькуляция (МСА)'!$F$25:$F$109,$F37,'Калькуляция (МСА)'!$G$25:$G$109,$G37),SUMIFS(INDEX('Калькуляция (5.9)'!$AJ$25:$BC$194,,MATCH(AT$8,'Калькуляция (5.9)'!$AJ$8:$BC$8,0)),'Калькуляция (5.9)'!$F$25:$F$194,$F37,'Калькуляция (5.9)'!$G$25:$G$194,$G37))</f>
        <v>0</v>
      </c>
      <c r="AU37" s="341">
        <f ca="1">IF(AS37=0,0,(AT37-AS37)/AS37*100)</f>
        <v>0</v>
      </c>
      <c r="AV37" s="100">
        <f ca="1">IF(method_reg="Метод сравнения аналогов",SUMIFS(INDEX('Калькуляция (МСА)'!$AE$25:$BC$109,,MATCH(AV$8,'Калькуляция (МСА)'!$AE$8:$BC$8,0)),'Калькуляция (МСА)'!$F$25:$F$109,$F37,'Калькуляция (МСА)'!$G$25:$G$109,$G37),SUMIFS(INDEX('Калькуляция (5.9)'!$AJ$25:$BC$194,,MATCH(AV$8,'Калькуляция (5.9)'!$AJ$8:$BC$8,0)),'Калькуляция (5.9)'!$F$25:$F$194,$F37,'Калькуляция (5.9)'!$G$25:$G$194,$G37))</f>
        <v>0</v>
      </c>
      <c r="AW37" s="100">
        <f ca="1">IF(method_reg="Метод сравнения аналогов",SUMIFS(INDEX('Калькуляция (МСА)'!$AE$25:$BC$109,,MATCH(AW$8,'Калькуляция (МСА)'!$AE$8:$BC$8,0)),'Калькуляция (МСА)'!$F$25:$F$109,$F37,'Калькуляция (МСА)'!$G$25:$G$109,$G37),SUMIFS(INDEX('Калькуляция (5.9)'!$AJ$25:$BC$194,,MATCH(AW$8,'Калькуляция (5.9)'!$AJ$8:$BC$8,0)),'Калькуляция (5.9)'!$F$25:$F$194,$F37,'Калькуляция (5.9)'!$G$25:$G$194,$G37))</f>
        <v>0</v>
      </c>
      <c r="AX37" s="341">
        <f ca="1">IF(AV37=0,0,(AW37-AV37)/AV37*100)</f>
        <v>0</v>
      </c>
      <c r="AY37" s="100">
        <f ca="1">IF(method_reg="Метод сравнения аналогов",SUMIFS(INDEX('Калькуляция (МСА)'!$AE$25:$BC$109,,MATCH(AY$8,'Калькуляция (МСА)'!$AE$8:$BC$8,0)),'Калькуляция (МСА)'!$F$25:$F$109,$F37,'Калькуляция (МСА)'!$G$25:$G$109,$G37),SUMIFS(INDEX('Калькуляция (5.9)'!$AJ$25:$BC$194,,MATCH(AY$8,'Калькуляция (5.9)'!$AJ$8:$BC$8,0)),'Калькуляция (5.9)'!$F$25:$F$194,$F37,'Калькуляция (5.9)'!$G$25:$G$194,$G37))</f>
        <v>0</v>
      </c>
      <c r="AZ37" s="100">
        <f ca="1">IF(method_reg="Метод сравнения аналогов",SUMIFS(INDEX('Калькуляция (МСА)'!$AE$25:$BC$109,,MATCH(AZ$8,'Калькуляция (МСА)'!$AE$8:$BC$8,0)),'Калькуляция (МСА)'!$F$25:$F$109,$F37,'Калькуляция (МСА)'!$G$25:$G$109,$G37),SUMIFS(INDEX('Калькуляция (5.9)'!$AJ$25:$BC$194,,MATCH(AZ$8,'Калькуляция (5.9)'!$AJ$8:$BC$8,0)),'Калькуляция (5.9)'!$F$25:$F$194,$F37,'Калькуляция (5.9)'!$G$25:$G$194,$G37))</f>
        <v>0</v>
      </c>
      <c r="BA37" s="341">
        <f ca="1">IF(AY37=0,0,(AZ37-AY37)/AY37*100)</f>
        <v>0</v>
      </c>
      <c r="BB37" s="100">
        <f ca="1">IF(method_reg="Метод сравнения аналогов",SUMIFS(INDEX('Калькуляция (МСА)'!$AE$25:$BC$109,,MATCH(BB$8,'Калькуляция (МСА)'!$AE$8:$BC$8,0)),'Калькуляция (МСА)'!$F$25:$F$109,$F37,'Калькуляция (МСА)'!$G$25:$G$109,$G37),SUMIFS(INDEX('Калькуляция (5.9)'!$AJ$25:$BC$194,,MATCH(BB$8,'Калькуляция (5.9)'!$AJ$8:$BC$8,0)),'Калькуляция (5.9)'!$F$25:$F$194,$F37,'Калькуляция (5.9)'!$G$25:$G$194,$G37))</f>
        <v>0</v>
      </c>
      <c r="BC37" s="100">
        <f ca="1">IF(method_reg="Метод сравнения аналогов",SUMIFS(INDEX('Калькуляция (МСА)'!$AE$25:$BC$109,,MATCH(BC$8,'Калькуляция (МСА)'!$AE$8:$BC$8,0)),'Калькуляция (МСА)'!$F$25:$F$109,$F37,'Калькуляция (МСА)'!$G$25:$G$109,$G37),SUMIFS(INDEX('Калькуляция (5.9)'!$AJ$25:$BC$194,,MATCH(BC$8,'Калькуляция (5.9)'!$AJ$8:$BC$8,0)),'Калькуляция (5.9)'!$F$25:$F$194,$F37,'Калькуляция (5.9)'!$G$25:$G$194,$G37))</f>
        <v>0</v>
      </c>
      <c r="BD37" s="341">
        <f ca="1">IF(BB37=0,0,(BC37-BB37)/BB37*100)</f>
        <v>0</v>
      </c>
      <c r="BE37" s="100">
        <f ca="1">IF(method_reg="Метод сравнения аналогов",SUMIFS(INDEX('Калькуляция (МСА)'!$AE$25:$BC$109,,MATCH(BE$8,'Калькуляция (МСА)'!$AE$8:$BC$8,0)),'Калькуляция (МСА)'!$F$25:$F$109,$F37,'Калькуляция (МСА)'!$G$25:$G$109,$G37),SUMIFS(INDEX('Калькуляция (5.9)'!$AJ$25:$BC$194,,MATCH(BE$8,'Калькуляция (5.9)'!$AJ$8:$BC$8,0)),'Калькуляция (5.9)'!$F$25:$F$194,$F37,'Калькуляция (5.9)'!$G$25:$G$194,$G37))</f>
        <v>0</v>
      </c>
      <c r="BF37" s="100">
        <f ca="1">IF(method_reg="Метод сравнения аналогов",SUMIFS(INDEX('Калькуляция (МСА)'!$AE$25:$BC$109,,MATCH(BF$8,'Калькуляция (МСА)'!$AE$8:$BC$8,0)),'Калькуляция (МСА)'!$F$25:$F$109,$F37,'Калькуляция (МСА)'!$G$25:$G$109,$G37),SUMIFS(INDEX('Калькуляция (5.9)'!$AJ$25:$BC$194,,MATCH(BF$8,'Калькуляция (5.9)'!$AJ$8:$BC$8,0)),'Калькуляция (5.9)'!$F$25:$F$194,$F37,'Калькуляция (5.9)'!$G$25:$G$194,$G37))</f>
        <v>0</v>
      </c>
      <c r="BG37" s="341">
        <f ca="1">IF(BE37=0,0,(BF37-BE37)/BE37*100)</f>
        <v>0</v>
      </c>
      <c r="BH37" s="100"/>
      <c r="BI37" s="100"/>
      <c r="BJ37" s="341">
        <f>IF(BH37=0,0,(BI37-BH37)/BH37*100)</f>
        <v>0</v>
      </c>
      <c r="BK37" s="100"/>
      <c r="BL37" s="100"/>
      <c r="BM37" s="341">
        <f>IF(BK37=0,0,(BL37-BK37)/BK37*100)</f>
        <v>0</v>
      </c>
      <c r="BN37" s="100"/>
      <c r="BO37" s="100"/>
      <c r="BP37" s="341">
        <f>IF(BN37=0,0,(BO37-BN37)/BN37*100)</f>
        <v>0</v>
      </c>
      <c r="BQ37" s="100"/>
      <c r="BR37" s="100"/>
      <c r="BS37" s="341">
        <f>IF(BQ37=0,0,(BR37-BQ37)/BQ37*100)</f>
        <v>0</v>
      </c>
      <c r="BT37" s="100"/>
      <c r="BU37" s="100"/>
      <c r="BV37" s="341">
        <f>IF(BT37=0,0,(BU37-BT37)/BT37*100)</f>
        <v>0</v>
      </c>
      <c r="BW37" s="100"/>
      <c r="BX37" s="100"/>
      <c r="BY37" s="341">
        <f>IF(BW37=0,0,(BX37-BW37)/BW37*100)</f>
        <v>0</v>
      </c>
      <c r="BZ37" s="100"/>
      <c r="CA37" s="100"/>
      <c r="CB37" s="341">
        <f>IF(BZ37=0,0,(CA37-BZ37)/BZ37*100)</f>
        <v>0</v>
      </c>
      <c r="CC37" s="100"/>
      <c r="CD37" s="100"/>
      <c r="CE37" s="341">
        <f>IF(CC37=0,0,(CD37-CC37)/CC37*100)</f>
        <v>0</v>
      </c>
      <c r="CF37" s="100"/>
      <c r="CG37" s="100"/>
      <c r="CH37" s="341">
        <f>IF(CF37=0,0,(CG37-CF37)/CF37*100)</f>
        <v>0</v>
      </c>
      <c r="CI37" s="100"/>
      <c r="CJ37" s="100"/>
      <c r="CK37" s="341">
        <f>IF(CI37=0,0,(CJ37-CI37)/CI37*100)</f>
        <v>0</v>
      </c>
      <c r="CL37" s="100"/>
      <c r="CM37" s="100"/>
      <c r="CN37" s="341">
        <f>IF(CL37=0,0,(CM37-CL37)/CL37*100)</f>
        <v>0</v>
      </c>
      <c r="CO37" s="100"/>
      <c r="CP37" s="100"/>
      <c r="CQ37" s="341">
        <f>IF(CO37=0,0,(CP37-CO37)/CO37*100)</f>
        <v>0</v>
      </c>
      <c r="CR37" s="100"/>
      <c r="CS37" s="100"/>
      <c r="CT37" s="341">
        <f>IF(CR37=0,0,(CS37-CR37)/CR37*100)</f>
        <v>0</v>
      </c>
      <c r="CU37" s="100"/>
      <c r="CV37" s="100"/>
      <c r="CW37" s="341">
        <f>IF(CU37=0,0,(CV37-CU37)/CU37*100)</f>
        <v>0</v>
      </c>
      <c r="CX37" s="100"/>
      <c r="CY37" s="100"/>
      <c r="CZ37" s="341">
        <f>IF(CX37=0,0,(CY37-CX37)/CX37*100)</f>
        <v>0</v>
      </c>
      <c r="DA37" s="100"/>
      <c r="DB37" s="100"/>
      <c r="DC37" s="341">
        <f>IF(DA37=0,0,(DB37-DA37)/DA37*100)</f>
        <v>0</v>
      </c>
      <c r="DD37" s="100"/>
      <c r="DE37" s="100"/>
      <c r="DF37" s="341">
        <f>IF(DD37=0,0,(DE37-DD37)/DD37*100)</f>
        <v>0</v>
      </c>
      <c r="DG37" s="100"/>
      <c r="DH37" s="100"/>
      <c r="DI37" s="341">
        <f>IF(DG37=0,0,(DH37-DG37)/DG37*100)</f>
        <v>0</v>
      </c>
      <c r="DJ37" s="100"/>
      <c r="DK37" s="100"/>
      <c r="DL37" s="341">
        <f>IF(DJ37=0,0,(DK37-DJ37)/DJ37*100)</f>
        <v>0</v>
      </c>
      <c r="DM37" s="100"/>
      <c r="DN37" s="100"/>
      <c r="DO37" s="341">
        <f>IF(DM37=0,0,(DN37-DM37)/DM37*100)</f>
        <v>0</v>
      </c>
      <c r="DP37" s="100"/>
      <c r="DQ37" s="100"/>
      <c r="DR37" s="341">
        <f>IF(DP37=0,0,(DQ37-DP37)/DP37*100)</f>
        <v>0</v>
      </c>
      <c r="DS37" s="100"/>
      <c r="DT37" s="100"/>
      <c r="DU37" s="341">
        <f>IF(DS37=0,0,(DT37-DS37)/DS37*100)</f>
        <v>0</v>
      </c>
      <c r="DV37" s="100"/>
      <c r="DW37" s="100"/>
      <c r="DX37" s="341">
        <f>IF(DV37=0,0,(DW37-DV37)/DV37*100)</f>
        <v>0</v>
      </c>
      <c r="DY37" s="100"/>
      <c r="DZ37" s="100"/>
      <c r="EA37" s="341">
        <f>IF(DY37=0,0,(DZ37-DY37)/DY37*100)</f>
        <v>0</v>
      </c>
      <c r="EB37" s="100"/>
      <c r="EC37" s="100"/>
      <c r="ED37" s="341">
        <f>IF(EB37=0,0,(EC37-EB37)/EB37*100)</f>
        <v>0</v>
      </c>
      <c r="EE37" s="100"/>
      <c r="EF37" s="100"/>
      <c r="EG37" s="341">
        <f>IF(EE37=0,0,(EF37-EE37)/EE37*100)</f>
        <v>0</v>
      </c>
      <c r="EH37" s="100"/>
      <c r="EI37" s="100"/>
      <c r="EJ37" s="341">
        <f>IF(EH37=0,0,(EI37-EH37)/EH37*100)</f>
        <v>0</v>
      </c>
      <c r="EK37" s="100"/>
      <c r="EL37" s="100"/>
      <c r="EM37" s="341">
        <f>IF(EK37=0,0,(EL37-EK37)/EK37*100)</f>
        <v>0</v>
      </c>
      <c r="EN37" s="100"/>
      <c r="EO37" s="100"/>
      <c r="EP37" s="341">
        <f>IF(EN37=0,0,(EO37-EN37)/EN37*100)</f>
        <v>0</v>
      </c>
      <c r="EQ37" s="100"/>
      <c r="ER37" s="100"/>
      <c r="ES37" s="341">
        <f>IF(EQ37=0,0,(ER37-EQ37)/EQ37*100)</f>
        <v>0</v>
      </c>
      <c r="ET37" s="100"/>
      <c r="EU37" s="100"/>
      <c r="EV37" s="341">
        <f>IF(ET37=0,0,(EU37-ET37)/ET37*100)</f>
        <v>0</v>
      </c>
      <c r="EW37" s="100"/>
      <c r="EX37" s="100"/>
      <c r="EY37" s="341">
        <f>IF(EW37=0,0,(EX37-EW37)/EW37*100)</f>
        <v>0</v>
      </c>
      <c r="EZ37" s="100"/>
      <c r="FA37" s="100"/>
      <c r="FB37" s="341">
        <f>IF(EZ37=0,0,(FA37-EZ37)/EZ37*100)</f>
        <v>0</v>
      </c>
      <c r="FC37" s="100"/>
      <c r="FD37" s="100"/>
      <c r="FE37" s="341">
        <f>IF(FC37=0,0,(FD37-FC37)/FC37*100)</f>
        <v>0</v>
      </c>
      <c r="FF37" s="100"/>
      <c r="FG37" s="100"/>
      <c r="FH37" s="341">
        <f>IF(FF37=0,0,(FG37-FF37)/FF37*100)</f>
        <v>0</v>
      </c>
      <c r="FI37" s="100"/>
      <c r="FJ37" s="100"/>
      <c r="FK37" s="341">
        <f>IF(FI37=0,0,(FJ37-FI37)/FI37*100)</f>
        <v>0</v>
      </c>
      <c r="FL37" s="100"/>
      <c r="FM37" s="100"/>
      <c r="FN37" s="341">
        <f>IF(FL37=0,0,(FM37-FL37)/FL37*100)</f>
        <v>0</v>
      </c>
      <c r="FO37" s="100"/>
      <c r="FP37" s="100"/>
      <c r="FQ37" s="341">
        <f>IF(FO37=0,0,(FP37-FO37)/FO37*100)</f>
        <v>0</v>
      </c>
      <c r="FR37" s="100"/>
      <c r="FS37" s="100"/>
      <c r="FT37" s="341">
        <f>IF(FR37=0,0,(FS37-FR37)/FR37*100)</f>
        <v>0</v>
      </c>
      <c r="FU37" s="100"/>
      <c r="FV37" s="100"/>
      <c r="FW37" s="341">
        <f>IF(FU37=0,0,(FV37-FU37)/FU37*100)</f>
        <v>0</v>
      </c>
      <c r="FZ37" s="981" t="s">
        <v>2166</v>
      </c>
      <c r="GA37" s="981"/>
      <c r="GB37" s="981"/>
      <c r="GC37" s="981"/>
      <c r="GD37" s="981"/>
    </row>
    <row r="38" spans="2:186" ht="16.7" hidden="1" customHeight="1">
      <c r="B38" s="813" t="b" cm="1">
        <f t="array" ref="B38">B37</f>
        <v>0</v>
      </c>
      <c r="C38" s="1118" t="s">
        <v>1779</v>
      </c>
      <c r="D38" s="1087" t="s">
        <v>1780</v>
      </c>
      <c r="E38" s="676">
        <v>17.100000000000001</v>
      </c>
      <c r="F38" s="779" cm="1">
        <f t="array" aca="1" ref="F38" ca="1">OFFSET(G38,-1,-1)</f>
        <v>0</v>
      </c>
      <c r="G38" s="143" t="s">
        <v>1790</v>
      </c>
      <c r="J38" s="1108" t="s">
        <v>2149</v>
      </c>
      <c r="K38" s="1108" cm="1">
        <f t="array" aca="1" ref="K38" ca="1">OFFSET(J38,-1,1)</f>
        <v>0</v>
      </c>
      <c r="L38" s="1108" t="s">
        <v>2163</v>
      </c>
      <c r="M38" s="1108" t="s">
        <v>1791</v>
      </c>
      <c r="N38" s="1108" t="s">
        <v>2151</v>
      </c>
      <c r="O38" s="1109" t="s">
        <v>2152</v>
      </c>
      <c r="P38" s="1108"/>
      <c r="Q38" s="1108"/>
      <c r="T38" s="687" t="b" cm="1">
        <f t="array" aca="1" ref="T38" ca="1">T37</f>
        <v>0</v>
      </c>
      <c r="X38" s="1726"/>
      <c r="Z38" s="1726"/>
      <c r="AB38" s="236" t="s">
        <v>1792</v>
      </c>
      <c r="AC38" s="123" t="s">
        <v>634</v>
      </c>
      <c r="AD38" s="100">
        <f ca="1">IF(method_reg="Метод экономически обоснованных расходов",SUMIFS('Калькуляция (4.6)'!AJ$25:AJ$229,'Калькуляция (4.6)'!$F$25:$F$229,$F38,'Калькуляция (4.6)'!$G$25:$G$229,$G38),IF(method_reg="Метод сравнения аналогов",SUMIFS(INDEX('Калькуляция (МСА)'!$AE$25:$BC$109,,MATCH(AD$8,'Калькуляция (МСА)'!$AE$8:$BC$8,0)),'Калькуляция (МСА)'!$F$25:$F$109,$F38,'Калькуляция (МСА)'!$G$25:$G$109,$G38),SUMIFS(INDEX('Калькуляция (5.9)'!$AJ$25:$BC$194,,MATCH(AD$8,'Калькуляция (5.9)'!$AJ$8:$BC$8,0)),'Калькуляция (5.9)'!$F$25:$F$194,$F38,'Калькуляция (5.9)'!$G$25:$G$194,$G38)))</f>
        <v>0</v>
      </c>
      <c r="AE38" s="100">
        <f ca="1">IF(method_reg="Метод экономически обоснованных расходов",SUMIFS('Калькуляция (4.6)'!AK$25:AK$229,'Калькуляция (4.6)'!$F$25:$F$229,$F38,'Калькуляция (4.6)'!$G$25:$G$229,$G38),IF(method_reg="Метод сравнения аналогов",SUMIFS(INDEX('Калькуляция (МСА)'!$AE$25:$BC$109,,MATCH(AE$8,'Калькуляция (МСА)'!$AE$8:$BC$8,0)),'Калькуляция (МСА)'!$F$25:$F$109,$F38,'Калькуляция (МСА)'!$G$25:$G$109,$G38),SUMIFS(INDEX('Калькуляция (5.9)'!$AJ$25:$BC$194,,MATCH(AE$8,'Калькуляция (5.9)'!$AJ$8:$BC$8,0)),'Калькуляция (5.9)'!$F$25:$F$194,$F38,'Калькуляция (5.9)'!$G$25:$G$194,$G38)))</f>
        <v>0</v>
      </c>
      <c r="AF38" s="341">
        <f ca="1">IF(AD38=0,0,(AE38-AD38)/AD38*100)</f>
        <v>0</v>
      </c>
      <c r="AG38" s="354">
        <f ca="1">IF(method_reg="Метод сравнения аналогов",SUMIFS(INDEX('Калькуляция (МСА)'!$AE$25:$BC$109,,MATCH(AG$8,'Калькуляция (МСА)'!$AE$8:$BC$8,0)),'Калькуляция (МСА)'!$F$25:$F$109,$F38,'Калькуляция (МСА)'!$G$25:$G$109,$G38),SUMIFS(INDEX('Калькуляция (5.9)'!$AJ$25:$BC$194,,MATCH(AG$8,'Калькуляция (5.9)'!$AJ$8:$BC$8,0)),'Калькуляция (5.9)'!$F$25:$F$194,$F38,'Калькуляция (5.9)'!$G$25:$G$194,$G38))</f>
        <v>0</v>
      </c>
      <c r="AH38" s="354">
        <f ca="1">IF(method_reg="Метод сравнения аналогов",SUMIFS(INDEX('Калькуляция (МСА)'!$AE$25:$BC$109,,MATCH(AH$8,'Калькуляция (МСА)'!$AE$8:$BC$8,0)),'Калькуляция (МСА)'!$F$25:$F$109,$F38,'Калькуляция (МСА)'!$G$25:$G$109,$G38),SUMIFS(INDEX('Калькуляция (5.9)'!$AJ$25:$BC$194,,MATCH(AH$8,'Калькуляция (5.9)'!$AJ$8:$BC$8,0)),'Калькуляция (5.9)'!$F$25:$F$194,$F38,'Калькуляция (5.9)'!$G$25:$G$194,$G38))</f>
        <v>0</v>
      </c>
      <c r="AI38" s="341">
        <f ca="1">IF(AG38=0,0,(AH38-AG38)/AG38*100)</f>
        <v>0</v>
      </c>
      <c r="AJ38" s="354">
        <f ca="1">IF(method_reg="Метод сравнения аналогов",SUMIFS(INDEX('Калькуляция (МСА)'!$AE$25:$BC$109,,MATCH(AJ$8,'Калькуляция (МСА)'!$AE$8:$BC$8,0)),'Калькуляция (МСА)'!$F$25:$F$109,$F38,'Калькуляция (МСА)'!$G$25:$G$109,$G38),SUMIFS(INDEX('Калькуляция (5.9)'!$AJ$25:$BC$194,,MATCH(AJ$8,'Калькуляция (5.9)'!$AJ$8:$BC$8,0)),'Калькуляция (5.9)'!$F$25:$F$194,$F38,'Калькуляция (5.9)'!$G$25:$G$194,$G38))</f>
        <v>0</v>
      </c>
      <c r="AK38" s="354">
        <f ca="1">IF(method_reg="Метод сравнения аналогов",SUMIFS(INDEX('Калькуляция (МСА)'!$AE$25:$BC$109,,MATCH(AK$8,'Калькуляция (МСА)'!$AE$8:$BC$8,0)),'Калькуляция (МСА)'!$F$25:$F$109,$F38,'Калькуляция (МСА)'!$G$25:$G$109,$G38),SUMIFS(INDEX('Калькуляция (5.9)'!$AJ$25:$BC$194,,MATCH(AK$8,'Калькуляция (5.9)'!$AJ$8:$BC$8,0)),'Калькуляция (5.9)'!$F$25:$F$194,$F38,'Калькуляция (5.9)'!$G$25:$G$194,$G38))</f>
        <v>0</v>
      </c>
      <c r="AL38" s="341">
        <f ca="1">IF(AJ38=0,0,(AK38-AJ38)/AJ38*100)</f>
        <v>0</v>
      </c>
      <c r="AM38" s="354">
        <f ca="1">IF(method_reg="Метод сравнения аналогов",SUMIFS(INDEX('Калькуляция (МСА)'!$AE$25:$BC$109,,MATCH(AM$8,'Калькуляция (МСА)'!$AE$8:$BC$8,0)),'Калькуляция (МСА)'!$F$25:$F$109,$F38,'Калькуляция (МСА)'!$G$25:$G$109,$G38),SUMIFS(INDEX('Калькуляция (5.9)'!$AJ$25:$BC$194,,MATCH(AM$8,'Калькуляция (5.9)'!$AJ$8:$BC$8,0)),'Калькуляция (5.9)'!$F$25:$F$194,$F38,'Калькуляция (5.9)'!$G$25:$G$194,$G38))</f>
        <v>0</v>
      </c>
      <c r="AN38" s="354">
        <f ca="1">IF(method_reg="Метод сравнения аналогов",SUMIFS(INDEX('Калькуляция (МСА)'!$AE$25:$BC$109,,MATCH(AN$8,'Калькуляция (МСА)'!$AE$8:$BC$8,0)),'Калькуляция (МСА)'!$F$25:$F$109,$F38,'Калькуляция (МСА)'!$G$25:$G$109,$G38),SUMIFS(INDEX('Калькуляция (5.9)'!$AJ$25:$BC$194,,MATCH(AN$8,'Калькуляция (5.9)'!$AJ$8:$BC$8,0)),'Калькуляция (5.9)'!$F$25:$F$194,$F38,'Калькуляция (5.9)'!$G$25:$G$194,$G38))</f>
        <v>0</v>
      </c>
      <c r="AO38" s="341">
        <f ca="1">IF(AM38=0,0,(AN38-AM38)/AM38*100)</f>
        <v>0</v>
      </c>
      <c r="AP38" s="354">
        <f ca="1">IF(method_reg="Метод сравнения аналогов",SUMIFS(INDEX('Калькуляция (МСА)'!$AE$25:$BC$109,,MATCH(AP$8,'Калькуляция (МСА)'!$AE$8:$BC$8,0)),'Калькуляция (МСА)'!$F$25:$F$109,$F38,'Калькуляция (МСА)'!$G$25:$G$109,$G38),SUMIFS(INDEX('Калькуляция (5.9)'!$AJ$25:$BC$194,,MATCH(AP$8,'Калькуляция (5.9)'!$AJ$8:$BC$8,0)),'Калькуляция (5.9)'!$F$25:$F$194,$F38,'Калькуляция (5.9)'!$G$25:$G$194,$G38))</f>
        <v>0</v>
      </c>
      <c r="AQ38" s="354">
        <f ca="1">IF(method_reg="Метод сравнения аналогов",SUMIFS(INDEX('Калькуляция (МСА)'!$AE$25:$BC$109,,MATCH(AQ$8,'Калькуляция (МСА)'!$AE$8:$BC$8,0)),'Калькуляция (МСА)'!$F$25:$F$109,$F38,'Калькуляция (МСА)'!$G$25:$G$109,$G38),SUMIFS(INDEX('Калькуляция (5.9)'!$AJ$25:$BC$194,,MATCH(AQ$8,'Калькуляция (5.9)'!$AJ$8:$BC$8,0)),'Калькуляция (5.9)'!$F$25:$F$194,$F38,'Калькуляция (5.9)'!$G$25:$G$194,$G38))</f>
        <v>0</v>
      </c>
      <c r="AR38" s="341">
        <f ca="1">IF(AP38=0,0,(AQ38-AP38)/AP38*100)</f>
        <v>0</v>
      </c>
      <c r="AS38" s="100">
        <f ca="1">IF(method_reg="Метод сравнения аналогов",SUMIFS(INDEX('Калькуляция (МСА)'!$AE$25:$BC$109,,MATCH(AS$8,'Калькуляция (МСА)'!$AE$8:$BC$8,0)),'Калькуляция (МСА)'!$F$25:$F$109,$F38,'Калькуляция (МСА)'!$G$25:$G$109,$G38),SUMIFS(INDEX('Калькуляция (5.9)'!$AJ$25:$BC$194,,MATCH(AS$8,'Калькуляция (5.9)'!$AJ$8:$BC$8,0)),'Калькуляция (5.9)'!$F$25:$F$194,$F38,'Калькуляция (5.9)'!$G$25:$G$194,$G38))</f>
        <v>0</v>
      </c>
      <c r="AT38" s="100">
        <f ca="1">IF(method_reg="Метод сравнения аналогов",SUMIFS(INDEX('Калькуляция (МСА)'!$AE$25:$BC$109,,MATCH(AT$8,'Калькуляция (МСА)'!$AE$8:$BC$8,0)),'Калькуляция (МСА)'!$F$25:$F$109,$F38,'Калькуляция (МСА)'!$G$25:$G$109,$G38),SUMIFS(INDEX('Калькуляция (5.9)'!$AJ$25:$BC$194,,MATCH(AT$8,'Калькуляция (5.9)'!$AJ$8:$BC$8,0)),'Калькуляция (5.9)'!$F$25:$F$194,$F38,'Калькуляция (5.9)'!$G$25:$G$194,$G38))</f>
        <v>0</v>
      </c>
      <c r="AU38" s="341">
        <f ca="1">IF(AS38=0,0,(AT38-AS38)/AS38*100)</f>
        <v>0</v>
      </c>
      <c r="AV38" s="100">
        <f ca="1">IF(method_reg="Метод сравнения аналогов",SUMIFS(INDEX('Калькуляция (МСА)'!$AE$25:$BC$109,,MATCH(AV$8,'Калькуляция (МСА)'!$AE$8:$BC$8,0)),'Калькуляция (МСА)'!$F$25:$F$109,$F38,'Калькуляция (МСА)'!$G$25:$G$109,$G38),SUMIFS(INDEX('Калькуляция (5.9)'!$AJ$25:$BC$194,,MATCH(AV$8,'Калькуляция (5.9)'!$AJ$8:$BC$8,0)),'Калькуляция (5.9)'!$F$25:$F$194,$F38,'Калькуляция (5.9)'!$G$25:$G$194,$G38))</f>
        <v>0</v>
      </c>
      <c r="AW38" s="100">
        <f ca="1">IF(method_reg="Метод сравнения аналогов",SUMIFS(INDEX('Калькуляция (МСА)'!$AE$25:$BC$109,,MATCH(AW$8,'Калькуляция (МСА)'!$AE$8:$BC$8,0)),'Калькуляция (МСА)'!$F$25:$F$109,$F38,'Калькуляция (МСА)'!$G$25:$G$109,$G38),SUMIFS(INDEX('Калькуляция (5.9)'!$AJ$25:$BC$194,,MATCH(AW$8,'Калькуляция (5.9)'!$AJ$8:$BC$8,0)),'Калькуляция (5.9)'!$F$25:$F$194,$F38,'Калькуляция (5.9)'!$G$25:$G$194,$G38))</f>
        <v>0</v>
      </c>
      <c r="AX38" s="341">
        <f ca="1">IF(AV38=0,0,(AW38-AV38)/AV38*100)</f>
        <v>0</v>
      </c>
      <c r="AY38" s="100">
        <f ca="1">IF(method_reg="Метод сравнения аналогов",SUMIFS(INDEX('Калькуляция (МСА)'!$AE$25:$BC$109,,MATCH(AY$8,'Калькуляция (МСА)'!$AE$8:$BC$8,0)),'Калькуляция (МСА)'!$F$25:$F$109,$F38,'Калькуляция (МСА)'!$G$25:$G$109,$G38),SUMIFS(INDEX('Калькуляция (5.9)'!$AJ$25:$BC$194,,MATCH(AY$8,'Калькуляция (5.9)'!$AJ$8:$BC$8,0)),'Калькуляция (5.9)'!$F$25:$F$194,$F38,'Калькуляция (5.9)'!$G$25:$G$194,$G38))</f>
        <v>0</v>
      </c>
      <c r="AZ38" s="100">
        <f ca="1">IF(method_reg="Метод сравнения аналогов",SUMIFS(INDEX('Калькуляция (МСА)'!$AE$25:$BC$109,,MATCH(AZ$8,'Калькуляция (МСА)'!$AE$8:$BC$8,0)),'Калькуляция (МСА)'!$F$25:$F$109,$F38,'Калькуляция (МСА)'!$G$25:$G$109,$G38),SUMIFS(INDEX('Калькуляция (5.9)'!$AJ$25:$BC$194,,MATCH(AZ$8,'Калькуляция (5.9)'!$AJ$8:$BC$8,0)),'Калькуляция (5.9)'!$F$25:$F$194,$F38,'Калькуляция (5.9)'!$G$25:$G$194,$G38))</f>
        <v>0</v>
      </c>
      <c r="BA38" s="341">
        <f ca="1">IF(AY38=0,0,(AZ38-AY38)/AY38*100)</f>
        <v>0</v>
      </c>
      <c r="BB38" s="100">
        <f ca="1">IF(method_reg="Метод сравнения аналогов",SUMIFS(INDEX('Калькуляция (МСА)'!$AE$25:$BC$109,,MATCH(BB$8,'Калькуляция (МСА)'!$AE$8:$BC$8,0)),'Калькуляция (МСА)'!$F$25:$F$109,$F38,'Калькуляция (МСА)'!$G$25:$G$109,$G38),SUMIFS(INDEX('Калькуляция (5.9)'!$AJ$25:$BC$194,,MATCH(BB$8,'Калькуляция (5.9)'!$AJ$8:$BC$8,0)),'Калькуляция (5.9)'!$F$25:$F$194,$F38,'Калькуляция (5.9)'!$G$25:$G$194,$G38))</f>
        <v>0</v>
      </c>
      <c r="BC38" s="100">
        <f ca="1">IF(method_reg="Метод сравнения аналогов",SUMIFS(INDEX('Калькуляция (МСА)'!$AE$25:$BC$109,,MATCH(BC$8,'Калькуляция (МСА)'!$AE$8:$BC$8,0)),'Калькуляция (МСА)'!$F$25:$F$109,$F38,'Калькуляция (МСА)'!$G$25:$G$109,$G38),SUMIFS(INDEX('Калькуляция (5.9)'!$AJ$25:$BC$194,,MATCH(BC$8,'Калькуляция (5.9)'!$AJ$8:$BC$8,0)),'Калькуляция (5.9)'!$F$25:$F$194,$F38,'Калькуляция (5.9)'!$G$25:$G$194,$G38))</f>
        <v>0</v>
      </c>
      <c r="BD38" s="341">
        <f ca="1">IF(BB38=0,0,(BC38-BB38)/BB38*100)</f>
        <v>0</v>
      </c>
      <c r="BE38" s="100">
        <f ca="1">IF(method_reg="Метод сравнения аналогов",SUMIFS(INDEX('Калькуляция (МСА)'!$AE$25:$BC$109,,MATCH(BE$8,'Калькуляция (МСА)'!$AE$8:$BC$8,0)),'Калькуляция (МСА)'!$F$25:$F$109,$F38,'Калькуляция (МСА)'!$G$25:$G$109,$G38),SUMIFS(INDEX('Калькуляция (5.9)'!$AJ$25:$BC$194,,MATCH(BE$8,'Калькуляция (5.9)'!$AJ$8:$BC$8,0)),'Калькуляция (5.9)'!$F$25:$F$194,$F38,'Калькуляция (5.9)'!$G$25:$G$194,$G38))</f>
        <v>0</v>
      </c>
      <c r="BF38" s="100">
        <f ca="1">IF(method_reg="Метод сравнения аналогов",SUMIFS(INDEX('Калькуляция (МСА)'!$AE$25:$BC$109,,MATCH(BF$8,'Калькуляция (МСА)'!$AE$8:$BC$8,0)),'Калькуляция (МСА)'!$F$25:$F$109,$F38,'Калькуляция (МСА)'!$G$25:$G$109,$G38),SUMIFS(INDEX('Калькуляция (5.9)'!$AJ$25:$BC$194,,MATCH(BF$8,'Калькуляция (5.9)'!$AJ$8:$BC$8,0)),'Калькуляция (5.9)'!$F$25:$F$194,$F38,'Калькуляция (5.9)'!$G$25:$G$194,$G38))</f>
        <v>0</v>
      </c>
      <c r="BG38" s="341">
        <f ca="1">IF(BE38=0,0,(BF38-BE38)/BE38*100)</f>
        <v>0</v>
      </c>
      <c r="BH38" s="100"/>
      <c r="BI38" s="100"/>
      <c r="BJ38" s="341">
        <f>IF(BH38=0,0,(BI38-BH38)/BH38*100)</f>
        <v>0</v>
      </c>
      <c r="BK38" s="100"/>
      <c r="BL38" s="100"/>
      <c r="BM38" s="341">
        <f>IF(BK38=0,0,(BL38-BK38)/BK38*100)</f>
        <v>0</v>
      </c>
      <c r="BN38" s="100"/>
      <c r="BO38" s="100"/>
      <c r="BP38" s="341">
        <f>IF(BN38=0,0,(BO38-BN38)/BN38*100)</f>
        <v>0</v>
      </c>
      <c r="BQ38" s="100"/>
      <c r="BR38" s="100"/>
      <c r="BS38" s="341">
        <f>IF(BQ38=0,0,(BR38-BQ38)/BQ38*100)</f>
        <v>0</v>
      </c>
      <c r="BT38" s="100"/>
      <c r="BU38" s="100"/>
      <c r="BV38" s="341">
        <f>IF(BT38=0,0,(BU38-BT38)/BT38*100)</f>
        <v>0</v>
      </c>
      <c r="BW38" s="100"/>
      <c r="BX38" s="100"/>
      <c r="BY38" s="341">
        <f>IF(BW38=0,0,(BX38-BW38)/BW38*100)</f>
        <v>0</v>
      </c>
      <c r="BZ38" s="100"/>
      <c r="CA38" s="100"/>
      <c r="CB38" s="341">
        <f>IF(BZ38=0,0,(CA38-BZ38)/BZ38*100)</f>
        <v>0</v>
      </c>
      <c r="CC38" s="100"/>
      <c r="CD38" s="100"/>
      <c r="CE38" s="341">
        <f>IF(CC38=0,0,(CD38-CC38)/CC38*100)</f>
        <v>0</v>
      </c>
      <c r="CF38" s="100"/>
      <c r="CG38" s="100"/>
      <c r="CH38" s="341">
        <f>IF(CF38=0,0,(CG38-CF38)/CF38*100)</f>
        <v>0</v>
      </c>
      <c r="CI38" s="100"/>
      <c r="CJ38" s="100"/>
      <c r="CK38" s="341">
        <f>IF(CI38=0,0,(CJ38-CI38)/CI38*100)</f>
        <v>0</v>
      </c>
      <c r="CL38" s="100"/>
      <c r="CM38" s="100"/>
      <c r="CN38" s="341">
        <f>IF(CL38=0,0,(CM38-CL38)/CL38*100)</f>
        <v>0</v>
      </c>
      <c r="CO38" s="100"/>
      <c r="CP38" s="100"/>
      <c r="CQ38" s="341">
        <f>IF(CO38=0,0,(CP38-CO38)/CO38*100)</f>
        <v>0</v>
      </c>
      <c r="CR38" s="100"/>
      <c r="CS38" s="100"/>
      <c r="CT38" s="341">
        <f>IF(CR38=0,0,(CS38-CR38)/CR38*100)</f>
        <v>0</v>
      </c>
      <c r="CU38" s="100"/>
      <c r="CV38" s="100"/>
      <c r="CW38" s="341">
        <f>IF(CU38=0,0,(CV38-CU38)/CU38*100)</f>
        <v>0</v>
      </c>
      <c r="CX38" s="100"/>
      <c r="CY38" s="100"/>
      <c r="CZ38" s="341">
        <f>IF(CX38=0,0,(CY38-CX38)/CX38*100)</f>
        <v>0</v>
      </c>
      <c r="DA38" s="100"/>
      <c r="DB38" s="100"/>
      <c r="DC38" s="341">
        <f>IF(DA38=0,0,(DB38-DA38)/DA38*100)</f>
        <v>0</v>
      </c>
      <c r="DD38" s="100"/>
      <c r="DE38" s="100"/>
      <c r="DF38" s="341">
        <f>IF(DD38=0,0,(DE38-DD38)/DD38*100)</f>
        <v>0</v>
      </c>
      <c r="DG38" s="100"/>
      <c r="DH38" s="100"/>
      <c r="DI38" s="341">
        <f>IF(DG38=0,0,(DH38-DG38)/DG38*100)</f>
        <v>0</v>
      </c>
      <c r="DJ38" s="100"/>
      <c r="DK38" s="100"/>
      <c r="DL38" s="341">
        <f>IF(DJ38=0,0,(DK38-DJ38)/DJ38*100)</f>
        <v>0</v>
      </c>
      <c r="DM38" s="100"/>
      <c r="DN38" s="100"/>
      <c r="DO38" s="341">
        <f>IF(DM38=0,0,(DN38-DM38)/DM38*100)</f>
        <v>0</v>
      </c>
      <c r="DP38" s="100"/>
      <c r="DQ38" s="100"/>
      <c r="DR38" s="341">
        <f>IF(DP38=0,0,(DQ38-DP38)/DP38*100)</f>
        <v>0</v>
      </c>
      <c r="DS38" s="100"/>
      <c r="DT38" s="100"/>
      <c r="DU38" s="341">
        <f>IF(DS38=0,0,(DT38-DS38)/DS38*100)</f>
        <v>0</v>
      </c>
      <c r="DV38" s="100"/>
      <c r="DW38" s="100"/>
      <c r="DX38" s="341">
        <f>IF(DV38=0,0,(DW38-DV38)/DV38*100)</f>
        <v>0</v>
      </c>
      <c r="DY38" s="100"/>
      <c r="DZ38" s="100"/>
      <c r="EA38" s="341">
        <f>IF(DY38=0,0,(DZ38-DY38)/DY38*100)</f>
        <v>0</v>
      </c>
      <c r="EB38" s="100"/>
      <c r="EC38" s="100"/>
      <c r="ED38" s="341">
        <f>IF(EB38=0,0,(EC38-EB38)/EB38*100)</f>
        <v>0</v>
      </c>
      <c r="EE38" s="100"/>
      <c r="EF38" s="100"/>
      <c r="EG38" s="341">
        <f>IF(EE38=0,0,(EF38-EE38)/EE38*100)</f>
        <v>0</v>
      </c>
      <c r="EH38" s="100"/>
      <c r="EI38" s="100"/>
      <c r="EJ38" s="341">
        <f>IF(EH38=0,0,(EI38-EH38)/EH38*100)</f>
        <v>0</v>
      </c>
      <c r="EK38" s="100"/>
      <c r="EL38" s="100"/>
      <c r="EM38" s="341">
        <f>IF(EK38=0,0,(EL38-EK38)/EK38*100)</f>
        <v>0</v>
      </c>
      <c r="EN38" s="100"/>
      <c r="EO38" s="100"/>
      <c r="EP38" s="341">
        <f>IF(EN38=0,0,(EO38-EN38)/EN38*100)</f>
        <v>0</v>
      </c>
      <c r="EQ38" s="100"/>
      <c r="ER38" s="100"/>
      <c r="ES38" s="341">
        <f>IF(EQ38=0,0,(ER38-EQ38)/EQ38*100)</f>
        <v>0</v>
      </c>
      <c r="ET38" s="100"/>
      <c r="EU38" s="100"/>
      <c r="EV38" s="341">
        <f>IF(ET38=0,0,(EU38-ET38)/ET38*100)</f>
        <v>0</v>
      </c>
      <c r="EW38" s="100"/>
      <c r="EX38" s="100"/>
      <c r="EY38" s="341">
        <f>IF(EW38=0,0,(EX38-EW38)/EW38*100)</f>
        <v>0</v>
      </c>
      <c r="EZ38" s="100"/>
      <c r="FA38" s="100"/>
      <c r="FB38" s="341">
        <f>IF(EZ38=0,0,(FA38-EZ38)/EZ38*100)</f>
        <v>0</v>
      </c>
      <c r="FC38" s="100"/>
      <c r="FD38" s="100"/>
      <c r="FE38" s="341">
        <f>IF(FC38=0,0,(FD38-FC38)/FC38*100)</f>
        <v>0</v>
      </c>
      <c r="FF38" s="100"/>
      <c r="FG38" s="100"/>
      <c r="FH38" s="341">
        <f>IF(FF38=0,0,(FG38-FF38)/FF38*100)</f>
        <v>0</v>
      </c>
      <c r="FI38" s="100"/>
      <c r="FJ38" s="100"/>
      <c r="FK38" s="341">
        <f>IF(FI38=0,0,(FJ38-FI38)/FI38*100)</f>
        <v>0</v>
      </c>
      <c r="FL38" s="100"/>
      <c r="FM38" s="100"/>
      <c r="FN38" s="341">
        <f>IF(FL38=0,0,(FM38-FL38)/FL38*100)</f>
        <v>0</v>
      </c>
      <c r="FO38" s="100"/>
      <c r="FP38" s="100"/>
      <c r="FQ38" s="341">
        <f>IF(FO38=0,0,(FP38-FO38)/FO38*100)</f>
        <v>0</v>
      </c>
      <c r="FR38" s="100"/>
      <c r="FS38" s="100"/>
      <c r="FT38" s="341">
        <f>IF(FR38=0,0,(FS38-FR38)/FR38*100)</f>
        <v>0</v>
      </c>
      <c r="FU38" s="100"/>
      <c r="FV38" s="100"/>
      <c r="FW38" s="341">
        <f>IF(FU38=0,0,(FV38-FU38)/FU38*100)</f>
        <v>0</v>
      </c>
      <c r="FZ38" s="981" t="s">
        <v>2167</v>
      </c>
      <c r="GA38" s="981"/>
      <c r="GB38" s="981"/>
      <c r="GC38" s="981"/>
      <c r="GD38" s="981"/>
    </row>
    <row r="39" spans="2:186" s="307" customFormat="1" ht="16.7" hidden="1" customHeight="1">
      <c r="B39" s="813" t="b" cm="1">
        <f t="array" ref="B39">B38</f>
        <v>0</v>
      </c>
      <c r="C39" s="1118" t="s">
        <v>2168</v>
      </c>
      <c r="D39" s="1087" t="s">
        <v>2169</v>
      </c>
      <c r="E39" s="676">
        <v>17.100000000000001</v>
      </c>
      <c r="F39" s="779" cm="1">
        <f t="array" aca="1" ref="F39" ca="1">OFFSET(G39,-1,-1)</f>
        <v>0</v>
      </c>
      <c r="H39" s="163" t="s">
        <v>536</v>
      </c>
      <c r="I39" s="163" t="s">
        <v>2170</v>
      </c>
      <c r="J39" s="1108" t="s">
        <v>2149</v>
      </c>
      <c r="K39" s="1108" cm="1">
        <f t="array" aca="1" ref="K39" ca="1">OFFSET(J39,-1,1)</f>
        <v>0</v>
      </c>
      <c r="L39" s="1108"/>
      <c r="M39" s="1108" t="s">
        <v>1782</v>
      </c>
      <c r="N39" s="1108" t="s">
        <v>2171</v>
      </c>
      <c r="O39" s="1109" t="s">
        <v>2172</v>
      </c>
      <c r="P39" s="1108"/>
      <c r="Q39" s="1108"/>
      <c r="T39" s="687" t="b" cm="1">
        <f t="array" aca="1" ref="T39" ca="1">T38</f>
        <v>0</v>
      </c>
      <c r="X39" s="1853"/>
      <c r="Z39" s="1853"/>
      <c r="AB39" s="1140" t="s">
        <v>2173</v>
      </c>
      <c r="AC39" s="308" t="s">
        <v>929</v>
      </c>
      <c r="AD39" s="99">
        <f ca="1">IF(tax_system="ОСНО",AD33*(1+Сценарии!AE$26%),AD33)</f>
        <v>0</v>
      </c>
      <c r="AE39" s="99">
        <f ca="1">IF(tax_system="ОСНО",AE33*(1+Сценарии!AO$26%),AE33)</f>
        <v>0</v>
      </c>
      <c r="AF39" s="310">
        <f ca="1">IF(AD39=0,0,(AE39-AD39)/AD39*100)</f>
        <v>0</v>
      </c>
      <c r="AG39" s="309">
        <f ca="1">IF(tax_system="ОСНО",AG33*(1+Сценарии!AF$26%),AG33)</f>
        <v>0</v>
      </c>
      <c r="AH39" s="309">
        <f ca="1">IF(tax_system="ОСНО",AH33*(1+Сценарии!AP$26%),AH33)</f>
        <v>0</v>
      </c>
      <c r="AI39" s="310">
        <f ca="1">IF(AG39=0,0,(AH39-AG39)/AG39*100)</f>
        <v>0</v>
      </c>
      <c r="AJ39" s="309">
        <f ca="1">IF(tax_system="ОСНО",AJ33*(1+Сценарии!AG$26%),AJ33)</f>
        <v>0</v>
      </c>
      <c r="AK39" s="309">
        <f ca="1">IF(tax_system="ОСНО",AK33*(1+Сценарии!AQ$26%),AK33)</f>
        <v>0</v>
      </c>
      <c r="AL39" s="310">
        <f ca="1">IF(AJ39=0,0,(AK39-AJ39)/AJ39*100)</f>
        <v>0</v>
      </c>
      <c r="AM39" s="309">
        <f ca="1">IF(tax_system="ОСНО",AM33*(1+Сценарии!AH$26%),AM33)</f>
        <v>0</v>
      </c>
      <c r="AN39" s="309">
        <f ca="1">IF(tax_system="ОСНО",AN33*(1+Сценарии!AR$26%),AN33)</f>
        <v>0</v>
      </c>
      <c r="AO39" s="310">
        <f ca="1">IF(AM39=0,0,(AN39-AM39)/AM39*100)</f>
        <v>0</v>
      </c>
      <c r="AP39" s="309">
        <f ca="1">IF(tax_system="ОСНО",AP33*(1+Сценарии!AI$26%),AP33)</f>
        <v>0</v>
      </c>
      <c r="AQ39" s="309">
        <f ca="1">IF(tax_system="ОСНО",AQ33*(1+Сценарии!AS$26%),AQ33)</f>
        <v>0</v>
      </c>
      <c r="AR39" s="310">
        <f ca="1">IF(AP39=0,0,(AQ39-AP39)/AP39*100)</f>
        <v>0</v>
      </c>
      <c r="AS39" s="99">
        <f ca="1">IF(tax_system="ОСНО",AS33*(1+Сценарии!AJ$26%),AS33)</f>
        <v>0</v>
      </c>
      <c r="AT39" s="99">
        <f ca="1">IF(tax_system="ОСНО",AT33*(1+Сценарии!AT$26%),AT33)</f>
        <v>0</v>
      </c>
      <c r="AU39" s="310">
        <f ca="1">IF(AS39=0,0,(AT39-AS39)/AS39*100)</f>
        <v>0</v>
      </c>
      <c r="AV39" s="99">
        <f ca="1">IF(tax_system="ОСНО",AV33*(1+Сценарии!AK$26%),AV33)</f>
        <v>0</v>
      </c>
      <c r="AW39" s="99">
        <f ca="1">IF(tax_system="ОСНО",AW33*(1+Сценарии!AU$26%),AW33)</f>
        <v>0</v>
      </c>
      <c r="AX39" s="310">
        <f ca="1">IF(AV39=0,0,(AW39-AV39)/AV39*100)</f>
        <v>0</v>
      </c>
      <c r="AY39" s="99">
        <f ca="1">IF(tax_system="ОСНО",AY33*(1+Сценарии!AL$26%),AY33)</f>
        <v>0</v>
      </c>
      <c r="AZ39" s="99">
        <f ca="1">IF(tax_system="ОСНО",AZ33*(1+Сценарии!AV$26%),AZ33)</f>
        <v>0</v>
      </c>
      <c r="BA39" s="310">
        <f ca="1">IF(AY39=0,0,(AZ39-AY39)/AY39*100)</f>
        <v>0</v>
      </c>
      <c r="BB39" s="99">
        <f ca="1">IF(tax_system="ОСНО",BB33*(1+Сценарии!AM$26%),BB33)</f>
        <v>0</v>
      </c>
      <c r="BC39" s="99">
        <f ca="1">IF(tax_system="ОСНО",BC33*(1+Сценарии!AW$26%),BC33)</f>
        <v>0</v>
      </c>
      <c r="BD39" s="310">
        <f ca="1">IF(BB39=0,0,(BC39-BB39)/BB39*100)</f>
        <v>0</v>
      </c>
      <c r="BE39" s="99">
        <f ca="1">IF(tax_system="ОСНО",BE33*(1+Сценарии!AN$26%),BE33)</f>
        <v>0</v>
      </c>
      <c r="BF39" s="99">
        <f ca="1">IF(tax_system="ОСНО",BF33*(1+Сценарии!AX$26%),BF33)</f>
        <v>0</v>
      </c>
      <c r="BG39" s="310">
        <f ca="1">IF(BE39=0,0,(BF39-BE39)/BE39*100)</f>
        <v>0</v>
      </c>
      <c r="BH39" s="99"/>
      <c r="BI39" s="99"/>
      <c r="BJ39" s="310">
        <f>IF(BH39=0,0,(BI39-BH39)/BH39*100)</f>
        <v>0</v>
      </c>
      <c r="BK39" s="99"/>
      <c r="BL39" s="99"/>
      <c r="BM39" s="310">
        <f>IF(BK39=0,0,(BL39-BK39)/BK39*100)</f>
        <v>0</v>
      </c>
      <c r="BN39" s="99"/>
      <c r="BO39" s="99"/>
      <c r="BP39" s="310">
        <f>IF(BN39=0,0,(BO39-BN39)/BN39*100)</f>
        <v>0</v>
      </c>
      <c r="BQ39" s="99"/>
      <c r="BR39" s="99"/>
      <c r="BS39" s="310">
        <f>IF(BQ39=0,0,(BR39-BQ39)/BQ39*100)</f>
        <v>0</v>
      </c>
      <c r="BT39" s="99"/>
      <c r="BU39" s="99"/>
      <c r="BV39" s="310">
        <f>IF(BT39=0,0,(BU39-BT39)/BT39*100)</f>
        <v>0</v>
      </c>
      <c r="BW39" s="99"/>
      <c r="BX39" s="99"/>
      <c r="BY39" s="310">
        <f>IF(BW39=0,0,(BX39-BW39)/BW39*100)</f>
        <v>0</v>
      </c>
      <c r="BZ39" s="99"/>
      <c r="CA39" s="99"/>
      <c r="CB39" s="310">
        <f>IF(BZ39=0,0,(CA39-BZ39)/BZ39*100)</f>
        <v>0</v>
      </c>
      <c r="CC39" s="99"/>
      <c r="CD39" s="99"/>
      <c r="CE39" s="310">
        <f>IF(CC39=0,0,(CD39-CC39)/CC39*100)</f>
        <v>0</v>
      </c>
      <c r="CF39" s="99"/>
      <c r="CG39" s="99"/>
      <c r="CH39" s="310">
        <f>IF(CF39=0,0,(CG39-CF39)/CF39*100)</f>
        <v>0</v>
      </c>
      <c r="CI39" s="99"/>
      <c r="CJ39" s="99"/>
      <c r="CK39" s="310">
        <f>IF(CI39=0,0,(CJ39-CI39)/CI39*100)</f>
        <v>0</v>
      </c>
      <c r="CL39" s="99"/>
      <c r="CM39" s="99"/>
      <c r="CN39" s="310">
        <f>IF(CL39=0,0,(CM39-CL39)/CL39*100)</f>
        <v>0</v>
      </c>
      <c r="CO39" s="99"/>
      <c r="CP39" s="99"/>
      <c r="CQ39" s="310">
        <f>IF(CO39=0,0,(CP39-CO39)/CO39*100)</f>
        <v>0</v>
      </c>
      <c r="CR39" s="99"/>
      <c r="CS39" s="99"/>
      <c r="CT39" s="310">
        <f>IF(CR39=0,0,(CS39-CR39)/CR39*100)</f>
        <v>0</v>
      </c>
      <c r="CU39" s="99"/>
      <c r="CV39" s="99"/>
      <c r="CW39" s="310">
        <f>IF(CU39=0,0,(CV39-CU39)/CU39*100)</f>
        <v>0</v>
      </c>
      <c r="CX39" s="99"/>
      <c r="CY39" s="99"/>
      <c r="CZ39" s="310">
        <f>IF(CX39=0,0,(CY39-CX39)/CX39*100)</f>
        <v>0</v>
      </c>
      <c r="DA39" s="99"/>
      <c r="DB39" s="99"/>
      <c r="DC39" s="310">
        <f>IF(DA39=0,0,(DB39-DA39)/DA39*100)</f>
        <v>0</v>
      </c>
      <c r="DD39" s="99"/>
      <c r="DE39" s="99"/>
      <c r="DF39" s="310">
        <f>IF(DD39=0,0,(DE39-DD39)/DD39*100)</f>
        <v>0</v>
      </c>
      <c r="DG39" s="99"/>
      <c r="DH39" s="99"/>
      <c r="DI39" s="310">
        <f>IF(DG39=0,0,(DH39-DG39)/DG39*100)</f>
        <v>0</v>
      </c>
      <c r="DJ39" s="99"/>
      <c r="DK39" s="99"/>
      <c r="DL39" s="310">
        <f>IF(DJ39=0,0,(DK39-DJ39)/DJ39*100)</f>
        <v>0</v>
      </c>
      <c r="DM39" s="99"/>
      <c r="DN39" s="99"/>
      <c r="DO39" s="310">
        <f>IF(DM39=0,0,(DN39-DM39)/DM39*100)</f>
        <v>0</v>
      </c>
      <c r="DP39" s="99"/>
      <c r="DQ39" s="99"/>
      <c r="DR39" s="310">
        <f>IF(DP39=0,0,(DQ39-DP39)/DP39*100)</f>
        <v>0</v>
      </c>
      <c r="DS39" s="99"/>
      <c r="DT39" s="99"/>
      <c r="DU39" s="310">
        <f>IF(DS39=0,0,(DT39-DS39)/DS39*100)</f>
        <v>0</v>
      </c>
      <c r="DV39" s="99"/>
      <c r="DW39" s="99"/>
      <c r="DX39" s="310">
        <f>IF(DV39=0,0,(DW39-DV39)/DV39*100)</f>
        <v>0</v>
      </c>
      <c r="DY39" s="99"/>
      <c r="DZ39" s="99"/>
      <c r="EA39" s="310">
        <f>IF(DY39=0,0,(DZ39-DY39)/DY39*100)</f>
        <v>0</v>
      </c>
      <c r="EB39" s="99"/>
      <c r="EC39" s="99"/>
      <c r="ED39" s="310">
        <f>IF(EB39=0,0,(EC39-EB39)/EB39*100)</f>
        <v>0</v>
      </c>
      <c r="EE39" s="99"/>
      <c r="EF39" s="99"/>
      <c r="EG39" s="310">
        <f>IF(EE39=0,0,(EF39-EE39)/EE39*100)</f>
        <v>0</v>
      </c>
      <c r="EH39" s="99"/>
      <c r="EI39" s="99"/>
      <c r="EJ39" s="310">
        <f>IF(EH39=0,0,(EI39-EH39)/EH39*100)</f>
        <v>0</v>
      </c>
      <c r="EK39" s="99"/>
      <c r="EL39" s="99"/>
      <c r="EM39" s="310">
        <f>IF(EK39=0,0,(EL39-EK39)/EK39*100)</f>
        <v>0</v>
      </c>
      <c r="EN39" s="99"/>
      <c r="EO39" s="99"/>
      <c r="EP39" s="310">
        <f>IF(EN39=0,0,(EO39-EN39)/EN39*100)</f>
        <v>0</v>
      </c>
      <c r="EQ39" s="99"/>
      <c r="ER39" s="99"/>
      <c r="ES39" s="310">
        <f>IF(EQ39=0,0,(ER39-EQ39)/EQ39*100)</f>
        <v>0</v>
      </c>
      <c r="ET39" s="99"/>
      <c r="EU39" s="99"/>
      <c r="EV39" s="310">
        <f>IF(ET39=0,0,(EU39-ET39)/ET39*100)</f>
        <v>0</v>
      </c>
      <c r="EW39" s="99"/>
      <c r="EX39" s="99"/>
      <c r="EY39" s="310">
        <f>IF(EW39=0,0,(EX39-EW39)/EW39*100)</f>
        <v>0</v>
      </c>
      <c r="EZ39" s="99"/>
      <c r="FA39" s="99"/>
      <c r="FB39" s="310">
        <f>IF(EZ39=0,0,(FA39-EZ39)/EZ39*100)</f>
        <v>0</v>
      </c>
      <c r="FC39" s="99"/>
      <c r="FD39" s="99"/>
      <c r="FE39" s="310">
        <f>IF(FC39=0,0,(FD39-FC39)/FC39*100)</f>
        <v>0</v>
      </c>
      <c r="FF39" s="99"/>
      <c r="FG39" s="99"/>
      <c r="FH39" s="310">
        <f>IF(FF39=0,0,(FG39-FF39)/FF39*100)</f>
        <v>0</v>
      </c>
      <c r="FI39" s="99"/>
      <c r="FJ39" s="99"/>
      <c r="FK39" s="310">
        <f>IF(FI39=0,0,(FJ39-FI39)/FI39*100)</f>
        <v>0</v>
      </c>
      <c r="FL39" s="99"/>
      <c r="FM39" s="99"/>
      <c r="FN39" s="310">
        <f>IF(FL39=0,0,(FM39-FL39)/FL39*100)</f>
        <v>0</v>
      </c>
      <c r="FO39" s="99"/>
      <c r="FP39" s="99"/>
      <c r="FQ39" s="310">
        <f>IF(FO39=0,0,(FP39-FO39)/FO39*100)</f>
        <v>0</v>
      </c>
      <c r="FR39" s="99"/>
      <c r="FS39" s="99"/>
      <c r="FT39" s="310">
        <f>IF(FR39=0,0,(FS39-FR39)/FR39*100)</f>
        <v>0</v>
      </c>
      <c r="FU39" s="99"/>
      <c r="FV39" s="99"/>
      <c r="FW39" s="310">
        <f>IF(FU39=0,0,(FV39-FU39)/FU39*100)</f>
        <v>0</v>
      </c>
      <c r="FZ39" s="981" t="s">
        <v>2174</v>
      </c>
      <c r="GA39" s="981"/>
      <c r="GB39" s="981"/>
      <c r="GC39" s="981"/>
      <c r="GD39" s="981"/>
    </row>
    <row r="40" spans="2:186" s="307" customFormat="1" ht="16.7" hidden="1" customHeight="1">
      <c r="B40" s="813" t="b" cm="1">
        <f t="array" ref="B40">B39</f>
        <v>0</v>
      </c>
      <c r="C40" s="1118" t="s">
        <v>2168</v>
      </c>
      <c r="D40" s="1087" t="s">
        <v>2169</v>
      </c>
      <c r="E40" s="676">
        <v>17.100000000000001</v>
      </c>
      <c r="F40" s="779" cm="1">
        <f t="array" aca="1" ref="F40" ca="1">OFFSET(G40,-1,-1)</f>
        <v>0</v>
      </c>
      <c r="H40" s="163" t="s">
        <v>536</v>
      </c>
      <c r="I40" s="163" t="s">
        <v>2175</v>
      </c>
      <c r="J40" s="1108" t="s">
        <v>2149</v>
      </c>
      <c r="K40" s="1108" cm="1">
        <f t="array" aca="1" ref="K40" ca="1">OFFSET(J40,-1,1)</f>
        <v>0</v>
      </c>
      <c r="L40" s="1108"/>
      <c r="M40" s="1108" t="s">
        <v>1791</v>
      </c>
      <c r="N40" s="1108" t="s">
        <v>2171</v>
      </c>
      <c r="O40" s="1109" t="s">
        <v>2172</v>
      </c>
      <c r="P40" s="1108"/>
      <c r="Q40" s="1108"/>
      <c r="T40" s="687" t="b" cm="1">
        <f t="array" aca="1" ref="T40" ca="1">T39</f>
        <v>0</v>
      </c>
      <c r="X40" s="1853"/>
      <c r="Z40" s="1853"/>
      <c r="AB40" s="1140" t="s">
        <v>2176</v>
      </c>
      <c r="AC40" s="308" t="s">
        <v>929</v>
      </c>
      <c r="AD40" s="99">
        <f ca="1">IF(tax_system="ОСНО",AD34*(1+Сценарии!AE$26%),AD34)</f>
        <v>0</v>
      </c>
      <c r="AE40" s="99">
        <f ca="1">IF(tax_system="ОСНО",AE34*(1+Сценарии!AO$26%),AE34)</f>
        <v>0</v>
      </c>
      <c r="AF40" s="310">
        <f ca="1">IF(AD40=0,0,(AE40-AD40)/AD40*100)</f>
        <v>0</v>
      </c>
      <c r="AG40" s="309">
        <f ca="1">IF(tax_system="ОСНО",AG34*(1+Сценарии!AF$26%),AG34)</f>
        <v>0</v>
      </c>
      <c r="AH40" s="309">
        <f ca="1">IF(tax_system="ОСНО",AH34*(1+Сценарии!AP$26%),AH34)</f>
        <v>0</v>
      </c>
      <c r="AI40" s="310">
        <f ca="1">IF(AG40=0,0,(AH40-AG40)/AG40*100)</f>
        <v>0</v>
      </c>
      <c r="AJ40" s="309">
        <f ca="1">IF(tax_system="ОСНО",AJ34*(1+Сценарии!AG$26%),AJ34)</f>
        <v>0</v>
      </c>
      <c r="AK40" s="309">
        <f ca="1">IF(tax_system="ОСНО",AK34*(1+Сценарии!AQ$26%),AK34)</f>
        <v>0</v>
      </c>
      <c r="AL40" s="310">
        <f ca="1">IF(AJ40=0,0,(AK40-AJ40)/AJ40*100)</f>
        <v>0</v>
      </c>
      <c r="AM40" s="309">
        <f ca="1">IF(tax_system="ОСНО",AM34*(1+Сценарии!AH$26%),AM34)</f>
        <v>0</v>
      </c>
      <c r="AN40" s="309">
        <f ca="1">IF(tax_system="ОСНО",AN34*(1+Сценарии!AR$26%),AN34)</f>
        <v>0</v>
      </c>
      <c r="AO40" s="310">
        <f ca="1">IF(AM40=0,0,(AN40-AM40)/AM40*100)</f>
        <v>0</v>
      </c>
      <c r="AP40" s="309">
        <f ca="1">IF(tax_system="ОСНО",AP34*(1+Сценарии!AI$26%),AP34)</f>
        <v>0</v>
      </c>
      <c r="AQ40" s="309">
        <f ca="1">IF(tax_system="ОСНО",AQ34*(1+Сценарии!AS$26%),AQ34)</f>
        <v>0</v>
      </c>
      <c r="AR40" s="310">
        <f ca="1">IF(AP40=0,0,(AQ40-AP40)/AP40*100)</f>
        <v>0</v>
      </c>
      <c r="AS40" s="99">
        <f ca="1">IF(tax_system="ОСНО",AS34*(1+Сценарии!AJ$26%),AS34)</f>
        <v>0</v>
      </c>
      <c r="AT40" s="99">
        <f ca="1">IF(tax_system="ОСНО",AT34*(1+Сценарии!AT$26%),AT34)</f>
        <v>0</v>
      </c>
      <c r="AU40" s="310">
        <f ca="1">IF(AS40=0,0,(AT40-AS40)/AS40*100)</f>
        <v>0</v>
      </c>
      <c r="AV40" s="99">
        <f ca="1">IF(tax_system="ОСНО",AV34*(1+Сценарии!AK$26%),AV34)</f>
        <v>0</v>
      </c>
      <c r="AW40" s="99">
        <f ca="1">IF(tax_system="ОСНО",AW34*(1+Сценарии!AU$26%),AW34)</f>
        <v>0</v>
      </c>
      <c r="AX40" s="310">
        <f ca="1">IF(AV40=0,0,(AW40-AV40)/AV40*100)</f>
        <v>0</v>
      </c>
      <c r="AY40" s="99">
        <f ca="1">IF(tax_system="ОСНО",AY34*(1+Сценарии!AL$26%),AY34)</f>
        <v>0</v>
      </c>
      <c r="AZ40" s="99">
        <f ca="1">IF(tax_system="ОСНО",AZ34*(1+Сценарии!AV$26%),AZ34)</f>
        <v>0</v>
      </c>
      <c r="BA40" s="310">
        <f ca="1">IF(AY40=0,0,(AZ40-AY40)/AY40*100)</f>
        <v>0</v>
      </c>
      <c r="BB40" s="99">
        <f ca="1">IF(tax_system="ОСНО",BB34*(1+Сценарии!AM$26%),BB34)</f>
        <v>0</v>
      </c>
      <c r="BC40" s="99">
        <f ca="1">IF(tax_system="ОСНО",BC34*(1+Сценарии!AW$26%),BC34)</f>
        <v>0</v>
      </c>
      <c r="BD40" s="310">
        <f ca="1">IF(BB40=0,0,(BC40-BB40)/BB40*100)</f>
        <v>0</v>
      </c>
      <c r="BE40" s="99">
        <f ca="1">IF(tax_system="ОСНО",BE34*(1+Сценарии!AN$26%),BE34)</f>
        <v>0</v>
      </c>
      <c r="BF40" s="99">
        <f ca="1">IF(tax_system="ОСНО",BF34*(1+Сценарии!AX$26%),BF34)</f>
        <v>0</v>
      </c>
      <c r="BG40" s="310">
        <f ca="1">IF(BE40=0,0,(BF40-BE40)/BE40*100)</f>
        <v>0</v>
      </c>
      <c r="BH40" s="99"/>
      <c r="BI40" s="99"/>
      <c r="BJ40" s="310">
        <f>IF(BH40=0,0,(BI40-BH40)/BH40*100)</f>
        <v>0</v>
      </c>
      <c r="BK40" s="99"/>
      <c r="BL40" s="99"/>
      <c r="BM40" s="310">
        <f>IF(BK40=0,0,(BL40-BK40)/BK40*100)</f>
        <v>0</v>
      </c>
      <c r="BN40" s="99"/>
      <c r="BO40" s="99"/>
      <c r="BP40" s="310">
        <f>IF(BN40=0,0,(BO40-BN40)/BN40*100)</f>
        <v>0</v>
      </c>
      <c r="BQ40" s="99"/>
      <c r="BR40" s="99"/>
      <c r="BS40" s="310">
        <f>IF(BQ40=0,0,(BR40-BQ40)/BQ40*100)</f>
        <v>0</v>
      </c>
      <c r="BT40" s="99"/>
      <c r="BU40" s="99"/>
      <c r="BV40" s="310">
        <f>IF(BT40=0,0,(BU40-BT40)/BT40*100)</f>
        <v>0</v>
      </c>
      <c r="BW40" s="99"/>
      <c r="BX40" s="99"/>
      <c r="BY40" s="310">
        <f>IF(BW40=0,0,(BX40-BW40)/BW40*100)</f>
        <v>0</v>
      </c>
      <c r="BZ40" s="99"/>
      <c r="CA40" s="99"/>
      <c r="CB40" s="310">
        <f>IF(BZ40=0,0,(CA40-BZ40)/BZ40*100)</f>
        <v>0</v>
      </c>
      <c r="CC40" s="99"/>
      <c r="CD40" s="99"/>
      <c r="CE40" s="310">
        <f>IF(CC40=0,0,(CD40-CC40)/CC40*100)</f>
        <v>0</v>
      </c>
      <c r="CF40" s="99"/>
      <c r="CG40" s="99"/>
      <c r="CH40" s="310">
        <f>IF(CF40=0,0,(CG40-CF40)/CF40*100)</f>
        <v>0</v>
      </c>
      <c r="CI40" s="99"/>
      <c r="CJ40" s="99"/>
      <c r="CK40" s="310">
        <f>IF(CI40=0,0,(CJ40-CI40)/CI40*100)</f>
        <v>0</v>
      </c>
      <c r="CL40" s="99"/>
      <c r="CM40" s="99"/>
      <c r="CN40" s="310">
        <f>IF(CL40=0,0,(CM40-CL40)/CL40*100)</f>
        <v>0</v>
      </c>
      <c r="CO40" s="99"/>
      <c r="CP40" s="99"/>
      <c r="CQ40" s="310">
        <f>IF(CO40=0,0,(CP40-CO40)/CO40*100)</f>
        <v>0</v>
      </c>
      <c r="CR40" s="99"/>
      <c r="CS40" s="99"/>
      <c r="CT40" s="310">
        <f>IF(CR40=0,0,(CS40-CR40)/CR40*100)</f>
        <v>0</v>
      </c>
      <c r="CU40" s="99"/>
      <c r="CV40" s="99"/>
      <c r="CW40" s="310">
        <f>IF(CU40=0,0,(CV40-CU40)/CU40*100)</f>
        <v>0</v>
      </c>
      <c r="CX40" s="99"/>
      <c r="CY40" s="99"/>
      <c r="CZ40" s="310">
        <f>IF(CX40=0,0,(CY40-CX40)/CX40*100)</f>
        <v>0</v>
      </c>
      <c r="DA40" s="99"/>
      <c r="DB40" s="99"/>
      <c r="DC40" s="310">
        <f>IF(DA40=0,0,(DB40-DA40)/DA40*100)</f>
        <v>0</v>
      </c>
      <c r="DD40" s="99"/>
      <c r="DE40" s="99"/>
      <c r="DF40" s="310">
        <f>IF(DD40=0,0,(DE40-DD40)/DD40*100)</f>
        <v>0</v>
      </c>
      <c r="DG40" s="99"/>
      <c r="DH40" s="99"/>
      <c r="DI40" s="310">
        <f>IF(DG40=0,0,(DH40-DG40)/DG40*100)</f>
        <v>0</v>
      </c>
      <c r="DJ40" s="99"/>
      <c r="DK40" s="99"/>
      <c r="DL40" s="310">
        <f>IF(DJ40=0,0,(DK40-DJ40)/DJ40*100)</f>
        <v>0</v>
      </c>
      <c r="DM40" s="99"/>
      <c r="DN40" s="99"/>
      <c r="DO40" s="310">
        <f>IF(DM40=0,0,(DN40-DM40)/DM40*100)</f>
        <v>0</v>
      </c>
      <c r="DP40" s="99"/>
      <c r="DQ40" s="99"/>
      <c r="DR40" s="310">
        <f>IF(DP40=0,0,(DQ40-DP40)/DP40*100)</f>
        <v>0</v>
      </c>
      <c r="DS40" s="99"/>
      <c r="DT40" s="99"/>
      <c r="DU40" s="310">
        <f>IF(DS40=0,0,(DT40-DS40)/DS40*100)</f>
        <v>0</v>
      </c>
      <c r="DV40" s="99"/>
      <c r="DW40" s="99"/>
      <c r="DX40" s="310">
        <f>IF(DV40=0,0,(DW40-DV40)/DV40*100)</f>
        <v>0</v>
      </c>
      <c r="DY40" s="99"/>
      <c r="DZ40" s="99"/>
      <c r="EA40" s="310">
        <f>IF(DY40=0,0,(DZ40-DY40)/DY40*100)</f>
        <v>0</v>
      </c>
      <c r="EB40" s="99"/>
      <c r="EC40" s="99"/>
      <c r="ED40" s="310">
        <f>IF(EB40=0,0,(EC40-EB40)/EB40*100)</f>
        <v>0</v>
      </c>
      <c r="EE40" s="99"/>
      <c r="EF40" s="99"/>
      <c r="EG40" s="310">
        <f>IF(EE40=0,0,(EF40-EE40)/EE40*100)</f>
        <v>0</v>
      </c>
      <c r="EH40" s="99"/>
      <c r="EI40" s="99"/>
      <c r="EJ40" s="310">
        <f>IF(EH40=0,0,(EI40-EH40)/EH40*100)</f>
        <v>0</v>
      </c>
      <c r="EK40" s="99"/>
      <c r="EL40" s="99"/>
      <c r="EM40" s="310">
        <f>IF(EK40=0,0,(EL40-EK40)/EK40*100)</f>
        <v>0</v>
      </c>
      <c r="EN40" s="99"/>
      <c r="EO40" s="99"/>
      <c r="EP40" s="310">
        <f>IF(EN40=0,0,(EO40-EN40)/EN40*100)</f>
        <v>0</v>
      </c>
      <c r="EQ40" s="99"/>
      <c r="ER40" s="99"/>
      <c r="ES40" s="310">
        <f>IF(EQ40=0,0,(ER40-EQ40)/EQ40*100)</f>
        <v>0</v>
      </c>
      <c r="ET40" s="99"/>
      <c r="EU40" s="99"/>
      <c r="EV40" s="310">
        <f>IF(ET40=0,0,(EU40-ET40)/ET40*100)</f>
        <v>0</v>
      </c>
      <c r="EW40" s="99"/>
      <c r="EX40" s="99"/>
      <c r="EY40" s="310">
        <f>IF(EW40=0,0,(EX40-EW40)/EW40*100)</f>
        <v>0</v>
      </c>
      <c r="EZ40" s="99"/>
      <c r="FA40" s="99"/>
      <c r="FB40" s="310">
        <f>IF(EZ40=0,0,(FA40-EZ40)/EZ40*100)</f>
        <v>0</v>
      </c>
      <c r="FC40" s="99"/>
      <c r="FD40" s="99"/>
      <c r="FE40" s="310">
        <f>IF(FC40=0,0,(FD40-FC40)/FC40*100)</f>
        <v>0</v>
      </c>
      <c r="FF40" s="99"/>
      <c r="FG40" s="99"/>
      <c r="FH40" s="310">
        <f>IF(FF40=0,0,(FG40-FF40)/FF40*100)</f>
        <v>0</v>
      </c>
      <c r="FI40" s="99"/>
      <c r="FJ40" s="99"/>
      <c r="FK40" s="310">
        <f>IF(FI40=0,0,(FJ40-FI40)/FI40*100)</f>
        <v>0</v>
      </c>
      <c r="FL40" s="99"/>
      <c r="FM40" s="99"/>
      <c r="FN40" s="310">
        <f>IF(FL40=0,0,(FM40-FL40)/FL40*100)</f>
        <v>0</v>
      </c>
      <c r="FO40" s="99"/>
      <c r="FP40" s="99"/>
      <c r="FQ40" s="310">
        <f>IF(FO40=0,0,(FP40-FO40)/FO40*100)</f>
        <v>0</v>
      </c>
      <c r="FR40" s="99"/>
      <c r="FS40" s="99"/>
      <c r="FT40" s="310">
        <f>IF(FR40=0,0,(FS40-FR40)/FR40*100)</f>
        <v>0</v>
      </c>
      <c r="FU40" s="99"/>
      <c r="FV40" s="99"/>
      <c r="FW40" s="310">
        <f>IF(FU40=0,0,(FV40-FU40)/FU40*100)</f>
        <v>0</v>
      </c>
      <c r="FZ40" s="981" t="s">
        <v>2177</v>
      </c>
      <c r="GA40" s="981"/>
      <c r="GB40" s="981"/>
      <c r="GC40" s="981"/>
      <c r="GD40" s="981"/>
    </row>
    <row r="41" spans="2:186" ht="16.7" hidden="1" customHeight="1">
      <c r="B41" s="813" t="b" cm="1">
        <f t="array" ref="B41">B40</f>
        <v>0</v>
      </c>
      <c r="C41" s="1118" t="s">
        <v>1797</v>
      </c>
      <c r="D41" s="1087" t="s">
        <v>1798</v>
      </c>
      <c r="E41" s="676">
        <v>17.100000000000001</v>
      </c>
      <c r="F41" s="779" cm="1">
        <f t="array" aca="1" ref="F41" ca="1">OFFSET(G41,-1,-1)</f>
        <v>0</v>
      </c>
      <c r="H41" s="163" t="s">
        <v>539</v>
      </c>
      <c r="I41" s="163" t="s">
        <v>2178</v>
      </c>
      <c r="J41" s="1108" t="s">
        <v>2149</v>
      </c>
      <c r="K41" s="1108" cm="1">
        <f t="array" aca="1" ref="K41" ca="1">OFFSET(J41,-1,1)</f>
        <v>0</v>
      </c>
      <c r="L41" s="1108" t="s">
        <v>2159</v>
      </c>
      <c r="M41" s="1108"/>
      <c r="N41" s="1108" t="s">
        <v>2171</v>
      </c>
      <c r="O41" s="1109" t="s">
        <v>2172</v>
      </c>
      <c r="P41" s="1108"/>
      <c r="Q41" s="1108"/>
      <c r="T41" s="687" t="b" cm="1">
        <f t="array" aca="1" ref="T41" ca="1">T40</f>
        <v>0</v>
      </c>
      <c r="X41" s="1726"/>
      <c r="Z41" s="1726"/>
      <c r="AB41" s="887" t="s">
        <v>2160</v>
      </c>
      <c r="AC41" s="123" t="s">
        <v>533</v>
      </c>
      <c r="AD41" s="876">
        <f ca="1">IF(AD39=0,0,AD40/AD39)</f>
        <v>0</v>
      </c>
      <c r="AE41" s="876">
        <f ca="1">IF(AE39=0,0,AE40/AE39)</f>
        <v>0</v>
      </c>
      <c r="AF41" s="341"/>
      <c r="AG41" s="876">
        <f ca="1">IF(AG39=0,0,AG40/AG39)</f>
        <v>0</v>
      </c>
      <c r="AH41" s="876">
        <f ca="1">IF(AH39=0,0,AH40/AH39)</f>
        <v>0</v>
      </c>
      <c r="AI41" s="341"/>
      <c r="AJ41" s="876">
        <f ca="1">IF(AJ39=0,0,AJ40/AJ39)</f>
        <v>0</v>
      </c>
      <c r="AK41" s="876">
        <f ca="1">IF(AK39=0,0,AK40/AK39)</f>
        <v>0</v>
      </c>
      <c r="AL41" s="341"/>
      <c r="AM41" s="876">
        <f ca="1">IF(AM39=0,0,AM40/AM39)</f>
        <v>0</v>
      </c>
      <c r="AN41" s="876">
        <f ca="1">IF(AN39=0,0,AN40/AN39)</f>
        <v>0</v>
      </c>
      <c r="AO41" s="341"/>
      <c r="AP41" s="876">
        <f ca="1">IF(AP39=0,0,AP40/AP39)</f>
        <v>0</v>
      </c>
      <c r="AQ41" s="876">
        <f ca="1">IF(AQ39=0,0,AQ40/AQ39)</f>
        <v>0</v>
      </c>
      <c r="AR41" s="341"/>
      <c r="AS41" s="876">
        <f ca="1">IF(AS39=0,0,AS40/AS39)</f>
        <v>0</v>
      </c>
      <c r="AT41" s="876">
        <f ca="1">IF(AT39=0,0,AT40/AT39)</f>
        <v>0</v>
      </c>
      <c r="AU41" s="341"/>
      <c r="AV41" s="876">
        <f ca="1">IF(AV39=0,0,AV40/AV39)</f>
        <v>0</v>
      </c>
      <c r="AW41" s="876">
        <f ca="1">IF(AW39=0,0,AW40/AW39)</f>
        <v>0</v>
      </c>
      <c r="AX41" s="341"/>
      <c r="AY41" s="876">
        <f ca="1">IF(AY39=0,0,AY40/AY39)</f>
        <v>0</v>
      </c>
      <c r="AZ41" s="876">
        <f ca="1">IF(AZ39=0,0,AZ40/AZ39)</f>
        <v>0</v>
      </c>
      <c r="BA41" s="341"/>
      <c r="BB41" s="876">
        <f ca="1">IF(BB39=0,0,BB40/BB39)</f>
        <v>0</v>
      </c>
      <c r="BC41" s="876">
        <f ca="1">IF(BC39=0,0,BC40/BC39)</f>
        <v>0</v>
      </c>
      <c r="BD41" s="341"/>
      <c r="BE41" s="876">
        <f ca="1">IF(BE39=0,0,BE40/BE39)</f>
        <v>0</v>
      </c>
      <c r="BF41" s="876">
        <f ca="1">IF(BF39=0,0,BF40/BF39)</f>
        <v>0</v>
      </c>
      <c r="BG41" s="341"/>
      <c r="BH41" s="876">
        <f>IF(BH39=0,0,BH40/BH39)</f>
        <v>0</v>
      </c>
      <c r="BI41" s="876">
        <f>IF(BI39=0,0,BI40/BI39)</f>
        <v>0</v>
      </c>
      <c r="BJ41" s="312"/>
      <c r="BK41" s="876">
        <f>IF(BK39=0,0,BK40/BK39)</f>
        <v>0</v>
      </c>
      <c r="BL41" s="876">
        <f>IF(BL39=0,0,BL40/BL39)</f>
        <v>0</v>
      </c>
      <c r="BM41" s="312"/>
      <c r="BN41" s="876">
        <f>IF(BN39=0,0,BN40/BN39)</f>
        <v>0</v>
      </c>
      <c r="BO41" s="876">
        <f>IF(BO39=0,0,BO40/BO39)</f>
        <v>0</v>
      </c>
      <c r="BP41" s="312"/>
      <c r="BQ41" s="876">
        <f>IF(BQ39=0,0,BQ40/BQ39)</f>
        <v>0</v>
      </c>
      <c r="BR41" s="876">
        <f>IF(BR39=0,0,BR40/BR39)</f>
        <v>0</v>
      </c>
      <c r="BS41" s="312"/>
      <c r="BT41" s="876">
        <f>IF(BT39=0,0,BT40/BT39)</f>
        <v>0</v>
      </c>
      <c r="BU41" s="876">
        <f>IF(BU39=0,0,BU40/BU39)</f>
        <v>0</v>
      </c>
      <c r="BV41" s="312"/>
      <c r="BW41" s="876">
        <f>IF(BW39=0,0,BW40/BW39)</f>
        <v>0</v>
      </c>
      <c r="BX41" s="876">
        <f>IF(BX39=0,0,BX40/BX39)</f>
        <v>0</v>
      </c>
      <c r="BY41" s="312"/>
      <c r="BZ41" s="876">
        <f>IF(BZ39=0,0,BZ40/BZ39)</f>
        <v>0</v>
      </c>
      <c r="CA41" s="876">
        <f>IF(CA39=0,0,CA40/CA39)</f>
        <v>0</v>
      </c>
      <c r="CB41" s="312"/>
      <c r="CC41" s="876">
        <f>IF(CC39=0,0,CC40/CC39)</f>
        <v>0</v>
      </c>
      <c r="CD41" s="876">
        <f>IF(CD39=0,0,CD40/CD39)</f>
        <v>0</v>
      </c>
      <c r="CE41" s="312"/>
      <c r="CF41" s="876">
        <f>IF(CF39=0,0,CF40/CF39)</f>
        <v>0</v>
      </c>
      <c r="CG41" s="876">
        <f>IF(CG39=0,0,CG40/CG39)</f>
        <v>0</v>
      </c>
      <c r="CH41" s="312"/>
      <c r="CI41" s="876">
        <f>IF(CI39=0,0,CI40/CI39)</f>
        <v>0</v>
      </c>
      <c r="CJ41" s="876">
        <f>IF(CJ39=0,0,CJ40/CJ39)</f>
        <v>0</v>
      </c>
      <c r="CK41" s="312"/>
      <c r="CL41" s="876">
        <f>IF(CL39=0,0,CL40/CL39)</f>
        <v>0</v>
      </c>
      <c r="CM41" s="876">
        <f>IF(CM39=0,0,CM40/CM39)</f>
        <v>0</v>
      </c>
      <c r="CN41" s="312"/>
      <c r="CO41" s="876">
        <f>IF(CO39=0,0,CO40/CO39)</f>
        <v>0</v>
      </c>
      <c r="CP41" s="876">
        <f>IF(CP39=0,0,CP40/CP39)</f>
        <v>0</v>
      </c>
      <c r="CQ41" s="312"/>
      <c r="CR41" s="876">
        <f>IF(CR39=0,0,CR40/CR39)</f>
        <v>0</v>
      </c>
      <c r="CS41" s="876">
        <f>IF(CS39=0,0,CS40/CS39)</f>
        <v>0</v>
      </c>
      <c r="CT41" s="312"/>
      <c r="CU41" s="876">
        <f>IF(CU39=0,0,CU40/CU39)</f>
        <v>0</v>
      </c>
      <c r="CV41" s="876">
        <f>IF(CV39=0,0,CV40/CV39)</f>
        <v>0</v>
      </c>
      <c r="CW41" s="312"/>
      <c r="CX41" s="876">
        <f>IF(CX39=0,0,CX40/CX39)</f>
        <v>0</v>
      </c>
      <c r="CY41" s="876">
        <f>IF(CY39=0,0,CY40/CY39)</f>
        <v>0</v>
      </c>
      <c r="CZ41" s="312"/>
      <c r="DA41" s="876">
        <f>IF(DA39=0,0,DA40/DA39)</f>
        <v>0</v>
      </c>
      <c r="DB41" s="876">
        <f>IF(DB39=0,0,DB40/DB39)</f>
        <v>0</v>
      </c>
      <c r="DC41" s="312"/>
      <c r="DD41" s="876">
        <f>IF(DD39=0,0,DD40/DD39)</f>
        <v>0</v>
      </c>
      <c r="DE41" s="876">
        <f>IF(DE39=0,0,DE40/DE39)</f>
        <v>0</v>
      </c>
      <c r="DF41" s="312"/>
      <c r="DG41" s="876">
        <f>IF(DG39=0,0,DG40/DG39)</f>
        <v>0</v>
      </c>
      <c r="DH41" s="876">
        <f>IF(DH39=0,0,DH40/DH39)</f>
        <v>0</v>
      </c>
      <c r="DI41" s="312"/>
      <c r="DJ41" s="876">
        <f>IF(DJ39=0,0,DJ40/DJ39)</f>
        <v>0</v>
      </c>
      <c r="DK41" s="876">
        <f>IF(DK39=0,0,DK40/DK39)</f>
        <v>0</v>
      </c>
      <c r="DL41" s="312"/>
      <c r="DM41" s="876">
        <f>IF(DM39=0,0,DM40/DM39)</f>
        <v>0</v>
      </c>
      <c r="DN41" s="876">
        <f>IF(DN39=0,0,DN40/DN39)</f>
        <v>0</v>
      </c>
      <c r="DO41" s="312"/>
      <c r="DP41" s="876">
        <f>IF(DP39=0,0,DP40/DP39)</f>
        <v>0</v>
      </c>
      <c r="DQ41" s="876">
        <f>IF(DQ39=0,0,DQ40/DQ39)</f>
        <v>0</v>
      </c>
      <c r="DR41" s="312"/>
      <c r="DS41" s="876">
        <f>IF(DS39=0,0,DS40/DS39)</f>
        <v>0</v>
      </c>
      <c r="DT41" s="876">
        <f>IF(DT39=0,0,DT40/DT39)</f>
        <v>0</v>
      </c>
      <c r="DU41" s="312"/>
      <c r="DV41" s="876">
        <f>IF(DV39=0,0,DV40/DV39)</f>
        <v>0</v>
      </c>
      <c r="DW41" s="876">
        <f>IF(DW39=0,0,DW40/DW39)</f>
        <v>0</v>
      </c>
      <c r="DX41" s="312"/>
      <c r="DY41" s="876">
        <f>IF(DY39=0,0,DY40/DY39)</f>
        <v>0</v>
      </c>
      <c r="DZ41" s="876">
        <f>IF(DZ39=0,0,DZ40/DZ39)</f>
        <v>0</v>
      </c>
      <c r="EA41" s="312"/>
      <c r="EB41" s="876">
        <f>IF(EB39=0,0,EB40/EB39)</f>
        <v>0</v>
      </c>
      <c r="EC41" s="876">
        <f>IF(EC39=0,0,EC40/EC39)</f>
        <v>0</v>
      </c>
      <c r="ED41" s="312"/>
      <c r="EE41" s="876">
        <f>IF(EE39=0,0,EE40/EE39)</f>
        <v>0</v>
      </c>
      <c r="EF41" s="876">
        <f>IF(EF39=0,0,EF40/EF39)</f>
        <v>0</v>
      </c>
      <c r="EG41" s="312"/>
      <c r="EH41" s="876">
        <f>IF(EH39=0,0,EH40/EH39)</f>
        <v>0</v>
      </c>
      <c r="EI41" s="876">
        <f>IF(EI39=0,0,EI40/EI39)</f>
        <v>0</v>
      </c>
      <c r="EJ41" s="312"/>
      <c r="EK41" s="876">
        <f>IF(EK39=0,0,EK40/EK39)</f>
        <v>0</v>
      </c>
      <c r="EL41" s="876">
        <f>IF(EL39=0,0,EL40/EL39)</f>
        <v>0</v>
      </c>
      <c r="EM41" s="312"/>
      <c r="EN41" s="876">
        <f>IF(EN39=0,0,EN40/EN39)</f>
        <v>0</v>
      </c>
      <c r="EO41" s="876">
        <f>IF(EO39=0,0,EO40/EO39)</f>
        <v>0</v>
      </c>
      <c r="EP41" s="312"/>
      <c r="EQ41" s="876">
        <f>IF(EQ39=0,0,EQ40/EQ39)</f>
        <v>0</v>
      </c>
      <c r="ER41" s="876">
        <f>IF(ER39=0,0,ER40/ER39)</f>
        <v>0</v>
      </c>
      <c r="ES41" s="312"/>
      <c r="ET41" s="876">
        <f>IF(ET39=0,0,ET40/ET39)</f>
        <v>0</v>
      </c>
      <c r="EU41" s="876">
        <f>IF(EU39=0,0,EU40/EU39)</f>
        <v>0</v>
      </c>
      <c r="EV41" s="312"/>
      <c r="EW41" s="876">
        <f>IF(EW39=0,0,EW40/EW39)</f>
        <v>0</v>
      </c>
      <c r="EX41" s="876">
        <f>IF(EX39=0,0,EX40/EX39)</f>
        <v>0</v>
      </c>
      <c r="EY41" s="312"/>
      <c r="EZ41" s="876">
        <f>IF(EZ39=0,0,EZ40/EZ39)</f>
        <v>0</v>
      </c>
      <c r="FA41" s="876">
        <f>IF(FA39=0,0,FA40/FA39)</f>
        <v>0</v>
      </c>
      <c r="FB41" s="312"/>
      <c r="FC41" s="876">
        <f>IF(FC39=0,0,FC40/FC39)</f>
        <v>0</v>
      </c>
      <c r="FD41" s="876">
        <f>IF(FD39=0,0,FD40/FD39)</f>
        <v>0</v>
      </c>
      <c r="FE41" s="312"/>
      <c r="FF41" s="876">
        <f>IF(FF39=0,0,FF40/FF39)</f>
        <v>0</v>
      </c>
      <c r="FG41" s="876">
        <f>IF(FG39=0,0,FG40/FG39)</f>
        <v>0</v>
      </c>
      <c r="FH41" s="312"/>
      <c r="FI41" s="876">
        <f>IF(FI39=0,0,FI40/FI39)</f>
        <v>0</v>
      </c>
      <c r="FJ41" s="876">
        <f>IF(FJ39=0,0,FJ40/FJ39)</f>
        <v>0</v>
      </c>
      <c r="FK41" s="312"/>
      <c r="FL41" s="876">
        <f>IF(FL39=0,0,FL40/FL39)</f>
        <v>0</v>
      </c>
      <c r="FM41" s="876">
        <f>IF(FM39=0,0,FM40/FM39)</f>
        <v>0</v>
      </c>
      <c r="FN41" s="312"/>
      <c r="FO41" s="876">
        <f>IF(FO39=0,0,FO40/FO39)</f>
        <v>0</v>
      </c>
      <c r="FP41" s="876">
        <f>IF(FP39=0,0,FP40/FP39)</f>
        <v>0</v>
      </c>
      <c r="FQ41" s="312"/>
      <c r="FR41" s="876">
        <f>IF(FR39=0,0,FR40/FR39)</f>
        <v>0</v>
      </c>
      <c r="FS41" s="876">
        <f>IF(FS39=0,0,FS40/FS39)</f>
        <v>0</v>
      </c>
      <c r="FT41" s="312"/>
      <c r="FU41" s="876">
        <f>IF(FU39=0,0,FU40/FU39)</f>
        <v>0</v>
      </c>
      <c r="FV41" s="876">
        <f>IF(FV39=0,0,FV40/FV39)</f>
        <v>0</v>
      </c>
      <c r="FW41" s="312"/>
      <c r="FZ41" s="981" t="s">
        <v>2179</v>
      </c>
      <c r="GA41" s="981"/>
      <c r="GB41" s="981"/>
      <c r="GC41" s="981"/>
      <c r="GD41" s="981"/>
    </row>
    <row r="42" spans="2:186" ht="16.7" hidden="1" customHeight="1">
      <c r="B42" s="813" t="b" cm="1">
        <f t="array" ref="B42">B41</f>
        <v>0</v>
      </c>
      <c r="C42" s="1118" t="s">
        <v>1779</v>
      </c>
      <c r="D42" s="1087" t="s">
        <v>1780</v>
      </c>
      <c r="E42" s="676">
        <v>17.100000000000001</v>
      </c>
      <c r="F42" s="779" cm="1">
        <f t="array" aca="1" ref="F42" ca="1">OFFSET(G42,-1,-1)</f>
        <v>0</v>
      </c>
      <c r="G42" s="143" t="s">
        <v>2180</v>
      </c>
      <c r="H42" s="163" t="s">
        <v>546</v>
      </c>
      <c r="I42" s="163" t="s">
        <v>2178</v>
      </c>
      <c r="J42" s="1108" t="s">
        <v>2149</v>
      </c>
      <c r="K42" s="1108" cm="1">
        <f t="array" aca="1" ref="K42" ca="1">OFFSET(J42,-1,1)</f>
        <v>0</v>
      </c>
      <c r="L42" s="1108" t="s">
        <v>2163</v>
      </c>
      <c r="M42" s="1108"/>
      <c r="N42" s="1108" t="s">
        <v>2171</v>
      </c>
      <c r="O42" s="1109" t="s">
        <v>2172</v>
      </c>
      <c r="P42" s="1108"/>
      <c r="Q42" s="1108"/>
      <c r="T42" s="687" t="b" cm="1">
        <f t="array" aca="1" ref="T42" ca="1">T41</f>
        <v>0</v>
      </c>
      <c r="X42" s="1726"/>
      <c r="Z42" s="1726"/>
      <c r="AB42" s="887" t="s">
        <v>2181</v>
      </c>
      <c r="AC42" s="123" t="s">
        <v>634</v>
      </c>
      <c r="AD42" s="53">
        <f ca="1">SUMIFS('Баланс Пр'!AI$27:AI$233,'Баланс Пр'!$F$27:$F$233,$F42,'Баланс Пр'!$AB$27:$AB$233,"9.1.2.3")</f>
        <v>0</v>
      </c>
      <c r="AE42" s="53">
        <f ca="1">SUMIFS('Баланс Пр'!AS$27:AS$233,'Баланс Пр'!$F$27:$F$233,$F42,'Баланс Пр'!$AB$27:$AB$233,"9.1.2.3")</f>
        <v>0</v>
      </c>
      <c r="AF42" s="341">
        <f ca="1">IF(AD42=0,0,(AE42-AD42)/AD42*100)</f>
        <v>0</v>
      </c>
      <c r="AG42" s="257">
        <f ca="1">SUMIFS('Баланс Пр'!AJ$27:AJ$233,'Баланс Пр'!$F$27:$F$233,$F42,'Баланс Пр'!$AB$27:$AB$233,"9.1.2.3")</f>
        <v>0</v>
      </c>
      <c r="AH42" s="257">
        <f ca="1">SUMIFS('Баланс Пр'!AT$27:AT$233,'Баланс Пр'!$F$27:$F$233,$F42,'Баланс Пр'!$AB$27:$AB$233,"9.1.2.3")</f>
        <v>0</v>
      </c>
      <c r="AI42" s="341">
        <f ca="1">IF(AG42=0,0,(AH42-AG42)/AG42*100)</f>
        <v>0</v>
      </c>
      <c r="AJ42" s="257">
        <f ca="1">SUMIFS('Баланс Пр'!AK$27:AK$233,'Баланс Пр'!$F$27:$F$233,$F42,'Баланс Пр'!$AB$27:$AB$233,"9.1.2.3")</f>
        <v>0</v>
      </c>
      <c r="AK42" s="257">
        <f ca="1">SUMIFS('Баланс Пр'!AU$27:AU$233,'Баланс Пр'!$F$27:$F$233,$F42,'Баланс Пр'!$AB$27:$AB$233,"9.1.2.3")</f>
        <v>0</v>
      </c>
      <c r="AL42" s="341">
        <f ca="1">IF(AJ42=0,0,(AK42-AJ42)/AJ42*100)</f>
        <v>0</v>
      </c>
      <c r="AM42" s="257">
        <f ca="1">SUMIFS('Баланс Пр'!AL$27:AL$233,'Баланс Пр'!$F$27:$F$233,$F42,'Баланс Пр'!$AB$27:$AB$233,"9.1.2.3")</f>
        <v>0</v>
      </c>
      <c r="AN42" s="257">
        <f ca="1">SUMIFS('Баланс Пр'!AV$27:AV$233,'Баланс Пр'!$F$27:$F$233,$F42,'Баланс Пр'!$AB$27:$AB$233,"9.1.2.3")</f>
        <v>0</v>
      </c>
      <c r="AO42" s="341">
        <f ca="1">IF(AM42=0,0,(AN42-AM42)/AM42*100)</f>
        <v>0</v>
      </c>
      <c r="AP42" s="257">
        <f ca="1">SUMIFS('Баланс Пр'!AM$27:AM$233,'Баланс Пр'!$F$27:$F$233,$F42,'Баланс Пр'!$AB$27:$AB$233,"9.1.2.3")</f>
        <v>0</v>
      </c>
      <c r="AQ42" s="257">
        <f ca="1">SUMIFS('Баланс Пр'!AW$27:AW$233,'Баланс Пр'!$F$27:$F$233,$F42,'Баланс Пр'!$AB$27:$AB$233,"9.1.2.3")</f>
        <v>0</v>
      </c>
      <c r="AR42" s="341">
        <f ca="1">IF(AP42=0,0,(AQ42-AP42)/AP42*100)</f>
        <v>0</v>
      </c>
      <c r="AS42" s="53">
        <f ca="1">SUMIFS('Баланс Пр'!AN$27:AN$233,'Баланс Пр'!$F$27:$F$233,$F42,'Баланс Пр'!$AB$27:$AB$233,"9.1.2.3")</f>
        <v>0</v>
      </c>
      <c r="AT42" s="53">
        <f ca="1">SUMIFS('Баланс Пр'!AX$27:AX$233,'Баланс Пр'!$F$27:$F$233,$F42,'Баланс Пр'!$AB$27:$AB$233,"9.1.2.3")</f>
        <v>0</v>
      </c>
      <c r="AU42" s="341">
        <f ca="1">IF(AS42=0,0,(AT42-AS42)/AS42*100)</f>
        <v>0</v>
      </c>
      <c r="AV42" s="53">
        <f ca="1">SUMIFS('Баланс Пр'!AO$27:AO$233,'Баланс Пр'!$F$27:$F$233,$F42,'Баланс Пр'!$AB$27:$AB$233,"9.1.2.3")</f>
        <v>0</v>
      </c>
      <c r="AW42" s="53">
        <f ca="1">SUMIFS('Баланс Пр'!AY$27:AY$233,'Баланс Пр'!$F$27:$F$233,$F42,'Баланс Пр'!$AB$27:$AB$233,"9.1.2.3")</f>
        <v>0</v>
      </c>
      <c r="AX42" s="341">
        <f ca="1">IF(AV42=0,0,(AW42-AV42)/AV42*100)</f>
        <v>0</v>
      </c>
      <c r="AY42" s="53">
        <f ca="1">SUMIFS('Баланс Пр'!AP$27:AP$233,'Баланс Пр'!$F$27:$F$233,$F42,'Баланс Пр'!$AB$27:$AB$233,"9.1.2.3")</f>
        <v>0</v>
      </c>
      <c r="AZ42" s="53">
        <f ca="1">SUMIFS('Баланс Пр'!AZ$27:AZ$233,'Баланс Пр'!$F$27:$F$233,$F42,'Баланс Пр'!$AB$27:$AB$233,"9.1.2.3")</f>
        <v>0</v>
      </c>
      <c r="BA42" s="341">
        <f ca="1">IF(AY42=0,0,(AZ42-AY42)/AY42*100)</f>
        <v>0</v>
      </c>
      <c r="BB42" s="53">
        <f ca="1">SUMIFS('Баланс Пр'!AQ$27:AQ$233,'Баланс Пр'!$F$27:$F$233,$F42,'Баланс Пр'!$AB$27:$AB$233,"9.1.2.3")</f>
        <v>0</v>
      </c>
      <c r="BC42" s="53">
        <f ca="1">SUMIFS('Баланс Пр'!BA$27:BA$233,'Баланс Пр'!$F$27:$F$233,$F42,'Баланс Пр'!$AB$27:$AB$233,"9.1.2.3")</f>
        <v>0</v>
      </c>
      <c r="BD42" s="341">
        <f ca="1">IF(BB42=0,0,(BC42-BB42)/BB42*100)</f>
        <v>0</v>
      </c>
      <c r="BE42" s="53">
        <f ca="1">SUMIFS('Баланс Пр'!AR$27:AR$233,'Баланс Пр'!$F$27:$F$233,$F42,'Баланс Пр'!$AB$27:$AB$233,"9.1.2.3")</f>
        <v>0</v>
      </c>
      <c r="BF42" s="53">
        <f ca="1">SUMIFS('Баланс Пр'!BB$27:BB$233,'Баланс Пр'!$F$27:$F$233,$F42,'Баланс Пр'!$AB$27:$AB$233,"9.1.2.3")</f>
        <v>0</v>
      </c>
      <c r="BG42" s="341">
        <f ca="1">IF(BE42=0,0,(BF42-BE42)/BE42*100)</f>
        <v>0</v>
      </c>
      <c r="BH42" s="100">
        <f>SUM(BH43:BH44)</f>
        <v>0</v>
      </c>
      <c r="BI42" s="100">
        <f>SUM(BI43:BI44)</f>
        <v>0</v>
      </c>
      <c r="BJ42" s="341">
        <f>IF(BH42=0,0,(BI42-BH42)/BH42*100)</f>
        <v>0</v>
      </c>
      <c r="BK42" s="100">
        <f>SUM(BK43:BK44)</f>
        <v>0</v>
      </c>
      <c r="BL42" s="100">
        <f>SUM(BL43:BL44)</f>
        <v>0</v>
      </c>
      <c r="BM42" s="341">
        <f>IF(BK42=0,0,(BL42-BK42)/BK42*100)</f>
        <v>0</v>
      </c>
      <c r="BN42" s="100">
        <f>SUM(BN43:BN44)</f>
        <v>0</v>
      </c>
      <c r="BO42" s="100">
        <f>SUM(BO43:BO44)</f>
        <v>0</v>
      </c>
      <c r="BP42" s="341">
        <f>IF(BN42=0,0,(BO42-BN42)/BN42*100)</f>
        <v>0</v>
      </c>
      <c r="BQ42" s="100">
        <f>SUM(BQ43:BQ44)</f>
        <v>0</v>
      </c>
      <c r="BR42" s="100">
        <f>SUM(BR43:BR44)</f>
        <v>0</v>
      </c>
      <c r="BS42" s="341">
        <f>IF(BQ42=0,0,(BR42-BQ42)/BQ42*100)</f>
        <v>0</v>
      </c>
      <c r="BT42" s="100">
        <f>SUM(BT43:BT44)</f>
        <v>0</v>
      </c>
      <c r="BU42" s="100">
        <f>SUM(BU43:BU44)</f>
        <v>0</v>
      </c>
      <c r="BV42" s="341">
        <f>IF(BT42=0,0,(BU42-BT42)/BT42*100)</f>
        <v>0</v>
      </c>
      <c r="BW42" s="100">
        <f>SUM(BW43:BW44)</f>
        <v>0</v>
      </c>
      <c r="BX42" s="100">
        <f>SUM(BX43:BX44)</f>
        <v>0</v>
      </c>
      <c r="BY42" s="341">
        <f>IF(BW42=0,0,(BX42-BW42)/BW42*100)</f>
        <v>0</v>
      </c>
      <c r="BZ42" s="100">
        <f>SUM(BZ43:BZ44)</f>
        <v>0</v>
      </c>
      <c r="CA42" s="100">
        <f>SUM(CA43:CA44)</f>
        <v>0</v>
      </c>
      <c r="CB42" s="341">
        <f>IF(BZ42=0,0,(CA42-BZ42)/BZ42*100)</f>
        <v>0</v>
      </c>
      <c r="CC42" s="100">
        <f>SUM(CC43:CC44)</f>
        <v>0</v>
      </c>
      <c r="CD42" s="100">
        <f>SUM(CD43:CD44)</f>
        <v>0</v>
      </c>
      <c r="CE42" s="341">
        <f>IF(CC42=0,0,(CD42-CC42)/CC42*100)</f>
        <v>0</v>
      </c>
      <c r="CF42" s="100">
        <f>SUM(CF43:CF44)</f>
        <v>0</v>
      </c>
      <c r="CG42" s="100">
        <f>SUM(CG43:CG44)</f>
        <v>0</v>
      </c>
      <c r="CH42" s="341">
        <f>IF(CF42=0,0,(CG42-CF42)/CF42*100)</f>
        <v>0</v>
      </c>
      <c r="CI42" s="100">
        <f>SUM(CI43:CI44)</f>
        <v>0</v>
      </c>
      <c r="CJ42" s="100">
        <f>SUM(CJ43:CJ44)</f>
        <v>0</v>
      </c>
      <c r="CK42" s="341">
        <f>IF(CI42=0,0,(CJ42-CI42)/CI42*100)</f>
        <v>0</v>
      </c>
      <c r="CL42" s="100">
        <f>SUM(CL43:CL44)</f>
        <v>0</v>
      </c>
      <c r="CM42" s="100">
        <f>SUM(CM43:CM44)</f>
        <v>0</v>
      </c>
      <c r="CN42" s="341">
        <f>IF(CL42=0,0,(CM42-CL42)/CL42*100)</f>
        <v>0</v>
      </c>
      <c r="CO42" s="100">
        <f>SUM(CO43:CO44)</f>
        <v>0</v>
      </c>
      <c r="CP42" s="100">
        <f>SUM(CP43:CP44)</f>
        <v>0</v>
      </c>
      <c r="CQ42" s="341">
        <f>IF(CO42=0,0,(CP42-CO42)/CO42*100)</f>
        <v>0</v>
      </c>
      <c r="CR42" s="100">
        <f>SUM(CR43:CR44)</f>
        <v>0</v>
      </c>
      <c r="CS42" s="100">
        <f>SUM(CS43:CS44)</f>
        <v>0</v>
      </c>
      <c r="CT42" s="341">
        <f>IF(CR42=0,0,(CS42-CR42)/CR42*100)</f>
        <v>0</v>
      </c>
      <c r="CU42" s="100">
        <f>SUM(CU43:CU44)</f>
        <v>0</v>
      </c>
      <c r="CV42" s="100">
        <f>SUM(CV43:CV44)</f>
        <v>0</v>
      </c>
      <c r="CW42" s="341">
        <f>IF(CU42=0,0,(CV42-CU42)/CU42*100)</f>
        <v>0</v>
      </c>
      <c r="CX42" s="100">
        <f>SUM(CX43:CX44)</f>
        <v>0</v>
      </c>
      <c r="CY42" s="100">
        <f>SUM(CY43:CY44)</f>
        <v>0</v>
      </c>
      <c r="CZ42" s="341">
        <f>IF(CX42=0,0,(CY42-CX42)/CX42*100)</f>
        <v>0</v>
      </c>
      <c r="DA42" s="100">
        <f>SUM(DA43:DA44)</f>
        <v>0</v>
      </c>
      <c r="DB42" s="100">
        <f>SUM(DB43:DB44)</f>
        <v>0</v>
      </c>
      <c r="DC42" s="341">
        <f>IF(DA42=0,0,(DB42-DA42)/DA42*100)</f>
        <v>0</v>
      </c>
      <c r="DD42" s="100">
        <f>SUM(DD43:DD44)</f>
        <v>0</v>
      </c>
      <c r="DE42" s="100">
        <f>SUM(DE43:DE44)</f>
        <v>0</v>
      </c>
      <c r="DF42" s="341">
        <f>IF(DD42=0,0,(DE42-DD42)/DD42*100)</f>
        <v>0</v>
      </c>
      <c r="DG42" s="100">
        <f>SUM(DG43:DG44)</f>
        <v>0</v>
      </c>
      <c r="DH42" s="100">
        <f>SUM(DH43:DH44)</f>
        <v>0</v>
      </c>
      <c r="DI42" s="341">
        <f>IF(DG42=0,0,(DH42-DG42)/DG42*100)</f>
        <v>0</v>
      </c>
      <c r="DJ42" s="100">
        <f>SUM(DJ43:DJ44)</f>
        <v>0</v>
      </c>
      <c r="DK42" s="100">
        <f>SUM(DK43:DK44)</f>
        <v>0</v>
      </c>
      <c r="DL42" s="341">
        <f>IF(DJ42=0,0,(DK42-DJ42)/DJ42*100)</f>
        <v>0</v>
      </c>
      <c r="DM42" s="100">
        <f>SUM(DM43:DM44)</f>
        <v>0</v>
      </c>
      <c r="DN42" s="100">
        <f>SUM(DN43:DN44)</f>
        <v>0</v>
      </c>
      <c r="DO42" s="341">
        <f>IF(DM42=0,0,(DN42-DM42)/DM42*100)</f>
        <v>0</v>
      </c>
      <c r="DP42" s="100">
        <f>SUM(DP43:DP44)</f>
        <v>0</v>
      </c>
      <c r="DQ42" s="100">
        <f>SUM(DQ43:DQ44)</f>
        <v>0</v>
      </c>
      <c r="DR42" s="341">
        <f>IF(DP42=0,0,(DQ42-DP42)/DP42*100)</f>
        <v>0</v>
      </c>
      <c r="DS42" s="100">
        <f>SUM(DS43:DS44)</f>
        <v>0</v>
      </c>
      <c r="DT42" s="100">
        <f>SUM(DT43:DT44)</f>
        <v>0</v>
      </c>
      <c r="DU42" s="341">
        <f>IF(DS42=0,0,(DT42-DS42)/DS42*100)</f>
        <v>0</v>
      </c>
      <c r="DV42" s="100">
        <f>SUM(DV43:DV44)</f>
        <v>0</v>
      </c>
      <c r="DW42" s="100">
        <f>SUM(DW43:DW44)</f>
        <v>0</v>
      </c>
      <c r="DX42" s="341">
        <f>IF(DV42=0,0,(DW42-DV42)/DV42*100)</f>
        <v>0</v>
      </c>
      <c r="DY42" s="100">
        <f>SUM(DY43:DY44)</f>
        <v>0</v>
      </c>
      <c r="DZ42" s="100">
        <f>SUM(DZ43:DZ44)</f>
        <v>0</v>
      </c>
      <c r="EA42" s="341">
        <f>IF(DY42=0,0,(DZ42-DY42)/DY42*100)</f>
        <v>0</v>
      </c>
      <c r="EB42" s="100">
        <f>SUM(EB43:EB44)</f>
        <v>0</v>
      </c>
      <c r="EC42" s="100">
        <f>SUM(EC43:EC44)</f>
        <v>0</v>
      </c>
      <c r="ED42" s="341">
        <f>IF(EB42=0,0,(EC42-EB42)/EB42*100)</f>
        <v>0</v>
      </c>
      <c r="EE42" s="100">
        <f>SUM(EE43:EE44)</f>
        <v>0</v>
      </c>
      <c r="EF42" s="100">
        <f>SUM(EF43:EF44)</f>
        <v>0</v>
      </c>
      <c r="EG42" s="341">
        <f>IF(EE42=0,0,(EF42-EE42)/EE42*100)</f>
        <v>0</v>
      </c>
      <c r="EH42" s="100">
        <f>SUM(EH43:EH44)</f>
        <v>0</v>
      </c>
      <c r="EI42" s="100">
        <f>SUM(EI43:EI44)</f>
        <v>0</v>
      </c>
      <c r="EJ42" s="341">
        <f>IF(EH42=0,0,(EI42-EH42)/EH42*100)</f>
        <v>0</v>
      </c>
      <c r="EK42" s="100">
        <f>SUM(EK43:EK44)</f>
        <v>0</v>
      </c>
      <c r="EL42" s="100">
        <f>SUM(EL43:EL44)</f>
        <v>0</v>
      </c>
      <c r="EM42" s="341">
        <f>IF(EK42=0,0,(EL42-EK42)/EK42*100)</f>
        <v>0</v>
      </c>
      <c r="EN42" s="100">
        <f>SUM(EN43:EN44)</f>
        <v>0</v>
      </c>
      <c r="EO42" s="100">
        <f>SUM(EO43:EO44)</f>
        <v>0</v>
      </c>
      <c r="EP42" s="341">
        <f>IF(EN42=0,0,(EO42-EN42)/EN42*100)</f>
        <v>0</v>
      </c>
      <c r="EQ42" s="100">
        <f>SUM(EQ43:EQ44)</f>
        <v>0</v>
      </c>
      <c r="ER42" s="100">
        <f>SUM(ER43:ER44)</f>
        <v>0</v>
      </c>
      <c r="ES42" s="341">
        <f>IF(EQ42=0,0,(ER42-EQ42)/EQ42*100)</f>
        <v>0</v>
      </c>
      <c r="ET42" s="100">
        <f>SUM(ET43:ET44)</f>
        <v>0</v>
      </c>
      <c r="EU42" s="100">
        <f>SUM(EU43:EU44)</f>
        <v>0</v>
      </c>
      <c r="EV42" s="341">
        <f>IF(ET42=0,0,(EU42-ET42)/ET42*100)</f>
        <v>0</v>
      </c>
      <c r="EW42" s="100">
        <f>SUM(EW43:EW44)</f>
        <v>0</v>
      </c>
      <c r="EX42" s="100">
        <f>SUM(EX43:EX44)</f>
        <v>0</v>
      </c>
      <c r="EY42" s="341">
        <f>IF(EW42=0,0,(EX42-EW42)/EW42*100)</f>
        <v>0</v>
      </c>
      <c r="EZ42" s="100">
        <f>SUM(EZ43:EZ44)</f>
        <v>0</v>
      </c>
      <c r="FA42" s="100">
        <f>SUM(FA43:FA44)</f>
        <v>0</v>
      </c>
      <c r="FB42" s="341">
        <f>IF(EZ42=0,0,(FA42-EZ42)/EZ42*100)</f>
        <v>0</v>
      </c>
      <c r="FC42" s="100">
        <f>SUM(FC43:FC44)</f>
        <v>0</v>
      </c>
      <c r="FD42" s="100">
        <f>SUM(FD43:FD44)</f>
        <v>0</v>
      </c>
      <c r="FE42" s="341">
        <f>IF(FC42=0,0,(FD42-FC42)/FC42*100)</f>
        <v>0</v>
      </c>
      <c r="FF42" s="100">
        <f>SUM(FF43:FF44)</f>
        <v>0</v>
      </c>
      <c r="FG42" s="100">
        <f>SUM(FG43:FG44)</f>
        <v>0</v>
      </c>
      <c r="FH42" s="341">
        <f>IF(FF42=0,0,(FG42-FF42)/FF42*100)</f>
        <v>0</v>
      </c>
      <c r="FI42" s="100">
        <f>SUM(FI43:FI44)</f>
        <v>0</v>
      </c>
      <c r="FJ42" s="100">
        <f>SUM(FJ43:FJ44)</f>
        <v>0</v>
      </c>
      <c r="FK42" s="341">
        <f>IF(FI42=0,0,(FJ42-FI42)/FI42*100)</f>
        <v>0</v>
      </c>
      <c r="FL42" s="100">
        <f>SUM(FL43:FL44)</f>
        <v>0</v>
      </c>
      <c r="FM42" s="100">
        <f>SUM(FM43:FM44)</f>
        <v>0</v>
      </c>
      <c r="FN42" s="341">
        <f>IF(FL42=0,0,(FM42-FL42)/FL42*100)</f>
        <v>0</v>
      </c>
      <c r="FO42" s="100">
        <f>SUM(FO43:FO44)</f>
        <v>0</v>
      </c>
      <c r="FP42" s="100">
        <f>SUM(FP43:FP44)</f>
        <v>0</v>
      </c>
      <c r="FQ42" s="341">
        <f>IF(FO42=0,0,(FP42-FO42)/FO42*100)</f>
        <v>0</v>
      </c>
      <c r="FR42" s="100">
        <f>SUM(FR43:FR44)</f>
        <v>0</v>
      </c>
      <c r="FS42" s="100">
        <f>SUM(FS43:FS44)</f>
        <v>0</v>
      </c>
      <c r="FT42" s="341">
        <f>IF(FR42=0,0,(FS42-FR42)/FR42*100)</f>
        <v>0</v>
      </c>
      <c r="FU42" s="100">
        <f>SUM(FU43:FU44)</f>
        <v>0</v>
      </c>
      <c r="FV42" s="100">
        <f>SUM(FV43:FV44)</f>
        <v>0</v>
      </c>
      <c r="FW42" s="341">
        <f>IF(FU42=0,0,(FV42-FU42)/FU42*100)</f>
        <v>0</v>
      </c>
      <c r="FZ42" s="981" t="s">
        <v>2182</v>
      </c>
      <c r="GA42" s="981"/>
      <c r="GB42" s="981"/>
      <c r="GC42" s="981"/>
      <c r="GD42" s="981"/>
    </row>
    <row r="43" spans="2:186" ht="16.7" hidden="1" customHeight="1">
      <c r="B43" s="813" t="b" cm="1">
        <f t="array" ref="B43">B42</f>
        <v>0</v>
      </c>
      <c r="C43" s="1118" t="s">
        <v>1779</v>
      </c>
      <c r="D43" s="1087" t="s">
        <v>1780</v>
      </c>
      <c r="E43" s="676">
        <v>17.100000000000001</v>
      </c>
      <c r="F43" s="779" cm="1">
        <f t="array" aca="1" ref="F43" ca="1">OFFSET(G43,-1,-1)</f>
        <v>0</v>
      </c>
      <c r="J43" s="1108" t="s">
        <v>2149</v>
      </c>
      <c r="K43" s="1108" cm="1">
        <f t="array" aca="1" ref="K43" ca="1">OFFSET(J43,-1,1)</f>
        <v>0</v>
      </c>
      <c r="L43" s="1108" t="s">
        <v>2163</v>
      </c>
      <c r="M43" s="1108" t="s">
        <v>1782</v>
      </c>
      <c r="N43" s="1108" t="s">
        <v>2171</v>
      </c>
      <c r="O43" s="1109" t="s">
        <v>2172</v>
      </c>
      <c r="P43" s="1108"/>
      <c r="Q43" s="1108"/>
      <c r="T43" s="687" t="b" cm="1">
        <f t="array" aca="1" ref="T43" ca="1">T42</f>
        <v>0</v>
      </c>
      <c r="X43" s="1726"/>
      <c r="Z43" s="1726"/>
      <c r="AB43" s="223" t="s">
        <v>2183</v>
      </c>
      <c r="AC43" s="566" t="s">
        <v>634</v>
      </c>
      <c r="AD43" s="68"/>
      <c r="AE43" s="68"/>
      <c r="AF43" s="578">
        <f>IF(AD43=0,0,(AE43-AD43)/AD43*100)</f>
        <v>0</v>
      </c>
      <c r="AG43" s="322"/>
      <c r="AH43" s="322"/>
      <c r="AI43" s="578">
        <f>IF(AG43=0,0,(AH43-AG43)/AG43*100)</f>
        <v>0</v>
      </c>
      <c r="AJ43" s="322"/>
      <c r="AK43" s="322"/>
      <c r="AL43" s="578">
        <f>IF(AJ43=0,0,(AK43-AJ43)/AJ43*100)</f>
        <v>0</v>
      </c>
      <c r="AM43" s="322"/>
      <c r="AN43" s="322"/>
      <c r="AO43" s="578">
        <f>IF(AM43=0,0,(AN43-AM43)/AM43*100)</f>
        <v>0</v>
      </c>
      <c r="AP43" s="322"/>
      <c r="AQ43" s="322"/>
      <c r="AR43" s="578">
        <f>IF(AP43=0,0,(AQ43-AP43)/AP43*100)</f>
        <v>0</v>
      </c>
      <c r="AS43" s="68"/>
      <c r="AT43" s="68"/>
      <c r="AU43" s="578">
        <f>IF(AS43=0,0,(AT43-AS43)/AS43*100)</f>
        <v>0</v>
      </c>
      <c r="AV43" s="68"/>
      <c r="AW43" s="68"/>
      <c r="AX43" s="578">
        <f>IF(AV43=0,0,(AW43-AV43)/AV43*100)</f>
        <v>0</v>
      </c>
      <c r="AY43" s="68"/>
      <c r="AZ43" s="68"/>
      <c r="BA43" s="578">
        <f>IF(AY43=0,0,(AZ43-AY43)/AY43*100)</f>
        <v>0</v>
      </c>
      <c r="BB43" s="68"/>
      <c r="BC43" s="68"/>
      <c r="BD43" s="578">
        <f>IF(BB43=0,0,(BC43-BB43)/BB43*100)</f>
        <v>0</v>
      </c>
      <c r="BE43" s="68"/>
      <c r="BF43" s="68"/>
      <c r="BG43" s="578">
        <f>IF(BE43=0,0,(BF43-BE43)/BE43*100)</f>
        <v>0</v>
      </c>
      <c r="BH43" s="68"/>
      <c r="BI43" s="68"/>
      <c r="BJ43" s="578">
        <f>IF(BH43=0,0,(BI43-BH43)/BH43*100)</f>
        <v>0</v>
      </c>
      <c r="BK43" s="68"/>
      <c r="BL43" s="68"/>
      <c r="BM43" s="578">
        <f>IF(BK43=0,0,(BL43-BK43)/BK43*100)</f>
        <v>0</v>
      </c>
      <c r="BN43" s="68"/>
      <c r="BO43" s="68"/>
      <c r="BP43" s="578">
        <f>IF(BN43=0,0,(BO43-BN43)/BN43*100)</f>
        <v>0</v>
      </c>
      <c r="BQ43" s="68"/>
      <c r="BR43" s="68"/>
      <c r="BS43" s="578">
        <f>IF(BQ43=0,0,(BR43-BQ43)/BQ43*100)</f>
        <v>0</v>
      </c>
      <c r="BT43" s="68"/>
      <c r="BU43" s="68"/>
      <c r="BV43" s="578">
        <f>IF(BT43=0,0,(BU43-BT43)/BT43*100)</f>
        <v>0</v>
      </c>
      <c r="BW43" s="68"/>
      <c r="BX43" s="68"/>
      <c r="BY43" s="578">
        <f>IF(BW43=0,0,(BX43-BW43)/BW43*100)</f>
        <v>0</v>
      </c>
      <c r="BZ43" s="68"/>
      <c r="CA43" s="68"/>
      <c r="CB43" s="578">
        <f>IF(BZ43=0,0,(CA43-BZ43)/BZ43*100)</f>
        <v>0</v>
      </c>
      <c r="CC43" s="68"/>
      <c r="CD43" s="68"/>
      <c r="CE43" s="578">
        <f>IF(CC43=0,0,(CD43-CC43)/CC43*100)</f>
        <v>0</v>
      </c>
      <c r="CF43" s="68"/>
      <c r="CG43" s="68"/>
      <c r="CH43" s="578">
        <f>IF(CF43=0,0,(CG43-CF43)/CF43*100)</f>
        <v>0</v>
      </c>
      <c r="CI43" s="68"/>
      <c r="CJ43" s="68"/>
      <c r="CK43" s="578">
        <f>IF(CI43=0,0,(CJ43-CI43)/CI43*100)</f>
        <v>0</v>
      </c>
      <c r="CL43" s="68"/>
      <c r="CM43" s="68"/>
      <c r="CN43" s="578">
        <f>IF(CL43=0,0,(CM43-CL43)/CL43*100)</f>
        <v>0</v>
      </c>
      <c r="CO43" s="68"/>
      <c r="CP43" s="68"/>
      <c r="CQ43" s="578">
        <f>IF(CO43=0,0,(CP43-CO43)/CO43*100)</f>
        <v>0</v>
      </c>
      <c r="CR43" s="68"/>
      <c r="CS43" s="68"/>
      <c r="CT43" s="578">
        <f>IF(CR43=0,0,(CS43-CR43)/CR43*100)</f>
        <v>0</v>
      </c>
      <c r="CU43" s="68"/>
      <c r="CV43" s="68"/>
      <c r="CW43" s="578">
        <f>IF(CU43=0,0,(CV43-CU43)/CU43*100)</f>
        <v>0</v>
      </c>
      <c r="CX43" s="68"/>
      <c r="CY43" s="68"/>
      <c r="CZ43" s="578">
        <f>IF(CX43=0,0,(CY43-CX43)/CX43*100)</f>
        <v>0</v>
      </c>
      <c r="DA43" s="68"/>
      <c r="DB43" s="68"/>
      <c r="DC43" s="578">
        <f>IF(DA43=0,0,(DB43-DA43)/DA43*100)</f>
        <v>0</v>
      </c>
      <c r="DD43" s="68"/>
      <c r="DE43" s="68"/>
      <c r="DF43" s="578">
        <f>IF(DD43=0,0,(DE43-DD43)/DD43*100)</f>
        <v>0</v>
      </c>
      <c r="DG43" s="68"/>
      <c r="DH43" s="68"/>
      <c r="DI43" s="578">
        <f>IF(DG43=0,0,(DH43-DG43)/DG43*100)</f>
        <v>0</v>
      </c>
      <c r="DJ43" s="68"/>
      <c r="DK43" s="68"/>
      <c r="DL43" s="578">
        <f>IF(DJ43=0,0,(DK43-DJ43)/DJ43*100)</f>
        <v>0</v>
      </c>
      <c r="DM43" s="68"/>
      <c r="DN43" s="68"/>
      <c r="DO43" s="578">
        <f>IF(DM43=0,0,(DN43-DM43)/DM43*100)</f>
        <v>0</v>
      </c>
      <c r="DP43" s="68"/>
      <c r="DQ43" s="68"/>
      <c r="DR43" s="578">
        <f>IF(DP43=0,0,(DQ43-DP43)/DP43*100)</f>
        <v>0</v>
      </c>
      <c r="DS43" s="68"/>
      <c r="DT43" s="68"/>
      <c r="DU43" s="578">
        <f>IF(DS43=0,0,(DT43-DS43)/DS43*100)</f>
        <v>0</v>
      </c>
      <c r="DV43" s="68"/>
      <c r="DW43" s="68"/>
      <c r="DX43" s="578">
        <f>IF(DV43=0,0,(DW43-DV43)/DV43*100)</f>
        <v>0</v>
      </c>
      <c r="DY43" s="68"/>
      <c r="DZ43" s="68"/>
      <c r="EA43" s="578">
        <f>IF(DY43=0,0,(DZ43-DY43)/DY43*100)</f>
        <v>0</v>
      </c>
      <c r="EB43" s="68"/>
      <c r="EC43" s="68"/>
      <c r="ED43" s="578">
        <f>IF(EB43=0,0,(EC43-EB43)/EB43*100)</f>
        <v>0</v>
      </c>
      <c r="EE43" s="68"/>
      <c r="EF43" s="68"/>
      <c r="EG43" s="578">
        <f>IF(EE43=0,0,(EF43-EE43)/EE43*100)</f>
        <v>0</v>
      </c>
      <c r="EH43" s="68"/>
      <c r="EI43" s="68"/>
      <c r="EJ43" s="578">
        <f>IF(EH43=0,0,(EI43-EH43)/EH43*100)</f>
        <v>0</v>
      </c>
      <c r="EK43" s="68"/>
      <c r="EL43" s="68"/>
      <c r="EM43" s="578">
        <f>IF(EK43=0,0,(EL43-EK43)/EK43*100)</f>
        <v>0</v>
      </c>
      <c r="EN43" s="68"/>
      <c r="EO43" s="68"/>
      <c r="EP43" s="578">
        <f>IF(EN43=0,0,(EO43-EN43)/EN43*100)</f>
        <v>0</v>
      </c>
      <c r="EQ43" s="68"/>
      <c r="ER43" s="68"/>
      <c r="ES43" s="578">
        <f>IF(EQ43=0,0,(ER43-EQ43)/EQ43*100)</f>
        <v>0</v>
      </c>
      <c r="ET43" s="68"/>
      <c r="EU43" s="68"/>
      <c r="EV43" s="578">
        <f>IF(ET43=0,0,(EU43-ET43)/ET43*100)</f>
        <v>0</v>
      </c>
      <c r="EW43" s="68"/>
      <c r="EX43" s="68"/>
      <c r="EY43" s="578">
        <f>IF(EW43=0,0,(EX43-EW43)/EW43*100)</f>
        <v>0</v>
      </c>
      <c r="EZ43" s="68"/>
      <c r="FA43" s="68"/>
      <c r="FB43" s="578">
        <f>IF(EZ43=0,0,(FA43-EZ43)/EZ43*100)</f>
        <v>0</v>
      </c>
      <c r="FC43" s="68"/>
      <c r="FD43" s="68"/>
      <c r="FE43" s="578">
        <f>IF(FC43=0,0,(FD43-FC43)/FC43*100)</f>
        <v>0</v>
      </c>
      <c r="FF43" s="68"/>
      <c r="FG43" s="68"/>
      <c r="FH43" s="578">
        <f>IF(FF43=0,0,(FG43-FF43)/FF43*100)</f>
        <v>0</v>
      </c>
      <c r="FI43" s="68"/>
      <c r="FJ43" s="68"/>
      <c r="FK43" s="578">
        <f>IF(FI43=0,0,(FJ43-FI43)/FI43*100)</f>
        <v>0</v>
      </c>
      <c r="FL43" s="68"/>
      <c r="FM43" s="68"/>
      <c r="FN43" s="578">
        <f>IF(FL43=0,0,(FM43-FL43)/FL43*100)</f>
        <v>0</v>
      </c>
      <c r="FO43" s="68"/>
      <c r="FP43" s="68"/>
      <c r="FQ43" s="578">
        <f>IF(FO43=0,0,(FP43-FO43)/FO43*100)</f>
        <v>0</v>
      </c>
      <c r="FR43" s="68"/>
      <c r="FS43" s="68"/>
      <c r="FT43" s="578">
        <f>IF(FR43=0,0,(FS43-FR43)/FR43*100)</f>
        <v>0</v>
      </c>
      <c r="FU43" s="68"/>
      <c r="FV43" s="68"/>
      <c r="FW43" s="578">
        <f>IF(FU43=0,0,(FV43-FU43)/FU43*100)</f>
        <v>0</v>
      </c>
      <c r="FZ43" s="981" t="s">
        <v>2184</v>
      </c>
      <c r="GA43" s="981"/>
      <c r="GB43" s="981"/>
      <c r="GC43" s="981"/>
      <c r="GD43" s="981"/>
    </row>
    <row r="44" spans="2:186" ht="16.7" hidden="1" customHeight="1">
      <c r="B44" s="813" t="b" cm="1">
        <f t="array" ref="B44">B43</f>
        <v>0</v>
      </c>
      <c r="C44" s="1118" t="s">
        <v>1779</v>
      </c>
      <c r="D44" s="1087" t="s">
        <v>1780</v>
      </c>
      <c r="E44" s="676">
        <v>17.100000000000001</v>
      </c>
      <c r="F44" s="779" cm="1">
        <f t="array" aca="1" ref="F44" ca="1">OFFSET(G44,-1,-1)</f>
        <v>0</v>
      </c>
      <c r="J44" s="1108" t="s">
        <v>2149</v>
      </c>
      <c r="K44" s="1108" cm="1">
        <f t="array" aca="1" ref="K44" ca="1">OFFSET(J44,-1,1)</f>
        <v>0</v>
      </c>
      <c r="L44" s="1108" t="s">
        <v>2163</v>
      </c>
      <c r="M44" s="1108" t="s">
        <v>1791</v>
      </c>
      <c r="N44" s="1108" t="s">
        <v>2171</v>
      </c>
      <c r="O44" s="1109" t="s">
        <v>2172</v>
      </c>
      <c r="P44" s="1108"/>
      <c r="Q44" s="1108"/>
      <c r="T44" s="687" t="b" cm="1">
        <f t="array" aca="1" ref="T44" ca="1">T43</f>
        <v>0</v>
      </c>
      <c r="X44" s="1726"/>
      <c r="Z44" s="1726"/>
      <c r="AB44" s="223" t="s">
        <v>2185</v>
      </c>
      <c r="AC44" s="566" t="s">
        <v>634</v>
      </c>
      <c r="AD44" s="68"/>
      <c r="AE44" s="68"/>
      <c r="AF44" s="578">
        <f>IF(AD44=0,0,(AE44-AD44)/AD44*100)</f>
        <v>0</v>
      </c>
      <c r="AG44" s="322"/>
      <c r="AH44" s="322"/>
      <c r="AI44" s="578">
        <f>IF(AG44=0,0,(AH44-AG44)/AG44*100)</f>
        <v>0</v>
      </c>
      <c r="AJ44" s="322"/>
      <c r="AK44" s="322"/>
      <c r="AL44" s="578">
        <f>IF(AJ44=0,0,(AK44-AJ44)/AJ44*100)</f>
        <v>0</v>
      </c>
      <c r="AM44" s="322"/>
      <c r="AN44" s="322"/>
      <c r="AO44" s="578">
        <f>IF(AM44=0,0,(AN44-AM44)/AM44*100)</f>
        <v>0</v>
      </c>
      <c r="AP44" s="322"/>
      <c r="AQ44" s="322"/>
      <c r="AR44" s="578">
        <f>IF(AP44=0,0,(AQ44-AP44)/AP44*100)</f>
        <v>0</v>
      </c>
      <c r="AS44" s="68"/>
      <c r="AT44" s="68"/>
      <c r="AU44" s="578">
        <f>IF(AS44=0,0,(AT44-AS44)/AS44*100)</f>
        <v>0</v>
      </c>
      <c r="AV44" s="68"/>
      <c r="AW44" s="68"/>
      <c r="AX44" s="578">
        <f>IF(AV44=0,0,(AW44-AV44)/AV44*100)</f>
        <v>0</v>
      </c>
      <c r="AY44" s="68"/>
      <c r="AZ44" s="68"/>
      <c r="BA44" s="578">
        <f>IF(AY44=0,0,(AZ44-AY44)/AY44*100)</f>
        <v>0</v>
      </c>
      <c r="BB44" s="68"/>
      <c r="BC44" s="68"/>
      <c r="BD44" s="578">
        <f>IF(BB44=0,0,(BC44-BB44)/BB44*100)</f>
        <v>0</v>
      </c>
      <c r="BE44" s="68"/>
      <c r="BF44" s="68"/>
      <c r="BG44" s="578">
        <f>IF(BE44=0,0,(BF44-BE44)/BE44*100)</f>
        <v>0</v>
      </c>
      <c r="BH44" s="68"/>
      <c r="BI44" s="68"/>
      <c r="BJ44" s="578">
        <f>IF(BH44=0,0,(BI44-BH44)/BH44*100)</f>
        <v>0</v>
      </c>
      <c r="BK44" s="68"/>
      <c r="BL44" s="68"/>
      <c r="BM44" s="578">
        <f>IF(BK44=0,0,(BL44-BK44)/BK44*100)</f>
        <v>0</v>
      </c>
      <c r="BN44" s="68"/>
      <c r="BO44" s="68"/>
      <c r="BP44" s="578">
        <f>IF(BN44=0,0,(BO44-BN44)/BN44*100)</f>
        <v>0</v>
      </c>
      <c r="BQ44" s="68"/>
      <c r="BR44" s="68"/>
      <c r="BS44" s="578">
        <f>IF(BQ44=0,0,(BR44-BQ44)/BQ44*100)</f>
        <v>0</v>
      </c>
      <c r="BT44" s="68"/>
      <c r="BU44" s="68"/>
      <c r="BV44" s="578">
        <f>IF(BT44=0,0,(BU44-BT44)/BT44*100)</f>
        <v>0</v>
      </c>
      <c r="BW44" s="68"/>
      <c r="BX44" s="68"/>
      <c r="BY44" s="578">
        <f>IF(BW44=0,0,(BX44-BW44)/BW44*100)</f>
        <v>0</v>
      </c>
      <c r="BZ44" s="68"/>
      <c r="CA44" s="68"/>
      <c r="CB44" s="578">
        <f>IF(BZ44=0,0,(CA44-BZ44)/BZ44*100)</f>
        <v>0</v>
      </c>
      <c r="CC44" s="68"/>
      <c r="CD44" s="68"/>
      <c r="CE44" s="578">
        <f>IF(CC44=0,0,(CD44-CC44)/CC44*100)</f>
        <v>0</v>
      </c>
      <c r="CF44" s="68"/>
      <c r="CG44" s="68"/>
      <c r="CH44" s="578">
        <f>IF(CF44=0,0,(CG44-CF44)/CF44*100)</f>
        <v>0</v>
      </c>
      <c r="CI44" s="68"/>
      <c r="CJ44" s="68"/>
      <c r="CK44" s="578">
        <f>IF(CI44=0,0,(CJ44-CI44)/CI44*100)</f>
        <v>0</v>
      </c>
      <c r="CL44" s="68"/>
      <c r="CM44" s="68"/>
      <c r="CN44" s="578">
        <f>IF(CL44=0,0,(CM44-CL44)/CL44*100)</f>
        <v>0</v>
      </c>
      <c r="CO44" s="68"/>
      <c r="CP44" s="68"/>
      <c r="CQ44" s="578">
        <f>IF(CO44=0,0,(CP44-CO44)/CO44*100)</f>
        <v>0</v>
      </c>
      <c r="CR44" s="68"/>
      <c r="CS44" s="68"/>
      <c r="CT44" s="578">
        <f>IF(CR44=0,0,(CS44-CR44)/CR44*100)</f>
        <v>0</v>
      </c>
      <c r="CU44" s="68"/>
      <c r="CV44" s="68"/>
      <c r="CW44" s="578">
        <f>IF(CU44=0,0,(CV44-CU44)/CU44*100)</f>
        <v>0</v>
      </c>
      <c r="CX44" s="68"/>
      <c r="CY44" s="68"/>
      <c r="CZ44" s="578">
        <f>IF(CX44=0,0,(CY44-CX44)/CX44*100)</f>
        <v>0</v>
      </c>
      <c r="DA44" s="68"/>
      <c r="DB44" s="68"/>
      <c r="DC44" s="578">
        <f>IF(DA44=0,0,(DB44-DA44)/DA44*100)</f>
        <v>0</v>
      </c>
      <c r="DD44" s="68"/>
      <c r="DE44" s="68"/>
      <c r="DF44" s="578">
        <f>IF(DD44=0,0,(DE44-DD44)/DD44*100)</f>
        <v>0</v>
      </c>
      <c r="DG44" s="68"/>
      <c r="DH44" s="68"/>
      <c r="DI44" s="578">
        <f>IF(DG44=0,0,(DH44-DG44)/DG44*100)</f>
        <v>0</v>
      </c>
      <c r="DJ44" s="68"/>
      <c r="DK44" s="68"/>
      <c r="DL44" s="578">
        <f>IF(DJ44=0,0,(DK44-DJ44)/DJ44*100)</f>
        <v>0</v>
      </c>
      <c r="DM44" s="68"/>
      <c r="DN44" s="68"/>
      <c r="DO44" s="578">
        <f>IF(DM44=0,0,(DN44-DM44)/DM44*100)</f>
        <v>0</v>
      </c>
      <c r="DP44" s="68"/>
      <c r="DQ44" s="68"/>
      <c r="DR44" s="578">
        <f>IF(DP44=0,0,(DQ44-DP44)/DP44*100)</f>
        <v>0</v>
      </c>
      <c r="DS44" s="68"/>
      <c r="DT44" s="68"/>
      <c r="DU44" s="578">
        <f>IF(DS44=0,0,(DT44-DS44)/DS44*100)</f>
        <v>0</v>
      </c>
      <c r="DV44" s="68"/>
      <c r="DW44" s="68"/>
      <c r="DX44" s="578">
        <f>IF(DV44=0,0,(DW44-DV44)/DV44*100)</f>
        <v>0</v>
      </c>
      <c r="DY44" s="68"/>
      <c r="DZ44" s="68"/>
      <c r="EA44" s="578">
        <f>IF(DY44=0,0,(DZ44-DY44)/DY44*100)</f>
        <v>0</v>
      </c>
      <c r="EB44" s="68"/>
      <c r="EC44" s="68"/>
      <c r="ED44" s="578">
        <f>IF(EB44=0,0,(EC44-EB44)/EB44*100)</f>
        <v>0</v>
      </c>
      <c r="EE44" s="68"/>
      <c r="EF44" s="68"/>
      <c r="EG44" s="578">
        <f>IF(EE44=0,0,(EF44-EE44)/EE44*100)</f>
        <v>0</v>
      </c>
      <c r="EH44" s="68"/>
      <c r="EI44" s="68"/>
      <c r="EJ44" s="578">
        <f>IF(EH44=0,0,(EI44-EH44)/EH44*100)</f>
        <v>0</v>
      </c>
      <c r="EK44" s="68"/>
      <c r="EL44" s="68"/>
      <c r="EM44" s="578">
        <f>IF(EK44=0,0,(EL44-EK44)/EK44*100)</f>
        <v>0</v>
      </c>
      <c r="EN44" s="68"/>
      <c r="EO44" s="68"/>
      <c r="EP44" s="578">
        <f>IF(EN44=0,0,(EO44-EN44)/EN44*100)</f>
        <v>0</v>
      </c>
      <c r="EQ44" s="68"/>
      <c r="ER44" s="68"/>
      <c r="ES44" s="578">
        <f>IF(EQ44=0,0,(ER44-EQ44)/EQ44*100)</f>
        <v>0</v>
      </c>
      <c r="ET44" s="68"/>
      <c r="EU44" s="68"/>
      <c r="EV44" s="578">
        <f>IF(ET44=0,0,(EU44-ET44)/ET44*100)</f>
        <v>0</v>
      </c>
      <c r="EW44" s="68"/>
      <c r="EX44" s="68"/>
      <c r="EY44" s="578">
        <f>IF(EW44=0,0,(EX44-EW44)/EW44*100)</f>
        <v>0</v>
      </c>
      <c r="EZ44" s="68"/>
      <c r="FA44" s="68"/>
      <c r="FB44" s="578">
        <f>IF(EZ44=0,0,(FA44-EZ44)/EZ44*100)</f>
        <v>0</v>
      </c>
      <c r="FC44" s="68"/>
      <c r="FD44" s="68"/>
      <c r="FE44" s="578">
        <f>IF(FC44=0,0,(FD44-FC44)/FC44*100)</f>
        <v>0</v>
      </c>
      <c r="FF44" s="68"/>
      <c r="FG44" s="68"/>
      <c r="FH44" s="578">
        <f>IF(FF44=0,0,(FG44-FF44)/FF44*100)</f>
        <v>0</v>
      </c>
      <c r="FI44" s="68"/>
      <c r="FJ44" s="68"/>
      <c r="FK44" s="578">
        <f>IF(FI44=0,0,(FJ44-FI44)/FI44*100)</f>
        <v>0</v>
      </c>
      <c r="FL44" s="68"/>
      <c r="FM44" s="68"/>
      <c r="FN44" s="578">
        <f>IF(FL44=0,0,(FM44-FL44)/FL44*100)</f>
        <v>0</v>
      </c>
      <c r="FO44" s="68"/>
      <c r="FP44" s="68"/>
      <c r="FQ44" s="578">
        <f>IF(FO44=0,0,(FP44-FO44)/FO44*100)</f>
        <v>0</v>
      </c>
      <c r="FR44" s="68"/>
      <c r="FS44" s="68"/>
      <c r="FT44" s="578">
        <f>IF(FR44=0,0,(FS44-FR44)/FR44*100)</f>
        <v>0</v>
      </c>
      <c r="FU44" s="68"/>
      <c r="FV44" s="68"/>
      <c r="FW44" s="578">
        <f>IF(FU44=0,0,(FV44-FU44)/FU44*100)</f>
        <v>0</v>
      </c>
      <c r="FZ44" s="981" t="s">
        <v>2186</v>
      </c>
      <c r="GA44" s="981"/>
      <c r="GB44" s="981"/>
      <c r="GC44" s="981"/>
      <c r="GD44" s="981"/>
    </row>
    <row r="45" spans="2:186" s="1229" customFormat="1" ht="16.7" hidden="1" customHeight="1">
      <c r="B45" s="813" t="b" cm="1">
        <f t="array" aca="1" ref="B45" ca="1">OFFSET(A45,-1,1)</f>
        <v>0</v>
      </c>
      <c r="C45" s="1118" t="s">
        <v>2168</v>
      </c>
      <c r="D45" s="1087" t="s">
        <v>2169</v>
      </c>
      <c r="E45" s="676">
        <v>17.100000000000001</v>
      </c>
      <c r="F45" s="779" cm="1">
        <f t="array" aca="1" ref="F45" ca="1">OFFSET(G45,-1,-1)</f>
        <v>0</v>
      </c>
      <c r="J45" s="1108" t="s">
        <v>2149</v>
      </c>
      <c r="K45" s="1108" cm="1">
        <f t="array" aca="1" ref="K45" ca="1">OFFSET(J45,-1,1)</f>
        <v>0</v>
      </c>
      <c r="L45" s="1108"/>
      <c r="M45" s="1108"/>
      <c r="N45" s="1108" t="s">
        <v>2171</v>
      </c>
      <c r="O45" s="1109" t="s">
        <v>2172</v>
      </c>
      <c r="P45" s="1108"/>
      <c r="Q45" s="1108" cm="1">
        <f t="array" ref="Q45">AB45</f>
        <v>0</v>
      </c>
      <c r="T45" s="687" t="b">
        <f ca="1">AND(OFFSET(S45,1,1),Y45&gt;0)</f>
        <v>0</v>
      </c>
      <c r="W45" s="126" t="s">
        <v>236</v>
      </c>
      <c r="X45" s="1722"/>
      <c r="Y45" s="1726">
        <v>0</v>
      </c>
      <c r="Z45" s="1722"/>
      <c r="AA45" s="1808" t="s">
        <v>218</v>
      </c>
      <c r="AB45" s="1529"/>
      <c r="AC45" s="566" t="s">
        <v>929</v>
      </c>
      <c r="AD45" s="68"/>
      <c r="AE45" s="68"/>
      <c r="AF45" s="578">
        <f>IF(AD45=0,0,(AE45-AD45)/AD45*100)</f>
        <v>0</v>
      </c>
      <c r="AG45" s="322"/>
      <c r="AH45" s="322"/>
      <c r="AI45" s="578">
        <f>IF(AG45=0,0,(AH45-AG45)/AG45*100)</f>
        <v>0</v>
      </c>
      <c r="AJ45" s="322"/>
      <c r="AK45" s="322"/>
      <c r="AL45" s="578">
        <f>IF(AJ45=0,0,(AK45-AJ45)/AJ45*100)</f>
        <v>0</v>
      </c>
      <c r="AM45" s="322"/>
      <c r="AN45" s="322"/>
      <c r="AO45" s="578">
        <f>IF(AM45=0,0,(AN45-AM45)/AM45*100)</f>
        <v>0</v>
      </c>
      <c r="AP45" s="322"/>
      <c r="AQ45" s="322"/>
      <c r="AR45" s="578">
        <f>IF(AP45=0,0,(AQ45-AP45)/AP45*100)</f>
        <v>0</v>
      </c>
      <c r="AS45" s="68"/>
      <c r="AT45" s="68"/>
      <c r="AU45" s="578">
        <f>IF(AS45=0,0,(AT45-AS45)/AS45*100)</f>
        <v>0</v>
      </c>
      <c r="AV45" s="68"/>
      <c r="AW45" s="68"/>
      <c r="AX45" s="578">
        <f>IF(AV45=0,0,(AW45-AV45)/AV45*100)</f>
        <v>0</v>
      </c>
      <c r="AY45" s="68"/>
      <c r="AZ45" s="68"/>
      <c r="BA45" s="578">
        <f>IF(AY45=0,0,(AZ45-AY45)/AY45*100)</f>
        <v>0</v>
      </c>
      <c r="BB45" s="68"/>
      <c r="BC45" s="68"/>
      <c r="BD45" s="578">
        <f>IF(BB45=0,0,(BC45-BB45)/BB45*100)</f>
        <v>0</v>
      </c>
      <c r="BE45" s="68"/>
      <c r="BF45" s="68"/>
      <c r="BG45" s="578">
        <f>IF(BE45=0,0,(BF45-BE45)/BE45*100)</f>
        <v>0</v>
      </c>
      <c r="BH45" s="68"/>
      <c r="BI45" s="68"/>
      <c r="BJ45" s="578">
        <f>IF(BH45=0,0,(BI45-BH45)/BH45*100)</f>
        <v>0</v>
      </c>
      <c r="BK45" s="68"/>
      <c r="BL45" s="68"/>
      <c r="BM45" s="578">
        <f>IF(BK45=0,0,(BL45-BK45)/BK45*100)</f>
        <v>0</v>
      </c>
      <c r="BN45" s="68"/>
      <c r="BO45" s="68"/>
      <c r="BP45" s="578">
        <f>IF(BN45=0,0,(BO45-BN45)/BN45*100)</f>
        <v>0</v>
      </c>
      <c r="BQ45" s="68"/>
      <c r="BR45" s="68"/>
      <c r="BS45" s="578">
        <f>IF(BQ45=0,0,(BR45-BQ45)/BQ45*100)</f>
        <v>0</v>
      </c>
      <c r="BT45" s="68"/>
      <c r="BU45" s="68"/>
      <c r="BV45" s="578">
        <f>IF(BT45=0,0,(BU45-BT45)/BT45*100)</f>
        <v>0</v>
      </c>
      <c r="BW45" s="68"/>
      <c r="BX45" s="68"/>
      <c r="BY45" s="578">
        <f>IF(BW45=0,0,(BX45-BW45)/BW45*100)</f>
        <v>0</v>
      </c>
      <c r="BZ45" s="68"/>
      <c r="CA45" s="68"/>
      <c r="CB45" s="578">
        <f>IF(BZ45=0,0,(CA45-BZ45)/BZ45*100)</f>
        <v>0</v>
      </c>
      <c r="CC45" s="68"/>
      <c r="CD45" s="68"/>
      <c r="CE45" s="578">
        <f>IF(CC45=0,0,(CD45-CC45)/CC45*100)</f>
        <v>0</v>
      </c>
      <c r="CF45" s="68"/>
      <c r="CG45" s="68"/>
      <c r="CH45" s="578">
        <f>IF(CF45=0,0,(CG45-CF45)/CF45*100)</f>
        <v>0</v>
      </c>
      <c r="CI45" s="68"/>
      <c r="CJ45" s="68"/>
      <c r="CK45" s="578">
        <f>IF(CI45=0,0,(CJ45-CI45)/CI45*100)</f>
        <v>0</v>
      </c>
      <c r="CL45" s="68"/>
      <c r="CM45" s="68"/>
      <c r="CN45" s="578">
        <f>IF(CL45=0,0,(CM45-CL45)/CL45*100)</f>
        <v>0</v>
      </c>
      <c r="CO45" s="68"/>
      <c r="CP45" s="68"/>
      <c r="CQ45" s="578">
        <f>IF(CO45=0,0,(CP45-CO45)/CO45*100)</f>
        <v>0</v>
      </c>
      <c r="CR45" s="68"/>
      <c r="CS45" s="68"/>
      <c r="CT45" s="578">
        <f>IF(CR45=0,0,(CS45-CR45)/CR45*100)</f>
        <v>0</v>
      </c>
      <c r="CU45" s="68"/>
      <c r="CV45" s="68"/>
      <c r="CW45" s="578">
        <f>IF(CU45=0,0,(CV45-CU45)/CU45*100)</f>
        <v>0</v>
      </c>
      <c r="CX45" s="68"/>
      <c r="CY45" s="68"/>
      <c r="CZ45" s="578">
        <f>IF(CX45=0,0,(CY45-CX45)/CX45*100)</f>
        <v>0</v>
      </c>
      <c r="DA45" s="68"/>
      <c r="DB45" s="68"/>
      <c r="DC45" s="578">
        <f>IF(DA45=0,0,(DB45-DA45)/DA45*100)</f>
        <v>0</v>
      </c>
      <c r="DD45" s="68"/>
      <c r="DE45" s="68"/>
      <c r="DF45" s="578">
        <f>IF(DD45=0,0,(DE45-DD45)/DD45*100)</f>
        <v>0</v>
      </c>
      <c r="DG45" s="68"/>
      <c r="DH45" s="68"/>
      <c r="DI45" s="578">
        <f>IF(DG45=0,0,(DH45-DG45)/DG45*100)</f>
        <v>0</v>
      </c>
      <c r="DJ45" s="68"/>
      <c r="DK45" s="68"/>
      <c r="DL45" s="578">
        <f>IF(DJ45=0,0,(DK45-DJ45)/DJ45*100)</f>
        <v>0</v>
      </c>
      <c r="DM45" s="68"/>
      <c r="DN45" s="68"/>
      <c r="DO45" s="578">
        <f>IF(DM45=0,0,(DN45-DM45)/DM45*100)</f>
        <v>0</v>
      </c>
      <c r="DP45" s="68"/>
      <c r="DQ45" s="68"/>
      <c r="DR45" s="578">
        <f>IF(DP45=0,0,(DQ45-DP45)/DP45*100)</f>
        <v>0</v>
      </c>
      <c r="DS45" s="68"/>
      <c r="DT45" s="68"/>
      <c r="DU45" s="578">
        <f>IF(DS45=0,0,(DT45-DS45)/DS45*100)</f>
        <v>0</v>
      </c>
      <c r="DV45" s="68"/>
      <c r="DW45" s="68"/>
      <c r="DX45" s="578">
        <f>IF(DV45=0,0,(DW45-DV45)/DV45*100)</f>
        <v>0</v>
      </c>
      <c r="DY45" s="68"/>
      <c r="DZ45" s="68"/>
      <c r="EA45" s="578">
        <f>IF(DY45=0,0,(DZ45-DY45)/DY45*100)</f>
        <v>0</v>
      </c>
      <c r="EB45" s="68"/>
      <c r="EC45" s="68"/>
      <c r="ED45" s="578">
        <f>IF(EB45=0,0,(EC45-EB45)/EB45*100)</f>
        <v>0</v>
      </c>
      <c r="EE45" s="68"/>
      <c r="EF45" s="68"/>
      <c r="EG45" s="578">
        <f>IF(EE45=0,0,(EF45-EE45)/EE45*100)</f>
        <v>0</v>
      </c>
      <c r="EH45" s="68"/>
      <c r="EI45" s="68"/>
      <c r="EJ45" s="578">
        <f>IF(EH45=0,0,(EI45-EH45)/EH45*100)</f>
        <v>0</v>
      </c>
      <c r="EK45" s="68"/>
      <c r="EL45" s="68"/>
      <c r="EM45" s="578">
        <f>IF(EK45=0,0,(EL45-EK45)/EK45*100)</f>
        <v>0</v>
      </c>
      <c r="EN45" s="68"/>
      <c r="EO45" s="68"/>
      <c r="EP45" s="578">
        <f>IF(EN45=0,0,(EO45-EN45)/EN45*100)</f>
        <v>0</v>
      </c>
      <c r="EQ45" s="68"/>
      <c r="ER45" s="68"/>
      <c r="ES45" s="578">
        <f>IF(EQ45=0,0,(ER45-EQ45)/EQ45*100)</f>
        <v>0</v>
      </c>
      <c r="ET45" s="68"/>
      <c r="EU45" s="68"/>
      <c r="EV45" s="578">
        <f>IF(ET45=0,0,(EU45-ET45)/ET45*100)</f>
        <v>0</v>
      </c>
      <c r="EW45" s="68"/>
      <c r="EX45" s="68"/>
      <c r="EY45" s="578">
        <f>IF(EW45=0,0,(EX45-EW45)/EW45*100)</f>
        <v>0</v>
      </c>
      <c r="EZ45" s="68"/>
      <c r="FA45" s="68"/>
      <c r="FB45" s="578">
        <f>IF(EZ45=0,0,(FA45-EZ45)/EZ45*100)</f>
        <v>0</v>
      </c>
      <c r="FC45" s="68"/>
      <c r="FD45" s="68"/>
      <c r="FE45" s="578">
        <f>IF(FC45=0,0,(FD45-FC45)/FC45*100)</f>
        <v>0</v>
      </c>
      <c r="FF45" s="68"/>
      <c r="FG45" s="68"/>
      <c r="FH45" s="578">
        <f>IF(FF45=0,0,(FG45-FF45)/FF45*100)</f>
        <v>0</v>
      </c>
      <c r="FI45" s="68"/>
      <c r="FJ45" s="68"/>
      <c r="FK45" s="578">
        <f>IF(FI45=0,0,(FJ45-FI45)/FI45*100)</f>
        <v>0</v>
      </c>
      <c r="FL45" s="68"/>
      <c r="FM45" s="68"/>
      <c r="FN45" s="578">
        <f>IF(FL45=0,0,(FM45-FL45)/FL45*100)</f>
        <v>0</v>
      </c>
      <c r="FO45" s="68"/>
      <c r="FP45" s="68"/>
      <c r="FQ45" s="578">
        <f>IF(FO45=0,0,(FP45-FO45)/FO45*100)</f>
        <v>0</v>
      </c>
      <c r="FR45" s="68"/>
      <c r="FS45" s="68"/>
      <c r="FT45" s="578">
        <f>IF(FR45=0,0,(FS45-FR45)/FR45*100)</f>
        <v>0</v>
      </c>
      <c r="FU45" s="68"/>
      <c r="FV45" s="68"/>
      <c r="FW45" s="578">
        <f>IF(FU45=0,0,(FV45-FU45)/FU45*100)</f>
        <v>0</v>
      </c>
      <c r="FZ45" s="981" t="s">
        <v>2187</v>
      </c>
      <c r="GA45" s="981" t="s">
        <v>2188</v>
      </c>
      <c r="GB45" s="981" cm="1">
        <f t="array" ref="GB45">AB45</f>
        <v>0</v>
      </c>
      <c r="GC45" s="981"/>
      <c r="GD45" s="981" t="b">
        <v>1</v>
      </c>
    </row>
    <row r="46" spans="2:186" s="1229" customFormat="1" ht="16.7" hidden="1" customHeight="1">
      <c r="B46" s="813" t="b" cm="1">
        <f t="array" aca="1" ref="B46" ca="1">OFFSET(A46,-1,1)</f>
        <v>0</v>
      </c>
      <c r="C46" s="1118" t="s">
        <v>1779</v>
      </c>
      <c r="D46" s="1087" t="s">
        <v>1780</v>
      </c>
      <c r="E46" s="676">
        <v>17.100000000000001</v>
      </c>
      <c r="F46" s="779" cm="1">
        <f t="array" aca="1" ref="F46" ca="1">OFFSET(G46,-1,-1)</f>
        <v>0</v>
      </c>
      <c r="J46" s="1108" t="s">
        <v>2149</v>
      </c>
      <c r="K46" s="1108" cm="1">
        <f t="array" aca="1" ref="K46" ca="1">OFFSET(J46,-1,1)</f>
        <v>0</v>
      </c>
      <c r="L46" s="1108" t="s">
        <v>2163</v>
      </c>
      <c r="M46" s="1108"/>
      <c r="N46" s="1108" t="s">
        <v>2171</v>
      </c>
      <c r="O46" s="1109" t="s">
        <v>2172</v>
      </c>
      <c r="P46" s="1108"/>
      <c r="Q46" s="1108" cm="1">
        <f t="array" ref="Q46">AB45</f>
        <v>0</v>
      </c>
      <c r="T46" s="687" t="b">
        <f ca="1">AND(OFFSET(S46,1,1),Y45&gt;0)</f>
        <v>0</v>
      </c>
      <c r="X46" s="1722"/>
      <c r="Y46" s="1722"/>
      <c r="Z46" s="1722"/>
      <c r="AA46" s="1808"/>
      <c r="AB46" s="887" t="s">
        <v>2189</v>
      </c>
      <c r="AC46" s="566" t="s">
        <v>634</v>
      </c>
      <c r="AD46" s="68"/>
      <c r="AE46" s="68"/>
      <c r="AF46" s="578">
        <f>IF(AD46=0,0,(AE46-AD46)/AD46*100)</f>
        <v>0</v>
      </c>
      <c r="AG46" s="322"/>
      <c r="AH46" s="322"/>
      <c r="AI46" s="578">
        <f>IF(AG46=0,0,(AH46-AG46)/AG46*100)</f>
        <v>0</v>
      </c>
      <c r="AJ46" s="322"/>
      <c r="AK46" s="322"/>
      <c r="AL46" s="578">
        <f>IF(AJ46=0,0,(AK46-AJ46)/AJ46*100)</f>
        <v>0</v>
      </c>
      <c r="AM46" s="322"/>
      <c r="AN46" s="322"/>
      <c r="AO46" s="578">
        <f>IF(AM46=0,0,(AN46-AM46)/AM46*100)</f>
        <v>0</v>
      </c>
      <c r="AP46" s="322"/>
      <c r="AQ46" s="322"/>
      <c r="AR46" s="578">
        <f>IF(AP46=0,0,(AQ46-AP46)/AP46*100)</f>
        <v>0</v>
      </c>
      <c r="AS46" s="68"/>
      <c r="AT46" s="68"/>
      <c r="AU46" s="578">
        <f>IF(AS46=0,0,(AT46-AS46)/AS46*100)</f>
        <v>0</v>
      </c>
      <c r="AV46" s="68"/>
      <c r="AW46" s="68"/>
      <c r="AX46" s="578">
        <f>IF(AV46=0,0,(AW46-AV46)/AV46*100)</f>
        <v>0</v>
      </c>
      <c r="AY46" s="68"/>
      <c r="AZ46" s="68"/>
      <c r="BA46" s="578">
        <f>IF(AY46=0,0,(AZ46-AY46)/AY46*100)</f>
        <v>0</v>
      </c>
      <c r="BB46" s="68"/>
      <c r="BC46" s="68"/>
      <c r="BD46" s="578">
        <f>IF(BB46=0,0,(BC46-BB46)/BB46*100)</f>
        <v>0</v>
      </c>
      <c r="BE46" s="68"/>
      <c r="BF46" s="68"/>
      <c r="BG46" s="578">
        <f>IF(BE46=0,0,(BF46-BE46)/BE46*100)</f>
        <v>0</v>
      </c>
      <c r="BH46" s="68"/>
      <c r="BI46" s="68"/>
      <c r="BJ46" s="578">
        <f>IF(BH46=0,0,(BI46-BH46)/BH46*100)</f>
        <v>0</v>
      </c>
      <c r="BK46" s="68"/>
      <c r="BL46" s="68"/>
      <c r="BM46" s="578">
        <f>IF(BK46=0,0,(BL46-BK46)/BK46*100)</f>
        <v>0</v>
      </c>
      <c r="BN46" s="68"/>
      <c r="BO46" s="68"/>
      <c r="BP46" s="578">
        <f>IF(BN46=0,0,(BO46-BN46)/BN46*100)</f>
        <v>0</v>
      </c>
      <c r="BQ46" s="68"/>
      <c r="BR46" s="68"/>
      <c r="BS46" s="578">
        <f>IF(BQ46=0,0,(BR46-BQ46)/BQ46*100)</f>
        <v>0</v>
      </c>
      <c r="BT46" s="68"/>
      <c r="BU46" s="68"/>
      <c r="BV46" s="578">
        <f>IF(BT46=0,0,(BU46-BT46)/BT46*100)</f>
        <v>0</v>
      </c>
      <c r="BW46" s="68"/>
      <c r="BX46" s="68"/>
      <c r="BY46" s="578">
        <f>IF(BW46=0,0,(BX46-BW46)/BW46*100)</f>
        <v>0</v>
      </c>
      <c r="BZ46" s="68"/>
      <c r="CA46" s="68"/>
      <c r="CB46" s="578">
        <f>IF(BZ46=0,0,(CA46-BZ46)/BZ46*100)</f>
        <v>0</v>
      </c>
      <c r="CC46" s="68"/>
      <c r="CD46" s="68"/>
      <c r="CE46" s="578">
        <f>IF(CC46=0,0,(CD46-CC46)/CC46*100)</f>
        <v>0</v>
      </c>
      <c r="CF46" s="68"/>
      <c r="CG46" s="68"/>
      <c r="CH46" s="578">
        <f>IF(CF46=0,0,(CG46-CF46)/CF46*100)</f>
        <v>0</v>
      </c>
      <c r="CI46" s="68"/>
      <c r="CJ46" s="68"/>
      <c r="CK46" s="578">
        <f>IF(CI46=0,0,(CJ46-CI46)/CI46*100)</f>
        <v>0</v>
      </c>
      <c r="CL46" s="68"/>
      <c r="CM46" s="68"/>
      <c r="CN46" s="578">
        <f>IF(CL46=0,0,(CM46-CL46)/CL46*100)</f>
        <v>0</v>
      </c>
      <c r="CO46" s="68"/>
      <c r="CP46" s="68"/>
      <c r="CQ46" s="578">
        <f>IF(CO46=0,0,(CP46-CO46)/CO46*100)</f>
        <v>0</v>
      </c>
      <c r="CR46" s="68"/>
      <c r="CS46" s="68"/>
      <c r="CT46" s="578">
        <f>IF(CR46=0,0,(CS46-CR46)/CR46*100)</f>
        <v>0</v>
      </c>
      <c r="CU46" s="68"/>
      <c r="CV46" s="68"/>
      <c r="CW46" s="578">
        <f>IF(CU46=0,0,(CV46-CU46)/CU46*100)</f>
        <v>0</v>
      </c>
      <c r="CX46" s="68"/>
      <c r="CY46" s="68"/>
      <c r="CZ46" s="578">
        <f>IF(CX46=0,0,(CY46-CX46)/CX46*100)</f>
        <v>0</v>
      </c>
      <c r="DA46" s="68"/>
      <c r="DB46" s="68"/>
      <c r="DC46" s="578">
        <f>IF(DA46=0,0,(DB46-DA46)/DA46*100)</f>
        <v>0</v>
      </c>
      <c r="DD46" s="68"/>
      <c r="DE46" s="68"/>
      <c r="DF46" s="578">
        <f>IF(DD46=0,0,(DE46-DD46)/DD46*100)</f>
        <v>0</v>
      </c>
      <c r="DG46" s="68"/>
      <c r="DH46" s="68"/>
      <c r="DI46" s="578">
        <f>IF(DG46=0,0,(DH46-DG46)/DG46*100)</f>
        <v>0</v>
      </c>
      <c r="DJ46" s="68"/>
      <c r="DK46" s="68"/>
      <c r="DL46" s="578">
        <f>IF(DJ46=0,0,(DK46-DJ46)/DJ46*100)</f>
        <v>0</v>
      </c>
      <c r="DM46" s="68"/>
      <c r="DN46" s="68"/>
      <c r="DO46" s="578">
        <f>IF(DM46=0,0,(DN46-DM46)/DM46*100)</f>
        <v>0</v>
      </c>
      <c r="DP46" s="68"/>
      <c r="DQ46" s="68"/>
      <c r="DR46" s="578">
        <f>IF(DP46=0,0,(DQ46-DP46)/DP46*100)</f>
        <v>0</v>
      </c>
      <c r="DS46" s="68"/>
      <c r="DT46" s="68"/>
      <c r="DU46" s="578">
        <f>IF(DS46=0,0,(DT46-DS46)/DS46*100)</f>
        <v>0</v>
      </c>
      <c r="DV46" s="68"/>
      <c r="DW46" s="68"/>
      <c r="DX46" s="578">
        <f>IF(DV46=0,0,(DW46-DV46)/DV46*100)</f>
        <v>0</v>
      </c>
      <c r="DY46" s="68"/>
      <c r="DZ46" s="68"/>
      <c r="EA46" s="578">
        <f>IF(DY46=0,0,(DZ46-DY46)/DY46*100)</f>
        <v>0</v>
      </c>
      <c r="EB46" s="68"/>
      <c r="EC46" s="68"/>
      <c r="ED46" s="578">
        <f>IF(EB46=0,0,(EC46-EB46)/EB46*100)</f>
        <v>0</v>
      </c>
      <c r="EE46" s="68"/>
      <c r="EF46" s="68"/>
      <c r="EG46" s="578">
        <f>IF(EE46=0,0,(EF46-EE46)/EE46*100)</f>
        <v>0</v>
      </c>
      <c r="EH46" s="68"/>
      <c r="EI46" s="68"/>
      <c r="EJ46" s="578">
        <f>IF(EH46=0,0,(EI46-EH46)/EH46*100)</f>
        <v>0</v>
      </c>
      <c r="EK46" s="68"/>
      <c r="EL46" s="68"/>
      <c r="EM46" s="578">
        <f>IF(EK46=0,0,(EL46-EK46)/EK46*100)</f>
        <v>0</v>
      </c>
      <c r="EN46" s="68"/>
      <c r="EO46" s="68"/>
      <c r="EP46" s="578">
        <f>IF(EN46=0,0,(EO46-EN46)/EN46*100)</f>
        <v>0</v>
      </c>
      <c r="EQ46" s="68"/>
      <c r="ER46" s="68"/>
      <c r="ES46" s="578">
        <f>IF(EQ46=0,0,(ER46-EQ46)/EQ46*100)</f>
        <v>0</v>
      </c>
      <c r="ET46" s="68"/>
      <c r="EU46" s="68"/>
      <c r="EV46" s="578">
        <f>IF(ET46=0,0,(EU46-ET46)/ET46*100)</f>
        <v>0</v>
      </c>
      <c r="EW46" s="68"/>
      <c r="EX46" s="68"/>
      <c r="EY46" s="578">
        <f>IF(EW46=0,0,(EX46-EW46)/EW46*100)</f>
        <v>0</v>
      </c>
      <c r="EZ46" s="68"/>
      <c r="FA46" s="68"/>
      <c r="FB46" s="578">
        <f>IF(EZ46=0,0,(FA46-EZ46)/EZ46*100)</f>
        <v>0</v>
      </c>
      <c r="FC46" s="68"/>
      <c r="FD46" s="68"/>
      <c r="FE46" s="578">
        <f>IF(FC46=0,0,(FD46-FC46)/FC46*100)</f>
        <v>0</v>
      </c>
      <c r="FF46" s="68"/>
      <c r="FG46" s="68"/>
      <c r="FH46" s="578">
        <f>IF(FF46=0,0,(FG46-FF46)/FF46*100)</f>
        <v>0</v>
      </c>
      <c r="FI46" s="68"/>
      <c r="FJ46" s="68"/>
      <c r="FK46" s="578">
        <f>IF(FI46=0,0,(FJ46-FI46)/FI46*100)</f>
        <v>0</v>
      </c>
      <c r="FL46" s="68"/>
      <c r="FM46" s="68"/>
      <c r="FN46" s="578">
        <f>IF(FL46=0,0,(FM46-FL46)/FL46*100)</f>
        <v>0</v>
      </c>
      <c r="FO46" s="68"/>
      <c r="FP46" s="68"/>
      <c r="FQ46" s="578">
        <f>IF(FO46=0,0,(FP46-FO46)/FO46*100)</f>
        <v>0</v>
      </c>
      <c r="FR46" s="68"/>
      <c r="FS46" s="68"/>
      <c r="FT46" s="578">
        <f>IF(FR46=0,0,(FS46-FR46)/FR46*100)</f>
        <v>0</v>
      </c>
      <c r="FU46" s="68"/>
      <c r="FV46" s="68"/>
      <c r="FW46" s="578">
        <f>IF(FU46=0,0,(FV46-FU46)/FU46*100)</f>
        <v>0</v>
      </c>
      <c r="FZ46" s="981" t="s">
        <v>2182</v>
      </c>
      <c r="GA46" s="981" t="s">
        <v>2188</v>
      </c>
      <c r="GB46" s="981" cm="1">
        <f t="array" ref="GB46">GB45</f>
        <v>0</v>
      </c>
      <c r="GC46" s="981"/>
      <c r="GD46" s="981"/>
    </row>
    <row r="47" spans="2:186" ht="16.5" hidden="1" customHeight="1">
      <c r="B47" s="813" t="b" cm="1">
        <f t="array" aca="1" ref="B47" ca="1">OFFSET(A47,-1,1)</f>
        <v>0</v>
      </c>
      <c r="E47" s="676">
        <v>17</v>
      </c>
      <c r="F47" s="779" cm="1">
        <f t="array" aca="1" ref="F47" ca="1">OFFSET(G47,-1,-1)</f>
        <v>0</v>
      </c>
      <c r="H47" s="163" t="str">
        <f ca="1">F47&amp;"pIns1"</f>
        <v>0pIns1</v>
      </c>
      <c r="K47" s="1108" cm="1">
        <f t="array" aca="1" ref="K47" ca="1">OFFSET(J47,-1,1)</f>
        <v>0</v>
      </c>
      <c r="Q47" s="1092"/>
      <c r="T47" s="687" t="b" cm="1">
        <f t="array" aca="1" ref="T47" ca="1">T44</f>
        <v>0</v>
      </c>
      <c r="W47" s="1530" t="s">
        <v>2190</v>
      </c>
      <c r="X47" s="1726"/>
      <c r="Z47" s="1726"/>
      <c r="AB47" s="760" t="s">
        <v>238</v>
      </c>
      <c r="AC47" s="285"/>
      <c r="AD47" s="483"/>
      <c r="AE47" s="483"/>
      <c r="AF47" s="283"/>
      <c r="AG47" s="483"/>
      <c r="AH47" s="483"/>
      <c r="AI47" s="283"/>
      <c r="AJ47" s="483"/>
      <c r="AK47" s="483"/>
      <c r="AL47" s="283"/>
      <c r="AM47" s="483"/>
      <c r="AN47" s="483"/>
      <c r="AO47" s="283"/>
      <c r="AP47" s="483"/>
      <c r="AQ47" s="483"/>
      <c r="AR47" s="283"/>
      <c r="AS47" s="483"/>
      <c r="AT47" s="483"/>
      <c r="AU47" s="283"/>
      <c r="AV47" s="483"/>
      <c r="AW47" s="483"/>
      <c r="AX47" s="283"/>
      <c r="AY47" s="483"/>
      <c r="AZ47" s="483"/>
      <c r="BA47" s="283"/>
      <c r="BB47" s="483"/>
      <c r="BC47" s="483"/>
      <c r="BD47" s="283"/>
      <c r="BE47" s="483"/>
      <c r="BF47" s="483"/>
      <c r="BG47" s="283"/>
      <c r="BH47" s="483"/>
      <c r="BI47" s="4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4"/>
      <c r="GA47" s="981"/>
      <c r="GB47" s="981"/>
      <c r="GC47" s="981" t="s">
        <v>2188</v>
      </c>
      <c r="GD47" s="981"/>
    </row>
    <row r="48" spans="2:186" ht="15.4" hidden="1" customHeight="1">
      <c r="B48" s="813" t="b">
        <f>R28="двухставочный"</f>
        <v>0</v>
      </c>
      <c r="E48" s="676">
        <v>15.8</v>
      </c>
      <c r="F48" s="779" cm="1">
        <f t="array" aca="1" ref="F48" ca="1">OFFSET(G48,-1,-1)</f>
        <v>0</v>
      </c>
      <c r="K48" s="1108" cm="1">
        <f t="array" aca="1" ref="K48" ca="1">OFFSET(J48,-1,1)</f>
        <v>0</v>
      </c>
      <c r="Q48" s="1092"/>
      <c r="T48" s="687" t="b">
        <f ca="1">AND(F48&gt;0,G28="двухставочный")</f>
        <v>0</v>
      </c>
      <c r="X48" s="1726"/>
      <c r="Z48" s="1726"/>
      <c r="AB48" s="629" t="s">
        <v>2191</v>
      </c>
      <c r="AC48" s="304"/>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6"/>
      <c r="GA48" s="981"/>
      <c r="GB48" s="981"/>
      <c r="GC48" s="981"/>
      <c r="GD48" s="981"/>
    </row>
    <row r="49" spans="2:186" ht="15.4" hidden="1" customHeight="1">
      <c r="B49" s="813" t="b" cm="1">
        <f t="array" ref="B49">B48</f>
        <v>0</v>
      </c>
      <c r="E49" s="676">
        <v>15.8</v>
      </c>
      <c r="F49" s="779" cm="1">
        <f t="array" aca="1" ref="F49" ca="1">OFFSET(G49,-1,-1)</f>
        <v>0</v>
      </c>
      <c r="J49" s="1092"/>
      <c r="K49" s="1108" cm="1">
        <f t="array" aca="1" ref="K49" ca="1">OFFSET(J49,-1,1)</f>
        <v>0</v>
      </c>
      <c r="L49" s="1092"/>
      <c r="M49" s="1092"/>
      <c r="N49" s="1092"/>
      <c r="O49" s="1092"/>
      <c r="P49" s="1092"/>
      <c r="Q49" s="1092"/>
      <c r="T49" s="687" t="b" cm="1">
        <f t="array" aca="1" ref="T49" ca="1">T48</f>
        <v>0</v>
      </c>
      <c r="X49" s="1726"/>
      <c r="Z49" s="1726"/>
      <c r="AB49" s="1140" t="s">
        <v>2192</v>
      </c>
      <c r="AC49" s="314"/>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6"/>
      <c r="GA49" s="981"/>
      <c r="GB49" s="981"/>
      <c r="GC49" s="981"/>
      <c r="GD49" s="981"/>
    </row>
    <row r="50" spans="2:186" ht="15.4" hidden="1" customHeight="1">
      <c r="B50" s="813" t="b" cm="1">
        <f t="array" ref="B50">B49</f>
        <v>0</v>
      </c>
      <c r="C50" s="1118" t="s">
        <v>2193</v>
      </c>
      <c r="D50" s="1087" t="s">
        <v>2194</v>
      </c>
      <c r="E50" s="676">
        <v>15.8</v>
      </c>
      <c r="F50" s="779" cm="1">
        <f t="array" aca="1" ref="F50" ca="1">OFFSET(G50,-1,-1)</f>
        <v>0</v>
      </c>
      <c r="G50" s="620" t="s">
        <v>1787</v>
      </c>
      <c r="H50" s="163" t="s">
        <v>2195</v>
      </c>
      <c r="I50" s="163" t="s">
        <v>2148</v>
      </c>
      <c r="J50" s="1108"/>
      <c r="K50" s="1108" cm="1">
        <f t="array" aca="1" ref="K50" ca="1">OFFSET(J50,-1,1)</f>
        <v>0</v>
      </c>
      <c r="L50" s="1108"/>
      <c r="M50" s="1108" t="s">
        <v>1782</v>
      </c>
      <c r="N50" s="1108" t="s">
        <v>2151</v>
      </c>
      <c r="O50" s="1109" t="s">
        <v>2152</v>
      </c>
      <c r="P50" s="1108" t="s">
        <v>2196</v>
      </c>
      <c r="Q50" s="1108"/>
      <c r="T50" s="687" t="b" cm="1">
        <f t="array" aca="1" ref="T50" ca="1">T49</f>
        <v>0</v>
      </c>
      <c r="X50" s="1726"/>
      <c r="Z50" s="1726"/>
      <c r="AB50" s="223" t="s">
        <v>2197</v>
      </c>
      <c r="AC50" s="123" t="s">
        <v>929</v>
      </c>
      <c r="AD50" s="22">
        <f ca="1">IF(method_reg="Метод экономически обоснованных расходов",SUMIFS('Калькуляция (4.6)'!AJ$25:AJ$229,'Калькуляция (4.6)'!$F$25:$F$229,$F50,'Калькуляция (4.6)'!$G$25:$G$229,$G50),IF(method_reg="Метод сравнения аналогов",SUMIFS(INDEX('Калькуляция (МСА)'!$AE$25:$BC$109,,MATCH(AD$8,'Калькуляция (МСА)'!$AE$8:$BC$8,0)),'Калькуляция (МСА)'!$F$25:$F$109,$F50,'Калькуляция (МСА)'!$G$25:$G$109,$G50),SUMIFS(INDEX('Калькуляция (5.9)'!$AJ$25:$BC$194,,MATCH(AD$8,'Калькуляция (5.9)'!$AJ$8:$BC$8,0)),'Калькуляция (5.9)'!$F$25:$F$194,$F50,'Калькуляция (5.9)'!$G$25:$G$194,$G50)))</f>
        <v>0</v>
      </c>
      <c r="AE50" s="22">
        <f ca="1">IF(method_reg="Метод экономически обоснованных расходов",SUMIFS('Калькуляция (4.6)'!AK$25:AK$229,'Калькуляция (4.6)'!$F$25:$F$229,$F50,'Калькуляция (4.6)'!$G$25:$G$229,$G50),IF(method_reg="Метод сравнения аналогов",SUMIFS(INDEX('Калькуляция (МСА)'!$AE$25:$BC$109,,MATCH(AE$8,'Калькуляция (МСА)'!$AE$8:$BC$8,0)),'Калькуляция (МСА)'!$F$25:$F$109,$F50,'Калькуляция (МСА)'!$G$25:$G$109,$G50),SUMIFS(INDEX('Калькуляция (5.9)'!$AJ$25:$BC$194,,MATCH(AE$8,'Калькуляция (5.9)'!$AJ$8:$BC$8,0)),'Калькуляция (5.9)'!$F$25:$F$194,$F50,'Калькуляция (5.9)'!$G$25:$G$194,$G50)))</f>
        <v>0</v>
      </c>
      <c r="AF50" s="312">
        <f ca="1">IF(AD50=0,0,(AE50-AD50)/AD50*100)</f>
        <v>0</v>
      </c>
      <c r="AG50" s="313">
        <f ca="1">IF(method_reg="Метод сравнения аналогов",SUMIFS(INDEX('Калькуляция (МСА)'!$AE$25:$BC$109,,MATCH(AG$8,'Калькуляция (МСА)'!$AE$8:$BC$8,0)),'Калькуляция (МСА)'!$F$25:$F$109,$F50,'Калькуляция (МСА)'!$G$25:$G$109,$G50),SUMIFS(INDEX('Калькуляция (5.9)'!$AJ$25:$BC$194,,MATCH(AG$8,'Калькуляция (5.9)'!$AJ$8:$BC$8,0)),'Калькуляция (5.9)'!$F$25:$F$194,$F50,'Калькуляция (5.9)'!$G$25:$G$194,$G50))</f>
        <v>0</v>
      </c>
      <c r="AH50" s="313">
        <f ca="1">IF(method_reg="Метод сравнения аналогов",SUMIFS(INDEX('Калькуляция (МСА)'!$AE$25:$BC$109,,MATCH(AH$8,'Калькуляция (МСА)'!$AE$8:$BC$8,0)),'Калькуляция (МСА)'!$F$25:$F$109,$F50,'Калькуляция (МСА)'!$G$25:$G$109,$G50),SUMIFS(INDEX('Калькуляция (5.9)'!$AJ$25:$BC$194,,MATCH(AH$8,'Калькуляция (5.9)'!$AJ$8:$BC$8,0)),'Калькуляция (5.9)'!$F$25:$F$194,$F50,'Калькуляция (5.9)'!$G$25:$G$194,$G50))</f>
        <v>0</v>
      </c>
      <c r="AI50" s="312">
        <f ca="1">IF(AG50=0,0,(AH50-AG50)/AG50*100)</f>
        <v>0</v>
      </c>
      <c r="AJ50" s="313">
        <f ca="1">IF(method_reg="Метод сравнения аналогов",SUMIFS(INDEX('Калькуляция (МСА)'!$AE$25:$BC$109,,MATCH(AJ$8,'Калькуляция (МСА)'!$AE$8:$BC$8,0)),'Калькуляция (МСА)'!$F$25:$F$109,$F50,'Калькуляция (МСА)'!$G$25:$G$109,$G50),SUMIFS(INDEX('Калькуляция (5.9)'!$AJ$25:$BC$194,,MATCH(AJ$8,'Калькуляция (5.9)'!$AJ$8:$BC$8,0)),'Калькуляция (5.9)'!$F$25:$F$194,$F50,'Калькуляция (5.9)'!$G$25:$G$194,$G50))</f>
        <v>0</v>
      </c>
      <c r="AK50" s="313">
        <f ca="1">IF(method_reg="Метод сравнения аналогов",SUMIFS(INDEX('Калькуляция (МСА)'!$AE$25:$BC$109,,MATCH(AK$8,'Калькуляция (МСА)'!$AE$8:$BC$8,0)),'Калькуляция (МСА)'!$F$25:$F$109,$F50,'Калькуляция (МСА)'!$G$25:$G$109,$G50),SUMIFS(INDEX('Калькуляция (5.9)'!$AJ$25:$BC$194,,MATCH(AK$8,'Калькуляция (5.9)'!$AJ$8:$BC$8,0)),'Калькуляция (5.9)'!$F$25:$F$194,$F50,'Калькуляция (5.9)'!$G$25:$G$194,$G50))</f>
        <v>0</v>
      </c>
      <c r="AL50" s="312">
        <f ca="1">IF(AJ50=0,0,(AK50-AJ50)/AJ50*100)</f>
        <v>0</v>
      </c>
      <c r="AM50" s="313">
        <f ca="1">IF(method_reg="Метод сравнения аналогов",SUMIFS(INDEX('Калькуляция (МСА)'!$AE$25:$BC$109,,MATCH(AM$8,'Калькуляция (МСА)'!$AE$8:$BC$8,0)),'Калькуляция (МСА)'!$F$25:$F$109,$F50,'Калькуляция (МСА)'!$G$25:$G$109,$G50),SUMIFS(INDEX('Калькуляция (5.9)'!$AJ$25:$BC$194,,MATCH(AM$8,'Калькуляция (5.9)'!$AJ$8:$BC$8,0)),'Калькуляция (5.9)'!$F$25:$F$194,$F50,'Калькуляция (5.9)'!$G$25:$G$194,$G50))</f>
        <v>0</v>
      </c>
      <c r="AN50" s="313">
        <f ca="1">IF(method_reg="Метод сравнения аналогов",SUMIFS(INDEX('Калькуляция (МСА)'!$AE$25:$BC$109,,MATCH(AN$8,'Калькуляция (МСА)'!$AE$8:$BC$8,0)),'Калькуляция (МСА)'!$F$25:$F$109,$F50,'Калькуляция (МСА)'!$G$25:$G$109,$G50),SUMIFS(INDEX('Калькуляция (5.9)'!$AJ$25:$BC$194,,MATCH(AN$8,'Калькуляция (5.9)'!$AJ$8:$BC$8,0)),'Калькуляция (5.9)'!$F$25:$F$194,$F50,'Калькуляция (5.9)'!$G$25:$G$194,$G50))</f>
        <v>0</v>
      </c>
      <c r="AO50" s="312">
        <f ca="1">IF(AM50=0,0,(AN50-AM50)/AM50*100)</f>
        <v>0</v>
      </c>
      <c r="AP50" s="313">
        <f ca="1">IF(method_reg="Метод сравнения аналогов",SUMIFS(INDEX('Калькуляция (МСА)'!$AE$25:$BC$109,,MATCH(AP$8,'Калькуляция (МСА)'!$AE$8:$BC$8,0)),'Калькуляция (МСА)'!$F$25:$F$109,$F50,'Калькуляция (МСА)'!$G$25:$G$109,$G50),SUMIFS(INDEX('Калькуляция (5.9)'!$AJ$25:$BC$194,,MATCH(AP$8,'Калькуляция (5.9)'!$AJ$8:$BC$8,0)),'Калькуляция (5.9)'!$F$25:$F$194,$F50,'Калькуляция (5.9)'!$G$25:$G$194,$G50))</f>
        <v>0</v>
      </c>
      <c r="AQ50" s="313">
        <f ca="1">IF(method_reg="Метод сравнения аналогов",SUMIFS(INDEX('Калькуляция (МСА)'!$AE$25:$BC$109,,MATCH(AQ$8,'Калькуляция (МСА)'!$AE$8:$BC$8,0)),'Калькуляция (МСА)'!$F$25:$F$109,$F50,'Калькуляция (МСА)'!$G$25:$G$109,$G50),SUMIFS(INDEX('Калькуляция (5.9)'!$AJ$25:$BC$194,,MATCH(AQ$8,'Калькуляция (5.9)'!$AJ$8:$BC$8,0)),'Калькуляция (5.9)'!$F$25:$F$194,$F50,'Калькуляция (5.9)'!$G$25:$G$194,$G50))</f>
        <v>0</v>
      </c>
      <c r="AR50" s="312">
        <f ca="1">IF(AP50=0,0,(AQ50-AP50)/AP50*100)</f>
        <v>0</v>
      </c>
      <c r="AS50" s="22">
        <f ca="1">IF(method_reg="Метод сравнения аналогов",SUMIFS(INDEX('Калькуляция (МСА)'!$AE$25:$BC$109,,MATCH(AS$8,'Калькуляция (МСА)'!$AE$8:$BC$8,0)),'Калькуляция (МСА)'!$F$25:$F$109,$F50,'Калькуляция (МСА)'!$G$25:$G$109,$G50),SUMIFS(INDEX('Калькуляция (5.9)'!$AJ$25:$BC$194,,MATCH(AS$8,'Калькуляция (5.9)'!$AJ$8:$BC$8,0)),'Калькуляция (5.9)'!$F$25:$F$194,$F50,'Калькуляция (5.9)'!$G$25:$G$194,$G50))</f>
        <v>0</v>
      </c>
      <c r="AT50" s="22">
        <f ca="1">IF(method_reg="Метод сравнения аналогов",SUMIFS(INDEX('Калькуляция (МСА)'!$AE$25:$BC$109,,MATCH(AT$8,'Калькуляция (МСА)'!$AE$8:$BC$8,0)),'Калькуляция (МСА)'!$F$25:$F$109,$F50,'Калькуляция (МСА)'!$G$25:$G$109,$G50),SUMIFS(INDEX('Калькуляция (5.9)'!$AJ$25:$BC$194,,MATCH(AT$8,'Калькуляция (5.9)'!$AJ$8:$BC$8,0)),'Калькуляция (5.9)'!$F$25:$F$194,$F50,'Калькуляция (5.9)'!$G$25:$G$194,$G50))</f>
        <v>0</v>
      </c>
      <c r="AU50" s="312">
        <f ca="1">IF(AS50=0,0,(AT50-AS50)/AS50*100)</f>
        <v>0</v>
      </c>
      <c r="AV50" s="22">
        <f ca="1">IF(method_reg="Метод сравнения аналогов",SUMIFS(INDEX('Калькуляция (МСА)'!$AE$25:$BC$109,,MATCH(AV$8,'Калькуляция (МСА)'!$AE$8:$BC$8,0)),'Калькуляция (МСА)'!$F$25:$F$109,$F50,'Калькуляция (МСА)'!$G$25:$G$109,$G50),SUMIFS(INDEX('Калькуляция (5.9)'!$AJ$25:$BC$194,,MATCH(AV$8,'Калькуляция (5.9)'!$AJ$8:$BC$8,0)),'Калькуляция (5.9)'!$F$25:$F$194,$F50,'Калькуляция (5.9)'!$G$25:$G$194,$G50))</f>
        <v>0</v>
      </c>
      <c r="AW50" s="22">
        <f ca="1">IF(method_reg="Метод сравнения аналогов",SUMIFS(INDEX('Калькуляция (МСА)'!$AE$25:$BC$109,,MATCH(AW$8,'Калькуляция (МСА)'!$AE$8:$BC$8,0)),'Калькуляция (МСА)'!$F$25:$F$109,$F50,'Калькуляция (МСА)'!$G$25:$G$109,$G50),SUMIFS(INDEX('Калькуляция (5.9)'!$AJ$25:$BC$194,,MATCH(AW$8,'Калькуляция (5.9)'!$AJ$8:$BC$8,0)),'Калькуляция (5.9)'!$F$25:$F$194,$F50,'Калькуляция (5.9)'!$G$25:$G$194,$G50))</f>
        <v>0</v>
      </c>
      <c r="AX50" s="312">
        <f ca="1">IF(AV50=0,0,(AW50-AV50)/AV50*100)</f>
        <v>0</v>
      </c>
      <c r="AY50" s="22">
        <f ca="1">IF(method_reg="Метод сравнения аналогов",SUMIFS(INDEX('Калькуляция (МСА)'!$AE$25:$BC$109,,MATCH(AY$8,'Калькуляция (МСА)'!$AE$8:$BC$8,0)),'Калькуляция (МСА)'!$F$25:$F$109,$F50,'Калькуляция (МСА)'!$G$25:$G$109,$G50),SUMIFS(INDEX('Калькуляция (5.9)'!$AJ$25:$BC$194,,MATCH(AY$8,'Калькуляция (5.9)'!$AJ$8:$BC$8,0)),'Калькуляция (5.9)'!$F$25:$F$194,$F50,'Калькуляция (5.9)'!$G$25:$G$194,$G50))</f>
        <v>0</v>
      </c>
      <c r="AZ50" s="22">
        <f ca="1">IF(method_reg="Метод сравнения аналогов",SUMIFS(INDEX('Калькуляция (МСА)'!$AE$25:$BC$109,,MATCH(AZ$8,'Калькуляция (МСА)'!$AE$8:$BC$8,0)),'Калькуляция (МСА)'!$F$25:$F$109,$F50,'Калькуляция (МСА)'!$G$25:$G$109,$G50),SUMIFS(INDEX('Калькуляция (5.9)'!$AJ$25:$BC$194,,MATCH(AZ$8,'Калькуляция (5.9)'!$AJ$8:$BC$8,0)),'Калькуляция (5.9)'!$F$25:$F$194,$F50,'Калькуляция (5.9)'!$G$25:$G$194,$G50))</f>
        <v>0</v>
      </c>
      <c r="BA50" s="312">
        <f ca="1">IF(AY50=0,0,(AZ50-AY50)/AY50*100)</f>
        <v>0</v>
      </c>
      <c r="BB50" s="22">
        <f ca="1">IF(method_reg="Метод сравнения аналогов",SUMIFS(INDEX('Калькуляция (МСА)'!$AE$25:$BC$109,,MATCH(BB$8,'Калькуляция (МСА)'!$AE$8:$BC$8,0)),'Калькуляция (МСА)'!$F$25:$F$109,$F50,'Калькуляция (МСА)'!$G$25:$G$109,$G50),SUMIFS(INDEX('Калькуляция (5.9)'!$AJ$25:$BC$194,,MATCH(BB$8,'Калькуляция (5.9)'!$AJ$8:$BC$8,0)),'Калькуляция (5.9)'!$F$25:$F$194,$F50,'Калькуляция (5.9)'!$G$25:$G$194,$G50))</f>
        <v>0</v>
      </c>
      <c r="BC50" s="22">
        <f ca="1">IF(method_reg="Метод сравнения аналогов",SUMIFS(INDEX('Калькуляция (МСА)'!$AE$25:$BC$109,,MATCH(BC$8,'Калькуляция (МСА)'!$AE$8:$BC$8,0)),'Калькуляция (МСА)'!$F$25:$F$109,$F50,'Калькуляция (МСА)'!$G$25:$G$109,$G50),SUMIFS(INDEX('Калькуляция (5.9)'!$AJ$25:$BC$194,,MATCH(BC$8,'Калькуляция (5.9)'!$AJ$8:$BC$8,0)),'Калькуляция (5.9)'!$F$25:$F$194,$F50,'Калькуляция (5.9)'!$G$25:$G$194,$G50))</f>
        <v>0</v>
      </c>
      <c r="BD50" s="312">
        <f ca="1">IF(BB50=0,0,(BC50-BB50)/BB50*100)</f>
        <v>0</v>
      </c>
      <c r="BE50" s="22">
        <f ca="1">IF(method_reg="Метод сравнения аналогов",SUMIFS(INDEX('Калькуляция (МСА)'!$AE$25:$BC$109,,MATCH(BE$8,'Калькуляция (МСА)'!$AE$8:$BC$8,0)),'Калькуляция (МСА)'!$F$25:$F$109,$F50,'Калькуляция (МСА)'!$G$25:$G$109,$G50),SUMIFS(INDEX('Калькуляция (5.9)'!$AJ$25:$BC$194,,MATCH(BE$8,'Калькуляция (5.9)'!$AJ$8:$BC$8,0)),'Калькуляция (5.9)'!$F$25:$F$194,$F50,'Калькуляция (5.9)'!$G$25:$G$194,$G50))</f>
        <v>0</v>
      </c>
      <c r="BF50" s="22">
        <f ca="1">IF(method_reg="Метод сравнения аналогов",SUMIFS(INDEX('Калькуляция (МСА)'!$AE$25:$BC$109,,MATCH(BF$8,'Калькуляция (МСА)'!$AE$8:$BC$8,0)),'Калькуляция (МСА)'!$F$25:$F$109,$F50,'Калькуляция (МСА)'!$G$25:$G$109,$G50),SUMIFS(INDEX('Калькуляция (5.9)'!$AJ$25:$BC$194,,MATCH(BF$8,'Калькуляция (5.9)'!$AJ$8:$BC$8,0)),'Калькуляция (5.9)'!$F$25:$F$194,$F50,'Калькуляция (5.9)'!$G$25:$G$194,$G50))</f>
        <v>0</v>
      </c>
      <c r="BG50" s="312">
        <f ca="1">IF(BE50=0,0,(BF50-BE50)/BE50*100)</f>
        <v>0</v>
      </c>
      <c r="BH50" s="22">
        <f>IF(BH52=0,0,(BH51*BH52+BH53*BH54*6)/BH52)</f>
        <v>0</v>
      </c>
      <c r="BI50" s="22">
        <f>IF(BI52=0,0,(BI51*BI52+BI53*BI54*6)/BI52)</f>
        <v>0</v>
      </c>
      <c r="BJ50" s="312">
        <f>IF(BH50=0,0,(BI50-BH50)/BH50*100)</f>
        <v>0</v>
      </c>
      <c r="BK50" s="22">
        <f>IF(BK52=0,0,(BK51*BK52+BK53*BK54*6)/BK52)</f>
        <v>0</v>
      </c>
      <c r="BL50" s="22">
        <f>IF(BL52=0,0,(BL51*BL52+BL53*BL54*6)/BL52)</f>
        <v>0</v>
      </c>
      <c r="BM50" s="312">
        <f>IF(BK50=0,0,(BL50-BK50)/BK50*100)</f>
        <v>0</v>
      </c>
      <c r="BN50" s="22">
        <f>IF(BN52=0,0,(BN51*BN52+BN53*BN54*6)/BN52)</f>
        <v>0</v>
      </c>
      <c r="BO50" s="22">
        <f>IF(BO52=0,0,(BO51*BO52+BO53*BO54*6)/BO52)</f>
        <v>0</v>
      </c>
      <c r="BP50" s="312">
        <f>IF(BN50=0,0,(BO50-BN50)/BN50*100)</f>
        <v>0</v>
      </c>
      <c r="BQ50" s="22">
        <f>IF(BQ52=0,0,(BQ51*BQ52+BQ53*BQ54*6)/BQ52)</f>
        <v>0</v>
      </c>
      <c r="BR50" s="22">
        <f>IF(BR52=0,0,(BR51*BR52+BR53*BR54*6)/BR52)</f>
        <v>0</v>
      </c>
      <c r="BS50" s="312">
        <f>IF(BQ50=0,0,(BR50-BQ50)/BQ50*100)</f>
        <v>0</v>
      </c>
      <c r="BT50" s="22">
        <f>IF(BT52=0,0,(BT51*BT52+BT53*BT54*6)/BT52)</f>
        <v>0</v>
      </c>
      <c r="BU50" s="22">
        <f>IF(BU52=0,0,(BU51*BU52+BU53*BU54*6)/BU52)</f>
        <v>0</v>
      </c>
      <c r="BV50" s="312">
        <f>IF(BT50=0,0,(BU50-BT50)/BT50*100)</f>
        <v>0</v>
      </c>
      <c r="BW50" s="22">
        <f>IF(BW52=0,0,(BW51*BW52+BW53*BW54*6)/BW52)</f>
        <v>0</v>
      </c>
      <c r="BX50" s="22">
        <f>IF(BX52=0,0,(BX51*BX52+BX53*BX54*6)/BX52)</f>
        <v>0</v>
      </c>
      <c r="BY50" s="312">
        <f>IF(BW50=0,0,(BX50-BW50)/BW50*100)</f>
        <v>0</v>
      </c>
      <c r="BZ50" s="22">
        <f>IF(BZ52=0,0,(BZ51*BZ52+BZ53*BZ54*6)/BZ52)</f>
        <v>0</v>
      </c>
      <c r="CA50" s="22">
        <f>IF(CA52=0,0,(CA51*CA52+CA53*CA54*6)/CA52)</f>
        <v>0</v>
      </c>
      <c r="CB50" s="312">
        <f>IF(BZ50=0,0,(CA50-BZ50)/BZ50*100)</f>
        <v>0</v>
      </c>
      <c r="CC50" s="22">
        <f>IF(CC52=0,0,(CC51*CC52+CC53*CC54*6)/CC52)</f>
        <v>0</v>
      </c>
      <c r="CD50" s="22">
        <f>IF(CD52=0,0,(CD51*CD52+CD53*CD54*6)/CD52)</f>
        <v>0</v>
      </c>
      <c r="CE50" s="312">
        <f>IF(CC50=0,0,(CD50-CC50)/CC50*100)</f>
        <v>0</v>
      </c>
      <c r="CF50" s="22">
        <f>IF(CF52=0,0,(CF51*CF52+CF53*CF54*6)/CF52)</f>
        <v>0</v>
      </c>
      <c r="CG50" s="22">
        <f>IF(CG52=0,0,(CG51*CG52+CG53*CG54*6)/CG52)</f>
        <v>0</v>
      </c>
      <c r="CH50" s="312">
        <f>IF(CF50=0,0,(CG50-CF50)/CF50*100)</f>
        <v>0</v>
      </c>
      <c r="CI50" s="22">
        <f>IF(CI52=0,0,(CI51*CI52+CI53*CI54*6)/CI52)</f>
        <v>0</v>
      </c>
      <c r="CJ50" s="22">
        <f>IF(CJ52=0,0,(CJ51*CJ52+CJ53*CJ54*6)/CJ52)</f>
        <v>0</v>
      </c>
      <c r="CK50" s="312">
        <f>IF(CI50=0,0,(CJ50-CI50)/CI50*100)</f>
        <v>0</v>
      </c>
      <c r="CL50" s="22">
        <f>IF(CL52=0,0,(CL51*CL52+CL53*CL54*6)/CL52)</f>
        <v>0</v>
      </c>
      <c r="CM50" s="22">
        <f>IF(CM52=0,0,(CM51*CM52+CM53*CM54*6)/CM52)</f>
        <v>0</v>
      </c>
      <c r="CN50" s="312">
        <f>IF(CL50=0,0,(CM50-CL50)/CL50*100)</f>
        <v>0</v>
      </c>
      <c r="CO50" s="22">
        <f>IF(CO52=0,0,(CO51*CO52+CO53*CO54*6)/CO52)</f>
        <v>0</v>
      </c>
      <c r="CP50" s="22">
        <f>IF(CP52=0,0,(CP51*CP52+CP53*CP54*6)/CP52)</f>
        <v>0</v>
      </c>
      <c r="CQ50" s="312">
        <f>IF(CO50=0,0,(CP50-CO50)/CO50*100)</f>
        <v>0</v>
      </c>
      <c r="CR50" s="22">
        <f>IF(CR52=0,0,(CR51*CR52+CR53*CR54*6)/CR52)</f>
        <v>0</v>
      </c>
      <c r="CS50" s="22">
        <f>IF(CS52=0,0,(CS51*CS52+CS53*CS54*6)/CS52)</f>
        <v>0</v>
      </c>
      <c r="CT50" s="312">
        <f>IF(CR50=0,0,(CS50-CR50)/CR50*100)</f>
        <v>0</v>
      </c>
      <c r="CU50" s="22">
        <f>IF(CU52=0,0,(CU51*CU52+CU53*CU54*6)/CU52)</f>
        <v>0</v>
      </c>
      <c r="CV50" s="22">
        <f>IF(CV52=0,0,(CV51*CV52+CV53*CV54*6)/CV52)</f>
        <v>0</v>
      </c>
      <c r="CW50" s="312">
        <f>IF(CU50=0,0,(CV50-CU50)/CU50*100)</f>
        <v>0</v>
      </c>
      <c r="CX50" s="22">
        <f>IF(CX52=0,0,(CX51*CX52+CX53*CX54*6)/CX52)</f>
        <v>0</v>
      </c>
      <c r="CY50" s="22">
        <f>IF(CY52=0,0,(CY51*CY52+CY53*CY54*6)/CY52)</f>
        <v>0</v>
      </c>
      <c r="CZ50" s="312">
        <f>IF(CX50=0,0,(CY50-CX50)/CX50*100)</f>
        <v>0</v>
      </c>
      <c r="DA50" s="22">
        <f>IF(DA52=0,0,(DA51*DA52+DA53*DA54*6)/DA52)</f>
        <v>0</v>
      </c>
      <c r="DB50" s="22">
        <f>IF(DB52=0,0,(DB51*DB52+DB53*DB54*6)/DB52)</f>
        <v>0</v>
      </c>
      <c r="DC50" s="312">
        <f>IF(DA50=0,0,(DB50-DA50)/DA50*100)</f>
        <v>0</v>
      </c>
      <c r="DD50" s="22">
        <f>IF(DD52=0,0,(DD51*DD52+DD53*DD54*6)/DD52)</f>
        <v>0</v>
      </c>
      <c r="DE50" s="22">
        <f>IF(DE52=0,0,(DE51*DE52+DE53*DE54*6)/DE52)</f>
        <v>0</v>
      </c>
      <c r="DF50" s="312">
        <f>IF(DD50=0,0,(DE50-DD50)/DD50*100)</f>
        <v>0</v>
      </c>
      <c r="DG50" s="22">
        <f>IF(DG52=0,0,(DG51*DG52+DG53*DG54*6)/DG52)</f>
        <v>0</v>
      </c>
      <c r="DH50" s="22">
        <f>IF(DH52=0,0,(DH51*DH52+DH53*DH54*6)/DH52)</f>
        <v>0</v>
      </c>
      <c r="DI50" s="312">
        <f>IF(DG50=0,0,(DH50-DG50)/DG50*100)</f>
        <v>0</v>
      </c>
      <c r="DJ50" s="22">
        <f>IF(DJ52=0,0,(DJ51*DJ52+DJ53*DJ54*6)/DJ52)</f>
        <v>0</v>
      </c>
      <c r="DK50" s="22">
        <f>IF(DK52=0,0,(DK51*DK52+DK53*DK54*6)/DK52)</f>
        <v>0</v>
      </c>
      <c r="DL50" s="312">
        <f>IF(DJ50=0,0,(DK50-DJ50)/DJ50*100)</f>
        <v>0</v>
      </c>
      <c r="DM50" s="22">
        <f>IF(DM52=0,0,(DM51*DM52+DM53*DM54*6)/DM52)</f>
        <v>0</v>
      </c>
      <c r="DN50" s="22">
        <f>IF(DN52=0,0,(DN51*DN52+DN53*DN54*6)/DN52)</f>
        <v>0</v>
      </c>
      <c r="DO50" s="312">
        <f>IF(DM50=0,0,(DN50-DM50)/DM50*100)</f>
        <v>0</v>
      </c>
      <c r="DP50" s="22">
        <f>IF(DP52=0,0,(DP51*DP52+DP53*DP54*6)/DP52)</f>
        <v>0</v>
      </c>
      <c r="DQ50" s="22">
        <f>IF(DQ52=0,0,(DQ51*DQ52+DQ53*DQ54*6)/DQ52)</f>
        <v>0</v>
      </c>
      <c r="DR50" s="312">
        <f>IF(DP50=0,0,(DQ50-DP50)/DP50*100)</f>
        <v>0</v>
      </c>
      <c r="DS50" s="22">
        <f>IF(DS52=0,0,(DS51*DS52+DS53*DS54*6)/DS52)</f>
        <v>0</v>
      </c>
      <c r="DT50" s="22">
        <f>IF(DT52=0,0,(DT51*DT52+DT53*DT54*6)/DT52)</f>
        <v>0</v>
      </c>
      <c r="DU50" s="312">
        <f>IF(DS50=0,0,(DT50-DS50)/DS50*100)</f>
        <v>0</v>
      </c>
      <c r="DV50" s="22">
        <f>IF(DV52=0,0,(DV51*DV52+DV53*DV54*6)/DV52)</f>
        <v>0</v>
      </c>
      <c r="DW50" s="22">
        <f>IF(DW52=0,0,(DW51*DW52+DW53*DW54*6)/DW52)</f>
        <v>0</v>
      </c>
      <c r="DX50" s="312">
        <f>IF(DV50=0,0,(DW50-DV50)/DV50*100)</f>
        <v>0</v>
      </c>
      <c r="DY50" s="22">
        <f>IF(DY52=0,0,(DY51*DY52+DY53*DY54*6)/DY52)</f>
        <v>0</v>
      </c>
      <c r="DZ50" s="22">
        <f>IF(DZ52=0,0,(DZ51*DZ52+DZ53*DZ54*6)/DZ52)</f>
        <v>0</v>
      </c>
      <c r="EA50" s="312">
        <f>IF(DY50=0,0,(DZ50-DY50)/DY50*100)</f>
        <v>0</v>
      </c>
      <c r="EB50" s="22">
        <f>IF(EB52=0,0,(EB51*EB52+EB53*EB54*6)/EB52)</f>
        <v>0</v>
      </c>
      <c r="EC50" s="22">
        <f>IF(EC52=0,0,(EC51*EC52+EC53*EC54*6)/EC52)</f>
        <v>0</v>
      </c>
      <c r="ED50" s="312">
        <f>IF(EB50=0,0,(EC50-EB50)/EB50*100)</f>
        <v>0</v>
      </c>
      <c r="EE50" s="22">
        <f>IF(EE52=0,0,(EE51*EE52+EE53*EE54*6)/EE52)</f>
        <v>0</v>
      </c>
      <c r="EF50" s="22">
        <f>IF(EF52=0,0,(EF51*EF52+EF53*EF54*6)/EF52)</f>
        <v>0</v>
      </c>
      <c r="EG50" s="312">
        <f>IF(EE50=0,0,(EF50-EE50)/EE50*100)</f>
        <v>0</v>
      </c>
      <c r="EH50" s="22">
        <f>IF(EH52=0,0,(EH51*EH52+EH53*EH54*6)/EH52)</f>
        <v>0</v>
      </c>
      <c r="EI50" s="22">
        <f>IF(EI52=0,0,(EI51*EI52+EI53*EI54*6)/EI52)</f>
        <v>0</v>
      </c>
      <c r="EJ50" s="312">
        <f>IF(EH50=0,0,(EI50-EH50)/EH50*100)</f>
        <v>0</v>
      </c>
      <c r="EK50" s="22">
        <f>IF(EK52=0,0,(EK51*EK52+EK53*EK54*6)/EK52)</f>
        <v>0</v>
      </c>
      <c r="EL50" s="22">
        <f>IF(EL52=0,0,(EL51*EL52+EL53*EL54*6)/EL52)</f>
        <v>0</v>
      </c>
      <c r="EM50" s="312">
        <f>IF(EK50=0,0,(EL50-EK50)/EK50*100)</f>
        <v>0</v>
      </c>
      <c r="EN50" s="22">
        <f>IF(EN52=0,0,(EN51*EN52+EN53*EN54*6)/EN52)</f>
        <v>0</v>
      </c>
      <c r="EO50" s="22">
        <f>IF(EO52=0,0,(EO51*EO52+EO53*EO54*6)/EO52)</f>
        <v>0</v>
      </c>
      <c r="EP50" s="312">
        <f>IF(EN50=0,0,(EO50-EN50)/EN50*100)</f>
        <v>0</v>
      </c>
      <c r="EQ50" s="22">
        <f>IF(EQ52=0,0,(EQ51*EQ52+EQ53*EQ54*6)/EQ52)</f>
        <v>0</v>
      </c>
      <c r="ER50" s="22">
        <f>IF(ER52=0,0,(ER51*ER52+ER53*ER54*6)/ER52)</f>
        <v>0</v>
      </c>
      <c r="ES50" s="312">
        <f>IF(EQ50=0,0,(ER50-EQ50)/EQ50*100)</f>
        <v>0</v>
      </c>
      <c r="ET50" s="22">
        <f>IF(ET52=0,0,(ET51*ET52+ET53*ET54*6)/ET52)</f>
        <v>0</v>
      </c>
      <c r="EU50" s="22">
        <f>IF(EU52=0,0,(EU51*EU52+EU53*EU54*6)/EU52)</f>
        <v>0</v>
      </c>
      <c r="EV50" s="312">
        <f>IF(ET50=0,0,(EU50-ET50)/ET50*100)</f>
        <v>0</v>
      </c>
      <c r="EW50" s="22">
        <f>IF(EW52=0,0,(EW51*EW52+EW53*EW54*6)/EW52)</f>
        <v>0</v>
      </c>
      <c r="EX50" s="22">
        <f>IF(EX52=0,0,(EX51*EX52+EX53*EX54*6)/EX52)</f>
        <v>0</v>
      </c>
      <c r="EY50" s="312">
        <f>IF(EW50=0,0,(EX50-EW50)/EW50*100)</f>
        <v>0</v>
      </c>
      <c r="EZ50" s="22">
        <f>IF(EZ52=0,0,(EZ51*EZ52+EZ53*EZ54*6)/EZ52)</f>
        <v>0</v>
      </c>
      <c r="FA50" s="22">
        <f>IF(FA52=0,0,(FA51*FA52+FA53*FA54*6)/FA52)</f>
        <v>0</v>
      </c>
      <c r="FB50" s="312">
        <f>IF(EZ50=0,0,(FA50-EZ50)/EZ50*100)</f>
        <v>0</v>
      </c>
      <c r="FC50" s="22">
        <f>IF(FC52=0,0,(FC51*FC52+FC53*FC54*6)/FC52)</f>
        <v>0</v>
      </c>
      <c r="FD50" s="22">
        <f>IF(FD52=0,0,(FD51*FD52+FD53*FD54*6)/FD52)</f>
        <v>0</v>
      </c>
      <c r="FE50" s="312">
        <f>IF(FC50=0,0,(FD50-FC50)/FC50*100)</f>
        <v>0</v>
      </c>
      <c r="FF50" s="22">
        <f>IF(FF52=0,0,(FF51*FF52+FF53*FF54*6)/FF52)</f>
        <v>0</v>
      </c>
      <c r="FG50" s="22">
        <f>IF(FG52=0,0,(FG51*FG52+FG53*FG54*6)/FG52)</f>
        <v>0</v>
      </c>
      <c r="FH50" s="312">
        <f>IF(FF50=0,0,(FG50-FF50)/FF50*100)</f>
        <v>0</v>
      </c>
      <c r="FI50" s="22">
        <f>IF(FI52=0,0,(FI51*FI52+FI53*FI54*6)/FI52)</f>
        <v>0</v>
      </c>
      <c r="FJ50" s="22">
        <f>IF(FJ52=0,0,(FJ51*FJ52+FJ53*FJ54*6)/FJ52)</f>
        <v>0</v>
      </c>
      <c r="FK50" s="312">
        <f>IF(FI50=0,0,(FJ50-FI50)/FI50*100)</f>
        <v>0</v>
      </c>
      <c r="FL50" s="22">
        <f>IF(FL52=0,0,(FL51*FL52+FL53*FL54*6)/FL52)</f>
        <v>0</v>
      </c>
      <c r="FM50" s="22">
        <f>IF(FM52=0,0,(FM51*FM52+FM53*FM54*6)/FM52)</f>
        <v>0</v>
      </c>
      <c r="FN50" s="312">
        <f>IF(FL50=0,0,(FM50-FL50)/FL50*100)</f>
        <v>0</v>
      </c>
      <c r="FO50" s="22">
        <f>IF(FO52=0,0,(FO51*FO52+FO53*FO54*6)/FO52)</f>
        <v>0</v>
      </c>
      <c r="FP50" s="22">
        <f>IF(FP52=0,0,(FP51*FP52+FP53*FP54*6)/FP52)</f>
        <v>0</v>
      </c>
      <c r="FQ50" s="312">
        <f>IF(FO50=0,0,(FP50-FO50)/FO50*100)</f>
        <v>0</v>
      </c>
      <c r="FR50" s="22">
        <f>IF(FR52=0,0,(FR51*FR52+FR53*FR54*6)/FR52)</f>
        <v>0</v>
      </c>
      <c r="FS50" s="22">
        <f>IF(FS52=0,0,(FS51*FS52+FS53*FS54*6)/FS52)</f>
        <v>0</v>
      </c>
      <c r="FT50" s="312">
        <f>IF(FR50=0,0,(FS50-FR50)/FR50*100)</f>
        <v>0</v>
      </c>
      <c r="FU50" s="22">
        <f>IF(FU52=0,0,(FU51*FU52+FU53*FU54*6)/FU52)</f>
        <v>0</v>
      </c>
      <c r="FV50" s="22">
        <f>IF(FV52=0,0,(FV51*FV52+FV53*FV54*6)/FV52)</f>
        <v>0</v>
      </c>
      <c r="FW50" s="312">
        <f>IF(FU50=0,0,(FV50-FU50)/FU50*100)</f>
        <v>0</v>
      </c>
      <c r="FZ50" s="981" t="s">
        <v>2198</v>
      </c>
      <c r="GA50" s="981"/>
      <c r="GB50" s="981"/>
      <c r="GC50" s="981"/>
      <c r="GD50" s="981"/>
    </row>
    <row r="51" spans="2:186" ht="15.4" hidden="1" customHeight="1">
      <c r="B51" s="813" t="b" cm="1">
        <f t="array" ref="B51">B50</f>
        <v>0</v>
      </c>
      <c r="C51" s="1118" t="s">
        <v>2199</v>
      </c>
      <c r="D51" s="1087" t="s">
        <v>2200</v>
      </c>
      <c r="E51" s="676">
        <v>15.8</v>
      </c>
      <c r="F51" s="779" cm="1">
        <f t="array" aca="1" ref="F51" ca="1">OFFSET(G51,-1,-1)</f>
        <v>0</v>
      </c>
      <c r="G51" s="620" t="s">
        <v>1820</v>
      </c>
      <c r="H51" s="163" t="s">
        <v>2201</v>
      </c>
      <c r="I51" s="163" t="s">
        <v>2148</v>
      </c>
      <c r="J51" s="1108"/>
      <c r="K51" s="1108" cm="1">
        <f t="array" aca="1" ref="K51" ca="1">OFFSET(J51,-1,1)</f>
        <v>0</v>
      </c>
      <c r="L51" s="1108"/>
      <c r="M51" s="1108" t="s">
        <v>1782</v>
      </c>
      <c r="N51" s="1108" t="s">
        <v>2151</v>
      </c>
      <c r="O51" s="1109" t="s">
        <v>2152</v>
      </c>
      <c r="P51" s="1108" t="s">
        <v>2202</v>
      </c>
      <c r="Q51" s="1108"/>
      <c r="T51" s="687" t="b" cm="1">
        <f t="array" aca="1" ref="T51" ca="1">T50</f>
        <v>0</v>
      </c>
      <c r="X51" s="1726"/>
      <c r="Z51" s="1726"/>
      <c r="AB51" s="223" t="s">
        <v>2203</v>
      </c>
      <c r="AC51" s="123" t="s">
        <v>929</v>
      </c>
      <c r="AD51" s="22">
        <f ca="1">IF(method_reg="Метод экономически обоснованных расходов",SUMIFS('Калькуляция (4.6)'!AJ$25:AJ$229,'Калькуляция (4.6)'!$F$25:$F$229,$F51,'Калькуляция (4.6)'!$G$25:$G$229,$G51),IF(method_reg="Метод сравнения аналогов",SUMIFS(INDEX('Калькуляция (МСА)'!$AE$25:$BC$109,,MATCH(AD$8,'Калькуляция (МСА)'!$AE$8:$BC$8,0)),'Калькуляция (МСА)'!$F$25:$F$109,$F51,'Калькуляция (МСА)'!$G$25:$G$109,$G51),SUMIFS(INDEX('Калькуляция (5.9)'!$AJ$25:$BC$194,,MATCH(AD$8,'Калькуляция (5.9)'!$AJ$8:$BC$8,0)),'Калькуляция (5.9)'!$F$25:$F$194,$F51,'Калькуляция (5.9)'!$G$25:$G$194,$G51)))</f>
        <v>0</v>
      </c>
      <c r="AE51" s="22">
        <f ca="1">IF(method_reg="Метод экономически обоснованных расходов",SUMIFS('Калькуляция (4.6)'!AK$25:AK$229,'Калькуляция (4.6)'!$F$25:$F$229,$F51,'Калькуляция (4.6)'!$G$25:$G$229,$G51),IF(method_reg="Метод сравнения аналогов",SUMIFS(INDEX('Калькуляция (МСА)'!$AE$25:$BC$109,,MATCH(AE$8,'Калькуляция (МСА)'!$AE$8:$BC$8,0)),'Калькуляция (МСА)'!$F$25:$F$109,$F51,'Калькуляция (МСА)'!$G$25:$G$109,$G51),SUMIFS(INDEX('Калькуляция (5.9)'!$AJ$25:$BC$194,,MATCH(AE$8,'Калькуляция (5.9)'!$AJ$8:$BC$8,0)),'Калькуляция (5.9)'!$F$25:$F$194,$F51,'Калькуляция (5.9)'!$G$25:$G$194,$G51)))</f>
        <v>0</v>
      </c>
      <c r="AF51" s="312">
        <f ca="1">IF(AD51=0,0,(AE51-AD51)/AD51*100)</f>
        <v>0</v>
      </c>
      <c r="AG51" s="313">
        <f ca="1">IF(method_reg="Метод сравнения аналогов",SUMIFS(INDEX('Калькуляция (МСА)'!$AE$25:$BC$109,,MATCH(AG$8,'Калькуляция (МСА)'!$AE$8:$BC$8,0)),'Калькуляция (МСА)'!$F$25:$F$109,$F51,'Калькуляция (МСА)'!$G$25:$G$109,$G51),SUMIFS(INDEX('Калькуляция (5.9)'!$AJ$25:$BC$194,,MATCH(AG$8,'Калькуляция (5.9)'!$AJ$8:$BC$8,0)),'Калькуляция (5.9)'!$F$25:$F$194,$F51,'Калькуляция (5.9)'!$G$25:$G$194,$G51))</f>
        <v>0</v>
      </c>
      <c r="AH51" s="313">
        <f ca="1">IF(method_reg="Метод сравнения аналогов",SUMIFS(INDEX('Калькуляция (МСА)'!$AE$25:$BC$109,,MATCH(AH$8,'Калькуляция (МСА)'!$AE$8:$BC$8,0)),'Калькуляция (МСА)'!$F$25:$F$109,$F51,'Калькуляция (МСА)'!$G$25:$G$109,$G51),SUMIFS(INDEX('Калькуляция (5.9)'!$AJ$25:$BC$194,,MATCH(AH$8,'Калькуляция (5.9)'!$AJ$8:$BC$8,0)),'Калькуляция (5.9)'!$F$25:$F$194,$F51,'Калькуляция (5.9)'!$G$25:$G$194,$G51))</f>
        <v>0</v>
      </c>
      <c r="AI51" s="312">
        <f ca="1">IF(AG51=0,0,(AH51-AG51)/AG51*100)</f>
        <v>0</v>
      </c>
      <c r="AJ51" s="313">
        <f ca="1">IF(method_reg="Метод сравнения аналогов",SUMIFS(INDEX('Калькуляция (МСА)'!$AE$25:$BC$109,,MATCH(AJ$8,'Калькуляция (МСА)'!$AE$8:$BC$8,0)),'Калькуляция (МСА)'!$F$25:$F$109,$F51,'Калькуляция (МСА)'!$G$25:$G$109,$G51),SUMIFS(INDEX('Калькуляция (5.9)'!$AJ$25:$BC$194,,MATCH(AJ$8,'Калькуляция (5.9)'!$AJ$8:$BC$8,0)),'Калькуляция (5.9)'!$F$25:$F$194,$F51,'Калькуляция (5.9)'!$G$25:$G$194,$G51))</f>
        <v>0</v>
      </c>
      <c r="AK51" s="313">
        <f ca="1">IF(method_reg="Метод сравнения аналогов",SUMIFS(INDEX('Калькуляция (МСА)'!$AE$25:$BC$109,,MATCH(AK$8,'Калькуляция (МСА)'!$AE$8:$BC$8,0)),'Калькуляция (МСА)'!$F$25:$F$109,$F51,'Калькуляция (МСА)'!$G$25:$G$109,$G51),SUMIFS(INDEX('Калькуляция (5.9)'!$AJ$25:$BC$194,,MATCH(AK$8,'Калькуляция (5.9)'!$AJ$8:$BC$8,0)),'Калькуляция (5.9)'!$F$25:$F$194,$F51,'Калькуляция (5.9)'!$G$25:$G$194,$G51))</f>
        <v>0</v>
      </c>
      <c r="AL51" s="312">
        <f ca="1">IF(AJ51=0,0,(AK51-AJ51)/AJ51*100)</f>
        <v>0</v>
      </c>
      <c r="AM51" s="313">
        <f ca="1">IF(method_reg="Метод сравнения аналогов",SUMIFS(INDEX('Калькуляция (МСА)'!$AE$25:$BC$109,,MATCH(AM$8,'Калькуляция (МСА)'!$AE$8:$BC$8,0)),'Калькуляция (МСА)'!$F$25:$F$109,$F51,'Калькуляция (МСА)'!$G$25:$G$109,$G51),SUMIFS(INDEX('Калькуляция (5.9)'!$AJ$25:$BC$194,,MATCH(AM$8,'Калькуляция (5.9)'!$AJ$8:$BC$8,0)),'Калькуляция (5.9)'!$F$25:$F$194,$F51,'Калькуляция (5.9)'!$G$25:$G$194,$G51))</f>
        <v>0</v>
      </c>
      <c r="AN51" s="313">
        <f ca="1">IF(method_reg="Метод сравнения аналогов",SUMIFS(INDEX('Калькуляция (МСА)'!$AE$25:$BC$109,,MATCH(AN$8,'Калькуляция (МСА)'!$AE$8:$BC$8,0)),'Калькуляция (МСА)'!$F$25:$F$109,$F51,'Калькуляция (МСА)'!$G$25:$G$109,$G51),SUMIFS(INDEX('Калькуляция (5.9)'!$AJ$25:$BC$194,,MATCH(AN$8,'Калькуляция (5.9)'!$AJ$8:$BC$8,0)),'Калькуляция (5.9)'!$F$25:$F$194,$F51,'Калькуляция (5.9)'!$G$25:$G$194,$G51))</f>
        <v>0</v>
      </c>
      <c r="AO51" s="312">
        <f ca="1">IF(AM51=0,0,(AN51-AM51)/AM51*100)</f>
        <v>0</v>
      </c>
      <c r="AP51" s="313">
        <f ca="1">IF(method_reg="Метод сравнения аналогов",SUMIFS(INDEX('Калькуляция (МСА)'!$AE$25:$BC$109,,MATCH(AP$8,'Калькуляция (МСА)'!$AE$8:$BC$8,0)),'Калькуляция (МСА)'!$F$25:$F$109,$F51,'Калькуляция (МСА)'!$G$25:$G$109,$G51),SUMIFS(INDEX('Калькуляция (5.9)'!$AJ$25:$BC$194,,MATCH(AP$8,'Калькуляция (5.9)'!$AJ$8:$BC$8,0)),'Калькуляция (5.9)'!$F$25:$F$194,$F51,'Калькуляция (5.9)'!$G$25:$G$194,$G51))</f>
        <v>0</v>
      </c>
      <c r="AQ51" s="313">
        <f ca="1">IF(method_reg="Метод сравнения аналогов",SUMIFS(INDEX('Калькуляция (МСА)'!$AE$25:$BC$109,,MATCH(AQ$8,'Калькуляция (МСА)'!$AE$8:$BC$8,0)),'Калькуляция (МСА)'!$F$25:$F$109,$F51,'Калькуляция (МСА)'!$G$25:$G$109,$G51),SUMIFS(INDEX('Калькуляция (5.9)'!$AJ$25:$BC$194,,MATCH(AQ$8,'Калькуляция (5.9)'!$AJ$8:$BC$8,0)),'Калькуляция (5.9)'!$F$25:$F$194,$F51,'Калькуляция (5.9)'!$G$25:$G$194,$G51))</f>
        <v>0</v>
      </c>
      <c r="AR51" s="312">
        <f ca="1">IF(AP51=0,0,(AQ51-AP51)/AP51*100)</f>
        <v>0</v>
      </c>
      <c r="AS51" s="22">
        <f ca="1">IF(method_reg="Метод сравнения аналогов",SUMIFS(INDEX('Калькуляция (МСА)'!$AE$25:$BC$109,,MATCH(AS$8,'Калькуляция (МСА)'!$AE$8:$BC$8,0)),'Калькуляция (МСА)'!$F$25:$F$109,$F51,'Калькуляция (МСА)'!$G$25:$G$109,$G51),SUMIFS(INDEX('Калькуляция (5.9)'!$AJ$25:$BC$194,,MATCH(AS$8,'Калькуляция (5.9)'!$AJ$8:$BC$8,0)),'Калькуляция (5.9)'!$F$25:$F$194,$F51,'Калькуляция (5.9)'!$G$25:$G$194,$G51))</f>
        <v>0</v>
      </c>
      <c r="AT51" s="22">
        <f ca="1">IF(method_reg="Метод сравнения аналогов",SUMIFS(INDEX('Калькуляция (МСА)'!$AE$25:$BC$109,,MATCH(AT$8,'Калькуляция (МСА)'!$AE$8:$BC$8,0)),'Калькуляция (МСА)'!$F$25:$F$109,$F51,'Калькуляция (МСА)'!$G$25:$G$109,$G51),SUMIFS(INDEX('Калькуляция (5.9)'!$AJ$25:$BC$194,,MATCH(AT$8,'Калькуляция (5.9)'!$AJ$8:$BC$8,0)),'Калькуляция (5.9)'!$F$25:$F$194,$F51,'Калькуляция (5.9)'!$G$25:$G$194,$G51))</f>
        <v>0</v>
      </c>
      <c r="AU51" s="312">
        <f ca="1">IF(AS51=0,0,(AT51-AS51)/AS51*100)</f>
        <v>0</v>
      </c>
      <c r="AV51" s="22">
        <f ca="1">IF(method_reg="Метод сравнения аналогов",SUMIFS(INDEX('Калькуляция (МСА)'!$AE$25:$BC$109,,MATCH(AV$8,'Калькуляция (МСА)'!$AE$8:$BC$8,0)),'Калькуляция (МСА)'!$F$25:$F$109,$F51,'Калькуляция (МСА)'!$G$25:$G$109,$G51),SUMIFS(INDEX('Калькуляция (5.9)'!$AJ$25:$BC$194,,MATCH(AV$8,'Калькуляция (5.9)'!$AJ$8:$BC$8,0)),'Калькуляция (5.9)'!$F$25:$F$194,$F51,'Калькуляция (5.9)'!$G$25:$G$194,$G51))</f>
        <v>0</v>
      </c>
      <c r="AW51" s="22">
        <f ca="1">IF(method_reg="Метод сравнения аналогов",SUMIFS(INDEX('Калькуляция (МСА)'!$AE$25:$BC$109,,MATCH(AW$8,'Калькуляция (МСА)'!$AE$8:$BC$8,0)),'Калькуляция (МСА)'!$F$25:$F$109,$F51,'Калькуляция (МСА)'!$G$25:$G$109,$G51),SUMIFS(INDEX('Калькуляция (5.9)'!$AJ$25:$BC$194,,MATCH(AW$8,'Калькуляция (5.9)'!$AJ$8:$BC$8,0)),'Калькуляция (5.9)'!$F$25:$F$194,$F51,'Калькуляция (5.9)'!$G$25:$G$194,$G51))</f>
        <v>0</v>
      </c>
      <c r="AX51" s="312">
        <f ca="1">IF(AV51=0,0,(AW51-AV51)/AV51*100)</f>
        <v>0</v>
      </c>
      <c r="AY51" s="22">
        <f ca="1">IF(method_reg="Метод сравнения аналогов",SUMIFS(INDEX('Калькуляция (МСА)'!$AE$25:$BC$109,,MATCH(AY$8,'Калькуляция (МСА)'!$AE$8:$BC$8,0)),'Калькуляция (МСА)'!$F$25:$F$109,$F51,'Калькуляция (МСА)'!$G$25:$G$109,$G51),SUMIFS(INDEX('Калькуляция (5.9)'!$AJ$25:$BC$194,,MATCH(AY$8,'Калькуляция (5.9)'!$AJ$8:$BC$8,0)),'Калькуляция (5.9)'!$F$25:$F$194,$F51,'Калькуляция (5.9)'!$G$25:$G$194,$G51))</f>
        <v>0</v>
      </c>
      <c r="AZ51" s="22">
        <f ca="1">IF(method_reg="Метод сравнения аналогов",SUMIFS(INDEX('Калькуляция (МСА)'!$AE$25:$BC$109,,MATCH(AZ$8,'Калькуляция (МСА)'!$AE$8:$BC$8,0)),'Калькуляция (МСА)'!$F$25:$F$109,$F51,'Калькуляция (МСА)'!$G$25:$G$109,$G51),SUMIFS(INDEX('Калькуляция (5.9)'!$AJ$25:$BC$194,,MATCH(AZ$8,'Калькуляция (5.9)'!$AJ$8:$BC$8,0)),'Калькуляция (5.9)'!$F$25:$F$194,$F51,'Калькуляция (5.9)'!$G$25:$G$194,$G51))</f>
        <v>0</v>
      </c>
      <c r="BA51" s="312">
        <f ca="1">IF(AY51=0,0,(AZ51-AY51)/AY51*100)</f>
        <v>0</v>
      </c>
      <c r="BB51" s="22">
        <f ca="1">IF(method_reg="Метод сравнения аналогов",SUMIFS(INDEX('Калькуляция (МСА)'!$AE$25:$BC$109,,MATCH(BB$8,'Калькуляция (МСА)'!$AE$8:$BC$8,0)),'Калькуляция (МСА)'!$F$25:$F$109,$F51,'Калькуляция (МСА)'!$G$25:$G$109,$G51),SUMIFS(INDEX('Калькуляция (5.9)'!$AJ$25:$BC$194,,MATCH(BB$8,'Калькуляция (5.9)'!$AJ$8:$BC$8,0)),'Калькуляция (5.9)'!$F$25:$F$194,$F51,'Калькуляция (5.9)'!$G$25:$G$194,$G51))</f>
        <v>0</v>
      </c>
      <c r="BC51" s="22">
        <f ca="1">IF(method_reg="Метод сравнения аналогов",SUMIFS(INDEX('Калькуляция (МСА)'!$AE$25:$BC$109,,MATCH(BC$8,'Калькуляция (МСА)'!$AE$8:$BC$8,0)),'Калькуляция (МСА)'!$F$25:$F$109,$F51,'Калькуляция (МСА)'!$G$25:$G$109,$G51),SUMIFS(INDEX('Калькуляция (5.9)'!$AJ$25:$BC$194,,MATCH(BC$8,'Калькуляция (5.9)'!$AJ$8:$BC$8,0)),'Калькуляция (5.9)'!$F$25:$F$194,$F51,'Калькуляция (5.9)'!$G$25:$G$194,$G51))</f>
        <v>0</v>
      </c>
      <c r="BD51" s="312">
        <f ca="1">IF(BB51=0,0,(BC51-BB51)/BB51*100)</f>
        <v>0</v>
      </c>
      <c r="BE51" s="22">
        <f ca="1">IF(method_reg="Метод сравнения аналогов",SUMIFS(INDEX('Калькуляция (МСА)'!$AE$25:$BC$109,,MATCH(BE$8,'Калькуляция (МСА)'!$AE$8:$BC$8,0)),'Калькуляция (МСА)'!$F$25:$F$109,$F51,'Калькуляция (МСА)'!$G$25:$G$109,$G51),SUMIFS(INDEX('Калькуляция (5.9)'!$AJ$25:$BC$194,,MATCH(BE$8,'Калькуляция (5.9)'!$AJ$8:$BC$8,0)),'Калькуляция (5.9)'!$F$25:$F$194,$F51,'Калькуляция (5.9)'!$G$25:$G$194,$G51))</f>
        <v>0</v>
      </c>
      <c r="BF51" s="22">
        <f ca="1">IF(method_reg="Метод сравнения аналогов",SUMIFS(INDEX('Калькуляция (МСА)'!$AE$25:$BC$109,,MATCH(BF$8,'Калькуляция (МСА)'!$AE$8:$BC$8,0)),'Калькуляция (МСА)'!$F$25:$F$109,$F51,'Калькуляция (МСА)'!$G$25:$G$109,$G51),SUMIFS(INDEX('Калькуляция (5.9)'!$AJ$25:$BC$194,,MATCH(BF$8,'Калькуляция (5.9)'!$AJ$8:$BC$8,0)),'Калькуляция (5.9)'!$F$25:$F$194,$F51,'Калькуляция (5.9)'!$G$25:$G$194,$G51))</f>
        <v>0</v>
      </c>
      <c r="BG51" s="312">
        <f ca="1">IF(BE51=0,0,(BF51-BE51)/BE51*100)</f>
        <v>0</v>
      </c>
      <c r="BH51" s="22"/>
      <c r="BI51" s="22"/>
      <c r="BJ51" s="312">
        <f>IF(BH51=0,0,(BI51-BH51)/BH51*100)</f>
        <v>0</v>
      </c>
      <c r="BK51" s="22"/>
      <c r="BL51" s="22"/>
      <c r="BM51" s="312">
        <f>IF(BK51=0,0,(BL51-BK51)/BK51*100)</f>
        <v>0</v>
      </c>
      <c r="BN51" s="22"/>
      <c r="BO51" s="22"/>
      <c r="BP51" s="312">
        <f>IF(BN51=0,0,(BO51-BN51)/BN51*100)</f>
        <v>0</v>
      </c>
      <c r="BQ51" s="22"/>
      <c r="BR51" s="22"/>
      <c r="BS51" s="312">
        <f>IF(BQ51=0,0,(BR51-BQ51)/BQ51*100)</f>
        <v>0</v>
      </c>
      <c r="BT51" s="22"/>
      <c r="BU51" s="22"/>
      <c r="BV51" s="312">
        <f>IF(BT51=0,0,(BU51-BT51)/BT51*100)</f>
        <v>0</v>
      </c>
      <c r="BW51" s="22"/>
      <c r="BX51" s="22"/>
      <c r="BY51" s="312">
        <f>IF(BW51=0,0,(BX51-BW51)/BW51*100)</f>
        <v>0</v>
      </c>
      <c r="BZ51" s="22"/>
      <c r="CA51" s="22"/>
      <c r="CB51" s="312">
        <f>IF(BZ51=0,0,(CA51-BZ51)/BZ51*100)</f>
        <v>0</v>
      </c>
      <c r="CC51" s="22"/>
      <c r="CD51" s="22"/>
      <c r="CE51" s="312">
        <f>IF(CC51=0,0,(CD51-CC51)/CC51*100)</f>
        <v>0</v>
      </c>
      <c r="CF51" s="22"/>
      <c r="CG51" s="22"/>
      <c r="CH51" s="312">
        <f>IF(CF51=0,0,(CG51-CF51)/CF51*100)</f>
        <v>0</v>
      </c>
      <c r="CI51" s="22"/>
      <c r="CJ51" s="22"/>
      <c r="CK51" s="312">
        <f>IF(CI51=0,0,(CJ51-CI51)/CI51*100)</f>
        <v>0</v>
      </c>
      <c r="CL51" s="22"/>
      <c r="CM51" s="22"/>
      <c r="CN51" s="312">
        <f>IF(CL51=0,0,(CM51-CL51)/CL51*100)</f>
        <v>0</v>
      </c>
      <c r="CO51" s="22"/>
      <c r="CP51" s="22"/>
      <c r="CQ51" s="312">
        <f>IF(CO51=0,0,(CP51-CO51)/CO51*100)</f>
        <v>0</v>
      </c>
      <c r="CR51" s="22"/>
      <c r="CS51" s="22"/>
      <c r="CT51" s="312">
        <f>IF(CR51=0,0,(CS51-CR51)/CR51*100)</f>
        <v>0</v>
      </c>
      <c r="CU51" s="22"/>
      <c r="CV51" s="22"/>
      <c r="CW51" s="312">
        <f>IF(CU51=0,0,(CV51-CU51)/CU51*100)</f>
        <v>0</v>
      </c>
      <c r="CX51" s="22"/>
      <c r="CY51" s="22"/>
      <c r="CZ51" s="312">
        <f>IF(CX51=0,0,(CY51-CX51)/CX51*100)</f>
        <v>0</v>
      </c>
      <c r="DA51" s="22"/>
      <c r="DB51" s="22"/>
      <c r="DC51" s="312">
        <f>IF(DA51=0,0,(DB51-DA51)/DA51*100)</f>
        <v>0</v>
      </c>
      <c r="DD51" s="22"/>
      <c r="DE51" s="22"/>
      <c r="DF51" s="312">
        <f>IF(DD51=0,0,(DE51-DD51)/DD51*100)</f>
        <v>0</v>
      </c>
      <c r="DG51" s="22"/>
      <c r="DH51" s="22"/>
      <c r="DI51" s="312">
        <f>IF(DG51=0,0,(DH51-DG51)/DG51*100)</f>
        <v>0</v>
      </c>
      <c r="DJ51" s="22"/>
      <c r="DK51" s="22"/>
      <c r="DL51" s="312">
        <f>IF(DJ51=0,0,(DK51-DJ51)/DJ51*100)</f>
        <v>0</v>
      </c>
      <c r="DM51" s="22"/>
      <c r="DN51" s="22"/>
      <c r="DO51" s="312">
        <f>IF(DM51=0,0,(DN51-DM51)/DM51*100)</f>
        <v>0</v>
      </c>
      <c r="DP51" s="22"/>
      <c r="DQ51" s="22"/>
      <c r="DR51" s="312">
        <f>IF(DP51=0,0,(DQ51-DP51)/DP51*100)</f>
        <v>0</v>
      </c>
      <c r="DS51" s="22"/>
      <c r="DT51" s="22"/>
      <c r="DU51" s="312">
        <f>IF(DS51=0,0,(DT51-DS51)/DS51*100)</f>
        <v>0</v>
      </c>
      <c r="DV51" s="22"/>
      <c r="DW51" s="22"/>
      <c r="DX51" s="312">
        <f>IF(DV51=0,0,(DW51-DV51)/DV51*100)</f>
        <v>0</v>
      </c>
      <c r="DY51" s="22"/>
      <c r="DZ51" s="22"/>
      <c r="EA51" s="312">
        <f>IF(DY51=0,0,(DZ51-DY51)/DY51*100)</f>
        <v>0</v>
      </c>
      <c r="EB51" s="22"/>
      <c r="EC51" s="22"/>
      <c r="ED51" s="312">
        <f>IF(EB51=0,0,(EC51-EB51)/EB51*100)</f>
        <v>0</v>
      </c>
      <c r="EE51" s="22"/>
      <c r="EF51" s="22"/>
      <c r="EG51" s="312">
        <f>IF(EE51=0,0,(EF51-EE51)/EE51*100)</f>
        <v>0</v>
      </c>
      <c r="EH51" s="22"/>
      <c r="EI51" s="22"/>
      <c r="EJ51" s="312">
        <f>IF(EH51=0,0,(EI51-EH51)/EH51*100)</f>
        <v>0</v>
      </c>
      <c r="EK51" s="22"/>
      <c r="EL51" s="22"/>
      <c r="EM51" s="312">
        <f>IF(EK51=0,0,(EL51-EK51)/EK51*100)</f>
        <v>0</v>
      </c>
      <c r="EN51" s="22"/>
      <c r="EO51" s="22"/>
      <c r="EP51" s="312">
        <f>IF(EN51=0,0,(EO51-EN51)/EN51*100)</f>
        <v>0</v>
      </c>
      <c r="EQ51" s="22"/>
      <c r="ER51" s="22"/>
      <c r="ES51" s="312">
        <f>IF(EQ51=0,0,(ER51-EQ51)/EQ51*100)</f>
        <v>0</v>
      </c>
      <c r="ET51" s="22"/>
      <c r="EU51" s="22"/>
      <c r="EV51" s="312">
        <f>IF(ET51=0,0,(EU51-ET51)/ET51*100)</f>
        <v>0</v>
      </c>
      <c r="EW51" s="22"/>
      <c r="EX51" s="22"/>
      <c r="EY51" s="312">
        <f>IF(EW51=0,0,(EX51-EW51)/EW51*100)</f>
        <v>0</v>
      </c>
      <c r="EZ51" s="22"/>
      <c r="FA51" s="22"/>
      <c r="FB51" s="312">
        <f>IF(EZ51=0,0,(FA51-EZ51)/EZ51*100)</f>
        <v>0</v>
      </c>
      <c r="FC51" s="22"/>
      <c r="FD51" s="22"/>
      <c r="FE51" s="312">
        <f>IF(FC51=0,0,(FD51-FC51)/FC51*100)</f>
        <v>0</v>
      </c>
      <c r="FF51" s="22"/>
      <c r="FG51" s="22"/>
      <c r="FH51" s="312">
        <f>IF(FF51=0,0,(FG51-FF51)/FF51*100)</f>
        <v>0</v>
      </c>
      <c r="FI51" s="22"/>
      <c r="FJ51" s="22"/>
      <c r="FK51" s="312">
        <f>IF(FI51=0,0,(FJ51-FI51)/FI51*100)</f>
        <v>0</v>
      </c>
      <c r="FL51" s="22"/>
      <c r="FM51" s="22"/>
      <c r="FN51" s="312">
        <f>IF(FL51=0,0,(FM51-FL51)/FL51*100)</f>
        <v>0</v>
      </c>
      <c r="FO51" s="22"/>
      <c r="FP51" s="22"/>
      <c r="FQ51" s="312">
        <f>IF(FO51=0,0,(FP51-FO51)/FO51*100)</f>
        <v>0</v>
      </c>
      <c r="FR51" s="22"/>
      <c r="FS51" s="22"/>
      <c r="FT51" s="312">
        <f>IF(FR51=0,0,(FS51-FR51)/FR51*100)</f>
        <v>0</v>
      </c>
      <c r="FU51" s="22"/>
      <c r="FV51" s="22"/>
      <c r="FW51" s="312">
        <f>IF(FU51=0,0,(FV51-FU51)/FU51*100)</f>
        <v>0</v>
      </c>
      <c r="FZ51" s="981" t="s">
        <v>2204</v>
      </c>
      <c r="GA51" s="981"/>
      <c r="GB51" s="981"/>
      <c r="GC51" s="981"/>
      <c r="GD51" s="981"/>
    </row>
    <row r="52" spans="2:186" ht="15.4" hidden="1" customHeight="1">
      <c r="B52" s="813" t="b" cm="1">
        <f t="array" ref="B52">B51</f>
        <v>0</v>
      </c>
      <c r="C52" s="1118" t="s">
        <v>1779</v>
      </c>
      <c r="D52" s="1087" t="s">
        <v>1780</v>
      </c>
      <c r="E52" s="676">
        <v>15.8</v>
      </c>
      <c r="F52" s="779" cm="1">
        <f t="array" aca="1" ref="F52" ca="1">OFFSET(G52,-1,-1)</f>
        <v>0</v>
      </c>
      <c r="G52" s="143" t="s">
        <v>1781</v>
      </c>
      <c r="H52" s="163" t="s">
        <v>2205</v>
      </c>
      <c r="I52" s="163" t="s">
        <v>2148</v>
      </c>
      <c r="J52" s="1108"/>
      <c r="K52" s="1108" cm="1">
        <f t="array" aca="1" ref="K52" ca="1">OFFSET(J52,-1,1)</f>
        <v>0</v>
      </c>
      <c r="L52" s="1108"/>
      <c r="M52" s="1108" t="s">
        <v>1782</v>
      </c>
      <c r="N52" s="1108" t="s">
        <v>2151</v>
      </c>
      <c r="O52" s="1109" t="s">
        <v>2152</v>
      </c>
      <c r="P52" s="1108" t="s">
        <v>2206</v>
      </c>
      <c r="Q52" s="1108"/>
      <c r="T52" s="687" t="b" cm="1">
        <f t="array" aca="1" ref="T52" ca="1">T51</f>
        <v>0</v>
      </c>
      <c r="X52" s="1726"/>
      <c r="Z52" s="1726"/>
      <c r="AB52" s="223" t="s">
        <v>2207</v>
      </c>
      <c r="AC52" s="123" t="s">
        <v>634</v>
      </c>
      <c r="AD52" s="100">
        <f ca="1">IF(method_reg="Метод экономически обоснованных расходов",SUMIFS('Калькуляция (4.6)'!AJ$25:AJ$229,'Калькуляция (4.6)'!$F$25:$F$229,$F52,'Калькуляция (4.6)'!$G$25:$G$229,$G52),IF(method_reg="Метод сравнения аналогов",SUMIFS(INDEX('Калькуляция (МСА)'!$AE$25:$BC$109,,MATCH(AD$8,'Калькуляция (МСА)'!$AE$8:$BC$8,0)),'Калькуляция (МСА)'!$F$25:$F$109,$F52,'Калькуляция (МСА)'!$G$25:$G$109,$G52),SUMIFS(INDEX('Калькуляция (5.9)'!$AJ$25:$BC$194,,MATCH(AD$8,'Калькуляция (5.9)'!$AJ$8:$BC$8,0)),'Калькуляция (5.9)'!$F$25:$F$194,$F52,'Калькуляция (5.9)'!$G$25:$G$194,$G52)))</f>
        <v>0</v>
      </c>
      <c r="AE52" s="100">
        <f ca="1">IF(method_reg="Метод экономически обоснованных расходов",SUMIFS('Калькуляция (4.6)'!AK$25:AK$229,'Калькуляция (4.6)'!$F$25:$F$229,$F52,'Калькуляция (4.6)'!$G$25:$G$229,$G52),IF(method_reg="Метод сравнения аналогов",SUMIFS(INDEX('Калькуляция (МСА)'!$AE$25:$BC$109,,MATCH(AE$8,'Калькуляция (МСА)'!$AE$8:$BC$8,0)),'Калькуляция (МСА)'!$F$25:$F$109,$F52,'Калькуляция (МСА)'!$G$25:$G$109,$G52),SUMIFS(INDEX('Калькуляция (5.9)'!$AJ$25:$BC$194,,MATCH(AE$8,'Калькуляция (5.9)'!$AJ$8:$BC$8,0)),'Калькуляция (5.9)'!$F$25:$F$194,$F52,'Калькуляция (5.9)'!$G$25:$G$194,$G52)))</f>
        <v>0</v>
      </c>
      <c r="AF52" s="341">
        <f ca="1">IF(AD52=0,0,(AE52-AD52)/AD52*100)</f>
        <v>0</v>
      </c>
      <c r="AG52" s="354">
        <f ca="1">IF(method_reg="Метод сравнения аналогов",SUMIFS(INDEX('Калькуляция (МСА)'!$AE$25:$BC$109,,MATCH(AG$8,'Калькуляция (МСА)'!$AE$8:$BC$8,0)),'Калькуляция (МСА)'!$F$25:$F$109,$F52,'Калькуляция (МСА)'!$G$25:$G$109,$G52),SUMIFS(INDEX('Калькуляция (5.9)'!$AJ$25:$BC$194,,MATCH(AG$8,'Калькуляция (5.9)'!$AJ$8:$BC$8,0)),'Калькуляция (5.9)'!$F$25:$F$194,$F52,'Калькуляция (5.9)'!$G$25:$G$194,$G52))</f>
        <v>0</v>
      </c>
      <c r="AH52" s="354">
        <f ca="1">IF(method_reg="Метод сравнения аналогов",SUMIFS(INDEX('Калькуляция (МСА)'!$AE$25:$BC$109,,MATCH(AH$8,'Калькуляция (МСА)'!$AE$8:$BC$8,0)),'Калькуляция (МСА)'!$F$25:$F$109,$F52,'Калькуляция (МСА)'!$G$25:$G$109,$G52),SUMIFS(INDEX('Калькуляция (5.9)'!$AJ$25:$BC$194,,MATCH(AH$8,'Калькуляция (5.9)'!$AJ$8:$BC$8,0)),'Калькуляция (5.9)'!$F$25:$F$194,$F52,'Калькуляция (5.9)'!$G$25:$G$194,$G52))</f>
        <v>0</v>
      </c>
      <c r="AI52" s="341">
        <f ca="1">IF(AG52=0,0,(AH52-AG52)/AG52*100)</f>
        <v>0</v>
      </c>
      <c r="AJ52" s="354">
        <f ca="1">IF(method_reg="Метод сравнения аналогов",SUMIFS(INDEX('Калькуляция (МСА)'!$AE$25:$BC$109,,MATCH(AJ$8,'Калькуляция (МСА)'!$AE$8:$BC$8,0)),'Калькуляция (МСА)'!$F$25:$F$109,$F52,'Калькуляция (МСА)'!$G$25:$G$109,$G52),SUMIFS(INDEX('Калькуляция (5.9)'!$AJ$25:$BC$194,,MATCH(AJ$8,'Калькуляция (5.9)'!$AJ$8:$BC$8,0)),'Калькуляция (5.9)'!$F$25:$F$194,$F52,'Калькуляция (5.9)'!$G$25:$G$194,$G52))</f>
        <v>0</v>
      </c>
      <c r="AK52" s="354">
        <f ca="1">IF(method_reg="Метод сравнения аналогов",SUMIFS(INDEX('Калькуляция (МСА)'!$AE$25:$BC$109,,MATCH(AK$8,'Калькуляция (МСА)'!$AE$8:$BC$8,0)),'Калькуляция (МСА)'!$F$25:$F$109,$F52,'Калькуляция (МСА)'!$G$25:$G$109,$G52),SUMIFS(INDEX('Калькуляция (5.9)'!$AJ$25:$BC$194,,MATCH(AK$8,'Калькуляция (5.9)'!$AJ$8:$BC$8,0)),'Калькуляция (5.9)'!$F$25:$F$194,$F52,'Калькуляция (5.9)'!$G$25:$G$194,$G52))</f>
        <v>0</v>
      </c>
      <c r="AL52" s="341">
        <f ca="1">IF(AJ52=0,0,(AK52-AJ52)/AJ52*100)</f>
        <v>0</v>
      </c>
      <c r="AM52" s="354">
        <f ca="1">IF(method_reg="Метод сравнения аналогов",SUMIFS(INDEX('Калькуляция (МСА)'!$AE$25:$BC$109,,MATCH(AM$8,'Калькуляция (МСА)'!$AE$8:$BC$8,0)),'Калькуляция (МСА)'!$F$25:$F$109,$F52,'Калькуляция (МСА)'!$G$25:$G$109,$G52),SUMIFS(INDEX('Калькуляция (5.9)'!$AJ$25:$BC$194,,MATCH(AM$8,'Калькуляция (5.9)'!$AJ$8:$BC$8,0)),'Калькуляция (5.9)'!$F$25:$F$194,$F52,'Калькуляция (5.9)'!$G$25:$G$194,$G52))</f>
        <v>0</v>
      </c>
      <c r="AN52" s="354">
        <f ca="1">IF(method_reg="Метод сравнения аналогов",SUMIFS(INDEX('Калькуляция (МСА)'!$AE$25:$BC$109,,MATCH(AN$8,'Калькуляция (МСА)'!$AE$8:$BC$8,0)),'Калькуляция (МСА)'!$F$25:$F$109,$F52,'Калькуляция (МСА)'!$G$25:$G$109,$G52),SUMIFS(INDEX('Калькуляция (5.9)'!$AJ$25:$BC$194,,MATCH(AN$8,'Калькуляция (5.9)'!$AJ$8:$BC$8,0)),'Калькуляция (5.9)'!$F$25:$F$194,$F52,'Калькуляция (5.9)'!$G$25:$G$194,$G52))</f>
        <v>0</v>
      </c>
      <c r="AO52" s="341">
        <f ca="1">IF(AM52=0,0,(AN52-AM52)/AM52*100)</f>
        <v>0</v>
      </c>
      <c r="AP52" s="354">
        <f ca="1">IF(method_reg="Метод сравнения аналогов",SUMIFS(INDEX('Калькуляция (МСА)'!$AE$25:$BC$109,,MATCH(AP$8,'Калькуляция (МСА)'!$AE$8:$BC$8,0)),'Калькуляция (МСА)'!$F$25:$F$109,$F52,'Калькуляция (МСА)'!$G$25:$G$109,$G52),SUMIFS(INDEX('Калькуляция (5.9)'!$AJ$25:$BC$194,,MATCH(AP$8,'Калькуляция (5.9)'!$AJ$8:$BC$8,0)),'Калькуляция (5.9)'!$F$25:$F$194,$F52,'Калькуляция (5.9)'!$G$25:$G$194,$G52))</f>
        <v>0</v>
      </c>
      <c r="AQ52" s="354">
        <f ca="1">IF(method_reg="Метод сравнения аналогов",SUMIFS(INDEX('Калькуляция (МСА)'!$AE$25:$BC$109,,MATCH(AQ$8,'Калькуляция (МСА)'!$AE$8:$BC$8,0)),'Калькуляция (МСА)'!$F$25:$F$109,$F52,'Калькуляция (МСА)'!$G$25:$G$109,$G52),SUMIFS(INDEX('Калькуляция (5.9)'!$AJ$25:$BC$194,,MATCH(AQ$8,'Калькуляция (5.9)'!$AJ$8:$BC$8,0)),'Калькуляция (5.9)'!$F$25:$F$194,$F52,'Калькуляция (5.9)'!$G$25:$G$194,$G52))</f>
        <v>0</v>
      </c>
      <c r="AR52" s="341">
        <f ca="1">IF(AP52=0,0,(AQ52-AP52)/AP52*100)</f>
        <v>0</v>
      </c>
      <c r="AS52" s="100">
        <f ca="1">IF(method_reg="Метод сравнения аналогов",SUMIFS(INDEX('Калькуляция (МСА)'!$AE$25:$BC$109,,MATCH(AS$8,'Калькуляция (МСА)'!$AE$8:$BC$8,0)),'Калькуляция (МСА)'!$F$25:$F$109,$F52,'Калькуляция (МСА)'!$G$25:$G$109,$G52),SUMIFS(INDEX('Калькуляция (5.9)'!$AJ$25:$BC$194,,MATCH(AS$8,'Калькуляция (5.9)'!$AJ$8:$BC$8,0)),'Калькуляция (5.9)'!$F$25:$F$194,$F52,'Калькуляция (5.9)'!$G$25:$G$194,$G52))</f>
        <v>0</v>
      </c>
      <c r="AT52" s="100">
        <f ca="1">IF(method_reg="Метод сравнения аналогов",SUMIFS(INDEX('Калькуляция (МСА)'!$AE$25:$BC$109,,MATCH(AT$8,'Калькуляция (МСА)'!$AE$8:$BC$8,0)),'Калькуляция (МСА)'!$F$25:$F$109,$F52,'Калькуляция (МСА)'!$G$25:$G$109,$G52),SUMIFS(INDEX('Калькуляция (5.9)'!$AJ$25:$BC$194,,MATCH(AT$8,'Калькуляция (5.9)'!$AJ$8:$BC$8,0)),'Калькуляция (5.9)'!$F$25:$F$194,$F52,'Калькуляция (5.9)'!$G$25:$G$194,$G52))</f>
        <v>0</v>
      </c>
      <c r="AU52" s="341">
        <f ca="1">IF(AS52=0,0,(AT52-AS52)/AS52*100)</f>
        <v>0</v>
      </c>
      <c r="AV52" s="100">
        <f ca="1">IF(method_reg="Метод сравнения аналогов",SUMIFS(INDEX('Калькуляция (МСА)'!$AE$25:$BC$109,,MATCH(AV$8,'Калькуляция (МСА)'!$AE$8:$BC$8,0)),'Калькуляция (МСА)'!$F$25:$F$109,$F52,'Калькуляция (МСА)'!$G$25:$G$109,$G52),SUMIFS(INDEX('Калькуляция (5.9)'!$AJ$25:$BC$194,,MATCH(AV$8,'Калькуляция (5.9)'!$AJ$8:$BC$8,0)),'Калькуляция (5.9)'!$F$25:$F$194,$F52,'Калькуляция (5.9)'!$G$25:$G$194,$G52))</f>
        <v>0</v>
      </c>
      <c r="AW52" s="100">
        <f ca="1">IF(method_reg="Метод сравнения аналогов",SUMIFS(INDEX('Калькуляция (МСА)'!$AE$25:$BC$109,,MATCH(AW$8,'Калькуляция (МСА)'!$AE$8:$BC$8,0)),'Калькуляция (МСА)'!$F$25:$F$109,$F52,'Калькуляция (МСА)'!$G$25:$G$109,$G52),SUMIFS(INDEX('Калькуляция (5.9)'!$AJ$25:$BC$194,,MATCH(AW$8,'Калькуляция (5.9)'!$AJ$8:$BC$8,0)),'Калькуляция (5.9)'!$F$25:$F$194,$F52,'Калькуляция (5.9)'!$G$25:$G$194,$G52))</f>
        <v>0</v>
      </c>
      <c r="AX52" s="341">
        <f ca="1">IF(AV52=0,0,(AW52-AV52)/AV52*100)</f>
        <v>0</v>
      </c>
      <c r="AY52" s="100">
        <f ca="1">IF(method_reg="Метод сравнения аналогов",SUMIFS(INDEX('Калькуляция (МСА)'!$AE$25:$BC$109,,MATCH(AY$8,'Калькуляция (МСА)'!$AE$8:$BC$8,0)),'Калькуляция (МСА)'!$F$25:$F$109,$F52,'Калькуляция (МСА)'!$G$25:$G$109,$G52),SUMIFS(INDEX('Калькуляция (5.9)'!$AJ$25:$BC$194,,MATCH(AY$8,'Калькуляция (5.9)'!$AJ$8:$BC$8,0)),'Калькуляция (5.9)'!$F$25:$F$194,$F52,'Калькуляция (5.9)'!$G$25:$G$194,$G52))</f>
        <v>0</v>
      </c>
      <c r="AZ52" s="100">
        <f ca="1">IF(method_reg="Метод сравнения аналогов",SUMIFS(INDEX('Калькуляция (МСА)'!$AE$25:$BC$109,,MATCH(AZ$8,'Калькуляция (МСА)'!$AE$8:$BC$8,0)),'Калькуляция (МСА)'!$F$25:$F$109,$F52,'Калькуляция (МСА)'!$G$25:$G$109,$G52),SUMIFS(INDEX('Калькуляция (5.9)'!$AJ$25:$BC$194,,MATCH(AZ$8,'Калькуляция (5.9)'!$AJ$8:$BC$8,0)),'Калькуляция (5.9)'!$F$25:$F$194,$F52,'Калькуляция (5.9)'!$G$25:$G$194,$G52))</f>
        <v>0</v>
      </c>
      <c r="BA52" s="341">
        <f ca="1">IF(AY52=0,0,(AZ52-AY52)/AY52*100)</f>
        <v>0</v>
      </c>
      <c r="BB52" s="100">
        <f ca="1">IF(method_reg="Метод сравнения аналогов",SUMIFS(INDEX('Калькуляция (МСА)'!$AE$25:$BC$109,,MATCH(BB$8,'Калькуляция (МСА)'!$AE$8:$BC$8,0)),'Калькуляция (МСА)'!$F$25:$F$109,$F52,'Калькуляция (МСА)'!$G$25:$G$109,$G52),SUMIFS(INDEX('Калькуляция (5.9)'!$AJ$25:$BC$194,,MATCH(BB$8,'Калькуляция (5.9)'!$AJ$8:$BC$8,0)),'Калькуляция (5.9)'!$F$25:$F$194,$F52,'Калькуляция (5.9)'!$G$25:$G$194,$G52))</f>
        <v>0</v>
      </c>
      <c r="BC52" s="100">
        <f ca="1">IF(method_reg="Метод сравнения аналогов",SUMIFS(INDEX('Калькуляция (МСА)'!$AE$25:$BC$109,,MATCH(BC$8,'Калькуляция (МСА)'!$AE$8:$BC$8,0)),'Калькуляция (МСА)'!$F$25:$F$109,$F52,'Калькуляция (МСА)'!$G$25:$G$109,$G52),SUMIFS(INDEX('Калькуляция (5.9)'!$AJ$25:$BC$194,,MATCH(BC$8,'Калькуляция (5.9)'!$AJ$8:$BC$8,0)),'Калькуляция (5.9)'!$F$25:$F$194,$F52,'Калькуляция (5.9)'!$G$25:$G$194,$G52))</f>
        <v>0</v>
      </c>
      <c r="BD52" s="341">
        <f ca="1">IF(BB52=0,0,(BC52-BB52)/BB52*100)</f>
        <v>0</v>
      </c>
      <c r="BE52" s="100">
        <f ca="1">IF(method_reg="Метод сравнения аналогов",SUMIFS(INDEX('Калькуляция (МСА)'!$AE$25:$BC$109,,MATCH(BE$8,'Калькуляция (МСА)'!$AE$8:$BC$8,0)),'Калькуляция (МСА)'!$F$25:$F$109,$F52,'Калькуляция (МСА)'!$G$25:$G$109,$G52),SUMIFS(INDEX('Калькуляция (5.9)'!$AJ$25:$BC$194,,MATCH(BE$8,'Калькуляция (5.9)'!$AJ$8:$BC$8,0)),'Калькуляция (5.9)'!$F$25:$F$194,$F52,'Калькуляция (5.9)'!$G$25:$G$194,$G52))</f>
        <v>0</v>
      </c>
      <c r="BF52" s="100">
        <f ca="1">IF(method_reg="Метод сравнения аналогов",SUMIFS(INDEX('Калькуляция (МСА)'!$AE$25:$BC$109,,MATCH(BF$8,'Калькуляция (МСА)'!$AE$8:$BC$8,0)),'Калькуляция (МСА)'!$F$25:$F$109,$F52,'Калькуляция (МСА)'!$G$25:$G$109,$G52),SUMIFS(INDEX('Калькуляция (5.9)'!$AJ$25:$BC$194,,MATCH(BF$8,'Калькуляция (5.9)'!$AJ$8:$BC$8,0)),'Калькуляция (5.9)'!$F$25:$F$194,$F52,'Калькуляция (5.9)'!$G$25:$G$194,$G52))</f>
        <v>0</v>
      </c>
      <c r="BG52" s="341">
        <f ca="1">IF(BE52=0,0,(BF52-BE52)/BE52*100)</f>
        <v>0</v>
      </c>
      <c r="BH52" s="100"/>
      <c r="BI52" s="100"/>
      <c r="BJ52" s="341">
        <f>IF(BH52=0,0,(BI52-BH52)/BH52*100)</f>
        <v>0</v>
      </c>
      <c r="BK52" s="100"/>
      <c r="BL52" s="100"/>
      <c r="BM52" s="341">
        <f>IF(BK52=0,0,(BL52-BK52)/BK52*100)</f>
        <v>0</v>
      </c>
      <c r="BN52" s="100"/>
      <c r="BO52" s="100"/>
      <c r="BP52" s="341">
        <f>IF(BN52=0,0,(BO52-BN52)/BN52*100)</f>
        <v>0</v>
      </c>
      <c r="BQ52" s="100"/>
      <c r="BR52" s="100"/>
      <c r="BS52" s="341">
        <f>IF(BQ52=0,0,(BR52-BQ52)/BQ52*100)</f>
        <v>0</v>
      </c>
      <c r="BT52" s="100"/>
      <c r="BU52" s="100"/>
      <c r="BV52" s="341">
        <f>IF(BT52=0,0,(BU52-BT52)/BT52*100)</f>
        <v>0</v>
      </c>
      <c r="BW52" s="100"/>
      <c r="BX52" s="100"/>
      <c r="BY52" s="341">
        <f>IF(BW52=0,0,(BX52-BW52)/BW52*100)</f>
        <v>0</v>
      </c>
      <c r="BZ52" s="100"/>
      <c r="CA52" s="100"/>
      <c r="CB52" s="341">
        <f>IF(BZ52=0,0,(CA52-BZ52)/BZ52*100)</f>
        <v>0</v>
      </c>
      <c r="CC52" s="100"/>
      <c r="CD52" s="100"/>
      <c r="CE52" s="341">
        <f>IF(CC52=0,0,(CD52-CC52)/CC52*100)</f>
        <v>0</v>
      </c>
      <c r="CF52" s="100"/>
      <c r="CG52" s="100"/>
      <c r="CH52" s="341">
        <f>IF(CF52=0,0,(CG52-CF52)/CF52*100)</f>
        <v>0</v>
      </c>
      <c r="CI52" s="100"/>
      <c r="CJ52" s="100"/>
      <c r="CK52" s="341">
        <f>IF(CI52=0,0,(CJ52-CI52)/CI52*100)</f>
        <v>0</v>
      </c>
      <c r="CL52" s="100"/>
      <c r="CM52" s="100"/>
      <c r="CN52" s="341">
        <f>IF(CL52=0,0,(CM52-CL52)/CL52*100)</f>
        <v>0</v>
      </c>
      <c r="CO52" s="100"/>
      <c r="CP52" s="100"/>
      <c r="CQ52" s="341">
        <f>IF(CO52=0,0,(CP52-CO52)/CO52*100)</f>
        <v>0</v>
      </c>
      <c r="CR52" s="100"/>
      <c r="CS52" s="100"/>
      <c r="CT52" s="341">
        <f>IF(CR52=0,0,(CS52-CR52)/CR52*100)</f>
        <v>0</v>
      </c>
      <c r="CU52" s="100"/>
      <c r="CV52" s="100"/>
      <c r="CW52" s="341">
        <f>IF(CU52=0,0,(CV52-CU52)/CU52*100)</f>
        <v>0</v>
      </c>
      <c r="CX52" s="100"/>
      <c r="CY52" s="100"/>
      <c r="CZ52" s="341">
        <f>IF(CX52=0,0,(CY52-CX52)/CX52*100)</f>
        <v>0</v>
      </c>
      <c r="DA52" s="100"/>
      <c r="DB52" s="100"/>
      <c r="DC52" s="341">
        <f>IF(DA52=0,0,(DB52-DA52)/DA52*100)</f>
        <v>0</v>
      </c>
      <c r="DD52" s="100"/>
      <c r="DE52" s="100"/>
      <c r="DF52" s="341">
        <f>IF(DD52=0,0,(DE52-DD52)/DD52*100)</f>
        <v>0</v>
      </c>
      <c r="DG52" s="100"/>
      <c r="DH52" s="100"/>
      <c r="DI52" s="341">
        <f>IF(DG52=0,0,(DH52-DG52)/DG52*100)</f>
        <v>0</v>
      </c>
      <c r="DJ52" s="100"/>
      <c r="DK52" s="100"/>
      <c r="DL52" s="341">
        <f>IF(DJ52=0,0,(DK52-DJ52)/DJ52*100)</f>
        <v>0</v>
      </c>
      <c r="DM52" s="100"/>
      <c r="DN52" s="100"/>
      <c r="DO52" s="341">
        <f>IF(DM52=0,0,(DN52-DM52)/DM52*100)</f>
        <v>0</v>
      </c>
      <c r="DP52" s="100"/>
      <c r="DQ52" s="100"/>
      <c r="DR52" s="341">
        <f>IF(DP52=0,0,(DQ52-DP52)/DP52*100)</f>
        <v>0</v>
      </c>
      <c r="DS52" s="100"/>
      <c r="DT52" s="100"/>
      <c r="DU52" s="341">
        <f>IF(DS52=0,0,(DT52-DS52)/DS52*100)</f>
        <v>0</v>
      </c>
      <c r="DV52" s="100"/>
      <c r="DW52" s="100"/>
      <c r="DX52" s="341">
        <f>IF(DV52=0,0,(DW52-DV52)/DV52*100)</f>
        <v>0</v>
      </c>
      <c r="DY52" s="100"/>
      <c r="DZ52" s="100"/>
      <c r="EA52" s="341">
        <f>IF(DY52=0,0,(DZ52-DY52)/DY52*100)</f>
        <v>0</v>
      </c>
      <c r="EB52" s="100"/>
      <c r="EC52" s="100"/>
      <c r="ED52" s="341">
        <f>IF(EB52=0,0,(EC52-EB52)/EB52*100)</f>
        <v>0</v>
      </c>
      <c r="EE52" s="100"/>
      <c r="EF52" s="100"/>
      <c r="EG52" s="341">
        <f>IF(EE52=0,0,(EF52-EE52)/EE52*100)</f>
        <v>0</v>
      </c>
      <c r="EH52" s="100"/>
      <c r="EI52" s="100"/>
      <c r="EJ52" s="341">
        <f>IF(EH52=0,0,(EI52-EH52)/EH52*100)</f>
        <v>0</v>
      </c>
      <c r="EK52" s="100"/>
      <c r="EL52" s="100"/>
      <c r="EM52" s="341">
        <f>IF(EK52=0,0,(EL52-EK52)/EK52*100)</f>
        <v>0</v>
      </c>
      <c r="EN52" s="100"/>
      <c r="EO52" s="100"/>
      <c r="EP52" s="341">
        <f>IF(EN52=0,0,(EO52-EN52)/EN52*100)</f>
        <v>0</v>
      </c>
      <c r="EQ52" s="100"/>
      <c r="ER52" s="100"/>
      <c r="ES52" s="341">
        <f>IF(EQ52=0,0,(ER52-EQ52)/EQ52*100)</f>
        <v>0</v>
      </c>
      <c r="ET52" s="100"/>
      <c r="EU52" s="100"/>
      <c r="EV52" s="341">
        <f>IF(ET52=0,0,(EU52-ET52)/ET52*100)</f>
        <v>0</v>
      </c>
      <c r="EW52" s="100"/>
      <c r="EX52" s="100"/>
      <c r="EY52" s="341">
        <f>IF(EW52=0,0,(EX52-EW52)/EW52*100)</f>
        <v>0</v>
      </c>
      <c r="EZ52" s="100"/>
      <c r="FA52" s="100"/>
      <c r="FB52" s="341">
        <f>IF(EZ52=0,0,(FA52-EZ52)/EZ52*100)</f>
        <v>0</v>
      </c>
      <c r="FC52" s="100"/>
      <c r="FD52" s="100"/>
      <c r="FE52" s="341">
        <f>IF(FC52=0,0,(FD52-FC52)/FC52*100)</f>
        <v>0</v>
      </c>
      <c r="FF52" s="100"/>
      <c r="FG52" s="100"/>
      <c r="FH52" s="341">
        <f>IF(FF52=0,0,(FG52-FF52)/FF52*100)</f>
        <v>0</v>
      </c>
      <c r="FI52" s="100"/>
      <c r="FJ52" s="100"/>
      <c r="FK52" s="341">
        <f>IF(FI52=0,0,(FJ52-FI52)/FI52*100)</f>
        <v>0</v>
      </c>
      <c r="FL52" s="100"/>
      <c r="FM52" s="100"/>
      <c r="FN52" s="341">
        <f>IF(FL52=0,0,(FM52-FL52)/FL52*100)</f>
        <v>0</v>
      </c>
      <c r="FO52" s="100"/>
      <c r="FP52" s="100"/>
      <c r="FQ52" s="341">
        <f>IF(FO52=0,0,(FP52-FO52)/FO52*100)</f>
        <v>0</v>
      </c>
      <c r="FR52" s="100"/>
      <c r="FS52" s="100"/>
      <c r="FT52" s="341">
        <f>IF(FR52=0,0,(FS52-FR52)/FR52*100)</f>
        <v>0</v>
      </c>
      <c r="FU52" s="100"/>
      <c r="FV52" s="100"/>
      <c r="FW52" s="341">
        <f>IF(FU52=0,0,(FV52-FU52)/FU52*100)</f>
        <v>0</v>
      </c>
      <c r="FZ52" s="981" t="s">
        <v>2208</v>
      </c>
      <c r="GA52" s="981"/>
      <c r="GB52" s="981"/>
      <c r="GC52" s="981"/>
      <c r="GD52" s="981"/>
    </row>
    <row r="53" spans="2:186" ht="30.75" hidden="1" customHeight="1">
      <c r="B53" s="813" t="b" cm="1">
        <f t="array" ref="B53">B52</f>
        <v>0</v>
      </c>
      <c r="C53" s="1118" t="s">
        <v>1833</v>
      </c>
      <c r="D53" s="1087" t="s">
        <v>1834</v>
      </c>
      <c r="E53" s="676">
        <v>31.5</v>
      </c>
      <c r="F53" s="779" cm="1">
        <f t="array" aca="1" ref="F53" ca="1">OFFSET(G53,-1,-1)</f>
        <v>0</v>
      </c>
      <c r="G53" s="620" t="s">
        <v>1835</v>
      </c>
      <c r="H53" s="163" t="s">
        <v>2209</v>
      </c>
      <c r="I53" s="163" t="s">
        <v>2148</v>
      </c>
      <c r="J53" s="1108"/>
      <c r="K53" s="1108" cm="1">
        <f t="array" aca="1" ref="K53" ca="1">OFFSET(J53,-1,1)</f>
        <v>0</v>
      </c>
      <c r="L53" s="1108"/>
      <c r="M53" s="1108" t="s">
        <v>1782</v>
      </c>
      <c r="N53" s="1108" t="s">
        <v>2151</v>
      </c>
      <c r="O53" s="1109" t="s">
        <v>2152</v>
      </c>
      <c r="P53" s="1108" t="s">
        <v>2210</v>
      </c>
      <c r="Q53" s="1108"/>
      <c r="T53" s="687" t="b" cm="1">
        <f t="array" aca="1" ref="T53" ca="1">T52</f>
        <v>0</v>
      </c>
      <c r="X53" s="1726"/>
      <c r="Z53" s="1726"/>
      <c r="AB53" s="223" t="s">
        <v>2211</v>
      </c>
      <c r="AC53" s="443" t="s">
        <v>1837</v>
      </c>
      <c r="AD53" s="22">
        <f ca="1">IF(method_reg="Метод экономически обоснованных расходов",SUMIFS('Калькуляция (4.6)'!AJ$25:AJ$229,'Калькуляция (4.6)'!$F$25:$F$229,$F53,'Калькуляция (4.6)'!$G$25:$G$229,$G53),IF(method_reg="Метод сравнения аналогов",SUMIFS(INDEX('Калькуляция (МСА)'!$AE$25:$BC$109,,MATCH(AD$8,'Калькуляция (МСА)'!$AE$8:$BC$8,0)),'Калькуляция (МСА)'!$F$25:$F$109,$F53,'Калькуляция (МСА)'!$G$25:$G$109,$G53),SUMIFS(INDEX('Калькуляция (5.9)'!$AJ$25:$BC$194,,MATCH(AD$8,'Калькуляция (5.9)'!$AJ$8:$BC$8,0)),'Калькуляция (5.9)'!$F$25:$F$194,$F53,'Калькуляция (5.9)'!$G$25:$G$194,$G53)))</f>
        <v>0</v>
      </c>
      <c r="AE53" s="22">
        <f ca="1">IF(method_reg="Метод экономически обоснованных расходов",SUMIFS('Калькуляция (4.6)'!AK$25:AK$229,'Калькуляция (4.6)'!$F$25:$F$229,$F53,'Калькуляция (4.6)'!$G$25:$G$229,$G53),IF(method_reg="Метод сравнения аналогов",SUMIFS(INDEX('Калькуляция (МСА)'!$AE$25:$BC$109,,MATCH(AE$8,'Калькуляция (МСА)'!$AE$8:$BC$8,0)),'Калькуляция (МСА)'!$F$25:$F$109,$F53,'Калькуляция (МСА)'!$G$25:$G$109,$G53),SUMIFS(INDEX('Калькуляция (5.9)'!$AJ$25:$BC$194,,MATCH(AE$8,'Калькуляция (5.9)'!$AJ$8:$BC$8,0)),'Калькуляция (5.9)'!$F$25:$F$194,$F53,'Калькуляция (5.9)'!$G$25:$G$194,$G53)))</f>
        <v>0</v>
      </c>
      <c r="AF53" s="312">
        <f ca="1">IF(AD53=0,0,(AE53-AD53)/AD53*100)</f>
        <v>0</v>
      </c>
      <c r="AG53" s="313">
        <f ca="1">IF(method_reg="Метод сравнения аналогов",SUMIFS(INDEX('Калькуляция (МСА)'!$AE$25:$BC$109,,MATCH(AG$8,'Калькуляция (МСА)'!$AE$8:$BC$8,0)),'Калькуляция (МСА)'!$F$25:$F$109,$F53,'Калькуляция (МСА)'!$G$25:$G$109,$G53),SUMIFS(INDEX('Калькуляция (5.9)'!$AJ$25:$BC$194,,MATCH(AG$8,'Калькуляция (5.9)'!$AJ$8:$BC$8,0)),'Калькуляция (5.9)'!$F$25:$F$194,$F53,'Калькуляция (5.9)'!$G$25:$G$194,$G53))</f>
        <v>0</v>
      </c>
      <c r="AH53" s="313">
        <f ca="1">IF(method_reg="Метод сравнения аналогов",SUMIFS(INDEX('Калькуляция (МСА)'!$AE$25:$BC$109,,MATCH(AH$8,'Калькуляция (МСА)'!$AE$8:$BC$8,0)),'Калькуляция (МСА)'!$F$25:$F$109,$F53,'Калькуляция (МСА)'!$G$25:$G$109,$G53),SUMIFS(INDEX('Калькуляция (5.9)'!$AJ$25:$BC$194,,MATCH(AH$8,'Калькуляция (5.9)'!$AJ$8:$BC$8,0)),'Калькуляция (5.9)'!$F$25:$F$194,$F53,'Калькуляция (5.9)'!$G$25:$G$194,$G53))</f>
        <v>0</v>
      </c>
      <c r="AI53" s="312">
        <f ca="1">IF(AG53=0,0,(AH53-AG53)/AG53*100)</f>
        <v>0</v>
      </c>
      <c r="AJ53" s="313">
        <f ca="1">IF(method_reg="Метод сравнения аналогов",SUMIFS(INDEX('Калькуляция (МСА)'!$AE$25:$BC$109,,MATCH(AJ$8,'Калькуляция (МСА)'!$AE$8:$BC$8,0)),'Калькуляция (МСА)'!$F$25:$F$109,$F53,'Калькуляция (МСА)'!$G$25:$G$109,$G53),SUMIFS(INDEX('Калькуляция (5.9)'!$AJ$25:$BC$194,,MATCH(AJ$8,'Калькуляция (5.9)'!$AJ$8:$BC$8,0)),'Калькуляция (5.9)'!$F$25:$F$194,$F53,'Калькуляция (5.9)'!$G$25:$G$194,$G53))</f>
        <v>0</v>
      </c>
      <c r="AK53" s="313">
        <f ca="1">IF(method_reg="Метод сравнения аналогов",SUMIFS(INDEX('Калькуляция (МСА)'!$AE$25:$BC$109,,MATCH(AK$8,'Калькуляция (МСА)'!$AE$8:$BC$8,0)),'Калькуляция (МСА)'!$F$25:$F$109,$F53,'Калькуляция (МСА)'!$G$25:$G$109,$G53),SUMIFS(INDEX('Калькуляция (5.9)'!$AJ$25:$BC$194,,MATCH(AK$8,'Калькуляция (5.9)'!$AJ$8:$BC$8,0)),'Калькуляция (5.9)'!$F$25:$F$194,$F53,'Калькуляция (5.9)'!$G$25:$G$194,$G53))</f>
        <v>0</v>
      </c>
      <c r="AL53" s="312">
        <f ca="1">IF(AJ53=0,0,(AK53-AJ53)/AJ53*100)</f>
        <v>0</v>
      </c>
      <c r="AM53" s="313">
        <f ca="1">IF(method_reg="Метод сравнения аналогов",SUMIFS(INDEX('Калькуляция (МСА)'!$AE$25:$BC$109,,MATCH(AM$8,'Калькуляция (МСА)'!$AE$8:$BC$8,0)),'Калькуляция (МСА)'!$F$25:$F$109,$F53,'Калькуляция (МСА)'!$G$25:$G$109,$G53),SUMIFS(INDEX('Калькуляция (5.9)'!$AJ$25:$BC$194,,MATCH(AM$8,'Калькуляция (5.9)'!$AJ$8:$BC$8,0)),'Калькуляция (5.9)'!$F$25:$F$194,$F53,'Калькуляция (5.9)'!$G$25:$G$194,$G53))</f>
        <v>0</v>
      </c>
      <c r="AN53" s="313">
        <f ca="1">IF(method_reg="Метод сравнения аналогов",SUMIFS(INDEX('Калькуляция (МСА)'!$AE$25:$BC$109,,MATCH(AN$8,'Калькуляция (МСА)'!$AE$8:$BC$8,0)),'Калькуляция (МСА)'!$F$25:$F$109,$F53,'Калькуляция (МСА)'!$G$25:$G$109,$G53),SUMIFS(INDEX('Калькуляция (5.9)'!$AJ$25:$BC$194,,MATCH(AN$8,'Калькуляция (5.9)'!$AJ$8:$BC$8,0)),'Калькуляция (5.9)'!$F$25:$F$194,$F53,'Калькуляция (5.9)'!$G$25:$G$194,$G53))</f>
        <v>0</v>
      </c>
      <c r="AO53" s="312">
        <f ca="1">IF(AM53=0,0,(AN53-AM53)/AM53*100)</f>
        <v>0</v>
      </c>
      <c r="AP53" s="313">
        <f ca="1">IF(method_reg="Метод сравнения аналогов",SUMIFS(INDEX('Калькуляция (МСА)'!$AE$25:$BC$109,,MATCH(AP$8,'Калькуляция (МСА)'!$AE$8:$BC$8,0)),'Калькуляция (МСА)'!$F$25:$F$109,$F53,'Калькуляция (МСА)'!$G$25:$G$109,$G53),SUMIFS(INDEX('Калькуляция (5.9)'!$AJ$25:$BC$194,,MATCH(AP$8,'Калькуляция (5.9)'!$AJ$8:$BC$8,0)),'Калькуляция (5.9)'!$F$25:$F$194,$F53,'Калькуляция (5.9)'!$G$25:$G$194,$G53))</f>
        <v>0</v>
      </c>
      <c r="AQ53" s="313">
        <f ca="1">IF(method_reg="Метод сравнения аналогов",SUMIFS(INDEX('Калькуляция (МСА)'!$AE$25:$BC$109,,MATCH(AQ$8,'Калькуляция (МСА)'!$AE$8:$BC$8,0)),'Калькуляция (МСА)'!$F$25:$F$109,$F53,'Калькуляция (МСА)'!$G$25:$G$109,$G53),SUMIFS(INDEX('Калькуляция (5.9)'!$AJ$25:$BC$194,,MATCH(AQ$8,'Калькуляция (5.9)'!$AJ$8:$BC$8,0)),'Калькуляция (5.9)'!$F$25:$F$194,$F53,'Калькуляция (5.9)'!$G$25:$G$194,$G53))</f>
        <v>0</v>
      </c>
      <c r="AR53" s="312">
        <f ca="1">IF(AP53=0,0,(AQ53-AP53)/AP53*100)</f>
        <v>0</v>
      </c>
      <c r="AS53" s="22">
        <f ca="1">IF(method_reg="Метод сравнения аналогов",SUMIFS(INDEX('Калькуляция (МСА)'!$AE$25:$BC$109,,MATCH(AS$8,'Калькуляция (МСА)'!$AE$8:$BC$8,0)),'Калькуляция (МСА)'!$F$25:$F$109,$F53,'Калькуляция (МСА)'!$G$25:$G$109,$G53),SUMIFS(INDEX('Калькуляция (5.9)'!$AJ$25:$BC$194,,MATCH(AS$8,'Калькуляция (5.9)'!$AJ$8:$BC$8,0)),'Калькуляция (5.9)'!$F$25:$F$194,$F53,'Калькуляция (5.9)'!$G$25:$G$194,$G53))</f>
        <v>0</v>
      </c>
      <c r="AT53" s="22">
        <f ca="1">IF(method_reg="Метод сравнения аналогов",SUMIFS(INDEX('Калькуляция (МСА)'!$AE$25:$BC$109,,MATCH(AT$8,'Калькуляция (МСА)'!$AE$8:$BC$8,0)),'Калькуляция (МСА)'!$F$25:$F$109,$F53,'Калькуляция (МСА)'!$G$25:$G$109,$G53),SUMIFS(INDEX('Калькуляция (5.9)'!$AJ$25:$BC$194,,MATCH(AT$8,'Калькуляция (5.9)'!$AJ$8:$BC$8,0)),'Калькуляция (5.9)'!$F$25:$F$194,$F53,'Калькуляция (5.9)'!$G$25:$G$194,$G53))</f>
        <v>0</v>
      </c>
      <c r="AU53" s="312">
        <f ca="1">IF(AS53=0,0,(AT53-AS53)/AS53*100)</f>
        <v>0</v>
      </c>
      <c r="AV53" s="22">
        <f ca="1">IF(method_reg="Метод сравнения аналогов",SUMIFS(INDEX('Калькуляция (МСА)'!$AE$25:$BC$109,,MATCH(AV$8,'Калькуляция (МСА)'!$AE$8:$BC$8,0)),'Калькуляция (МСА)'!$F$25:$F$109,$F53,'Калькуляция (МСА)'!$G$25:$G$109,$G53),SUMIFS(INDEX('Калькуляция (5.9)'!$AJ$25:$BC$194,,MATCH(AV$8,'Калькуляция (5.9)'!$AJ$8:$BC$8,0)),'Калькуляция (5.9)'!$F$25:$F$194,$F53,'Калькуляция (5.9)'!$G$25:$G$194,$G53))</f>
        <v>0</v>
      </c>
      <c r="AW53" s="22">
        <f ca="1">IF(method_reg="Метод сравнения аналогов",SUMIFS(INDEX('Калькуляция (МСА)'!$AE$25:$BC$109,,MATCH(AW$8,'Калькуляция (МСА)'!$AE$8:$BC$8,0)),'Калькуляция (МСА)'!$F$25:$F$109,$F53,'Калькуляция (МСА)'!$G$25:$G$109,$G53),SUMIFS(INDEX('Калькуляция (5.9)'!$AJ$25:$BC$194,,MATCH(AW$8,'Калькуляция (5.9)'!$AJ$8:$BC$8,0)),'Калькуляция (5.9)'!$F$25:$F$194,$F53,'Калькуляция (5.9)'!$G$25:$G$194,$G53))</f>
        <v>0</v>
      </c>
      <c r="AX53" s="312">
        <f ca="1">IF(AV53=0,0,(AW53-AV53)/AV53*100)</f>
        <v>0</v>
      </c>
      <c r="AY53" s="22">
        <f ca="1">IF(method_reg="Метод сравнения аналогов",SUMIFS(INDEX('Калькуляция (МСА)'!$AE$25:$BC$109,,MATCH(AY$8,'Калькуляция (МСА)'!$AE$8:$BC$8,0)),'Калькуляция (МСА)'!$F$25:$F$109,$F53,'Калькуляция (МСА)'!$G$25:$G$109,$G53),SUMIFS(INDEX('Калькуляция (5.9)'!$AJ$25:$BC$194,,MATCH(AY$8,'Калькуляция (5.9)'!$AJ$8:$BC$8,0)),'Калькуляция (5.9)'!$F$25:$F$194,$F53,'Калькуляция (5.9)'!$G$25:$G$194,$G53))</f>
        <v>0</v>
      </c>
      <c r="AZ53" s="22">
        <f ca="1">IF(method_reg="Метод сравнения аналогов",SUMIFS(INDEX('Калькуляция (МСА)'!$AE$25:$BC$109,,MATCH(AZ$8,'Калькуляция (МСА)'!$AE$8:$BC$8,0)),'Калькуляция (МСА)'!$F$25:$F$109,$F53,'Калькуляция (МСА)'!$G$25:$G$109,$G53),SUMIFS(INDEX('Калькуляция (5.9)'!$AJ$25:$BC$194,,MATCH(AZ$8,'Калькуляция (5.9)'!$AJ$8:$BC$8,0)),'Калькуляция (5.9)'!$F$25:$F$194,$F53,'Калькуляция (5.9)'!$G$25:$G$194,$G53))</f>
        <v>0</v>
      </c>
      <c r="BA53" s="312">
        <f ca="1">IF(AY53=0,0,(AZ53-AY53)/AY53*100)</f>
        <v>0</v>
      </c>
      <c r="BB53" s="22">
        <f ca="1">IF(method_reg="Метод сравнения аналогов",SUMIFS(INDEX('Калькуляция (МСА)'!$AE$25:$BC$109,,MATCH(BB$8,'Калькуляция (МСА)'!$AE$8:$BC$8,0)),'Калькуляция (МСА)'!$F$25:$F$109,$F53,'Калькуляция (МСА)'!$G$25:$G$109,$G53),SUMIFS(INDEX('Калькуляция (5.9)'!$AJ$25:$BC$194,,MATCH(BB$8,'Калькуляция (5.9)'!$AJ$8:$BC$8,0)),'Калькуляция (5.9)'!$F$25:$F$194,$F53,'Калькуляция (5.9)'!$G$25:$G$194,$G53))</f>
        <v>0</v>
      </c>
      <c r="BC53" s="22">
        <f ca="1">IF(method_reg="Метод сравнения аналогов",SUMIFS(INDEX('Калькуляция (МСА)'!$AE$25:$BC$109,,MATCH(BC$8,'Калькуляция (МСА)'!$AE$8:$BC$8,0)),'Калькуляция (МСА)'!$F$25:$F$109,$F53,'Калькуляция (МСА)'!$G$25:$G$109,$G53),SUMIFS(INDEX('Калькуляция (5.9)'!$AJ$25:$BC$194,,MATCH(BC$8,'Калькуляция (5.9)'!$AJ$8:$BC$8,0)),'Калькуляция (5.9)'!$F$25:$F$194,$F53,'Калькуляция (5.9)'!$G$25:$G$194,$G53))</f>
        <v>0</v>
      </c>
      <c r="BD53" s="312">
        <f ca="1">IF(BB53=0,0,(BC53-BB53)/BB53*100)</f>
        <v>0</v>
      </c>
      <c r="BE53" s="22">
        <f ca="1">IF(method_reg="Метод сравнения аналогов",SUMIFS(INDEX('Калькуляция (МСА)'!$AE$25:$BC$109,,MATCH(BE$8,'Калькуляция (МСА)'!$AE$8:$BC$8,0)),'Калькуляция (МСА)'!$F$25:$F$109,$F53,'Калькуляция (МСА)'!$G$25:$G$109,$G53),SUMIFS(INDEX('Калькуляция (5.9)'!$AJ$25:$BC$194,,MATCH(BE$8,'Калькуляция (5.9)'!$AJ$8:$BC$8,0)),'Калькуляция (5.9)'!$F$25:$F$194,$F53,'Калькуляция (5.9)'!$G$25:$G$194,$G53))</f>
        <v>0</v>
      </c>
      <c r="BF53" s="22">
        <f ca="1">IF(method_reg="Метод сравнения аналогов",SUMIFS(INDEX('Калькуляция (МСА)'!$AE$25:$BC$109,,MATCH(BF$8,'Калькуляция (МСА)'!$AE$8:$BC$8,0)),'Калькуляция (МСА)'!$F$25:$F$109,$F53,'Калькуляция (МСА)'!$G$25:$G$109,$G53),SUMIFS(INDEX('Калькуляция (5.9)'!$AJ$25:$BC$194,,MATCH(BF$8,'Калькуляция (5.9)'!$AJ$8:$BC$8,0)),'Калькуляция (5.9)'!$F$25:$F$194,$F53,'Калькуляция (5.9)'!$G$25:$G$194,$G53))</f>
        <v>0</v>
      </c>
      <c r="BG53" s="312">
        <f ca="1">IF(BE53=0,0,(BF53-BE53)/BE53*100)</f>
        <v>0</v>
      </c>
      <c r="BH53" s="22"/>
      <c r="BI53" s="22"/>
      <c r="BJ53" s="312">
        <f>IF(BH53=0,0,(BI53-BH53)/BH53*100)</f>
        <v>0</v>
      </c>
      <c r="BK53" s="22"/>
      <c r="BL53" s="22"/>
      <c r="BM53" s="312">
        <f>IF(BK53=0,0,(BL53-BK53)/BK53*100)</f>
        <v>0</v>
      </c>
      <c r="BN53" s="22"/>
      <c r="BO53" s="22"/>
      <c r="BP53" s="312">
        <f>IF(BN53=0,0,(BO53-BN53)/BN53*100)</f>
        <v>0</v>
      </c>
      <c r="BQ53" s="22"/>
      <c r="BR53" s="22"/>
      <c r="BS53" s="312">
        <f>IF(BQ53=0,0,(BR53-BQ53)/BQ53*100)</f>
        <v>0</v>
      </c>
      <c r="BT53" s="22"/>
      <c r="BU53" s="22"/>
      <c r="BV53" s="312">
        <f>IF(BT53=0,0,(BU53-BT53)/BT53*100)</f>
        <v>0</v>
      </c>
      <c r="BW53" s="22"/>
      <c r="BX53" s="22"/>
      <c r="BY53" s="312">
        <f>IF(BW53=0,0,(BX53-BW53)/BW53*100)</f>
        <v>0</v>
      </c>
      <c r="BZ53" s="22"/>
      <c r="CA53" s="22"/>
      <c r="CB53" s="312">
        <f>IF(BZ53=0,0,(CA53-BZ53)/BZ53*100)</f>
        <v>0</v>
      </c>
      <c r="CC53" s="22"/>
      <c r="CD53" s="22"/>
      <c r="CE53" s="312">
        <f>IF(CC53=0,0,(CD53-CC53)/CC53*100)</f>
        <v>0</v>
      </c>
      <c r="CF53" s="22"/>
      <c r="CG53" s="22"/>
      <c r="CH53" s="312">
        <f>IF(CF53=0,0,(CG53-CF53)/CF53*100)</f>
        <v>0</v>
      </c>
      <c r="CI53" s="22"/>
      <c r="CJ53" s="22"/>
      <c r="CK53" s="312">
        <f>IF(CI53=0,0,(CJ53-CI53)/CI53*100)</f>
        <v>0</v>
      </c>
      <c r="CL53" s="22"/>
      <c r="CM53" s="22"/>
      <c r="CN53" s="312">
        <f>IF(CL53=0,0,(CM53-CL53)/CL53*100)</f>
        <v>0</v>
      </c>
      <c r="CO53" s="22"/>
      <c r="CP53" s="22"/>
      <c r="CQ53" s="312">
        <f>IF(CO53=0,0,(CP53-CO53)/CO53*100)</f>
        <v>0</v>
      </c>
      <c r="CR53" s="22"/>
      <c r="CS53" s="22"/>
      <c r="CT53" s="312">
        <f>IF(CR53=0,0,(CS53-CR53)/CR53*100)</f>
        <v>0</v>
      </c>
      <c r="CU53" s="22"/>
      <c r="CV53" s="22"/>
      <c r="CW53" s="312">
        <f>IF(CU53=0,0,(CV53-CU53)/CU53*100)</f>
        <v>0</v>
      </c>
      <c r="CX53" s="22"/>
      <c r="CY53" s="22"/>
      <c r="CZ53" s="312">
        <f>IF(CX53=0,0,(CY53-CX53)/CX53*100)</f>
        <v>0</v>
      </c>
      <c r="DA53" s="22"/>
      <c r="DB53" s="22"/>
      <c r="DC53" s="312">
        <f>IF(DA53=0,0,(DB53-DA53)/DA53*100)</f>
        <v>0</v>
      </c>
      <c r="DD53" s="22"/>
      <c r="DE53" s="22"/>
      <c r="DF53" s="312">
        <f>IF(DD53=0,0,(DE53-DD53)/DD53*100)</f>
        <v>0</v>
      </c>
      <c r="DG53" s="22"/>
      <c r="DH53" s="22"/>
      <c r="DI53" s="312">
        <f>IF(DG53=0,0,(DH53-DG53)/DG53*100)</f>
        <v>0</v>
      </c>
      <c r="DJ53" s="22"/>
      <c r="DK53" s="22"/>
      <c r="DL53" s="312">
        <f>IF(DJ53=0,0,(DK53-DJ53)/DJ53*100)</f>
        <v>0</v>
      </c>
      <c r="DM53" s="22"/>
      <c r="DN53" s="22"/>
      <c r="DO53" s="312">
        <f>IF(DM53=0,0,(DN53-DM53)/DM53*100)</f>
        <v>0</v>
      </c>
      <c r="DP53" s="22"/>
      <c r="DQ53" s="22"/>
      <c r="DR53" s="312">
        <f>IF(DP53=0,0,(DQ53-DP53)/DP53*100)</f>
        <v>0</v>
      </c>
      <c r="DS53" s="22"/>
      <c r="DT53" s="22"/>
      <c r="DU53" s="312">
        <f>IF(DS53=0,0,(DT53-DS53)/DS53*100)</f>
        <v>0</v>
      </c>
      <c r="DV53" s="22"/>
      <c r="DW53" s="22"/>
      <c r="DX53" s="312">
        <f>IF(DV53=0,0,(DW53-DV53)/DV53*100)</f>
        <v>0</v>
      </c>
      <c r="DY53" s="22"/>
      <c r="DZ53" s="22"/>
      <c r="EA53" s="312">
        <f>IF(DY53=0,0,(DZ53-DY53)/DY53*100)</f>
        <v>0</v>
      </c>
      <c r="EB53" s="22"/>
      <c r="EC53" s="22"/>
      <c r="ED53" s="312">
        <f>IF(EB53=0,0,(EC53-EB53)/EB53*100)</f>
        <v>0</v>
      </c>
      <c r="EE53" s="22"/>
      <c r="EF53" s="22"/>
      <c r="EG53" s="312">
        <f>IF(EE53=0,0,(EF53-EE53)/EE53*100)</f>
        <v>0</v>
      </c>
      <c r="EH53" s="22"/>
      <c r="EI53" s="22"/>
      <c r="EJ53" s="312">
        <f>IF(EH53=0,0,(EI53-EH53)/EH53*100)</f>
        <v>0</v>
      </c>
      <c r="EK53" s="22"/>
      <c r="EL53" s="22"/>
      <c r="EM53" s="312">
        <f>IF(EK53=0,0,(EL53-EK53)/EK53*100)</f>
        <v>0</v>
      </c>
      <c r="EN53" s="22"/>
      <c r="EO53" s="22"/>
      <c r="EP53" s="312">
        <f>IF(EN53=0,0,(EO53-EN53)/EN53*100)</f>
        <v>0</v>
      </c>
      <c r="EQ53" s="22"/>
      <c r="ER53" s="22"/>
      <c r="ES53" s="312">
        <f>IF(EQ53=0,0,(ER53-EQ53)/EQ53*100)</f>
        <v>0</v>
      </c>
      <c r="ET53" s="22"/>
      <c r="EU53" s="22"/>
      <c r="EV53" s="312">
        <f>IF(ET53=0,0,(EU53-ET53)/ET53*100)</f>
        <v>0</v>
      </c>
      <c r="EW53" s="22"/>
      <c r="EX53" s="22"/>
      <c r="EY53" s="312">
        <f>IF(EW53=0,0,(EX53-EW53)/EW53*100)</f>
        <v>0</v>
      </c>
      <c r="EZ53" s="22"/>
      <c r="FA53" s="22"/>
      <c r="FB53" s="312">
        <f>IF(EZ53=0,0,(FA53-EZ53)/EZ53*100)</f>
        <v>0</v>
      </c>
      <c r="FC53" s="22"/>
      <c r="FD53" s="22"/>
      <c r="FE53" s="312">
        <f>IF(FC53=0,0,(FD53-FC53)/FC53*100)</f>
        <v>0</v>
      </c>
      <c r="FF53" s="22"/>
      <c r="FG53" s="22"/>
      <c r="FH53" s="312">
        <f>IF(FF53=0,0,(FG53-FF53)/FF53*100)</f>
        <v>0</v>
      </c>
      <c r="FI53" s="22"/>
      <c r="FJ53" s="22"/>
      <c r="FK53" s="312">
        <f>IF(FI53=0,0,(FJ53-FI53)/FI53*100)</f>
        <v>0</v>
      </c>
      <c r="FL53" s="22"/>
      <c r="FM53" s="22"/>
      <c r="FN53" s="312">
        <f>IF(FL53=0,0,(FM53-FL53)/FL53*100)</f>
        <v>0</v>
      </c>
      <c r="FO53" s="22"/>
      <c r="FP53" s="22"/>
      <c r="FQ53" s="312">
        <f>IF(FO53=0,0,(FP53-FO53)/FO53*100)</f>
        <v>0</v>
      </c>
      <c r="FR53" s="22"/>
      <c r="FS53" s="22"/>
      <c r="FT53" s="312">
        <f>IF(FR53=0,0,(FS53-FR53)/FR53*100)</f>
        <v>0</v>
      </c>
      <c r="FU53" s="22"/>
      <c r="FV53" s="22"/>
      <c r="FW53" s="312">
        <f>IF(FU53=0,0,(FV53-FU53)/FU53*100)</f>
        <v>0</v>
      </c>
      <c r="FZ53" s="981" t="s">
        <v>2212</v>
      </c>
      <c r="GA53" s="981"/>
      <c r="GB53" s="981"/>
      <c r="GC53" s="981"/>
      <c r="GD53" s="981"/>
    </row>
    <row r="54" spans="2:186" ht="15.4" hidden="1" customHeight="1">
      <c r="B54" s="813" t="b" cm="1">
        <f t="array" ref="B54">B53</f>
        <v>0</v>
      </c>
      <c r="C54" s="1118" t="s">
        <v>1805</v>
      </c>
      <c r="D54" s="1087" t="s">
        <v>1806</v>
      </c>
      <c r="E54" s="676">
        <v>15.8</v>
      </c>
      <c r="F54" s="779" cm="1">
        <f t="array" aca="1" ref="F54" ca="1">OFFSET(G54,-1,-1)</f>
        <v>0</v>
      </c>
      <c r="G54" s="620" t="s">
        <v>1809</v>
      </c>
      <c r="H54" s="163" t="s">
        <v>2213</v>
      </c>
      <c r="I54" s="163" t="s">
        <v>2148</v>
      </c>
      <c r="J54" s="1108"/>
      <c r="K54" s="1108" cm="1">
        <f t="array" aca="1" ref="K54" ca="1">OFFSET(J54,-1,1)</f>
        <v>0</v>
      </c>
      <c r="L54" s="1108"/>
      <c r="M54" s="1108" t="s">
        <v>1782</v>
      </c>
      <c r="N54" s="1108" t="s">
        <v>2151</v>
      </c>
      <c r="O54" s="1109" t="s">
        <v>2152</v>
      </c>
      <c r="P54" s="1108" t="s">
        <v>2214</v>
      </c>
      <c r="Q54" s="1108"/>
      <c r="T54" s="687" t="b" cm="1">
        <f t="array" aca="1" ref="T54" ca="1">T53</f>
        <v>0</v>
      </c>
      <c r="X54" s="1726"/>
      <c r="Z54" s="1726"/>
      <c r="AB54" s="223" t="s">
        <v>2215</v>
      </c>
      <c r="AC54" s="557" t="s">
        <v>725</v>
      </c>
      <c r="AD54" s="22">
        <f ca="1">IF(method_reg="Метод экономически обоснованных расходов",SUMIFS('Калькуляция (4.6)'!AJ$25:AJ$229,'Калькуляция (4.6)'!$F$25:$F$229,$F54,'Калькуляция (4.6)'!$G$25:$G$229,$G54),IF(method_reg="Метод сравнения аналогов",SUMIFS(INDEX('Калькуляция (МСА)'!$AE$25:$BC$109,,MATCH(AD$8,'Калькуляция (МСА)'!$AE$8:$BC$8,0)),'Калькуляция (МСА)'!$F$25:$F$109,$F54,'Калькуляция (МСА)'!$G$25:$G$109,$G54),SUMIFS(INDEX('Калькуляция (5.9)'!$AJ$25:$BC$194,,MATCH(AD$8,'Калькуляция (5.9)'!$AJ$8:$BC$8,0)),'Калькуляция (5.9)'!$F$25:$F$194,$F54,'Калькуляция (5.9)'!$G$25:$G$194,$G54)))</f>
        <v>0</v>
      </c>
      <c r="AE54" s="22">
        <f ca="1">IF(method_reg="Метод экономически обоснованных расходов",SUMIFS('Калькуляция (4.6)'!AK$25:AK$229,'Калькуляция (4.6)'!$F$25:$F$229,$F54,'Калькуляция (4.6)'!$G$25:$G$229,$G54),IF(method_reg="Метод сравнения аналогов",SUMIFS(INDEX('Калькуляция (МСА)'!$AE$25:$BC$109,,MATCH(AE$8,'Калькуляция (МСА)'!$AE$8:$BC$8,0)),'Калькуляция (МСА)'!$F$25:$F$109,$F54,'Калькуляция (МСА)'!$G$25:$G$109,$G54),SUMIFS(INDEX('Калькуляция (5.9)'!$AJ$25:$BC$194,,MATCH(AE$8,'Калькуляция (5.9)'!$AJ$8:$BC$8,0)),'Калькуляция (5.9)'!$F$25:$F$194,$F54,'Калькуляция (5.9)'!$G$25:$G$194,$G54)))</f>
        <v>0</v>
      </c>
      <c r="AF54" s="312">
        <f ca="1">IF(AD54=0,0,(AE54-AD54)/AD54*100)</f>
        <v>0</v>
      </c>
      <c r="AG54" s="313">
        <f ca="1">IF(method_reg="Метод сравнения аналогов",SUMIFS(INDEX('Калькуляция (МСА)'!$AE$25:$BC$109,,MATCH(AG$8,'Калькуляция (МСА)'!$AE$8:$BC$8,0)),'Калькуляция (МСА)'!$F$25:$F$109,$F54,'Калькуляция (МСА)'!$G$25:$G$109,$G54),SUMIFS(INDEX('Калькуляция (5.9)'!$AJ$25:$BC$194,,MATCH(AG$8,'Калькуляция (5.9)'!$AJ$8:$BC$8,0)),'Калькуляция (5.9)'!$F$25:$F$194,$F54,'Калькуляция (5.9)'!$G$25:$G$194,$G54))</f>
        <v>0</v>
      </c>
      <c r="AH54" s="313">
        <f ca="1">IF(method_reg="Метод сравнения аналогов",SUMIFS(INDEX('Калькуляция (МСА)'!$AE$25:$BC$109,,MATCH(AH$8,'Калькуляция (МСА)'!$AE$8:$BC$8,0)),'Калькуляция (МСА)'!$F$25:$F$109,$F54,'Калькуляция (МСА)'!$G$25:$G$109,$G54),SUMIFS(INDEX('Калькуляция (5.9)'!$AJ$25:$BC$194,,MATCH(AH$8,'Калькуляция (5.9)'!$AJ$8:$BC$8,0)),'Калькуляция (5.9)'!$F$25:$F$194,$F54,'Калькуляция (5.9)'!$G$25:$G$194,$G54))</f>
        <v>0</v>
      </c>
      <c r="AI54" s="312">
        <f ca="1">IF(AG54=0,0,(AH54-AG54)/AG54*100)</f>
        <v>0</v>
      </c>
      <c r="AJ54" s="313">
        <f ca="1">IF(method_reg="Метод сравнения аналогов",SUMIFS(INDEX('Калькуляция (МСА)'!$AE$25:$BC$109,,MATCH(AJ$8,'Калькуляция (МСА)'!$AE$8:$BC$8,0)),'Калькуляция (МСА)'!$F$25:$F$109,$F54,'Калькуляция (МСА)'!$G$25:$G$109,$G54),SUMIFS(INDEX('Калькуляция (5.9)'!$AJ$25:$BC$194,,MATCH(AJ$8,'Калькуляция (5.9)'!$AJ$8:$BC$8,0)),'Калькуляция (5.9)'!$F$25:$F$194,$F54,'Калькуляция (5.9)'!$G$25:$G$194,$G54))</f>
        <v>0</v>
      </c>
      <c r="AK54" s="313">
        <f ca="1">IF(method_reg="Метод сравнения аналогов",SUMIFS(INDEX('Калькуляция (МСА)'!$AE$25:$BC$109,,MATCH(AK$8,'Калькуляция (МСА)'!$AE$8:$BC$8,0)),'Калькуляция (МСА)'!$F$25:$F$109,$F54,'Калькуляция (МСА)'!$G$25:$G$109,$G54),SUMIFS(INDEX('Калькуляция (5.9)'!$AJ$25:$BC$194,,MATCH(AK$8,'Калькуляция (5.9)'!$AJ$8:$BC$8,0)),'Калькуляция (5.9)'!$F$25:$F$194,$F54,'Калькуляция (5.9)'!$G$25:$G$194,$G54))</f>
        <v>0</v>
      </c>
      <c r="AL54" s="312">
        <f ca="1">IF(AJ54=0,0,(AK54-AJ54)/AJ54*100)</f>
        <v>0</v>
      </c>
      <c r="AM54" s="313">
        <f ca="1">IF(method_reg="Метод сравнения аналогов",SUMIFS(INDEX('Калькуляция (МСА)'!$AE$25:$BC$109,,MATCH(AM$8,'Калькуляция (МСА)'!$AE$8:$BC$8,0)),'Калькуляция (МСА)'!$F$25:$F$109,$F54,'Калькуляция (МСА)'!$G$25:$G$109,$G54),SUMIFS(INDEX('Калькуляция (5.9)'!$AJ$25:$BC$194,,MATCH(AM$8,'Калькуляция (5.9)'!$AJ$8:$BC$8,0)),'Калькуляция (5.9)'!$F$25:$F$194,$F54,'Калькуляция (5.9)'!$G$25:$G$194,$G54))</f>
        <v>0</v>
      </c>
      <c r="AN54" s="313">
        <f ca="1">IF(method_reg="Метод сравнения аналогов",SUMIFS(INDEX('Калькуляция (МСА)'!$AE$25:$BC$109,,MATCH(AN$8,'Калькуляция (МСА)'!$AE$8:$BC$8,0)),'Калькуляция (МСА)'!$F$25:$F$109,$F54,'Калькуляция (МСА)'!$G$25:$G$109,$G54),SUMIFS(INDEX('Калькуляция (5.9)'!$AJ$25:$BC$194,,MATCH(AN$8,'Калькуляция (5.9)'!$AJ$8:$BC$8,0)),'Калькуляция (5.9)'!$F$25:$F$194,$F54,'Калькуляция (5.9)'!$G$25:$G$194,$G54))</f>
        <v>0</v>
      </c>
      <c r="AO54" s="312">
        <f ca="1">IF(AM54=0,0,(AN54-AM54)/AM54*100)</f>
        <v>0</v>
      </c>
      <c r="AP54" s="313">
        <f ca="1">IF(method_reg="Метод сравнения аналогов",SUMIFS(INDEX('Калькуляция (МСА)'!$AE$25:$BC$109,,MATCH(AP$8,'Калькуляция (МСА)'!$AE$8:$BC$8,0)),'Калькуляция (МСА)'!$F$25:$F$109,$F54,'Калькуляция (МСА)'!$G$25:$G$109,$G54),SUMIFS(INDEX('Калькуляция (5.9)'!$AJ$25:$BC$194,,MATCH(AP$8,'Калькуляция (5.9)'!$AJ$8:$BC$8,0)),'Калькуляция (5.9)'!$F$25:$F$194,$F54,'Калькуляция (5.9)'!$G$25:$G$194,$G54))</f>
        <v>0</v>
      </c>
      <c r="AQ54" s="313">
        <f ca="1">IF(method_reg="Метод сравнения аналогов",SUMIFS(INDEX('Калькуляция (МСА)'!$AE$25:$BC$109,,MATCH(AQ$8,'Калькуляция (МСА)'!$AE$8:$BC$8,0)),'Калькуляция (МСА)'!$F$25:$F$109,$F54,'Калькуляция (МСА)'!$G$25:$G$109,$G54),SUMIFS(INDEX('Калькуляция (5.9)'!$AJ$25:$BC$194,,MATCH(AQ$8,'Калькуляция (5.9)'!$AJ$8:$BC$8,0)),'Калькуляция (5.9)'!$F$25:$F$194,$F54,'Калькуляция (5.9)'!$G$25:$G$194,$G54))</f>
        <v>0</v>
      </c>
      <c r="AR54" s="312">
        <f ca="1">IF(AP54=0,0,(AQ54-AP54)/AP54*100)</f>
        <v>0</v>
      </c>
      <c r="AS54" s="22">
        <f ca="1">IF(method_reg="Метод сравнения аналогов",SUMIFS(INDEX('Калькуляция (МСА)'!$AE$25:$BC$109,,MATCH(AS$8,'Калькуляция (МСА)'!$AE$8:$BC$8,0)),'Калькуляция (МСА)'!$F$25:$F$109,$F54,'Калькуляция (МСА)'!$G$25:$G$109,$G54),SUMIFS(INDEX('Калькуляция (5.9)'!$AJ$25:$BC$194,,MATCH(AS$8,'Калькуляция (5.9)'!$AJ$8:$BC$8,0)),'Калькуляция (5.9)'!$F$25:$F$194,$F54,'Калькуляция (5.9)'!$G$25:$G$194,$G54))</f>
        <v>0</v>
      </c>
      <c r="AT54" s="22">
        <f ca="1">IF(method_reg="Метод сравнения аналогов",SUMIFS(INDEX('Калькуляция (МСА)'!$AE$25:$BC$109,,MATCH(AT$8,'Калькуляция (МСА)'!$AE$8:$BC$8,0)),'Калькуляция (МСА)'!$F$25:$F$109,$F54,'Калькуляция (МСА)'!$G$25:$G$109,$G54),SUMIFS(INDEX('Калькуляция (5.9)'!$AJ$25:$BC$194,,MATCH(AT$8,'Калькуляция (5.9)'!$AJ$8:$BC$8,0)),'Калькуляция (5.9)'!$F$25:$F$194,$F54,'Калькуляция (5.9)'!$G$25:$G$194,$G54))</f>
        <v>0</v>
      </c>
      <c r="AU54" s="312">
        <f ca="1">IF(AS54=0,0,(AT54-AS54)/AS54*100)</f>
        <v>0</v>
      </c>
      <c r="AV54" s="22">
        <f ca="1">IF(method_reg="Метод сравнения аналогов",SUMIFS(INDEX('Калькуляция (МСА)'!$AE$25:$BC$109,,MATCH(AV$8,'Калькуляция (МСА)'!$AE$8:$BC$8,0)),'Калькуляция (МСА)'!$F$25:$F$109,$F54,'Калькуляция (МСА)'!$G$25:$G$109,$G54),SUMIFS(INDEX('Калькуляция (5.9)'!$AJ$25:$BC$194,,MATCH(AV$8,'Калькуляция (5.9)'!$AJ$8:$BC$8,0)),'Калькуляция (5.9)'!$F$25:$F$194,$F54,'Калькуляция (5.9)'!$G$25:$G$194,$G54))</f>
        <v>0</v>
      </c>
      <c r="AW54" s="22">
        <f ca="1">IF(method_reg="Метод сравнения аналогов",SUMIFS(INDEX('Калькуляция (МСА)'!$AE$25:$BC$109,,MATCH(AW$8,'Калькуляция (МСА)'!$AE$8:$BC$8,0)),'Калькуляция (МСА)'!$F$25:$F$109,$F54,'Калькуляция (МСА)'!$G$25:$G$109,$G54),SUMIFS(INDEX('Калькуляция (5.9)'!$AJ$25:$BC$194,,MATCH(AW$8,'Калькуляция (5.9)'!$AJ$8:$BC$8,0)),'Калькуляция (5.9)'!$F$25:$F$194,$F54,'Калькуляция (5.9)'!$G$25:$G$194,$G54))</f>
        <v>0</v>
      </c>
      <c r="AX54" s="312">
        <f ca="1">IF(AV54=0,0,(AW54-AV54)/AV54*100)</f>
        <v>0</v>
      </c>
      <c r="AY54" s="22">
        <f ca="1">IF(method_reg="Метод сравнения аналогов",SUMIFS(INDEX('Калькуляция (МСА)'!$AE$25:$BC$109,,MATCH(AY$8,'Калькуляция (МСА)'!$AE$8:$BC$8,0)),'Калькуляция (МСА)'!$F$25:$F$109,$F54,'Калькуляция (МСА)'!$G$25:$G$109,$G54),SUMIFS(INDEX('Калькуляция (5.9)'!$AJ$25:$BC$194,,MATCH(AY$8,'Калькуляция (5.9)'!$AJ$8:$BC$8,0)),'Калькуляция (5.9)'!$F$25:$F$194,$F54,'Калькуляция (5.9)'!$G$25:$G$194,$G54))</f>
        <v>0</v>
      </c>
      <c r="AZ54" s="22">
        <f ca="1">IF(method_reg="Метод сравнения аналогов",SUMIFS(INDEX('Калькуляция (МСА)'!$AE$25:$BC$109,,MATCH(AZ$8,'Калькуляция (МСА)'!$AE$8:$BC$8,0)),'Калькуляция (МСА)'!$F$25:$F$109,$F54,'Калькуляция (МСА)'!$G$25:$G$109,$G54),SUMIFS(INDEX('Калькуляция (5.9)'!$AJ$25:$BC$194,,MATCH(AZ$8,'Калькуляция (5.9)'!$AJ$8:$BC$8,0)),'Калькуляция (5.9)'!$F$25:$F$194,$F54,'Калькуляция (5.9)'!$G$25:$G$194,$G54))</f>
        <v>0</v>
      </c>
      <c r="BA54" s="312">
        <f ca="1">IF(AY54=0,0,(AZ54-AY54)/AY54*100)</f>
        <v>0</v>
      </c>
      <c r="BB54" s="22">
        <f ca="1">IF(method_reg="Метод сравнения аналогов",SUMIFS(INDEX('Калькуляция (МСА)'!$AE$25:$BC$109,,MATCH(BB$8,'Калькуляция (МСА)'!$AE$8:$BC$8,0)),'Калькуляция (МСА)'!$F$25:$F$109,$F54,'Калькуляция (МСА)'!$G$25:$G$109,$G54),SUMIFS(INDEX('Калькуляция (5.9)'!$AJ$25:$BC$194,,MATCH(BB$8,'Калькуляция (5.9)'!$AJ$8:$BC$8,0)),'Калькуляция (5.9)'!$F$25:$F$194,$F54,'Калькуляция (5.9)'!$G$25:$G$194,$G54))</f>
        <v>0</v>
      </c>
      <c r="BC54" s="22">
        <f ca="1">IF(method_reg="Метод сравнения аналогов",SUMIFS(INDEX('Калькуляция (МСА)'!$AE$25:$BC$109,,MATCH(BC$8,'Калькуляция (МСА)'!$AE$8:$BC$8,0)),'Калькуляция (МСА)'!$F$25:$F$109,$F54,'Калькуляция (МСА)'!$G$25:$G$109,$G54),SUMIFS(INDEX('Калькуляция (5.9)'!$AJ$25:$BC$194,,MATCH(BC$8,'Калькуляция (5.9)'!$AJ$8:$BC$8,0)),'Калькуляция (5.9)'!$F$25:$F$194,$F54,'Калькуляция (5.9)'!$G$25:$G$194,$G54))</f>
        <v>0</v>
      </c>
      <c r="BD54" s="312">
        <f ca="1">IF(BB54=0,0,(BC54-BB54)/BB54*100)</f>
        <v>0</v>
      </c>
      <c r="BE54" s="22">
        <f ca="1">IF(method_reg="Метод сравнения аналогов",SUMIFS(INDEX('Калькуляция (МСА)'!$AE$25:$BC$109,,MATCH(BE$8,'Калькуляция (МСА)'!$AE$8:$BC$8,0)),'Калькуляция (МСА)'!$F$25:$F$109,$F54,'Калькуляция (МСА)'!$G$25:$G$109,$G54),SUMIFS(INDEX('Калькуляция (5.9)'!$AJ$25:$BC$194,,MATCH(BE$8,'Калькуляция (5.9)'!$AJ$8:$BC$8,0)),'Калькуляция (5.9)'!$F$25:$F$194,$F54,'Калькуляция (5.9)'!$G$25:$G$194,$G54))</f>
        <v>0</v>
      </c>
      <c r="BF54" s="22">
        <f ca="1">IF(method_reg="Метод сравнения аналогов",SUMIFS(INDEX('Калькуляция (МСА)'!$AE$25:$BC$109,,MATCH(BF$8,'Калькуляция (МСА)'!$AE$8:$BC$8,0)),'Калькуляция (МСА)'!$F$25:$F$109,$F54,'Калькуляция (МСА)'!$G$25:$G$109,$G54),SUMIFS(INDEX('Калькуляция (5.9)'!$AJ$25:$BC$194,,MATCH(BF$8,'Калькуляция (5.9)'!$AJ$8:$BC$8,0)),'Калькуляция (5.9)'!$F$25:$F$194,$F54,'Калькуляция (5.9)'!$G$25:$G$194,$G54))</f>
        <v>0</v>
      </c>
      <c r="BG54" s="312">
        <f ca="1">IF(BE54=0,0,(BF54-BE54)/BE54*100)</f>
        <v>0</v>
      </c>
      <c r="BH54" s="22"/>
      <c r="BI54" s="22"/>
      <c r="BJ54" s="312">
        <f>IF(BH54=0,0,(BI54-BH54)/BH54*100)</f>
        <v>0</v>
      </c>
      <c r="BK54" s="22"/>
      <c r="BL54" s="22"/>
      <c r="BM54" s="312">
        <f>IF(BK54=0,0,(BL54-BK54)/BK54*100)</f>
        <v>0</v>
      </c>
      <c r="BN54" s="22"/>
      <c r="BO54" s="22"/>
      <c r="BP54" s="312">
        <f>IF(BN54=0,0,(BO54-BN54)/BN54*100)</f>
        <v>0</v>
      </c>
      <c r="BQ54" s="22"/>
      <c r="BR54" s="22"/>
      <c r="BS54" s="312">
        <f>IF(BQ54=0,0,(BR54-BQ54)/BQ54*100)</f>
        <v>0</v>
      </c>
      <c r="BT54" s="22"/>
      <c r="BU54" s="22"/>
      <c r="BV54" s="312">
        <f>IF(BT54=0,0,(BU54-BT54)/BT54*100)</f>
        <v>0</v>
      </c>
      <c r="BW54" s="22"/>
      <c r="BX54" s="22"/>
      <c r="BY54" s="312">
        <f>IF(BW54=0,0,(BX54-BW54)/BW54*100)</f>
        <v>0</v>
      </c>
      <c r="BZ54" s="22"/>
      <c r="CA54" s="22"/>
      <c r="CB54" s="312">
        <f>IF(BZ54=0,0,(CA54-BZ54)/BZ54*100)</f>
        <v>0</v>
      </c>
      <c r="CC54" s="22"/>
      <c r="CD54" s="22"/>
      <c r="CE54" s="312">
        <f>IF(CC54=0,0,(CD54-CC54)/CC54*100)</f>
        <v>0</v>
      </c>
      <c r="CF54" s="22"/>
      <c r="CG54" s="22"/>
      <c r="CH54" s="312">
        <f>IF(CF54=0,0,(CG54-CF54)/CF54*100)</f>
        <v>0</v>
      </c>
      <c r="CI54" s="22"/>
      <c r="CJ54" s="22"/>
      <c r="CK54" s="312">
        <f>IF(CI54=0,0,(CJ54-CI54)/CI54*100)</f>
        <v>0</v>
      </c>
      <c r="CL54" s="22"/>
      <c r="CM54" s="22"/>
      <c r="CN54" s="312">
        <f>IF(CL54=0,0,(CM54-CL54)/CL54*100)</f>
        <v>0</v>
      </c>
      <c r="CO54" s="22"/>
      <c r="CP54" s="22"/>
      <c r="CQ54" s="312">
        <f>IF(CO54=0,0,(CP54-CO54)/CO54*100)</f>
        <v>0</v>
      </c>
      <c r="CR54" s="22"/>
      <c r="CS54" s="22"/>
      <c r="CT54" s="312">
        <f>IF(CR54=0,0,(CS54-CR54)/CR54*100)</f>
        <v>0</v>
      </c>
      <c r="CU54" s="22"/>
      <c r="CV54" s="22"/>
      <c r="CW54" s="312">
        <f>IF(CU54=0,0,(CV54-CU54)/CU54*100)</f>
        <v>0</v>
      </c>
      <c r="CX54" s="22"/>
      <c r="CY54" s="22"/>
      <c r="CZ54" s="312">
        <f>IF(CX54=0,0,(CY54-CX54)/CX54*100)</f>
        <v>0</v>
      </c>
      <c r="DA54" s="22"/>
      <c r="DB54" s="22"/>
      <c r="DC54" s="312">
        <f>IF(DA54=0,0,(DB54-DA54)/DA54*100)</f>
        <v>0</v>
      </c>
      <c r="DD54" s="22"/>
      <c r="DE54" s="22"/>
      <c r="DF54" s="312">
        <f>IF(DD54=0,0,(DE54-DD54)/DD54*100)</f>
        <v>0</v>
      </c>
      <c r="DG54" s="22"/>
      <c r="DH54" s="22"/>
      <c r="DI54" s="312">
        <f>IF(DG54=0,0,(DH54-DG54)/DG54*100)</f>
        <v>0</v>
      </c>
      <c r="DJ54" s="22"/>
      <c r="DK54" s="22"/>
      <c r="DL54" s="312">
        <f>IF(DJ54=0,0,(DK54-DJ54)/DJ54*100)</f>
        <v>0</v>
      </c>
      <c r="DM54" s="22"/>
      <c r="DN54" s="22"/>
      <c r="DO54" s="312">
        <f>IF(DM54=0,0,(DN54-DM54)/DM54*100)</f>
        <v>0</v>
      </c>
      <c r="DP54" s="22"/>
      <c r="DQ54" s="22"/>
      <c r="DR54" s="312">
        <f>IF(DP54=0,0,(DQ54-DP54)/DP54*100)</f>
        <v>0</v>
      </c>
      <c r="DS54" s="22"/>
      <c r="DT54" s="22"/>
      <c r="DU54" s="312">
        <f>IF(DS54=0,0,(DT54-DS54)/DS54*100)</f>
        <v>0</v>
      </c>
      <c r="DV54" s="22"/>
      <c r="DW54" s="22"/>
      <c r="DX54" s="312">
        <f>IF(DV54=0,0,(DW54-DV54)/DV54*100)</f>
        <v>0</v>
      </c>
      <c r="DY54" s="22"/>
      <c r="DZ54" s="22"/>
      <c r="EA54" s="312">
        <f>IF(DY54=0,0,(DZ54-DY54)/DY54*100)</f>
        <v>0</v>
      </c>
      <c r="EB54" s="22"/>
      <c r="EC54" s="22"/>
      <c r="ED54" s="312">
        <f>IF(EB54=0,0,(EC54-EB54)/EB54*100)</f>
        <v>0</v>
      </c>
      <c r="EE54" s="22"/>
      <c r="EF54" s="22"/>
      <c r="EG54" s="312">
        <f>IF(EE54=0,0,(EF54-EE54)/EE54*100)</f>
        <v>0</v>
      </c>
      <c r="EH54" s="22"/>
      <c r="EI54" s="22"/>
      <c r="EJ54" s="312">
        <f>IF(EH54=0,0,(EI54-EH54)/EH54*100)</f>
        <v>0</v>
      </c>
      <c r="EK54" s="22"/>
      <c r="EL54" s="22"/>
      <c r="EM54" s="312">
        <f>IF(EK54=0,0,(EL54-EK54)/EK54*100)</f>
        <v>0</v>
      </c>
      <c r="EN54" s="22"/>
      <c r="EO54" s="22"/>
      <c r="EP54" s="312">
        <f>IF(EN54=0,0,(EO54-EN54)/EN54*100)</f>
        <v>0</v>
      </c>
      <c r="EQ54" s="22"/>
      <c r="ER54" s="22"/>
      <c r="ES54" s="312">
        <f>IF(EQ54=0,0,(ER54-EQ54)/EQ54*100)</f>
        <v>0</v>
      </c>
      <c r="ET54" s="22"/>
      <c r="EU54" s="22"/>
      <c r="EV54" s="312">
        <f>IF(ET54=0,0,(EU54-ET54)/ET54*100)</f>
        <v>0</v>
      </c>
      <c r="EW54" s="22"/>
      <c r="EX54" s="22"/>
      <c r="EY54" s="312">
        <f>IF(EW54=0,0,(EX54-EW54)/EW54*100)</f>
        <v>0</v>
      </c>
      <c r="EZ54" s="22"/>
      <c r="FA54" s="22"/>
      <c r="FB54" s="312">
        <f>IF(EZ54=0,0,(FA54-EZ54)/EZ54*100)</f>
        <v>0</v>
      </c>
      <c r="FC54" s="22"/>
      <c r="FD54" s="22"/>
      <c r="FE54" s="312">
        <f>IF(FC54=0,0,(FD54-FC54)/FC54*100)</f>
        <v>0</v>
      </c>
      <c r="FF54" s="22"/>
      <c r="FG54" s="22"/>
      <c r="FH54" s="312">
        <f>IF(FF54=0,0,(FG54-FF54)/FF54*100)</f>
        <v>0</v>
      </c>
      <c r="FI54" s="22"/>
      <c r="FJ54" s="22"/>
      <c r="FK54" s="312">
        <f>IF(FI54=0,0,(FJ54-FI54)/FI54*100)</f>
        <v>0</v>
      </c>
      <c r="FL54" s="22"/>
      <c r="FM54" s="22"/>
      <c r="FN54" s="312">
        <f>IF(FL54=0,0,(FM54-FL54)/FL54*100)</f>
        <v>0</v>
      </c>
      <c r="FO54" s="22"/>
      <c r="FP54" s="22"/>
      <c r="FQ54" s="312">
        <f>IF(FO54=0,0,(FP54-FO54)/FO54*100)</f>
        <v>0</v>
      </c>
      <c r="FR54" s="22"/>
      <c r="FS54" s="22"/>
      <c r="FT54" s="312">
        <f>IF(FR54=0,0,(FS54-FR54)/FR54*100)</f>
        <v>0</v>
      </c>
      <c r="FU54" s="22"/>
      <c r="FV54" s="22"/>
      <c r="FW54" s="312">
        <f>IF(FU54=0,0,(FV54-FU54)/FU54*100)</f>
        <v>0</v>
      </c>
      <c r="FZ54" s="981" t="s">
        <v>2216</v>
      </c>
      <c r="GA54" s="981"/>
      <c r="GB54" s="981"/>
      <c r="GC54" s="981"/>
      <c r="GD54" s="981"/>
    </row>
    <row r="55" spans="2:186" ht="15.4" hidden="1" customHeight="1">
      <c r="B55" s="813" t="b" cm="1">
        <f t="array" ref="B55">B54</f>
        <v>0</v>
      </c>
      <c r="E55" s="676">
        <v>15.8</v>
      </c>
      <c r="F55" s="779" cm="1">
        <f t="array" aca="1" ref="F55" ca="1">OFFSET(G55,-1,-1)</f>
        <v>0</v>
      </c>
      <c r="J55" s="1092"/>
      <c r="K55" s="1108" cm="1">
        <f t="array" aca="1" ref="K55" ca="1">OFFSET(J55,-1,1)</f>
        <v>0</v>
      </c>
      <c r="L55" s="1092"/>
      <c r="M55" s="1092"/>
      <c r="N55" s="1092"/>
      <c r="O55" s="1092"/>
      <c r="P55" s="1108"/>
      <c r="Q55" s="1108"/>
      <c r="T55" s="687" t="b" cm="1">
        <f t="array" aca="1" ref="T55" ca="1">T54</f>
        <v>0</v>
      </c>
      <c r="X55" s="1726"/>
      <c r="Z55" s="1726"/>
      <c r="AB55" s="1140" t="s">
        <v>2217</v>
      </c>
      <c r="AC55" s="314"/>
      <c r="AD55" s="315"/>
      <c r="AE55" s="315"/>
      <c r="AF55" s="315"/>
      <c r="AG55" s="315"/>
      <c r="AH55" s="315"/>
      <c r="AI55" s="315"/>
      <c r="AJ55" s="315"/>
      <c r="AK55" s="315"/>
      <c r="AL55" s="315"/>
      <c r="AM55" s="315"/>
      <c r="AN55" s="315"/>
      <c r="AO55" s="315"/>
      <c r="AP55" s="315"/>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6"/>
      <c r="GA55" s="981"/>
      <c r="GB55" s="981"/>
      <c r="GC55" s="981"/>
      <c r="GD55" s="981"/>
    </row>
    <row r="56" spans="2:186" ht="15.4" hidden="1" customHeight="1">
      <c r="B56" s="813" t="b" cm="1">
        <f t="array" ref="B56">B55</f>
        <v>0</v>
      </c>
      <c r="C56" s="1118" t="s">
        <v>2193</v>
      </c>
      <c r="D56" s="1087" t="s">
        <v>2194</v>
      </c>
      <c r="E56" s="676">
        <v>15.8</v>
      </c>
      <c r="F56" s="779" cm="1">
        <f t="array" aca="1" ref="F56" ca="1">OFFSET(G56,-1,-1)</f>
        <v>0</v>
      </c>
      <c r="G56" s="620" t="s">
        <v>1794</v>
      </c>
      <c r="H56" s="163" t="s">
        <v>2195</v>
      </c>
      <c r="I56" s="163" t="s">
        <v>2155</v>
      </c>
      <c r="J56" s="1108"/>
      <c r="K56" s="1108" cm="1">
        <f t="array" aca="1" ref="K56" ca="1">OFFSET(J56,-1,1)</f>
        <v>0</v>
      </c>
      <c r="L56" s="1108"/>
      <c r="M56" s="1108" t="s">
        <v>1791</v>
      </c>
      <c r="N56" s="1108" t="s">
        <v>2151</v>
      </c>
      <c r="O56" s="1109" t="s">
        <v>2152</v>
      </c>
      <c r="P56" s="1108" t="s">
        <v>2196</v>
      </c>
      <c r="Q56" s="1108"/>
      <c r="T56" s="687" t="b" cm="1">
        <f t="array" aca="1" ref="T56" ca="1">T55</f>
        <v>0</v>
      </c>
      <c r="X56" s="1726"/>
      <c r="Z56" s="1726"/>
      <c r="AB56" s="223" t="s">
        <v>2197</v>
      </c>
      <c r="AC56" s="123" t="s">
        <v>929</v>
      </c>
      <c r="AD56" s="22">
        <f ca="1">IF(method_reg="Метод экономически обоснованных расходов",SUMIFS('Калькуляция (4.6)'!AJ$25:AJ$229,'Калькуляция (4.6)'!$F$25:$F$229,$F56,'Калькуляция (4.6)'!$G$25:$G$229,$G56),IF(method_reg="Метод сравнения аналогов",SUMIFS(INDEX('Калькуляция (МСА)'!$AE$25:$BC$109,,MATCH(AD$8,'Калькуляция (МСА)'!$AE$8:$BC$8,0)),'Калькуляция (МСА)'!$F$25:$F$109,$F56,'Калькуляция (МСА)'!$G$25:$G$109,$G56),SUMIFS(INDEX('Калькуляция (5.9)'!$AJ$25:$BC$194,,MATCH(AD$8,'Калькуляция (5.9)'!$AJ$8:$BC$8,0)),'Калькуляция (5.9)'!$F$25:$F$194,$F56,'Калькуляция (5.9)'!$G$25:$G$194,$G56)))</f>
        <v>0</v>
      </c>
      <c r="AE56" s="22">
        <f ca="1">IF(method_reg="Метод экономически обоснованных расходов",SUMIFS('Калькуляция (4.6)'!AK$25:AK$229,'Калькуляция (4.6)'!$F$25:$F$229,$F56,'Калькуляция (4.6)'!$G$25:$G$229,$G56),IF(method_reg="Метод сравнения аналогов",SUMIFS(INDEX('Калькуляция (МСА)'!$AE$25:$BC$109,,MATCH(AE$8,'Калькуляция (МСА)'!$AE$8:$BC$8,0)),'Калькуляция (МСА)'!$F$25:$F$109,$F56,'Калькуляция (МСА)'!$G$25:$G$109,$G56),SUMIFS(INDEX('Калькуляция (5.9)'!$AJ$25:$BC$194,,MATCH(AE$8,'Калькуляция (5.9)'!$AJ$8:$BC$8,0)),'Калькуляция (5.9)'!$F$25:$F$194,$F56,'Калькуляция (5.9)'!$G$25:$G$194,$G56)))</f>
        <v>0</v>
      </c>
      <c r="AF56" s="312">
        <f ca="1">IF(AD56=0,0,(AE56-AD56)/AD56*100)</f>
        <v>0</v>
      </c>
      <c r="AG56" s="313">
        <f ca="1">IF(method_reg="Метод сравнения аналогов",SUMIFS(INDEX('Калькуляция (МСА)'!$AE$25:$BC$109,,MATCH(AG$8,'Калькуляция (МСА)'!$AE$8:$BC$8,0)),'Калькуляция (МСА)'!$F$25:$F$109,$F56,'Калькуляция (МСА)'!$G$25:$G$109,$G56),SUMIFS(INDEX('Калькуляция (5.9)'!$AJ$25:$BC$194,,MATCH(AG$8,'Калькуляция (5.9)'!$AJ$8:$BC$8,0)),'Калькуляция (5.9)'!$F$25:$F$194,$F56,'Калькуляция (5.9)'!$G$25:$G$194,$G56))</f>
        <v>0</v>
      </c>
      <c r="AH56" s="313">
        <f ca="1">IF(method_reg="Метод сравнения аналогов",SUMIFS(INDEX('Калькуляция (МСА)'!$AE$25:$BC$109,,MATCH(AH$8,'Калькуляция (МСА)'!$AE$8:$BC$8,0)),'Калькуляция (МСА)'!$F$25:$F$109,$F56,'Калькуляция (МСА)'!$G$25:$G$109,$G56),SUMIFS(INDEX('Калькуляция (5.9)'!$AJ$25:$BC$194,,MATCH(AH$8,'Калькуляция (5.9)'!$AJ$8:$BC$8,0)),'Калькуляция (5.9)'!$F$25:$F$194,$F56,'Калькуляция (5.9)'!$G$25:$G$194,$G56))</f>
        <v>0</v>
      </c>
      <c r="AI56" s="312">
        <f ca="1">IF(AG56=0,0,(AH56-AG56)/AG56*100)</f>
        <v>0</v>
      </c>
      <c r="AJ56" s="313">
        <f ca="1">IF(method_reg="Метод сравнения аналогов",SUMIFS(INDEX('Калькуляция (МСА)'!$AE$25:$BC$109,,MATCH(AJ$8,'Калькуляция (МСА)'!$AE$8:$BC$8,0)),'Калькуляция (МСА)'!$F$25:$F$109,$F56,'Калькуляция (МСА)'!$G$25:$G$109,$G56),SUMIFS(INDEX('Калькуляция (5.9)'!$AJ$25:$BC$194,,MATCH(AJ$8,'Калькуляция (5.9)'!$AJ$8:$BC$8,0)),'Калькуляция (5.9)'!$F$25:$F$194,$F56,'Калькуляция (5.9)'!$G$25:$G$194,$G56))</f>
        <v>0</v>
      </c>
      <c r="AK56" s="313">
        <f ca="1">IF(method_reg="Метод сравнения аналогов",SUMIFS(INDEX('Калькуляция (МСА)'!$AE$25:$BC$109,,MATCH(AK$8,'Калькуляция (МСА)'!$AE$8:$BC$8,0)),'Калькуляция (МСА)'!$F$25:$F$109,$F56,'Калькуляция (МСА)'!$G$25:$G$109,$G56),SUMIFS(INDEX('Калькуляция (5.9)'!$AJ$25:$BC$194,,MATCH(AK$8,'Калькуляция (5.9)'!$AJ$8:$BC$8,0)),'Калькуляция (5.9)'!$F$25:$F$194,$F56,'Калькуляция (5.9)'!$G$25:$G$194,$G56))</f>
        <v>0</v>
      </c>
      <c r="AL56" s="312">
        <f ca="1">IF(AJ56=0,0,(AK56-AJ56)/AJ56*100)</f>
        <v>0</v>
      </c>
      <c r="AM56" s="313">
        <f ca="1">IF(method_reg="Метод сравнения аналогов",SUMIFS(INDEX('Калькуляция (МСА)'!$AE$25:$BC$109,,MATCH(AM$8,'Калькуляция (МСА)'!$AE$8:$BC$8,0)),'Калькуляция (МСА)'!$F$25:$F$109,$F56,'Калькуляция (МСА)'!$G$25:$G$109,$G56),SUMIFS(INDEX('Калькуляция (5.9)'!$AJ$25:$BC$194,,MATCH(AM$8,'Калькуляция (5.9)'!$AJ$8:$BC$8,0)),'Калькуляция (5.9)'!$F$25:$F$194,$F56,'Калькуляция (5.9)'!$G$25:$G$194,$G56))</f>
        <v>0</v>
      </c>
      <c r="AN56" s="313">
        <f ca="1">IF(method_reg="Метод сравнения аналогов",SUMIFS(INDEX('Калькуляция (МСА)'!$AE$25:$BC$109,,MATCH(AN$8,'Калькуляция (МСА)'!$AE$8:$BC$8,0)),'Калькуляция (МСА)'!$F$25:$F$109,$F56,'Калькуляция (МСА)'!$G$25:$G$109,$G56),SUMIFS(INDEX('Калькуляция (5.9)'!$AJ$25:$BC$194,,MATCH(AN$8,'Калькуляция (5.9)'!$AJ$8:$BC$8,0)),'Калькуляция (5.9)'!$F$25:$F$194,$F56,'Калькуляция (5.9)'!$G$25:$G$194,$G56))</f>
        <v>0</v>
      </c>
      <c r="AO56" s="312">
        <f ca="1">IF(AM56=0,0,(AN56-AM56)/AM56*100)</f>
        <v>0</v>
      </c>
      <c r="AP56" s="313">
        <f ca="1">IF(method_reg="Метод сравнения аналогов",SUMIFS(INDEX('Калькуляция (МСА)'!$AE$25:$BC$109,,MATCH(AP$8,'Калькуляция (МСА)'!$AE$8:$BC$8,0)),'Калькуляция (МСА)'!$F$25:$F$109,$F56,'Калькуляция (МСА)'!$G$25:$G$109,$G56),SUMIFS(INDEX('Калькуляция (5.9)'!$AJ$25:$BC$194,,MATCH(AP$8,'Калькуляция (5.9)'!$AJ$8:$BC$8,0)),'Калькуляция (5.9)'!$F$25:$F$194,$F56,'Калькуляция (5.9)'!$G$25:$G$194,$G56))</f>
        <v>0</v>
      </c>
      <c r="AQ56" s="313">
        <f ca="1">IF(method_reg="Метод сравнения аналогов",SUMIFS(INDEX('Калькуляция (МСА)'!$AE$25:$BC$109,,MATCH(AQ$8,'Калькуляция (МСА)'!$AE$8:$BC$8,0)),'Калькуляция (МСА)'!$F$25:$F$109,$F56,'Калькуляция (МСА)'!$G$25:$G$109,$G56),SUMIFS(INDEX('Калькуляция (5.9)'!$AJ$25:$BC$194,,MATCH(AQ$8,'Калькуляция (5.9)'!$AJ$8:$BC$8,0)),'Калькуляция (5.9)'!$F$25:$F$194,$F56,'Калькуляция (5.9)'!$G$25:$G$194,$G56))</f>
        <v>0</v>
      </c>
      <c r="AR56" s="312">
        <f ca="1">IF(AP56=0,0,(AQ56-AP56)/AP56*100)</f>
        <v>0</v>
      </c>
      <c r="AS56" s="22">
        <f ca="1">IF(method_reg="Метод сравнения аналогов",SUMIFS(INDEX('Калькуляция (МСА)'!$AE$25:$BC$109,,MATCH(AS$8,'Калькуляция (МСА)'!$AE$8:$BC$8,0)),'Калькуляция (МСА)'!$F$25:$F$109,$F56,'Калькуляция (МСА)'!$G$25:$G$109,$G56),SUMIFS(INDEX('Калькуляция (5.9)'!$AJ$25:$BC$194,,MATCH(AS$8,'Калькуляция (5.9)'!$AJ$8:$BC$8,0)),'Калькуляция (5.9)'!$F$25:$F$194,$F56,'Калькуляция (5.9)'!$G$25:$G$194,$G56))</f>
        <v>0</v>
      </c>
      <c r="AT56" s="22">
        <f ca="1">IF(method_reg="Метод сравнения аналогов",SUMIFS(INDEX('Калькуляция (МСА)'!$AE$25:$BC$109,,MATCH(AT$8,'Калькуляция (МСА)'!$AE$8:$BC$8,0)),'Калькуляция (МСА)'!$F$25:$F$109,$F56,'Калькуляция (МСА)'!$G$25:$G$109,$G56),SUMIFS(INDEX('Калькуляция (5.9)'!$AJ$25:$BC$194,,MATCH(AT$8,'Калькуляция (5.9)'!$AJ$8:$BC$8,0)),'Калькуляция (5.9)'!$F$25:$F$194,$F56,'Калькуляция (5.9)'!$G$25:$G$194,$G56))</f>
        <v>0</v>
      </c>
      <c r="AU56" s="312">
        <f ca="1">IF(AS56=0,0,(AT56-AS56)/AS56*100)</f>
        <v>0</v>
      </c>
      <c r="AV56" s="22">
        <f ca="1">IF(method_reg="Метод сравнения аналогов",SUMIFS(INDEX('Калькуляция (МСА)'!$AE$25:$BC$109,,MATCH(AV$8,'Калькуляция (МСА)'!$AE$8:$BC$8,0)),'Калькуляция (МСА)'!$F$25:$F$109,$F56,'Калькуляция (МСА)'!$G$25:$G$109,$G56),SUMIFS(INDEX('Калькуляция (5.9)'!$AJ$25:$BC$194,,MATCH(AV$8,'Калькуляция (5.9)'!$AJ$8:$BC$8,0)),'Калькуляция (5.9)'!$F$25:$F$194,$F56,'Калькуляция (5.9)'!$G$25:$G$194,$G56))</f>
        <v>0</v>
      </c>
      <c r="AW56" s="22">
        <f ca="1">IF(method_reg="Метод сравнения аналогов",SUMIFS(INDEX('Калькуляция (МСА)'!$AE$25:$BC$109,,MATCH(AW$8,'Калькуляция (МСА)'!$AE$8:$BC$8,0)),'Калькуляция (МСА)'!$F$25:$F$109,$F56,'Калькуляция (МСА)'!$G$25:$G$109,$G56),SUMIFS(INDEX('Калькуляция (5.9)'!$AJ$25:$BC$194,,MATCH(AW$8,'Калькуляция (5.9)'!$AJ$8:$BC$8,0)),'Калькуляция (5.9)'!$F$25:$F$194,$F56,'Калькуляция (5.9)'!$G$25:$G$194,$G56))</f>
        <v>0</v>
      </c>
      <c r="AX56" s="312">
        <f ca="1">IF(AV56=0,0,(AW56-AV56)/AV56*100)</f>
        <v>0</v>
      </c>
      <c r="AY56" s="22">
        <f ca="1">IF(method_reg="Метод сравнения аналогов",SUMIFS(INDEX('Калькуляция (МСА)'!$AE$25:$BC$109,,MATCH(AY$8,'Калькуляция (МСА)'!$AE$8:$BC$8,0)),'Калькуляция (МСА)'!$F$25:$F$109,$F56,'Калькуляция (МСА)'!$G$25:$G$109,$G56),SUMIFS(INDEX('Калькуляция (5.9)'!$AJ$25:$BC$194,,MATCH(AY$8,'Калькуляция (5.9)'!$AJ$8:$BC$8,0)),'Калькуляция (5.9)'!$F$25:$F$194,$F56,'Калькуляция (5.9)'!$G$25:$G$194,$G56))</f>
        <v>0</v>
      </c>
      <c r="AZ56" s="22">
        <f ca="1">IF(method_reg="Метод сравнения аналогов",SUMIFS(INDEX('Калькуляция (МСА)'!$AE$25:$BC$109,,MATCH(AZ$8,'Калькуляция (МСА)'!$AE$8:$BC$8,0)),'Калькуляция (МСА)'!$F$25:$F$109,$F56,'Калькуляция (МСА)'!$G$25:$G$109,$G56),SUMIFS(INDEX('Калькуляция (5.9)'!$AJ$25:$BC$194,,MATCH(AZ$8,'Калькуляция (5.9)'!$AJ$8:$BC$8,0)),'Калькуляция (5.9)'!$F$25:$F$194,$F56,'Калькуляция (5.9)'!$G$25:$G$194,$G56))</f>
        <v>0</v>
      </c>
      <c r="BA56" s="312">
        <f ca="1">IF(AY56=0,0,(AZ56-AY56)/AY56*100)</f>
        <v>0</v>
      </c>
      <c r="BB56" s="22">
        <f ca="1">IF(method_reg="Метод сравнения аналогов",SUMIFS(INDEX('Калькуляция (МСА)'!$AE$25:$BC$109,,MATCH(BB$8,'Калькуляция (МСА)'!$AE$8:$BC$8,0)),'Калькуляция (МСА)'!$F$25:$F$109,$F56,'Калькуляция (МСА)'!$G$25:$G$109,$G56),SUMIFS(INDEX('Калькуляция (5.9)'!$AJ$25:$BC$194,,MATCH(BB$8,'Калькуляция (5.9)'!$AJ$8:$BC$8,0)),'Калькуляция (5.9)'!$F$25:$F$194,$F56,'Калькуляция (5.9)'!$G$25:$G$194,$G56))</f>
        <v>0</v>
      </c>
      <c r="BC56" s="22">
        <f ca="1">IF(method_reg="Метод сравнения аналогов",SUMIFS(INDEX('Калькуляция (МСА)'!$AE$25:$BC$109,,MATCH(BC$8,'Калькуляция (МСА)'!$AE$8:$BC$8,0)),'Калькуляция (МСА)'!$F$25:$F$109,$F56,'Калькуляция (МСА)'!$G$25:$G$109,$G56),SUMIFS(INDEX('Калькуляция (5.9)'!$AJ$25:$BC$194,,MATCH(BC$8,'Калькуляция (5.9)'!$AJ$8:$BC$8,0)),'Калькуляция (5.9)'!$F$25:$F$194,$F56,'Калькуляция (5.9)'!$G$25:$G$194,$G56))</f>
        <v>0</v>
      </c>
      <c r="BD56" s="312">
        <f ca="1">IF(BB56=0,0,(BC56-BB56)/BB56*100)</f>
        <v>0</v>
      </c>
      <c r="BE56" s="22">
        <f ca="1">IF(method_reg="Метод сравнения аналогов",SUMIFS(INDEX('Калькуляция (МСА)'!$AE$25:$BC$109,,MATCH(BE$8,'Калькуляция (МСА)'!$AE$8:$BC$8,0)),'Калькуляция (МСА)'!$F$25:$F$109,$F56,'Калькуляция (МСА)'!$G$25:$G$109,$G56),SUMIFS(INDEX('Калькуляция (5.9)'!$AJ$25:$BC$194,,MATCH(BE$8,'Калькуляция (5.9)'!$AJ$8:$BC$8,0)),'Калькуляция (5.9)'!$F$25:$F$194,$F56,'Калькуляция (5.9)'!$G$25:$G$194,$G56))</f>
        <v>0</v>
      </c>
      <c r="BF56" s="22">
        <f ca="1">IF(method_reg="Метод сравнения аналогов",SUMIFS(INDEX('Калькуляция (МСА)'!$AE$25:$BC$109,,MATCH(BF$8,'Калькуляция (МСА)'!$AE$8:$BC$8,0)),'Калькуляция (МСА)'!$F$25:$F$109,$F56,'Калькуляция (МСА)'!$G$25:$G$109,$G56),SUMIFS(INDEX('Калькуляция (5.9)'!$AJ$25:$BC$194,,MATCH(BF$8,'Калькуляция (5.9)'!$AJ$8:$BC$8,0)),'Калькуляция (5.9)'!$F$25:$F$194,$F56,'Калькуляция (5.9)'!$G$25:$G$194,$G56))</f>
        <v>0</v>
      </c>
      <c r="BG56" s="312">
        <f ca="1">IF(BE56=0,0,(BF56-BE56)/BE56*100)</f>
        <v>0</v>
      </c>
      <c r="BH56" s="22">
        <f>IF(BH58=0,0,(BH57*BH58+BH59*BH60*6)/BH58)</f>
        <v>0</v>
      </c>
      <c r="BI56" s="22">
        <f>IF(BI58=0,0,(BI57*BI58+BI59*BI60*6)/BI58)</f>
        <v>0</v>
      </c>
      <c r="BJ56" s="312">
        <f>IF(BH56=0,0,(BI56-BH56)/BH56*100)</f>
        <v>0</v>
      </c>
      <c r="BK56" s="22">
        <f>IF(BK58=0,0,(BK57*BK58+BK59*BK60*6)/BK58)</f>
        <v>0</v>
      </c>
      <c r="BL56" s="22">
        <f>IF(BL58=0,0,(BL57*BL58+BL59*BL60*6)/BL58)</f>
        <v>0</v>
      </c>
      <c r="BM56" s="312">
        <f>IF(BK56=0,0,(BL56-BK56)/BK56*100)</f>
        <v>0</v>
      </c>
      <c r="BN56" s="22">
        <f>IF(BN58=0,0,(BN57*BN58+BN59*BN60*6)/BN58)</f>
        <v>0</v>
      </c>
      <c r="BO56" s="22">
        <f>IF(BO58=0,0,(BO57*BO58+BO59*BO60*6)/BO58)</f>
        <v>0</v>
      </c>
      <c r="BP56" s="312">
        <f>IF(BN56=0,0,(BO56-BN56)/BN56*100)</f>
        <v>0</v>
      </c>
      <c r="BQ56" s="22">
        <f>IF(BQ58=0,0,(BQ57*BQ58+BQ59*BQ60*6)/BQ58)</f>
        <v>0</v>
      </c>
      <c r="BR56" s="22">
        <f>IF(BR58=0,0,(BR57*BR58+BR59*BR60*6)/BR58)</f>
        <v>0</v>
      </c>
      <c r="BS56" s="312">
        <f>IF(BQ56=0,0,(BR56-BQ56)/BQ56*100)</f>
        <v>0</v>
      </c>
      <c r="BT56" s="22">
        <f>IF(BT58=0,0,(BT57*BT58+BT59*BT60*6)/BT58)</f>
        <v>0</v>
      </c>
      <c r="BU56" s="22">
        <f>IF(BU58=0,0,(BU57*BU58+BU59*BU60*6)/BU58)</f>
        <v>0</v>
      </c>
      <c r="BV56" s="312">
        <f>IF(BT56=0,0,(BU56-BT56)/BT56*100)</f>
        <v>0</v>
      </c>
      <c r="BW56" s="22">
        <f>IF(BW58=0,0,(BW57*BW58+BW59*BW60*6)/BW58)</f>
        <v>0</v>
      </c>
      <c r="BX56" s="22">
        <f>IF(BX58=0,0,(BX57*BX58+BX59*BX60*6)/BX58)</f>
        <v>0</v>
      </c>
      <c r="BY56" s="312">
        <f>IF(BW56=0,0,(BX56-BW56)/BW56*100)</f>
        <v>0</v>
      </c>
      <c r="BZ56" s="22">
        <f>IF(BZ58=0,0,(BZ57*BZ58+BZ59*BZ60*6)/BZ58)</f>
        <v>0</v>
      </c>
      <c r="CA56" s="22">
        <f>IF(CA58=0,0,(CA57*CA58+CA59*CA60*6)/CA58)</f>
        <v>0</v>
      </c>
      <c r="CB56" s="312">
        <f>IF(BZ56=0,0,(CA56-BZ56)/BZ56*100)</f>
        <v>0</v>
      </c>
      <c r="CC56" s="22">
        <f>IF(CC58=0,0,(CC57*CC58+CC59*CC60*6)/CC58)</f>
        <v>0</v>
      </c>
      <c r="CD56" s="22">
        <f>IF(CD58=0,0,(CD57*CD58+CD59*CD60*6)/CD58)</f>
        <v>0</v>
      </c>
      <c r="CE56" s="312">
        <f>IF(CC56=0,0,(CD56-CC56)/CC56*100)</f>
        <v>0</v>
      </c>
      <c r="CF56" s="22">
        <f>IF(CF58=0,0,(CF57*CF58+CF59*CF60*6)/CF58)</f>
        <v>0</v>
      </c>
      <c r="CG56" s="22">
        <f>IF(CG58=0,0,(CG57*CG58+CG59*CG60*6)/CG58)</f>
        <v>0</v>
      </c>
      <c r="CH56" s="312">
        <f>IF(CF56=0,0,(CG56-CF56)/CF56*100)</f>
        <v>0</v>
      </c>
      <c r="CI56" s="22">
        <f>IF(CI58=0,0,(CI57*CI58+CI59*CI60*6)/CI58)</f>
        <v>0</v>
      </c>
      <c r="CJ56" s="22">
        <f>IF(CJ58=0,0,(CJ57*CJ58+CJ59*CJ60*6)/CJ58)</f>
        <v>0</v>
      </c>
      <c r="CK56" s="312">
        <f>IF(CI56=0,0,(CJ56-CI56)/CI56*100)</f>
        <v>0</v>
      </c>
      <c r="CL56" s="22">
        <f>IF(CL58=0,0,(CL57*CL58+CL59*CL60*6)/CL58)</f>
        <v>0</v>
      </c>
      <c r="CM56" s="22">
        <f>IF(CM58=0,0,(CM57*CM58+CM59*CM60*6)/CM58)</f>
        <v>0</v>
      </c>
      <c r="CN56" s="312">
        <f>IF(CL56=0,0,(CM56-CL56)/CL56*100)</f>
        <v>0</v>
      </c>
      <c r="CO56" s="22">
        <f>IF(CO58=0,0,(CO57*CO58+CO59*CO60*6)/CO58)</f>
        <v>0</v>
      </c>
      <c r="CP56" s="22">
        <f>IF(CP58=0,0,(CP57*CP58+CP59*CP60*6)/CP58)</f>
        <v>0</v>
      </c>
      <c r="CQ56" s="312">
        <f>IF(CO56=0,0,(CP56-CO56)/CO56*100)</f>
        <v>0</v>
      </c>
      <c r="CR56" s="22">
        <f>IF(CR58=0,0,(CR57*CR58+CR59*CR60*6)/CR58)</f>
        <v>0</v>
      </c>
      <c r="CS56" s="22">
        <f>IF(CS58=0,0,(CS57*CS58+CS59*CS60*6)/CS58)</f>
        <v>0</v>
      </c>
      <c r="CT56" s="312">
        <f>IF(CR56=0,0,(CS56-CR56)/CR56*100)</f>
        <v>0</v>
      </c>
      <c r="CU56" s="22">
        <f>IF(CU58=0,0,(CU57*CU58+CU59*CU60*6)/CU58)</f>
        <v>0</v>
      </c>
      <c r="CV56" s="22">
        <f>IF(CV58=0,0,(CV57*CV58+CV59*CV60*6)/CV58)</f>
        <v>0</v>
      </c>
      <c r="CW56" s="312">
        <f>IF(CU56=0,0,(CV56-CU56)/CU56*100)</f>
        <v>0</v>
      </c>
      <c r="CX56" s="22">
        <f>IF(CX58=0,0,(CX57*CX58+CX59*CX60*6)/CX58)</f>
        <v>0</v>
      </c>
      <c r="CY56" s="22">
        <f>IF(CY58=0,0,(CY57*CY58+CY59*CY60*6)/CY58)</f>
        <v>0</v>
      </c>
      <c r="CZ56" s="312">
        <f>IF(CX56=0,0,(CY56-CX56)/CX56*100)</f>
        <v>0</v>
      </c>
      <c r="DA56" s="22">
        <f>IF(DA58=0,0,(DA57*DA58+DA59*DA60*6)/DA58)</f>
        <v>0</v>
      </c>
      <c r="DB56" s="22">
        <f>IF(DB58=0,0,(DB57*DB58+DB59*DB60*6)/DB58)</f>
        <v>0</v>
      </c>
      <c r="DC56" s="312">
        <f>IF(DA56=0,0,(DB56-DA56)/DA56*100)</f>
        <v>0</v>
      </c>
      <c r="DD56" s="22">
        <f>IF(DD58=0,0,(DD57*DD58+DD59*DD60*6)/DD58)</f>
        <v>0</v>
      </c>
      <c r="DE56" s="22">
        <f>IF(DE58=0,0,(DE57*DE58+DE59*DE60*6)/DE58)</f>
        <v>0</v>
      </c>
      <c r="DF56" s="312">
        <f>IF(DD56=0,0,(DE56-DD56)/DD56*100)</f>
        <v>0</v>
      </c>
      <c r="DG56" s="22">
        <f>IF(DG58=0,0,(DG57*DG58+DG59*DG60*6)/DG58)</f>
        <v>0</v>
      </c>
      <c r="DH56" s="22">
        <f>IF(DH58=0,0,(DH57*DH58+DH59*DH60*6)/DH58)</f>
        <v>0</v>
      </c>
      <c r="DI56" s="312">
        <f>IF(DG56=0,0,(DH56-DG56)/DG56*100)</f>
        <v>0</v>
      </c>
      <c r="DJ56" s="22">
        <f>IF(DJ58=0,0,(DJ57*DJ58+DJ59*DJ60*6)/DJ58)</f>
        <v>0</v>
      </c>
      <c r="DK56" s="22">
        <f>IF(DK58=0,0,(DK57*DK58+DK59*DK60*6)/DK58)</f>
        <v>0</v>
      </c>
      <c r="DL56" s="312">
        <f>IF(DJ56=0,0,(DK56-DJ56)/DJ56*100)</f>
        <v>0</v>
      </c>
      <c r="DM56" s="22">
        <f>IF(DM58=0,0,(DM57*DM58+DM59*DM60*6)/DM58)</f>
        <v>0</v>
      </c>
      <c r="DN56" s="22">
        <f>IF(DN58=0,0,(DN57*DN58+DN59*DN60*6)/DN58)</f>
        <v>0</v>
      </c>
      <c r="DO56" s="312">
        <f>IF(DM56=0,0,(DN56-DM56)/DM56*100)</f>
        <v>0</v>
      </c>
      <c r="DP56" s="22">
        <f>IF(DP58=0,0,(DP57*DP58+DP59*DP60*6)/DP58)</f>
        <v>0</v>
      </c>
      <c r="DQ56" s="22">
        <f>IF(DQ58=0,0,(DQ57*DQ58+DQ59*DQ60*6)/DQ58)</f>
        <v>0</v>
      </c>
      <c r="DR56" s="312">
        <f>IF(DP56=0,0,(DQ56-DP56)/DP56*100)</f>
        <v>0</v>
      </c>
      <c r="DS56" s="22">
        <f>IF(DS58=0,0,(DS57*DS58+DS59*DS60*6)/DS58)</f>
        <v>0</v>
      </c>
      <c r="DT56" s="22">
        <f>IF(DT58=0,0,(DT57*DT58+DT59*DT60*6)/DT58)</f>
        <v>0</v>
      </c>
      <c r="DU56" s="312">
        <f>IF(DS56=0,0,(DT56-DS56)/DS56*100)</f>
        <v>0</v>
      </c>
      <c r="DV56" s="22">
        <f>IF(DV58=0,0,(DV57*DV58+DV59*DV60*6)/DV58)</f>
        <v>0</v>
      </c>
      <c r="DW56" s="22">
        <f>IF(DW58=0,0,(DW57*DW58+DW59*DW60*6)/DW58)</f>
        <v>0</v>
      </c>
      <c r="DX56" s="312">
        <f>IF(DV56=0,0,(DW56-DV56)/DV56*100)</f>
        <v>0</v>
      </c>
      <c r="DY56" s="22">
        <f>IF(DY58=0,0,(DY57*DY58+DY59*DY60*6)/DY58)</f>
        <v>0</v>
      </c>
      <c r="DZ56" s="22">
        <f>IF(DZ58=0,0,(DZ57*DZ58+DZ59*DZ60*6)/DZ58)</f>
        <v>0</v>
      </c>
      <c r="EA56" s="312">
        <f>IF(DY56=0,0,(DZ56-DY56)/DY56*100)</f>
        <v>0</v>
      </c>
      <c r="EB56" s="22">
        <f>IF(EB58=0,0,(EB57*EB58+EB59*EB60*6)/EB58)</f>
        <v>0</v>
      </c>
      <c r="EC56" s="22">
        <f>IF(EC58=0,0,(EC57*EC58+EC59*EC60*6)/EC58)</f>
        <v>0</v>
      </c>
      <c r="ED56" s="312">
        <f>IF(EB56=0,0,(EC56-EB56)/EB56*100)</f>
        <v>0</v>
      </c>
      <c r="EE56" s="22">
        <f>IF(EE58=0,0,(EE57*EE58+EE59*EE60*6)/EE58)</f>
        <v>0</v>
      </c>
      <c r="EF56" s="22">
        <f>IF(EF58=0,0,(EF57*EF58+EF59*EF60*6)/EF58)</f>
        <v>0</v>
      </c>
      <c r="EG56" s="312">
        <f>IF(EE56=0,0,(EF56-EE56)/EE56*100)</f>
        <v>0</v>
      </c>
      <c r="EH56" s="22">
        <f>IF(EH58=0,0,(EH57*EH58+EH59*EH60*6)/EH58)</f>
        <v>0</v>
      </c>
      <c r="EI56" s="22">
        <f>IF(EI58=0,0,(EI57*EI58+EI59*EI60*6)/EI58)</f>
        <v>0</v>
      </c>
      <c r="EJ56" s="312">
        <f>IF(EH56=0,0,(EI56-EH56)/EH56*100)</f>
        <v>0</v>
      </c>
      <c r="EK56" s="22">
        <f>IF(EK58=0,0,(EK57*EK58+EK59*EK60*6)/EK58)</f>
        <v>0</v>
      </c>
      <c r="EL56" s="22">
        <f>IF(EL58=0,0,(EL57*EL58+EL59*EL60*6)/EL58)</f>
        <v>0</v>
      </c>
      <c r="EM56" s="312">
        <f>IF(EK56=0,0,(EL56-EK56)/EK56*100)</f>
        <v>0</v>
      </c>
      <c r="EN56" s="22">
        <f>IF(EN58=0,0,(EN57*EN58+EN59*EN60*6)/EN58)</f>
        <v>0</v>
      </c>
      <c r="EO56" s="22">
        <f>IF(EO58=0,0,(EO57*EO58+EO59*EO60*6)/EO58)</f>
        <v>0</v>
      </c>
      <c r="EP56" s="312">
        <f>IF(EN56=0,0,(EO56-EN56)/EN56*100)</f>
        <v>0</v>
      </c>
      <c r="EQ56" s="22">
        <f>IF(EQ58=0,0,(EQ57*EQ58+EQ59*EQ60*6)/EQ58)</f>
        <v>0</v>
      </c>
      <c r="ER56" s="22">
        <f>IF(ER58=0,0,(ER57*ER58+ER59*ER60*6)/ER58)</f>
        <v>0</v>
      </c>
      <c r="ES56" s="312">
        <f>IF(EQ56=0,0,(ER56-EQ56)/EQ56*100)</f>
        <v>0</v>
      </c>
      <c r="ET56" s="22">
        <f>IF(ET58=0,0,(ET57*ET58+ET59*ET60*6)/ET58)</f>
        <v>0</v>
      </c>
      <c r="EU56" s="22">
        <f>IF(EU58=0,0,(EU57*EU58+EU59*EU60*6)/EU58)</f>
        <v>0</v>
      </c>
      <c r="EV56" s="312">
        <f>IF(ET56=0,0,(EU56-ET56)/ET56*100)</f>
        <v>0</v>
      </c>
      <c r="EW56" s="22">
        <f>IF(EW58=0,0,(EW57*EW58+EW59*EW60*6)/EW58)</f>
        <v>0</v>
      </c>
      <c r="EX56" s="22">
        <f>IF(EX58=0,0,(EX57*EX58+EX59*EX60*6)/EX58)</f>
        <v>0</v>
      </c>
      <c r="EY56" s="312">
        <f>IF(EW56=0,0,(EX56-EW56)/EW56*100)</f>
        <v>0</v>
      </c>
      <c r="EZ56" s="22">
        <f>IF(EZ58=0,0,(EZ57*EZ58+EZ59*EZ60*6)/EZ58)</f>
        <v>0</v>
      </c>
      <c r="FA56" s="22">
        <f>IF(FA58=0,0,(FA57*FA58+FA59*FA60*6)/FA58)</f>
        <v>0</v>
      </c>
      <c r="FB56" s="312">
        <f>IF(EZ56=0,0,(FA56-EZ56)/EZ56*100)</f>
        <v>0</v>
      </c>
      <c r="FC56" s="22">
        <f>IF(FC58=0,0,(FC57*FC58+FC59*FC60*6)/FC58)</f>
        <v>0</v>
      </c>
      <c r="FD56" s="22">
        <f>IF(FD58=0,0,(FD57*FD58+FD59*FD60*6)/FD58)</f>
        <v>0</v>
      </c>
      <c r="FE56" s="312">
        <f>IF(FC56=0,0,(FD56-FC56)/FC56*100)</f>
        <v>0</v>
      </c>
      <c r="FF56" s="22">
        <f>IF(FF58=0,0,(FF57*FF58+FF59*FF60*6)/FF58)</f>
        <v>0</v>
      </c>
      <c r="FG56" s="22">
        <f>IF(FG58=0,0,(FG57*FG58+FG59*FG60*6)/FG58)</f>
        <v>0</v>
      </c>
      <c r="FH56" s="312">
        <f>IF(FF56=0,0,(FG56-FF56)/FF56*100)</f>
        <v>0</v>
      </c>
      <c r="FI56" s="22">
        <f>IF(FI58=0,0,(FI57*FI58+FI59*FI60*6)/FI58)</f>
        <v>0</v>
      </c>
      <c r="FJ56" s="22">
        <f>IF(FJ58=0,0,(FJ57*FJ58+FJ59*FJ60*6)/FJ58)</f>
        <v>0</v>
      </c>
      <c r="FK56" s="312">
        <f>IF(FI56=0,0,(FJ56-FI56)/FI56*100)</f>
        <v>0</v>
      </c>
      <c r="FL56" s="22">
        <f>IF(FL58=0,0,(FL57*FL58+FL59*FL60*6)/FL58)</f>
        <v>0</v>
      </c>
      <c r="FM56" s="22">
        <f>IF(FM58=0,0,(FM57*FM58+FM59*FM60*6)/FM58)</f>
        <v>0</v>
      </c>
      <c r="FN56" s="312">
        <f>IF(FL56=0,0,(FM56-FL56)/FL56*100)</f>
        <v>0</v>
      </c>
      <c r="FO56" s="22">
        <f>IF(FO58=0,0,(FO57*FO58+FO59*FO60*6)/FO58)</f>
        <v>0</v>
      </c>
      <c r="FP56" s="22">
        <f>IF(FP58=0,0,(FP57*FP58+FP59*FP60*6)/FP58)</f>
        <v>0</v>
      </c>
      <c r="FQ56" s="312">
        <f>IF(FO56=0,0,(FP56-FO56)/FO56*100)</f>
        <v>0</v>
      </c>
      <c r="FR56" s="22">
        <f>IF(FR58=0,0,(FR57*FR58+FR59*FR60*6)/FR58)</f>
        <v>0</v>
      </c>
      <c r="FS56" s="22">
        <f>IF(FS58=0,0,(FS57*FS58+FS59*FS60*6)/FS58)</f>
        <v>0</v>
      </c>
      <c r="FT56" s="312">
        <f>IF(FR56=0,0,(FS56-FR56)/FR56*100)</f>
        <v>0</v>
      </c>
      <c r="FU56" s="22">
        <f>IF(FU58=0,0,(FU57*FU58+FU59*FU60*6)/FU58)</f>
        <v>0</v>
      </c>
      <c r="FV56" s="22">
        <f>IF(FV58=0,0,(FV57*FV58+FV59*FV60*6)/FV58)</f>
        <v>0</v>
      </c>
      <c r="FW56" s="312">
        <f>IF(FU56=0,0,(FV56-FU56)/FU56*100)</f>
        <v>0</v>
      </c>
      <c r="FZ56" s="981" t="s">
        <v>2218</v>
      </c>
      <c r="GA56" s="981"/>
      <c r="GB56" s="981"/>
      <c r="GC56" s="981"/>
      <c r="GD56" s="981"/>
    </row>
    <row r="57" spans="2:186" ht="15.4" hidden="1" customHeight="1">
      <c r="B57" s="813" t="b" cm="1">
        <f t="array" ref="B57">B56</f>
        <v>0</v>
      </c>
      <c r="C57" s="1118" t="s">
        <v>2199</v>
      </c>
      <c r="D57" s="1087" t="s">
        <v>2200</v>
      </c>
      <c r="E57" s="676">
        <v>15.8</v>
      </c>
      <c r="F57" s="779" cm="1">
        <f t="array" aca="1" ref="F57" ca="1">OFFSET(G57,-1,-1)</f>
        <v>0</v>
      </c>
      <c r="G57" s="620" t="s">
        <v>1823</v>
      </c>
      <c r="H57" s="163" t="s">
        <v>2201</v>
      </c>
      <c r="I57" s="163" t="s">
        <v>2155</v>
      </c>
      <c r="J57" s="1108"/>
      <c r="K57" s="1108" cm="1">
        <f t="array" aca="1" ref="K57" ca="1">OFFSET(J57,-1,1)</f>
        <v>0</v>
      </c>
      <c r="L57" s="1108"/>
      <c r="M57" s="1108" t="s">
        <v>1791</v>
      </c>
      <c r="N57" s="1108" t="s">
        <v>2151</v>
      </c>
      <c r="O57" s="1109" t="s">
        <v>2152</v>
      </c>
      <c r="P57" s="1108" t="s">
        <v>2202</v>
      </c>
      <c r="Q57" s="1108"/>
      <c r="T57" s="687" t="b" cm="1">
        <f t="array" aca="1" ref="T57" ca="1">T56</f>
        <v>0</v>
      </c>
      <c r="X57" s="1726"/>
      <c r="Z57" s="1726"/>
      <c r="AB57" s="223" t="s">
        <v>2203</v>
      </c>
      <c r="AC57" s="123" t="s">
        <v>929</v>
      </c>
      <c r="AD57" s="22">
        <f ca="1">IF(method_reg="Метод экономически обоснованных расходов",SUMIFS('Калькуляция (4.6)'!AJ$25:AJ$229,'Калькуляция (4.6)'!$F$25:$F$229,$F57,'Калькуляция (4.6)'!$G$25:$G$229,$G57),IF(method_reg="Метод сравнения аналогов",SUMIFS(INDEX('Калькуляция (МСА)'!$AE$25:$BC$109,,MATCH(AD$8,'Калькуляция (МСА)'!$AE$8:$BC$8,0)),'Калькуляция (МСА)'!$F$25:$F$109,$F57,'Калькуляция (МСА)'!$G$25:$G$109,$G57),SUMIFS(INDEX('Калькуляция (5.9)'!$AJ$25:$BC$194,,MATCH(AD$8,'Калькуляция (5.9)'!$AJ$8:$BC$8,0)),'Калькуляция (5.9)'!$F$25:$F$194,$F57,'Калькуляция (5.9)'!$G$25:$G$194,$G57)))</f>
        <v>0</v>
      </c>
      <c r="AE57" s="22">
        <f ca="1">IF(method_reg="Метод экономически обоснованных расходов",SUMIFS('Калькуляция (4.6)'!AK$25:AK$229,'Калькуляция (4.6)'!$F$25:$F$229,$F57,'Калькуляция (4.6)'!$G$25:$G$229,$G57),IF(method_reg="Метод сравнения аналогов",SUMIFS(INDEX('Калькуляция (МСА)'!$AE$25:$BC$109,,MATCH(AE$8,'Калькуляция (МСА)'!$AE$8:$BC$8,0)),'Калькуляция (МСА)'!$F$25:$F$109,$F57,'Калькуляция (МСА)'!$G$25:$G$109,$G57),SUMIFS(INDEX('Калькуляция (5.9)'!$AJ$25:$BC$194,,MATCH(AE$8,'Калькуляция (5.9)'!$AJ$8:$BC$8,0)),'Калькуляция (5.9)'!$F$25:$F$194,$F57,'Калькуляция (5.9)'!$G$25:$G$194,$G57)))</f>
        <v>0</v>
      </c>
      <c r="AF57" s="312">
        <f ca="1">IF(AD57=0,0,(AE57-AD57)/AD57*100)</f>
        <v>0</v>
      </c>
      <c r="AG57" s="313">
        <f ca="1">IF(method_reg="Метод сравнения аналогов",SUMIFS(INDEX('Калькуляция (МСА)'!$AE$25:$BC$109,,MATCH(AG$8,'Калькуляция (МСА)'!$AE$8:$BC$8,0)),'Калькуляция (МСА)'!$F$25:$F$109,$F57,'Калькуляция (МСА)'!$G$25:$G$109,$G57),SUMIFS(INDEX('Калькуляция (5.9)'!$AJ$25:$BC$194,,MATCH(AG$8,'Калькуляция (5.9)'!$AJ$8:$BC$8,0)),'Калькуляция (5.9)'!$F$25:$F$194,$F57,'Калькуляция (5.9)'!$G$25:$G$194,$G57))</f>
        <v>0</v>
      </c>
      <c r="AH57" s="313">
        <f ca="1">IF(method_reg="Метод сравнения аналогов",SUMIFS(INDEX('Калькуляция (МСА)'!$AE$25:$BC$109,,MATCH(AH$8,'Калькуляция (МСА)'!$AE$8:$BC$8,0)),'Калькуляция (МСА)'!$F$25:$F$109,$F57,'Калькуляция (МСА)'!$G$25:$G$109,$G57),SUMIFS(INDEX('Калькуляция (5.9)'!$AJ$25:$BC$194,,MATCH(AH$8,'Калькуляция (5.9)'!$AJ$8:$BC$8,0)),'Калькуляция (5.9)'!$F$25:$F$194,$F57,'Калькуляция (5.9)'!$G$25:$G$194,$G57))</f>
        <v>0</v>
      </c>
      <c r="AI57" s="312">
        <f ca="1">IF(AG57=0,0,(AH57-AG57)/AG57*100)</f>
        <v>0</v>
      </c>
      <c r="AJ57" s="313">
        <f ca="1">IF(method_reg="Метод сравнения аналогов",SUMIFS(INDEX('Калькуляция (МСА)'!$AE$25:$BC$109,,MATCH(AJ$8,'Калькуляция (МСА)'!$AE$8:$BC$8,0)),'Калькуляция (МСА)'!$F$25:$F$109,$F57,'Калькуляция (МСА)'!$G$25:$G$109,$G57),SUMIFS(INDEX('Калькуляция (5.9)'!$AJ$25:$BC$194,,MATCH(AJ$8,'Калькуляция (5.9)'!$AJ$8:$BC$8,0)),'Калькуляция (5.9)'!$F$25:$F$194,$F57,'Калькуляция (5.9)'!$G$25:$G$194,$G57))</f>
        <v>0</v>
      </c>
      <c r="AK57" s="313">
        <f ca="1">IF(method_reg="Метод сравнения аналогов",SUMIFS(INDEX('Калькуляция (МСА)'!$AE$25:$BC$109,,MATCH(AK$8,'Калькуляция (МСА)'!$AE$8:$BC$8,0)),'Калькуляция (МСА)'!$F$25:$F$109,$F57,'Калькуляция (МСА)'!$G$25:$G$109,$G57),SUMIFS(INDEX('Калькуляция (5.9)'!$AJ$25:$BC$194,,MATCH(AK$8,'Калькуляция (5.9)'!$AJ$8:$BC$8,0)),'Калькуляция (5.9)'!$F$25:$F$194,$F57,'Калькуляция (5.9)'!$G$25:$G$194,$G57))</f>
        <v>0</v>
      </c>
      <c r="AL57" s="312">
        <f ca="1">IF(AJ57=0,0,(AK57-AJ57)/AJ57*100)</f>
        <v>0</v>
      </c>
      <c r="AM57" s="313">
        <f ca="1">IF(method_reg="Метод сравнения аналогов",SUMIFS(INDEX('Калькуляция (МСА)'!$AE$25:$BC$109,,MATCH(AM$8,'Калькуляция (МСА)'!$AE$8:$BC$8,0)),'Калькуляция (МСА)'!$F$25:$F$109,$F57,'Калькуляция (МСА)'!$G$25:$G$109,$G57),SUMIFS(INDEX('Калькуляция (5.9)'!$AJ$25:$BC$194,,MATCH(AM$8,'Калькуляция (5.9)'!$AJ$8:$BC$8,0)),'Калькуляция (5.9)'!$F$25:$F$194,$F57,'Калькуляция (5.9)'!$G$25:$G$194,$G57))</f>
        <v>0</v>
      </c>
      <c r="AN57" s="313">
        <f ca="1">IF(method_reg="Метод сравнения аналогов",SUMIFS(INDEX('Калькуляция (МСА)'!$AE$25:$BC$109,,MATCH(AN$8,'Калькуляция (МСА)'!$AE$8:$BC$8,0)),'Калькуляция (МСА)'!$F$25:$F$109,$F57,'Калькуляция (МСА)'!$G$25:$G$109,$G57),SUMIFS(INDEX('Калькуляция (5.9)'!$AJ$25:$BC$194,,MATCH(AN$8,'Калькуляция (5.9)'!$AJ$8:$BC$8,0)),'Калькуляция (5.9)'!$F$25:$F$194,$F57,'Калькуляция (5.9)'!$G$25:$G$194,$G57))</f>
        <v>0</v>
      </c>
      <c r="AO57" s="312">
        <f ca="1">IF(AM57=0,0,(AN57-AM57)/AM57*100)</f>
        <v>0</v>
      </c>
      <c r="AP57" s="313">
        <f ca="1">IF(method_reg="Метод сравнения аналогов",SUMIFS(INDEX('Калькуляция (МСА)'!$AE$25:$BC$109,,MATCH(AP$8,'Калькуляция (МСА)'!$AE$8:$BC$8,0)),'Калькуляция (МСА)'!$F$25:$F$109,$F57,'Калькуляция (МСА)'!$G$25:$G$109,$G57),SUMIFS(INDEX('Калькуляция (5.9)'!$AJ$25:$BC$194,,MATCH(AP$8,'Калькуляция (5.9)'!$AJ$8:$BC$8,0)),'Калькуляция (5.9)'!$F$25:$F$194,$F57,'Калькуляция (5.9)'!$G$25:$G$194,$G57))</f>
        <v>0</v>
      </c>
      <c r="AQ57" s="313">
        <f ca="1">IF(method_reg="Метод сравнения аналогов",SUMIFS(INDEX('Калькуляция (МСА)'!$AE$25:$BC$109,,MATCH(AQ$8,'Калькуляция (МСА)'!$AE$8:$BC$8,0)),'Калькуляция (МСА)'!$F$25:$F$109,$F57,'Калькуляция (МСА)'!$G$25:$G$109,$G57),SUMIFS(INDEX('Калькуляция (5.9)'!$AJ$25:$BC$194,,MATCH(AQ$8,'Калькуляция (5.9)'!$AJ$8:$BC$8,0)),'Калькуляция (5.9)'!$F$25:$F$194,$F57,'Калькуляция (5.9)'!$G$25:$G$194,$G57))</f>
        <v>0</v>
      </c>
      <c r="AR57" s="312">
        <f ca="1">IF(AP57=0,0,(AQ57-AP57)/AP57*100)</f>
        <v>0</v>
      </c>
      <c r="AS57" s="22">
        <f ca="1">IF(method_reg="Метод сравнения аналогов",SUMIFS(INDEX('Калькуляция (МСА)'!$AE$25:$BC$109,,MATCH(AS$8,'Калькуляция (МСА)'!$AE$8:$BC$8,0)),'Калькуляция (МСА)'!$F$25:$F$109,$F57,'Калькуляция (МСА)'!$G$25:$G$109,$G57),SUMIFS(INDEX('Калькуляция (5.9)'!$AJ$25:$BC$194,,MATCH(AS$8,'Калькуляция (5.9)'!$AJ$8:$BC$8,0)),'Калькуляция (5.9)'!$F$25:$F$194,$F57,'Калькуляция (5.9)'!$G$25:$G$194,$G57))</f>
        <v>0</v>
      </c>
      <c r="AT57" s="22">
        <f ca="1">IF(method_reg="Метод сравнения аналогов",SUMIFS(INDEX('Калькуляция (МСА)'!$AE$25:$BC$109,,MATCH(AT$8,'Калькуляция (МСА)'!$AE$8:$BC$8,0)),'Калькуляция (МСА)'!$F$25:$F$109,$F57,'Калькуляция (МСА)'!$G$25:$G$109,$G57),SUMIFS(INDEX('Калькуляция (5.9)'!$AJ$25:$BC$194,,MATCH(AT$8,'Калькуляция (5.9)'!$AJ$8:$BC$8,0)),'Калькуляция (5.9)'!$F$25:$F$194,$F57,'Калькуляция (5.9)'!$G$25:$G$194,$G57))</f>
        <v>0</v>
      </c>
      <c r="AU57" s="312">
        <f ca="1">IF(AS57=0,0,(AT57-AS57)/AS57*100)</f>
        <v>0</v>
      </c>
      <c r="AV57" s="22">
        <f ca="1">IF(method_reg="Метод сравнения аналогов",SUMIFS(INDEX('Калькуляция (МСА)'!$AE$25:$BC$109,,MATCH(AV$8,'Калькуляция (МСА)'!$AE$8:$BC$8,0)),'Калькуляция (МСА)'!$F$25:$F$109,$F57,'Калькуляция (МСА)'!$G$25:$G$109,$G57),SUMIFS(INDEX('Калькуляция (5.9)'!$AJ$25:$BC$194,,MATCH(AV$8,'Калькуляция (5.9)'!$AJ$8:$BC$8,0)),'Калькуляция (5.9)'!$F$25:$F$194,$F57,'Калькуляция (5.9)'!$G$25:$G$194,$G57))</f>
        <v>0</v>
      </c>
      <c r="AW57" s="22">
        <f ca="1">IF(method_reg="Метод сравнения аналогов",SUMIFS(INDEX('Калькуляция (МСА)'!$AE$25:$BC$109,,MATCH(AW$8,'Калькуляция (МСА)'!$AE$8:$BC$8,0)),'Калькуляция (МСА)'!$F$25:$F$109,$F57,'Калькуляция (МСА)'!$G$25:$G$109,$G57),SUMIFS(INDEX('Калькуляция (5.9)'!$AJ$25:$BC$194,,MATCH(AW$8,'Калькуляция (5.9)'!$AJ$8:$BC$8,0)),'Калькуляция (5.9)'!$F$25:$F$194,$F57,'Калькуляция (5.9)'!$G$25:$G$194,$G57))</f>
        <v>0</v>
      </c>
      <c r="AX57" s="312">
        <f ca="1">IF(AV57=0,0,(AW57-AV57)/AV57*100)</f>
        <v>0</v>
      </c>
      <c r="AY57" s="22">
        <f ca="1">IF(method_reg="Метод сравнения аналогов",SUMIFS(INDEX('Калькуляция (МСА)'!$AE$25:$BC$109,,MATCH(AY$8,'Калькуляция (МСА)'!$AE$8:$BC$8,0)),'Калькуляция (МСА)'!$F$25:$F$109,$F57,'Калькуляция (МСА)'!$G$25:$G$109,$G57),SUMIFS(INDEX('Калькуляция (5.9)'!$AJ$25:$BC$194,,MATCH(AY$8,'Калькуляция (5.9)'!$AJ$8:$BC$8,0)),'Калькуляция (5.9)'!$F$25:$F$194,$F57,'Калькуляция (5.9)'!$G$25:$G$194,$G57))</f>
        <v>0</v>
      </c>
      <c r="AZ57" s="22">
        <f ca="1">IF(method_reg="Метод сравнения аналогов",SUMIFS(INDEX('Калькуляция (МСА)'!$AE$25:$BC$109,,MATCH(AZ$8,'Калькуляция (МСА)'!$AE$8:$BC$8,0)),'Калькуляция (МСА)'!$F$25:$F$109,$F57,'Калькуляция (МСА)'!$G$25:$G$109,$G57),SUMIFS(INDEX('Калькуляция (5.9)'!$AJ$25:$BC$194,,MATCH(AZ$8,'Калькуляция (5.9)'!$AJ$8:$BC$8,0)),'Калькуляция (5.9)'!$F$25:$F$194,$F57,'Калькуляция (5.9)'!$G$25:$G$194,$G57))</f>
        <v>0</v>
      </c>
      <c r="BA57" s="312">
        <f ca="1">IF(AY57=0,0,(AZ57-AY57)/AY57*100)</f>
        <v>0</v>
      </c>
      <c r="BB57" s="22">
        <f ca="1">IF(method_reg="Метод сравнения аналогов",SUMIFS(INDEX('Калькуляция (МСА)'!$AE$25:$BC$109,,MATCH(BB$8,'Калькуляция (МСА)'!$AE$8:$BC$8,0)),'Калькуляция (МСА)'!$F$25:$F$109,$F57,'Калькуляция (МСА)'!$G$25:$G$109,$G57),SUMIFS(INDEX('Калькуляция (5.9)'!$AJ$25:$BC$194,,MATCH(BB$8,'Калькуляция (5.9)'!$AJ$8:$BC$8,0)),'Калькуляция (5.9)'!$F$25:$F$194,$F57,'Калькуляция (5.9)'!$G$25:$G$194,$G57))</f>
        <v>0</v>
      </c>
      <c r="BC57" s="22">
        <f ca="1">IF(method_reg="Метод сравнения аналогов",SUMIFS(INDEX('Калькуляция (МСА)'!$AE$25:$BC$109,,MATCH(BC$8,'Калькуляция (МСА)'!$AE$8:$BC$8,0)),'Калькуляция (МСА)'!$F$25:$F$109,$F57,'Калькуляция (МСА)'!$G$25:$G$109,$G57),SUMIFS(INDEX('Калькуляция (5.9)'!$AJ$25:$BC$194,,MATCH(BC$8,'Калькуляция (5.9)'!$AJ$8:$BC$8,0)),'Калькуляция (5.9)'!$F$25:$F$194,$F57,'Калькуляция (5.9)'!$G$25:$G$194,$G57))</f>
        <v>0</v>
      </c>
      <c r="BD57" s="312">
        <f ca="1">IF(BB57=0,0,(BC57-BB57)/BB57*100)</f>
        <v>0</v>
      </c>
      <c r="BE57" s="22">
        <f ca="1">IF(method_reg="Метод сравнения аналогов",SUMIFS(INDEX('Калькуляция (МСА)'!$AE$25:$BC$109,,MATCH(BE$8,'Калькуляция (МСА)'!$AE$8:$BC$8,0)),'Калькуляция (МСА)'!$F$25:$F$109,$F57,'Калькуляция (МСА)'!$G$25:$G$109,$G57),SUMIFS(INDEX('Калькуляция (5.9)'!$AJ$25:$BC$194,,MATCH(BE$8,'Калькуляция (5.9)'!$AJ$8:$BC$8,0)),'Калькуляция (5.9)'!$F$25:$F$194,$F57,'Калькуляция (5.9)'!$G$25:$G$194,$G57))</f>
        <v>0</v>
      </c>
      <c r="BF57" s="22">
        <f ca="1">IF(method_reg="Метод сравнения аналогов",SUMIFS(INDEX('Калькуляция (МСА)'!$AE$25:$BC$109,,MATCH(BF$8,'Калькуляция (МСА)'!$AE$8:$BC$8,0)),'Калькуляция (МСА)'!$F$25:$F$109,$F57,'Калькуляция (МСА)'!$G$25:$G$109,$G57),SUMIFS(INDEX('Калькуляция (5.9)'!$AJ$25:$BC$194,,MATCH(BF$8,'Калькуляция (5.9)'!$AJ$8:$BC$8,0)),'Калькуляция (5.9)'!$F$25:$F$194,$F57,'Калькуляция (5.9)'!$G$25:$G$194,$G57))</f>
        <v>0</v>
      </c>
      <c r="BG57" s="312">
        <f ca="1">IF(BE57=0,0,(BF57-BE57)/BE57*100)</f>
        <v>0</v>
      </c>
      <c r="BH57" s="22"/>
      <c r="BI57" s="22"/>
      <c r="BJ57" s="312">
        <f>IF(BH57=0,0,(BI57-BH57)/BH57*100)</f>
        <v>0</v>
      </c>
      <c r="BK57" s="22"/>
      <c r="BL57" s="22"/>
      <c r="BM57" s="312">
        <f>IF(BK57=0,0,(BL57-BK57)/BK57*100)</f>
        <v>0</v>
      </c>
      <c r="BN57" s="22"/>
      <c r="BO57" s="22"/>
      <c r="BP57" s="312">
        <f>IF(BN57=0,0,(BO57-BN57)/BN57*100)</f>
        <v>0</v>
      </c>
      <c r="BQ57" s="22"/>
      <c r="BR57" s="22"/>
      <c r="BS57" s="312">
        <f>IF(BQ57=0,0,(BR57-BQ57)/BQ57*100)</f>
        <v>0</v>
      </c>
      <c r="BT57" s="22"/>
      <c r="BU57" s="22"/>
      <c r="BV57" s="312">
        <f>IF(BT57=0,0,(BU57-BT57)/BT57*100)</f>
        <v>0</v>
      </c>
      <c r="BW57" s="22"/>
      <c r="BX57" s="22"/>
      <c r="BY57" s="312">
        <f>IF(BW57=0,0,(BX57-BW57)/BW57*100)</f>
        <v>0</v>
      </c>
      <c r="BZ57" s="22"/>
      <c r="CA57" s="22"/>
      <c r="CB57" s="312">
        <f>IF(BZ57=0,0,(CA57-BZ57)/BZ57*100)</f>
        <v>0</v>
      </c>
      <c r="CC57" s="22"/>
      <c r="CD57" s="22"/>
      <c r="CE57" s="312">
        <f>IF(CC57=0,0,(CD57-CC57)/CC57*100)</f>
        <v>0</v>
      </c>
      <c r="CF57" s="22"/>
      <c r="CG57" s="22"/>
      <c r="CH57" s="312">
        <f>IF(CF57=0,0,(CG57-CF57)/CF57*100)</f>
        <v>0</v>
      </c>
      <c r="CI57" s="22"/>
      <c r="CJ57" s="22"/>
      <c r="CK57" s="312">
        <f>IF(CI57=0,0,(CJ57-CI57)/CI57*100)</f>
        <v>0</v>
      </c>
      <c r="CL57" s="22"/>
      <c r="CM57" s="22"/>
      <c r="CN57" s="312">
        <f>IF(CL57=0,0,(CM57-CL57)/CL57*100)</f>
        <v>0</v>
      </c>
      <c r="CO57" s="22"/>
      <c r="CP57" s="22"/>
      <c r="CQ57" s="312">
        <f>IF(CO57=0,0,(CP57-CO57)/CO57*100)</f>
        <v>0</v>
      </c>
      <c r="CR57" s="22"/>
      <c r="CS57" s="22"/>
      <c r="CT57" s="312">
        <f>IF(CR57=0,0,(CS57-CR57)/CR57*100)</f>
        <v>0</v>
      </c>
      <c r="CU57" s="22"/>
      <c r="CV57" s="22"/>
      <c r="CW57" s="312">
        <f>IF(CU57=0,0,(CV57-CU57)/CU57*100)</f>
        <v>0</v>
      </c>
      <c r="CX57" s="22"/>
      <c r="CY57" s="22"/>
      <c r="CZ57" s="312">
        <f>IF(CX57=0,0,(CY57-CX57)/CX57*100)</f>
        <v>0</v>
      </c>
      <c r="DA57" s="22"/>
      <c r="DB57" s="22"/>
      <c r="DC57" s="312">
        <f>IF(DA57=0,0,(DB57-DA57)/DA57*100)</f>
        <v>0</v>
      </c>
      <c r="DD57" s="22"/>
      <c r="DE57" s="22"/>
      <c r="DF57" s="312">
        <f>IF(DD57=0,0,(DE57-DD57)/DD57*100)</f>
        <v>0</v>
      </c>
      <c r="DG57" s="22"/>
      <c r="DH57" s="22"/>
      <c r="DI57" s="312">
        <f>IF(DG57=0,0,(DH57-DG57)/DG57*100)</f>
        <v>0</v>
      </c>
      <c r="DJ57" s="22"/>
      <c r="DK57" s="22"/>
      <c r="DL57" s="312">
        <f>IF(DJ57=0,0,(DK57-DJ57)/DJ57*100)</f>
        <v>0</v>
      </c>
      <c r="DM57" s="22"/>
      <c r="DN57" s="22"/>
      <c r="DO57" s="312">
        <f>IF(DM57=0,0,(DN57-DM57)/DM57*100)</f>
        <v>0</v>
      </c>
      <c r="DP57" s="22"/>
      <c r="DQ57" s="22"/>
      <c r="DR57" s="312">
        <f>IF(DP57=0,0,(DQ57-DP57)/DP57*100)</f>
        <v>0</v>
      </c>
      <c r="DS57" s="22"/>
      <c r="DT57" s="22"/>
      <c r="DU57" s="312">
        <f>IF(DS57=0,0,(DT57-DS57)/DS57*100)</f>
        <v>0</v>
      </c>
      <c r="DV57" s="22"/>
      <c r="DW57" s="22"/>
      <c r="DX57" s="312">
        <f>IF(DV57=0,0,(DW57-DV57)/DV57*100)</f>
        <v>0</v>
      </c>
      <c r="DY57" s="22"/>
      <c r="DZ57" s="22"/>
      <c r="EA57" s="312">
        <f>IF(DY57=0,0,(DZ57-DY57)/DY57*100)</f>
        <v>0</v>
      </c>
      <c r="EB57" s="22"/>
      <c r="EC57" s="22"/>
      <c r="ED57" s="312">
        <f>IF(EB57=0,0,(EC57-EB57)/EB57*100)</f>
        <v>0</v>
      </c>
      <c r="EE57" s="22"/>
      <c r="EF57" s="22"/>
      <c r="EG57" s="312">
        <f>IF(EE57=0,0,(EF57-EE57)/EE57*100)</f>
        <v>0</v>
      </c>
      <c r="EH57" s="22"/>
      <c r="EI57" s="22"/>
      <c r="EJ57" s="312">
        <f>IF(EH57=0,0,(EI57-EH57)/EH57*100)</f>
        <v>0</v>
      </c>
      <c r="EK57" s="22"/>
      <c r="EL57" s="22"/>
      <c r="EM57" s="312">
        <f>IF(EK57=0,0,(EL57-EK57)/EK57*100)</f>
        <v>0</v>
      </c>
      <c r="EN57" s="22"/>
      <c r="EO57" s="22"/>
      <c r="EP57" s="312">
        <f>IF(EN57=0,0,(EO57-EN57)/EN57*100)</f>
        <v>0</v>
      </c>
      <c r="EQ57" s="22"/>
      <c r="ER57" s="22"/>
      <c r="ES57" s="312">
        <f>IF(EQ57=0,0,(ER57-EQ57)/EQ57*100)</f>
        <v>0</v>
      </c>
      <c r="ET57" s="22"/>
      <c r="EU57" s="22"/>
      <c r="EV57" s="312">
        <f>IF(ET57=0,0,(EU57-ET57)/ET57*100)</f>
        <v>0</v>
      </c>
      <c r="EW57" s="22"/>
      <c r="EX57" s="22"/>
      <c r="EY57" s="312">
        <f>IF(EW57=0,0,(EX57-EW57)/EW57*100)</f>
        <v>0</v>
      </c>
      <c r="EZ57" s="22"/>
      <c r="FA57" s="22"/>
      <c r="FB57" s="312">
        <f>IF(EZ57=0,0,(FA57-EZ57)/EZ57*100)</f>
        <v>0</v>
      </c>
      <c r="FC57" s="22"/>
      <c r="FD57" s="22"/>
      <c r="FE57" s="312">
        <f>IF(FC57=0,0,(FD57-FC57)/FC57*100)</f>
        <v>0</v>
      </c>
      <c r="FF57" s="22"/>
      <c r="FG57" s="22"/>
      <c r="FH57" s="312">
        <f>IF(FF57=0,0,(FG57-FF57)/FF57*100)</f>
        <v>0</v>
      </c>
      <c r="FI57" s="22"/>
      <c r="FJ57" s="22"/>
      <c r="FK57" s="312">
        <f>IF(FI57=0,0,(FJ57-FI57)/FI57*100)</f>
        <v>0</v>
      </c>
      <c r="FL57" s="22"/>
      <c r="FM57" s="22"/>
      <c r="FN57" s="312">
        <f>IF(FL57=0,0,(FM57-FL57)/FL57*100)</f>
        <v>0</v>
      </c>
      <c r="FO57" s="22"/>
      <c r="FP57" s="22"/>
      <c r="FQ57" s="312">
        <f>IF(FO57=0,0,(FP57-FO57)/FO57*100)</f>
        <v>0</v>
      </c>
      <c r="FR57" s="22"/>
      <c r="FS57" s="22"/>
      <c r="FT57" s="312">
        <f>IF(FR57=0,0,(FS57-FR57)/FR57*100)</f>
        <v>0</v>
      </c>
      <c r="FU57" s="22"/>
      <c r="FV57" s="22"/>
      <c r="FW57" s="312">
        <f>IF(FU57=0,0,(FV57-FU57)/FU57*100)</f>
        <v>0</v>
      </c>
      <c r="FZ57" s="981" t="s">
        <v>2219</v>
      </c>
      <c r="GA57" s="981"/>
      <c r="GB57" s="981"/>
      <c r="GC57" s="981"/>
      <c r="GD57" s="981"/>
    </row>
    <row r="58" spans="2:186" ht="15.4" hidden="1" customHeight="1">
      <c r="B58" s="813" t="b" cm="1">
        <f t="array" ref="B58">B57</f>
        <v>0</v>
      </c>
      <c r="C58" s="1118" t="s">
        <v>1779</v>
      </c>
      <c r="D58" s="1087" t="s">
        <v>1780</v>
      </c>
      <c r="E58" s="676">
        <v>15.8</v>
      </c>
      <c r="F58" s="779" cm="1">
        <f t="array" aca="1" ref="F58" ca="1">OFFSET(G58,-1,-1)</f>
        <v>0</v>
      </c>
      <c r="G58" s="143" t="s">
        <v>1790</v>
      </c>
      <c r="H58" s="163" t="s">
        <v>2205</v>
      </c>
      <c r="I58" s="163" t="s">
        <v>2155</v>
      </c>
      <c r="J58" s="1108"/>
      <c r="K58" s="1108" cm="1">
        <f t="array" aca="1" ref="K58" ca="1">OFFSET(J58,-1,1)</f>
        <v>0</v>
      </c>
      <c r="L58" s="1108"/>
      <c r="M58" s="1108" t="s">
        <v>1791</v>
      </c>
      <c r="N58" s="1108" t="s">
        <v>2151</v>
      </c>
      <c r="O58" s="1109" t="s">
        <v>2152</v>
      </c>
      <c r="P58" s="1108" t="s">
        <v>2206</v>
      </c>
      <c r="Q58" s="1108"/>
      <c r="T58" s="687" t="b" cm="1">
        <f t="array" aca="1" ref="T58" ca="1">T57</f>
        <v>0</v>
      </c>
      <c r="X58" s="1726"/>
      <c r="Z58" s="1726"/>
      <c r="AB58" s="223" t="s">
        <v>2207</v>
      </c>
      <c r="AC58" s="123" t="s">
        <v>634</v>
      </c>
      <c r="AD58" s="100">
        <f ca="1">IF(method_reg="Метод экономически обоснованных расходов",SUMIFS('Калькуляция (4.6)'!AJ$25:AJ$229,'Калькуляция (4.6)'!$F$25:$F$229,$F58,'Калькуляция (4.6)'!$G$25:$G$229,$G58),IF(method_reg="Метод сравнения аналогов",SUMIFS(INDEX('Калькуляция (МСА)'!$AE$25:$BC$109,,MATCH(AD$8,'Калькуляция (МСА)'!$AE$8:$BC$8,0)),'Калькуляция (МСА)'!$F$25:$F$109,$F58,'Калькуляция (МСА)'!$G$25:$G$109,$G58),SUMIFS(INDEX('Калькуляция (5.9)'!$AJ$25:$BC$194,,MATCH(AD$8,'Калькуляция (5.9)'!$AJ$8:$BC$8,0)),'Калькуляция (5.9)'!$F$25:$F$194,$F58,'Калькуляция (5.9)'!$G$25:$G$194,$G58)))</f>
        <v>0</v>
      </c>
      <c r="AE58" s="100">
        <f ca="1">IF(method_reg="Метод экономически обоснованных расходов",SUMIFS('Калькуляция (4.6)'!AK$25:AK$229,'Калькуляция (4.6)'!$F$25:$F$229,$F58,'Калькуляция (4.6)'!$G$25:$G$229,$G58),IF(method_reg="Метод сравнения аналогов",SUMIFS(INDEX('Калькуляция (МСА)'!$AE$25:$BC$109,,MATCH(AE$8,'Калькуляция (МСА)'!$AE$8:$BC$8,0)),'Калькуляция (МСА)'!$F$25:$F$109,$F58,'Калькуляция (МСА)'!$G$25:$G$109,$G58),SUMIFS(INDEX('Калькуляция (5.9)'!$AJ$25:$BC$194,,MATCH(AE$8,'Калькуляция (5.9)'!$AJ$8:$BC$8,0)),'Калькуляция (5.9)'!$F$25:$F$194,$F58,'Калькуляция (5.9)'!$G$25:$G$194,$G58)))</f>
        <v>0</v>
      </c>
      <c r="AF58" s="341">
        <f ca="1">IF(AD58=0,0,(AE58-AD58)/AD58*100)</f>
        <v>0</v>
      </c>
      <c r="AG58" s="354">
        <f ca="1">IF(method_reg="Метод сравнения аналогов",SUMIFS(INDEX('Калькуляция (МСА)'!$AE$25:$BC$109,,MATCH(AG$8,'Калькуляция (МСА)'!$AE$8:$BC$8,0)),'Калькуляция (МСА)'!$F$25:$F$109,$F58,'Калькуляция (МСА)'!$G$25:$G$109,$G58),SUMIFS(INDEX('Калькуляция (5.9)'!$AJ$25:$BC$194,,MATCH(AG$8,'Калькуляция (5.9)'!$AJ$8:$BC$8,0)),'Калькуляция (5.9)'!$F$25:$F$194,$F58,'Калькуляция (5.9)'!$G$25:$G$194,$G58))</f>
        <v>0</v>
      </c>
      <c r="AH58" s="354">
        <f ca="1">IF(method_reg="Метод сравнения аналогов",SUMIFS(INDEX('Калькуляция (МСА)'!$AE$25:$BC$109,,MATCH(AH$8,'Калькуляция (МСА)'!$AE$8:$BC$8,0)),'Калькуляция (МСА)'!$F$25:$F$109,$F58,'Калькуляция (МСА)'!$G$25:$G$109,$G58),SUMIFS(INDEX('Калькуляция (5.9)'!$AJ$25:$BC$194,,MATCH(AH$8,'Калькуляция (5.9)'!$AJ$8:$BC$8,0)),'Калькуляция (5.9)'!$F$25:$F$194,$F58,'Калькуляция (5.9)'!$G$25:$G$194,$G58))</f>
        <v>0</v>
      </c>
      <c r="AI58" s="341">
        <f ca="1">IF(AG58=0,0,(AH58-AG58)/AG58*100)</f>
        <v>0</v>
      </c>
      <c r="AJ58" s="354">
        <f ca="1">IF(method_reg="Метод сравнения аналогов",SUMIFS(INDEX('Калькуляция (МСА)'!$AE$25:$BC$109,,MATCH(AJ$8,'Калькуляция (МСА)'!$AE$8:$BC$8,0)),'Калькуляция (МСА)'!$F$25:$F$109,$F58,'Калькуляция (МСА)'!$G$25:$G$109,$G58),SUMIFS(INDEX('Калькуляция (5.9)'!$AJ$25:$BC$194,,MATCH(AJ$8,'Калькуляция (5.9)'!$AJ$8:$BC$8,0)),'Калькуляция (5.9)'!$F$25:$F$194,$F58,'Калькуляция (5.9)'!$G$25:$G$194,$G58))</f>
        <v>0</v>
      </c>
      <c r="AK58" s="354">
        <f ca="1">IF(method_reg="Метод сравнения аналогов",SUMIFS(INDEX('Калькуляция (МСА)'!$AE$25:$BC$109,,MATCH(AK$8,'Калькуляция (МСА)'!$AE$8:$BC$8,0)),'Калькуляция (МСА)'!$F$25:$F$109,$F58,'Калькуляция (МСА)'!$G$25:$G$109,$G58),SUMIFS(INDEX('Калькуляция (5.9)'!$AJ$25:$BC$194,,MATCH(AK$8,'Калькуляция (5.9)'!$AJ$8:$BC$8,0)),'Калькуляция (5.9)'!$F$25:$F$194,$F58,'Калькуляция (5.9)'!$G$25:$G$194,$G58))</f>
        <v>0</v>
      </c>
      <c r="AL58" s="341">
        <f ca="1">IF(AJ58=0,0,(AK58-AJ58)/AJ58*100)</f>
        <v>0</v>
      </c>
      <c r="AM58" s="354">
        <f ca="1">IF(method_reg="Метод сравнения аналогов",SUMIFS(INDEX('Калькуляция (МСА)'!$AE$25:$BC$109,,MATCH(AM$8,'Калькуляция (МСА)'!$AE$8:$BC$8,0)),'Калькуляция (МСА)'!$F$25:$F$109,$F58,'Калькуляция (МСА)'!$G$25:$G$109,$G58),SUMIFS(INDEX('Калькуляция (5.9)'!$AJ$25:$BC$194,,MATCH(AM$8,'Калькуляция (5.9)'!$AJ$8:$BC$8,0)),'Калькуляция (5.9)'!$F$25:$F$194,$F58,'Калькуляция (5.9)'!$G$25:$G$194,$G58))</f>
        <v>0</v>
      </c>
      <c r="AN58" s="354">
        <f ca="1">IF(method_reg="Метод сравнения аналогов",SUMIFS(INDEX('Калькуляция (МСА)'!$AE$25:$BC$109,,MATCH(AN$8,'Калькуляция (МСА)'!$AE$8:$BC$8,0)),'Калькуляция (МСА)'!$F$25:$F$109,$F58,'Калькуляция (МСА)'!$G$25:$G$109,$G58),SUMIFS(INDEX('Калькуляция (5.9)'!$AJ$25:$BC$194,,MATCH(AN$8,'Калькуляция (5.9)'!$AJ$8:$BC$8,0)),'Калькуляция (5.9)'!$F$25:$F$194,$F58,'Калькуляция (5.9)'!$G$25:$G$194,$G58))</f>
        <v>0</v>
      </c>
      <c r="AO58" s="341">
        <f ca="1">IF(AM58=0,0,(AN58-AM58)/AM58*100)</f>
        <v>0</v>
      </c>
      <c r="AP58" s="354">
        <f ca="1">IF(method_reg="Метод сравнения аналогов",SUMIFS(INDEX('Калькуляция (МСА)'!$AE$25:$BC$109,,MATCH(AP$8,'Калькуляция (МСА)'!$AE$8:$BC$8,0)),'Калькуляция (МСА)'!$F$25:$F$109,$F58,'Калькуляция (МСА)'!$G$25:$G$109,$G58),SUMIFS(INDEX('Калькуляция (5.9)'!$AJ$25:$BC$194,,MATCH(AP$8,'Калькуляция (5.9)'!$AJ$8:$BC$8,0)),'Калькуляция (5.9)'!$F$25:$F$194,$F58,'Калькуляция (5.9)'!$G$25:$G$194,$G58))</f>
        <v>0</v>
      </c>
      <c r="AQ58" s="354">
        <f ca="1">IF(method_reg="Метод сравнения аналогов",SUMIFS(INDEX('Калькуляция (МСА)'!$AE$25:$BC$109,,MATCH(AQ$8,'Калькуляция (МСА)'!$AE$8:$BC$8,0)),'Калькуляция (МСА)'!$F$25:$F$109,$F58,'Калькуляция (МСА)'!$G$25:$G$109,$G58),SUMIFS(INDEX('Калькуляция (5.9)'!$AJ$25:$BC$194,,MATCH(AQ$8,'Калькуляция (5.9)'!$AJ$8:$BC$8,0)),'Калькуляция (5.9)'!$F$25:$F$194,$F58,'Калькуляция (5.9)'!$G$25:$G$194,$G58))</f>
        <v>0</v>
      </c>
      <c r="AR58" s="341">
        <f ca="1">IF(AP58=0,0,(AQ58-AP58)/AP58*100)</f>
        <v>0</v>
      </c>
      <c r="AS58" s="100">
        <f ca="1">IF(method_reg="Метод сравнения аналогов",SUMIFS(INDEX('Калькуляция (МСА)'!$AE$25:$BC$109,,MATCH(AS$8,'Калькуляция (МСА)'!$AE$8:$BC$8,0)),'Калькуляция (МСА)'!$F$25:$F$109,$F58,'Калькуляция (МСА)'!$G$25:$G$109,$G58),SUMIFS(INDEX('Калькуляция (5.9)'!$AJ$25:$BC$194,,MATCH(AS$8,'Калькуляция (5.9)'!$AJ$8:$BC$8,0)),'Калькуляция (5.9)'!$F$25:$F$194,$F58,'Калькуляция (5.9)'!$G$25:$G$194,$G58))</f>
        <v>0</v>
      </c>
      <c r="AT58" s="100">
        <f ca="1">IF(method_reg="Метод сравнения аналогов",SUMIFS(INDEX('Калькуляция (МСА)'!$AE$25:$BC$109,,MATCH(AT$8,'Калькуляция (МСА)'!$AE$8:$BC$8,0)),'Калькуляция (МСА)'!$F$25:$F$109,$F58,'Калькуляция (МСА)'!$G$25:$G$109,$G58),SUMIFS(INDEX('Калькуляция (5.9)'!$AJ$25:$BC$194,,MATCH(AT$8,'Калькуляция (5.9)'!$AJ$8:$BC$8,0)),'Калькуляция (5.9)'!$F$25:$F$194,$F58,'Калькуляция (5.9)'!$G$25:$G$194,$G58))</f>
        <v>0</v>
      </c>
      <c r="AU58" s="341">
        <f ca="1">IF(AS58=0,0,(AT58-AS58)/AS58*100)</f>
        <v>0</v>
      </c>
      <c r="AV58" s="100">
        <f ca="1">IF(method_reg="Метод сравнения аналогов",SUMIFS(INDEX('Калькуляция (МСА)'!$AE$25:$BC$109,,MATCH(AV$8,'Калькуляция (МСА)'!$AE$8:$BC$8,0)),'Калькуляция (МСА)'!$F$25:$F$109,$F58,'Калькуляция (МСА)'!$G$25:$G$109,$G58),SUMIFS(INDEX('Калькуляция (5.9)'!$AJ$25:$BC$194,,MATCH(AV$8,'Калькуляция (5.9)'!$AJ$8:$BC$8,0)),'Калькуляция (5.9)'!$F$25:$F$194,$F58,'Калькуляция (5.9)'!$G$25:$G$194,$G58))</f>
        <v>0</v>
      </c>
      <c r="AW58" s="100">
        <f ca="1">IF(method_reg="Метод сравнения аналогов",SUMIFS(INDEX('Калькуляция (МСА)'!$AE$25:$BC$109,,MATCH(AW$8,'Калькуляция (МСА)'!$AE$8:$BC$8,0)),'Калькуляция (МСА)'!$F$25:$F$109,$F58,'Калькуляция (МСА)'!$G$25:$G$109,$G58),SUMIFS(INDEX('Калькуляция (5.9)'!$AJ$25:$BC$194,,MATCH(AW$8,'Калькуляция (5.9)'!$AJ$8:$BC$8,0)),'Калькуляция (5.9)'!$F$25:$F$194,$F58,'Калькуляция (5.9)'!$G$25:$G$194,$G58))</f>
        <v>0</v>
      </c>
      <c r="AX58" s="341">
        <f ca="1">IF(AV58=0,0,(AW58-AV58)/AV58*100)</f>
        <v>0</v>
      </c>
      <c r="AY58" s="100">
        <f ca="1">IF(method_reg="Метод сравнения аналогов",SUMIFS(INDEX('Калькуляция (МСА)'!$AE$25:$BC$109,,MATCH(AY$8,'Калькуляция (МСА)'!$AE$8:$BC$8,0)),'Калькуляция (МСА)'!$F$25:$F$109,$F58,'Калькуляция (МСА)'!$G$25:$G$109,$G58),SUMIFS(INDEX('Калькуляция (5.9)'!$AJ$25:$BC$194,,MATCH(AY$8,'Калькуляция (5.9)'!$AJ$8:$BC$8,0)),'Калькуляция (5.9)'!$F$25:$F$194,$F58,'Калькуляция (5.9)'!$G$25:$G$194,$G58))</f>
        <v>0</v>
      </c>
      <c r="AZ58" s="100">
        <f ca="1">IF(method_reg="Метод сравнения аналогов",SUMIFS(INDEX('Калькуляция (МСА)'!$AE$25:$BC$109,,MATCH(AZ$8,'Калькуляция (МСА)'!$AE$8:$BC$8,0)),'Калькуляция (МСА)'!$F$25:$F$109,$F58,'Калькуляция (МСА)'!$G$25:$G$109,$G58),SUMIFS(INDEX('Калькуляция (5.9)'!$AJ$25:$BC$194,,MATCH(AZ$8,'Калькуляция (5.9)'!$AJ$8:$BC$8,0)),'Калькуляция (5.9)'!$F$25:$F$194,$F58,'Калькуляция (5.9)'!$G$25:$G$194,$G58))</f>
        <v>0</v>
      </c>
      <c r="BA58" s="341">
        <f ca="1">IF(AY58=0,0,(AZ58-AY58)/AY58*100)</f>
        <v>0</v>
      </c>
      <c r="BB58" s="100">
        <f ca="1">IF(method_reg="Метод сравнения аналогов",SUMIFS(INDEX('Калькуляция (МСА)'!$AE$25:$BC$109,,MATCH(BB$8,'Калькуляция (МСА)'!$AE$8:$BC$8,0)),'Калькуляция (МСА)'!$F$25:$F$109,$F58,'Калькуляция (МСА)'!$G$25:$G$109,$G58),SUMIFS(INDEX('Калькуляция (5.9)'!$AJ$25:$BC$194,,MATCH(BB$8,'Калькуляция (5.9)'!$AJ$8:$BC$8,0)),'Калькуляция (5.9)'!$F$25:$F$194,$F58,'Калькуляция (5.9)'!$G$25:$G$194,$G58))</f>
        <v>0</v>
      </c>
      <c r="BC58" s="100">
        <f ca="1">IF(method_reg="Метод сравнения аналогов",SUMIFS(INDEX('Калькуляция (МСА)'!$AE$25:$BC$109,,MATCH(BC$8,'Калькуляция (МСА)'!$AE$8:$BC$8,0)),'Калькуляция (МСА)'!$F$25:$F$109,$F58,'Калькуляция (МСА)'!$G$25:$G$109,$G58),SUMIFS(INDEX('Калькуляция (5.9)'!$AJ$25:$BC$194,,MATCH(BC$8,'Калькуляция (5.9)'!$AJ$8:$BC$8,0)),'Калькуляция (5.9)'!$F$25:$F$194,$F58,'Калькуляция (5.9)'!$G$25:$G$194,$G58))</f>
        <v>0</v>
      </c>
      <c r="BD58" s="341">
        <f ca="1">IF(BB58=0,0,(BC58-BB58)/BB58*100)</f>
        <v>0</v>
      </c>
      <c r="BE58" s="100">
        <f ca="1">IF(method_reg="Метод сравнения аналогов",SUMIFS(INDEX('Калькуляция (МСА)'!$AE$25:$BC$109,,MATCH(BE$8,'Калькуляция (МСА)'!$AE$8:$BC$8,0)),'Калькуляция (МСА)'!$F$25:$F$109,$F58,'Калькуляция (МСА)'!$G$25:$G$109,$G58),SUMIFS(INDEX('Калькуляция (5.9)'!$AJ$25:$BC$194,,MATCH(BE$8,'Калькуляция (5.9)'!$AJ$8:$BC$8,0)),'Калькуляция (5.9)'!$F$25:$F$194,$F58,'Калькуляция (5.9)'!$G$25:$G$194,$G58))</f>
        <v>0</v>
      </c>
      <c r="BF58" s="100">
        <f ca="1">IF(method_reg="Метод сравнения аналогов",SUMIFS(INDEX('Калькуляция (МСА)'!$AE$25:$BC$109,,MATCH(BF$8,'Калькуляция (МСА)'!$AE$8:$BC$8,0)),'Калькуляция (МСА)'!$F$25:$F$109,$F58,'Калькуляция (МСА)'!$G$25:$G$109,$G58),SUMIFS(INDEX('Калькуляция (5.9)'!$AJ$25:$BC$194,,MATCH(BF$8,'Калькуляция (5.9)'!$AJ$8:$BC$8,0)),'Калькуляция (5.9)'!$F$25:$F$194,$F58,'Калькуляция (5.9)'!$G$25:$G$194,$G58))</f>
        <v>0</v>
      </c>
      <c r="BG58" s="341">
        <f ca="1">IF(BE58=0,0,(BF58-BE58)/BE58*100)</f>
        <v>0</v>
      </c>
      <c r="BH58" s="100"/>
      <c r="BI58" s="100"/>
      <c r="BJ58" s="341">
        <f>IF(BH58=0,0,(BI58-BH58)/BH58*100)</f>
        <v>0</v>
      </c>
      <c r="BK58" s="100"/>
      <c r="BL58" s="100"/>
      <c r="BM58" s="341">
        <f>IF(BK58=0,0,(BL58-BK58)/BK58*100)</f>
        <v>0</v>
      </c>
      <c r="BN58" s="100"/>
      <c r="BO58" s="100"/>
      <c r="BP58" s="341">
        <f>IF(BN58=0,0,(BO58-BN58)/BN58*100)</f>
        <v>0</v>
      </c>
      <c r="BQ58" s="100"/>
      <c r="BR58" s="100"/>
      <c r="BS58" s="341">
        <f>IF(BQ58=0,0,(BR58-BQ58)/BQ58*100)</f>
        <v>0</v>
      </c>
      <c r="BT58" s="100"/>
      <c r="BU58" s="100"/>
      <c r="BV58" s="341">
        <f>IF(BT58=0,0,(BU58-BT58)/BT58*100)</f>
        <v>0</v>
      </c>
      <c r="BW58" s="100"/>
      <c r="BX58" s="100"/>
      <c r="BY58" s="341">
        <f>IF(BW58=0,0,(BX58-BW58)/BW58*100)</f>
        <v>0</v>
      </c>
      <c r="BZ58" s="100"/>
      <c r="CA58" s="100"/>
      <c r="CB58" s="341">
        <f>IF(BZ58=0,0,(CA58-BZ58)/BZ58*100)</f>
        <v>0</v>
      </c>
      <c r="CC58" s="100"/>
      <c r="CD58" s="100"/>
      <c r="CE58" s="341">
        <f>IF(CC58=0,0,(CD58-CC58)/CC58*100)</f>
        <v>0</v>
      </c>
      <c r="CF58" s="100"/>
      <c r="CG58" s="100"/>
      <c r="CH58" s="341">
        <f>IF(CF58=0,0,(CG58-CF58)/CF58*100)</f>
        <v>0</v>
      </c>
      <c r="CI58" s="100"/>
      <c r="CJ58" s="100"/>
      <c r="CK58" s="341">
        <f>IF(CI58=0,0,(CJ58-CI58)/CI58*100)</f>
        <v>0</v>
      </c>
      <c r="CL58" s="100"/>
      <c r="CM58" s="100"/>
      <c r="CN58" s="341">
        <f>IF(CL58=0,0,(CM58-CL58)/CL58*100)</f>
        <v>0</v>
      </c>
      <c r="CO58" s="100"/>
      <c r="CP58" s="100"/>
      <c r="CQ58" s="341">
        <f>IF(CO58=0,0,(CP58-CO58)/CO58*100)</f>
        <v>0</v>
      </c>
      <c r="CR58" s="100"/>
      <c r="CS58" s="100"/>
      <c r="CT58" s="341">
        <f>IF(CR58=0,0,(CS58-CR58)/CR58*100)</f>
        <v>0</v>
      </c>
      <c r="CU58" s="100"/>
      <c r="CV58" s="100"/>
      <c r="CW58" s="341">
        <f>IF(CU58=0,0,(CV58-CU58)/CU58*100)</f>
        <v>0</v>
      </c>
      <c r="CX58" s="100"/>
      <c r="CY58" s="100"/>
      <c r="CZ58" s="341">
        <f>IF(CX58=0,0,(CY58-CX58)/CX58*100)</f>
        <v>0</v>
      </c>
      <c r="DA58" s="100"/>
      <c r="DB58" s="100"/>
      <c r="DC58" s="341">
        <f>IF(DA58=0,0,(DB58-DA58)/DA58*100)</f>
        <v>0</v>
      </c>
      <c r="DD58" s="100"/>
      <c r="DE58" s="100"/>
      <c r="DF58" s="341">
        <f>IF(DD58=0,0,(DE58-DD58)/DD58*100)</f>
        <v>0</v>
      </c>
      <c r="DG58" s="100"/>
      <c r="DH58" s="100"/>
      <c r="DI58" s="341">
        <f>IF(DG58=0,0,(DH58-DG58)/DG58*100)</f>
        <v>0</v>
      </c>
      <c r="DJ58" s="100"/>
      <c r="DK58" s="100"/>
      <c r="DL58" s="341">
        <f>IF(DJ58=0,0,(DK58-DJ58)/DJ58*100)</f>
        <v>0</v>
      </c>
      <c r="DM58" s="100"/>
      <c r="DN58" s="100"/>
      <c r="DO58" s="341">
        <f>IF(DM58=0,0,(DN58-DM58)/DM58*100)</f>
        <v>0</v>
      </c>
      <c r="DP58" s="100"/>
      <c r="DQ58" s="100"/>
      <c r="DR58" s="341">
        <f>IF(DP58=0,0,(DQ58-DP58)/DP58*100)</f>
        <v>0</v>
      </c>
      <c r="DS58" s="100"/>
      <c r="DT58" s="100"/>
      <c r="DU58" s="341">
        <f>IF(DS58=0,0,(DT58-DS58)/DS58*100)</f>
        <v>0</v>
      </c>
      <c r="DV58" s="100"/>
      <c r="DW58" s="100"/>
      <c r="DX58" s="341">
        <f>IF(DV58=0,0,(DW58-DV58)/DV58*100)</f>
        <v>0</v>
      </c>
      <c r="DY58" s="100"/>
      <c r="DZ58" s="100"/>
      <c r="EA58" s="341">
        <f>IF(DY58=0,0,(DZ58-DY58)/DY58*100)</f>
        <v>0</v>
      </c>
      <c r="EB58" s="100"/>
      <c r="EC58" s="100"/>
      <c r="ED58" s="341">
        <f>IF(EB58=0,0,(EC58-EB58)/EB58*100)</f>
        <v>0</v>
      </c>
      <c r="EE58" s="100"/>
      <c r="EF58" s="100"/>
      <c r="EG58" s="341">
        <f>IF(EE58=0,0,(EF58-EE58)/EE58*100)</f>
        <v>0</v>
      </c>
      <c r="EH58" s="100"/>
      <c r="EI58" s="100"/>
      <c r="EJ58" s="341">
        <f>IF(EH58=0,0,(EI58-EH58)/EH58*100)</f>
        <v>0</v>
      </c>
      <c r="EK58" s="100"/>
      <c r="EL58" s="100"/>
      <c r="EM58" s="341">
        <f>IF(EK58=0,0,(EL58-EK58)/EK58*100)</f>
        <v>0</v>
      </c>
      <c r="EN58" s="100"/>
      <c r="EO58" s="100"/>
      <c r="EP58" s="341">
        <f>IF(EN58=0,0,(EO58-EN58)/EN58*100)</f>
        <v>0</v>
      </c>
      <c r="EQ58" s="100"/>
      <c r="ER58" s="100"/>
      <c r="ES58" s="341">
        <f>IF(EQ58=0,0,(ER58-EQ58)/EQ58*100)</f>
        <v>0</v>
      </c>
      <c r="ET58" s="100"/>
      <c r="EU58" s="100"/>
      <c r="EV58" s="341">
        <f>IF(ET58=0,0,(EU58-ET58)/ET58*100)</f>
        <v>0</v>
      </c>
      <c r="EW58" s="100"/>
      <c r="EX58" s="100"/>
      <c r="EY58" s="341">
        <f>IF(EW58=0,0,(EX58-EW58)/EW58*100)</f>
        <v>0</v>
      </c>
      <c r="EZ58" s="100"/>
      <c r="FA58" s="100"/>
      <c r="FB58" s="341">
        <f>IF(EZ58=0,0,(FA58-EZ58)/EZ58*100)</f>
        <v>0</v>
      </c>
      <c r="FC58" s="100"/>
      <c r="FD58" s="100"/>
      <c r="FE58" s="341">
        <f>IF(FC58=0,0,(FD58-FC58)/FC58*100)</f>
        <v>0</v>
      </c>
      <c r="FF58" s="100"/>
      <c r="FG58" s="100"/>
      <c r="FH58" s="341">
        <f>IF(FF58=0,0,(FG58-FF58)/FF58*100)</f>
        <v>0</v>
      </c>
      <c r="FI58" s="100"/>
      <c r="FJ58" s="100"/>
      <c r="FK58" s="341">
        <f>IF(FI58=0,0,(FJ58-FI58)/FI58*100)</f>
        <v>0</v>
      </c>
      <c r="FL58" s="100"/>
      <c r="FM58" s="100"/>
      <c r="FN58" s="341">
        <f>IF(FL58=0,0,(FM58-FL58)/FL58*100)</f>
        <v>0</v>
      </c>
      <c r="FO58" s="100"/>
      <c r="FP58" s="100"/>
      <c r="FQ58" s="341">
        <f>IF(FO58=0,0,(FP58-FO58)/FO58*100)</f>
        <v>0</v>
      </c>
      <c r="FR58" s="100"/>
      <c r="FS58" s="100"/>
      <c r="FT58" s="341">
        <f>IF(FR58=0,0,(FS58-FR58)/FR58*100)</f>
        <v>0</v>
      </c>
      <c r="FU58" s="100"/>
      <c r="FV58" s="100"/>
      <c r="FW58" s="341">
        <f>IF(FU58=0,0,(FV58-FU58)/FU58*100)</f>
        <v>0</v>
      </c>
      <c r="FZ58" s="981" t="s">
        <v>2220</v>
      </c>
      <c r="GA58" s="981"/>
      <c r="GB58" s="981"/>
      <c r="GC58" s="981"/>
      <c r="GD58" s="981"/>
    </row>
    <row r="59" spans="2:186" ht="30.75" hidden="1" customHeight="1">
      <c r="B59" s="813" t="b" cm="1">
        <f t="array" ref="B59">B58</f>
        <v>0</v>
      </c>
      <c r="C59" s="1118" t="s">
        <v>1833</v>
      </c>
      <c r="D59" s="1087" t="s">
        <v>1834</v>
      </c>
      <c r="E59" s="676">
        <v>31.5</v>
      </c>
      <c r="F59" s="779" cm="1">
        <f t="array" aca="1" ref="F59" ca="1">OFFSET(G59,-1,-1)</f>
        <v>0</v>
      </c>
      <c r="G59" s="620" t="s">
        <v>1839</v>
      </c>
      <c r="H59" s="163" t="s">
        <v>2209</v>
      </c>
      <c r="I59" s="163" t="s">
        <v>2155</v>
      </c>
      <c r="J59" s="1108"/>
      <c r="K59" s="1108" cm="1">
        <f t="array" aca="1" ref="K59" ca="1">OFFSET(J59,-1,1)</f>
        <v>0</v>
      </c>
      <c r="L59" s="1108"/>
      <c r="M59" s="1108" t="s">
        <v>1791</v>
      </c>
      <c r="N59" s="1108" t="s">
        <v>2151</v>
      </c>
      <c r="O59" s="1109" t="s">
        <v>2152</v>
      </c>
      <c r="P59" s="1108" t="s">
        <v>2210</v>
      </c>
      <c r="Q59" s="1108"/>
      <c r="T59" s="687" t="b" cm="1">
        <f t="array" aca="1" ref="T59" ca="1">T58</f>
        <v>0</v>
      </c>
      <c r="X59" s="1726"/>
      <c r="Z59" s="1726"/>
      <c r="AB59" s="223" t="s">
        <v>2211</v>
      </c>
      <c r="AC59" s="443" t="s">
        <v>1837</v>
      </c>
      <c r="AD59" s="22">
        <f ca="1">IF(method_reg="Метод экономически обоснованных расходов",SUMIFS('Калькуляция (4.6)'!AJ$25:AJ$229,'Калькуляция (4.6)'!$F$25:$F$229,$F59,'Калькуляция (4.6)'!$G$25:$G$229,$G59),IF(method_reg="Метод сравнения аналогов",SUMIFS(INDEX('Калькуляция (МСА)'!$AE$25:$BC$109,,MATCH(AD$8,'Калькуляция (МСА)'!$AE$8:$BC$8,0)),'Калькуляция (МСА)'!$F$25:$F$109,$F59,'Калькуляция (МСА)'!$G$25:$G$109,$G59),SUMIFS(INDEX('Калькуляция (5.9)'!$AJ$25:$BC$194,,MATCH(AD$8,'Калькуляция (5.9)'!$AJ$8:$BC$8,0)),'Калькуляция (5.9)'!$F$25:$F$194,$F59,'Калькуляция (5.9)'!$G$25:$G$194,$G59)))</f>
        <v>0</v>
      </c>
      <c r="AE59" s="22">
        <f ca="1">IF(method_reg="Метод экономически обоснованных расходов",SUMIFS('Калькуляция (4.6)'!AK$25:AK$229,'Калькуляция (4.6)'!$F$25:$F$229,$F59,'Калькуляция (4.6)'!$G$25:$G$229,$G59),IF(method_reg="Метод сравнения аналогов",SUMIFS(INDEX('Калькуляция (МСА)'!$AE$25:$BC$109,,MATCH(AE$8,'Калькуляция (МСА)'!$AE$8:$BC$8,0)),'Калькуляция (МСА)'!$F$25:$F$109,$F59,'Калькуляция (МСА)'!$G$25:$G$109,$G59),SUMIFS(INDEX('Калькуляция (5.9)'!$AJ$25:$BC$194,,MATCH(AE$8,'Калькуляция (5.9)'!$AJ$8:$BC$8,0)),'Калькуляция (5.9)'!$F$25:$F$194,$F59,'Калькуляция (5.9)'!$G$25:$G$194,$G59)))</f>
        <v>0</v>
      </c>
      <c r="AF59" s="312">
        <f ca="1">IF(AD59=0,0,(AE59-AD59)/AD59*100)</f>
        <v>0</v>
      </c>
      <c r="AG59" s="313">
        <f ca="1">IF(method_reg="Метод сравнения аналогов",SUMIFS(INDEX('Калькуляция (МСА)'!$AE$25:$BC$109,,MATCH(AG$8,'Калькуляция (МСА)'!$AE$8:$BC$8,0)),'Калькуляция (МСА)'!$F$25:$F$109,$F59,'Калькуляция (МСА)'!$G$25:$G$109,$G59),SUMIFS(INDEX('Калькуляция (5.9)'!$AJ$25:$BC$194,,MATCH(AG$8,'Калькуляция (5.9)'!$AJ$8:$BC$8,0)),'Калькуляция (5.9)'!$F$25:$F$194,$F59,'Калькуляция (5.9)'!$G$25:$G$194,$G59))</f>
        <v>0</v>
      </c>
      <c r="AH59" s="313">
        <f ca="1">IF(method_reg="Метод сравнения аналогов",SUMIFS(INDEX('Калькуляция (МСА)'!$AE$25:$BC$109,,MATCH(AH$8,'Калькуляция (МСА)'!$AE$8:$BC$8,0)),'Калькуляция (МСА)'!$F$25:$F$109,$F59,'Калькуляция (МСА)'!$G$25:$G$109,$G59),SUMIFS(INDEX('Калькуляция (5.9)'!$AJ$25:$BC$194,,MATCH(AH$8,'Калькуляция (5.9)'!$AJ$8:$BC$8,0)),'Калькуляция (5.9)'!$F$25:$F$194,$F59,'Калькуляция (5.9)'!$G$25:$G$194,$G59))</f>
        <v>0</v>
      </c>
      <c r="AI59" s="312">
        <f ca="1">IF(AG59=0,0,(AH59-AG59)/AG59*100)</f>
        <v>0</v>
      </c>
      <c r="AJ59" s="313">
        <f ca="1">IF(method_reg="Метод сравнения аналогов",SUMIFS(INDEX('Калькуляция (МСА)'!$AE$25:$BC$109,,MATCH(AJ$8,'Калькуляция (МСА)'!$AE$8:$BC$8,0)),'Калькуляция (МСА)'!$F$25:$F$109,$F59,'Калькуляция (МСА)'!$G$25:$G$109,$G59),SUMIFS(INDEX('Калькуляция (5.9)'!$AJ$25:$BC$194,,MATCH(AJ$8,'Калькуляция (5.9)'!$AJ$8:$BC$8,0)),'Калькуляция (5.9)'!$F$25:$F$194,$F59,'Калькуляция (5.9)'!$G$25:$G$194,$G59))</f>
        <v>0</v>
      </c>
      <c r="AK59" s="313">
        <f ca="1">IF(method_reg="Метод сравнения аналогов",SUMIFS(INDEX('Калькуляция (МСА)'!$AE$25:$BC$109,,MATCH(AK$8,'Калькуляция (МСА)'!$AE$8:$BC$8,0)),'Калькуляция (МСА)'!$F$25:$F$109,$F59,'Калькуляция (МСА)'!$G$25:$G$109,$G59),SUMIFS(INDEX('Калькуляция (5.9)'!$AJ$25:$BC$194,,MATCH(AK$8,'Калькуляция (5.9)'!$AJ$8:$BC$8,0)),'Калькуляция (5.9)'!$F$25:$F$194,$F59,'Калькуляция (5.9)'!$G$25:$G$194,$G59))</f>
        <v>0</v>
      </c>
      <c r="AL59" s="312">
        <f ca="1">IF(AJ59=0,0,(AK59-AJ59)/AJ59*100)</f>
        <v>0</v>
      </c>
      <c r="AM59" s="313">
        <f ca="1">IF(method_reg="Метод сравнения аналогов",SUMIFS(INDEX('Калькуляция (МСА)'!$AE$25:$BC$109,,MATCH(AM$8,'Калькуляция (МСА)'!$AE$8:$BC$8,0)),'Калькуляция (МСА)'!$F$25:$F$109,$F59,'Калькуляция (МСА)'!$G$25:$G$109,$G59),SUMIFS(INDEX('Калькуляция (5.9)'!$AJ$25:$BC$194,,MATCH(AM$8,'Калькуляция (5.9)'!$AJ$8:$BC$8,0)),'Калькуляция (5.9)'!$F$25:$F$194,$F59,'Калькуляция (5.9)'!$G$25:$G$194,$G59))</f>
        <v>0</v>
      </c>
      <c r="AN59" s="313">
        <f ca="1">IF(method_reg="Метод сравнения аналогов",SUMIFS(INDEX('Калькуляция (МСА)'!$AE$25:$BC$109,,MATCH(AN$8,'Калькуляция (МСА)'!$AE$8:$BC$8,0)),'Калькуляция (МСА)'!$F$25:$F$109,$F59,'Калькуляция (МСА)'!$G$25:$G$109,$G59),SUMIFS(INDEX('Калькуляция (5.9)'!$AJ$25:$BC$194,,MATCH(AN$8,'Калькуляция (5.9)'!$AJ$8:$BC$8,0)),'Калькуляция (5.9)'!$F$25:$F$194,$F59,'Калькуляция (5.9)'!$G$25:$G$194,$G59))</f>
        <v>0</v>
      </c>
      <c r="AO59" s="312">
        <f ca="1">IF(AM59=0,0,(AN59-AM59)/AM59*100)</f>
        <v>0</v>
      </c>
      <c r="AP59" s="313">
        <f ca="1">IF(method_reg="Метод сравнения аналогов",SUMIFS(INDEX('Калькуляция (МСА)'!$AE$25:$BC$109,,MATCH(AP$8,'Калькуляция (МСА)'!$AE$8:$BC$8,0)),'Калькуляция (МСА)'!$F$25:$F$109,$F59,'Калькуляция (МСА)'!$G$25:$G$109,$G59),SUMIFS(INDEX('Калькуляция (5.9)'!$AJ$25:$BC$194,,MATCH(AP$8,'Калькуляция (5.9)'!$AJ$8:$BC$8,0)),'Калькуляция (5.9)'!$F$25:$F$194,$F59,'Калькуляция (5.9)'!$G$25:$G$194,$G59))</f>
        <v>0</v>
      </c>
      <c r="AQ59" s="313">
        <f ca="1">IF(method_reg="Метод сравнения аналогов",SUMIFS(INDEX('Калькуляция (МСА)'!$AE$25:$BC$109,,MATCH(AQ$8,'Калькуляция (МСА)'!$AE$8:$BC$8,0)),'Калькуляция (МСА)'!$F$25:$F$109,$F59,'Калькуляция (МСА)'!$G$25:$G$109,$G59),SUMIFS(INDEX('Калькуляция (5.9)'!$AJ$25:$BC$194,,MATCH(AQ$8,'Калькуляция (5.9)'!$AJ$8:$BC$8,0)),'Калькуляция (5.9)'!$F$25:$F$194,$F59,'Калькуляция (5.9)'!$G$25:$G$194,$G59))</f>
        <v>0</v>
      </c>
      <c r="AR59" s="312">
        <f ca="1">IF(AP59=0,0,(AQ59-AP59)/AP59*100)</f>
        <v>0</v>
      </c>
      <c r="AS59" s="22">
        <f ca="1">IF(method_reg="Метод сравнения аналогов",SUMIFS(INDEX('Калькуляция (МСА)'!$AE$25:$BC$109,,MATCH(AS$8,'Калькуляция (МСА)'!$AE$8:$BC$8,0)),'Калькуляция (МСА)'!$F$25:$F$109,$F59,'Калькуляция (МСА)'!$G$25:$G$109,$G59),SUMIFS(INDEX('Калькуляция (5.9)'!$AJ$25:$BC$194,,MATCH(AS$8,'Калькуляция (5.9)'!$AJ$8:$BC$8,0)),'Калькуляция (5.9)'!$F$25:$F$194,$F59,'Калькуляция (5.9)'!$G$25:$G$194,$G59))</f>
        <v>0</v>
      </c>
      <c r="AT59" s="22">
        <f ca="1">IF(method_reg="Метод сравнения аналогов",SUMIFS(INDEX('Калькуляция (МСА)'!$AE$25:$BC$109,,MATCH(AT$8,'Калькуляция (МСА)'!$AE$8:$BC$8,0)),'Калькуляция (МСА)'!$F$25:$F$109,$F59,'Калькуляция (МСА)'!$G$25:$G$109,$G59),SUMIFS(INDEX('Калькуляция (5.9)'!$AJ$25:$BC$194,,MATCH(AT$8,'Калькуляция (5.9)'!$AJ$8:$BC$8,0)),'Калькуляция (5.9)'!$F$25:$F$194,$F59,'Калькуляция (5.9)'!$G$25:$G$194,$G59))</f>
        <v>0</v>
      </c>
      <c r="AU59" s="312">
        <f ca="1">IF(AS59=0,0,(AT59-AS59)/AS59*100)</f>
        <v>0</v>
      </c>
      <c r="AV59" s="22">
        <f ca="1">IF(method_reg="Метод сравнения аналогов",SUMIFS(INDEX('Калькуляция (МСА)'!$AE$25:$BC$109,,MATCH(AV$8,'Калькуляция (МСА)'!$AE$8:$BC$8,0)),'Калькуляция (МСА)'!$F$25:$F$109,$F59,'Калькуляция (МСА)'!$G$25:$G$109,$G59),SUMIFS(INDEX('Калькуляция (5.9)'!$AJ$25:$BC$194,,MATCH(AV$8,'Калькуляция (5.9)'!$AJ$8:$BC$8,0)),'Калькуляция (5.9)'!$F$25:$F$194,$F59,'Калькуляция (5.9)'!$G$25:$G$194,$G59))</f>
        <v>0</v>
      </c>
      <c r="AW59" s="22">
        <f ca="1">IF(method_reg="Метод сравнения аналогов",SUMIFS(INDEX('Калькуляция (МСА)'!$AE$25:$BC$109,,MATCH(AW$8,'Калькуляция (МСА)'!$AE$8:$BC$8,0)),'Калькуляция (МСА)'!$F$25:$F$109,$F59,'Калькуляция (МСА)'!$G$25:$G$109,$G59),SUMIFS(INDEX('Калькуляция (5.9)'!$AJ$25:$BC$194,,MATCH(AW$8,'Калькуляция (5.9)'!$AJ$8:$BC$8,0)),'Калькуляция (5.9)'!$F$25:$F$194,$F59,'Калькуляция (5.9)'!$G$25:$G$194,$G59))</f>
        <v>0</v>
      </c>
      <c r="AX59" s="312">
        <f ca="1">IF(AV59=0,0,(AW59-AV59)/AV59*100)</f>
        <v>0</v>
      </c>
      <c r="AY59" s="22">
        <f ca="1">IF(method_reg="Метод сравнения аналогов",SUMIFS(INDEX('Калькуляция (МСА)'!$AE$25:$BC$109,,MATCH(AY$8,'Калькуляция (МСА)'!$AE$8:$BC$8,0)),'Калькуляция (МСА)'!$F$25:$F$109,$F59,'Калькуляция (МСА)'!$G$25:$G$109,$G59),SUMIFS(INDEX('Калькуляция (5.9)'!$AJ$25:$BC$194,,MATCH(AY$8,'Калькуляция (5.9)'!$AJ$8:$BC$8,0)),'Калькуляция (5.9)'!$F$25:$F$194,$F59,'Калькуляция (5.9)'!$G$25:$G$194,$G59))</f>
        <v>0</v>
      </c>
      <c r="AZ59" s="22">
        <f ca="1">IF(method_reg="Метод сравнения аналогов",SUMIFS(INDEX('Калькуляция (МСА)'!$AE$25:$BC$109,,MATCH(AZ$8,'Калькуляция (МСА)'!$AE$8:$BC$8,0)),'Калькуляция (МСА)'!$F$25:$F$109,$F59,'Калькуляция (МСА)'!$G$25:$G$109,$G59),SUMIFS(INDEX('Калькуляция (5.9)'!$AJ$25:$BC$194,,MATCH(AZ$8,'Калькуляция (5.9)'!$AJ$8:$BC$8,0)),'Калькуляция (5.9)'!$F$25:$F$194,$F59,'Калькуляция (5.9)'!$G$25:$G$194,$G59))</f>
        <v>0</v>
      </c>
      <c r="BA59" s="312">
        <f ca="1">IF(AY59=0,0,(AZ59-AY59)/AY59*100)</f>
        <v>0</v>
      </c>
      <c r="BB59" s="22">
        <f ca="1">IF(method_reg="Метод сравнения аналогов",SUMIFS(INDEX('Калькуляция (МСА)'!$AE$25:$BC$109,,MATCH(BB$8,'Калькуляция (МСА)'!$AE$8:$BC$8,0)),'Калькуляция (МСА)'!$F$25:$F$109,$F59,'Калькуляция (МСА)'!$G$25:$G$109,$G59),SUMIFS(INDEX('Калькуляция (5.9)'!$AJ$25:$BC$194,,MATCH(BB$8,'Калькуляция (5.9)'!$AJ$8:$BC$8,0)),'Калькуляция (5.9)'!$F$25:$F$194,$F59,'Калькуляция (5.9)'!$G$25:$G$194,$G59))</f>
        <v>0</v>
      </c>
      <c r="BC59" s="22">
        <f ca="1">IF(method_reg="Метод сравнения аналогов",SUMIFS(INDEX('Калькуляция (МСА)'!$AE$25:$BC$109,,MATCH(BC$8,'Калькуляция (МСА)'!$AE$8:$BC$8,0)),'Калькуляция (МСА)'!$F$25:$F$109,$F59,'Калькуляция (МСА)'!$G$25:$G$109,$G59),SUMIFS(INDEX('Калькуляция (5.9)'!$AJ$25:$BC$194,,MATCH(BC$8,'Калькуляция (5.9)'!$AJ$8:$BC$8,0)),'Калькуляция (5.9)'!$F$25:$F$194,$F59,'Калькуляция (5.9)'!$G$25:$G$194,$G59))</f>
        <v>0</v>
      </c>
      <c r="BD59" s="312">
        <f ca="1">IF(BB59=0,0,(BC59-BB59)/BB59*100)</f>
        <v>0</v>
      </c>
      <c r="BE59" s="22">
        <f ca="1">IF(method_reg="Метод сравнения аналогов",SUMIFS(INDEX('Калькуляция (МСА)'!$AE$25:$BC$109,,MATCH(BE$8,'Калькуляция (МСА)'!$AE$8:$BC$8,0)),'Калькуляция (МСА)'!$F$25:$F$109,$F59,'Калькуляция (МСА)'!$G$25:$G$109,$G59),SUMIFS(INDEX('Калькуляция (5.9)'!$AJ$25:$BC$194,,MATCH(BE$8,'Калькуляция (5.9)'!$AJ$8:$BC$8,0)),'Калькуляция (5.9)'!$F$25:$F$194,$F59,'Калькуляция (5.9)'!$G$25:$G$194,$G59))</f>
        <v>0</v>
      </c>
      <c r="BF59" s="22">
        <f ca="1">IF(method_reg="Метод сравнения аналогов",SUMIFS(INDEX('Калькуляция (МСА)'!$AE$25:$BC$109,,MATCH(BF$8,'Калькуляция (МСА)'!$AE$8:$BC$8,0)),'Калькуляция (МСА)'!$F$25:$F$109,$F59,'Калькуляция (МСА)'!$G$25:$G$109,$G59),SUMIFS(INDEX('Калькуляция (5.9)'!$AJ$25:$BC$194,,MATCH(BF$8,'Калькуляция (5.9)'!$AJ$8:$BC$8,0)),'Калькуляция (5.9)'!$F$25:$F$194,$F59,'Калькуляция (5.9)'!$G$25:$G$194,$G59))</f>
        <v>0</v>
      </c>
      <c r="BG59" s="312">
        <f ca="1">IF(BE59=0,0,(BF59-BE59)/BE59*100)</f>
        <v>0</v>
      </c>
      <c r="BH59" s="22"/>
      <c r="BI59" s="22"/>
      <c r="BJ59" s="312">
        <f>IF(BH59=0,0,(BI59-BH59)/BH59*100)</f>
        <v>0</v>
      </c>
      <c r="BK59" s="22"/>
      <c r="BL59" s="22"/>
      <c r="BM59" s="312">
        <f>IF(BK59=0,0,(BL59-BK59)/BK59*100)</f>
        <v>0</v>
      </c>
      <c r="BN59" s="22"/>
      <c r="BO59" s="22"/>
      <c r="BP59" s="312">
        <f>IF(BN59=0,0,(BO59-BN59)/BN59*100)</f>
        <v>0</v>
      </c>
      <c r="BQ59" s="22"/>
      <c r="BR59" s="22"/>
      <c r="BS59" s="312">
        <f>IF(BQ59=0,0,(BR59-BQ59)/BQ59*100)</f>
        <v>0</v>
      </c>
      <c r="BT59" s="22"/>
      <c r="BU59" s="22"/>
      <c r="BV59" s="312">
        <f>IF(BT59=0,0,(BU59-BT59)/BT59*100)</f>
        <v>0</v>
      </c>
      <c r="BW59" s="22"/>
      <c r="BX59" s="22"/>
      <c r="BY59" s="312">
        <f>IF(BW59=0,0,(BX59-BW59)/BW59*100)</f>
        <v>0</v>
      </c>
      <c r="BZ59" s="22"/>
      <c r="CA59" s="22"/>
      <c r="CB59" s="312">
        <f>IF(BZ59=0,0,(CA59-BZ59)/BZ59*100)</f>
        <v>0</v>
      </c>
      <c r="CC59" s="22"/>
      <c r="CD59" s="22"/>
      <c r="CE59" s="312">
        <f>IF(CC59=0,0,(CD59-CC59)/CC59*100)</f>
        <v>0</v>
      </c>
      <c r="CF59" s="22"/>
      <c r="CG59" s="22"/>
      <c r="CH59" s="312">
        <f>IF(CF59=0,0,(CG59-CF59)/CF59*100)</f>
        <v>0</v>
      </c>
      <c r="CI59" s="22"/>
      <c r="CJ59" s="22"/>
      <c r="CK59" s="312">
        <f>IF(CI59=0,0,(CJ59-CI59)/CI59*100)</f>
        <v>0</v>
      </c>
      <c r="CL59" s="22"/>
      <c r="CM59" s="22"/>
      <c r="CN59" s="312">
        <f>IF(CL59=0,0,(CM59-CL59)/CL59*100)</f>
        <v>0</v>
      </c>
      <c r="CO59" s="22"/>
      <c r="CP59" s="22"/>
      <c r="CQ59" s="312">
        <f>IF(CO59=0,0,(CP59-CO59)/CO59*100)</f>
        <v>0</v>
      </c>
      <c r="CR59" s="22"/>
      <c r="CS59" s="22"/>
      <c r="CT59" s="312">
        <f>IF(CR59=0,0,(CS59-CR59)/CR59*100)</f>
        <v>0</v>
      </c>
      <c r="CU59" s="22"/>
      <c r="CV59" s="22"/>
      <c r="CW59" s="312">
        <f>IF(CU59=0,0,(CV59-CU59)/CU59*100)</f>
        <v>0</v>
      </c>
      <c r="CX59" s="22"/>
      <c r="CY59" s="22"/>
      <c r="CZ59" s="312">
        <f>IF(CX59=0,0,(CY59-CX59)/CX59*100)</f>
        <v>0</v>
      </c>
      <c r="DA59" s="22"/>
      <c r="DB59" s="22"/>
      <c r="DC59" s="312">
        <f>IF(DA59=0,0,(DB59-DA59)/DA59*100)</f>
        <v>0</v>
      </c>
      <c r="DD59" s="22"/>
      <c r="DE59" s="22"/>
      <c r="DF59" s="312">
        <f>IF(DD59=0,0,(DE59-DD59)/DD59*100)</f>
        <v>0</v>
      </c>
      <c r="DG59" s="22"/>
      <c r="DH59" s="22"/>
      <c r="DI59" s="312">
        <f>IF(DG59=0,0,(DH59-DG59)/DG59*100)</f>
        <v>0</v>
      </c>
      <c r="DJ59" s="22"/>
      <c r="DK59" s="22"/>
      <c r="DL59" s="312">
        <f>IF(DJ59=0,0,(DK59-DJ59)/DJ59*100)</f>
        <v>0</v>
      </c>
      <c r="DM59" s="22"/>
      <c r="DN59" s="22"/>
      <c r="DO59" s="312">
        <f>IF(DM59=0,0,(DN59-DM59)/DM59*100)</f>
        <v>0</v>
      </c>
      <c r="DP59" s="22"/>
      <c r="DQ59" s="22"/>
      <c r="DR59" s="312">
        <f>IF(DP59=0,0,(DQ59-DP59)/DP59*100)</f>
        <v>0</v>
      </c>
      <c r="DS59" s="22"/>
      <c r="DT59" s="22"/>
      <c r="DU59" s="312">
        <f>IF(DS59=0,0,(DT59-DS59)/DS59*100)</f>
        <v>0</v>
      </c>
      <c r="DV59" s="22"/>
      <c r="DW59" s="22"/>
      <c r="DX59" s="312">
        <f>IF(DV59=0,0,(DW59-DV59)/DV59*100)</f>
        <v>0</v>
      </c>
      <c r="DY59" s="22"/>
      <c r="DZ59" s="22"/>
      <c r="EA59" s="312">
        <f>IF(DY59=0,0,(DZ59-DY59)/DY59*100)</f>
        <v>0</v>
      </c>
      <c r="EB59" s="22"/>
      <c r="EC59" s="22"/>
      <c r="ED59" s="312">
        <f>IF(EB59=0,0,(EC59-EB59)/EB59*100)</f>
        <v>0</v>
      </c>
      <c r="EE59" s="22"/>
      <c r="EF59" s="22"/>
      <c r="EG59" s="312">
        <f>IF(EE59=0,0,(EF59-EE59)/EE59*100)</f>
        <v>0</v>
      </c>
      <c r="EH59" s="22"/>
      <c r="EI59" s="22"/>
      <c r="EJ59" s="312">
        <f>IF(EH59=0,0,(EI59-EH59)/EH59*100)</f>
        <v>0</v>
      </c>
      <c r="EK59" s="22"/>
      <c r="EL59" s="22"/>
      <c r="EM59" s="312">
        <f>IF(EK59=0,0,(EL59-EK59)/EK59*100)</f>
        <v>0</v>
      </c>
      <c r="EN59" s="22"/>
      <c r="EO59" s="22"/>
      <c r="EP59" s="312">
        <f>IF(EN59=0,0,(EO59-EN59)/EN59*100)</f>
        <v>0</v>
      </c>
      <c r="EQ59" s="22"/>
      <c r="ER59" s="22"/>
      <c r="ES59" s="312">
        <f>IF(EQ59=0,0,(ER59-EQ59)/EQ59*100)</f>
        <v>0</v>
      </c>
      <c r="ET59" s="22"/>
      <c r="EU59" s="22"/>
      <c r="EV59" s="312">
        <f>IF(ET59=0,0,(EU59-ET59)/ET59*100)</f>
        <v>0</v>
      </c>
      <c r="EW59" s="22"/>
      <c r="EX59" s="22"/>
      <c r="EY59" s="312">
        <f>IF(EW59=0,0,(EX59-EW59)/EW59*100)</f>
        <v>0</v>
      </c>
      <c r="EZ59" s="22"/>
      <c r="FA59" s="22"/>
      <c r="FB59" s="312">
        <f>IF(EZ59=0,0,(FA59-EZ59)/EZ59*100)</f>
        <v>0</v>
      </c>
      <c r="FC59" s="22"/>
      <c r="FD59" s="22"/>
      <c r="FE59" s="312">
        <f>IF(FC59=0,0,(FD59-FC59)/FC59*100)</f>
        <v>0</v>
      </c>
      <c r="FF59" s="22"/>
      <c r="FG59" s="22"/>
      <c r="FH59" s="312">
        <f>IF(FF59=0,0,(FG59-FF59)/FF59*100)</f>
        <v>0</v>
      </c>
      <c r="FI59" s="22"/>
      <c r="FJ59" s="22"/>
      <c r="FK59" s="312">
        <f>IF(FI59=0,0,(FJ59-FI59)/FI59*100)</f>
        <v>0</v>
      </c>
      <c r="FL59" s="22"/>
      <c r="FM59" s="22"/>
      <c r="FN59" s="312">
        <f>IF(FL59=0,0,(FM59-FL59)/FL59*100)</f>
        <v>0</v>
      </c>
      <c r="FO59" s="22"/>
      <c r="FP59" s="22"/>
      <c r="FQ59" s="312">
        <f>IF(FO59=0,0,(FP59-FO59)/FO59*100)</f>
        <v>0</v>
      </c>
      <c r="FR59" s="22"/>
      <c r="FS59" s="22"/>
      <c r="FT59" s="312">
        <f>IF(FR59=0,0,(FS59-FR59)/FR59*100)</f>
        <v>0</v>
      </c>
      <c r="FU59" s="22"/>
      <c r="FV59" s="22"/>
      <c r="FW59" s="312">
        <f>IF(FU59=0,0,(FV59-FU59)/FU59*100)</f>
        <v>0</v>
      </c>
      <c r="FZ59" s="981" t="s">
        <v>2221</v>
      </c>
      <c r="GA59" s="981"/>
      <c r="GB59" s="981"/>
      <c r="GC59" s="981"/>
      <c r="GD59" s="981"/>
    </row>
    <row r="60" spans="2:186" ht="15.4" hidden="1" customHeight="1">
      <c r="B60" s="813" t="b" cm="1">
        <f t="array" ref="B60">B59</f>
        <v>0</v>
      </c>
      <c r="C60" s="1118" t="s">
        <v>1805</v>
      </c>
      <c r="D60" s="1087" t="s">
        <v>1806</v>
      </c>
      <c r="E60" s="676">
        <v>15.8</v>
      </c>
      <c r="F60" s="779" cm="1">
        <f t="array" aca="1" ref="F60" ca="1">OFFSET(G60,-1,-1)</f>
        <v>0</v>
      </c>
      <c r="G60" s="620" t="s">
        <v>1812</v>
      </c>
      <c r="H60" s="163" t="s">
        <v>2213</v>
      </c>
      <c r="I60" s="163" t="s">
        <v>2155</v>
      </c>
      <c r="J60" s="1108"/>
      <c r="K60" s="1108" cm="1">
        <f t="array" aca="1" ref="K60" ca="1">OFFSET(J60,-1,1)</f>
        <v>0</v>
      </c>
      <c r="L60" s="1108"/>
      <c r="M60" s="1108" t="s">
        <v>1791</v>
      </c>
      <c r="N60" s="1108" t="s">
        <v>2151</v>
      </c>
      <c r="O60" s="1109" t="s">
        <v>2152</v>
      </c>
      <c r="P60" s="1108" t="s">
        <v>2214</v>
      </c>
      <c r="Q60" s="1108"/>
      <c r="T60" s="687" t="b" cm="1">
        <f t="array" aca="1" ref="T60" ca="1">T59</f>
        <v>0</v>
      </c>
      <c r="X60" s="1726"/>
      <c r="Z60" s="1726"/>
      <c r="AB60" s="223" t="s">
        <v>2215</v>
      </c>
      <c r="AC60" s="557" t="s">
        <v>725</v>
      </c>
      <c r="AD60" s="22">
        <f ca="1">IF(method_reg="Метод экономически обоснованных расходов",SUMIFS('Калькуляция (4.6)'!AJ$25:AJ$229,'Калькуляция (4.6)'!$F$25:$F$229,$F60,'Калькуляция (4.6)'!$G$25:$G$229,$G60),IF(method_reg="Метод сравнения аналогов",SUMIFS(INDEX('Калькуляция (МСА)'!$AE$25:$BC$109,,MATCH(AD$8,'Калькуляция (МСА)'!$AE$8:$BC$8,0)),'Калькуляция (МСА)'!$F$25:$F$109,$F60,'Калькуляция (МСА)'!$G$25:$G$109,$G60),SUMIFS(INDEX('Калькуляция (5.9)'!$AJ$25:$BC$194,,MATCH(AD$8,'Калькуляция (5.9)'!$AJ$8:$BC$8,0)),'Калькуляция (5.9)'!$F$25:$F$194,$F60,'Калькуляция (5.9)'!$G$25:$G$194,$G60)))</f>
        <v>0</v>
      </c>
      <c r="AE60" s="22">
        <f ca="1">IF(method_reg="Метод экономически обоснованных расходов",SUMIFS('Калькуляция (4.6)'!AK$25:AK$229,'Калькуляция (4.6)'!$F$25:$F$229,$F60,'Калькуляция (4.6)'!$G$25:$G$229,$G60),IF(method_reg="Метод сравнения аналогов",SUMIFS(INDEX('Калькуляция (МСА)'!$AE$25:$BC$109,,MATCH(AE$8,'Калькуляция (МСА)'!$AE$8:$BC$8,0)),'Калькуляция (МСА)'!$F$25:$F$109,$F60,'Калькуляция (МСА)'!$G$25:$G$109,$G60),SUMIFS(INDEX('Калькуляция (5.9)'!$AJ$25:$BC$194,,MATCH(AE$8,'Калькуляция (5.9)'!$AJ$8:$BC$8,0)),'Калькуляция (5.9)'!$F$25:$F$194,$F60,'Калькуляция (5.9)'!$G$25:$G$194,$G60)))</f>
        <v>0</v>
      </c>
      <c r="AF60" s="312">
        <f ca="1">IF(AD60=0,0,(AE60-AD60)/AD60*100)</f>
        <v>0</v>
      </c>
      <c r="AG60" s="313">
        <f ca="1">IF(method_reg="Метод сравнения аналогов",SUMIFS(INDEX('Калькуляция (МСА)'!$AE$25:$BC$109,,MATCH(AG$8,'Калькуляция (МСА)'!$AE$8:$BC$8,0)),'Калькуляция (МСА)'!$F$25:$F$109,$F60,'Калькуляция (МСА)'!$G$25:$G$109,$G60),SUMIFS(INDEX('Калькуляция (5.9)'!$AJ$25:$BC$194,,MATCH(AG$8,'Калькуляция (5.9)'!$AJ$8:$BC$8,0)),'Калькуляция (5.9)'!$F$25:$F$194,$F60,'Калькуляция (5.9)'!$G$25:$G$194,$G60))</f>
        <v>0</v>
      </c>
      <c r="AH60" s="313">
        <f ca="1">IF(method_reg="Метод сравнения аналогов",SUMIFS(INDEX('Калькуляция (МСА)'!$AE$25:$BC$109,,MATCH(AH$8,'Калькуляция (МСА)'!$AE$8:$BC$8,0)),'Калькуляция (МСА)'!$F$25:$F$109,$F60,'Калькуляция (МСА)'!$G$25:$G$109,$G60),SUMIFS(INDEX('Калькуляция (5.9)'!$AJ$25:$BC$194,,MATCH(AH$8,'Калькуляция (5.9)'!$AJ$8:$BC$8,0)),'Калькуляция (5.9)'!$F$25:$F$194,$F60,'Калькуляция (5.9)'!$G$25:$G$194,$G60))</f>
        <v>0</v>
      </c>
      <c r="AI60" s="312">
        <f ca="1">IF(AG60=0,0,(AH60-AG60)/AG60*100)</f>
        <v>0</v>
      </c>
      <c r="AJ60" s="313">
        <f ca="1">IF(method_reg="Метод сравнения аналогов",SUMIFS(INDEX('Калькуляция (МСА)'!$AE$25:$BC$109,,MATCH(AJ$8,'Калькуляция (МСА)'!$AE$8:$BC$8,0)),'Калькуляция (МСА)'!$F$25:$F$109,$F60,'Калькуляция (МСА)'!$G$25:$G$109,$G60),SUMIFS(INDEX('Калькуляция (5.9)'!$AJ$25:$BC$194,,MATCH(AJ$8,'Калькуляция (5.9)'!$AJ$8:$BC$8,0)),'Калькуляция (5.9)'!$F$25:$F$194,$F60,'Калькуляция (5.9)'!$G$25:$G$194,$G60))</f>
        <v>0</v>
      </c>
      <c r="AK60" s="313">
        <f ca="1">IF(method_reg="Метод сравнения аналогов",SUMIFS(INDEX('Калькуляция (МСА)'!$AE$25:$BC$109,,MATCH(AK$8,'Калькуляция (МСА)'!$AE$8:$BC$8,0)),'Калькуляция (МСА)'!$F$25:$F$109,$F60,'Калькуляция (МСА)'!$G$25:$G$109,$G60),SUMIFS(INDEX('Калькуляция (5.9)'!$AJ$25:$BC$194,,MATCH(AK$8,'Калькуляция (5.9)'!$AJ$8:$BC$8,0)),'Калькуляция (5.9)'!$F$25:$F$194,$F60,'Калькуляция (5.9)'!$G$25:$G$194,$G60))</f>
        <v>0</v>
      </c>
      <c r="AL60" s="312">
        <f ca="1">IF(AJ60=0,0,(AK60-AJ60)/AJ60*100)</f>
        <v>0</v>
      </c>
      <c r="AM60" s="313">
        <f ca="1">IF(method_reg="Метод сравнения аналогов",SUMIFS(INDEX('Калькуляция (МСА)'!$AE$25:$BC$109,,MATCH(AM$8,'Калькуляция (МСА)'!$AE$8:$BC$8,0)),'Калькуляция (МСА)'!$F$25:$F$109,$F60,'Калькуляция (МСА)'!$G$25:$G$109,$G60),SUMIFS(INDEX('Калькуляция (5.9)'!$AJ$25:$BC$194,,MATCH(AM$8,'Калькуляция (5.9)'!$AJ$8:$BC$8,0)),'Калькуляция (5.9)'!$F$25:$F$194,$F60,'Калькуляция (5.9)'!$G$25:$G$194,$G60))</f>
        <v>0</v>
      </c>
      <c r="AN60" s="313">
        <f ca="1">IF(method_reg="Метод сравнения аналогов",SUMIFS(INDEX('Калькуляция (МСА)'!$AE$25:$BC$109,,MATCH(AN$8,'Калькуляция (МСА)'!$AE$8:$BC$8,0)),'Калькуляция (МСА)'!$F$25:$F$109,$F60,'Калькуляция (МСА)'!$G$25:$G$109,$G60),SUMIFS(INDEX('Калькуляция (5.9)'!$AJ$25:$BC$194,,MATCH(AN$8,'Калькуляция (5.9)'!$AJ$8:$BC$8,0)),'Калькуляция (5.9)'!$F$25:$F$194,$F60,'Калькуляция (5.9)'!$G$25:$G$194,$G60))</f>
        <v>0</v>
      </c>
      <c r="AO60" s="312">
        <f ca="1">IF(AM60=0,0,(AN60-AM60)/AM60*100)</f>
        <v>0</v>
      </c>
      <c r="AP60" s="313">
        <f ca="1">IF(method_reg="Метод сравнения аналогов",SUMIFS(INDEX('Калькуляция (МСА)'!$AE$25:$BC$109,,MATCH(AP$8,'Калькуляция (МСА)'!$AE$8:$BC$8,0)),'Калькуляция (МСА)'!$F$25:$F$109,$F60,'Калькуляция (МСА)'!$G$25:$G$109,$G60),SUMIFS(INDEX('Калькуляция (5.9)'!$AJ$25:$BC$194,,MATCH(AP$8,'Калькуляция (5.9)'!$AJ$8:$BC$8,0)),'Калькуляция (5.9)'!$F$25:$F$194,$F60,'Калькуляция (5.9)'!$G$25:$G$194,$G60))</f>
        <v>0</v>
      </c>
      <c r="AQ60" s="313">
        <f ca="1">IF(method_reg="Метод сравнения аналогов",SUMIFS(INDEX('Калькуляция (МСА)'!$AE$25:$BC$109,,MATCH(AQ$8,'Калькуляция (МСА)'!$AE$8:$BC$8,0)),'Калькуляция (МСА)'!$F$25:$F$109,$F60,'Калькуляция (МСА)'!$G$25:$G$109,$G60),SUMIFS(INDEX('Калькуляция (5.9)'!$AJ$25:$BC$194,,MATCH(AQ$8,'Калькуляция (5.9)'!$AJ$8:$BC$8,0)),'Калькуляция (5.9)'!$F$25:$F$194,$F60,'Калькуляция (5.9)'!$G$25:$G$194,$G60))</f>
        <v>0</v>
      </c>
      <c r="AR60" s="312">
        <f ca="1">IF(AP60=0,0,(AQ60-AP60)/AP60*100)</f>
        <v>0</v>
      </c>
      <c r="AS60" s="22">
        <f ca="1">IF(method_reg="Метод сравнения аналогов",SUMIFS(INDEX('Калькуляция (МСА)'!$AE$25:$BC$109,,MATCH(AS$8,'Калькуляция (МСА)'!$AE$8:$BC$8,0)),'Калькуляция (МСА)'!$F$25:$F$109,$F60,'Калькуляция (МСА)'!$G$25:$G$109,$G60),SUMIFS(INDEX('Калькуляция (5.9)'!$AJ$25:$BC$194,,MATCH(AS$8,'Калькуляция (5.9)'!$AJ$8:$BC$8,0)),'Калькуляция (5.9)'!$F$25:$F$194,$F60,'Калькуляция (5.9)'!$G$25:$G$194,$G60))</f>
        <v>0</v>
      </c>
      <c r="AT60" s="22">
        <f ca="1">IF(method_reg="Метод сравнения аналогов",SUMIFS(INDEX('Калькуляция (МСА)'!$AE$25:$BC$109,,MATCH(AT$8,'Калькуляция (МСА)'!$AE$8:$BC$8,0)),'Калькуляция (МСА)'!$F$25:$F$109,$F60,'Калькуляция (МСА)'!$G$25:$G$109,$G60),SUMIFS(INDEX('Калькуляция (5.9)'!$AJ$25:$BC$194,,MATCH(AT$8,'Калькуляция (5.9)'!$AJ$8:$BC$8,0)),'Калькуляция (5.9)'!$F$25:$F$194,$F60,'Калькуляция (5.9)'!$G$25:$G$194,$G60))</f>
        <v>0</v>
      </c>
      <c r="AU60" s="312">
        <f ca="1">IF(AS60=0,0,(AT60-AS60)/AS60*100)</f>
        <v>0</v>
      </c>
      <c r="AV60" s="22">
        <f ca="1">IF(method_reg="Метод сравнения аналогов",SUMIFS(INDEX('Калькуляция (МСА)'!$AE$25:$BC$109,,MATCH(AV$8,'Калькуляция (МСА)'!$AE$8:$BC$8,0)),'Калькуляция (МСА)'!$F$25:$F$109,$F60,'Калькуляция (МСА)'!$G$25:$G$109,$G60),SUMIFS(INDEX('Калькуляция (5.9)'!$AJ$25:$BC$194,,MATCH(AV$8,'Калькуляция (5.9)'!$AJ$8:$BC$8,0)),'Калькуляция (5.9)'!$F$25:$F$194,$F60,'Калькуляция (5.9)'!$G$25:$G$194,$G60))</f>
        <v>0</v>
      </c>
      <c r="AW60" s="22">
        <f ca="1">IF(method_reg="Метод сравнения аналогов",SUMIFS(INDEX('Калькуляция (МСА)'!$AE$25:$BC$109,,MATCH(AW$8,'Калькуляция (МСА)'!$AE$8:$BC$8,0)),'Калькуляция (МСА)'!$F$25:$F$109,$F60,'Калькуляция (МСА)'!$G$25:$G$109,$G60),SUMIFS(INDEX('Калькуляция (5.9)'!$AJ$25:$BC$194,,MATCH(AW$8,'Калькуляция (5.9)'!$AJ$8:$BC$8,0)),'Калькуляция (5.9)'!$F$25:$F$194,$F60,'Калькуляция (5.9)'!$G$25:$G$194,$G60))</f>
        <v>0</v>
      </c>
      <c r="AX60" s="312">
        <f ca="1">IF(AV60=0,0,(AW60-AV60)/AV60*100)</f>
        <v>0</v>
      </c>
      <c r="AY60" s="22">
        <f ca="1">IF(method_reg="Метод сравнения аналогов",SUMIFS(INDEX('Калькуляция (МСА)'!$AE$25:$BC$109,,MATCH(AY$8,'Калькуляция (МСА)'!$AE$8:$BC$8,0)),'Калькуляция (МСА)'!$F$25:$F$109,$F60,'Калькуляция (МСА)'!$G$25:$G$109,$G60),SUMIFS(INDEX('Калькуляция (5.9)'!$AJ$25:$BC$194,,MATCH(AY$8,'Калькуляция (5.9)'!$AJ$8:$BC$8,0)),'Калькуляция (5.9)'!$F$25:$F$194,$F60,'Калькуляция (5.9)'!$G$25:$G$194,$G60))</f>
        <v>0</v>
      </c>
      <c r="AZ60" s="22">
        <f ca="1">IF(method_reg="Метод сравнения аналогов",SUMIFS(INDEX('Калькуляция (МСА)'!$AE$25:$BC$109,,MATCH(AZ$8,'Калькуляция (МСА)'!$AE$8:$BC$8,0)),'Калькуляция (МСА)'!$F$25:$F$109,$F60,'Калькуляция (МСА)'!$G$25:$G$109,$G60),SUMIFS(INDEX('Калькуляция (5.9)'!$AJ$25:$BC$194,,MATCH(AZ$8,'Калькуляция (5.9)'!$AJ$8:$BC$8,0)),'Калькуляция (5.9)'!$F$25:$F$194,$F60,'Калькуляция (5.9)'!$G$25:$G$194,$G60))</f>
        <v>0</v>
      </c>
      <c r="BA60" s="312">
        <f ca="1">IF(AY60=0,0,(AZ60-AY60)/AY60*100)</f>
        <v>0</v>
      </c>
      <c r="BB60" s="22">
        <f ca="1">IF(method_reg="Метод сравнения аналогов",SUMIFS(INDEX('Калькуляция (МСА)'!$AE$25:$BC$109,,MATCH(BB$8,'Калькуляция (МСА)'!$AE$8:$BC$8,0)),'Калькуляция (МСА)'!$F$25:$F$109,$F60,'Калькуляция (МСА)'!$G$25:$G$109,$G60),SUMIFS(INDEX('Калькуляция (5.9)'!$AJ$25:$BC$194,,MATCH(BB$8,'Калькуляция (5.9)'!$AJ$8:$BC$8,0)),'Калькуляция (5.9)'!$F$25:$F$194,$F60,'Калькуляция (5.9)'!$G$25:$G$194,$G60))</f>
        <v>0</v>
      </c>
      <c r="BC60" s="22">
        <f ca="1">IF(method_reg="Метод сравнения аналогов",SUMIFS(INDEX('Калькуляция (МСА)'!$AE$25:$BC$109,,MATCH(BC$8,'Калькуляция (МСА)'!$AE$8:$BC$8,0)),'Калькуляция (МСА)'!$F$25:$F$109,$F60,'Калькуляция (МСА)'!$G$25:$G$109,$G60),SUMIFS(INDEX('Калькуляция (5.9)'!$AJ$25:$BC$194,,MATCH(BC$8,'Калькуляция (5.9)'!$AJ$8:$BC$8,0)),'Калькуляция (5.9)'!$F$25:$F$194,$F60,'Калькуляция (5.9)'!$G$25:$G$194,$G60))</f>
        <v>0</v>
      </c>
      <c r="BD60" s="312">
        <f ca="1">IF(BB60=0,0,(BC60-BB60)/BB60*100)</f>
        <v>0</v>
      </c>
      <c r="BE60" s="22">
        <f ca="1">IF(method_reg="Метод сравнения аналогов",SUMIFS(INDEX('Калькуляция (МСА)'!$AE$25:$BC$109,,MATCH(BE$8,'Калькуляция (МСА)'!$AE$8:$BC$8,0)),'Калькуляция (МСА)'!$F$25:$F$109,$F60,'Калькуляция (МСА)'!$G$25:$G$109,$G60),SUMIFS(INDEX('Калькуляция (5.9)'!$AJ$25:$BC$194,,MATCH(BE$8,'Калькуляция (5.9)'!$AJ$8:$BC$8,0)),'Калькуляция (5.9)'!$F$25:$F$194,$F60,'Калькуляция (5.9)'!$G$25:$G$194,$G60))</f>
        <v>0</v>
      </c>
      <c r="BF60" s="22">
        <f ca="1">IF(method_reg="Метод сравнения аналогов",SUMIFS(INDEX('Калькуляция (МСА)'!$AE$25:$BC$109,,MATCH(BF$8,'Калькуляция (МСА)'!$AE$8:$BC$8,0)),'Калькуляция (МСА)'!$F$25:$F$109,$F60,'Калькуляция (МСА)'!$G$25:$G$109,$G60),SUMIFS(INDEX('Калькуляция (5.9)'!$AJ$25:$BC$194,,MATCH(BF$8,'Калькуляция (5.9)'!$AJ$8:$BC$8,0)),'Калькуляция (5.9)'!$F$25:$F$194,$F60,'Калькуляция (5.9)'!$G$25:$G$194,$G60))</f>
        <v>0</v>
      </c>
      <c r="BG60" s="312">
        <f ca="1">IF(BE60=0,0,(BF60-BE60)/BE60*100)</f>
        <v>0</v>
      </c>
      <c r="BH60" s="22"/>
      <c r="BI60" s="22"/>
      <c r="BJ60" s="312">
        <f>IF(BH60=0,0,(BI60-BH60)/BH60*100)</f>
        <v>0</v>
      </c>
      <c r="BK60" s="22"/>
      <c r="BL60" s="22"/>
      <c r="BM60" s="312">
        <f>IF(BK60=0,0,(BL60-BK60)/BK60*100)</f>
        <v>0</v>
      </c>
      <c r="BN60" s="22"/>
      <c r="BO60" s="22"/>
      <c r="BP60" s="312">
        <f>IF(BN60=0,0,(BO60-BN60)/BN60*100)</f>
        <v>0</v>
      </c>
      <c r="BQ60" s="22"/>
      <c r="BR60" s="22"/>
      <c r="BS60" s="312">
        <f>IF(BQ60=0,0,(BR60-BQ60)/BQ60*100)</f>
        <v>0</v>
      </c>
      <c r="BT60" s="22"/>
      <c r="BU60" s="22"/>
      <c r="BV60" s="312">
        <f>IF(BT60=0,0,(BU60-BT60)/BT60*100)</f>
        <v>0</v>
      </c>
      <c r="BW60" s="22"/>
      <c r="BX60" s="22"/>
      <c r="BY60" s="312">
        <f>IF(BW60=0,0,(BX60-BW60)/BW60*100)</f>
        <v>0</v>
      </c>
      <c r="BZ60" s="22"/>
      <c r="CA60" s="22"/>
      <c r="CB60" s="312">
        <f>IF(BZ60=0,0,(CA60-BZ60)/BZ60*100)</f>
        <v>0</v>
      </c>
      <c r="CC60" s="22"/>
      <c r="CD60" s="22"/>
      <c r="CE60" s="312">
        <f>IF(CC60=0,0,(CD60-CC60)/CC60*100)</f>
        <v>0</v>
      </c>
      <c r="CF60" s="22"/>
      <c r="CG60" s="22"/>
      <c r="CH60" s="312">
        <f>IF(CF60=0,0,(CG60-CF60)/CF60*100)</f>
        <v>0</v>
      </c>
      <c r="CI60" s="22"/>
      <c r="CJ60" s="22"/>
      <c r="CK60" s="312">
        <f>IF(CI60=0,0,(CJ60-CI60)/CI60*100)</f>
        <v>0</v>
      </c>
      <c r="CL60" s="22"/>
      <c r="CM60" s="22"/>
      <c r="CN60" s="312">
        <f>IF(CL60=0,0,(CM60-CL60)/CL60*100)</f>
        <v>0</v>
      </c>
      <c r="CO60" s="22"/>
      <c r="CP60" s="22"/>
      <c r="CQ60" s="312">
        <f>IF(CO60=0,0,(CP60-CO60)/CO60*100)</f>
        <v>0</v>
      </c>
      <c r="CR60" s="22"/>
      <c r="CS60" s="22"/>
      <c r="CT60" s="312">
        <f>IF(CR60=0,0,(CS60-CR60)/CR60*100)</f>
        <v>0</v>
      </c>
      <c r="CU60" s="22"/>
      <c r="CV60" s="22"/>
      <c r="CW60" s="312">
        <f>IF(CU60=0,0,(CV60-CU60)/CU60*100)</f>
        <v>0</v>
      </c>
      <c r="CX60" s="22"/>
      <c r="CY60" s="22"/>
      <c r="CZ60" s="312">
        <f>IF(CX60=0,0,(CY60-CX60)/CX60*100)</f>
        <v>0</v>
      </c>
      <c r="DA60" s="22"/>
      <c r="DB60" s="22"/>
      <c r="DC60" s="312">
        <f>IF(DA60=0,0,(DB60-DA60)/DA60*100)</f>
        <v>0</v>
      </c>
      <c r="DD60" s="22"/>
      <c r="DE60" s="22"/>
      <c r="DF60" s="312">
        <f>IF(DD60=0,0,(DE60-DD60)/DD60*100)</f>
        <v>0</v>
      </c>
      <c r="DG60" s="22"/>
      <c r="DH60" s="22"/>
      <c r="DI60" s="312">
        <f>IF(DG60=0,0,(DH60-DG60)/DG60*100)</f>
        <v>0</v>
      </c>
      <c r="DJ60" s="22"/>
      <c r="DK60" s="22"/>
      <c r="DL60" s="312">
        <f>IF(DJ60=0,0,(DK60-DJ60)/DJ60*100)</f>
        <v>0</v>
      </c>
      <c r="DM60" s="22"/>
      <c r="DN60" s="22"/>
      <c r="DO60" s="312">
        <f>IF(DM60=0,0,(DN60-DM60)/DM60*100)</f>
        <v>0</v>
      </c>
      <c r="DP60" s="22"/>
      <c r="DQ60" s="22"/>
      <c r="DR60" s="312">
        <f>IF(DP60=0,0,(DQ60-DP60)/DP60*100)</f>
        <v>0</v>
      </c>
      <c r="DS60" s="22"/>
      <c r="DT60" s="22"/>
      <c r="DU60" s="312">
        <f>IF(DS60=0,0,(DT60-DS60)/DS60*100)</f>
        <v>0</v>
      </c>
      <c r="DV60" s="22"/>
      <c r="DW60" s="22"/>
      <c r="DX60" s="312">
        <f>IF(DV60=0,0,(DW60-DV60)/DV60*100)</f>
        <v>0</v>
      </c>
      <c r="DY60" s="22"/>
      <c r="DZ60" s="22"/>
      <c r="EA60" s="312">
        <f>IF(DY60=0,0,(DZ60-DY60)/DY60*100)</f>
        <v>0</v>
      </c>
      <c r="EB60" s="22"/>
      <c r="EC60" s="22"/>
      <c r="ED60" s="312">
        <f>IF(EB60=0,0,(EC60-EB60)/EB60*100)</f>
        <v>0</v>
      </c>
      <c r="EE60" s="22"/>
      <c r="EF60" s="22"/>
      <c r="EG60" s="312">
        <f>IF(EE60=0,0,(EF60-EE60)/EE60*100)</f>
        <v>0</v>
      </c>
      <c r="EH60" s="22"/>
      <c r="EI60" s="22"/>
      <c r="EJ60" s="312">
        <f>IF(EH60=0,0,(EI60-EH60)/EH60*100)</f>
        <v>0</v>
      </c>
      <c r="EK60" s="22"/>
      <c r="EL60" s="22"/>
      <c r="EM60" s="312">
        <f>IF(EK60=0,0,(EL60-EK60)/EK60*100)</f>
        <v>0</v>
      </c>
      <c r="EN60" s="22"/>
      <c r="EO60" s="22"/>
      <c r="EP60" s="312">
        <f>IF(EN60=0,0,(EO60-EN60)/EN60*100)</f>
        <v>0</v>
      </c>
      <c r="EQ60" s="22"/>
      <c r="ER60" s="22"/>
      <c r="ES60" s="312">
        <f>IF(EQ60=0,0,(ER60-EQ60)/EQ60*100)</f>
        <v>0</v>
      </c>
      <c r="ET60" s="22"/>
      <c r="EU60" s="22"/>
      <c r="EV60" s="312">
        <f>IF(ET60=0,0,(EU60-ET60)/ET60*100)</f>
        <v>0</v>
      </c>
      <c r="EW60" s="22"/>
      <c r="EX60" s="22"/>
      <c r="EY60" s="312">
        <f>IF(EW60=0,0,(EX60-EW60)/EW60*100)</f>
        <v>0</v>
      </c>
      <c r="EZ60" s="22"/>
      <c r="FA60" s="22"/>
      <c r="FB60" s="312">
        <f>IF(EZ60=0,0,(FA60-EZ60)/EZ60*100)</f>
        <v>0</v>
      </c>
      <c r="FC60" s="22"/>
      <c r="FD60" s="22"/>
      <c r="FE60" s="312">
        <f>IF(FC60=0,0,(FD60-FC60)/FC60*100)</f>
        <v>0</v>
      </c>
      <c r="FF60" s="22"/>
      <c r="FG60" s="22"/>
      <c r="FH60" s="312">
        <f>IF(FF60=0,0,(FG60-FF60)/FF60*100)</f>
        <v>0</v>
      </c>
      <c r="FI60" s="22"/>
      <c r="FJ60" s="22"/>
      <c r="FK60" s="312">
        <f>IF(FI60=0,0,(FJ60-FI60)/FI60*100)</f>
        <v>0</v>
      </c>
      <c r="FL60" s="22"/>
      <c r="FM60" s="22"/>
      <c r="FN60" s="312">
        <f>IF(FL60=0,0,(FM60-FL60)/FL60*100)</f>
        <v>0</v>
      </c>
      <c r="FO60" s="22"/>
      <c r="FP60" s="22"/>
      <c r="FQ60" s="312">
        <f>IF(FO60=0,0,(FP60-FO60)/FO60*100)</f>
        <v>0</v>
      </c>
      <c r="FR60" s="22"/>
      <c r="FS60" s="22"/>
      <c r="FT60" s="312">
        <f>IF(FR60=0,0,(FS60-FR60)/FR60*100)</f>
        <v>0</v>
      </c>
      <c r="FU60" s="22"/>
      <c r="FV60" s="22"/>
      <c r="FW60" s="312">
        <f>IF(FU60=0,0,(FV60-FU60)/FU60*100)</f>
        <v>0</v>
      </c>
      <c r="FZ60" s="981" t="s">
        <v>2222</v>
      </c>
      <c r="GA60" s="981"/>
      <c r="GB60" s="981"/>
      <c r="GC60" s="981"/>
      <c r="GD60" s="981"/>
    </row>
    <row r="61" spans="2:186" ht="15.4" hidden="1" customHeight="1">
      <c r="B61" s="813" t="b" cm="1">
        <f t="array" ref="B61">B60</f>
        <v>0</v>
      </c>
      <c r="E61" s="676">
        <v>15.8</v>
      </c>
      <c r="F61" s="779" cm="1">
        <f t="array" aca="1" ref="F61" ca="1">OFFSET(G61,-1,-1)</f>
        <v>0</v>
      </c>
      <c r="J61" s="1092"/>
      <c r="K61" s="1108" cm="1">
        <f t="array" aca="1" ref="K61" ca="1">OFFSET(J61,-1,1)</f>
        <v>0</v>
      </c>
      <c r="L61" s="1092"/>
      <c r="M61" s="1092"/>
      <c r="N61" s="1092"/>
      <c r="O61" s="1092"/>
      <c r="P61" s="1108"/>
      <c r="Q61" s="1108"/>
      <c r="T61" s="687" t="b" cm="1">
        <f t="array" aca="1" ref="T61" ca="1">T60</f>
        <v>0</v>
      </c>
      <c r="X61" s="1726"/>
      <c r="Z61" s="1726"/>
      <c r="AB61" s="1140" t="s">
        <v>2173</v>
      </c>
      <c r="AC61" s="314"/>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6"/>
      <c r="GA61" s="981"/>
      <c r="GB61" s="981"/>
      <c r="GC61" s="981"/>
      <c r="GD61" s="981"/>
    </row>
    <row r="62" spans="2:186" ht="15.4" hidden="1" customHeight="1">
      <c r="B62" s="813" t="b" cm="1">
        <f t="array" ref="B62">B61</f>
        <v>0</v>
      </c>
      <c r="C62" s="1118" t="s">
        <v>2223</v>
      </c>
      <c r="D62" s="1087" t="s">
        <v>2224</v>
      </c>
      <c r="E62" s="676">
        <v>15.8</v>
      </c>
      <c r="F62" s="779" cm="1">
        <f t="array" aca="1" ref="F62" ca="1">OFFSET(G62,-1,-1)</f>
        <v>0</v>
      </c>
      <c r="H62" s="163" t="s">
        <v>2195</v>
      </c>
      <c r="I62" s="163" t="s">
        <v>2170</v>
      </c>
      <c r="J62" s="1108"/>
      <c r="K62" s="1108" cm="1">
        <f t="array" aca="1" ref="K62" ca="1">OFFSET(J62,-1,1)</f>
        <v>0</v>
      </c>
      <c r="L62" s="1108"/>
      <c r="M62" s="1108" t="s">
        <v>1782</v>
      </c>
      <c r="N62" s="1108" t="s">
        <v>2171</v>
      </c>
      <c r="O62" s="1109" t="s">
        <v>2172</v>
      </c>
      <c r="P62" s="1108" t="s">
        <v>2196</v>
      </c>
      <c r="Q62" s="1108"/>
      <c r="T62" s="687" t="b" cm="1">
        <f t="array" aca="1" ref="T62" ca="1">T61</f>
        <v>0</v>
      </c>
      <c r="X62" s="1726"/>
      <c r="Z62" s="1726"/>
      <c r="AB62" s="223" t="s">
        <v>2197</v>
      </c>
      <c r="AC62" s="123" t="s">
        <v>929</v>
      </c>
      <c r="AD62" s="22">
        <f>IF(AD64=0,0,(AD63*AD64+AD65*AD66*IF(god=2026,9,6))/AD64)</f>
        <v>0</v>
      </c>
      <c r="AE62" s="22">
        <f>IF(AE64=0,0,(AE63*AE64+AE65*AE66*IF(god=2026,9,6))/AE64)</f>
        <v>0</v>
      </c>
      <c r="AF62" s="312">
        <f>IF(AD62=0,0,(AE62-AD62)/AD62*100)</f>
        <v>0</v>
      </c>
      <c r="AG62" s="313">
        <f>IF(AG64=0,0,(AG63*AG64+AG65*AG66*IF(god=2025,9,6))/AG64)</f>
        <v>0</v>
      </c>
      <c r="AH62" s="313">
        <f>IF(AH64=0,0,(AH63*AH64+AH65*AH66*IF(god=2025,9,6))/AH64)</f>
        <v>0</v>
      </c>
      <c r="AI62" s="312">
        <f>IF(AG62=0,0,(AH62-AG62)/AG62*100)</f>
        <v>0</v>
      </c>
      <c r="AJ62" s="313">
        <f>IF(AJ64=0,0,(AJ63*AJ64+AJ65*AJ66*6)/AJ64)</f>
        <v>0</v>
      </c>
      <c r="AK62" s="313">
        <f>IF(AK64=0,0,(AK63*AK64+AK65*AK66*6)/AK64)</f>
        <v>0</v>
      </c>
      <c r="AL62" s="312">
        <f>IF(AJ62=0,0,(AK62-AJ62)/AJ62*100)</f>
        <v>0</v>
      </c>
      <c r="AM62" s="313">
        <f>IF(AM64=0,0,(AM63*AM64+AM65*AM66*6)/AM64)</f>
        <v>0</v>
      </c>
      <c r="AN62" s="313">
        <f>IF(AN64=0,0,(AN63*AN64+AN65*AN66*6)/AN64)</f>
        <v>0</v>
      </c>
      <c r="AO62" s="312">
        <f>IF(AM62=0,0,(AN62-AM62)/AM62*100)</f>
        <v>0</v>
      </c>
      <c r="AP62" s="313">
        <f>IF(AP64=0,0,(AP63*AP64+AP65*AP66*6)/AP64)</f>
        <v>0</v>
      </c>
      <c r="AQ62" s="313">
        <f>IF(AQ64=0,0,(AQ63*AQ64+AQ65*AQ66*6)/AQ64)</f>
        <v>0</v>
      </c>
      <c r="AR62" s="312">
        <f>IF(AP62=0,0,(AQ62-AP62)/AP62*100)</f>
        <v>0</v>
      </c>
      <c r="AS62" s="22">
        <f>IF(AS64=0,0,(AS63*AS64+AS65*AS66*6)/AS64)</f>
        <v>0</v>
      </c>
      <c r="AT62" s="22">
        <f>IF(AT64=0,0,(AT63*AT64+AT65*AT66*6)/AT64)</f>
        <v>0</v>
      </c>
      <c r="AU62" s="312">
        <f>IF(AS62=0,0,(AT62-AS62)/AS62*100)</f>
        <v>0</v>
      </c>
      <c r="AV62" s="22">
        <f>IF(AV64=0,0,(AV63*AV64+AV65*AV66*6)/AV64)</f>
        <v>0</v>
      </c>
      <c r="AW62" s="22">
        <f>IF(AW64=0,0,(AW63*AW64+AW65*AW66*6)/AW64)</f>
        <v>0</v>
      </c>
      <c r="AX62" s="312">
        <f>IF(AV62=0,0,(AW62-AV62)/AV62*100)</f>
        <v>0</v>
      </c>
      <c r="AY62" s="22">
        <f>IF(AY64=0,0,(AY63*AY64+AY65*AY66*6)/AY64)</f>
        <v>0</v>
      </c>
      <c r="AZ62" s="22">
        <f>IF(AZ64=0,0,(AZ63*AZ64+AZ65*AZ66*6)/AZ64)</f>
        <v>0</v>
      </c>
      <c r="BA62" s="312">
        <f>IF(AY62=0,0,(AZ62-AY62)/AY62*100)</f>
        <v>0</v>
      </c>
      <c r="BB62" s="22">
        <f>IF(BB64=0,0,(BB63*BB64+BB65*BB66*6)/BB64)</f>
        <v>0</v>
      </c>
      <c r="BC62" s="22">
        <f>IF(BC64=0,0,(BC63*BC64+BC65*BC66*6)/BC64)</f>
        <v>0</v>
      </c>
      <c r="BD62" s="312">
        <f>IF(BB62=0,0,(BC62-BB62)/BB62*100)</f>
        <v>0</v>
      </c>
      <c r="BE62" s="22">
        <f>IF(BE64=0,0,(BE63*BE64+BE65*BE66*6)/BE64)</f>
        <v>0</v>
      </c>
      <c r="BF62" s="22">
        <f>IF(BF64=0,0,(BF63*BF64+BF65*BF66*6)/BF64)</f>
        <v>0</v>
      </c>
      <c r="BG62" s="312">
        <f>IF(BE62=0,0,(BF62-BE62)/BE62*100)</f>
        <v>0</v>
      </c>
      <c r="BH62" s="22">
        <f>IF(BH64=0,0,(BH63*BH64+BH65*BH66*6)/BH64)</f>
        <v>0</v>
      </c>
      <c r="BI62" s="22">
        <f>IF(BI64=0,0,(BI63*BI64+BI65*BI66*6)/BI64)</f>
        <v>0</v>
      </c>
      <c r="BJ62" s="312">
        <f>IF(BH62=0,0,(BI62-BH62)/BH62*100)</f>
        <v>0</v>
      </c>
      <c r="BK62" s="22">
        <f>IF(BK64=0,0,(BK63*BK64+BK65*BK66*6)/BK64)</f>
        <v>0</v>
      </c>
      <c r="BL62" s="22">
        <f>IF(BL64=0,0,(BL63*BL64+BL65*BL66*6)/BL64)</f>
        <v>0</v>
      </c>
      <c r="BM62" s="312">
        <f>IF(BK62=0,0,(BL62-BK62)/BK62*100)</f>
        <v>0</v>
      </c>
      <c r="BN62" s="22">
        <f>IF(BN64=0,0,(BN63*BN64+BN65*BN66*6)/BN64)</f>
        <v>0</v>
      </c>
      <c r="BO62" s="22">
        <f>IF(BO64=0,0,(BO63*BO64+BO65*BO66*6)/BO64)</f>
        <v>0</v>
      </c>
      <c r="BP62" s="312">
        <f>IF(BN62=0,0,(BO62-BN62)/BN62*100)</f>
        <v>0</v>
      </c>
      <c r="BQ62" s="22">
        <f>IF(BQ64=0,0,(BQ63*BQ64+BQ65*BQ66*6)/BQ64)</f>
        <v>0</v>
      </c>
      <c r="BR62" s="22">
        <f>IF(BR64=0,0,(BR63*BR64+BR65*BR66*6)/BR64)</f>
        <v>0</v>
      </c>
      <c r="BS62" s="312">
        <f>IF(BQ62=0,0,(BR62-BQ62)/BQ62*100)</f>
        <v>0</v>
      </c>
      <c r="BT62" s="22">
        <f>IF(BT64=0,0,(BT63*BT64+BT65*BT66*6)/BT64)</f>
        <v>0</v>
      </c>
      <c r="BU62" s="22">
        <f>IF(BU64=0,0,(BU63*BU64+BU65*BU66*6)/BU64)</f>
        <v>0</v>
      </c>
      <c r="BV62" s="312">
        <f>IF(BT62=0,0,(BU62-BT62)/BT62*100)</f>
        <v>0</v>
      </c>
      <c r="BW62" s="22">
        <f>IF(BW64=0,0,(BW63*BW64+BW65*BW66*6)/BW64)</f>
        <v>0</v>
      </c>
      <c r="BX62" s="22">
        <f>IF(BX64=0,0,(BX63*BX64+BX65*BX66*6)/BX64)</f>
        <v>0</v>
      </c>
      <c r="BY62" s="312">
        <f>IF(BW62=0,0,(BX62-BW62)/BW62*100)</f>
        <v>0</v>
      </c>
      <c r="BZ62" s="22">
        <f>IF(BZ64=0,0,(BZ63*BZ64+BZ65*BZ66*6)/BZ64)</f>
        <v>0</v>
      </c>
      <c r="CA62" s="22">
        <f>IF(CA64=0,0,(CA63*CA64+CA65*CA66*6)/CA64)</f>
        <v>0</v>
      </c>
      <c r="CB62" s="312">
        <f>IF(BZ62=0,0,(CA62-BZ62)/BZ62*100)</f>
        <v>0</v>
      </c>
      <c r="CC62" s="22">
        <f>IF(CC64=0,0,(CC63*CC64+CC65*CC66*6)/CC64)</f>
        <v>0</v>
      </c>
      <c r="CD62" s="22">
        <f>IF(CD64=0,0,(CD63*CD64+CD65*CD66*6)/CD64)</f>
        <v>0</v>
      </c>
      <c r="CE62" s="312">
        <f>IF(CC62=0,0,(CD62-CC62)/CC62*100)</f>
        <v>0</v>
      </c>
      <c r="CF62" s="22">
        <f>IF(CF64=0,0,(CF63*CF64+CF65*CF66*6)/CF64)</f>
        <v>0</v>
      </c>
      <c r="CG62" s="22">
        <f>IF(CG64=0,0,(CG63*CG64+CG65*CG66*6)/CG64)</f>
        <v>0</v>
      </c>
      <c r="CH62" s="312">
        <f>IF(CF62=0,0,(CG62-CF62)/CF62*100)</f>
        <v>0</v>
      </c>
      <c r="CI62" s="22">
        <f>IF(CI64=0,0,(CI63*CI64+CI65*CI66*6)/CI64)</f>
        <v>0</v>
      </c>
      <c r="CJ62" s="22">
        <f>IF(CJ64=0,0,(CJ63*CJ64+CJ65*CJ66*6)/CJ64)</f>
        <v>0</v>
      </c>
      <c r="CK62" s="312">
        <f>IF(CI62=0,0,(CJ62-CI62)/CI62*100)</f>
        <v>0</v>
      </c>
      <c r="CL62" s="22">
        <f>IF(CL64=0,0,(CL63*CL64+CL65*CL66*6)/CL64)</f>
        <v>0</v>
      </c>
      <c r="CM62" s="22">
        <f>IF(CM64=0,0,(CM63*CM64+CM65*CM66*6)/CM64)</f>
        <v>0</v>
      </c>
      <c r="CN62" s="312">
        <f>IF(CL62=0,0,(CM62-CL62)/CL62*100)</f>
        <v>0</v>
      </c>
      <c r="CO62" s="22">
        <f>IF(CO64=0,0,(CO63*CO64+CO65*CO66*6)/CO64)</f>
        <v>0</v>
      </c>
      <c r="CP62" s="22">
        <f>IF(CP64=0,0,(CP63*CP64+CP65*CP66*6)/CP64)</f>
        <v>0</v>
      </c>
      <c r="CQ62" s="312">
        <f>IF(CO62=0,0,(CP62-CO62)/CO62*100)</f>
        <v>0</v>
      </c>
      <c r="CR62" s="22">
        <f>IF(CR64=0,0,(CR63*CR64+CR65*CR66*6)/CR64)</f>
        <v>0</v>
      </c>
      <c r="CS62" s="22">
        <f>IF(CS64=0,0,(CS63*CS64+CS65*CS66*6)/CS64)</f>
        <v>0</v>
      </c>
      <c r="CT62" s="312">
        <f>IF(CR62=0,0,(CS62-CR62)/CR62*100)</f>
        <v>0</v>
      </c>
      <c r="CU62" s="22">
        <f>IF(CU64=0,0,(CU63*CU64+CU65*CU66*6)/CU64)</f>
        <v>0</v>
      </c>
      <c r="CV62" s="22">
        <f>IF(CV64=0,0,(CV63*CV64+CV65*CV66*6)/CV64)</f>
        <v>0</v>
      </c>
      <c r="CW62" s="312">
        <f>IF(CU62=0,0,(CV62-CU62)/CU62*100)</f>
        <v>0</v>
      </c>
      <c r="CX62" s="22">
        <f>IF(CX64=0,0,(CX63*CX64+CX65*CX66*6)/CX64)</f>
        <v>0</v>
      </c>
      <c r="CY62" s="22">
        <f>IF(CY64=0,0,(CY63*CY64+CY65*CY66*6)/CY64)</f>
        <v>0</v>
      </c>
      <c r="CZ62" s="312">
        <f>IF(CX62=0,0,(CY62-CX62)/CX62*100)</f>
        <v>0</v>
      </c>
      <c r="DA62" s="22">
        <f>IF(DA64=0,0,(DA63*DA64+DA65*DA66*6)/DA64)</f>
        <v>0</v>
      </c>
      <c r="DB62" s="22">
        <f>IF(DB64=0,0,(DB63*DB64+DB65*DB66*6)/DB64)</f>
        <v>0</v>
      </c>
      <c r="DC62" s="312">
        <f>IF(DA62=0,0,(DB62-DA62)/DA62*100)</f>
        <v>0</v>
      </c>
      <c r="DD62" s="22">
        <f>IF(DD64=0,0,(DD63*DD64+DD65*DD66*6)/DD64)</f>
        <v>0</v>
      </c>
      <c r="DE62" s="22">
        <f>IF(DE64=0,0,(DE63*DE64+DE65*DE66*6)/DE64)</f>
        <v>0</v>
      </c>
      <c r="DF62" s="312">
        <f>IF(DD62=0,0,(DE62-DD62)/DD62*100)</f>
        <v>0</v>
      </c>
      <c r="DG62" s="22">
        <f>IF(DG64=0,0,(DG63*DG64+DG65*DG66*6)/DG64)</f>
        <v>0</v>
      </c>
      <c r="DH62" s="22">
        <f>IF(DH64=0,0,(DH63*DH64+DH65*DH66*6)/DH64)</f>
        <v>0</v>
      </c>
      <c r="DI62" s="312">
        <f>IF(DG62=0,0,(DH62-DG62)/DG62*100)</f>
        <v>0</v>
      </c>
      <c r="DJ62" s="22">
        <f>IF(DJ64=0,0,(DJ63*DJ64+DJ65*DJ66*6)/DJ64)</f>
        <v>0</v>
      </c>
      <c r="DK62" s="22">
        <f>IF(DK64=0,0,(DK63*DK64+DK65*DK66*6)/DK64)</f>
        <v>0</v>
      </c>
      <c r="DL62" s="312">
        <f>IF(DJ62=0,0,(DK62-DJ62)/DJ62*100)</f>
        <v>0</v>
      </c>
      <c r="DM62" s="22">
        <f>IF(DM64=0,0,(DM63*DM64+DM65*DM66*6)/DM64)</f>
        <v>0</v>
      </c>
      <c r="DN62" s="22">
        <f>IF(DN64=0,0,(DN63*DN64+DN65*DN66*6)/DN64)</f>
        <v>0</v>
      </c>
      <c r="DO62" s="312">
        <f>IF(DM62=0,0,(DN62-DM62)/DM62*100)</f>
        <v>0</v>
      </c>
      <c r="DP62" s="22">
        <f>IF(DP64=0,0,(DP63*DP64+DP65*DP66*6)/DP64)</f>
        <v>0</v>
      </c>
      <c r="DQ62" s="22">
        <f>IF(DQ64=0,0,(DQ63*DQ64+DQ65*DQ66*6)/DQ64)</f>
        <v>0</v>
      </c>
      <c r="DR62" s="312">
        <f>IF(DP62=0,0,(DQ62-DP62)/DP62*100)</f>
        <v>0</v>
      </c>
      <c r="DS62" s="22">
        <f>IF(DS64=0,0,(DS63*DS64+DS65*DS66*6)/DS64)</f>
        <v>0</v>
      </c>
      <c r="DT62" s="22">
        <f>IF(DT64=0,0,(DT63*DT64+DT65*DT66*6)/DT64)</f>
        <v>0</v>
      </c>
      <c r="DU62" s="312">
        <f>IF(DS62=0,0,(DT62-DS62)/DS62*100)</f>
        <v>0</v>
      </c>
      <c r="DV62" s="22">
        <f>IF(DV64=0,0,(DV63*DV64+DV65*DV66*6)/DV64)</f>
        <v>0</v>
      </c>
      <c r="DW62" s="22">
        <f>IF(DW64=0,0,(DW63*DW64+DW65*DW66*6)/DW64)</f>
        <v>0</v>
      </c>
      <c r="DX62" s="312">
        <f>IF(DV62=0,0,(DW62-DV62)/DV62*100)</f>
        <v>0</v>
      </c>
      <c r="DY62" s="22">
        <f>IF(DY64=0,0,(DY63*DY64+DY65*DY66*6)/DY64)</f>
        <v>0</v>
      </c>
      <c r="DZ62" s="22">
        <f>IF(DZ64=0,0,(DZ63*DZ64+DZ65*DZ66*6)/DZ64)</f>
        <v>0</v>
      </c>
      <c r="EA62" s="312">
        <f>IF(DY62=0,0,(DZ62-DY62)/DY62*100)</f>
        <v>0</v>
      </c>
      <c r="EB62" s="22">
        <f>IF(EB64=0,0,(EB63*EB64+EB65*EB66*6)/EB64)</f>
        <v>0</v>
      </c>
      <c r="EC62" s="22">
        <f>IF(EC64=0,0,(EC63*EC64+EC65*EC66*6)/EC64)</f>
        <v>0</v>
      </c>
      <c r="ED62" s="312">
        <f>IF(EB62=0,0,(EC62-EB62)/EB62*100)</f>
        <v>0</v>
      </c>
      <c r="EE62" s="22">
        <f>IF(EE64=0,0,(EE63*EE64+EE65*EE66*6)/EE64)</f>
        <v>0</v>
      </c>
      <c r="EF62" s="22">
        <f>IF(EF64=0,0,(EF63*EF64+EF65*EF66*6)/EF64)</f>
        <v>0</v>
      </c>
      <c r="EG62" s="312">
        <f>IF(EE62=0,0,(EF62-EE62)/EE62*100)</f>
        <v>0</v>
      </c>
      <c r="EH62" s="22">
        <f>IF(EH64=0,0,(EH63*EH64+EH65*EH66*6)/EH64)</f>
        <v>0</v>
      </c>
      <c r="EI62" s="22">
        <f>IF(EI64=0,0,(EI63*EI64+EI65*EI66*6)/EI64)</f>
        <v>0</v>
      </c>
      <c r="EJ62" s="312">
        <f>IF(EH62=0,0,(EI62-EH62)/EH62*100)</f>
        <v>0</v>
      </c>
      <c r="EK62" s="22">
        <f>IF(EK64=0,0,(EK63*EK64+EK65*EK66*6)/EK64)</f>
        <v>0</v>
      </c>
      <c r="EL62" s="22">
        <f>IF(EL64=0,0,(EL63*EL64+EL65*EL66*6)/EL64)</f>
        <v>0</v>
      </c>
      <c r="EM62" s="312">
        <f>IF(EK62=0,0,(EL62-EK62)/EK62*100)</f>
        <v>0</v>
      </c>
      <c r="EN62" s="22">
        <f>IF(EN64=0,0,(EN63*EN64+EN65*EN66*6)/EN64)</f>
        <v>0</v>
      </c>
      <c r="EO62" s="22">
        <f>IF(EO64=0,0,(EO63*EO64+EO65*EO66*6)/EO64)</f>
        <v>0</v>
      </c>
      <c r="EP62" s="312">
        <f>IF(EN62=0,0,(EO62-EN62)/EN62*100)</f>
        <v>0</v>
      </c>
      <c r="EQ62" s="22">
        <f>IF(EQ64=0,0,(EQ63*EQ64+EQ65*EQ66*6)/EQ64)</f>
        <v>0</v>
      </c>
      <c r="ER62" s="22">
        <f>IF(ER64=0,0,(ER63*ER64+ER65*ER66*6)/ER64)</f>
        <v>0</v>
      </c>
      <c r="ES62" s="312">
        <f>IF(EQ62=0,0,(ER62-EQ62)/EQ62*100)</f>
        <v>0</v>
      </c>
      <c r="ET62" s="22">
        <f>IF(ET64=0,0,(ET63*ET64+ET65*ET66*6)/ET64)</f>
        <v>0</v>
      </c>
      <c r="EU62" s="22">
        <f>IF(EU64=0,0,(EU63*EU64+EU65*EU66*6)/EU64)</f>
        <v>0</v>
      </c>
      <c r="EV62" s="312">
        <f>IF(ET62=0,0,(EU62-ET62)/ET62*100)</f>
        <v>0</v>
      </c>
      <c r="EW62" s="22">
        <f>IF(EW64=0,0,(EW63*EW64+EW65*EW66*6)/EW64)</f>
        <v>0</v>
      </c>
      <c r="EX62" s="22">
        <f>IF(EX64=0,0,(EX63*EX64+EX65*EX66*6)/EX64)</f>
        <v>0</v>
      </c>
      <c r="EY62" s="312">
        <f>IF(EW62=0,0,(EX62-EW62)/EW62*100)</f>
        <v>0</v>
      </c>
      <c r="EZ62" s="22">
        <f>IF(EZ64=0,0,(EZ63*EZ64+EZ65*EZ66*6)/EZ64)</f>
        <v>0</v>
      </c>
      <c r="FA62" s="22">
        <f>IF(FA64=0,0,(FA63*FA64+FA65*FA66*6)/FA64)</f>
        <v>0</v>
      </c>
      <c r="FB62" s="312">
        <f>IF(EZ62=0,0,(FA62-EZ62)/EZ62*100)</f>
        <v>0</v>
      </c>
      <c r="FC62" s="22">
        <f>IF(FC64=0,0,(FC63*FC64+FC65*FC66*6)/FC64)</f>
        <v>0</v>
      </c>
      <c r="FD62" s="22">
        <f>IF(FD64=0,0,(FD63*FD64+FD65*FD66*6)/FD64)</f>
        <v>0</v>
      </c>
      <c r="FE62" s="312">
        <f>IF(FC62=0,0,(FD62-FC62)/FC62*100)</f>
        <v>0</v>
      </c>
      <c r="FF62" s="22">
        <f>IF(FF64=0,0,(FF63*FF64+FF65*FF66*6)/FF64)</f>
        <v>0</v>
      </c>
      <c r="FG62" s="22">
        <f>IF(FG64=0,0,(FG63*FG64+FG65*FG66*6)/FG64)</f>
        <v>0</v>
      </c>
      <c r="FH62" s="312">
        <f>IF(FF62=0,0,(FG62-FF62)/FF62*100)</f>
        <v>0</v>
      </c>
      <c r="FI62" s="22">
        <f>IF(FI64=0,0,(FI63*FI64+FI65*FI66*6)/FI64)</f>
        <v>0</v>
      </c>
      <c r="FJ62" s="22">
        <f>IF(FJ64=0,0,(FJ63*FJ64+FJ65*FJ66*6)/FJ64)</f>
        <v>0</v>
      </c>
      <c r="FK62" s="312">
        <f>IF(FI62=0,0,(FJ62-FI62)/FI62*100)</f>
        <v>0</v>
      </c>
      <c r="FL62" s="22">
        <f>IF(FL64=0,0,(FL63*FL64+FL65*FL66*6)/FL64)</f>
        <v>0</v>
      </c>
      <c r="FM62" s="22">
        <f>IF(FM64=0,0,(FM63*FM64+FM65*FM66*6)/FM64)</f>
        <v>0</v>
      </c>
      <c r="FN62" s="312">
        <f>IF(FL62=0,0,(FM62-FL62)/FL62*100)</f>
        <v>0</v>
      </c>
      <c r="FO62" s="22">
        <f>IF(FO64=0,0,(FO63*FO64+FO65*FO66*6)/FO64)</f>
        <v>0</v>
      </c>
      <c r="FP62" s="22">
        <f>IF(FP64=0,0,(FP63*FP64+FP65*FP66*6)/FP64)</f>
        <v>0</v>
      </c>
      <c r="FQ62" s="312">
        <f>IF(FO62=0,0,(FP62-FO62)/FO62*100)</f>
        <v>0</v>
      </c>
      <c r="FR62" s="22">
        <f>IF(FR64=0,0,(FR63*FR64+FR65*FR66*6)/FR64)</f>
        <v>0</v>
      </c>
      <c r="FS62" s="22">
        <f>IF(FS64=0,0,(FS63*FS64+FS65*FS66*6)/FS64)</f>
        <v>0</v>
      </c>
      <c r="FT62" s="312">
        <f>IF(FR62=0,0,(FS62-FR62)/FR62*100)</f>
        <v>0</v>
      </c>
      <c r="FU62" s="22">
        <f>IF(FU64=0,0,(FU63*FU64+FU65*FU66*6)/FU64)</f>
        <v>0</v>
      </c>
      <c r="FV62" s="22">
        <f>IF(FV64=0,0,(FV63*FV64+FV65*FV66*6)/FV64)</f>
        <v>0</v>
      </c>
      <c r="FW62" s="312">
        <f>IF(FU62=0,0,(FV62-FU62)/FU62*100)</f>
        <v>0</v>
      </c>
      <c r="FZ62" s="981" t="s">
        <v>2225</v>
      </c>
      <c r="GA62" s="981"/>
      <c r="GB62" s="981"/>
      <c r="GC62" s="981"/>
      <c r="GD62" s="981"/>
    </row>
    <row r="63" spans="2:186" ht="15.4" hidden="1" customHeight="1">
      <c r="B63" s="813" t="b" cm="1">
        <f t="array" ref="B63">B62</f>
        <v>0</v>
      </c>
      <c r="C63" s="1118" t="s">
        <v>2226</v>
      </c>
      <c r="D63" s="1087" t="s">
        <v>2227</v>
      </c>
      <c r="E63" s="676">
        <v>15.8</v>
      </c>
      <c r="F63" s="779" cm="1">
        <f t="array" aca="1" ref="F63" ca="1">OFFSET(G63,-1,-1)</f>
        <v>0</v>
      </c>
      <c r="H63" s="163" t="s">
        <v>2201</v>
      </c>
      <c r="I63" s="163" t="s">
        <v>2170</v>
      </c>
      <c r="J63" s="1108"/>
      <c r="K63" s="1108" cm="1">
        <f t="array" aca="1" ref="K63" ca="1">OFFSET(J63,-1,1)</f>
        <v>0</v>
      </c>
      <c r="L63" s="1108"/>
      <c r="M63" s="1108" t="s">
        <v>1782</v>
      </c>
      <c r="N63" s="1108" t="s">
        <v>2171</v>
      </c>
      <c r="O63" s="1109" t="s">
        <v>2172</v>
      </c>
      <c r="P63" s="1108" t="s">
        <v>2202</v>
      </c>
      <c r="Q63" s="1108"/>
      <c r="T63" s="687" t="b" cm="1">
        <f t="array" aca="1" ref="T63" ca="1">T62</f>
        <v>0</v>
      </c>
      <c r="X63" s="1726"/>
      <c r="Z63" s="1726"/>
      <c r="AB63" s="223" t="s">
        <v>2203</v>
      </c>
      <c r="AC63" s="123" t="s">
        <v>929</v>
      </c>
      <c r="AD63" s="22"/>
      <c r="AE63" s="22"/>
      <c r="AF63" s="312">
        <f>IF(AD63=0,0,(AE63-AD63)/AD63*100)</f>
        <v>0</v>
      </c>
      <c r="AG63" s="313"/>
      <c r="AH63" s="313"/>
      <c r="AI63" s="312">
        <f>IF(AG63=0,0,(AH63-AG63)/AG63*100)</f>
        <v>0</v>
      </c>
      <c r="AJ63" s="313"/>
      <c r="AK63" s="313"/>
      <c r="AL63" s="312">
        <f>IF(AJ63=0,0,(AK63-AJ63)/AJ63*100)</f>
        <v>0</v>
      </c>
      <c r="AM63" s="313"/>
      <c r="AN63" s="313"/>
      <c r="AO63" s="312">
        <f>IF(AM63=0,0,(AN63-AM63)/AM63*100)</f>
        <v>0</v>
      </c>
      <c r="AP63" s="313"/>
      <c r="AQ63" s="313"/>
      <c r="AR63" s="312">
        <f>IF(AP63=0,0,(AQ63-AP63)/AP63*100)</f>
        <v>0</v>
      </c>
      <c r="AS63" s="22"/>
      <c r="AT63" s="22"/>
      <c r="AU63" s="312">
        <f>IF(AS63=0,0,(AT63-AS63)/AS63*100)</f>
        <v>0</v>
      </c>
      <c r="AV63" s="22"/>
      <c r="AW63" s="22"/>
      <c r="AX63" s="312">
        <f>IF(AV63=0,0,(AW63-AV63)/AV63*100)</f>
        <v>0</v>
      </c>
      <c r="AY63" s="22"/>
      <c r="AZ63" s="22"/>
      <c r="BA63" s="312">
        <f>IF(AY63=0,0,(AZ63-AY63)/AY63*100)</f>
        <v>0</v>
      </c>
      <c r="BB63" s="22"/>
      <c r="BC63" s="22"/>
      <c r="BD63" s="312">
        <f>IF(BB63=0,0,(BC63-BB63)/BB63*100)</f>
        <v>0</v>
      </c>
      <c r="BE63" s="22"/>
      <c r="BF63" s="22"/>
      <c r="BG63" s="312">
        <f>IF(BE63=0,0,(BF63-BE63)/BE63*100)</f>
        <v>0</v>
      </c>
      <c r="BH63" s="22"/>
      <c r="BI63" s="22"/>
      <c r="BJ63" s="312">
        <f>IF(BH63=0,0,(BI63-BH63)/BH63*100)</f>
        <v>0</v>
      </c>
      <c r="BK63" s="22"/>
      <c r="BL63" s="22"/>
      <c r="BM63" s="312">
        <f>IF(BK63=0,0,(BL63-BK63)/BK63*100)</f>
        <v>0</v>
      </c>
      <c r="BN63" s="22"/>
      <c r="BO63" s="22"/>
      <c r="BP63" s="312">
        <f>IF(BN63=0,0,(BO63-BN63)/BN63*100)</f>
        <v>0</v>
      </c>
      <c r="BQ63" s="22"/>
      <c r="BR63" s="22"/>
      <c r="BS63" s="312">
        <f>IF(BQ63=0,0,(BR63-BQ63)/BQ63*100)</f>
        <v>0</v>
      </c>
      <c r="BT63" s="22"/>
      <c r="BU63" s="22"/>
      <c r="BV63" s="312">
        <f>IF(BT63=0,0,(BU63-BT63)/BT63*100)</f>
        <v>0</v>
      </c>
      <c r="BW63" s="22"/>
      <c r="BX63" s="22"/>
      <c r="BY63" s="312">
        <f>IF(BW63=0,0,(BX63-BW63)/BW63*100)</f>
        <v>0</v>
      </c>
      <c r="BZ63" s="22"/>
      <c r="CA63" s="22"/>
      <c r="CB63" s="312">
        <f>IF(BZ63=0,0,(CA63-BZ63)/BZ63*100)</f>
        <v>0</v>
      </c>
      <c r="CC63" s="22"/>
      <c r="CD63" s="22"/>
      <c r="CE63" s="312">
        <f>IF(CC63=0,0,(CD63-CC63)/CC63*100)</f>
        <v>0</v>
      </c>
      <c r="CF63" s="22"/>
      <c r="CG63" s="22"/>
      <c r="CH63" s="312">
        <f>IF(CF63=0,0,(CG63-CF63)/CF63*100)</f>
        <v>0</v>
      </c>
      <c r="CI63" s="22"/>
      <c r="CJ63" s="22"/>
      <c r="CK63" s="312">
        <f>IF(CI63=0,0,(CJ63-CI63)/CI63*100)</f>
        <v>0</v>
      </c>
      <c r="CL63" s="22"/>
      <c r="CM63" s="22"/>
      <c r="CN63" s="312">
        <f>IF(CL63=0,0,(CM63-CL63)/CL63*100)</f>
        <v>0</v>
      </c>
      <c r="CO63" s="22"/>
      <c r="CP63" s="22"/>
      <c r="CQ63" s="312">
        <f>IF(CO63=0,0,(CP63-CO63)/CO63*100)</f>
        <v>0</v>
      </c>
      <c r="CR63" s="22"/>
      <c r="CS63" s="22"/>
      <c r="CT63" s="312">
        <f>IF(CR63=0,0,(CS63-CR63)/CR63*100)</f>
        <v>0</v>
      </c>
      <c r="CU63" s="22"/>
      <c r="CV63" s="22"/>
      <c r="CW63" s="312">
        <f>IF(CU63=0,0,(CV63-CU63)/CU63*100)</f>
        <v>0</v>
      </c>
      <c r="CX63" s="22"/>
      <c r="CY63" s="22"/>
      <c r="CZ63" s="312">
        <f>IF(CX63=0,0,(CY63-CX63)/CX63*100)</f>
        <v>0</v>
      </c>
      <c r="DA63" s="22"/>
      <c r="DB63" s="22"/>
      <c r="DC63" s="312">
        <f>IF(DA63=0,0,(DB63-DA63)/DA63*100)</f>
        <v>0</v>
      </c>
      <c r="DD63" s="22"/>
      <c r="DE63" s="22"/>
      <c r="DF63" s="312">
        <f>IF(DD63=0,0,(DE63-DD63)/DD63*100)</f>
        <v>0</v>
      </c>
      <c r="DG63" s="22"/>
      <c r="DH63" s="22"/>
      <c r="DI63" s="312">
        <f>IF(DG63=0,0,(DH63-DG63)/DG63*100)</f>
        <v>0</v>
      </c>
      <c r="DJ63" s="22"/>
      <c r="DK63" s="22"/>
      <c r="DL63" s="312">
        <f>IF(DJ63=0,0,(DK63-DJ63)/DJ63*100)</f>
        <v>0</v>
      </c>
      <c r="DM63" s="22"/>
      <c r="DN63" s="22"/>
      <c r="DO63" s="312">
        <f>IF(DM63=0,0,(DN63-DM63)/DM63*100)</f>
        <v>0</v>
      </c>
      <c r="DP63" s="22"/>
      <c r="DQ63" s="22"/>
      <c r="DR63" s="312">
        <f>IF(DP63=0,0,(DQ63-DP63)/DP63*100)</f>
        <v>0</v>
      </c>
      <c r="DS63" s="22"/>
      <c r="DT63" s="22"/>
      <c r="DU63" s="312">
        <f>IF(DS63=0,0,(DT63-DS63)/DS63*100)</f>
        <v>0</v>
      </c>
      <c r="DV63" s="22"/>
      <c r="DW63" s="22"/>
      <c r="DX63" s="312">
        <f>IF(DV63=0,0,(DW63-DV63)/DV63*100)</f>
        <v>0</v>
      </c>
      <c r="DY63" s="22"/>
      <c r="DZ63" s="22"/>
      <c r="EA63" s="312">
        <f>IF(DY63=0,0,(DZ63-DY63)/DY63*100)</f>
        <v>0</v>
      </c>
      <c r="EB63" s="22"/>
      <c r="EC63" s="22"/>
      <c r="ED63" s="312">
        <f>IF(EB63=0,0,(EC63-EB63)/EB63*100)</f>
        <v>0</v>
      </c>
      <c r="EE63" s="22"/>
      <c r="EF63" s="22"/>
      <c r="EG63" s="312">
        <f>IF(EE63=0,0,(EF63-EE63)/EE63*100)</f>
        <v>0</v>
      </c>
      <c r="EH63" s="22"/>
      <c r="EI63" s="22"/>
      <c r="EJ63" s="312">
        <f>IF(EH63=0,0,(EI63-EH63)/EH63*100)</f>
        <v>0</v>
      </c>
      <c r="EK63" s="22"/>
      <c r="EL63" s="22"/>
      <c r="EM63" s="312">
        <f>IF(EK63=0,0,(EL63-EK63)/EK63*100)</f>
        <v>0</v>
      </c>
      <c r="EN63" s="22"/>
      <c r="EO63" s="22"/>
      <c r="EP63" s="312">
        <f>IF(EN63=0,0,(EO63-EN63)/EN63*100)</f>
        <v>0</v>
      </c>
      <c r="EQ63" s="22"/>
      <c r="ER63" s="22"/>
      <c r="ES63" s="312">
        <f>IF(EQ63=0,0,(ER63-EQ63)/EQ63*100)</f>
        <v>0</v>
      </c>
      <c r="ET63" s="22"/>
      <c r="EU63" s="22"/>
      <c r="EV63" s="312">
        <f>IF(ET63=0,0,(EU63-ET63)/ET63*100)</f>
        <v>0</v>
      </c>
      <c r="EW63" s="22"/>
      <c r="EX63" s="22"/>
      <c r="EY63" s="312">
        <f>IF(EW63=0,0,(EX63-EW63)/EW63*100)</f>
        <v>0</v>
      </c>
      <c r="EZ63" s="22"/>
      <c r="FA63" s="22"/>
      <c r="FB63" s="312">
        <f>IF(EZ63=0,0,(FA63-EZ63)/EZ63*100)</f>
        <v>0</v>
      </c>
      <c r="FC63" s="22"/>
      <c r="FD63" s="22"/>
      <c r="FE63" s="312">
        <f>IF(FC63=0,0,(FD63-FC63)/FC63*100)</f>
        <v>0</v>
      </c>
      <c r="FF63" s="22"/>
      <c r="FG63" s="22"/>
      <c r="FH63" s="312">
        <f>IF(FF63=0,0,(FG63-FF63)/FF63*100)</f>
        <v>0</v>
      </c>
      <c r="FI63" s="22"/>
      <c r="FJ63" s="22"/>
      <c r="FK63" s="312">
        <f>IF(FI63=0,0,(FJ63-FI63)/FI63*100)</f>
        <v>0</v>
      </c>
      <c r="FL63" s="22"/>
      <c r="FM63" s="22"/>
      <c r="FN63" s="312">
        <f>IF(FL63=0,0,(FM63-FL63)/FL63*100)</f>
        <v>0</v>
      </c>
      <c r="FO63" s="22"/>
      <c r="FP63" s="22"/>
      <c r="FQ63" s="312">
        <f>IF(FO63=0,0,(FP63-FO63)/FO63*100)</f>
        <v>0</v>
      </c>
      <c r="FR63" s="22"/>
      <c r="FS63" s="22"/>
      <c r="FT63" s="312">
        <f>IF(FR63=0,0,(FS63-FR63)/FR63*100)</f>
        <v>0</v>
      </c>
      <c r="FU63" s="22"/>
      <c r="FV63" s="22"/>
      <c r="FW63" s="312">
        <f>IF(FU63=0,0,(FV63-FU63)/FU63*100)</f>
        <v>0</v>
      </c>
      <c r="FZ63" s="981" t="s">
        <v>2228</v>
      </c>
      <c r="GA63" s="981"/>
      <c r="GB63" s="981"/>
      <c r="GC63" s="981"/>
      <c r="GD63" s="981"/>
    </row>
    <row r="64" spans="2:186" ht="15.4" hidden="1" customHeight="1">
      <c r="B64" s="813" t="b" cm="1">
        <f t="array" ref="B64">B63</f>
        <v>0</v>
      </c>
      <c r="C64" s="1118" t="s">
        <v>1779</v>
      </c>
      <c r="D64" s="1087" t="s">
        <v>1780</v>
      </c>
      <c r="E64" s="676">
        <v>15.8</v>
      </c>
      <c r="F64" s="779" cm="1">
        <f t="array" aca="1" ref="F64" ca="1">OFFSET(G64,-1,-1)</f>
        <v>0</v>
      </c>
      <c r="H64" s="163" t="s">
        <v>2205</v>
      </c>
      <c r="I64" s="163" t="s">
        <v>2170</v>
      </c>
      <c r="J64" s="1108"/>
      <c r="K64" s="1108" cm="1">
        <f t="array" aca="1" ref="K64" ca="1">OFFSET(J64,-1,1)</f>
        <v>0</v>
      </c>
      <c r="L64" s="1108"/>
      <c r="M64" s="1108" t="s">
        <v>1782</v>
      </c>
      <c r="N64" s="1108" t="s">
        <v>2171</v>
      </c>
      <c r="O64" s="1109" t="s">
        <v>2172</v>
      </c>
      <c r="P64" s="1108" t="s">
        <v>2206</v>
      </c>
      <c r="Q64" s="1108"/>
      <c r="T64" s="687" t="b" cm="1">
        <f t="array" aca="1" ref="T64" ca="1">T63</f>
        <v>0</v>
      </c>
      <c r="X64" s="1726"/>
      <c r="Z64" s="1726"/>
      <c r="AB64" s="223" t="s">
        <v>2207</v>
      </c>
      <c r="AC64" s="123" t="s">
        <v>634</v>
      </c>
      <c r="AD64" s="100"/>
      <c r="AE64" s="100"/>
      <c r="AF64" s="341">
        <f>IF(AD64=0,0,(AE64-AD64)/AD64*100)</f>
        <v>0</v>
      </c>
      <c r="AG64" s="354"/>
      <c r="AH64" s="354"/>
      <c r="AI64" s="341">
        <f>IF(AG64=0,0,(AH64-AG64)/AG64*100)</f>
        <v>0</v>
      </c>
      <c r="AJ64" s="354"/>
      <c r="AK64" s="354"/>
      <c r="AL64" s="341">
        <f>IF(AJ64=0,0,(AK64-AJ64)/AJ64*100)</f>
        <v>0</v>
      </c>
      <c r="AM64" s="354"/>
      <c r="AN64" s="354"/>
      <c r="AO64" s="341">
        <f>IF(AM64=0,0,(AN64-AM64)/AM64*100)</f>
        <v>0</v>
      </c>
      <c r="AP64" s="354"/>
      <c r="AQ64" s="354"/>
      <c r="AR64" s="341">
        <f>IF(AP64=0,0,(AQ64-AP64)/AP64*100)</f>
        <v>0</v>
      </c>
      <c r="AS64" s="100"/>
      <c r="AT64" s="100"/>
      <c r="AU64" s="341">
        <f>IF(AS64=0,0,(AT64-AS64)/AS64*100)</f>
        <v>0</v>
      </c>
      <c r="AV64" s="100"/>
      <c r="AW64" s="100"/>
      <c r="AX64" s="341">
        <f>IF(AV64=0,0,(AW64-AV64)/AV64*100)</f>
        <v>0</v>
      </c>
      <c r="AY64" s="100"/>
      <c r="AZ64" s="100"/>
      <c r="BA64" s="341">
        <f>IF(AY64=0,0,(AZ64-AY64)/AY64*100)</f>
        <v>0</v>
      </c>
      <c r="BB64" s="100"/>
      <c r="BC64" s="100"/>
      <c r="BD64" s="341">
        <f>IF(BB64=0,0,(BC64-BB64)/BB64*100)</f>
        <v>0</v>
      </c>
      <c r="BE64" s="100"/>
      <c r="BF64" s="100"/>
      <c r="BG64" s="341">
        <f>IF(BE64=0,0,(BF64-BE64)/BE64*100)</f>
        <v>0</v>
      </c>
      <c r="BH64" s="100"/>
      <c r="BI64" s="100"/>
      <c r="BJ64" s="341">
        <f>IF(BH64=0,0,(BI64-BH64)/BH64*100)</f>
        <v>0</v>
      </c>
      <c r="BK64" s="100"/>
      <c r="BL64" s="100"/>
      <c r="BM64" s="341">
        <f>IF(BK64=0,0,(BL64-BK64)/BK64*100)</f>
        <v>0</v>
      </c>
      <c r="BN64" s="100"/>
      <c r="BO64" s="100"/>
      <c r="BP64" s="341">
        <f>IF(BN64=0,0,(BO64-BN64)/BN64*100)</f>
        <v>0</v>
      </c>
      <c r="BQ64" s="100"/>
      <c r="BR64" s="100"/>
      <c r="BS64" s="341">
        <f>IF(BQ64=0,0,(BR64-BQ64)/BQ64*100)</f>
        <v>0</v>
      </c>
      <c r="BT64" s="100"/>
      <c r="BU64" s="100"/>
      <c r="BV64" s="341">
        <f>IF(BT64=0,0,(BU64-BT64)/BT64*100)</f>
        <v>0</v>
      </c>
      <c r="BW64" s="100"/>
      <c r="BX64" s="100"/>
      <c r="BY64" s="341">
        <f>IF(BW64=0,0,(BX64-BW64)/BW64*100)</f>
        <v>0</v>
      </c>
      <c r="BZ64" s="100"/>
      <c r="CA64" s="100"/>
      <c r="CB64" s="341">
        <f>IF(BZ64=0,0,(CA64-BZ64)/BZ64*100)</f>
        <v>0</v>
      </c>
      <c r="CC64" s="100"/>
      <c r="CD64" s="100"/>
      <c r="CE64" s="341">
        <f>IF(CC64=0,0,(CD64-CC64)/CC64*100)</f>
        <v>0</v>
      </c>
      <c r="CF64" s="100"/>
      <c r="CG64" s="100"/>
      <c r="CH64" s="341">
        <f>IF(CF64=0,0,(CG64-CF64)/CF64*100)</f>
        <v>0</v>
      </c>
      <c r="CI64" s="100"/>
      <c r="CJ64" s="100"/>
      <c r="CK64" s="341">
        <f>IF(CI64=0,0,(CJ64-CI64)/CI64*100)</f>
        <v>0</v>
      </c>
      <c r="CL64" s="100"/>
      <c r="CM64" s="100"/>
      <c r="CN64" s="341">
        <f>IF(CL64=0,0,(CM64-CL64)/CL64*100)</f>
        <v>0</v>
      </c>
      <c r="CO64" s="100"/>
      <c r="CP64" s="100"/>
      <c r="CQ64" s="341">
        <f>IF(CO64=0,0,(CP64-CO64)/CO64*100)</f>
        <v>0</v>
      </c>
      <c r="CR64" s="100"/>
      <c r="CS64" s="100"/>
      <c r="CT64" s="341">
        <f>IF(CR64=0,0,(CS64-CR64)/CR64*100)</f>
        <v>0</v>
      </c>
      <c r="CU64" s="100"/>
      <c r="CV64" s="100"/>
      <c r="CW64" s="341">
        <f>IF(CU64=0,0,(CV64-CU64)/CU64*100)</f>
        <v>0</v>
      </c>
      <c r="CX64" s="100"/>
      <c r="CY64" s="100"/>
      <c r="CZ64" s="341">
        <f>IF(CX64=0,0,(CY64-CX64)/CX64*100)</f>
        <v>0</v>
      </c>
      <c r="DA64" s="100"/>
      <c r="DB64" s="100"/>
      <c r="DC64" s="341">
        <f>IF(DA64=0,0,(DB64-DA64)/DA64*100)</f>
        <v>0</v>
      </c>
      <c r="DD64" s="100"/>
      <c r="DE64" s="100"/>
      <c r="DF64" s="341">
        <f>IF(DD64=0,0,(DE64-DD64)/DD64*100)</f>
        <v>0</v>
      </c>
      <c r="DG64" s="100"/>
      <c r="DH64" s="100"/>
      <c r="DI64" s="341">
        <f>IF(DG64=0,0,(DH64-DG64)/DG64*100)</f>
        <v>0</v>
      </c>
      <c r="DJ64" s="100"/>
      <c r="DK64" s="100"/>
      <c r="DL64" s="341">
        <f>IF(DJ64=0,0,(DK64-DJ64)/DJ64*100)</f>
        <v>0</v>
      </c>
      <c r="DM64" s="100"/>
      <c r="DN64" s="100"/>
      <c r="DO64" s="341">
        <f>IF(DM64=0,0,(DN64-DM64)/DM64*100)</f>
        <v>0</v>
      </c>
      <c r="DP64" s="100"/>
      <c r="DQ64" s="100"/>
      <c r="DR64" s="341">
        <f>IF(DP64=0,0,(DQ64-DP64)/DP64*100)</f>
        <v>0</v>
      </c>
      <c r="DS64" s="100"/>
      <c r="DT64" s="100"/>
      <c r="DU64" s="341">
        <f>IF(DS64=0,0,(DT64-DS64)/DS64*100)</f>
        <v>0</v>
      </c>
      <c r="DV64" s="100"/>
      <c r="DW64" s="100"/>
      <c r="DX64" s="341">
        <f>IF(DV64=0,0,(DW64-DV64)/DV64*100)</f>
        <v>0</v>
      </c>
      <c r="DY64" s="100"/>
      <c r="DZ64" s="100"/>
      <c r="EA64" s="341">
        <f>IF(DY64=0,0,(DZ64-DY64)/DY64*100)</f>
        <v>0</v>
      </c>
      <c r="EB64" s="100"/>
      <c r="EC64" s="100"/>
      <c r="ED64" s="341">
        <f>IF(EB64=0,0,(EC64-EB64)/EB64*100)</f>
        <v>0</v>
      </c>
      <c r="EE64" s="100"/>
      <c r="EF64" s="100"/>
      <c r="EG64" s="341">
        <f>IF(EE64=0,0,(EF64-EE64)/EE64*100)</f>
        <v>0</v>
      </c>
      <c r="EH64" s="100"/>
      <c r="EI64" s="100"/>
      <c r="EJ64" s="341">
        <f>IF(EH64=0,0,(EI64-EH64)/EH64*100)</f>
        <v>0</v>
      </c>
      <c r="EK64" s="100"/>
      <c r="EL64" s="100"/>
      <c r="EM64" s="341">
        <f>IF(EK64=0,0,(EL64-EK64)/EK64*100)</f>
        <v>0</v>
      </c>
      <c r="EN64" s="100"/>
      <c r="EO64" s="100"/>
      <c r="EP64" s="341">
        <f>IF(EN64=0,0,(EO64-EN64)/EN64*100)</f>
        <v>0</v>
      </c>
      <c r="EQ64" s="100"/>
      <c r="ER64" s="100"/>
      <c r="ES64" s="341">
        <f>IF(EQ64=0,0,(ER64-EQ64)/EQ64*100)</f>
        <v>0</v>
      </c>
      <c r="ET64" s="100"/>
      <c r="EU64" s="100"/>
      <c r="EV64" s="341">
        <f>IF(ET64=0,0,(EU64-ET64)/ET64*100)</f>
        <v>0</v>
      </c>
      <c r="EW64" s="100"/>
      <c r="EX64" s="100"/>
      <c r="EY64" s="341">
        <f>IF(EW64=0,0,(EX64-EW64)/EW64*100)</f>
        <v>0</v>
      </c>
      <c r="EZ64" s="100"/>
      <c r="FA64" s="100"/>
      <c r="FB64" s="341">
        <f>IF(EZ64=0,0,(FA64-EZ64)/EZ64*100)</f>
        <v>0</v>
      </c>
      <c r="FC64" s="100"/>
      <c r="FD64" s="100"/>
      <c r="FE64" s="341">
        <f>IF(FC64=0,0,(FD64-FC64)/FC64*100)</f>
        <v>0</v>
      </c>
      <c r="FF64" s="100"/>
      <c r="FG64" s="100"/>
      <c r="FH64" s="341">
        <f>IF(FF64=0,0,(FG64-FF64)/FF64*100)</f>
        <v>0</v>
      </c>
      <c r="FI64" s="100"/>
      <c r="FJ64" s="100"/>
      <c r="FK64" s="341">
        <f>IF(FI64=0,0,(FJ64-FI64)/FI64*100)</f>
        <v>0</v>
      </c>
      <c r="FL64" s="100"/>
      <c r="FM64" s="100"/>
      <c r="FN64" s="341">
        <f>IF(FL64=0,0,(FM64-FL64)/FL64*100)</f>
        <v>0</v>
      </c>
      <c r="FO64" s="100"/>
      <c r="FP64" s="100"/>
      <c r="FQ64" s="341">
        <f>IF(FO64=0,0,(FP64-FO64)/FO64*100)</f>
        <v>0</v>
      </c>
      <c r="FR64" s="100"/>
      <c r="FS64" s="100"/>
      <c r="FT64" s="341">
        <f>IF(FR64=0,0,(FS64-FR64)/FR64*100)</f>
        <v>0</v>
      </c>
      <c r="FU64" s="100"/>
      <c r="FV64" s="100"/>
      <c r="FW64" s="341">
        <f>IF(FU64=0,0,(FV64-FU64)/FU64*100)</f>
        <v>0</v>
      </c>
      <c r="FZ64" s="981" t="s">
        <v>2229</v>
      </c>
      <c r="GA64" s="981"/>
      <c r="GB64" s="981"/>
      <c r="GC64" s="981"/>
      <c r="GD64" s="981"/>
    </row>
    <row r="65" spans="1:186" ht="30.75" hidden="1" customHeight="1">
      <c r="B65" s="813" t="b" cm="1">
        <f t="array" ref="B65">B64</f>
        <v>0</v>
      </c>
      <c r="C65" s="1118" t="s">
        <v>1833</v>
      </c>
      <c r="D65" s="1087" t="s">
        <v>1834</v>
      </c>
      <c r="E65" s="676">
        <v>31.5</v>
      </c>
      <c r="F65" s="779" cm="1">
        <f t="array" aca="1" ref="F65" ca="1">OFFSET(G65,-1,-1)</f>
        <v>0</v>
      </c>
      <c r="H65" s="163" t="s">
        <v>2209</v>
      </c>
      <c r="I65" s="163" t="s">
        <v>2170</v>
      </c>
      <c r="J65" s="1108"/>
      <c r="K65" s="1108" cm="1">
        <f t="array" aca="1" ref="K65" ca="1">OFFSET(J65,-1,1)</f>
        <v>0</v>
      </c>
      <c r="L65" s="1108"/>
      <c r="M65" s="1108" t="s">
        <v>1782</v>
      </c>
      <c r="N65" s="1108" t="s">
        <v>2171</v>
      </c>
      <c r="O65" s="1109" t="s">
        <v>2172</v>
      </c>
      <c r="P65" s="1108" t="s">
        <v>2210</v>
      </c>
      <c r="Q65" s="1108"/>
      <c r="T65" s="687" t="b" cm="1">
        <f t="array" aca="1" ref="T65" ca="1">T64</f>
        <v>0</v>
      </c>
      <c r="X65" s="1726"/>
      <c r="Z65" s="1726"/>
      <c r="AB65" s="223" t="s">
        <v>2211</v>
      </c>
      <c r="AC65" s="443" t="s">
        <v>1837</v>
      </c>
      <c r="AD65" s="22"/>
      <c r="AE65" s="22"/>
      <c r="AF65" s="312">
        <f>IF(AD65=0,0,(AE65-AD65)/AD65*100)</f>
        <v>0</v>
      </c>
      <c r="AG65" s="313"/>
      <c r="AH65" s="313"/>
      <c r="AI65" s="312">
        <f>IF(AG65=0,0,(AH65-AG65)/AG65*100)</f>
        <v>0</v>
      </c>
      <c r="AJ65" s="313"/>
      <c r="AK65" s="313"/>
      <c r="AL65" s="312">
        <f>IF(AJ65=0,0,(AK65-AJ65)/AJ65*100)</f>
        <v>0</v>
      </c>
      <c r="AM65" s="313"/>
      <c r="AN65" s="313"/>
      <c r="AO65" s="312">
        <f>IF(AM65=0,0,(AN65-AM65)/AM65*100)</f>
        <v>0</v>
      </c>
      <c r="AP65" s="313"/>
      <c r="AQ65" s="313"/>
      <c r="AR65" s="312">
        <f>IF(AP65=0,0,(AQ65-AP65)/AP65*100)</f>
        <v>0</v>
      </c>
      <c r="AS65" s="22"/>
      <c r="AT65" s="22"/>
      <c r="AU65" s="312">
        <f>IF(AS65=0,0,(AT65-AS65)/AS65*100)</f>
        <v>0</v>
      </c>
      <c r="AV65" s="22"/>
      <c r="AW65" s="22"/>
      <c r="AX65" s="312">
        <f>IF(AV65=0,0,(AW65-AV65)/AV65*100)</f>
        <v>0</v>
      </c>
      <c r="AY65" s="22"/>
      <c r="AZ65" s="22"/>
      <c r="BA65" s="312">
        <f>IF(AY65=0,0,(AZ65-AY65)/AY65*100)</f>
        <v>0</v>
      </c>
      <c r="BB65" s="22"/>
      <c r="BC65" s="22"/>
      <c r="BD65" s="312">
        <f>IF(BB65=0,0,(BC65-BB65)/BB65*100)</f>
        <v>0</v>
      </c>
      <c r="BE65" s="22"/>
      <c r="BF65" s="22"/>
      <c r="BG65" s="312">
        <f>IF(BE65=0,0,(BF65-BE65)/BE65*100)</f>
        <v>0</v>
      </c>
      <c r="BH65" s="22"/>
      <c r="BI65" s="22"/>
      <c r="BJ65" s="312">
        <f>IF(BH65=0,0,(BI65-BH65)/BH65*100)</f>
        <v>0</v>
      </c>
      <c r="BK65" s="22"/>
      <c r="BL65" s="22"/>
      <c r="BM65" s="312">
        <f>IF(BK65=0,0,(BL65-BK65)/BK65*100)</f>
        <v>0</v>
      </c>
      <c r="BN65" s="22"/>
      <c r="BO65" s="22"/>
      <c r="BP65" s="312">
        <f>IF(BN65=0,0,(BO65-BN65)/BN65*100)</f>
        <v>0</v>
      </c>
      <c r="BQ65" s="22"/>
      <c r="BR65" s="22"/>
      <c r="BS65" s="312">
        <f>IF(BQ65=0,0,(BR65-BQ65)/BQ65*100)</f>
        <v>0</v>
      </c>
      <c r="BT65" s="22"/>
      <c r="BU65" s="22"/>
      <c r="BV65" s="312">
        <f>IF(BT65=0,0,(BU65-BT65)/BT65*100)</f>
        <v>0</v>
      </c>
      <c r="BW65" s="22"/>
      <c r="BX65" s="22"/>
      <c r="BY65" s="312">
        <f>IF(BW65=0,0,(BX65-BW65)/BW65*100)</f>
        <v>0</v>
      </c>
      <c r="BZ65" s="22"/>
      <c r="CA65" s="22"/>
      <c r="CB65" s="312">
        <f>IF(BZ65=0,0,(CA65-BZ65)/BZ65*100)</f>
        <v>0</v>
      </c>
      <c r="CC65" s="22"/>
      <c r="CD65" s="22"/>
      <c r="CE65" s="312">
        <f>IF(CC65=0,0,(CD65-CC65)/CC65*100)</f>
        <v>0</v>
      </c>
      <c r="CF65" s="22"/>
      <c r="CG65" s="22"/>
      <c r="CH65" s="312">
        <f>IF(CF65=0,0,(CG65-CF65)/CF65*100)</f>
        <v>0</v>
      </c>
      <c r="CI65" s="22"/>
      <c r="CJ65" s="22"/>
      <c r="CK65" s="312">
        <f>IF(CI65=0,0,(CJ65-CI65)/CI65*100)</f>
        <v>0</v>
      </c>
      <c r="CL65" s="22"/>
      <c r="CM65" s="22"/>
      <c r="CN65" s="312">
        <f>IF(CL65=0,0,(CM65-CL65)/CL65*100)</f>
        <v>0</v>
      </c>
      <c r="CO65" s="22"/>
      <c r="CP65" s="22"/>
      <c r="CQ65" s="312">
        <f>IF(CO65=0,0,(CP65-CO65)/CO65*100)</f>
        <v>0</v>
      </c>
      <c r="CR65" s="22"/>
      <c r="CS65" s="22"/>
      <c r="CT65" s="312">
        <f>IF(CR65=0,0,(CS65-CR65)/CR65*100)</f>
        <v>0</v>
      </c>
      <c r="CU65" s="22"/>
      <c r="CV65" s="22"/>
      <c r="CW65" s="312">
        <f>IF(CU65=0,0,(CV65-CU65)/CU65*100)</f>
        <v>0</v>
      </c>
      <c r="CX65" s="22"/>
      <c r="CY65" s="22"/>
      <c r="CZ65" s="312">
        <f>IF(CX65=0,0,(CY65-CX65)/CX65*100)</f>
        <v>0</v>
      </c>
      <c r="DA65" s="22"/>
      <c r="DB65" s="22"/>
      <c r="DC65" s="312">
        <f>IF(DA65=0,0,(DB65-DA65)/DA65*100)</f>
        <v>0</v>
      </c>
      <c r="DD65" s="22"/>
      <c r="DE65" s="22"/>
      <c r="DF65" s="312">
        <f>IF(DD65=0,0,(DE65-DD65)/DD65*100)</f>
        <v>0</v>
      </c>
      <c r="DG65" s="22"/>
      <c r="DH65" s="22"/>
      <c r="DI65" s="312">
        <f>IF(DG65=0,0,(DH65-DG65)/DG65*100)</f>
        <v>0</v>
      </c>
      <c r="DJ65" s="22"/>
      <c r="DK65" s="22"/>
      <c r="DL65" s="312">
        <f>IF(DJ65=0,0,(DK65-DJ65)/DJ65*100)</f>
        <v>0</v>
      </c>
      <c r="DM65" s="22"/>
      <c r="DN65" s="22"/>
      <c r="DO65" s="312">
        <f>IF(DM65=0,0,(DN65-DM65)/DM65*100)</f>
        <v>0</v>
      </c>
      <c r="DP65" s="22"/>
      <c r="DQ65" s="22"/>
      <c r="DR65" s="312">
        <f>IF(DP65=0,0,(DQ65-DP65)/DP65*100)</f>
        <v>0</v>
      </c>
      <c r="DS65" s="22"/>
      <c r="DT65" s="22"/>
      <c r="DU65" s="312">
        <f>IF(DS65=0,0,(DT65-DS65)/DS65*100)</f>
        <v>0</v>
      </c>
      <c r="DV65" s="22"/>
      <c r="DW65" s="22"/>
      <c r="DX65" s="312">
        <f>IF(DV65=0,0,(DW65-DV65)/DV65*100)</f>
        <v>0</v>
      </c>
      <c r="DY65" s="22"/>
      <c r="DZ65" s="22"/>
      <c r="EA65" s="312">
        <f>IF(DY65=0,0,(DZ65-DY65)/DY65*100)</f>
        <v>0</v>
      </c>
      <c r="EB65" s="22"/>
      <c r="EC65" s="22"/>
      <c r="ED65" s="312">
        <f>IF(EB65=0,0,(EC65-EB65)/EB65*100)</f>
        <v>0</v>
      </c>
      <c r="EE65" s="22"/>
      <c r="EF65" s="22"/>
      <c r="EG65" s="312">
        <f>IF(EE65=0,0,(EF65-EE65)/EE65*100)</f>
        <v>0</v>
      </c>
      <c r="EH65" s="22"/>
      <c r="EI65" s="22"/>
      <c r="EJ65" s="312">
        <f>IF(EH65=0,0,(EI65-EH65)/EH65*100)</f>
        <v>0</v>
      </c>
      <c r="EK65" s="22"/>
      <c r="EL65" s="22"/>
      <c r="EM65" s="312">
        <f>IF(EK65=0,0,(EL65-EK65)/EK65*100)</f>
        <v>0</v>
      </c>
      <c r="EN65" s="22"/>
      <c r="EO65" s="22"/>
      <c r="EP65" s="312">
        <f>IF(EN65=0,0,(EO65-EN65)/EN65*100)</f>
        <v>0</v>
      </c>
      <c r="EQ65" s="22"/>
      <c r="ER65" s="22"/>
      <c r="ES65" s="312">
        <f>IF(EQ65=0,0,(ER65-EQ65)/EQ65*100)</f>
        <v>0</v>
      </c>
      <c r="ET65" s="22"/>
      <c r="EU65" s="22"/>
      <c r="EV65" s="312">
        <f>IF(ET65=0,0,(EU65-ET65)/ET65*100)</f>
        <v>0</v>
      </c>
      <c r="EW65" s="22"/>
      <c r="EX65" s="22"/>
      <c r="EY65" s="312">
        <f>IF(EW65=0,0,(EX65-EW65)/EW65*100)</f>
        <v>0</v>
      </c>
      <c r="EZ65" s="22"/>
      <c r="FA65" s="22"/>
      <c r="FB65" s="312">
        <f>IF(EZ65=0,0,(FA65-EZ65)/EZ65*100)</f>
        <v>0</v>
      </c>
      <c r="FC65" s="22"/>
      <c r="FD65" s="22"/>
      <c r="FE65" s="312">
        <f>IF(FC65=0,0,(FD65-FC65)/FC65*100)</f>
        <v>0</v>
      </c>
      <c r="FF65" s="22"/>
      <c r="FG65" s="22"/>
      <c r="FH65" s="312">
        <f>IF(FF65=0,0,(FG65-FF65)/FF65*100)</f>
        <v>0</v>
      </c>
      <c r="FI65" s="22"/>
      <c r="FJ65" s="22"/>
      <c r="FK65" s="312">
        <f>IF(FI65=0,0,(FJ65-FI65)/FI65*100)</f>
        <v>0</v>
      </c>
      <c r="FL65" s="22"/>
      <c r="FM65" s="22"/>
      <c r="FN65" s="312">
        <f>IF(FL65=0,0,(FM65-FL65)/FL65*100)</f>
        <v>0</v>
      </c>
      <c r="FO65" s="22"/>
      <c r="FP65" s="22"/>
      <c r="FQ65" s="312">
        <f>IF(FO65=0,0,(FP65-FO65)/FO65*100)</f>
        <v>0</v>
      </c>
      <c r="FR65" s="22"/>
      <c r="FS65" s="22"/>
      <c r="FT65" s="312">
        <f>IF(FR65=0,0,(FS65-FR65)/FR65*100)</f>
        <v>0</v>
      </c>
      <c r="FU65" s="22"/>
      <c r="FV65" s="22"/>
      <c r="FW65" s="312">
        <f>IF(FU65=0,0,(FV65-FU65)/FU65*100)</f>
        <v>0</v>
      </c>
      <c r="FZ65" s="981" t="s">
        <v>2230</v>
      </c>
      <c r="GA65" s="981"/>
      <c r="GB65" s="981"/>
      <c r="GC65" s="981"/>
      <c r="GD65" s="981"/>
    </row>
    <row r="66" spans="1:186" ht="15.4" hidden="1" customHeight="1">
      <c r="B66" s="813" t="b" cm="1">
        <f t="array" ref="B66">B65</f>
        <v>0</v>
      </c>
      <c r="C66" s="1118" t="s">
        <v>1805</v>
      </c>
      <c r="D66" s="1087" t="s">
        <v>1806</v>
      </c>
      <c r="E66" s="676">
        <v>15.8</v>
      </c>
      <c r="F66" s="779" cm="1">
        <f t="array" aca="1" ref="F66" ca="1">OFFSET(G66,-1,-1)</f>
        <v>0</v>
      </c>
      <c r="H66" s="163" t="s">
        <v>2213</v>
      </c>
      <c r="I66" s="163" t="s">
        <v>2170</v>
      </c>
      <c r="J66" s="1108"/>
      <c r="K66" s="1108" cm="1">
        <f t="array" aca="1" ref="K66" ca="1">OFFSET(J66,-1,1)</f>
        <v>0</v>
      </c>
      <c r="L66" s="1108"/>
      <c r="M66" s="1108" t="s">
        <v>1782</v>
      </c>
      <c r="N66" s="1108" t="s">
        <v>2171</v>
      </c>
      <c r="O66" s="1109" t="s">
        <v>2172</v>
      </c>
      <c r="P66" s="1108" t="s">
        <v>2214</v>
      </c>
      <c r="Q66" s="1108"/>
      <c r="T66" s="687" t="b" cm="1">
        <f t="array" aca="1" ref="T66" ca="1">T65</f>
        <v>0</v>
      </c>
      <c r="X66" s="1726"/>
      <c r="Z66" s="1726"/>
      <c r="AB66" s="223" t="s">
        <v>2215</v>
      </c>
      <c r="AC66" s="557" t="s">
        <v>725</v>
      </c>
      <c r="AD66" s="22"/>
      <c r="AE66" s="22"/>
      <c r="AF66" s="312">
        <f>IF(AD66=0,0,(AE66-AD66)/AD66*100)</f>
        <v>0</v>
      </c>
      <c r="AG66" s="313"/>
      <c r="AH66" s="313"/>
      <c r="AI66" s="312">
        <f>IF(AG66=0,0,(AH66-AG66)/AG66*100)</f>
        <v>0</v>
      </c>
      <c r="AJ66" s="313"/>
      <c r="AK66" s="313"/>
      <c r="AL66" s="312">
        <f>IF(AJ66=0,0,(AK66-AJ66)/AJ66*100)</f>
        <v>0</v>
      </c>
      <c r="AM66" s="313"/>
      <c r="AN66" s="313"/>
      <c r="AO66" s="312">
        <f>IF(AM66=0,0,(AN66-AM66)/AM66*100)</f>
        <v>0</v>
      </c>
      <c r="AP66" s="313"/>
      <c r="AQ66" s="313"/>
      <c r="AR66" s="312">
        <f>IF(AP66=0,0,(AQ66-AP66)/AP66*100)</f>
        <v>0</v>
      </c>
      <c r="AS66" s="22"/>
      <c r="AT66" s="22"/>
      <c r="AU66" s="312">
        <f>IF(AS66=0,0,(AT66-AS66)/AS66*100)</f>
        <v>0</v>
      </c>
      <c r="AV66" s="22"/>
      <c r="AW66" s="22"/>
      <c r="AX66" s="312">
        <f>IF(AV66=0,0,(AW66-AV66)/AV66*100)</f>
        <v>0</v>
      </c>
      <c r="AY66" s="22"/>
      <c r="AZ66" s="22"/>
      <c r="BA66" s="312">
        <f>IF(AY66=0,0,(AZ66-AY66)/AY66*100)</f>
        <v>0</v>
      </c>
      <c r="BB66" s="22"/>
      <c r="BC66" s="22"/>
      <c r="BD66" s="312">
        <f>IF(BB66=0,0,(BC66-BB66)/BB66*100)</f>
        <v>0</v>
      </c>
      <c r="BE66" s="22"/>
      <c r="BF66" s="22"/>
      <c r="BG66" s="312">
        <f>IF(BE66=0,0,(BF66-BE66)/BE66*100)</f>
        <v>0</v>
      </c>
      <c r="BH66" s="22"/>
      <c r="BI66" s="22"/>
      <c r="BJ66" s="312">
        <f>IF(BH66=0,0,(BI66-BH66)/BH66*100)</f>
        <v>0</v>
      </c>
      <c r="BK66" s="22"/>
      <c r="BL66" s="22"/>
      <c r="BM66" s="312">
        <f>IF(BK66=0,0,(BL66-BK66)/BK66*100)</f>
        <v>0</v>
      </c>
      <c r="BN66" s="22"/>
      <c r="BO66" s="22"/>
      <c r="BP66" s="312">
        <f>IF(BN66=0,0,(BO66-BN66)/BN66*100)</f>
        <v>0</v>
      </c>
      <c r="BQ66" s="22"/>
      <c r="BR66" s="22"/>
      <c r="BS66" s="312">
        <f>IF(BQ66=0,0,(BR66-BQ66)/BQ66*100)</f>
        <v>0</v>
      </c>
      <c r="BT66" s="22"/>
      <c r="BU66" s="22"/>
      <c r="BV66" s="312">
        <f>IF(BT66=0,0,(BU66-BT66)/BT66*100)</f>
        <v>0</v>
      </c>
      <c r="BW66" s="22"/>
      <c r="BX66" s="22"/>
      <c r="BY66" s="312">
        <f>IF(BW66=0,0,(BX66-BW66)/BW66*100)</f>
        <v>0</v>
      </c>
      <c r="BZ66" s="22"/>
      <c r="CA66" s="22"/>
      <c r="CB66" s="312">
        <f>IF(BZ66=0,0,(CA66-BZ66)/BZ66*100)</f>
        <v>0</v>
      </c>
      <c r="CC66" s="22"/>
      <c r="CD66" s="22"/>
      <c r="CE66" s="312">
        <f>IF(CC66=0,0,(CD66-CC66)/CC66*100)</f>
        <v>0</v>
      </c>
      <c r="CF66" s="22"/>
      <c r="CG66" s="22"/>
      <c r="CH66" s="312">
        <f>IF(CF66=0,0,(CG66-CF66)/CF66*100)</f>
        <v>0</v>
      </c>
      <c r="CI66" s="22"/>
      <c r="CJ66" s="22"/>
      <c r="CK66" s="312">
        <f>IF(CI66=0,0,(CJ66-CI66)/CI66*100)</f>
        <v>0</v>
      </c>
      <c r="CL66" s="22"/>
      <c r="CM66" s="22"/>
      <c r="CN66" s="312">
        <f>IF(CL66=0,0,(CM66-CL66)/CL66*100)</f>
        <v>0</v>
      </c>
      <c r="CO66" s="22"/>
      <c r="CP66" s="22"/>
      <c r="CQ66" s="312">
        <f>IF(CO66=0,0,(CP66-CO66)/CO66*100)</f>
        <v>0</v>
      </c>
      <c r="CR66" s="22"/>
      <c r="CS66" s="22"/>
      <c r="CT66" s="312">
        <f>IF(CR66=0,0,(CS66-CR66)/CR66*100)</f>
        <v>0</v>
      </c>
      <c r="CU66" s="22"/>
      <c r="CV66" s="22"/>
      <c r="CW66" s="312">
        <f>IF(CU66=0,0,(CV66-CU66)/CU66*100)</f>
        <v>0</v>
      </c>
      <c r="CX66" s="22"/>
      <c r="CY66" s="22"/>
      <c r="CZ66" s="312">
        <f>IF(CX66=0,0,(CY66-CX66)/CX66*100)</f>
        <v>0</v>
      </c>
      <c r="DA66" s="22"/>
      <c r="DB66" s="22"/>
      <c r="DC66" s="312">
        <f>IF(DA66=0,0,(DB66-DA66)/DA66*100)</f>
        <v>0</v>
      </c>
      <c r="DD66" s="22"/>
      <c r="DE66" s="22"/>
      <c r="DF66" s="312">
        <f>IF(DD66=0,0,(DE66-DD66)/DD66*100)</f>
        <v>0</v>
      </c>
      <c r="DG66" s="22"/>
      <c r="DH66" s="22"/>
      <c r="DI66" s="312">
        <f>IF(DG66=0,0,(DH66-DG66)/DG66*100)</f>
        <v>0</v>
      </c>
      <c r="DJ66" s="22"/>
      <c r="DK66" s="22"/>
      <c r="DL66" s="312">
        <f>IF(DJ66=0,0,(DK66-DJ66)/DJ66*100)</f>
        <v>0</v>
      </c>
      <c r="DM66" s="22"/>
      <c r="DN66" s="22"/>
      <c r="DO66" s="312">
        <f>IF(DM66=0,0,(DN66-DM66)/DM66*100)</f>
        <v>0</v>
      </c>
      <c r="DP66" s="22"/>
      <c r="DQ66" s="22"/>
      <c r="DR66" s="312">
        <f>IF(DP66=0,0,(DQ66-DP66)/DP66*100)</f>
        <v>0</v>
      </c>
      <c r="DS66" s="22"/>
      <c r="DT66" s="22"/>
      <c r="DU66" s="312">
        <f>IF(DS66=0,0,(DT66-DS66)/DS66*100)</f>
        <v>0</v>
      </c>
      <c r="DV66" s="22"/>
      <c r="DW66" s="22"/>
      <c r="DX66" s="312">
        <f>IF(DV66=0,0,(DW66-DV66)/DV66*100)</f>
        <v>0</v>
      </c>
      <c r="DY66" s="22"/>
      <c r="DZ66" s="22"/>
      <c r="EA66" s="312">
        <f>IF(DY66=0,0,(DZ66-DY66)/DY66*100)</f>
        <v>0</v>
      </c>
      <c r="EB66" s="22"/>
      <c r="EC66" s="22"/>
      <c r="ED66" s="312">
        <f>IF(EB66=0,0,(EC66-EB66)/EB66*100)</f>
        <v>0</v>
      </c>
      <c r="EE66" s="22"/>
      <c r="EF66" s="22"/>
      <c r="EG66" s="312">
        <f>IF(EE66=0,0,(EF66-EE66)/EE66*100)</f>
        <v>0</v>
      </c>
      <c r="EH66" s="22"/>
      <c r="EI66" s="22"/>
      <c r="EJ66" s="312">
        <f>IF(EH66=0,0,(EI66-EH66)/EH66*100)</f>
        <v>0</v>
      </c>
      <c r="EK66" s="22"/>
      <c r="EL66" s="22"/>
      <c r="EM66" s="312">
        <f>IF(EK66=0,0,(EL66-EK66)/EK66*100)</f>
        <v>0</v>
      </c>
      <c r="EN66" s="22"/>
      <c r="EO66" s="22"/>
      <c r="EP66" s="312">
        <f>IF(EN66=0,0,(EO66-EN66)/EN66*100)</f>
        <v>0</v>
      </c>
      <c r="EQ66" s="22"/>
      <c r="ER66" s="22"/>
      <c r="ES66" s="312">
        <f>IF(EQ66=0,0,(ER66-EQ66)/EQ66*100)</f>
        <v>0</v>
      </c>
      <c r="ET66" s="22"/>
      <c r="EU66" s="22"/>
      <c r="EV66" s="312">
        <f>IF(ET66=0,0,(EU66-ET66)/ET66*100)</f>
        <v>0</v>
      </c>
      <c r="EW66" s="22"/>
      <c r="EX66" s="22"/>
      <c r="EY66" s="312">
        <f>IF(EW66=0,0,(EX66-EW66)/EW66*100)</f>
        <v>0</v>
      </c>
      <c r="EZ66" s="22"/>
      <c r="FA66" s="22"/>
      <c r="FB66" s="312">
        <f>IF(EZ66=0,0,(FA66-EZ66)/EZ66*100)</f>
        <v>0</v>
      </c>
      <c r="FC66" s="22"/>
      <c r="FD66" s="22"/>
      <c r="FE66" s="312">
        <f>IF(FC66=0,0,(FD66-FC66)/FC66*100)</f>
        <v>0</v>
      </c>
      <c r="FF66" s="22"/>
      <c r="FG66" s="22"/>
      <c r="FH66" s="312">
        <f>IF(FF66=0,0,(FG66-FF66)/FF66*100)</f>
        <v>0</v>
      </c>
      <c r="FI66" s="22"/>
      <c r="FJ66" s="22"/>
      <c r="FK66" s="312">
        <f>IF(FI66=0,0,(FJ66-FI66)/FI66*100)</f>
        <v>0</v>
      </c>
      <c r="FL66" s="22"/>
      <c r="FM66" s="22"/>
      <c r="FN66" s="312">
        <f>IF(FL66=0,0,(FM66-FL66)/FL66*100)</f>
        <v>0</v>
      </c>
      <c r="FO66" s="22"/>
      <c r="FP66" s="22"/>
      <c r="FQ66" s="312">
        <f>IF(FO66=0,0,(FP66-FO66)/FO66*100)</f>
        <v>0</v>
      </c>
      <c r="FR66" s="22"/>
      <c r="FS66" s="22"/>
      <c r="FT66" s="312">
        <f>IF(FR66=0,0,(FS66-FR66)/FR66*100)</f>
        <v>0</v>
      </c>
      <c r="FU66" s="22"/>
      <c r="FV66" s="22"/>
      <c r="FW66" s="312">
        <f>IF(FU66=0,0,(FV66-FU66)/FU66*100)</f>
        <v>0</v>
      </c>
      <c r="FZ66" s="981" t="s">
        <v>2231</v>
      </c>
      <c r="GA66" s="981"/>
      <c r="GB66" s="981"/>
      <c r="GC66" s="981"/>
      <c r="GD66" s="981"/>
    </row>
    <row r="67" spans="1:186" ht="15.4" hidden="1" customHeight="1">
      <c r="B67" s="813" t="b" cm="1">
        <f t="array" ref="B67">B66</f>
        <v>0</v>
      </c>
      <c r="E67" s="676">
        <v>15.8</v>
      </c>
      <c r="F67" s="779" cm="1">
        <f t="array" aca="1" ref="F67" ca="1">OFFSET(G67,-1,-1)</f>
        <v>0</v>
      </c>
      <c r="J67" s="1092"/>
      <c r="K67" s="1108" cm="1">
        <f t="array" aca="1" ref="K67" ca="1">OFFSET(J67,-1,1)</f>
        <v>0</v>
      </c>
      <c r="L67" s="1092"/>
      <c r="M67" s="1092"/>
      <c r="N67" s="1092"/>
      <c r="O67" s="1092"/>
      <c r="P67" s="1108"/>
      <c r="Q67" s="1108"/>
      <c r="T67" s="687" t="b" cm="1">
        <f t="array" aca="1" ref="T67" ca="1">T66</f>
        <v>0</v>
      </c>
      <c r="X67" s="1726"/>
      <c r="Z67" s="1726"/>
      <c r="AB67" s="1140" t="s">
        <v>2176</v>
      </c>
      <c r="AC67" s="314"/>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6"/>
      <c r="GA67" s="981"/>
      <c r="GB67" s="981"/>
      <c r="GC67" s="981"/>
      <c r="GD67" s="981"/>
    </row>
    <row r="68" spans="1:186" ht="15.4" hidden="1" customHeight="1">
      <c r="B68" s="813" t="b" cm="1">
        <f t="array" ref="B68">B67</f>
        <v>0</v>
      </c>
      <c r="C68" s="1118" t="s">
        <v>2223</v>
      </c>
      <c r="D68" s="1087" t="s">
        <v>2224</v>
      </c>
      <c r="E68" s="676">
        <v>15.8</v>
      </c>
      <c r="F68" s="779" cm="1">
        <f t="array" aca="1" ref="F68" ca="1">OFFSET(G68,-1,-1)</f>
        <v>0</v>
      </c>
      <c r="H68" s="163" t="s">
        <v>2195</v>
      </c>
      <c r="I68" s="163" t="s">
        <v>2175</v>
      </c>
      <c r="J68" s="1108"/>
      <c r="K68" s="1108" cm="1">
        <f t="array" aca="1" ref="K68" ca="1">OFFSET(J68,-1,1)</f>
        <v>0</v>
      </c>
      <c r="L68" s="1108"/>
      <c r="M68" s="1108" t="s">
        <v>1791</v>
      </c>
      <c r="N68" s="1108" t="s">
        <v>2171</v>
      </c>
      <c r="O68" s="1109" t="s">
        <v>2172</v>
      </c>
      <c r="P68" s="1108" t="s">
        <v>2196</v>
      </c>
      <c r="Q68" s="1108"/>
      <c r="T68" s="687" t="b" cm="1">
        <f t="array" aca="1" ref="T68" ca="1">T67</f>
        <v>0</v>
      </c>
      <c r="X68" s="1726"/>
      <c r="Z68" s="1726"/>
      <c r="AB68" s="223" t="s">
        <v>2197</v>
      </c>
      <c r="AC68" s="123" t="s">
        <v>929</v>
      </c>
      <c r="AD68" s="22">
        <f>IF(AD70=0,0,(AD69*AD70+AD71*AD72*IF(god=2026,3,6))/AD70)</f>
        <v>0</v>
      </c>
      <c r="AE68" s="22">
        <f>IF(AE70=0,0,(AE69*AE70+AE71*AE72*IF(god=2026,3,6))/AE70)</f>
        <v>0</v>
      </c>
      <c r="AF68" s="312">
        <f>IF(AD68=0,0,(AE68-AD68)/AD68*100)</f>
        <v>0</v>
      </c>
      <c r="AG68" s="313">
        <f>IF(AG70=0,0,(AG69*AG70+AG71*AG72*IF(god=2025,3,6))/AG70)</f>
        <v>0</v>
      </c>
      <c r="AH68" s="313">
        <f>IF(AH70=0,0,(AH69*AH70+AH71*AH72*IF(god=2025,3,6))/AH70)</f>
        <v>0</v>
      </c>
      <c r="AI68" s="312">
        <f>IF(AG68=0,0,(AH68-AG68)/AG68*100)</f>
        <v>0</v>
      </c>
      <c r="AJ68" s="313">
        <f>IF(AJ70=0,0,(AJ69*AJ70+AJ71*AJ72*6)/AJ70)</f>
        <v>0</v>
      </c>
      <c r="AK68" s="313">
        <f>IF(AK70=0,0,(AK69*AK70+AK71*AK72*6)/AK70)</f>
        <v>0</v>
      </c>
      <c r="AL68" s="312">
        <f>IF(AJ68=0,0,(AK68-AJ68)/AJ68*100)</f>
        <v>0</v>
      </c>
      <c r="AM68" s="313">
        <f>IF(AM70=0,0,(AM69*AM70+AM71*AM72*6)/AM70)</f>
        <v>0</v>
      </c>
      <c r="AN68" s="313">
        <f>IF(AN70=0,0,(AN69*AN70+AN71*AN72*6)/AN70)</f>
        <v>0</v>
      </c>
      <c r="AO68" s="312">
        <f>IF(AM68=0,0,(AN68-AM68)/AM68*100)</f>
        <v>0</v>
      </c>
      <c r="AP68" s="313">
        <f>IF(AP70=0,0,(AP69*AP70+AP71*AP72*6)/AP70)</f>
        <v>0</v>
      </c>
      <c r="AQ68" s="313">
        <f>IF(AQ70=0,0,(AQ69*AQ70+AQ71*AQ72*6)/AQ70)</f>
        <v>0</v>
      </c>
      <c r="AR68" s="312">
        <f>IF(AP68=0,0,(AQ68-AP68)/AP68*100)</f>
        <v>0</v>
      </c>
      <c r="AS68" s="22">
        <f>IF(AS70=0,0,(AS69*AS70+AS71*AS72*6)/AS70)</f>
        <v>0</v>
      </c>
      <c r="AT68" s="22">
        <f>IF(AT70=0,0,(AT69*AT70+AT71*AT72*6)/AT70)</f>
        <v>0</v>
      </c>
      <c r="AU68" s="312">
        <f>IF(AS68=0,0,(AT68-AS68)/AS68*100)</f>
        <v>0</v>
      </c>
      <c r="AV68" s="22">
        <f>IF(AV70=0,0,(AV69*AV70+AV71*AV72*6)/AV70)</f>
        <v>0</v>
      </c>
      <c r="AW68" s="22">
        <f>IF(AW70=0,0,(AW69*AW70+AW71*AW72*6)/AW70)</f>
        <v>0</v>
      </c>
      <c r="AX68" s="312">
        <f>IF(AV68=0,0,(AW68-AV68)/AV68*100)</f>
        <v>0</v>
      </c>
      <c r="AY68" s="22">
        <f>IF(AY70=0,0,(AY69*AY70+AY71*AY72*6)/AY70)</f>
        <v>0</v>
      </c>
      <c r="AZ68" s="22">
        <f>IF(AZ70=0,0,(AZ69*AZ70+AZ71*AZ72*6)/AZ70)</f>
        <v>0</v>
      </c>
      <c r="BA68" s="312">
        <f>IF(AY68=0,0,(AZ68-AY68)/AY68*100)</f>
        <v>0</v>
      </c>
      <c r="BB68" s="22">
        <f>IF(BB70=0,0,(BB69*BB70+BB71*BB72*6)/BB70)</f>
        <v>0</v>
      </c>
      <c r="BC68" s="22">
        <f>IF(BC70=0,0,(BC69*BC70+BC71*BC72*6)/BC70)</f>
        <v>0</v>
      </c>
      <c r="BD68" s="312">
        <f>IF(BB68=0,0,(BC68-BB68)/BB68*100)</f>
        <v>0</v>
      </c>
      <c r="BE68" s="22">
        <f>IF(BE70=0,0,(BE69*BE70+BE71*BE72*6)/BE70)</f>
        <v>0</v>
      </c>
      <c r="BF68" s="22">
        <f>IF(BF70=0,0,(BF69*BF70+BF71*BF72*6)/BF70)</f>
        <v>0</v>
      </c>
      <c r="BG68" s="312">
        <f>IF(BE68=0,0,(BF68-BE68)/BE68*100)</f>
        <v>0</v>
      </c>
      <c r="BH68" s="22">
        <f>IF(BH70=0,0,(BH69*BH70+BH71*BH72*6)/BH70)</f>
        <v>0</v>
      </c>
      <c r="BI68" s="22">
        <f>IF(BI70=0,0,(BI69*BI70+BI71*BI72*6)/BI70)</f>
        <v>0</v>
      </c>
      <c r="BJ68" s="312">
        <f>IF(BH68=0,0,(BI68-BH68)/BH68*100)</f>
        <v>0</v>
      </c>
      <c r="BK68" s="22">
        <f>IF(BK70=0,0,(BK69*BK70+BK71*BK72*6)/BK70)</f>
        <v>0</v>
      </c>
      <c r="BL68" s="22">
        <f>IF(BL70=0,0,(BL69*BL70+BL71*BL72*6)/BL70)</f>
        <v>0</v>
      </c>
      <c r="BM68" s="312">
        <f>IF(BK68=0,0,(BL68-BK68)/BK68*100)</f>
        <v>0</v>
      </c>
      <c r="BN68" s="22">
        <f>IF(BN70=0,0,(BN69*BN70+BN71*BN72*6)/BN70)</f>
        <v>0</v>
      </c>
      <c r="BO68" s="22">
        <f>IF(BO70=0,0,(BO69*BO70+BO71*BO72*6)/BO70)</f>
        <v>0</v>
      </c>
      <c r="BP68" s="312">
        <f>IF(BN68=0,0,(BO68-BN68)/BN68*100)</f>
        <v>0</v>
      </c>
      <c r="BQ68" s="22">
        <f>IF(BQ70=0,0,(BQ69*BQ70+BQ71*BQ72*6)/BQ70)</f>
        <v>0</v>
      </c>
      <c r="BR68" s="22">
        <f>IF(BR70=0,0,(BR69*BR70+BR71*BR72*6)/BR70)</f>
        <v>0</v>
      </c>
      <c r="BS68" s="312">
        <f>IF(BQ68=0,0,(BR68-BQ68)/BQ68*100)</f>
        <v>0</v>
      </c>
      <c r="BT68" s="22">
        <f>IF(BT70=0,0,(BT69*BT70+BT71*BT72*6)/BT70)</f>
        <v>0</v>
      </c>
      <c r="BU68" s="22">
        <f>IF(BU70=0,0,(BU69*BU70+BU71*BU72*6)/BU70)</f>
        <v>0</v>
      </c>
      <c r="BV68" s="312">
        <f>IF(BT68=0,0,(BU68-BT68)/BT68*100)</f>
        <v>0</v>
      </c>
      <c r="BW68" s="22">
        <f>IF(BW70=0,0,(BW69*BW70+BW71*BW72*6)/BW70)</f>
        <v>0</v>
      </c>
      <c r="BX68" s="22">
        <f>IF(BX70=0,0,(BX69*BX70+BX71*BX72*6)/BX70)</f>
        <v>0</v>
      </c>
      <c r="BY68" s="312">
        <f>IF(BW68=0,0,(BX68-BW68)/BW68*100)</f>
        <v>0</v>
      </c>
      <c r="BZ68" s="22">
        <f>IF(BZ70=0,0,(BZ69*BZ70+BZ71*BZ72*6)/BZ70)</f>
        <v>0</v>
      </c>
      <c r="CA68" s="22">
        <f>IF(CA70=0,0,(CA69*CA70+CA71*CA72*6)/CA70)</f>
        <v>0</v>
      </c>
      <c r="CB68" s="312">
        <f>IF(BZ68=0,0,(CA68-BZ68)/BZ68*100)</f>
        <v>0</v>
      </c>
      <c r="CC68" s="22">
        <f>IF(CC70=0,0,(CC69*CC70+CC71*CC72*6)/CC70)</f>
        <v>0</v>
      </c>
      <c r="CD68" s="22">
        <f>IF(CD70=0,0,(CD69*CD70+CD71*CD72*6)/CD70)</f>
        <v>0</v>
      </c>
      <c r="CE68" s="312">
        <f>IF(CC68=0,0,(CD68-CC68)/CC68*100)</f>
        <v>0</v>
      </c>
      <c r="CF68" s="22">
        <f>IF(CF70=0,0,(CF69*CF70+CF71*CF72*6)/CF70)</f>
        <v>0</v>
      </c>
      <c r="CG68" s="22">
        <f>IF(CG70=0,0,(CG69*CG70+CG71*CG72*6)/CG70)</f>
        <v>0</v>
      </c>
      <c r="CH68" s="312">
        <f>IF(CF68=0,0,(CG68-CF68)/CF68*100)</f>
        <v>0</v>
      </c>
      <c r="CI68" s="22">
        <f>IF(CI70=0,0,(CI69*CI70+CI71*CI72*6)/CI70)</f>
        <v>0</v>
      </c>
      <c r="CJ68" s="22">
        <f>IF(CJ70=0,0,(CJ69*CJ70+CJ71*CJ72*6)/CJ70)</f>
        <v>0</v>
      </c>
      <c r="CK68" s="312">
        <f>IF(CI68=0,0,(CJ68-CI68)/CI68*100)</f>
        <v>0</v>
      </c>
      <c r="CL68" s="22">
        <f>IF(CL70=0,0,(CL69*CL70+CL71*CL72*6)/CL70)</f>
        <v>0</v>
      </c>
      <c r="CM68" s="22">
        <f>IF(CM70=0,0,(CM69*CM70+CM71*CM72*6)/CM70)</f>
        <v>0</v>
      </c>
      <c r="CN68" s="312">
        <f>IF(CL68=0,0,(CM68-CL68)/CL68*100)</f>
        <v>0</v>
      </c>
      <c r="CO68" s="22">
        <f>IF(CO70=0,0,(CO69*CO70+CO71*CO72*6)/CO70)</f>
        <v>0</v>
      </c>
      <c r="CP68" s="22">
        <f>IF(CP70=0,0,(CP69*CP70+CP71*CP72*6)/CP70)</f>
        <v>0</v>
      </c>
      <c r="CQ68" s="312">
        <f>IF(CO68=0,0,(CP68-CO68)/CO68*100)</f>
        <v>0</v>
      </c>
      <c r="CR68" s="22">
        <f>IF(CR70=0,0,(CR69*CR70+CR71*CR72*6)/CR70)</f>
        <v>0</v>
      </c>
      <c r="CS68" s="22">
        <f>IF(CS70=0,0,(CS69*CS70+CS71*CS72*6)/CS70)</f>
        <v>0</v>
      </c>
      <c r="CT68" s="312">
        <f>IF(CR68=0,0,(CS68-CR68)/CR68*100)</f>
        <v>0</v>
      </c>
      <c r="CU68" s="22">
        <f>IF(CU70=0,0,(CU69*CU70+CU71*CU72*6)/CU70)</f>
        <v>0</v>
      </c>
      <c r="CV68" s="22">
        <f>IF(CV70=0,0,(CV69*CV70+CV71*CV72*6)/CV70)</f>
        <v>0</v>
      </c>
      <c r="CW68" s="312">
        <f>IF(CU68=0,0,(CV68-CU68)/CU68*100)</f>
        <v>0</v>
      </c>
      <c r="CX68" s="22">
        <f>IF(CX70=0,0,(CX69*CX70+CX71*CX72*6)/CX70)</f>
        <v>0</v>
      </c>
      <c r="CY68" s="22">
        <f>IF(CY70=0,0,(CY69*CY70+CY71*CY72*6)/CY70)</f>
        <v>0</v>
      </c>
      <c r="CZ68" s="312">
        <f>IF(CX68=0,0,(CY68-CX68)/CX68*100)</f>
        <v>0</v>
      </c>
      <c r="DA68" s="22">
        <f>IF(DA70=0,0,(DA69*DA70+DA71*DA72*6)/DA70)</f>
        <v>0</v>
      </c>
      <c r="DB68" s="22">
        <f>IF(DB70=0,0,(DB69*DB70+DB71*DB72*6)/DB70)</f>
        <v>0</v>
      </c>
      <c r="DC68" s="312">
        <f>IF(DA68=0,0,(DB68-DA68)/DA68*100)</f>
        <v>0</v>
      </c>
      <c r="DD68" s="22">
        <f>IF(DD70=0,0,(DD69*DD70+DD71*DD72*6)/DD70)</f>
        <v>0</v>
      </c>
      <c r="DE68" s="22">
        <f>IF(DE70=0,0,(DE69*DE70+DE71*DE72*6)/DE70)</f>
        <v>0</v>
      </c>
      <c r="DF68" s="312">
        <f>IF(DD68=0,0,(DE68-DD68)/DD68*100)</f>
        <v>0</v>
      </c>
      <c r="DG68" s="22">
        <f>IF(DG70=0,0,(DG69*DG70+DG71*DG72*6)/DG70)</f>
        <v>0</v>
      </c>
      <c r="DH68" s="22">
        <f>IF(DH70=0,0,(DH69*DH70+DH71*DH72*6)/DH70)</f>
        <v>0</v>
      </c>
      <c r="DI68" s="312">
        <f>IF(DG68=0,0,(DH68-DG68)/DG68*100)</f>
        <v>0</v>
      </c>
      <c r="DJ68" s="22">
        <f>IF(DJ70=0,0,(DJ69*DJ70+DJ71*DJ72*6)/DJ70)</f>
        <v>0</v>
      </c>
      <c r="DK68" s="22">
        <f>IF(DK70=0,0,(DK69*DK70+DK71*DK72*6)/DK70)</f>
        <v>0</v>
      </c>
      <c r="DL68" s="312">
        <f>IF(DJ68=0,0,(DK68-DJ68)/DJ68*100)</f>
        <v>0</v>
      </c>
      <c r="DM68" s="22">
        <f>IF(DM70=0,0,(DM69*DM70+DM71*DM72*6)/DM70)</f>
        <v>0</v>
      </c>
      <c r="DN68" s="22">
        <f>IF(DN70=0,0,(DN69*DN70+DN71*DN72*6)/DN70)</f>
        <v>0</v>
      </c>
      <c r="DO68" s="312">
        <f>IF(DM68=0,0,(DN68-DM68)/DM68*100)</f>
        <v>0</v>
      </c>
      <c r="DP68" s="22">
        <f>IF(DP70=0,0,(DP69*DP70+DP71*DP72*6)/DP70)</f>
        <v>0</v>
      </c>
      <c r="DQ68" s="22">
        <f>IF(DQ70=0,0,(DQ69*DQ70+DQ71*DQ72*6)/DQ70)</f>
        <v>0</v>
      </c>
      <c r="DR68" s="312">
        <f>IF(DP68=0,0,(DQ68-DP68)/DP68*100)</f>
        <v>0</v>
      </c>
      <c r="DS68" s="22">
        <f>IF(DS70=0,0,(DS69*DS70+DS71*DS72*6)/DS70)</f>
        <v>0</v>
      </c>
      <c r="DT68" s="22">
        <f>IF(DT70=0,0,(DT69*DT70+DT71*DT72*6)/DT70)</f>
        <v>0</v>
      </c>
      <c r="DU68" s="312">
        <f>IF(DS68=0,0,(DT68-DS68)/DS68*100)</f>
        <v>0</v>
      </c>
      <c r="DV68" s="22">
        <f>IF(DV70=0,0,(DV69*DV70+DV71*DV72*6)/DV70)</f>
        <v>0</v>
      </c>
      <c r="DW68" s="22">
        <f>IF(DW70=0,0,(DW69*DW70+DW71*DW72*6)/DW70)</f>
        <v>0</v>
      </c>
      <c r="DX68" s="312">
        <f>IF(DV68=0,0,(DW68-DV68)/DV68*100)</f>
        <v>0</v>
      </c>
      <c r="DY68" s="22">
        <f>IF(DY70=0,0,(DY69*DY70+DY71*DY72*6)/DY70)</f>
        <v>0</v>
      </c>
      <c r="DZ68" s="22">
        <f>IF(DZ70=0,0,(DZ69*DZ70+DZ71*DZ72*6)/DZ70)</f>
        <v>0</v>
      </c>
      <c r="EA68" s="312">
        <f>IF(DY68=0,0,(DZ68-DY68)/DY68*100)</f>
        <v>0</v>
      </c>
      <c r="EB68" s="22">
        <f>IF(EB70=0,0,(EB69*EB70+EB71*EB72*6)/EB70)</f>
        <v>0</v>
      </c>
      <c r="EC68" s="22">
        <f>IF(EC70=0,0,(EC69*EC70+EC71*EC72*6)/EC70)</f>
        <v>0</v>
      </c>
      <c r="ED68" s="312">
        <f>IF(EB68=0,0,(EC68-EB68)/EB68*100)</f>
        <v>0</v>
      </c>
      <c r="EE68" s="22">
        <f>IF(EE70=0,0,(EE69*EE70+EE71*EE72*6)/EE70)</f>
        <v>0</v>
      </c>
      <c r="EF68" s="22">
        <f>IF(EF70=0,0,(EF69*EF70+EF71*EF72*6)/EF70)</f>
        <v>0</v>
      </c>
      <c r="EG68" s="312">
        <f>IF(EE68=0,0,(EF68-EE68)/EE68*100)</f>
        <v>0</v>
      </c>
      <c r="EH68" s="22">
        <f>IF(EH70=0,0,(EH69*EH70+EH71*EH72*6)/EH70)</f>
        <v>0</v>
      </c>
      <c r="EI68" s="22">
        <f>IF(EI70=0,0,(EI69*EI70+EI71*EI72*6)/EI70)</f>
        <v>0</v>
      </c>
      <c r="EJ68" s="312">
        <f>IF(EH68=0,0,(EI68-EH68)/EH68*100)</f>
        <v>0</v>
      </c>
      <c r="EK68" s="22">
        <f>IF(EK70=0,0,(EK69*EK70+EK71*EK72*6)/EK70)</f>
        <v>0</v>
      </c>
      <c r="EL68" s="22">
        <f>IF(EL70=0,0,(EL69*EL70+EL71*EL72*6)/EL70)</f>
        <v>0</v>
      </c>
      <c r="EM68" s="312">
        <f>IF(EK68=0,0,(EL68-EK68)/EK68*100)</f>
        <v>0</v>
      </c>
      <c r="EN68" s="22">
        <f>IF(EN70=0,0,(EN69*EN70+EN71*EN72*6)/EN70)</f>
        <v>0</v>
      </c>
      <c r="EO68" s="22">
        <f>IF(EO70=0,0,(EO69*EO70+EO71*EO72*6)/EO70)</f>
        <v>0</v>
      </c>
      <c r="EP68" s="312">
        <f>IF(EN68=0,0,(EO68-EN68)/EN68*100)</f>
        <v>0</v>
      </c>
      <c r="EQ68" s="22">
        <f>IF(EQ70=0,0,(EQ69*EQ70+EQ71*EQ72*6)/EQ70)</f>
        <v>0</v>
      </c>
      <c r="ER68" s="22">
        <f>IF(ER70=0,0,(ER69*ER70+ER71*ER72*6)/ER70)</f>
        <v>0</v>
      </c>
      <c r="ES68" s="312">
        <f>IF(EQ68=0,0,(ER68-EQ68)/EQ68*100)</f>
        <v>0</v>
      </c>
      <c r="ET68" s="22">
        <f>IF(ET70=0,0,(ET69*ET70+ET71*ET72*6)/ET70)</f>
        <v>0</v>
      </c>
      <c r="EU68" s="22">
        <f>IF(EU70=0,0,(EU69*EU70+EU71*EU72*6)/EU70)</f>
        <v>0</v>
      </c>
      <c r="EV68" s="312">
        <f>IF(ET68=0,0,(EU68-ET68)/ET68*100)</f>
        <v>0</v>
      </c>
      <c r="EW68" s="22">
        <f>IF(EW70=0,0,(EW69*EW70+EW71*EW72*6)/EW70)</f>
        <v>0</v>
      </c>
      <c r="EX68" s="22">
        <f>IF(EX70=0,0,(EX69*EX70+EX71*EX72*6)/EX70)</f>
        <v>0</v>
      </c>
      <c r="EY68" s="312">
        <f>IF(EW68=0,0,(EX68-EW68)/EW68*100)</f>
        <v>0</v>
      </c>
      <c r="EZ68" s="22">
        <f>IF(EZ70=0,0,(EZ69*EZ70+EZ71*EZ72*6)/EZ70)</f>
        <v>0</v>
      </c>
      <c r="FA68" s="22">
        <f>IF(FA70=0,0,(FA69*FA70+FA71*FA72*6)/FA70)</f>
        <v>0</v>
      </c>
      <c r="FB68" s="312">
        <f>IF(EZ68=0,0,(FA68-EZ68)/EZ68*100)</f>
        <v>0</v>
      </c>
      <c r="FC68" s="22">
        <f>IF(FC70=0,0,(FC69*FC70+FC71*FC72*6)/FC70)</f>
        <v>0</v>
      </c>
      <c r="FD68" s="22">
        <f>IF(FD70=0,0,(FD69*FD70+FD71*FD72*6)/FD70)</f>
        <v>0</v>
      </c>
      <c r="FE68" s="312">
        <f>IF(FC68=0,0,(FD68-FC68)/FC68*100)</f>
        <v>0</v>
      </c>
      <c r="FF68" s="22">
        <f>IF(FF70=0,0,(FF69*FF70+FF71*FF72*6)/FF70)</f>
        <v>0</v>
      </c>
      <c r="FG68" s="22">
        <f>IF(FG70=0,0,(FG69*FG70+FG71*FG72*6)/FG70)</f>
        <v>0</v>
      </c>
      <c r="FH68" s="312">
        <f>IF(FF68=0,0,(FG68-FF68)/FF68*100)</f>
        <v>0</v>
      </c>
      <c r="FI68" s="22">
        <f>IF(FI70=0,0,(FI69*FI70+FI71*FI72*6)/FI70)</f>
        <v>0</v>
      </c>
      <c r="FJ68" s="22">
        <f>IF(FJ70=0,0,(FJ69*FJ70+FJ71*FJ72*6)/FJ70)</f>
        <v>0</v>
      </c>
      <c r="FK68" s="312">
        <f>IF(FI68=0,0,(FJ68-FI68)/FI68*100)</f>
        <v>0</v>
      </c>
      <c r="FL68" s="22">
        <f>IF(FL70=0,0,(FL69*FL70+FL71*FL72*6)/FL70)</f>
        <v>0</v>
      </c>
      <c r="FM68" s="22">
        <f>IF(FM70=0,0,(FM69*FM70+FM71*FM72*6)/FM70)</f>
        <v>0</v>
      </c>
      <c r="FN68" s="312">
        <f>IF(FL68=0,0,(FM68-FL68)/FL68*100)</f>
        <v>0</v>
      </c>
      <c r="FO68" s="22">
        <f>IF(FO70=0,0,(FO69*FO70+FO71*FO72*6)/FO70)</f>
        <v>0</v>
      </c>
      <c r="FP68" s="22">
        <f>IF(FP70=0,0,(FP69*FP70+FP71*FP72*6)/FP70)</f>
        <v>0</v>
      </c>
      <c r="FQ68" s="312">
        <f>IF(FO68=0,0,(FP68-FO68)/FO68*100)</f>
        <v>0</v>
      </c>
      <c r="FR68" s="22">
        <f>IF(FR70=0,0,(FR69*FR70+FR71*FR72*6)/FR70)</f>
        <v>0</v>
      </c>
      <c r="FS68" s="22">
        <f>IF(FS70=0,0,(FS69*FS70+FS71*FS72*6)/FS70)</f>
        <v>0</v>
      </c>
      <c r="FT68" s="312">
        <f>IF(FR68=0,0,(FS68-FR68)/FR68*100)</f>
        <v>0</v>
      </c>
      <c r="FU68" s="22">
        <f>IF(FU70=0,0,(FU69*FU70+FU71*FU72*6)/FU70)</f>
        <v>0</v>
      </c>
      <c r="FV68" s="22">
        <f>IF(FV70=0,0,(FV69*FV70+FV71*FV72*6)/FV70)</f>
        <v>0</v>
      </c>
      <c r="FW68" s="312">
        <f>IF(FU68=0,0,(FV68-FU68)/FU68*100)</f>
        <v>0</v>
      </c>
      <c r="FZ68" s="981" t="s">
        <v>2232</v>
      </c>
      <c r="GA68" s="981"/>
      <c r="GB68" s="981"/>
      <c r="GC68" s="981"/>
      <c r="GD68" s="981"/>
    </row>
    <row r="69" spans="1:186" ht="15.4" hidden="1" customHeight="1">
      <c r="B69" s="813" t="b" cm="1">
        <f t="array" ref="B69">B68</f>
        <v>0</v>
      </c>
      <c r="C69" s="1118" t="s">
        <v>2226</v>
      </c>
      <c r="D69" s="1087" t="s">
        <v>2227</v>
      </c>
      <c r="E69" s="676">
        <v>15.8</v>
      </c>
      <c r="F69" s="779" cm="1">
        <f t="array" aca="1" ref="F69" ca="1">OFFSET(G69,-1,-1)</f>
        <v>0</v>
      </c>
      <c r="H69" s="163" t="s">
        <v>2201</v>
      </c>
      <c r="I69" s="163" t="s">
        <v>2175</v>
      </c>
      <c r="J69" s="1108"/>
      <c r="K69" s="1108" cm="1">
        <f t="array" aca="1" ref="K69" ca="1">OFFSET(J69,-1,1)</f>
        <v>0</v>
      </c>
      <c r="L69" s="1108"/>
      <c r="M69" s="1108" t="s">
        <v>1791</v>
      </c>
      <c r="N69" s="1108" t="s">
        <v>2171</v>
      </c>
      <c r="O69" s="1109" t="s">
        <v>2172</v>
      </c>
      <c r="P69" s="1108" t="s">
        <v>2202</v>
      </c>
      <c r="Q69" s="1108"/>
      <c r="T69" s="687" t="b" cm="1">
        <f t="array" aca="1" ref="T69" ca="1">T68</f>
        <v>0</v>
      </c>
      <c r="X69" s="1726"/>
      <c r="Z69" s="1726"/>
      <c r="AB69" s="223" t="s">
        <v>2203</v>
      </c>
      <c r="AC69" s="123" t="s">
        <v>929</v>
      </c>
      <c r="AD69" s="22"/>
      <c r="AE69" s="22"/>
      <c r="AF69" s="312">
        <f>IF(AD69=0,0,(AE69-AD69)/AD69*100)</f>
        <v>0</v>
      </c>
      <c r="AG69" s="313"/>
      <c r="AH69" s="313"/>
      <c r="AI69" s="312">
        <f>IF(AG69=0,0,(AH69-AG69)/AG69*100)</f>
        <v>0</v>
      </c>
      <c r="AJ69" s="313"/>
      <c r="AK69" s="313"/>
      <c r="AL69" s="312">
        <f>IF(AJ69=0,0,(AK69-AJ69)/AJ69*100)</f>
        <v>0</v>
      </c>
      <c r="AM69" s="313"/>
      <c r="AN69" s="313"/>
      <c r="AO69" s="312">
        <f>IF(AM69=0,0,(AN69-AM69)/AM69*100)</f>
        <v>0</v>
      </c>
      <c r="AP69" s="313"/>
      <c r="AQ69" s="313"/>
      <c r="AR69" s="312">
        <f>IF(AP69=0,0,(AQ69-AP69)/AP69*100)</f>
        <v>0</v>
      </c>
      <c r="AS69" s="22"/>
      <c r="AT69" s="22"/>
      <c r="AU69" s="312">
        <f>IF(AS69=0,0,(AT69-AS69)/AS69*100)</f>
        <v>0</v>
      </c>
      <c r="AV69" s="22"/>
      <c r="AW69" s="22"/>
      <c r="AX69" s="312">
        <f>IF(AV69=0,0,(AW69-AV69)/AV69*100)</f>
        <v>0</v>
      </c>
      <c r="AY69" s="22"/>
      <c r="AZ69" s="22"/>
      <c r="BA69" s="312">
        <f>IF(AY69=0,0,(AZ69-AY69)/AY69*100)</f>
        <v>0</v>
      </c>
      <c r="BB69" s="22"/>
      <c r="BC69" s="22"/>
      <c r="BD69" s="312">
        <f>IF(BB69=0,0,(BC69-BB69)/BB69*100)</f>
        <v>0</v>
      </c>
      <c r="BE69" s="22"/>
      <c r="BF69" s="22"/>
      <c r="BG69" s="312">
        <f>IF(BE69=0,0,(BF69-BE69)/BE69*100)</f>
        <v>0</v>
      </c>
      <c r="BH69" s="22"/>
      <c r="BI69" s="22"/>
      <c r="BJ69" s="312">
        <f>IF(BH69=0,0,(BI69-BH69)/BH69*100)</f>
        <v>0</v>
      </c>
      <c r="BK69" s="22"/>
      <c r="BL69" s="22"/>
      <c r="BM69" s="312">
        <f>IF(BK69=0,0,(BL69-BK69)/BK69*100)</f>
        <v>0</v>
      </c>
      <c r="BN69" s="22"/>
      <c r="BO69" s="22"/>
      <c r="BP69" s="312">
        <f>IF(BN69=0,0,(BO69-BN69)/BN69*100)</f>
        <v>0</v>
      </c>
      <c r="BQ69" s="22"/>
      <c r="BR69" s="22"/>
      <c r="BS69" s="312">
        <f>IF(BQ69=0,0,(BR69-BQ69)/BQ69*100)</f>
        <v>0</v>
      </c>
      <c r="BT69" s="22"/>
      <c r="BU69" s="22"/>
      <c r="BV69" s="312">
        <f>IF(BT69=0,0,(BU69-BT69)/BT69*100)</f>
        <v>0</v>
      </c>
      <c r="BW69" s="22"/>
      <c r="BX69" s="22"/>
      <c r="BY69" s="312">
        <f>IF(BW69=0,0,(BX69-BW69)/BW69*100)</f>
        <v>0</v>
      </c>
      <c r="BZ69" s="22"/>
      <c r="CA69" s="22"/>
      <c r="CB69" s="312">
        <f>IF(BZ69=0,0,(CA69-BZ69)/BZ69*100)</f>
        <v>0</v>
      </c>
      <c r="CC69" s="22"/>
      <c r="CD69" s="22"/>
      <c r="CE69" s="312">
        <f>IF(CC69=0,0,(CD69-CC69)/CC69*100)</f>
        <v>0</v>
      </c>
      <c r="CF69" s="22"/>
      <c r="CG69" s="22"/>
      <c r="CH69" s="312">
        <f>IF(CF69=0,0,(CG69-CF69)/CF69*100)</f>
        <v>0</v>
      </c>
      <c r="CI69" s="22"/>
      <c r="CJ69" s="22"/>
      <c r="CK69" s="312">
        <f>IF(CI69=0,0,(CJ69-CI69)/CI69*100)</f>
        <v>0</v>
      </c>
      <c r="CL69" s="22"/>
      <c r="CM69" s="22"/>
      <c r="CN69" s="312">
        <f>IF(CL69=0,0,(CM69-CL69)/CL69*100)</f>
        <v>0</v>
      </c>
      <c r="CO69" s="22"/>
      <c r="CP69" s="22"/>
      <c r="CQ69" s="312">
        <f>IF(CO69=0,0,(CP69-CO69)/CO69*100)</f>
        <v>0</v>
      </c>
      <c r="CR69" s="22"/>
      <c r="CS69" s="22"/>
      <c r="CT69" s="312">
        <f>IF(CR69=0,0,(CS69-CR69)/CR69*100)</f>
        <v>0</v>
      </c>
      <c r="CU69" s="22"/>
      <c r="CV69" s="22"/>
      <c r="CW69" s="312">
        <f>IF(CU69=0,0,(CV69-CU69)/CU69*100)</f>
        <v>0</v>
      </c>
      <c r="CX69" s="22"/>
      <c r="CY69" s="22"/>
      <c r="CZ69" s="312">
        <f>IF(CX69=0,0,(CY69-CX69)/CX69*100)</f>
        <v>0</v>
      </c>
      <c r="DA69" s="22"/>
      <c r="DB69" s="22"/>
      <c r="DC69" s="312">
        <f>IF(DA69=0,0,(DB69-DA69)/DA69*100)</f>
        <v>0</v>
      </c>
      <c r="DD69" s="22"/>
      <c r="DE69" s="22"/>
      <c r="DF69" s="312">
        <f>IF(DD69=0,0,(DE69-DD69)/DD69*100)</f>
        <v>0</v>
      </c>
      <c r="DG69" s="22"/>
      <c r="DH69" s="22"/>
      <c r="DI69" s="312">
        <f>IF(DG69=0,0,(DH69-DG69)/DG69*100)</f>
        <v>0</v>
      </c>
      <c r="DJ69" s="22"/>
      <c r="DK69" s="22"/>
      <c r="DL69" s="312">
        <f>IF(DJ69=0,0,(DK69-DJ69)/DJ69*100)</f>
        <v>0</v>
      </c>
      <c r="DM69" s="22"/>
      <c r="DN69" s="22"/>
      <c r="DO69" s="312">
        <f>IF(DM69=0,0,(DN69-DM69)/DM69*100)</f>
        <v>0</v>
      </c>
      <c r="DP69" s="22"/>
      <c r="DQ69" s="22"/>
      <c r="DR69" s="312">
        <f>IF(DP69=0,0,(DQ69-DP69)/DP69*100)</f>
        <v>0</v>
      </c>
      <c r="DS69" s="22"/>
      <c r="DT69" s="22"/>
      <c r="DU69" s="312">
        <f>IF(DS69=0,0,(DT69-DS69)/DS69*100)</f>
        <v>0</v>
      </c>
      <c r="DV69" s="22"/>
      <c r="DW69" s="22"/>
      <c r="DX69" s="312">
        <f>IF(DV69=0,0,(DW69-DV69)/DV69*100)</f>
        <v>0</v>
      </c>
      <c r="DY69" s="22"/>
      <c r="DZ69" s="22"/>
      <c r="EA69" s="312">
        <f>IF(DY69=0,0,(DZ69-DY69)/DY69*100)</f>
        <v>0</v>
      </c>
      <c r="EB69" s="22"/>
      <c r="EC69" s="22"/>
      <c r="ED69" s="312">
        <f>IF(EB69=0,0,(EC69-EB69)/EB69*100)</f>
        <v>0</v>
      </c>
      <c r="EE69" s="22"/>
      <c r="EF69" s="22"/>
      <c r="EG69" s="312">
        <f>IF(EE69=0,0,(EF69-EE69)/EE69*100)</f>
        <v>0</v>
      </c>
      <c r="EH69" s="22"/>
      <c r="EI69" s="22"/>
      <c r="EJ69" s="312">
        <f>IF(EH69=0,0,(EI69-EH69)/EH69*100)</f>
        <v>0</v>
      </c>
      <c r="EK69" s="22"/>
      <c r="EL69" s="22"/>
      <c r="EM69" s="312">
        <f>IF(EK69=0,0,(EL69-EK69)/EK69*100)</f>
        <v>0</v>
      </c>
      <c r="EN69" s="22"/>
      <c r="EO69" s="22"/>
      <c r="EP69" s="312">
        <f>IF(EN69=0,0,(EO69-EN69)/EN69*100)</f>
        <v>0</v>
      </c>
      <c r="EQ69" s="22"/>
      <c r="ER69" s="22"/>
      <c r="ES69" s="312">
        <f>IF(EQ69=0,0,(ER69-EQ69)/EQ69*100)</f>
        <v>0</v>
      </c>
      <c r="ET69" s="22"/>
      <c r="EU69" s="22"/>
      <c r="EV69" s="312">
        <f>IF(ET69=0,0,(EU69-ET69)/ET69*100)</f>
        <v>0</v>
      </c>
      <c r="EW69" s="22"/>
      <c r="EX69" s="22"/>
      <c r="EY69" s="312">
        <f>IF(EW69=0,0,(EX69-EW69)/EW69*100)</f>
        <v>0</v>
      </c>
      <c r="EZ69" s="22"/>
      <c r="FA69" s="22"/>
      <c r="FB69" s="312">
        <f>IF(EZ69=0,0,(FA69-EZ69)/EZ69*100)</f>
        <v>0</v>
      </c>
      <c r="FC69" s="22"/>
      <c r="FD69" s="22"/>
      <c r="FE69" s="312">
        <f>IF(FC69=0,0,(FD69-FC69)/FC69*100)</f>
        <v>0</v>
      </c>
      <c r="FF69" s="22"/>
      <c r="FG69" s="22"/>
      <c r="FH69" s="312">
        <f>IF(FF69=0,0,(FG69-FF69)/FF69*100)</f>
        <v>0</v>
      </c>
      <c r="FI69" s="22"/>
      <c r="FJ69" s="22"/>
      <c r="FK69" s="312">
        <f>IF(FI69=0,0,(FJ69-FI69)/FI69*100)</f>
        <v>0</v>
      </c>
      <c r="FL69" s="22"/>
      <c r="FM69" s="22"/>
      <c r="FN69" s="312">
        <f>IF(FL69=0,0,(FM69-FL69)/FL69*100)</f>
        <v>0</v>
      </c>
      <c r="FO69" s="22"/>
      <c r="FP69" s="22"/>
      <c r="FQ69" s="312">
        <f>IF(FO69=0,0,(FP69-FO69)/FO69*100)</f>
        <v>0</v>
      </c>
      <c r="FR69" s="22"/>
      <c r="FS69" s="22"/>
      <c r="FT69" s="312">
        <f>IF(FR69=0,0,(FS69-FR69)/FR69*100)</f>
        <v>0</v>
      </c>
      <c r="FU69" s="22"/>
      <c r="FV69" s="22"/>
      <c r="FW69" s="312">
        <f>IF(FU69=0,0,(FV69-FU69)/FU69*100)</f>
        <v>0</v>
      </c>
      <c r="FZ69" s="981" t="s">
        <v>2233</v>
      </c>
      <c r="GA69" s="981"/>
      <c r="GB69" s="981"/>
      <c r="GC69" s="981"/>
      <c r="GD69" s="981"/>
    </row>
    <row r="70" spans="1:186" ht="15.4" hidden="1" customHeight="1">
      <c r="B70" s="813" t="b" cm="1">
        <f t="array" ref="B70">B69</f>
        <v>0</v>
      </c>
      <c r="C70" s="1118" t="s">
        <v>1779</v>
      </c>
      <c r="D70" s="1087" t="s">
        <v>1780</v>
      </c>
      <c r="E70" s="676">
        <v>15.8</v>
      </c>
      <c r="F70" s="779" cm="1">
        <f t="array" aca="1" ref="F70" ca="1">OFFSET(G70,-1,-1)</f>
        <v>0</v>
      </c>
      <c r="H70" s="163" t="s">
        <v>2205</v>
      </c>
      <c r="I70" s="163" t="s">
        <v>2175</v>
      </c>
      <c r="J70" s="1108"/>
      <c r="K70" s="1108" cm="1">
        <f t="array" aca="1" ref="K70" ca="1">OFFSET(J70,-1,1)</f>
        <v>0</v>
      </c>
      <c r="L70" s="1108"/>
      <c r="M70" s="1108" t="s">
        <v>1791</v>
      </c>
      <c r="N70" s="1108" t="s">
        <v>2171</v>
      </c>
      <c r="O70" s="1109" t="s">
        <v>2172</v>
      </c>
      <c r="P70" s="1108" t="s">
        <v>2206</v>
      </c>
      <c r="Q70" s="1108"/>
      <c r="T70" s="687" t="b" cm="1">
        <f t="array" aca="1" ref="T70" ca="1">T69</f>
        <v>0</v>
      </c>
      <c r="X70" s="1726"/>
      <c r="Z70" s="1726"/>
      <c r="AB70" s="223" t="s">
        <v>2207</v>
      </c>
      <c r="AC70" s="123" t="s">
        <v>634</v>
      </c>
      <c r="AD70" s="100"/>
      <c r="AE70" s="100"/>
      <c r="AF70" s="341">
        <f>IF(AD70=0,0,(AE70-AD70)/AD70*100)</f>
        <v>0</v>
      </c>
      <c r="AG70" s="354"/>
      <c r="AH70" s="354"/>
      <c r="AI70" s="341">
        <f>IF(AG70=0,0,(AH70-AG70)/AG70*100)</f>
        <v>0</v>
      </c>
      <c r="AJ70" s="354"/>
      <c r="AK70" s="354"/>
      <c r="AL70" s="341">
        <f>IF(AJ70=0,0,(AK70-AJ70)/AJ70*100)</f>
        <v>0</v>
      </c>
      <c r="AM70" s="354"/>
      <c r="AN70" s="354"/>
      <c r="AO70" s="341">
        <f>IF(AM70=0,0,(AN70-AM70)/AM70*100)</f>
        <v>0</v>
      </c>
      <c r="AP70" s="354"/>
      <c r="AQ70" s="354"/>
      <c r="AR70" s="341">
        <f>IF(AP70=0,0,(AQ70-AP70)/AP70*100)</f>
        <v>0</v>
      </c>
      <c r="AS70" s="100"/>
      <c r="AT70" s="100"/>
      <c r="AU70" s="341">
        <f>IF(AS70=0,0,(AT70-AS70)/AS70*100)</f>
        <v>0</v>
      </c>
      <c r="AV70" s="100"/>
      <c r="AW70" s="100"/>
      <c r="AX70" s="341">
        <f>IF(AV70=0,0,(AW70-AV70)/AV70*100)</f>
        <v>0</v>
      </c>
      <c r="AY70" s="100"/>
      <c r="AZ70" s="100"/>
      <c r="BA70" s="341">
        <f>IF(AY70=0,0,(AZ70-AY70)/AY70*100)</f>
        <v>0</v>
      </c>
      <c r="BB70" s="100"/>
      <c r="BC70" s="100"/>
      <c r="BD70" s="341">
        <f>IF(BB70=0,0,(BC70-BB70)/BB70*100)</f>
        <v>0</v>
      </c>
      <c r="BE70" s="100"/>
      <c r="BF70" s="100"/>
      <c r="BG70" s="341">
        <f>IF(BE70=0,0,(BF70-BE70)/BE70*100)</f>
        <v>0</v>
      </c>
      <c r="BH70" s="100"/>
      <c r="BI70" s="100"/>
      <c r="BJ70" s="341">
        <f>IF(BH70=0,0,(BI70-BH70)/BH70*100)</f>
        <v>0</v>
      </c>
      <c r="BK70" s="100"/>
      <c r="BL70" s="100"/>
      <c r="BM70" s="341">
        <f>IF(BK70=0,0,(BL70-BK70)/BK70*100)</f>
        <v>0</v>
      </c>
      <c r="BN70" s="100"/>
      <c r="BO70" s="100"/>
      <c r="BP70" s="341">
        <f>IF(BN70=0,0,(BO70-BN70)/BN70*100)</f>
        <v>0</v>
      </c>
      <c r="BQ70" s="100"/>
      <c r="BR70" s="100"/>
      <c r="BS70" s="341">
        <f>IF(BQ70=0,0,(BR70-BQ70)/BQ70*100)</f>
        <v>0</v>
      </c>
      <c r="BT70" s="100"/>
      <c r="BU70" s="100"/>
      <c r="BV70" s="341">
        <f>IF(BT70=0,0,(BU70-BT70)/BT70*100)</f>
        <v>0</v>
      </c>
      <c r="BW70" s="100"/>
      <c r="BX70" s="100"/>
      <c r="BY70" s="341">
        <f>IF(BW70=0,0,(BX70-BW70)/BW70*100)</f>
        <v>0</v>
      </c>
      <c r="BZ70" s="100"/>
      <c r="CA70" s="100"/>
      <c r="CB70" s="341">
        <f>IF(BZ70=0,0,(CA70-BZ70)/BZ70*100)</f>
        <v>0</v>
      </c>
      <c r="CC70" s="100"/>
      <c r="CD70" s="100"/>
      <c r="CE70" s="341">
        <f>IF(CC70=0,0,(CD70-CC70)/CC70*100)</f>
        <v>0</v>
      </c>
      <c r="CF70" s="100"/>
      <c r="CG70" s="100"/>
      <c r="CH70" s="341">
        <f>IF(CF70=0,0,(CG70-CF70)/CF70*100)</f>
        <v>0</v>
      </c>
      <c r="CI70" s="100"/>
      <c r="CJ70" s="100"/>
      <c r="CK70" s="341">
        <f>IF(CI70=0,0,(CJ70-CI70)/CI70*100)</f>
        <v>0</v>
      </c>
      <c r="CL70" s="100"/>
      <c r="CM70" s="100"/>
      <c r="CN70" s="341">
        <f>IF(CL70=0,0,(CM70-CL70)/CL70*100)</f>
        <v>0</v>
      </c>
      <c r="CO70" s="100"/>
      <c r="CP70" s="100"/>
      <c r="CQ70" s="341">
        <f>IF(CO70=0,0,(CP70-CO70)/CO70*100)</f>
        <v>0</v>
      </c>
      <c r="CR70" s="100"/>
      <c r="CS70" s="100"/>
      <c r="CT70" s="341">
        <f>IF(CR70=0,0,(CS70-CR70)/CR70*100)</f>
        <v>0</v>
      </c>
      <c r="CU70" s="100"/>
      <c r="CV70" s="100"/>
      <c r="CW70" s="341">
        <f>IF(CU70=0,0,(CV70-CU70)/CU70*100)</f>
        <v>0</v>
      </c>
      <c r="CX70" s="100"/>
      <c r="CY70" s="100"/>
      <c r="CZ70" s="341">
        <f>IF(CX70=0,0,(CY70-CX70)/CX70*100)</f>
        <v>0</v>
      </c>
      <c r="DA70" s="100"/>
      <c r="DB70" s="100"/>
      <c r="DC70" s="341">
        <f>IF(DA70=0,0,(DB70-DA70)/DA70*100)</f>
        <v>0</v>
      </c>
      <c r="DD70" s="100"/>
      <c r="DE70" s="100"/>
      <c r="DF70" s="341">
        <f>IF(DD70=0,0,(DE70-DD70)/DD70*100)</f>
        <v>0</v>
      </c>
      <c r="DG70" s="100"/>
      <c r="DH70" s="100"/>
      <c r="DI70" s="341">
        <f>IF(DG70=0,0,(DH70-DG70)/DG70*100)</f>
        <v>0</v>
      </c>
      <c r="DJ70" s="100"/>
      <c r="DK70" s="100"/>
      <c r="DL70" s="341">
        <f>IF(DJ70=0,0,(DK70-DJ70)/DJ70*100)</f>
        <v>0</v>
      </c>
      <c r="DM70" s="100"/>
      <c r="DN70" s="100"/>
      <c r="DO70" s="341">
        <f>IF(DM70=0,0,(DN70-DM70)/DM70*100)</f>
        <v>0</v>
      </c>
      <c r="DP70" s="100"/>
      <c r="DQ70" s="100"/>
      <c r="DR70" s="341">
        <f>IF(DP70=0,0,(DQ70-DP70)/DP70*100)</f>
        <v>0</v>
      </c>
      <c r="DS70" s="100"/>
      <c r="DT70" s="100"/>
      <c r="DU70" s="341">
        <f>IF(DS70=0,0,(DT70-DS70)/DS70*100)</f>
        <v>0</v>
      </c>
      <c r="DV70" s="100"/>
      <c r="DW70" s="100"/>
      <c r="DX70" s="341">
        <f>IF(DV70=0,0,(DW70-DV70)/DV70*100)</f>
        <v>0</v>
      </c>
      <c r="DY70" s="100"/>
      <c r="DZ70" s="100"/>
      <c r="EA70" s="341">
        <f>IF(DY70=0,0,(DZ70-DY70)/DY70*100)</f>
        <v>0</v>
      </c>
      <c r="EB70" s="100"/>
      <c r="EC70" s="100"/>
      <c r="ED70" s="341">
        <f>IF(EB70=0,0,(EC70-EB70)/EB70*100)</f>
        <v>0</v>
      </c>
      <c r="EE70" s="100"/>
      <c r="EF70" s="100"/>
      <c r="EG70" s="341">
        <f>IF(EE70=0,0,(EF70-EE70)/EE70*100)</f>
        <v>0</v>
      </c>
      <c r="EH70" s="100"/>
      <c r="EI70" s="100"/>
      <c r="EJ70" s="341">
        <f>IF(EH70=0,0,(EI70-EH70)/EH70*100)</f>
        <v>0</v>
      </c>
      <c r="EK70" s="100"/>
      <c r="EL70" s="100"/>
      <c r="EM70" s="341">
        <f>IF(EK70=0,0,(EL70-EK70)/EK70*100)</f>
        <v>0</v>
      </c>
      <c r="EN70" s="100"/>
      <c r="EO70" s="100"/>
      <c r="EP70" s="341">
        <f>IF(EN70=0,0,(EO70-EN70)/EN70*100)</f>
        <v>0</v>
      </c>
      <c r="EQ70" s="100"/>
      <c r="ER70" s="100"/>
      <c r="ES70" s="341">
        <f>IF(EQ70=0,0,(ER70-EQ70)/EQ70*100)</f>
        <v>0</v>
      </c>
      <c r="ET70" s="100"/>
      <c r="EU70" s="100"/>
      <c r="EV70" s="341">
        <f>IF(ET70=0,0,(EU70-ET70)/ET70*100)</f>
        <v>0</v>
      </c>
      <c r="EW70" s="100"/>
      <c r="EX70" s="100"/>
      <c r="EY70" s="341">
        <f>IF(EW70=0,0,(EX70-EW70)/EW70*100)</f>
        <v>0</v>
      </c>
      <c r="EZ70" s="100"/>
      <c r="FA70" s="100"/>
      <c r="FB70" s="341">
        <f>IF(EZ70=0,0,(FA70-EZ70)/EZ70*100)</f>
        <v>0</v>
      </c>
      <c r="FC70" s="100"/>
      <c r="FD70" s="100"/>
      <c r="FE70" s="341">
        <f>IF(FC70=0,0,(FD70-FC70)/FC70*100)</f>
        <v>0</v>
      </c>
      <c r="FF70" s="100"/>
      <c r="FG70" s="100"/>
      <c r="FH70" s="341">
        <f>IF(FF70=0,0,(FG70-FF70)/FF70*100)</f>
        <v>0</v>
      </c>
      <c r="FI70" s="100"/>
      <c r="FJ70" s="100"/>
      <c r="FK70" s="341">
        <f>IF(FI70=0,0,(FJ70-FI70)/FI70*100)</f>
        <v>0</v>
      </c>
      <c r="FL70" s="100"/>
      <c r="FM70" s="100"/>
      <c r="FN70" s="341">
        <f>IF(FL70=0,0,(FM70-FL70)/FL70*100)</f>
        <v>0</v>
      </c>
      <c r="FO70" s="100"/>
      <c r="FP70" s="100"/>
      <c r="FQ70" s="341">
        <f>IF(FO70=0,0,(FP70-FO70)/FO70*100)</f>
        <v>0</v>
      </c>
      <c r="FR70" s="100"/>
      <c r="FS70" s="100"/>
      <c r="FT70" s="341">
        <f>IF(FR70=0,0,(FS70-FR70)/FR70*100)</f>
        <v>0</v>
      </c>
      <c r="FU70" s="100"/>
      <c r="FV70" s="100"/>
      <c r="FW70" s="341">
        <f>IF(FU70=0,0,(FV70-FU70)/FU70*100)</f>
        <v>0</v>
      </c>
      <c r="FZ70" s="981" t="s">
        <v>2234</v>
      </c>
      <c r="GA70" s="981"/>
      <c r="GB70" s="981"/>
      <c r="GC70" s="981"/>
      <c r="GD70" s="981"/>
    </row>
    <row r="71" spans="1:186" ht="30.75" hidden="1" customHeight="1">
      <c r="B71" s="813" t="b" cm="1">
        <f t="array" ref="B71">B70</f>
        <v>0</v>
      </c>
      <c r="C71" s="1118" t="s">
        <v>1833</v>
      </c>
      <c r="D71" s="1087" t="s">
        <v>1834</v>
      </c>
      <c r="E71" s="676">
        <v>31.5</v>
      </c>
      <c r="F71" s="779" cm="1">
        <f t="array" aca="1" ref="F71" ca="1">OFFSET(G71,-1,-1)</f>
        <v>0</v>
      </c>
      <c r="H71" s="163" t="s">
        <v>2209</v>
      </c>
      <c r="I71" s="163" t="s">
        <v>2175</v>
      </c>
      <c r="J71" s="1108"/>
      <c r="K71" s="1108" cm="1">
        <f t="array" aca="1" ref="K71" ca="1">OFFSET(J71,-1,1)</f>
        <v>0</v>
      </c>
      <c r="L71" s="1108"/>
      <c r="M71" s="1108" t="s">
        <v>1791</v>
      </c>
      <c r="N71" s="1108" t="s">
        <v>2171</v>
      </c>
      <c r="O71" s="1109" t="s">
        <v>2172</v>
      </c>
      <c r="P71" s="1108" t="s">
        <v>2210</v>
      </c>
      <c r="Q71" s="1108"/>
      <c r="T71" s="687" t="b" cm="1">
        <f t="array" aca="1" ref="T71" ca="1">T70</f>
        <v>0</v>
      </c>
      <c r="X71" s="1726"/>
      <c r="Z71" s="1726"/>
      <c r="AB71" s="223" t="s">
        <v>2211</v>
      </c>
      <c r="AC71" s="443" t="s">
        <v>1837</v>
      </c>
      <c r="AD71" s="22"/>
      <c r="AE71" s="22"/>
      <c r="AF71" s="312">
        <f>IF(AD71=0,0,(AE71-AD71)/AD71*100)</f>
        <v>0</v>
      </c>
      <c r="AG71" s="313"/>
      <c r="AH71" s="313"/>
      <c r="AI71" s="312">
        <f>IF(AG71=0,0,(AH71-AG71)/AG71*100)</f>
        <v>0</v>
      </c>
      <c r="AJ71" s="313"/>
      <c r="AK71" s="313"/>
      <c r="AL71" s="312">
        <f>IF(AJ71=0,0,(AK71-AJ71)/AJ71*100)</f>
        <v>0</v>
      </c>
      <c r="AM71" s="313"/>
      <c r="AN71" s="313"/>
      <c r="AO71" s="312">
        <f>IF(AM71=0,0,(AN71-AM71)/AM71*100)</f>
        <v>0</v>
      </c>
      <c r="AP71" s="313"/>
      <c r="AQ71" s="313"/>
      <c r="AR71" s="312">
        <f>IF(AP71=0,0,(AQ71-AP71)/AP71*100)</f>
        <v>0</v>
      </c>
      <c r="AS71" s="22"/>
      <c r="AT71" s="22"/>
      <c r="AU71" s="312">
        <f>IF(AS71=0,0,(AT71-AS71)/AS71*100)</f>
        <v>0</v>
      </c>
      <c r="AV71" s="22"/>
      <c r="AW71" s="22"/>
      <c r="AX71" s="312">
        <f>IF(AV71=0,0,(AW71-AV71)/AV71*100)</f>
        <v>0</v>
      </c>
      <c r="AY71" s="22"/>
      <c r="AZ71" s="22"/>
      <c r="BA71" s="312">
        <f>IF(AY71=0,0,(AZ71-AY71)/AY71*100)</f>
        <v>0</v>
      </c>
      <c r="BB71" s="22"/>
      <c r="BC71" s="22"/>
      <c r="BD71" s="312">
        <f>IF(BB71=0,0,(BC71-BB71)/BB71*100)</f>
        <v>0</v>
      </c>
      <c r="BE71" s="22"/>
      <c r="BF71" s="22"/>
      <c r="BG71" s="312">
        <f>IF(BE71=0,0,(BF71-BE71)/BE71*100)</f>
        <v>0</v>
      </c>
      <c r="BH71" s="22"/>
      <c r="BI71" s="22"/>
      <c r="BJ71" s="312">
        <f>IF(BH71=0,0,(BI71-BH71)/BH71*100)</f>
        <v>0</v>
      </c>
      <c r="BK71" s="22"/>
      <c r="BL71" s="22"/>
      <c r="BM71" s="312">
        <f>IF(BK71=0,0,(BL71-BK71)/BK71*100)</f>
        <v>0</v>
      </c>
      <c r="BN71" s="22"/>
      <c r="BO71" s="22"/>
      <c r="BP71" s="312">
        <f>IF(BN71=0,0,(BO71-BN71)/BN71*100)</f>
        <v>0</v>
      </c>
      <c r="BQ71" s="22"/>
      <c r="BR71" s="22"/>
      <c r="BS71" s="312">
        <f>IF(BQ71=0,0,(BR71-BQ71)/BQ71*100)</f>
        <v>0</v>
      </c>
      <c r="BT71" s="22"/>
      <c r="BU71" s="22"/>
      <c r="BV71" s="312">
        <f>IF(BT71=0,0,(BU71-BT71)/BT71*100)</f>
        <v>0</v>
      </c>
      <c r="BW71" s="22"/>
      <c r="BX71" s="22"/>
      <c r="BY71" s="312">
        <f>IF(BW71=0,0,(BX71-BW71)/BW71*100)</f>
        <v>0</v>
      </c>
      <c r="BZ71" s="22"/>
      <c r="CA71" s="22"/>
      <c r="CB71" s="312">
        <f>IF(BZ71=0,0,(CA71-BZ71)/BZ71*100)</f>
        <v>0</v>
      </c>
      <c r="CC71" s="22"/>
      <c r="CD71" s="22"/>
      <c r="CE71" s="312">
        <f>IF(CC71=0,0,(CD71-CC71)/CC71*100)</f>
        <v>0</v>
      </c>
      <c r="CF71" s="22"/>
      <c r="CG71" s="22"/>
      <c r="CH71" s="312">
        <f>IF(CF71=0,0,(CG71-CF71)/CF71*100)</f>
        <v>0</v>
      </c>
      <c r="CI71" s="22"/>
      <c r="CJ71" s="22"/>
      <c r="CK71" s="312">
        <f>IF(CI71=0,0,(CJ71-CI71)/CI71*100)</f>
        <v>0</v>
      </c>
      <c r="CL71" s="22"/>
      <c r="CM71" s="22"/>
      <c r="CN71" s="312">
        <f>IF(CL71=0,0,(CM71-CL71)/CL71*100)</f>
        <v>0</v>
      </c>
      <c r="CO71" s="22"/>
      <c r="CP71" s="22"/>
      <c r="CQ71" s="312">
        <f>IF(CO71=0,0,(CP71-CO71)/CO71*100)</f>
        <v>0</v>
      </c>
      <c r="CR71" s="22"/>
      <c r="CS71" s="22"/>
      <c r="CT71" s="312">
        <f>IF(CR71=0,0,(CS71-CR71)/CR71*100)</f>
        <v>0</v>
      </c>
      <c r="CU71" s="22"/>
      <c r="CV71" s="22"/>
      <c r="CW71" s="312">
        <f>IF(CU71=0,0,(CV71-CU71)/CU71*100)</f>
        <v>0</v>
      </c>
      <c r="CX71" s="22"/>
      <c r="CY71" s="22"/>
      <c r="CZ71" s="312">
        <f>IF(CX71=0,0,(CY71-CX71)/CX71*100)</f>
        <v>0</v>
      </c>
      <c r="DA71" s="22"/>
      <c r="DB71" s="22"/>
      <c r="DC71" s="312">
        <f>IF(DA71=0,0,(DB71-DA71)/DA71*100)</f>
        <v>0</v>
      </c>
      <c r="DD71" s="22"/>
      <c r="DE71" s="22"/>
      <c r="DF71" s="312">
        <f>IF(DD71=0,0,(DE71-DD71)/DD71*100)</f>
        <v>0</v>
      </c>
      <c r="DG71" s="22"/>
      <c r="DH71" s="22"/>
      <c r="DI71" s="312">
        <f>IF(DG71=0,0,(DH71-DG71)/DG71*100)</f>
        <v>0</v>
      </c>
      <c r="DJ71" s="22"/>
      <c r="DK71" s="22"/>
      <c r="DL71" s="312">
        <f>IF(DJ71=0,0,(DK71-DJ71)/DJ71*100)</f>
        <v>0</v>
      </c>
      <c r="DM71" s="22"/>
      <c r="DN71" s="22"/>
      <c r="DO71" s="312">
        <f>IF(DM71=0,0,(DN71-DM71)/DM71*100)</f>
        <v>0</v>
      </c>
      <c r="DP71" s="22"/>
      <c r="DQ71" s="22"/>
      <c r="DR71" s="312">
        <f>IF(DP71=0,0,(DQ71-DP71)/DP71*100)</f>
        <v>0</v>
      </c>
      <c r="DS71" s="22"/>
      <c r="DT71" s="22"/>
      <c r="DU71" s="312">
        <f>IF(DS71=0,0,(DT71-DS71)/DS71*100)</f>
        <v>0</v>
      </c>
      <c r="DV71" s="22"/>
      <c r="DW71" s="22"/>
      <c r="DX71" s="312">
        <f>IF(DV71=0,0,(DW71-DV71)/DV71*100)</f>
        <v>0</v>
      </c>
      <c r="DY71" s="22"/>
      <c r="DZ71" s="22"/>
      <c r="EA71" s="312">
        <f>IF(DY71=0,0,(DZ71-DY71)/DY71*100)</f>
        <v>0</v>
      </c>
      <c r="EB71" s="22"/>
      <c r="EC71" s="22"/>
      <c r="ED71" s="312">
        <f>IF(EB71=0,0,(EC71-EB71)/EB71*100)</f>
        <v>0</v>
      </c>
      <c r="EE71" s="22"/>
      <c r="EF71" s="22"/>
      <c r="EG71" s="312">
        <f>IF(EE71=0,0,(EF71-EE71)/EE71*100)</f>
        <v>0</v>
      </c>
      <c r="EH71" s="22"/>
      <c r="EI71" s="22"/>
      <c r="EJ71" s="312">
        <f>IF(EH71=0,0,(EI71-EH71)/EH71*100)</f>
        <v>0</v>
      </c>
      <c r="EK71" s="22"/>
      <c r="EL71" s="22"/>
      <c r="EM71" s="312">
        <f>IF(EK71=0,0,(EL71-EK71)/EK71*100)</f>
        <v>0</v>
      </c>
      <c r="EN71" s="22"/>
      <c r="EO71" s="22"/>
      <c r="EP71" s="312">
        <f>IF(EN71=0,0,(EO71-EN71)/EN71*100)</f>
        <v>0</v>
      </c>
      <c r="EQ71" s="22"/>
      <c r="ER71" s="22"/>
      <c r="ES71" s="312">
        <f>IF(EQ71=0,0,(ER71-EQ71)/EQ71*100)</f>
        <v>0</v>
      </c>
      <c r="ET71" s="22"/>
      <c r="EU71" s="22"/>
      <c r="EV71" s="312">
        <f>IF(ET71=0,0,(EU71-ET71)/ET71*100)</f>
        <v>0</v>
      </c>
      <c r="EW71" s="22"/>
      <c r="EX71" s="22"/>
      <c r="EY71" s="312">
        <f>IF(EW71=0,0,(EX71-EW71)/EW71*100)</f>
        <v>0</v>
      </c>
      <c r="EZ71" s="22"/>
      <c r="FA71" s="22"/>
      <c r="FB71" s="312">
        <f>IF(EZ71=0,0,(FA71-EZ71)/EZ71*100)</f>
        <v>0</v>
      </c>
      <c r="FC71" s="22"/>
      <c r="FD71" s="22"/>
      <c r="FE71" s="312">
        <f>IF(FC71=0,0,(FD71-FC71)/FC71*100)</f>
        <v>0</v>
      </c>
      <c r="FF71" s="22"/>
      <c r="FG71" s="22"/>
      <c r="FH71" s="312">
        <f>IF(FF71=0,0,(FG71-FF71)/FF71*100)</f>
        <v>0</v>
      </c>
      <c r="FI71" s="22"/>
      <c r="FJ71" s="22"/>
      <c r="FK71" s="312">
        <f>IF(FI71=0,0,(FJ71-FI71)/FI71*100)</f>
        <v>0</v>
      </c>
      <c r="FL71" s="22"/>
      <c r="FM71" s="22"/>
      <c r="FN71" s="312">
        <f>IF(FL71=0,0,(FM71-FL71)/FL71*100)</f>
        <v>0</v>
      </c>
      <c r="FO71" s="22"/>
      <c r="FP71" s="22"/>
      <c r="FQ71" s="312">
        <f>IF(FO71=0,0,(FP71-FO71)/FO71*100)</f>
        <v>0</v>
      </c>
      <c r="FR71" s="22"/>
      <c r="FS71" s="22"/>
      <c r="FT71" s="312">
        <f>IF(FR71=0,0,(FS71-FR71)/FR71*100)</f>
        <v>0</v>
      </c>
      <c r="FU71" s="22"/>
      <c r="FV71" s="22"/>
      <c r="FW71" s="312">
        <f>IF(FU71=0,0,(FV71-FU71)/FU71*100)</f>
        <v>0</v>
      </c>
      <c r="FZ71" s="981" t="s">
        <v>2235</v>
      </c>
      <c r="GA71" s="981"/>
      <c r="GB71" s="981"/>
      <c r="GC71" s="981"/>
      <c r="GD71" s="981"/>
    </row>
    <row r="72" spans="1:186" ht="15.4" hidden="1" customHeight="1">
      <c r="B72" s="813" t="b" cm="1">
        <f t="array" ref="B72">B71</f>
        <v>0</v>
      </c>
      <c r="C72" s="1118" t="s">
        <v>1805</v>
      </c>
      <c r="D72" s="1087" t="s">
        <v>1806</v>
      </c>
      <c r="E72" s="676">
        <v>15.8</v>
      </c>
      <c r="F72" s="779" cm="1">
        <f t="array" aca="1" ref="F72" ca="1">OFFSET(G72,-1,-1)</f>
        <v>0</v>
      </c>
      <c r="H72" s="163" t="s">
        <v>2213</v>
      </c>
      <c r="I72" s="163" t="s">
        <v>2175</v>
      </c>
      <c r="J72" s="1108"/>
      <c r="K72" s="1108" cm="1">
        <f t="array" aca="1" ref="K72" ca="1">OFFSET(J72,-1,1)</f>
        <v>0</v>
      </c>
      <c r="L72" s="1108"/>
      <c r="M72" s="1108" t="s">
        <v>1791</v>
      </c>
      <c r="N72" s="1108" t="s">
        <v>2171</v>
      </c>
      <c r="O72" s="1109" t="s">
        <v>2172</v>
      </c>
      <c r="P72" s="1108" t="s">
        <v>2214</v>
      </c>
      <c r="Q72" s="1108"/>
      <c r="T72" s="687" t="b" cm="1">
        <f t="array" aca="1" ref="T72" ca="1">T71</f>
        <v>0</v>
      </c>
      <c r="X72" s="1726"/>
      <c r="Z72" s="1726"/>
      <c r="AB72" s="223" t="s">
        <v>2215</v>
      </c>
      <c r="AC72" s="557" t="s">
        <v>725</v>
      </c>
      <c r="AD72" s="22"/>
      <c r="AE72" s="22"/>
      <c r="AF72" s="312">
        <f>IF(AD72=0,0,(AE72-AD72)/AD72*100)</f>
        <v>0</v>
      </c>
      <c r="AG72" s="313"/>
      <c r="AH72" s="313"/>
      <c r="AI72" s="312">
        <f>IF(AG72=0,0,(AH72-AG72)/AG72*100)</f>
        <v>0</v>
      </c>
      <c r="AJ72" s="313"/>
      <c r="AK72" s="313"/>
      <c r="AL72" s="312">
        <f>IF(AJ72=0,0,(AK72-AJ72)/AJ72*100)</f>
        <v>0</v>
      </c>
      <c r="AM72" s="313"/>
      <c r="AN72" s="313"/>
      <c r="AO72" s="312">
        <f>IF(AM72=0,0,(AN72-AM72)/AM72*100)</f>
        <v>0</v>
      </c>
      <c r="AP72" s="313"/>
      <c r="AQ72" s="313"/>
      <c r="AR72" s="312">
        <f>IF(AP72=0,0,(AQ72-AP72)/AP72*100)</f>
        <v>0</v>
      </c>
      <c r="AS72" s="22"/>
      <c r="AT72" s="22"/>
      <c r="AU72" s="312">
        <f>IF(AS72=0,0,(AT72-AS72)/AS72*100)</f>
        <v>0</v>
      </c>
      <c r="AV72" s="22"/>
      <c r="AW72" s="22"/>
      <c r="AX72" s="312">
        <f>IF(AV72=0,0,(AW72-AV72)/AV72*100)</f>
        <v>0</v>
      </c>
      <c r="AY72" s="22"/>
      <c r="AZ72" s="22"/>
      <c r="BA72" s="312">
        <f>IF(AY72=0,0,(AZ72-AY72)/AY72*100)</f>
        <v>0</v>
      </c>
      <c r="BB72" s="22"/>
      <c r="BC72" s="22"/>
      <c r="BD72" s="312">
        <f>IF(BB72=0,0,(BC72-BB72)/BB72*100)</f>
        <v>0</v>
      </c>
      <c r="BE72" s="22"/>
      <c r="BF72" s="22"/>
      <c r="BG72" s="312">
        <f>IF(BE72=0,0,(BF72-BE72)/BE72*100)</f>
        <v>0</v>
      </c>
      <c r="BH72" s="22"/>
      <c r="BI72" s="22"/>
      <c r="BJ72" s="312">
        <f>IF(BH72=0,0,(BI72-BH72)/BH72*100)</f>
        <v>0</v>
      </c>
      <c r="BK72" s="22"/>
      <c r="BL72" s="22"/>
      <c r="BM72" s="312">
        <f>IF(BK72=0,0,(BL72-BK72)/BK72*100)</f>
        <v>0</v>
      </c>
      <c r="BN72" s="22"/>
      <c r="BO72" s="22"/>
      <c r="BP72" s="312">
        <f>IF(BN72=0,0,(BO72-BN72)/BN72*100)</f>
        <v>0</v>
      </c>
      <c r="BQ72" s="22"/>
      <c r="BR72" s="22"/>
      <c r="BS72" s="312">
        <f>IF(BQ72=0,0,(BR72-BQ72)/BQ72*100)</f>
        <v>0</v>
      </c>
      <c r="BT72" s="22"/>
      <c r="BU72" s="22"/>
      <c r="BV72" s="312">
        <f>IF(BT72=0,0,(BU72-BT72)/BT72*100)</f>
        <v>0</v>
      </c>
      <c r="BW72" s="22"/>
      <c r="BX72" s="22"/>
      <c r="BY72" s="312">
        <f>IF(BW72=0,0,(BX72-BW72)/BW72*100)</f>
        <v>0</v>
      </c>
      <c r="BZ72" s="22"/>
      <c r="CA72" s="22"/>
      <c r="CB72" s="312">
        <f>IF(BZ72=0,0,(CA72-BZ72)/BZ72*100)</f>
        <v>0</v>
      </c>
      <c r="CC72" s="22"/>
      <c r="CD72" s="22"/>
      <c r="CE72" s="312">
        <f>IF(CC72=0,0,(CD72-CC72)/CC72*100)</f>
        <v>0</v>
      </c>
      <c r="CF72" s="22"/>
      <c r="CG72" s="22"/>
      <c r="CH72" s="312">
        <f>IF(CF72=0,0,(CG72-CF72)/CF72*100)</f>
        <v>0</v>
      </c>
      <c r="CI72" s="22"/>
      <c r="CJ72" s="22"/>
      <c r="CK72" s="312">
        <f>IF(CI72=0,0,(CJ72-CI72)/CI72*100)</f>
        <v>0</v>
      </c>
      <c r="CL72" s="22"/>
      <c r="CM72" s="22"/>
      <c r="CN72" s="312">
        <f>IF(CL72=0,0,(CM72-CL72)/CL72*100)</f>
        <v>0</v>
      </c>
      <c r="CO72" s="22"/>
      <c r="CP72" s="22"/>
      <c r="CQ72" s="312">
        <f>IF(CO72=0,0,(CP72-CO72)/CO72*100)</f>
        <v>0</v>
      </c>
      <c r="CR72" s="22"/>
      <c r="CS72" s="22"/>
      <c r="CT72" s="312">
        <f>IF(CR72=0,0,(CS72-CR72)/CR72*100)</f>
        <v>0</v>
      </c>
      <c r="CU72" s="22"/>
      <c r="CV72" s="22"/>
      <c r="CW72" s="312">
        <f>IF(CU72=0,0,(CV72-CU72)/CU72*100)</f>
        <v>0</v>
      </c>
      <c r="CX72" s="22"/>
      <c r="CY72" s="22"/>
      <c r="CZ72" s="312">
        <f>IF(CX72=0,0,(CY72-CX72)/CX72*100)</f>
        <v>0</v>
      </c>
      <c r="DA72" s="22"/>
      <c r="DB72" s="22"/>
      <c r="DC72" s="312">
        <f>IF(DA72=0,0,(DB72-DA72)/DA72*100)</f>
        <v>0</v>
      </c>
      <c r="DD72" s="22"/>
      <c r="DE72" s="22"/>
      <c r="DF72" s="312">
        <f>IF(DD72=0,0,(DE72-DD72)/DD72*100)</f>
        <v>0</v>
      </c>
      <c r="DG72" s="22"/>
      <c r="DH72" s="22"/>
      <c r="DI72" s="312">
        <f>IF(DG72=0,0,(DH72-DG72)/DG72*100)</f>
        <v>0</v>
      </c>
      <c r="DJ72" s="22"/>
      <c r="DK72" s="22"/>
      <c r="DL72" s="312">
        <f>IF(DJ72=0,0,(DK72-DJ72)/DJ72*100)</f>
        <v>0</v>
      </c>
      <c r="DM72" s="22"/>
      <c r="DN72" s="22"/>
      <c r="DO72" s="312">
        <f>IF(DM72=0,0,(DN72-DM72)/DM72*100)</f>
        <v>0</v>
      </c>
      <c r="DP72" s="22"/>
      <c r="DQ72" s="22"/>
      <c r="DR72" s="312">
        <f>IF(DP72=0,0,(DQ72-DP72)/DP72*100)</f>
        <v>0</v>
      </c>
      <c r="DS72" s="22"/>
      <c r="DT72" s="22"/>
      <c r="DU72" s="312">
        <f>IF(DS72=0,0,(DT72-DS72)/DS72*100)</f>
        <v>0</v>
      </c>
      <c r="DV72" s="22"/>
      <c r="DW72" s="22"/>
      <c r="DX72" s="312">
        <f>IF(DV72=0,0,(DW72-DV72)/DV72*100)</f>
        <v>0</v>
      </c>
      <c r="DY72" s="22"/>
      <c r="DZ72" s="22"/>
      <c r="EA72" s="312">
        <f>IF(DY72=0,0,(DZ72-DY72)/DY72*100)</f>
        <v>0</v>
      </c>
      <c r="EB72" s="22"/>
      <c r="EC72" s="22"/>
      <c r="ED72" s="312">
        <f>IF(EB72=0,0,(EC72-EB72)/EB72*100)</f>
        <v>0</v>
      </c>
      <c r="EE72" s="22"/>
      <c r="EF72" s="22"/>
      <c r="EG72" s="312">
        <f>IF(EE72=0,0,(EF72-EE72)/EE72*100)</f>
        <v>0</v>
      </c>
      <c r="EH72" s="22"/>
      <c r="EI72" s="22"/>
      <c r="EJ72" s="312">
        <f>IF(EH72=0,0,(EI72-EH72)/EH72*100)</f>
        <v>0</v>
      </c>
      <c r="EK72" s="22"/>
      <c r="EL72" s="22"/>
      <c r="EM72" s="312">
        <f>IF(EK72=0,0,(EL72-EK72)/EK72*100)</f>
        <v>0</v>
      </c>
      <c r="EN72" s="22"/>
      <c r="EO72" s="22"/>
      <c r="EP72" s="312">
        <f>IF(EN72=0,0,(EO72-EN72)/EN72*100)</f>
        <v>0</v>
      </c>
      <c r="EQ72" s="22"/>
      <c r="ER72" s="22"/>
      <c r="ES72" s="312">
        <f>IF(EQ72=0,0,(ER72-EQ72)/EQ72*100)</f>
        <v>0</v>
      </c>
      <c r="ET72" s="22"/>
      <c r="EU72" s="22"/>
      <c r="EV72" s="312">
        <f>IF(ET72=0,0,(EU72-ET72)/ET72*100)</f>
        <v>0</v>
      </c>
      <c r="EW72" s="22"/>
      <c r="EX72" s="22"/>
      <c r="EY72" s="312">
        <f>IF(EW72=0,0,(EX72-EW72)/EW72*100)</f>
        <v>0</v>
      </c>
      <c r="EZ72" s="22"/>
      <c r="FA72" s="22"/>
      <c r="FB72" s="312">
        <f>IF(EZ72=0,0,(FA72-EZ72)/EZ72*100)</f>
        <v>0</v>
      </c>
      <c r="FC72" s="22"/>
      <c r="FD72" s="22"/>
      <c r="FE72" s="312">
        <f>IF(FC72=0,0,(FD72-FC72)/FC72*100)</f>
        <v>0</v>
      </c>
      <c r="FF72" s="22"/>
      <c r="FG72" s="22"/>
      <c r="FH72" s="312">
        <f>IF(FF72=0,0,(FG72-FF72)/FF72*100)</f>
        <v>0</v>
      </c>
      <c r="FI72" s="22"/>
      <c r="FJ72" s="22"/>
      <c r="FK72" s="312">
        <f>IF(FI72=0,0,(FJ72-FI72)/FI72*100)</f>
        <v>0</v>
      </c>
      <c r="FL72" s="22"/>
      <c r="FM72" s="22"/>
      <c r="FN72" s="312">
        <f>IF(FL72=0,0,(FM72-FL72)/FL72*100)</f>
        <v>0</v>
      </c>
      <c r="FO72" s="22"/>
      <c r="FP72" s="22"/>
      <c r="FQ72" s="312">
        <f>IF(FO72=0,0,(FP72-FO72)/FO72*100)</f>
        <v>0</v>
      </c>
      <c r="FR72" s="22"/>
      <c r="FS72" s="22"/>
      <c r="FT72" s="312">
        <f>IF(FR72=0,0,(FS72-FR72)/FR72*100)</f>
        <v>0</v>
      </c>
      <c r="FU72" s="22"/>
      <c r="FV72" s="22"/>
      <c r="FW72" s="312">
        <f>IF(FU72=0,0,(FV72-FU72)/FU72*100)</f>
        <v>0</v>
      </c>
      <c r="FZ72" s="981" t="s">
        <v>2236</v>
      </c>
      <c r="GA72" s="981"/>
      <c r="GB72" s="981"/>
      <c r="GC72" s="981"/>
      <c r="GD72" s="981"/>
    </row>
    <row r="73" spans="1:186" ht="15.75" hidden="1" customHeight="1">
      <c r="B73" s="813" t="b">
        <v>0</v>
      </c>
      <c r="E73" s="676">
        <v>0</v>
      </c>
      <c r="F73" s="779" cm="1">
        <f t="array" aca="1" ref="F73" ca="1">OFFSET(G73,-1,-1)</f>
        <v>0</v>
      </c>
      <c r="H73" s="163" t="str">
        <f ca="1">F73&amp;"pIns2"</f>
        <v>0pIns2</v>
      </c>
      <c r="Q73" s="1092"/>
      <c r="T73" s="687" t="b">
        <v>0</v>
      </c>
      <c r="X73" s="1726"/>
      <c r="Z73" s="1726"/>
      <c r="AB73" s="760" t="s">
        <v>238</v>
      </c>
      <c r="AC73" s="285"/>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c r="EQ73" s="283"/>
      <c r="ER73" s="283"/>
      <c r="ES73" s="283"/>
      <c r="ET73" s="283"/>
      <c r="EU73" s="283"/>
      <c r="EV73" s="283"/>
      <c r="EW73" s="283"/>
      <c r="EX73" s="283"/>
      <c r="EY73" s="283"/>
      <c r="EZ73" s="283"/>
      <c r="FA73" s="283"/>
      <c r="FB73" s="283"/>
      <c r="FC73" s="283"/>
      <c r="FD73" s="283"/>
      <c r="FE73" s="283"/>
      <c r="FF73" s="283"/>
      <c r="FG73" s="283"/>
      <c r="FH73" s="283"/>
      <c r="FI73" s="283"/>
      <c r="FJ73" s="283"/>
      <c r="FK73" s="283"/>
      <c r="FL73" s="283"/>
      <c r="FM73" s="283"/>
      <c r="FN73" s="283"/>
      <c r="FO73" s="283"/>
      <c r="FP73" s="283"/>
      <c r="FQ73" s="283"/>
      <c r="FR73" s="283"/>
      <c r="FS73" s="283"/>
      <c r="FT73" s="283"/>
      <c r="FU73" s="283"/>
      <c r="FV73" s="283"/>
      <c r="FW73" s="284"/>
      <c r="GA73" s="981"/>
      <c r="GB73" s="981"/>
      <c r="GC73" s="981"/>
      <c r="GD73" s="981"/>
    </row>
    <row r="74" spans="1:186" s="1229" customFormat="1" ht="21.75" customHeight="1">
      <c r="A74" s="1153"/>
      <c r="B74" s="783"/>
      <c r="C74" s="1118"/>
      <c r="D74" s="1087"/>
      <c r="E74" s="676">
        <v>22.5</v>
      </c>
      <c r="F74" s="779" t="str" cm="1">
        <f t="array" ref="F74">X74</f>
        <v>1</v>
      </c>
      <c r="G74" s="620" t="str" cm="1">
        <f t="array" ref="G74">INDEX('Общие сведения'!$AK$187:$AK$236,MATCH($F74,'Общие сведения'!$Z$187:$Z$236,0))</f>
        <v>одноставочный</v>
      </c>
      <c r="H74" s="425"/>
      <c r="I74" s="425"/>
      <c r="J74" s="1110"/>
      <c r="K74" s="1110"/>
      <c r="L74" s="1110"/>
      <c r="M74" s="1110"/>
      <c r="N74" s="1110"/>
      <c r="O74" s="1110"/>
      <c r="P74" s="1110"/>
      <c r="Q74" s="1092"/>
      <c r="R74" s="163" t="str" cm="1">
        <f t="array" ref="R74">INDEX('Общие сведения'!$AK$187:$AK$236,MATCH($F74,'Общие сведения'!$Z$187:$Z$236,0))</f>
        <v>одноставочный</v>
      </c>
      <c r="S74" s="425"/>
      <c r="T74" s="687" t="b">
        <f>X74&gt;0</f>
        <v>1</v>
      </c>
      <c r="U74" s="1153"/>
      <c r="V74" s="126" t="str" cm="1">
        <f t="array" ref="V74">'ИП источники'!$AB$49</f>
        <v>Тариф 1 (Теплоснабжение) - Тариф на тепловую энергию (мощность), поставляемую потребителям (Не определено)</v>
      </c>
      <c r="W74" s="1153"/>
      <c r="X74" s="1726" t="s">
        <v>341</v>
      </c>
      <c r="Y74" s="1153"/>
      <c r="Z74" s="1726"/>
      <c r="AA74" s="425"/>
      <c r="AB74" s="1854"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855"/>
      <c r="AD74" s="298" t="str">
        <f>"Тариф "&amp;F74</f>
        <v>Тариф 1</v>
      </c>
      <c r="AE74" s="299"/>
      <c r="AF74" s="299"/>
      <c r="AG74" s="299"/>
      <c r="AH74" s="299"/>
      <c r="AI74" s="299"/>
      <c r="AJ74" s="299"/>
      <c r="AK74" s="299"/>
      <c r="AL74" s="299"/>
      <c r="AM74" s="299"/>
      <c r="AN74" s="299"/>
      <c r="AO74" s="299"/>
      <c r="AP74" s="299"/>
      <c r="AQ74" s="299"/>
      <c r="AR74" s="299"/>
      <c r="AS74" s="299"/>
      <c r="AT74" s="299"/>
      <c r="AU74" s="299"/>
      <c r="AV74" s="299"/>
      <c r="AW74" s="299"/>
      <c r="AX74" s="299"/>
      <c r="AY74" s="299"/>
      <c r="AZ74" s="299"/>
      <c r="BA74" s="299"/>
      <c r="BB74" s="299"/>
      <c r="BC74" s="299"/>
      <c r="BD74" s="299"/>
      <c r="BE74" s="299"/>
      <c r="BF74" s="299"/>
      <c r="BG74" s="299"/>
      <c r="BH74" s="299"/>
      <c r="BI74" s="299"/>
      <c r="BJ74" s="299"/>
      <c r="BK74" s="299"/>
      <c r="BL74" s="299"/>
      <c r="BM74" s="299"/>
      <c r="BN74" s="299"/>
      <c r="BO74" s="299"/>
      <c r="BP74" s="299"/>
      <c r="BQ74" s="299"/>
      <c r="BR74" s="299"/>
      <c r="BS74" s="299"/>
      <c r="BT74" s="299"/>
      <c r="BU74" s="299"/>
      <c r="BV74" s="299"/>
      <c r="BW74" s="299"/>
      <c r="BX74" s="299"/>
      <c r="BY74" s="299"/>
      <c r="BZ74" s="299"/>
      <c r="CA74" s="299"/>
      <c r="CB74" s="299"/>
      <c r="CC74" s="299"/>
      <c r="CD74" s="299"/>
      <c r="CE74" s="299"/>
      <c r="CF74" s="299"/>
      <c r="CG74" s="299"/>
      <c r="CH74" s="299"/>
      <c r="CI74" s="299"/>
      <c r="CJ74" s="299"/>
      <c r="CK74" s="299"/>
      <c r="CL74" s="299"/>
      <c r="CM74" s="299"/>
      <c r="CN74" s="299"/>
      <c r="CO74" s="299"/>
      <c r="CP74" s="299"/>
      <c r="CQ74" s="299"/>
      <c r="CR74" s="299"/>
      <c r="CS74" s="299"/>
      <c r="CT74" s="299"/>
      <c r="CU74" s="299"/>
      <c r="CV74" s="299"/>
      <c r="CW74" s="299"/>
      <c r="CX74" s="299"/>
      <c r="CY74" s="299"/>
      <c r="CZ74" s="299"/>
      <c r="DA74" s="299"/>
      <c r="DB74" s="299"/>
      <c r="DC74" s="299"/>
      <c r="DD74" s="299"/>
      <c r="DE74" s="299"/>
      <c r="DF74" s="299"/>
      <c r="DG74" s="299"/>
      <c r="DH74" s="299"/>
      <c r="DI74" s="299"/>
      <c r="DJ74" s="299"/>
      <c r="DK74" s="299"/>
      <c r="DL74" s="299"/>
      <c r="DM74" s="299"/>
      <c r="DN74" s="299"/>
      <c r="DO74" s="299"/>
      <c r="DP74" s="299"/>
      <c r="DQ74" s="299"/>
      <c r="DR74" s="299"/>
      <c r="DS74" s="299"/>
      <c r="DT74" s="299"/>
      <c r="DU74" s="299"/>
      <c r="DV74" s="299"/>
      <c r="DW74" s="299"/>
      <c r="DX74" s="299"/>
      <c r="DY74" s="299"/>
      <c r="DZ74" s="299"/>
      <c r="EA74" s="299"/>
      <c r="EB74" s="299"/>
      <c r="EC74" s="299"/>
      <c r="ED74" s="299"/>
      <c r="EE74" s="299"/>
      <c r="EF74" s="299"/>
      <c r="EG74" s="299"/>
      <c r="EH74" s="299"/>
      <c r="EI74" s="299"/>
      <c r="EJ74" s="299"/>
      <c r="EK74" s="299"/>
      <c r="EL74" s="299"/>
      <c r="EM74" s="299"/>
      <c r="EN74" s="299"/>
      <c r="EO74" s="299"/>
      <c r="EP74" s="299"/>
      <c r="EQ74" s="299"/>
      <c r="ER74" s="299"/>
      <c r="ES74" s="299"/>
      <c r="ET74" s="299"/>
      <c r="EU74" s="299"/>
      <c r="EV74" s="299"/>
      <c r="EW74" s="299"/>
      <c r="EX74" s="299"/>
      <c r="EY74" s="299"/>
      <c r="EZ74" s="299"/>
      <c r="FA74" s="299"/>
      <c r="FB74" s="299"/>
      <c r="FC74" s="299"/>
      <c r="FD74" s="299"/>
      <c r="FE74" s="299"/>
      <c r="FF74" s="299"/>
      <c r="FG74" s="299"/>
      <c r="FH74" s="299"/>
      <c r="FI74" s="299"/>
      <c r="FJ74" s="299"/>
      <c r="FK74" s="299"/>
      <c r="FL74" s="299"/>
      <c r="FM74" s="299"/>
      <c r="FN74" s="299"/>
      <c r="FO74" s="299"/>
      <c r="FP74" s="299"/>
      <c r="FQ74" s="299"/>
      <c r="FR74" s="299"/>
      <c r="FS74" s="299"/>
      <c r="FT74" s="299"/>
      <c r="FU74" s="299"/>
      <c r="FV74" s="299"/>
      <c r="FW74" s="300"/>
      <c r="FX74" s="425"/>
      <c r="FY74" s="425"/>
      <c r="FZ74" s="1015"/>
      <c r="GA74" s="981"/>
      <c r="GB74" s="981"/>
      <c r="GC74" s="981"/>
      <c r="GD74" s="981"/>
    </row>
    <row r="75" spans="1:186" s="1229" customFormat="1" ht="15" hidden="1" customHeight="1">
      <c r="A75" s="1153"/>
      <c r="B75" s="783"/>
      <c r="C75" s="1118"/>
      <c r="D75" s="1087"/>
      <c r="E75" s="676">
        <v>0</v>
      </c>
      <c r="F75" s="779" t="str" cm="1">
        <f t="array" aca="1" ref="F75" ca="1">OFFSET(G75,-1,-1)</f>
        <v>1</v>
      </c>
      <c r="G75" s="425"/>
      <c r="H75" s="425"/>
      <c r="I75" s="425"/>
      <c r="J75" s="1110"/>
      <c r="K75" s="1110"/>
      <c r="L75" s="1110"/>
      <c r="M75" s="1110"/>
      <c r="N75" s="1110"/>
      <c r="O75" s="1110"/>
      <c r="P75" s="1110"/>
      <c r="Q75" s="1092"/>
      <c r="R75" s="784"/>
      <c r="S75" s="425"/>
      <c r="T75" s="687" t="b">
        <v>0</v>
      </c>
      <c r="U75" s="1153"/>
      <c r="V75" s="1153"/>
      <c r="W75" s="1153"/>
      <c r="X75" s="1726"/>
      <c r="Y75" s="1153"/>
      <c r="Z75" s="1726"/>
      <c r="AA75" s="425"/>
      <c r="AB75" s="1682"/>
      <c r="AC75" s="1684"/>
      <c r="AD75" s="298"/>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1"/>
      <c r="DL75" s="301"/>
      <c r="DM75" s="301"/>
      <c r="DN75" s="301"/>
      <c r="DO75" s="301"/>
      <c r="DP75" s="301"/>
      <c r="DQ75" s="301"/>
      <c r="DR75" s="301"/>
      <c r="DS75" s="301"/>
      <c r="DT75" s="301"/>
      <c r="DU75" s="301"/>
      <c r="DV75" s="301"/>
      <c r="DW75" s="301"/>
      <c r="DX75" s="301"/>
      <c r="DY75" s="301"/>
      <c r="DZ75" s="301"/>
      <c r="EA75" s="301"/>
      <c r="EB75" s="301"/>
      <c r="EC75" s="301"/>
      <c r="ED75" s="301"/>
      <c r="EE75" s="301"/>
      <c r="EF75" s="301"/>
      <c r="EG75" s="301"/>
      <c r="EH75" s="301"/>
      <c r="EI75" s="301"/>
      <c r="EJ75" s="301"/>
      <c r="EK75" s="301"/>
      <c r="EL75" s="301"/>
      <c r="EM75" s="301"/>
      <c r="EN75" s="301"/>
      <c r="EO75" s="301"/>
      <c r="EP75" s="301"/>
      <c r="EQ75" s="301"/>
      <c r="ER75" s="301"/>
      <c r="ES75" s="301"/>
      <c r="ET75" s="301"/>
      <c r="EU75" s="301"/>
      <c r="EV75" s="301"/>
      <c r="EW75" s="301"/>
      <c r="EX75" s="301"/>
      <c r="EY75" s="301"/>
      <c r="EZ75" s="301"/>
      <c r="FA75" s="301"/>
      <c r="FB75" s="301"/>
      <c r="FC75" s="301"/>
      <c r="FD75" s="301"/>
      <c r="FE75" s="301"/>
      <c r="FF75" s="301"/>
      <c r="FG75" s="301"/>
      <c r="FH75" s="301"/>
      <c r="FI75" s="301"/>
      <c r="FJ75" s="301"/>
      <c r="FK75" s="301"/>
      <c r="FL75" s="301"/>
      <c r="FM75" s="301"/>
      <c r="FN75" s="301"/>
      <c r="FO75" s="301"/>
      <c r="FP75" s="301"/>
      <c r="FQ75" s="301"/>
      <c r="FR75" s="301"/>
      <c r="FS75" s="301"/>
      <c r="FT75" s="301"/>
      <c r="FU75" s="301"/>
      <c r="FV75" s="301"/>
      <c r="FW75" s="302"/>
      <c r="FX75" s="425"/>
      <c r="FY75" s="425"/>
      <c r="FZ75" s="1015"/>
      <c r="GA75" s="981"/>
      <c r="GB75" s="981"/>
      <c r="GC75" s="981"/>
      <c r="GD75" s="981"/>
    </row>
    <row r="76" spans="1:186" s="1229" customFormat="1" ht="16.5" customHeight="1">
      <c r="A76" s="1153"/>
      <c r="B76" s="783"/>
      <c r="C76" s="1118"/>
      <c r="D76" s="1087"/>
      <c r="E76" s="676">
        <v>17.100000000000001</v>
      </c>
      <c r="F76" s="779" t="str" cm="1">
        <f t="array" aca="1" ref="F76" ca="1">OFFSET(G76,-1,-1)</f>
        <v>1</v>
      </c>
      <c r="G76" s="425"/>
      <c r="H76" s="425"/>
      <c r="I76" s="425"/>
      <c r="J76" s="1110"/>
      <c r="K76" s="1110"/>
      <c r="L76" s="1110"/>
      <c r="M76" s="1110"/>
      <c r="N76" s="1110"/>
      <c r="O76" s="1110"/>
      <c r="P76" s="1110"/>
      <c r="Q76" s="1092"/>
      <c r="R76" s="784"/>
      <c r="S76" s="425"/>
      <c r="T76" s="687" t="b" cm="1">
        <f t="array" ref="T76">T74</f>
        <v>1</v>
      </c>
      <c r="U76" s="1153"/>
      <c r="V76" s="1153"/>
      <c r="W76" s="1153"/>
      <c r="X76" s="1726"/>
      <c r="Y76" s="1153"/>
      <c r="Z76" s="1726"/>
      <c r="AA76" s="425"/>
      <c r="AB76" s="1682" t="s">
        <v>2143</v>
      </c>
      <c r="AC76" s="1684"/>
      <c r="AD76" s="298" t="str" cm="1">
        <f t="array" aca="1" ref="AD76" ca="1">INDEX('Общие сведения'!$AM$187:$AM$236,MATCH($F76,'Общие сведения'!$Z$187:$Z$236,0))</f>
        <v>Тариф на тепловую энергию (мощность), поставляемую потребителям</v>
      </c>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301"/>
      <c r="CP76" s="301"/>
      <c r="CQ76" s="301"/>
      <c r="CR76" s="301"/>
      <c r="CS76" s="301"/>
      <c r="CT76" s="301"/>
      <c r="CU76" s="301"/>
      <c r="CV76" s="301"/>
      <c r="CW76" s="301"/>
      <c r="CX76" s="301"/>
      <c r="CY76" s="301"/>
      <c r="CZ76" s="301"/>
      <c r="DA76" s="301"/>
      <c r="DB76" s="301"/>
      <c r="DC76" s="301"/>
      <c r="DD76" s="301"/>
      <c r="DE76" s="301"/>
      <c r="DF76" s="301"/>
      <c r="DG76" s="301"/>
      <c r="DH76" s="301"/>
      <c r="DI76" s="301"/>
      <c r="DJ76" s="301"/>
      <c r="DK76" s="301"/>
      <c r="DL76" s="301"/>
      <c r="DM76" s="301"/>
      <c r="DN76" s="301"/>
      <c r="DO76" s="301"/>
      <c r="DP76" s="301"/>
      <c r="DQ76" s="301"/>
      <c r="DR76" s="301"/>
      <c r="DS76" s="301"/>
      <c r="DT76" s="301"/>
      <c r="DU76" s="301"/>
      <c r="DV76" s="301"/>
      <c r="DW76" s="301"/>
      <c r="DX76" s="301"/>
      <c r="DY76" s="301"/>
      <c r="DZ76" s="301"/>
      <c r="EA76" s="301"/>
      <c r="EB76" s="301"/>
      <c r="EC76" s="301"/>
      <c r="ED76" s="301"/>
      <c r="EE76" s="301"/>
      <c r="EF76" s="301"/>
      <c r="EG76" s="301"/>
      <c r="EH76" s="301"/>
      <c r="EI76" s="301"/>
      <c r="EJ76" s="301"/>
      <c r="EK76" s="301"/>
      <c r="EL76" s="301"/>
      <c r="EM76" s="301"/>
      <c r="EN76" s="301"/>
      <c r="EO76" s="301"/>
      <c r="EP76" s="301"/>
      <c r="EQ76" s="301"/>
      <c r="ER76" s="301"/>
      <c r="ES76" s="301"/>
      <c r="ET76" s="301"/>
      <c r="EU76" s="301"/>
      <c r="EV76" s="301"/>
      <c r="EW76" s="301"/>
      <c r="EX76" s="301"/>
      <c r="EY76" s="301"/>
      <c r="EZ76" s="301"/>
      <c r="FA76" s="301"/>
      <c r="FB76" s="301"/>
      <c r="FC76" s="301"/>
      <c r="FD76" s="301"/>
      <c r="FE76" s="301"/>
      <c r="FF76" s="301"/>
      <c r="FG76" s="301"/>
      <c r="FH76" s="301"/>
      <c r="FI76" s="301"/>
      <c r="FJ76" s="301"/>
      <c r="FK76" s="301"/>
      <c r="FL76" s="301"/>
      <c r="FM76" s="301"/>
      <c r="FN76" s="301"/>
      <c r="FO76" s="301"/>
      <c r="FP76" s="301"/>
      <c r="FQ76" s="301"/>
      <c r="FR76" s="301"/>
      <c r="FS76" s="301"/>
      <c r="FT76" s="301"/>
      <c r="FU76" s="301"/>
      <c r="FV76" s="301"/>
      <c r="FW76" s="302"/>
      <c r="FX76" s="425"/>
      <c r="FY76" s="425"/>
      <c r="FZ76" s="1015"/>
      <c r="GA76" s="981"/>
      <c r="GB76" s="981"/>
      <c r="GC76" s="981"/>
      <c r="GD76" s="981"/>
    </row>
    <row r="77" spans="1:186" s="1229" customFormat="1" ht="16.5" customHeight="1">
      <c r="A77" s="1153"/>
      <c r="B77" s="783"/>
      <c r="C77" s="1118"/>
      <c r="D77" s="1087"/>
      <c r="E77" s="676">
        <v>17.100000000000001</v>
      </c>
      <c r="F77" s="779" t="str" cm="1">
        <f t="array" aca="1" ref="F77" ca="1">OFFSET(G77,-1,-1)</f>
        <v>1</v>
      </c>
      <c r="G77" s="425"/>
      <c r="H77" s="425"/>
      <c r="I77" s="425"/>
      <c r="J77" s="1110"/>
      <c r="K77" s="1110"/>
      <c r="L77" s="1110"/>
      <c r="M77" s="1110"/>
      <c r="N77" s="1110"/>
      <c r="O77" s="1110"/>
      <c r="P77" s="1110"/>
      <c r="Q77" s="1092"/>
      <c r="R77" s="784"/>
      <c r="S77" s="425"/>
      <c r="T77" s="687" t="b" cm="1">
        <f t="array" ref="T77">T76</f>
        <v>1</v>
      </c>
      <c r="U77" s="1153"/>
      <c r="V77" s="1153"/>
      <c r="W77" s="1153"/>
      <c r="X77" s="1726"/>
      <c r="Y77" s="1153"/>
      <c r="Z77" s="1726"/>
      <c r="AA77" s="425"/>
      <c r="AB77" s="1682" t="s">
        <v>2144</v>
      </c>
      <c r="AC77" s="1684"/>
      <c r="AD77" s="298" t="str" cm="1">
        <f t="array" aca="1" ref="AD77" ca="1">INDEX('Общие сведения'!$AJ$187:$AJ$236,MATCH($F77,'Общие сведения'!$Z$187:$Z$236,0))</f>
        <v>Не определено</v>
      </c>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301"/>
      <c r="CP77" s="301"/>
      <c r="CQ77" s="301"/>
      <c r="CR77" s="301"/>
      <c r="CS77" s="301"/>
      <c r="CT77" s="301"/>
      <c r="CU77" s="301"/>
      <c r="CV77" s="301"/>
      <c r="CW77" s="301"/>
      <c r="CX77" s="301"/>
      <c r="CY77" s="301"/>
      <c r="CZ77" s="301"/>
      <c r="DA77" s="301"/>
      <c r="DB77" s="301"/>
      <c r="DC77" s="301"/>
      <c r="DD77" s="301"/>
      <c r="DE77" s="301"/>
      <c r="DF77" s="301"/>
      <c r="DG77" s="301"/>
      <c r="DH77" s="301"/>
      <c r="DI77" s="301"/>
      <c r="DJ77" s="301"/>
      <c r="DK77" s="301"/>
      <c r="DL77" s="301"/>
      <c r="DM77" s="301"/>
      <c r="DN77" s="301"/>
      <c r="DO77" s="301"/>
      <c r="DP77" s="301"/>
      <c r="DQ77" s="301"/>
      <c r="DR77" s="301"/>
      <c r="DS77" s="301"/>
      <c r="DT77" s="301"/>
      <c r="DU77" s="301"/>
      <c r="DV77" s="301"/>
      <c r="DW77" s="301"/>
      <c r="DX77" s="301"/>
      <c r="DY77" s="301"/>
      <c r="DZ77" s="301"/>
      <c r="EA77" s="301"/>
      <c r="EB77" s="301"/>
      <c r="EC77" s="301"/>
      <c r="ED77" s="301"/>
      <c r="EE77" s="301"/>
      <c r="EF77" s="301"/>
      <c r="EG77" s="301"/>
      <c r="EH77" s="301"/>
      <c r="EI77" s="301"/>
      <c r="EJ77" s="301"/>
      <c r="EK77" s="301"/>
      <c r="EL77" s="301"/>
      <c r="EM77" s="301"/>
      <c r="EN77" s="301"/>
      <c r="EO77" s="301"/>
      <c r="EP77" s="301"/>
      <c r="EQ77" s="301"/>
      <c r="ER77" s="301"/>
      <c r="ES77" s="301"/>
      <c r="ET77" s="301"/>
      <c r="EU77" s="301"/>
      <c r="EV77" s="301"/>
      <c r="EW77" s="301"/>
      <c r="EX77" s="301"/>
      <c r="EY77" s="301"/>
      <c r="EZ77" s="301"/>
      <c r="FA77" s="301"/>
      <c r="FB77" s="301"/>
      <c r="FC77" s="301"/>
      <c r="FD77" s="301"/>
      <c r="FE77" s="301"/>
      <c r="FF77" s="301"/>
      <c r="FG77" s="301"/>
      <c r="FH77" s="301"/>
      <c r="FI77" s="301"/>
      <c r="FJ77" s="301"/>
      <c r="FK77" s="301"/>
      <c r="FL77" s="301"/>
      <c r="FM77" s="301"/>
      <c r="FN77" s="301"/>
      <c r="FO77" s="301"/>
      <c r="FP77" s="301"/>
      <c r="FQ77" s="301"/>
      <c r="FR77" s="301"/>
      <c r="FS77" s="301"/>
      <c r="FT77" s="301"/>
      <c r="FU77" s="301"/>
      <c r="FV77" s="301"/>
      <c r="FW77" s="302"/>
      <c r="FX77" s="425"/>
      <c r="FY77" s="425"/>
      <c r="FZ77" s="1015"/>
      <c r="GA77" s="981"/>
      <c r="GB77" s="981"/>
      <c r="GC77" s="981"/>
      <c r="GD77" s="981"/>
    </row>
    <row r="78" spans="1:186" s="1229" customFormat="1" ht="16.5" customHeight="1">
      <c r="A78" s="1153"/>
      <c r="B78" s="813" t="b">
        <f>R74="одноставочный"</f>
        <v>1</v>
      </c>
      <c r="C78" s="1118"/>
      <c r="D78" s="1087"/>
      <c r="E78" s="676">
        <v>17.100000000000001</v>
      </c>
      <c r="F78" s="779" t="str" cm="1">
        <f t="array" aca="1" ref="F78" ca="1">OFFSET(G78,-1,-1)</f>
        <v>1</v>
      </c>
      <c r="G78" s="425"/>
      <c r="H78" s="425"/>
      <c r="I78" s="425"/>
      <c r="J78" s="1110"/>
      <c r="K78" s="1110"/>
      <c r="L78" s="1110"/>
      <c r="M78" s="1110"/>
      <c r="N78" s="1110"/>
      <c r="O78" s="1110"/>
      <c r="P78" s="1110"/>
      <c r="Q78" s="1092"/>
      <c r="R78" s="784"/>
      <c r="S78" s="425"/>
      <c r="T78" s="687" t="b">
        <f ca="1">AND(F78&gt;0,G74="одноставочный")</f>
        <v>1</v>
      </c>
      <c r="U78" s="1153"/>
      <c r="V78" s="1153"/>
      <c r="W78" s="1153"/>
      <c r="X78" s="1726"/>
      <c r="Y78" s="1153"/>
      <c r="Z78" s="1726"/>
      <c r="AA78" s="425"/>
      <c r="AB78" s="303" t="s">
        <v>2145</v>
      </c>
      <c r="AC78" s="304"/>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6"/>
      <c r="BK78" s="305"/>
      <c r="BL78" s="305"/>
      <c r="BM78" s="306"/>
      <c r="BN78" s="305"/>
      <c r="BO78" s="305"/>
      <c r="BP78" s="306"/>
      <c r="BQ78" s="305"/>
      <c r="BR78" s="305"/>
      <c r="BS78" s="306"/>
      <c r="BT78" s="305"/>
      <c r="BU78" s="305"/>
      <c r="BV78" s="306"/>
      <c r="BW78" s="305"/>
      <c r="BX78" s="305"/>
      <c r="BY78" s="306"/>
      <c r="BZ78" s="305"/>
      <c r="CA78" s="305"/>
      <c r="CB78" s="306"/>
      <c r="CC78" s="305"/>
      <c r="CD78" s="305"/>
      <c r="CE78" s="306"/>
      <c r="CF78" s="305"/>
      <c r="CG78" s="305"/>
      <c r="CH78" s="306"/>
      <c r="CI78" s="305"/>
      <c r="CJ78" s="305"/>
      <c r="CK78" s="306"/>
      <c r="CL78" s="305"/>
      <c r="CM78" s="305"/>
      <c r="CN78" s="306"/>
      <c r="CO78" s="305"/>
      <c r="CP78" s="305"/>
      <c r="CQ78" s="306"/>
      <c r="CR78" s="305"/>
      <c r="CS78" s="305"/>
      <c r="CT78" s="306"/>
      <c r="CU78" s="305"/>
      <c r="CV78" s="305"/>
      <c r="CW78" s="306"/>
      <c r="CX78" s="305"/>
      <c r="CY78" s="305"/>
      <c r="CZ78" s="306"/>
      <c r="DA78" s="305"/>
      <c r="DB78" s="305"/>
      <c r="DC78" s="306"/>
      <c r="DD78" s="305"/>
      <c r="DE78" s="305"/>
      <c r="DF78" s="306"/>
      <c r="DG78" s="305"/>
      <c r="DH78" s="305"/>
      <c r="DI78" s="306"/>
      <c r="DJ78" s="305"/>
      <c r="DK78" s="305"/>
      <c r="DL78" s="306"/>
      <c r="DM78" s="305"/>
      <c r="DN78" s="305"/>
      <c r="DO78" s="306"/>
      <c r="DP78" s="305"/>
      <c r="DQ78" s="305"/>
      <c r="DR78" s="306"/>
      <c r="DS78" s="305"/>
      <c r="DT78" s="305"/>
      <c r="DU78" s="306"/>
      <c r="DV78" s="305"/>
      <c r="DW78" s="305"/>
      <c r="DX78" s="306"/>
      <c r="DY78" s="305"/>
      <c r="DZ78" s="305"/>
      <c r="EA78" s="306"/>
      <c r="EB78" s="305"/>
      <c r="EC78" s="305"/>
      <c r="ED78" s="306"/>
      <c r="EE78" s="305"/>
      <c r="EF78" s="305"/>
      <c r="EG78" s="306"/>
      <c r="EH78" s="305"/>
      <c r="EI78" s="305"/>
      <c r="EJ78" s="306"/>
      <c r="EK78" s="305"/>
      <c r="EL78" s="305"/>
      <c r="EM78" s="306"/>
      <c r="EN78" s="305"/>
      <c r="EO78" s="305"/>
      <c r="EP78" s="306"/>
      <c r="EQ78" s="305"/>
      <c r="ER78" s="305"/>
      <c r="ES78" s="306"/>
      <c r="ET78" s="305"/>
      <c r="EU78" s="305"/>
      <c r="EV78" s="306"/>
      <c r="EW78" s="305"/>
      <c r="EX78" s="305"/>
      <c r="EY78" s="306"/>
      <c r="EZ78" s="305"/>
      <c r="FA78" s="305"/>
      <c r="FB78" s="306"/>
      <c r="FC78" s="305"/>
      <c r="FD78" s="305"/>
      <c r="FE78" s="306"/>
      <c r="FF78" s="305"/>
      <c r="FG78" s="305"/>
      <c r="FH78" s="306"/>
      <c r="FI78" s="305"/>
      <c r="FJ78" s="305"/>
      <c r="FK78" s="306"/>
      <c r="FL78" s="305"/>
      <c r="FM78" s="305"/>
      <c r="FN78" s="306"/>
      <c r="FO78" s="305"/>
      <c r="FP78" s="305"/>
      <c r="FQ78" s="306"/>
      <c r="FR78" s="305"/>
      <c r="FS78" s="305"/>
      <c r="FT78" s="306"/>
      <c r="FU78" s="305"/>
      <c r="FV78" s="305"/>
      <c r="FW78" s="306"/>
      <c r="FX78" s="425"/>
      <c r="FY78" s="425"/>
      <c r="FZ78" s="1015"/>
      <c r="GA78" s="981"/>
      <c r="GB78" s="981"/>
      <c r="GC78" s="981"/>
      <c r="GD78" s="981"/>
    </row>
    <row r="79" spans="1:186" s="1531" customFormat="1" ht="16.5" customHeight="1">
      <c r="A79" s="307"/>
      <c r="B79" s="813" t="b" cm="1">
        <f t="array" ref="B79">B78</f>
        <v>1</v>
      </c>
      <c r="C79" s="1118" t="s">
        <v>2146</v>
      </c>
      <c r="D79" s="1087" t="s">
        <v>2147</v>
      </c>
      <c r="E79" s="676">
        <v>17.100000000000001</v>
      </c>
      <c r="F79" s="779" t="str" cm="1">
        <f t="array" aca="1" ref="F79" ca="1">OFFSET(G79,-1,-1)</f>
        <v>1</v>
      </c>
      <c r="G79" s="620" t="s">
        <v>1787</v>
      </c>
      <c r="H79" s="163" t="s">
        <v>536</v>
      </c>
      <c r="I79" s="163" t="s">
        <v>2148</v>
      </c>
      <c r="J79" s="1108" t="s">
        <v>2149</v>
      </c>
      <c r="K79" s="1108" t="str" cm="1">
        <f t="array" aca="1" ref="K79" ca="1">INDEX('Общие сведения'!$N$187:$N$236,MATCH($F79,'Общие сведения'!$Z$187:$Z$236,0)+1)</f>
        <v>ТЭ.42.26322895.0003</v>
      </c>
      <c r="L79" s="1108" t="s">
        <v>2150</v>
      </c>
      <c r="M79" s="1108" t="s">
        <v>1782</v>
      </c>
      <c r="N79" s="1108" t="s">
        <v>2151</v>
      </c>
      <c r="O79" s="1109" t="s">
        <v>2152</v>
      </c>
      <c r="P79" s="1108"/>
      <c r="Q79" s="1108"/>
      <c r="R79" s="307"/>
      <c r="S79" s="307"/>
      <c r="T79" s="687" t="b" cm="1">
        <f t="array" aca="1" ref="T79" ca="1">T78</f>
        <v>1</v>
      </c>
      <c r="U79" s="307"/>
      <c r="V79" s="307"/>
      <c r="W79" s="307"/>
      <c r="X79" s="1853"/>
      <c r="Y79" s="307"/>
      <c r="Z79" s="1853"/>
      <c r="AA79" s="307"/>
      <c r="AB79" s="1140" t="s">
        <v>2153</v>
      </c>
      <c r="AC79" s="308" t="s">
        <v>929</v>
      </c>
      <c r="AD79" s="1532">
        <f ca="1">IF(method_reg="Метод экономически обоснованных расходов",SUMIFS('Калькуляция (4.6)'!AJ$25:AJ$229,'Калькуляция (4.6)'!$F$25:$F$229,$F79,'Калькуляция (4.6)'!$G$25:$G$229,$G79),IF(method_reg="Метод сравнения аналогов",SUMIFS(INDEX('Калькуляция (МСА)'!$AE$25:$BC$109,,MATCH(AD$8,'Калькуляция (МСА)'!$AE$8:$BC$8,0)),'Калькуляция (МСА)'!$F$25:$F$109,$F79,'Калькуляция (МСА)'!$G$25:$G$109,$G79),SUMIFS(INDEX('Калькуляция (5.9)'!$AJ$25:$BC$194,,MATCH(AD$8,'Калькуляция (5.9)'!$AJ$8:$BC$8,0)),'Калькуляция (5.9)'!$F$25:$F$194,$F79,'Калькуляция (5.9)'!$G$25:$G$194,$G79)))</f>
        <v>0</v>
      </c>
      <c r="AE79" s="1532">
        <f ca="1">IF(method_reg="Метод экономически обоснованных расходов",SUMIFS('Калькуляция (4.6)'!AK$25:AK$229,'Калькуляция (4.6)'!$F$25:$F$229,$F79,'Калькуляция (4.6)'!$G$25:$G$229,$G79),IF(method_reg="Метод сравнения аналогов",SUMIFS(INDEX('Калькуляция (МСА)'!$AE$25:$BC$109,,MATCH(AE$8,'Калькуляция (МСА)'!$AE$8:$BC$8,0)),'Калькуляция (МСА)'!$F$25:$F$109,$F79,'Калькуляция (МСА)'!$G$25:$G$109,$G79),SUMIFS(INDEX('Калькуляция (5.9)'!$AJ$25:$BC$194,,MATCH(AE$8,'Калькуляция (5.9)'!$AJ$8:$BC$8,0)),'Калькуляция (5.9)'!$F$25:$F$194,$F79,'Калькуляция (5.9)'!$G$25:$G$194,$G79)))</f>
        <v>3524.06</v>
      </c>
      <c r="AF79" s="310">
        <f ca="1">IF(AD79=0,0,(AE79-AD79)/AD79*100)</f>
        <v>0</v>
      </c>
      <c r="AG79" s="309">
        <f ca="1">IF(method_reg="Метод сравнения аналогов",SUMIFS(INDEX('Калькуляция (МСА)'!$AE$25:$BC$109,,MATCH(AG$8,'Калькуляция (МСА)'!$AE$8:$BC$8,0)),'Калькуляция (МСА)'!$F$25:$F$109,$F79,'Калькуляция (МСА)'!$G$25:$G$109,$G79),SUMIFS(INDEX('Калькуляция (5.9)'!$AJ$25:$BC$194,,MATCH(AG$8,'Калькуляция (5.9)'!$AJ$8:$BC$8,0)),'Калькуляция (5.9)'!$F$25:$F$194,$F79,'Калькуляция (5.9)'!$G$25:$G$194,$G79))</f>
        <v>0</v>
      </c>
      <c r="AH79" s="309">
        <f ca="1">IF(method_reg="Метод сравнения аналогов",SUMIFS(INDEX('Калькуляция (МСА)'!$AE$25:$BC$109,,MATCH(AH$8,'Калькуляция (МСА)'!$AE$8:$BC$8,0)),'Калькуляция (МСА)'!$F$25:$F$109,$F79,'Калькуляция (МСА)'!$G$25:$G$109,$G79),SUMIFS(INDEX('Калькуляция (5.9)'!$AJ$25:$BC$194,,MATCH(AH$8,'Калькуляция (5.9)'!$AJ$8:$BC$8,0)),'Калькуляция (5.9)'!$F$25:$F$194,$F79,'Калькуляция (5.9)'!$G$25:$G$194,$G79))</f>
        <v>0</v>
      </c>
      <c r="AI79" s="310">
        <f ca="1">IF(AG79=0,0,(AH79-AG79)/AG79*100)</f>
        <v>0</v>
      </c>
      <c r="AJ79" s="309">
        <f ca="1">IF(method_reg="Метод сравнения аналогов",SUMIFS(INDEX('Калькуляция (МСА)'!$AE$25:$BC$109,,MATCH(AJ$8,'Калькуляция (МСА)'!$AE$8:$BC$8,0)),'Калькуляция (МСА)'!$F$25:$F$109,$F79,'Калькуляция (МСА)'!$G$25:$G$109,$G79),SUMIFS(INDEX('Калькуляция (5.9)'!$AJ$25:$BC$194,,MATCH(AJ$8,'Калькуляция (5.9)'!$AJ$8:$BC$8,0)),'Калькуляция (5.9)'!$F$25:$F$194,$F79,'Калькуляция (5.9)'!$G$25:$G$194,$G79))</f>
        <v>0</v>
      </c>
      <c r="AK79" s="309">
        <f ca="1">IF(method_reg="Метод сравнения аналогов",SUMIFS(INDEX('Калькуляция (МСА)'!$AE$25:$BC$109,,MATCH(AK$8,'Калькуляция (МСА)'!$AE$8:$BC$8,0)),'Калькуляция (МСА)'!$F$25:$F$109,$F79,'Калькуляция (МСА)'!$G$25:$G$109,$G79),SUMIFS(INDEX('Калькуляция (5.9)'!$AJ$25:$BC$194,,MATCH(AK$8,'Калькуляция (5.9)'!$AJ$8:$BC$8,0)),'Калькуляция (5.9)'!$F$25:$F$194,$F79,'Калькуляция (5.9)'!$G$25:$G$194,$G79))</f>
        <v>0</v>
      </c>
      <c r="AL79" s="310">
        <f ca="1">IF(AJ79=0,0,(AK79-AJ79)/AJ79*100)</f>
        <v>0</v>
      </c>
      <c r="AM79" s="309">
        <f ca="1">IF(method_reg="Метод сравнения аналогов",SUMIFS(INDEX('Калькуляция (МСА)'!$AE$25:$BC$109,,MATCH(AM$8,'Калькуляция (МСА)'!$AE$8:$BC$8,0)),'Калькуляция (МСА)'!$F$25:$F$109,$F79,'Калькуляция (МСА)'!$G$25:$G$109,$G79),SUMIFS(INDEX('Калькуляция (5.9)'!$AJ$25:$BC$194,,MATCH(AM$8,'Калькуляция (5.9)'!$AJ$8:$BC$8,0)),'Калькуляция (5.9)'!$F$25:$F$194,$F79,'Калькуляция (5.9)'!$G$25:$G$194,$G79))</f>
        <v>0</v>
      </c>
      <c r="AN79" s="309">
        <f ca="1">IF(method_reg="Метод сравнения аналогов",SUMIFS(INDEX('Калькуляция (МСА)'!$AE$25:$BC$109,,MATCH(AN$8,'Калькуляция (МСА)'!$AE$8:$BC$8,0)),'Калькуляция (МСА)'!$F$25:$F$109,$F79,'Калькуляция (МСА)'!$G$25:$G$109,$G79),SUMIFS(INDEX('Калькуляция (5.9)'!$AJ$25:$BC$194,,MATCH(AN$8,'Калькуляция (5.9)'!$AJ$8:$BC$8,0)),'Калькуляция (5.9)'!$F$25:$F$194,$F79,'Калькуляция (5.9)'!$G$25:$G$194,$G79))</f>
        <v>0</v>
      </c>
      <c r="AO79" s="310">
        <f ca="1">IF(AM79=0,0,(AN79-AM79)/AM79*100)</f>
        <v>0</v>
      </c>
      <c r="AP79" s="309">
        <f ca="1">IF(method_reg="Метод сравнения аналогов",SUMIFS(INDEX('Калькуляция (МСА)'!$AE$25:$BC$109,,MATCH(AP$8,'Калькуляция (МСА)'!$AE$8:$BC$8,0)),'Калькуляция (МСА)'!$F$25:$F$109,$F79,'Калькуляция (МСА)'!$G$25:$G$109,$G79),SUMIFS(INDEX('Калькуляция (5.9)'!$AJ$25:$BC$194,,MATCH(AP$8,'Калькуляция (5.9)'!$AJ$8:$BC$8,0)),'Калькуляция (5.9)'!$F$25:$F$194,$F79,'Калькуляция (5.9)'!$G$25:$G$194,$G79))</f>
        <v>0</v>
      </c>
      <c r="AQ79" s="309">
        <f ca="1">IF(method_reg="Метод сравнения аналогов",SUMIFS(INDEX('Калькуляция (МСА)'!$AE$25:$BC$109,,MATCH(AQ$8,'Калькуляция (МСА)'!$AE$8:$BC$8,0)),'Калькуляция (МСА)'!$F$25:$F$109,$F79,'Калькуляция (МСА)'!$G$25:$G$109,$G79),SUMIFS(INDEX('Калькуляция (5.9)'!$AJ$25:$BC$194,,MATCH(AQ$8,'Калькуляция (5.9)'!$AJ$8:$BC$8,0)),'Калькуляция (5.9)'!$F$25:$F$194,$F79,'Калькуляция (5.9)'!$G$25:$G$194,$G79))</f>
        <v>0</v>
      </c>
      <c r="AR79" s="310">
        <f ca="1">IF(AP79=0,0,(AQ79-AP79)/AP79*100)</f>
        <v>0</v>
      </c>
      <c r="AS79" s="1532">
        <f ca="1">IF(method_reg="Метод сравнения аналогов",SUMIFS(INDEX('Калькуляция (МСА)'!$AE$25:$BC$109,,MATCH(AS$8,'Калькуляция (МСА)'!$AE$8:$BC$8,0)),'Калькуляция (МСА)'!$F$25:$F$109,$F79,'Калькуляция (МСА)'!$G$25:$G$109,$G79),SUMIFS(INDEX('Калькуляция (5.9)'!$AJ$25:$BC$194,,MATCH(AS$8,'Калькуляция (5.9)'!$AJ$8:$BC$8,0)),'Калькуляция (5.9)'!$F$25:$F$194,$F79,'Калькуляция (5.9)'!$G$25:$G$194,$G79))</f>
        <v>0</v>
      </c>
      <c r="AT79" s="1532">
        <f ca="1">IF(method_reg="Метод сравнения аналогов",SUMIFS(INDEX('Калькуляция (МСА)'!$AE$25:$BC$109,,MATCH(AT$8,'Калькуляция (МСА)'!$AE$8:$BC$8,0)),'Калькуляция (МСА)'!$F$25:$F$109,$F79,'Калькуляция (МСА)'!$G$25:$G$109,$G79),SUMIFS(INDEX('Калькуляция (5.9)'!$AJ$25:$BC$194,,MATCH(AT$8,'Калькуляция (5.9)'!$AJ$8:$BC$8,0)),'Калькуляция (5.9)'!$F$25:$F$194,$F79,'Калькуляция (5.9)'!$G$25:$G$194,$G79))</f>
        <v>0</v>
      </c>
      <c r="AU79" s="310">
        <f ca="1">IF(AS79=0,0,(AT79-AS79)/AS79*100)</f>
        <v>0</v>
      </c>
      <c r="AV79" s="1532">
        <f ca="1">IF(method_reg="Метод сравнения аналогов",SUMIFS(INDEX('Калькуляция (МСА)'!$AE$25:$BC$109,,MATCH(AV$8,'Калькуляция (МСА)'!$AE$8:$BC$8,0)),'Калькуляция (МСА)'!$F$25:$F$109,$F79,'Калькуляция (МСА)'!$G$25:$G$109,$G79),SUMIFS(INDEX('Калькуляция (5.9)'!$AJ$25:$BC$194,,MATCH(AV$8,'Калькуляция (5.9)'!$AJ$8:$BC$8,0)),'Калькуляция (5.9)'!$F$25:$F$194,$F79,'Калькуляция (5.9)'!$G$25:$G$194,$G79))</f>
        <v>0</v>
      </c>
      <c r="AW79" s="1532">
        <f ca="1">IF(method_reg="Метод сравнения аналогов",SUMIFS(INDEX('Калькуляция (МСА)'!$AE$25:$BC$109,,MATCH(AW$8,'Калькуляция (МСА)'!$AE$8:$BC$8,0)),'Калькуляция (МСА)'!$F$25:$F$109,$F79,'Калькуляция (МСА)'!$G$25:$G$109,$G79),SUMIFS(INDEX('Калькуляция (5.9)'!$AJ$25:$BC$194,,MATCH(AW$8,'Калькуляция (5.9)'!$AJ$8:$BC$8,0)),'Калькуляция (5.9)'!$F$25:$F$194,$F79,'Калькуляция (5.9)'!$G$25:$G$194,$G79))</f>
        <v>0</v>
      </c>
      <c r="AX79" s="310">
        <f ca="1">IF(AV79=0,0,(AW79-AV79)/AV79*100)</f>
        <v>0</v>
      </c>
      <c r="AY79" s="1532">
        <f ca="1">IF(method_reg="Метод сравнения аналогов",SUMIFS(INDEX('Калькуляция (МСА)'!$AE$25:$BC$109,,MATCH(AY$8,'Калькуляция (МСА)'!$AE$8:$BC$8,0)),'Калькуляция (МСА)'!$F$25:$F$109,$F79,'Калькуляция (МСА)'!$G$25:$G$109,$G79),SUMIFS(INDEX('Калькуляция (5.9)'!$AJ$25:$BC$194,,MATCH(AY$8,'Калькуляция (5.9)'!$AJ$8:$BC$8,0)),'Калькуляция (5.9)'!$F$25:$F$194,$F79,'Калькуляция (5.9)'!$G$25:$G$194,$G79))</f>
        <v>0</v>
      </c>
      <c r="AZ79" s="1532">
        <f ca="1">IF(method_reg="Метод сравнения аналогов",SUMIFS(INDEX('Калькуляция (МСА)'!$AE$25:$BC$109,,MATCH(AZ$8,'Калькуляция (МСА)'!$AE$8:$BC$8,0)),'Калькуляция (МСА)'!$F$25:$F$109,$F79,'Калькуляция (МСА)'!$G$25:$G$109,$G79),SUMIFS(INDEX('Калькуляция (5.9)'!$AJ$25:$BC$194,,MATCH(AZ$8,'Калькуляция (5.9)'!$AJ$8:$BC$8,0)),'Калькуляция (5.9)'!$F$25:$F$194,$F79,'Калькуляция (5.9)'!$G$25:$G$194,$G79))</f>
        <v>0</v>
      </c>
      <c r="BA79" s="310">
        <f ca="1">IF(AY79=0,0,(AZ79-AY79)/AY79*100)</f>
        <v>0</v>
      </c>
      <c r="BB79" s="1532">
        <f ca="1">IF(method_reg="Метод сравнения аналогов",SUMIFS(INDEX('Калькуляция (МСА)'!$AE$25:$BC$109,,MATCH(BB$8,'Калькуляция (МСА)'!$AE$8:$BC$8,0)),'Калькуляция (МСА)'!$F$25:$F$109,$F79,'Калькуляция (МСА)'!$G$25:$G$109,$G79),SUMIFS(INDEX('Калькуляция (5.9)'!$AJ$25:$BC$194,,MATCH(BB$8,'Калькуляция (5.9)'!$AJ$8:$BC$8,0)),'Калькуляция (5.9)'!$F$25:$F$194,$F79,'Калькуляция (5.9)'!$G$25:$G$194,$G79))</f>
        <v>0</v>
      </c>
      <c r="BC79" s="1532">
        <f ca="1">IF(method_reg="Метод сравнения аналогов",SUMIFS(INDEX('Калькуляция (МСА)'!$AE$25:$BC$109,,MATCH(BC$8,'Калькуляция (МСА)'!$AE$8:$BC$8,0)),'Калькуляция (МСА)'!$F$25:$F$109,$F79,'Калькуляция (МСА)'!$G$25:$G$109,$G79),SUMIFS(INDEX('Калькуляция (5.9)'!$AJ$25:$BC$194,,MATCH(BC$8,'Калькуляция (5.9)'!$AJ$8:$BC$8,0)),'Калькуляция (5.9)'!$F$25:$F$194,$F79,'Калькуляция (5.9)'!$G$25:$G$194,$G79))</f>
        <v>0</v>
      </c>
      <c r="BD79" s="310">
        <f ca="1">IF(BB79=0,0,(BC79-BB79)/BB79*100)</f>
        <v>0</v>
      </c>
      <c r="BE79" s="1532">
        <f ca="1">IF(method_reg="Метод сравнения аналогов",SUMIFS(INDEX('Калькуляция (МСА)'!$AE$25:$BC$109,,MATCH(BE$8,'Калькуляция (МСА)'!$AE$8:$BC$8,0)),'Калькуляция (МСА)'!$F$25:$F$109,$F79,'Калькуляция (МСА)'!$G$25:$G$109,$G79),SUMIFS(INDEX('Калькуляция (5.9)'!$AJ$25:$BC$194,,MATCH(BE$8,'Калькуляция (5.9)'!$AJ$8:$BC$8,0)),'Калькуляция (5.9)'!$F$25:$F$194,$F79,'Калькуляция (5.9)'!$G$25:$G$194,$G79))</f>
        <v>0</v>
      </c>
      <c r="BF79" s="1532">
        <f ca="1">IF(method_reg="Метод сравнения аналогов",SUMIFS(INDEX('Калькуляция (МСА)'!$AE$25:$BC$109,,MATCH(BF$8,'Калькуляция (МСА)'!$AE$8:$BC$8,0)),'Калькуляция (МСА)'!$F$25:$F$109,$F79,'Калькуляция (МСА)'!$G$25:$G$109,$G79),SUMIFS(INDEX('Калькуляция (5.9)'!$AJ$25:$BC$194,,MATCH(BF$8,'Калькуляция (5.9)'!$AJ$8:$BC$8,0)),'Калькуляция (5.9)'!$F$25:$F$194,$F79,'Калькуляция (5.9)'!$G$25:$G$194,$G79))</f>
        <v>0</v>
      </c>
      <c r="BG79" s="310">
        <f ca="1">IF(BE79=0,0,(BF79-BE79)/BE79*100)</f>
        <v>0</v>
      </c>
      <c r="BH79" s="1532"/>
      <c r="BI79" s="1532"/>
      <c r="BJ79" s="310">
        <f>IF(BH79=0,0,(BI79-BH79)/BH79*100)</f>
        <v>0</v>
      </c>
      <c r="BK79" s="1532"/>
      <c r="BL79" s="1532"/>
      <c r="BM79" s="310">
        <f>IF(BK79=0,0,(BL79-BK79)/BK79*100)</f>
        <v>0</v>
      </c>
      <c r="BN79" s="1532"/>
      <c r="BO79" s="1532"/>
      <c r="BP79" s="310">
        <f>IF(BN79=0,0,(BO79-BN79)/BN79*100)</f>
        <v>0</v>
      </c>
      <c r="BQ79" s="1532"/>
      <c r="BR79" s="1532"/>
      <c r="BS79" s="310">
        <f>IF(BQ79=0,0,(BR79-BQ79)/BQ79*100)</f>
        <v>0</v>
      </c>
      <c r="BT79" s="1532"/>
      <c r="BU79" s="1532"/>
      <c r="BV79" s="310">
        <f>IF(BT79=0,0,(BU79-BT79)/BT79*100)</f>
        <v>0</v>
      </c>
      <c r="BW79" s="1532"/>
      <c r="BX79" s="1532"/>
      <c r="BY79" s="310">
        <f>IF(BW79=0,0,(BX79-BW79)/BW79*100)</f>
        <v>0</v>
      </c>
      <c r="BZ79" s="1532"/>
      <c r="CA79" s="1532"/>
      <c r="CB79" s="310">
        <f>IF(BZ79=0,0,(CA79-BZ79)/BZ79*100)</f>
        <v>0</v>
      </c>
      <c r="CC79" s="1532"/>
      <c r="CD79" s="1532"/>
      <c r="CE79" s="310">
        <f>IF(CC79=0,0,(CD79-CC79)/CC79*100)</f>
        <v>0</v>
      </c>
      <c r="CF79" s="1532"/>
      <c r="CG79" s="1532"/>
      <c r="CH79" s="310">
        <f>IF(CF79=0,0,(CG79-CF79)/CF79*100)</f>
        <v>0</v>
      </c>
      <c r="CI79" s="1532"/>
      <c r="CJ79" s="1532"/>
      <c r="CK79" s="310">
        <f>IF(CI79=0,0,(CJ79-CI79)/CI79*100)</f>
        <v>0</v>
      </c>
      <c r="CL79" s="1532"/>
      <c r="CM79" s="1532"/>
      <c r="CN79" s="310">
        <f>IF(CL79=0,0,(CM79-CL79)/CL79*100)</f>
        <v>0</v>
      </c>
      <c r="CO79" s="1532"/>
      <c r="CP79" s="1532"/>
      <c r="CQ79" s="310">
        <f>IF(CO79=0,0,(CP79-CO79)/CO79*100)</f>
        <v>0</v>
      </c>
      <c r="CR79" s="1532"/>
      <c r="CS79" s="1532"/>
      <c r="CT79" s="310">
        <f>IF(CR79=0,0,(CS79-CR79)/CR79*100)</f>
        <v>0</v>
      </c>
      <c r="CU79" s="1532"/>
      <c r="CV79" s="1532"/>
      <c r="CW79" s="310">
        <f>IF(CU79=0,0,(CV79-CU79)/CU79*100)</f>
        <v>0</v>
      </c>
      <c r="CX79" s="1532"/>
      <c r="CY79" s="1532"/>
      <c r="CZ79" s="310">
        <f>IF(CX79=0,0,(CY79-CX79)/CX79*100)</f>
        <v>0</v>
      </c>
      <c r="DA79" s="1532"/>
      <c r="DB79" s="1532"/>
      <c r="DC79" s="310">
        <f>IF(DA79=0,0,(DB79-DA79)/DA79*100)</f>
        <v>0</v>
      </c>
      <c r="DD79" s="1532"/>
      <c r="DE79" s="1532"/>
      <c r="DF79" s="310">
        <f>IF(DD79=0,0,(DE79-DD79)/DD79*100)</f>
        <v>0</v>
      </c>
      <c r="DG79" s="1532"/>
      <c r="DH79" s="1532"/>
      <c r="DI79" s="310">
        <f>IF(DG79=0,0,(DH79-DG79)/DG79*100)</f>
        <v>0</v>
      </c>
      <c r="DJ79" s="1532"/>
      <c r="DK79" s="1532"/>
      <c r="DL79" s="310">
        <f>IF(DJ79=0,0,(DK79-DJ79)/DJ79*100)</f>
        <v>0</v>
      </c>
      <c r="DM79" s="1532"/>
      <c r="DN79" s="1532"/>
      <c r="DO79" s="310">
        <f>IF(DM79=0,0,(DN79-DM79)/DM79*100)</f>
        <v>0</v>
      </c>
      <c r="DP79" s="1532"/>
      <c r="DQ79" s="1532"/>
      <c r="DR79" s="310">
        <f>IF(DP79=0,0,(DQ79-DP79)/DP79*100)</f>
        <v>0</v>
      </c>
      <c r="DS79" s="1532"/>
      <c r="DT79" s="1532"/>
      <c r="DU79" s="310">
        <f>IF(DS79=0,0,(DT79-DS79)/DS79*100)</f>
        <v>0</v>
      </c>
      <c r="DV79" s="1532"/>
      <c r="DW79" s="1532"/>
      <c r="DX79" s="310">
        <f>IF(DV79=0,0,(DW79-DV79)/DV79*100)</f>
        <v>0</v>
      </c>
      <c r="DY79" s="1532"/>
      <c r="DZ79" s="1532"/>
      <c r="EA79" s="310">
        <f>IF(DY79=0,0,(DZ79-DY79)/DY79*100)</f>
        <v>0</v>
      </c>
      <c r="EB79" s="1532"/>
      <c r="EC79" s="1532"/>
      <c r="ED79" s="310">
        <f>IF(EB79=0,0,(EC79-EB79)/EB79*100)</f>
        <v>0</v>
      </c>
      <c r="EE79" s="1532"/>
      <c r="EF79" s="1532"/>
      <c r="EG79" s="310">
        <f>IF(EE79=0,0,(EF79-EE79)/EE79*100)</f>
        <v>0</v>
      </c>
      <c r="EH79" s="1532"/>
      <c r="EI79" s="1532"/>
      <c r="EJ79" s="310">
        <f>IF(EH79=0,0,(EI79-EH79)/EH79*100)</f>
        <v>0</v>
      </c>
      <c r="EK79" s="1532"/>
      <c r="EL79" s="1532"/>
      <c r="EM79" s="310">
        <f>IF(EK79=0,0,(EL79-EK79)/EK79*100)</f>
        <v>0</v>
      </c>
      <c r="EN79" s="1532"/>
      <c r="EO79" s="1532"/>
      <c r="EP79" s="310">
        <f>IF(EN79=0,0,(EO79-EN79)/EN79*100)</f>
        <v>0</v>
      </c>
      <c r="EQ79" s="1532"/>
      <c r="ER79" s="1532"/>
      <c r="ES79" s="310">
        <f>IF(EQ79=0,0,(ER79-EQ79)/EQ79*100)</f>
        <v>0</v>
      </c>
      <c r="ET79" s="1532"/>
      <c r="EU79" s="1532"/>
      <c r="EV79" s="310">
        <f>IF(ET79=0,0,(EU79-ET79)/ET79*100)</f>
        <v>0</v>
      </c>
      <c r="EW79" s="1532"/>
      <c r="EX79" s="1532"/>
      <c r="EY79" s="310">
        <f>IF(EW79=0,0,(EX79-EW79)/EW79*100)</f>
        <v>0</v>
      </c>
      <c r="EZ79" s="1532"/>
      <c r="FA79" s="1532"/>
      <c r="FB79" s="310">
        <f>IF(EZ79=0,0,(FA79-EZ79)/EZ79*100)</f>
        <v>0</v>
      </c>
      <c r="FC79" s="1532"/>
      <c r="FD79" s="1532"/>
      <c r="FE79" s="310">
        <f>IF(FC79=0,0,(FD79-FC79)/FC79*100)</f>
        <v>0</v>
      </c>
      <c r="FF79" s="1532"/>
      <c r="FG79" s="1532"/>
      <c r="FH79" s="310">
        <f>IF(FF79=0,0,(FG79-FF79)/FF79*100)</f>
        <v>0</v>
      </c>
      <c r="FI79" s="1532"/>
      <c r="FJ79" s="1532"/>
      <c r="FK79" s="310">
        <f>IF(FI79=0,0,(FJ79-FI79)/FI79*100)</f>
        <v>0</v>
      </c>
      <c r="FL79" s="1532"/>
      <c r="FM79" s="1532"/>
      <c r="FN79" s="310">
        <f>IF(FL79=0,0,(FM79-FL79)/FL79*100)</f>
        <v>0</v>
      </c>
      <c r="FO79" s="1532"/>
      <c r="FP79" s="1532"/>
      <c r="FQ79" s="310">
        <f>IF(FO79=0,0,(FP79-FO79)/FO79*100)</f>
        <v>0</v>
      </c>
      <c r="FR79" s="1532"/>
      <c r="FS79" s="1532"/>
      <c r="FT79" s="310">
        <f>IF(FR79=0,0,(FS79-FR79)/FR79*100)</f>
        <v>0</v>
      </c>
      <c r="FU79" s="1532"/>
      <c r="FV79" s="1532"/>
      <c r="FW79" s="310">
        <f>IF(FU79=0,0,(FV79-FU79)/FU79*100)</f>
        <v>0</v>
      </c>
      <c r="FX79" s="307"/>
      <c r="FY79" s="307"/>
      <c r="FZ79" s="981" t="s">
        <v>2154</v>
      </c>
      <c r="GA79" s="981"/>
      <c r="GB79" s="981"/>
      <c r="GC79" s="981"/>
      <c r="GD79" s="981"/>
    </row>
    <row r="80" spans="1:186" s="1533" customFormat="1" ht="16.5" customHeight="1">
      <c r="A80" s="307"/>
      <c r="B80" s="813" t="b" cm="1">
        <f t="array" ref="B80">B79</f>
        <v>1</v>
      </c>
      <c r="C80" s="1118" t="s">
        <v>2146</v>
      </c>
      <c r="D80" s="1087" t="s">
        <v>2147</v>
      </c>
      <c r="E80" s="676">
        <v>17.100000000000001</v>
      </c>
      <c r="F80" s="779" t="str" cm="1">
        <f t="array" aca="1" ref="F80" ca="1">OFFSET(G80,-1,-1)</f>
        <v>1</v>
      </c>
      <c r="G80" s="620" t="s">
        <v>1794</v>
      </c>
      <c r="H80" s="163" t="s">
        <v>536</v>
      </c>
      <c r="I80" s="163" t="s">
        <v>2155</v>
      </c>
      <c r="J80" s="1108" t="s">
        <v>2149</v>
      </c>
      <c r="K80" s="1108" t="str" cm="1">
        <f t="array" aca="1" ref="K80" ca="1">OFFSET(J80,-1,1)</f>
        <v>ТЭ.42.26322895.0003</v>
      </c>
      <c r="L80" s="1108" t="s">
        <v>2150</v>
      </c>
      <c r="M80" s="1108" t="s">
        <v>1791</v>
      </c>
      <c r="N80" s="1108" t="s">
        <v>2151</v>
      </c>
      <c r="O80" s="1109" t="s">
        <v>2152</v>
      </c>
      <c r="P80" s="1108"/>
      <c r="Q80" s="1108"/>
      <c r="R80" s="307"/>
      <c r="S80" s="307"/>
      <c r="T80" s="687" t="b" cm="1">
        <f t="array" aca="1" ref="T80" ca="1">T79</f>
        <v>1</v>
      </c>
      <c r="U80" s="307"/>
      <c r="V80" s="307"/>
      <c r="W80" s="307"/>
      <c r="X80" s="1853"/>
      <c r="Y80" s="307"/>
      <c r="Z80" s="1853"/>
      <c r="AA80" s="307"/>
      <c r="AB80" s="1140" t="s">
        <v>2156</v>
      </c>
      <c r="AC80" s="308" t="s">
        <v>929</v>
      </c>
      <c r="AD80" s="1532">
        <f ca="1">IF(method_reg="Метод экономически обоснованных расходов",SUMIFS('Калькуляция (4.6)'!AJ$25:AJ$229,'Калькуляция (4.6)'!$F$25:$F$229,$F80,'Калькуляция (4.6)'!$G$25:$G$229,$G80),IF(method_reg="Метод сравнения аналогов",SUMIFS(INDEX('Калькуляция (МСА)'!$AE$25:$BC$109,,MATCH(AD$8,'Калькуляция (МСА)'!$AE$8:$BC$8,0)),'Калькуляция (МСА)'!$F$25:$F$109,$F80,'Калькуляция (МСА)'!$G$25:$G$109,$G80),SUMIFS(INDEX('Калькуляция (5.9)'!$AJ$25:$BC$194,,MATCH(AD$8,'Калькуляция (5.9)'!$AJ$8:$BC$8,0)),'Калькуляция (5.9)'!$F$25:$F$194,$F80,'Калькуляция (5.9)'!$G$25:$G$194,$G80)))</f>
        <v>0</v>
      </c>
      <c r="AE80" s="1532">
        <f ca="1">IF(method_reg="Метод экономически обоснованных расходов",SUMIFS('Калькуляция (4.6)'!AK$25:AK$229,'Калькуляция (4.6)'!$F$25:$F$229,$F80,'Калькуляция (4.6)'!$G$25:$G$229,$G80),IF(method_reg="Метод сравнения аналогов",SUMIFS(INDEX('Калькуляция (МСА)'!$AE$25:$BC$109,,MATCH(AE$8,'Калькуляция (МСА)'!$AE$8:$BC$8,0)),'Калькуляция (МСА)'!$F$25:$F$109,$F80,'Калькуляция (МСА)'!$G$25:$G$109,$G80),SUMIFS(INDEX('Калькуляция (5.9)'!$AJ$25:$BC$194,,MATCH(AE$8,'Калькуляция (5.9)'!$AJ$8:$BC$8,0)),'Калькуляция (5.9)'!$F$25:$F$194,$F80,'Калькуляция (5.9)'!$G$25:$G$194,$G80)))</f>
        <v>3946.95</v>
      </c>
      <c r="AF80" s="310">
        <f ca="1">IF(AD80=0,0,(AE80-AD80)/AD80*100)</f>
        <v>0</v>
      </c>
      <c r="AG80" s="309">
        <f ca="1">IF(method_reg="Метод сравнения аналогов",SUMIFS(INDEX('Калькуляция (МСА)'!$AE$25:$BC$109,,MATCH(AG$8,'Калькуляция (МСА)'!$AE$8:$BC$8,0)),'Калькуляция (МСА)'!$F$25:$F$109,$F80,'Калькуляция (МСА)'!$G$25:$G$109,$G80),SUMIFS(INDEX('Калькуляция (5.9)'!$AJ$25:$BC$194,,MATCH(AG$8,'Калькуляция (5.9)'!$AJ$8:$BC$8,0)),'Калькуляция (5.9)'!$F$25:$F$194,$F80,'Калькуляция (5.9)'!$G$25:$G$194,$G80))</f>
        <v>0</v>
      </c>
      <c r="AH80" s="309">
        <f ca="1">IF(method_reg="Метод сравнения аналогов",SUMIFS(INDEX('Калькуляция (МСА)'!$AE$25:$BC$109,,MATCH(AH$8,'Калькуляция (МСА)'!$AE$8:$BC$8,0)),'Калькуляция (МСА)'!$F$25:$F$109,$F80,'Калькуляция (МСА)'!$G$25:$G$109,$G80),SUMIFS(INDEX('Калькуляция (5.9)'!$AJ$25:$BC$194,,MATCH(AH$8,'Калькуляция (5.9)'!$AJ$8:$BC$8,0)),'Калькуляция (5.9)'!$F$25:$F$194,$F80,'Калькуляция (5.9)'!$G$25:$G$194,$G80))</f>
        <v>0</v>
      </c>
      <c r="AI80" s="310">
        <f ca="1">IF(AG80=0,0,(AH80-AG80)/AG80*100)</f>
        <v>0</v>
      </c>
      <c r="AJ80" s="309">
        <f ca="1">IF(method_reg="Метод сравнения аналогов",SUMIFS(INDEX('Калькуляция (МСА)'!$AE$25:$BC$109,,MATCH(AJ$8,'Калькуляция (МСА)'!$AE$8:$BC$8,0)),'Калькуляция (МСА)'!$F$25:$F$109,$F80,'Калькуляция (МСА)'!$G$25:$G$109,$G80),SUMIFS(INDEX('Калькуляция (5.9)'!$AJ$25:$BC$194,,MATCH(AJ$8,'Калькуляция (5.9)'!$AJ$8:$BC$8,0)),'Калькуляция (5.9)'!$F$25:$F$194,$F80,'Калькуляция (5.9)'!$G$25:$G$194,$G80))</f>
        <v>0</v>
      </c>
      <c r="AK80" s="309">
        <f ca="1">IF(method_reg="Метод сравнения аналогов",SUMIFS(INDEX('Калькуляция (МСА)'!$AE$25:$BC$109,,MATCH(AK$8,'Калькуляция (МСА)'!$AE$8:$BC$8,0)),'Калькуляция (МСА)'!$F$25:$F$109,$F80,'Калькуляция (МСА)'!$G$25:$G$109,$G80),SUMIFS(INDEX('Калькуляция (5.9)'!$AJ$25:$BC$194,,MATCH(AK$8,'Калькуляция (5.9)'!$AJ$8:$BC$8,0)),'Калькуляция (5.9)'!$F$25:$F$194,$F80,'Калькуляция (5.9)'!$G$25:$G$194,$G80))</f>
        <v>0</v>
      </c>
      <c r="AL80" s="310">
        <f ca="1">IF(AJ80=0,0,(AK80-AJ80)/AJ80*100)</f>
        <v>0</v>
      </c>
      <c r="AM80" s="309">
        <f ca="1">IF(method_reg="Метод сравнения аналогов",SUMIFS(INDEX('Калькуляция (МСА)'!$AE$25:$BC$109,,MATCH(AM$8,'Калькуляция (МСА)'!$AE$8:$BC$8,0)),'Калькуляция (МСА)'!$F$25:$F$109,$F80,'Калькуляция (МСА)'!$G$25:$G$109,$G80),SUMIFS(INDEX('Калькуляция (5.9)'!$AJ$25:$BC$194,,MATCH(AM$8,'Калькуляция (5.9)'!$AJ$8:$BC$8,0)),'Калькуляция (5.9)'!$F$25:$F$194,$F80,'Калькуляция (5.9)'!$G$25:$G$194,$G80))</f>
        <v>0</v>
      </c>
      <c r="AN80" s="309">
        <f ca="1">IF(method_reg="Метод сравнения аналогов",SUMIFS(INDEX('Калькуляция (МСА)'!$AE$25:$BC$109,,MATCH(AN$8,'Калькуляция (МСА)'!$AE$8:$BC$8,0)),'Калькуляция (МСА)'!$F$25:$F$109,$F80,'Калькуляция (МСА)'!$G$25:$G$109,$G80),SUMIFS(INDEX('Калькуляция (5.9)'!$AJ$25:$BC$194,,MATCH(AN$8,'Калькуляция (5.9)'!$AJ$8:$BC$8,0)),'Калькуляция (5.9)'!$F$25:$F$194,$F80,'Калькуляция (5.9)'!$G$25:$G$194,$G80))</f>
        <v>0</v>
      </c>
      <c r="AO80" s="310">
        <f ca="1">IF(AM80=0,0,(AN80-AM80)/AM80*100)</f>
        <v>0</v>
      </c>
      <c r="AP80" s="309">
        <f ca="1">IF(method_reg="Метод сравнения аналогов",SUMIFS(INDEX('Калькуляция (МСА)'!$AE$25:$BC$109,,MATCH(AP$8,'Калькуляция (МСА)'!$AE$8:$BC$8,0)),'Калькуляция (МСА)'!$F$25:$F$109,$F80,'Калькуляция (МСА)'!$G$25:$G$109,$G80),SUMIFS(INDEX('Калькуляция (5.9)'!$AJ$25:$BC$194,,MATCH(AP$8,'Калькуляция (5.9)'!$AJ$8:$BC$8,0)),'Калькуляция (5.9)'!$F$25:$F$194,$F80,'Калькуляция (5.9)'!$G$25:$G$194,$G80))</f>
        <v>0</v>
      </c>
      <c r="AQ80" s="309">
        <f ca="1">IF(method_reg="Метод сравнения аналогов",SUMIFS(INDEX('Калькуляция (МСА)'!$AE$25:$BC$109,,MATCH(AQ$8,'Калькуляция (МСА)'!$AE$8:$BC$8,0)),'Калькуляция (МСА)'!$F$25:$F$109,$F80,'Калькуляция (МСА)'!$G$25:$G$109,$G80),SUMIFS(INDEX('Калькуляция (5.9)'!$AJ$25:$BC$194,,MATCH(AQ$8,'Калькуляция (5.9)'!$AJ$8:$BC$8,0)),'Калькуляция (5.9)'!$F$25:$F$194,$F80,'Калькуляция (5.9)'!$G$25:$G$194,$G80))</f>
        <v>0</v>
      </c>
      <c r="AR80" s="310">
        <f ca="1">IF(AP80=0,0,(AQ80-AP80)/AP80*100)</f>
        <v>0</v>
      </c>
      <c r="AS80" s="1532">
        <f ca="1">IF(method_reg="Метод сравнения аналогов",SUMIFS(INDEX('Калькуляция (МСА)'!$AE$25:$BC$109,,MATCH(AS$8,'Калькуляция (МСА)'!$AE$8:$BC$8,0)),'Калькуляция (МСА)'!$F$25:$F$109,$F80,'Калькуляция (МСА)'!$G$25:$G$109,$G80),SUMIFS(INDEX('Калькуляция (5.9)'!$AJ$25:$BC$194,,MATCH(AS$8,'Калькуляция (5.9)'!$AJ$8:$BC$8,0)),'Калькуляция (5.9)'!$F$25:$F$194,$F80,'Калькуляция (5.9)'!$G$25:$G$194,$G80))</f>
        <v>0</v>
      </c>
      <c r="AT80" s="1532">
        <f ca="1">IF(method_reg="Метод сравнения аналогов",SUMIFS(INDEX('Калькуляция (МСА)'!$AE$25:$BC$109,,MATCH(AT$8,'Калькуляция (МСА)'!$AE$8:$BC$8,0)),'Калькуляция (МСА)'!$F$25:$F$109,$F80,'Калькуляция (МСА)'!$G$25:$G$109,$G80),SUMIFS(INDEX('Калькуляция (5.9)'!$AJ$25:$BC$194,,MATCH(AT$8,'Калькуляция (5.9)'!$AJ$8:$BC$8,0)),'Калькуляция (5.9)'!$F$25:$F$194,$F80,'Калькуляция (5.9)'!$G$25:$G$194,$G80))</f>
        <v>0</v>
      </c>
      <c r="AU80" s="310">
        <f ca="1">IF(AS80=0,0,(AT80-AS80)/AS80*100)</f>
        <v>0</v>
      </c>
      <c r="AV80" s="1532">
        <f ca="1">IF(method_reg="Метод сравнения аналогов",SUMIFS(INDEX('Калькуляция (МСА)'!$AE$25:$BC$109,,MATCH(AV$8,'Калькуляция (МСА)'!$AE$8:$BC$8,0)),'Калькуляция (МСА)'!$F$25:$F$109,$F80,'Калькуляция (МСА)'!$G$25:$G$109,$G80),SUMIFS(INDEX('Калькуляция (5.9)'!$AJ$25:$BC$194,,MATCH(AV$8,'Калькуляция (5.9)'!$AJ$8:$BC$8,0)),'Калькуляция (5.9)'!$F$25:$F$194,$F80,'Калькуляция (5.9)'!$G$25:$G$194,$G80))</f>
        <v>0</v>
      </c>
      <c r="AW80" s="1532">
        <f ca="1">IF(method_reg="Метод сравнения аналогов",SUMIFS(INDEX('Калькуляция (МСА)'!$AE$25:$BC$109,,MATCH(AW$8,'Калькуляция (МСА)'!$AE$8:$BC$8,0)),'Калькуляция (МСА)'!$F$25:$F$109,$F80,'Калькуляция (МСА)'!$G$25:$G$109,$G80),SUMIFS(INDEX('Калькуляция (5.9)'!$AJ$25:$BC$194,,MATCH(AW$8,'Калькуляция (5.9)'!$AJ$8:$BC$8,0)),'Калькуляция (5.9)'!$F$25:$F$194,$F80,'Калькуляция (5.9)'!$G$25:$G$194,$G80))</f>
        <v>0</v>
      </c>
      <c r="AX80" s="310">
        <f ca="1">IF(AV80=0,0,(AW80-AV80)/AV80*100)</f>
        <v>0</v>
      </c>
      <c r="AY80" s="1532">
        <f ca="1">IF(method_reg="Метод сравнения аналогов",SUMIFS(INDEX('Калькуляция (МСА)'!$AE$25:$BC$109,,MATCH(AY$8,'Калькуляция (МСА)'!$AE$8:$BC$8,0)),'Калькуляция (МСА)'!$F$25:$F$109,$F80,'Калькуляция (МСА)'!$G$25:$G$109,$G80),SUMIFS(INDEX('Калькуляция (5.9)'!$AJ$25:$BC$194,,MATCH(AY$8,'Калькуляция (5.9)'!$AJ$8:$BC$8,0)),'Калькуляция (5.9)'!$F$25:$F$194,$F80,'Калькуляция (5.9)'!$G$25:$G$194,$G80))</f>
        <v>0</v>
      </c>
      <c r="AZ80" s="1532">
        <f ca="1">IF(method_reg="Метод сравнения аналогов",SUMIFS(INDEX('Калькуляция (МСА)'!$AE$25:$BC$109,,MATCH(AZ$8,'Калькуляция (МСА)'!$AE$8:$BC$8,0)),'Калькуляция (МСА)'!$F$25:$F$109,$F80,'Калькуляция (МСА)'!$G$25:$G$109,$G80),SUMIFS(INDEX('Калькуляция (5.9)'!$AJ$25:$BC$194,,MATCH(AZ$8,'Калькуляция (5.9)'!$AJ$8:$BC$8,0)),'Калькуляция (5.9)'!$F$25:$F$194,$F80,'Калькуляция (5.9)'!$G$25:$G$194,$G80))</f>
        <v>0</v>
      </c>
      <c r="BA80" s="310">
        <f ca="1">IF(AY80=0,0,(AZ80-AY80)/AY80*100)</f>
        <v>0</v>
      </c>
      <c r="BB80" s="1532">
        <f ca="1">IF(method_reg="Метод сравнения аналогов",SUMIFS(INDEX('Калькуляция (МСА)'!$AE$25:$BC$109,,MATCH(BB$8,'Калькуляция (МСА)'!$AE$8:$BC$8,0)),'Калькуляция (МСА)'!$F$25:$F$109,$F80,'Калькуляция (МСА)'!$G$25:$G$109,$G80),SUMIFS(INDEX('Калькуляция (5.9)'!$AJ$25:$BC$194,,MATCH(BB$8,'Калькуляция (5.9)'!$AJ$8:$BC$8,0)),'Калькуляция (5.9)'!$F$25:$F$194,$F80,'Калькуляция (5.9)'!$G$25:$G$194,$G80))</f>
        <v>0</v>
      </c>
      <c r="BC80" s="1532">
        <f ca="1">IF(method_reg="Метод сравнения аналогов",SUMIFS(INDEX('Калькуляция (МСА)'!$AE$25:$BC$109,,MATCH(BC$8,'Калькуляция (МСА)'!$AE$8:$BC$8,0)),'Калькуляция (МСА)'!$F$25:$F$109,$F80,'Калькуляция (МСА)'!$G$25:$G$109,$G80),SUMIFS(INDEX('Калькуляция (5.9)'!$AJ$25:$BC$194,,MATCH(BC$8,'Калькуляция (5.9)'!$AJ$8:$BC$8,0)),'Калькуляция (5.9)'!$F$25:$F$194,$F80,'Калькуляция (5.9)'!$G$25:$G$194,$G80))</f>
        <v>0</v>
      </c>
      <c r="BD80" s="310">
        <f ca="1">IF(BB80=0,0,(BC80-BB80)/BB80*100)</f>
        <v>0</v>
      </c>
      <c r="BE80" s="1532">
        <f ca="1">IF(method_reg="Метод сравнения аналогов",SUMIFS(INDEX('Калькуляция (МСА)'!$AE$25:$BC$109,,MATCH(BE$8,'Калькуляция (МСА)'!$AE$8:$BC$8,0)),'Калькуляция (МСА)'!$F$25:$F$109,$F80,'Калькуляция (МСА)'!$G$25:$G$109,$G80),SUMIFS(INDEX('Калькуляция (5.9)'!$AJ$25:$BC$194,,MATCH(BE$8,'Калькуляция (5.9)'!$AJ$8:$BC$8,0)),'Калькуляция (5.9)'!$F$25:$F$194,$F80,'Калькуляция (5.9)'!$G$25:$G$194,$G80))</f>
        <v>0</v>
      </c>
      <c r="BF80" s="1532">
        <f ca="1">IF(method_reg="Метод сравнения аналогов",SUMIFS(INDEX('Калькуляция (МСА)'!$AE$25:$BC$109,,MATCH(BF$8,'Калькуляция (МСА)'!$AE$8:$BC$8,0)),'Калькуляция (МСА)'!$F$25:$F$109,$F80,'Калькуляция (МСА)'!$G$25:$G$109,$G80),SUMIFS(INDEX('Калькуляция (5.9)'!$AJ$25:$BC$194,,MATCH(BF$8,'Калькуляция (5.9)'!$AJ$8:$BC$8,0)),'Калькуляция (5.9)'!$F$25:$F$194,$F80,'Калькуляция (5.9)'!$G$25:$G$194,$G80))</f>
        <v>0</v>
      </c>
      <c r="BG80" s="310">
        <f ca="1">IF(BE80=0,0,(BF80-BE80)/BE80*100)</f>
        <v>0</v>
      </c>
      <c r="BH80" s="1532"/>
      <c r="BI80" s="1532"/>
      <c r="BJ80" s="310">
        <f>IF(BH80=0,0,(BI80-BH80)/BH80*100)</f>
        <v>0</v>
      </c>
      <c r="BK80" s="1532"/>
      <c r="BL80" s="1532"/>
      <c r="BM80" s="310">
        <f>IF(BK80=0,0,(BL80-BK80)/BK80*100)</f>
        <v>0</v>
      </c>
      <c r="BN80" s="1532"/>
      <c r="BO80" s="1532"/>
      <c r="BP80" s="310">
        <f>IF(BN80=0,0,(BO80-BN80)/BN80*100)</f>
        <v>0</v>
      </c>
      <c r="BQ80" s="1532"/>
      <c r="BR80" s="1532"/>
      <c r="BS80" s="310">
        <f>IF(BQ80=0,0,(BR80-BQ80)/BQ80*100)</f>
        <v>0</v>
      </c>
      <c r="BT80" s="1532"/>
      <c r="BU80" s="1532"/>
      <c r="BV80" s="310">
        <f>IF(BT80=0,0,(BU80-BT80)/BT80*100)</f>
        <v>0</v>
      </c>
      <c r="BW80" s="1532"/>
      <c r="BX80" s="1532"/>
      <c r="BY80" s="310">
        <f>IF(BW80=0,0,(BX80-BW80)/BW80*100)</f>
        <v>0</v>
      </c>
      <c r="BZ80" s="1532"/>
      <c r="CA80" s="1532"/>
      <c r="CB80" s="310">
        <f>IF(BZ80=0,0,(CA80-BZ80)/BZ80*100)</f>
        <v>0</v>
      </c>
      <c r="CC80" s="1532"/>
      <c r="CD80" s="1532"/>
      <c r="CE80" s="310">
        <f>IF(CC80=0,0,(CD80-CC80)/CC80*100)</f>
        <v>0</v>
      </c>
      <c r="CF80" s="1532"/>
      <c r="CG80" s="1532"/>
      <c r="CH80" s="310">
        <f>IF(CF80=0,0,(CG80-CF80)/CF80*100)</f>
        <v>0</v>
      </c>
      <c r="CI80" s="1532"/>
      <c r="CJ80" s="1532"/>
      <c r="CK80" s="310">
        <f>IF(CI80=0,0,(CJ80-CI80)/CI80*100)</f>
        <v>0</v>
      </c>
      <c r="CL80" s="1532"/>
      <c r="CM80" s="1532"/>
      <c r="CN80" s="310">
        <f>IF(CL80=0,0,(CM80-CL80)/CL80*100)</f>
        <v>0</v>
      </c>
      <c r="CO80" s="1532"/>
      <c r="CP80" s="1532"/>
      <c r="CQ80" s="310">
        <f>IF(CO80=0,0,(CP80-CO80)/CO80*100)</f>
        <v>0</v>
      </c>
      <c r="CR80" s="1532"/>
      <c r="CS80" s="1532"/>
      <c r="CT80" s="310">
        <f>IF(CR80=0,0,(CS80-CR80)/CR80*100)</f>
        <v>0</v>
      </c>
      <c r="CU80" s="1532"/>
      <c r="CV80" s="1532"/>
      <c r="CW80" s="310">
        <f>IF(CU80=0,0,(CV80-CU80)/CU80*100)</f>
        <v>0</v>
      </c>
      <c r="CX80" s="1532"/>
      <c r="CY80" s="1532"/>
      <c r="CZ80" s="310">
        <f>IF(CX80=0,0,(CY80-CX80)/CX80*100)</f>
        <v>0</v>
      </c>
      <c r="DA80" s="1532"/>
      <c r="DB80" s="1532"/>
      <c r="DC80" s="310">
        <f>IF(DA80=0,0,(DB80-DA80)/DA80*100)</f>
        <v>0</v>
      </c>
      <c r="DD80" s="1532"/>
      <c r="DE80" s="1532"/>
      <c r="DF80" s="310">
        <f>IF(DD80=0,0,(DE80-DD80)/DD80*100)</f>
        <v>0</v>
      </c>
      <c r="DG80" s="1532"/>
      <c r="DH80" s="1532"/>
      <c r="DI80" s="310">
        <f>IF(DG80=0,0,(DH80-DG80)/DG80*100)</f>
        <v>0</v>
      </c>
      <c r="DJ80" s="1532"/>
      <c r="DK80" s="1532"/>
      <c r="DL80" s="310">
        <f>IF(DJ80=0,0,(DK80-DJ80)/DJ80*100)</f>
        <v>0</v>
      </c>
      <c r="DM80" s="1532"/>
      <c r="DN80" s="1532"/>
      <c r="DO80" s="310">
        <f>IF(DM80=0,0,(DN80-DM80)/DM80*100)</f>
        <v>0</v>
      </c>
      <c r="DP80" s="1532"/>
      <c r="DQ80" s="1532"/>
      <c r="DR80" s="310">
        <f>IF(DP80=0,0,(DQ80-DP80)/DP80*100)</f>
        <v>0</v>
      </c>
      <c r="DS80" s="1532"/>
      <c r="DT80" s="1532"/>
      <c r="DU80" s="310">
        <f>IF(DS80=0,0,(DT80-DS80)/DS80*100)</f>
        <v>0</v>
      </c>
      <c r="DV80" s="1532"/>
      <c r="DW80" s="1532"/>
      <c r="DX80" s="310">
        <f>IF(DV80=0,0,(DW80-DV80)/DV80*100)</f>
        <v>0</v>
      </c>
      <c r="DY80" s="1532"/>
      <c r="DZ80" s="1532"/>
      <c r="EA80" s="310">
        <f>IF(DY80=0,0,(DZ80-DY80)/DY80*100)</f>
        <v>0</v>
      </c>
      <c r="EB80" s="1532"/>
      <c r="EC80" s="1532"/>
      <c r="ED80" s="310">
        <f>IF(EB80=0,0,(EC80-EB80)/EB80*100)</f>
        <v>0</v>
      </c>
      <c r="EE80" s="1532"/>
      <c r="EF80" s="1532"/>
      <c r="EG80" s="310">
        <f>IF(EE80=0,0,(EF80-EE80)/EE80*100)</f>
        <v>0</v>
      </c>
      <c r="EH80" s="1532"/>
      <c r="EI80" s="1532"/>
      <c r="EJ80" s="310">
        <f>IF(EH80=0,0,(EI80-EH80)/EH80*100)</f>
        <v>0</v>
      </c>
      <c r="EK80" s="1532"/>
      <c r="EL80" s="1532"/>
      <c r="EM80" s="310">
        <f>IF(EK80=0,0,(EL80-EK80)/EK80*100)</f>
        <v>0</v>
      </c>
      <c r="EN80" s="1532"/>
      <c r="EO80" s="1532"/>
      <c r="EP80" s="310">
        <f>IF(EN80=0,0,(EO80-EN80)/EN80*100)</f>
        <v>0</v>
      </c>
      <c r="EQ80" s="1532"/>
      <c r="ER80" s="1532"/>
      <c r="ES80" s="310">
        <f>IF(EQ80=0,0,(ER80-EQ80)/EQ80*100)</f>
        <v>0</v>
      </c>
      <c r="ET80" s="1532"/>
      <c r="EU80" s="1532"/>
      <c r="EV80" s="310">
        <f>IF(ET80=0,0,(EU80-ET80)/ET80*100)</f>
        <v>0</v>
      </c>
      <c r="EW80" s="1532"/>
      <c r="EX80" s="1532"/>
      <c r="EY80" s="310">
        <f>IF(EW80=0,0,(EX80-EW80)/EW80*100)</f>
        <v>0</v>
      </c>
      <c r="EZ80" s="1532"/>
      <c r="FA80" s="1532"/>
      <c r="FB80" s="310">
        <f>IF(EZ80=0,0,(FA80-EZ80)/EZ80*100)</f>
        <v>0</v>
      </c>
      <c r="FC80" s="1532"/>
      <c r="FD80" s="1532"/>
      <c r="FE80" s="310">
        <f>IF(FC80=0,0,(FD80-FC80)/FC80*100)</f>
        <v>0</v>
      </c>
      <c r="FF80" s="1532"/>
      <c r="FG80" s="1532"/>
      <c r="FH80" s="310">
        <f>IF(FF80=0,0,(FG80-FF80)/FF80*100)</f>
        <v>0</v>
      </c>
      <c r="FI80" s="1532"/>
      <c r="FJ80" s="1532"/>
      <c r="FK80" s="310">
        <f>IF(FI80=0,0,(FJ80-FI80)/FI80*100)</f>
        <v>0</v>
      </c>
      <c r="FL80" s="1532"/>
      <c r="FM80" s="1532"/>
      <c r="FN80" s="310">
        <f>IF(FL80=0,0,(FM80-FL80)/FL80*100)</f>
        <v>0</v>
      </c>
      <c r="FO80" s="1532"/>
      <c r="FP80" s="1532"/>
      <c r="FQ80" s="310">
        <f>IF(FO80=0,0,(FP80-FO80)/FO80*100)</f>
        <v>0</v>
      </c>
      <c r="FR80" s="1532"/>
      <c r="FS80" s="1532"/>
      <c r="FT80" s="310">
        <f>IF(FR80=0,0,(FS80-FR80)/FR80*100)</f>
        <v>0</v>
      </c>
      <c r="FU80" s="1532"/>
      <c r="FV80" s="1532"/>
      <c r="FW80" s="310">
        <f>IF(FU80=0,0,(FV80-FU80)/FU80*100)</f>
        <v>0</v>
      </c>
      <c r="FX80" s="307"/>
      <c r="FY80" s="307"/>
      <c r="FZ80" s="981" t="s">
        <v>2157</v>
      </c>
      <c r="GA80" s="981"/>
      <c r="GB80" s="981"/>
      <c r="GC80" s="981"/>
      <c r="GD80" s="981"/>
    </row>
    <row r="81" spans="1:186" s="1229" customFormat="1" ht="16.5" customHeight="1">
      <c r="A81" s="1153"/>
      <c r="B81" s="813" t="b" cm="1">
        <f t="array" ref="B81">B80</f>
        <v>1</v>
      </c>
      <c r="C81" s="1118" t="s">
        <v>1797</v>
      </c>
      <c r="D81" s="1087" t="s">
        <v>1798</v>
      </c>
      <c r="E81" s="676">
        <v>17.100000000000001</v>
      </c>
      <c r="F81" s="779" t="str" cm="1">
        <f t="array" aca="1" ref="F81" ca="1">OFFSET(G81,-1,-1)</f>
        <v>1</v>
      </c>
      <c r="G81" s="425"/>
      <c r="H81" s="163" t="s">
        <v>539</v>
      </c>
      <c r="I81" s="163" t="s">
        <v>2158</v>
      </c>
      <c r="J81" s="1108" t="s">
        <v>2149</v>
      </c>
      <c r="K81" s="1108" t="str" cm="1">
        <f t="array" aca="1" ref="K81" ca="1">OFFSET(J81,-1,1)</f>
        <v>ТЭ.42.26322895.0003</v>
      </c>
      <c r="L81" s="1108" t="s">
        <v>2159</v>
      </c>
      <c r="M81" s="1108"/>
      <c r="N81" s="1108" t="s">
        <v>2151</v>
      </c>
      <c r="O81" s="1109" t="s">
        <v>2152</v>
      </c>
      <c r="P81" s="1108"/>
      <c r="Q81" s="1108"/>
      <c r="R81" s="784"/>
      <c r="S81" s="425"/>
      <c r="T81" s="687" t="b" cm="1">
        <f t="array" aca="1" ref="T81" ca="1">T80</f>
        <v>1</v>
      </c>
      <c r="U81" s="1153"/>
      <c r="V81" s="1153"/>
      <c r="W81" s="1153"/>
      <c r="X81" s="1726"/>
      <c r="Y81" s="1153"/>
      <c r="Z81" s="1726"/>
      <c r="AA81" s="425"/>
      <c r="AB81" s="887" t="s">
        <v>2160</v>
      </c>
      <c r="AC81" s="123" t="s">
        <v>533</v>
      </c>
      <c r="AD81" s="876">
        <f ca="1">IF(AD79=0,0,AD80/AD79)</f>
        <v>0</v>
      </c>
      <c r="AE81" s="876">
        <f ca="1">IF(AE79=0,0,AE80/AE79)</f>
        <v>1.1200007945381178</v>
      </c>
      <c r="AF81" s="893"/>
      <c r="AG81" s="876">
        <f ca="1">IF(AG79=0,0,AG80/AG79)</f>
        <v>0</v>
      </c>
      <c r="AH81" s="876">
        <f ca="1">IF(AH79=0,0,AH80/AH79)</f>
        <v>0</v>
      </c>
      <c r="AI81" s="893"/>
      <c r="AJ81" s="876">
        <f ca="1">IF(AJ79=0,0,AJ80/AJ79)</f>
        <v>0</v>
      </c>
      <c r="AK81" s="876">
        <f ca="1">IF(AK79=0,0,AK80/AK79)</f>
        <v>0</v>
      </c>
      <c r="AL81" s="893"/>
      <c r="AM81" s="876">
        <f ca="1">IF(AM79=0,0,AM80/AM79)</f>
        <v>0</v>
      </c>
      <c r="AN81" s="876">
        <f ca="1">IF(AN79=0,0,AN80/AN79)</f>
        <v>0</v>
      </c>
      <c r="AO81" s="893"/>
      <c r="AP81" s="876">
        <f ca="1">IF(AP79=0,0,AP80/AP79)</f>
        <v>0</v>
      </c>
      <c r="AQ81" s="876">
        <f ca="1">IF(AQ79=0,0,AQ80/AQ79)</f>
        <v>0</v>
      </c>
      <c r="AR81" s="893"/>
      <c r="AS81" s="876">
        <f ca="1">IF(AS79=0,0,AS80/AS79)</f>
        <v>0</v>
      </c>
      <c r="AT81" s="876">
        <f ca="1">IF(AT79=0,0,AT80/AT79)</f>
        <v>0</v>
      </c>
      <c r="AU81" s="893"/>
      <c r="AV81" s="876">
        <f ca="1">IF(AV79=0,0,AV80/AV79)</f>
        <v>0</v>
      </c>
      <c r="AW81" s="876">
        <f ca="1">IF(AW79=0,0,AW80/AW79)</f>
        <v>0</v>
      </c>
      <c r="AX81" s="893"/>
      <c r="AY81" s="876">
        <f ca="1">IF(AY79=0,0,AY80/AY79)</f>
        <v>0</v>
      </c>
      <c r="AZ81" s="876">
        <f ca="1">IF(AZ79=0,0,AZ80/AZ79)</f>
        <v>0</v>
      </c>
      <c r="BA81" s="893"/>
      <c r="BB81" s="876">
        <f ca="1">IF(BB79=0,0,BB80/BB79)</f>
        <v>0</v>
      </c>
      <c r="BC81" s="876">
        <f ca="1">IF(BC79=0,0,BC80/BC79)</f>
        <v>0</v>
      </c>
      <c r="BD81" s="893"/>
      <c r="BE81" s="876">
        <f ca="1">IF(BE79=0,0,BE80/BE79)</f>
        <v>0</v>
      </c>
      <c r="BF81" s="876">
        <f ca="1">IF(BF79=0,0,BF80/BF79)</f>
        <v>0</v>
      </c>
      <c r="BG81" s="893"/>
      <c r="BH81" s="876">
        <f>IF(BH79=0,0,BH80/BH79)</f>
        <v>0</v>
      </c>
      <c r="BI81" s="876">
        <f>IF(BI79=0,0,BI80/BI79)</f>
        <v>0</v>
      </c>
      <c r="BJ81" s="312"/>
      <c r="BK81" s="876">
        <f>IF(BK79=0,0,BK80/BK79)</f>
        <v>0</v>
      </c>
      <c r="BL81" s="876">
        <f>IF(BL79=0,0,BL80/BL79)</f>
        <v>0</v>
      </c>
      <c r="BM81" s="312"/>
      <c r="BN81" s="876">
        <f>IF(BN79=0,0,BN80/BN79)</f>
        <v>0</v>
      </c>
      <c r="BO81" s="876">
        <f>IF(BO79=0,0,BO80/BO79)</f>
        <v>0</v>
      </c>
      <c r="BP81" s="312"/>
      <c r="BQ81" s="876">
        <f>IF(BQ79=0,0,BQ80/BQ79)</f>
        <v>0</v>
      </c>
      <c r="BR81" s="876">
        <f>IF(BR79=0,0,BR80/BR79)</f>
        <v>0</v>
      </c>
      <c r="BS81" s="312"/>
      <c r="BT81" s="876">
        <f>IF(BT79=0,0,BT80/BT79)</f>
        <v>0</v>
      </c>
      <c r="BU81" s="876">
        <f>IF(BU79=0,0,BU80/BU79)</f>
        <v>0</v>
      </c>
      <c r="BV81" s="312"/>
      <c r="BW81" s="876">
        <f>IF(BW79=0,0,BW80/BW79)</f>
        <v>0</v>
      </c>
      <c r="BX81" s="876">
        <f>IF(BX79=0,0,BX80/BX79)</f>
        <v>0</v>
      </c>
      <c r="BY81" s="312"/>
      <c r="BZ81" s="876">
        <f>IF(BZ79=0,0,BZ80/BZ79)</f>
        <v>0</v>
      </c>
      <c r="CA81" s="876">
        <f>IF(CA79=0,0,CA80/CA79)</f>
        <v>0</v>
      </c>
      <c r="CB81" s="312"/>
      <c r="CC81" s="876">
        <f>IF(CC79=0,0,CC80/CC79)</f>
        <v>0</v>
      </c>
      <c r="CD81" s="876">
        <f>IF(CD79=0,0,CD80/CD79)</f>
        <v>0</v>
      </c>
      <c r="CE81" s="312"/>
      <c r="CF81" s="876">
        <f>IF(CF79=0,0,CF80/CF79)</f>
        <v>0</v>
      </c>
      <c r="CG81" s="876">
        <f>IF(CG79=0,0,CG80/CG79)</f>
        <v>0</v>
      </c>
      <c r="CH81" s="312"/>
      <c r="CI81" s="876">
        <f>IF(CI79=0,0,CI80/CI79)</f>
        <v>0</v>
      </c>
      <c r="CJ81" s="876">
        <f>IF(CJ79=0,0,CJ80/CJ79)</f>
        <v>0</v>
      </c>
      <c r="CK81" s="312"/>
      <c r="CL81" s="876">
        <f>IF(CL79=0,0,CL80/CL79)</f>
        <v>0</v>
      </c>
      <c r="CM81" s="876">
        <f>IF(CM79=0,0,CM80/CM79)</f>
        <v>0</v>
      </c>
      <c r="CN81" s="312"/>
      <c r="CO81" s="876">
        <f>IF(CO79=0,0,CO80/CO79)</f>
        <v>0</v>
      </c>
      <c r="CP81" s="876">
        <f>IF(CP79=0,0,CP80/CP79)</f>
        <v>0</v>
      </c>
      <c r="CQ81" s="312"/>
      <c r="CR81" s="876">
        <f>IF(CR79=0,0,CR80/CR79)</f>
        <v>0</v>
      </c>
      <c r="CS81" s="876">
        <f>IF(CS79=0,0,CS80/CS79)</f>
        <v>0</v>
      </c>
      <c r="CT81" s="312"/>
      <c r="CU81" s="876">
        <f>IF(CU79=0,0,CU80/CU79)</f>
        <v>0</v>
      </c>
      <c r="CV81" s="876">
        <f>IF(CV79=0,0,CV80/CV79)</f>
        <v>0</v>
      </c>
      <c r="CW81" s="312"/>
      <c r="CX81" s="876">
        <f>IF(CX79=0,0,CX80/CX79)</f>
        <v>0</v>
      </c>
      <c r="CY81" s="876">
        <f>IF(CY79=0,0,CY80/CY79)</f>
        <v>0</v>
      </c>
      <c r="CZ81" s="312"/>
      <c r="DA81" s="876">
        <f>IF(DA79=0,0,DA80/DA79)</f>
        <v>0</v>
      </c>
      <c r="DB81" s="876">
        <f>IF(DB79=0,0,DB80/DB79)</f>
        <v>0</v>
      </c>
      <c r="DC81" s="312"/>
      <c r="DD81" s="876">
        <f>IF(DD79=0,0,DD80/DD79)</f>
        <v>0</v>
      </c>
      <c r="DE81" s="876">
        <f>IF(DE79=0,0,DE80/DE79)</f>
        <v>0</v>
      </c>
      <c r="DF81" s="312"/>
      <c r="DG81" s="876">
        <f>IF(DG79=0,0,DG80/DG79)</f>
        <v>0</v>
      </c>
      <c r="DH81" s="876">
        <f>IF(DH79=0,0,DH80/DH79)</f>
        <v>0</v>
      </c>
      <c r="DI81" s="312"/>
      <c r="DJ81" s="876">
        <f>IF(DJ79=0,0,DJ80/DJ79)</f>
        <v>0</v>
      </c>
      <c r="DK81" s="876">
        <f>IF(DK79=0,0,DK80/DK79)</f>
        <v>0</v>
      </c>
      <c r="DL81" s="312"/>
      <c r="DM81" s="876">
        <f>IF(DM79=0,0,DM80/DM79)</f>
        <v>0</v>
      </c>
      <c r="DN81" s="876">
        <f>IF(DN79=0,0,DN80/DN79)</f>
        <v>0</v>
      </c>
      <c r="DO81" s="312"/>
      <c r="DP81" s="876">
        <f>IF(DP79=0,0,DP80/DP79)</f>
        <v>0</v>
      </c>
      <c r="DQ81" s="876">
        <f>IF(DQ79=0,0,DQ80/DQ79)</f>
        <v>0</v>
      </c>
      <c r="DR81" s="312"/>
      <c r="DS81" s="876">
        <f>IF(DS79=0,0,DS80/DS79)</f>
        <v>0</v>
      </c>
      <c r="DT81" s="876">
        <f>IF(DT79=0,0,DT80/DT79)</f>
        <v>0</v>
      </c>
      <c r="DU81" s="312"/>
      <c r="DV81" s="876">
        <f>IF(DV79=0,0,DV80/DV79)</f>
        <v>0</v>
      </c>
      <c r="DW81" s="876">
        <f>IF(DW79=0,0,DW80/DW79)</f>
        <v>0</v>
      </c>
      <c r="DX81" s="312"/>
      <c r="DY81" s="876">
        <f>IF(DY79=0,0,DY80/DY79)</f>
        <v>0</v>
      </c>
      <c r="DZ81" s="876">
        <f>IF(DZ79=0,0,DZ80/DZ79)</f>
        <v>0</v>
      </c>
      <c r="EA81" s="312"/>
      <c r="EB81" s="876">
        <f>IF(EB79=0,0,EB80/EB79)</f>
        <v>0</v>
      </c>
      <c r="EC81" s="876">
        <f>IF(EC79=0,0,EC80/EC79)</f>
        <v>0</v>
      </c>
      <c r="ED81" s="312"/>
      <c r="EE81" s="876">
        <f>IF(EE79=0,0,EE80/EE79)</f>
        <v>0</v>
      </c>
      <c r="EF81" s="876">
        <f>IF(EF79=0,0,EF80/EF79)</f>
        <v>0</v>
      </c>
      <c r="EG81" s="312"/>
      <c r="EH81" s="876">
        <f>IF(EH79=0,0,EH80/EH79)</f>
        <v>0</v>
      </c>
      <c r="EI81" s="876">
        <f>IF(EI79=0,0,EI80/EI79)</f>
        <v>0</v>
      </c>
      <c r="EJ81" s="312"/>
      <c r="EK81" s="876">
        <f>IF(EK79=0,0,EK80/EK79)</f>
        <v>0</v>
      </c>
      <c r="EL81" s="876">
        <f>IF(EL79=0,0,EL80/EL79)</f>
        <v>0</v>
      </c>
      <c r="EM81" s="312"/>
      <c r="EN81" s="876">
        <f>IF(EN79=0,0,EN80/EN79)</f>
        <v>0</v>
      </c>
      <c r="EO81" s="876">
        <f>IF(EO79=0,0,EO80/EO79)</f>
        <v>0</v>
      </c>
      <c r="EP81" s="312"/>
      <c r="EQ81" s="876">
        <f>IF(EQ79=0,0,EQ80/EQ79)</f>
        <v>0</v>
      </c>
      <c r="ER81" s="876">
        <f>IF(ER79=0,0,ER80/ER79)</f>
        <v>0</v>
      </c>
      <c r="ES81" s="312"/>
      <c r="ET81" s="876">
        <f>IF(ET79=0,0,ET80/ET79)</f>
        <v>0</v>
      </c>
      <c r="EU81" s="876">
        <f>IF(EU79=0,0,EU80/EU79)</f>
        <v>0</v>
      </c>
      <c r="EV81" s="312"/>
      <c r="EW81" s="876">
        <f>IF(EW79=0,0,EW80/EW79)</f>
        <v>0</v>
      </c>
      <c r="EX81" s="876">
        <f>IF(EX79=0,0,EX80/EX79)</f>
        <v>0</v>
      </c>
      <c r="EY81" s="312"/>
      <c r="EZ81" s="876">
        <f>IF(EZ79=0,0,EZ80/EZ79)</f>
        <v>0</v>
      </c>
      <c r="FA81" s="876">
        <f>IF(FA79=0,0,FA80/FA79)</f>
        <v>0</v>
      </c>
      <c r="FB81" s="312"/>
      <c r="FC81" s="876">
        <f>IF(FC79=0,0,FC80/FC79)</f>
        <v>0</v>
      </c>
      <c r="FD81" s="876">
        <f>IF(FD79=0,0,FD80/FD79)</f>
        <v>0</v>
      </c>
      <c r="FE81" s="312"/>
      <c r="FF81" s="876">
        <f>IF(FF79=0,0,FF80/FF79)</f>
        <v>0</v>
      </c>
      <c r="FG81" s="876">
        <f>IF(FG79=0,0,FG80/FG79)</f>
        <v>0</v>
      </c>
      <c r="FH81" s="312"/>
      <c r="FI81" s="876">
        <f>IF(FI79=0,0,FI80/FI79)</f>
        <v>0</v>
      </c>
      <c r="FJ81" s="876">
        <f>IF(FJ79=0,0,FJ80/FJ79)</f>
        <v>0</v>
      </c>
      <c r="FK81" s="312"/>
      <c r="FL81" s="876">
        <f>IF(FL79=0,0,FL80/FL79)</f>
        <v>0</v>
      </c>
      <c r="FM81" s="876">
        <f>IF(FM79=0,0,FM80/FM79)</f>
        <v>0</v>
      </c>
      <c r="FN81" s="312"/>
      <c r="FO81" s="876">
        <f>IF(FO79=0,0,FO80/FO79)</f>
        <v>0</v>
      </c>
      <c r="FP81" s="876">
        <f>IF(FP79=0,0,FP80/FP79)</f>
        <v>0</v>
      </c>
      <c r="FQ81" s="312"/>
      <c r="FR81" s="876">
        <f>IF(FR79=0,0,FR80/FR79)</f>
        <v>0</v>
      </c>
      <c r="FS81" s="876">
        <f>IF(FS79=0,0,FS80/FS79)</f>
        <v>0</v>
      </c>
      <c r="FT81" s="312"/>
      <c r="FU81" s="876">
        <f>IF(FU79=0,0,FU80/FU79)</f>
        <v>0</v>
      </c>
      <c r="FV81" s="876">
        <f>IF(FV79=0,0,FV80/FV79)</f>
        <v>0</v>
      </c>
      <c r="FW81" s="312"/>
      <c r="FX81" s="425"/>
      <c r="FY81" s="425"/>
      <c r="FZ81" s="981" t="s">
        <v>2161</v>
      </c>
      <c r="GA81" s="981"/>
      <c r="GB81" s="981"/>
      <c r="GC81" s="981"/>
      <c r="GD81" s="981"/>
    </row>
    <row r="82" spans="1:186" s="1229" customFormat="1" ht="16.5" customHeight="1">
      <c r="A82" s="1153"/>
      <c r="B82" s="813" t="b" cm="1">
        <f t="array" ref="B82">B81</f>
        <v>1</v>
      </c>
      <c r="C82" s="1118" t="s">
        <v>1779</v>
      </c>
      <c r="D82" s="1087" t="s">
        <v>1780</v>
      </c>
      <c r="E82" s="676">
        <v>17.100000000000001</v>
      </c>
      <c r="F82" s="779" t="str" cm="1">
        <f t="array" aca="1" ref="F82" ca="1">OFFSET(G82,-1,-1)</f>
        <v>1</v>
      </c>
      <c r="G82" s="143" t="s">
        <v>2162</v>
      </c>
      <c r="H82" s="163" t="s">
        <v>546</v>
      </c>
      <c r="I82" s="163" t="s">
        <v>2158</v>
      </c>
      <c r="J82" s="1108" t="s">
        <v>2149</v>
      </c>
      <c r="K82" s="1108" t="str" cm="1">
        <f t="array" aca="1" ref="K82" ca="1">OFFSET(J82,-1,1)</f>
        <v>ТЭ.42.26322895.0003</v>
      </c>
      <c r="L82" s="1108" t="s">
        <v>2163</v>
      </c>
      <c r="M82" s="1108"/>
      <c r="N82" s="1108" t="s">
        <v>2151</v>
      </c>
      <c r="O82" s="1109" t="s">
        <v>2152</v>
      </c>
      <c r="P82" s="1108"/>
      <c r="Q82" s="1108"/>
      <c r="R82" s="784"/>
      <c r="S82" s="425"/>
      <c r="T82" s="687" t="b" cm="1">
        <f t="array" aca="1" ref="T82" ca="1">T81</f>
        <v>1</v>
      </c>
      <c r="U82" s="1153"/>
      <c r="V82" s="1153"/>
      <c r="W82" s="1153"/>
      <c r="X82" s="1726"/>
      <c r="Y82" s="1153"/>
      <c r="Z82" s="1726"/>
      <c r="AA82" s="425"/>
      <c r="AB82" s="887" t="s">
        <v>2164</v>
      </c>
      <c r="AC82" s="123" t="s">
        <v>634</v>
      </c>
      <c r="AD82" s="1534">
        <f ca="1">SUM(AD83:AD84)</f>
        <v>0</v>
      </c>
      <c r="AE82" s="1534">
        <f ca="1">SUM(AE83:AE84)</f>
        <v>129752.10999999999</v>
      </c>
      <c r="AF82" s="341">
        <f ca="1">IF(AD82=0,0,(AE82-AD82)/AD82*100)</f>
        <v>0</v>
      </c>
      <c r="AG82" s="354">
        <f ca="1">SUM(AG83:AG84)</f>
        <v>0</v>
      </c>
      <c r="AH82" s="354">
        <f ca="1">SUM(AH83:AH84)</f>
        <v>0</v>
      </c>
      <c r="AI82" s="341">
        <f ca="1">IF(AG82=0,0,(AH82-AG82)/AG82*100)</f>
        <v>0</v>
      </c>
      <c r="AJ82" s="354">
        <f ca="1">SUM(AJ83:AJ84)</f>
        <v>0</v>
      </c>
      <c r="AK82" s="354">
        <f ca="1">SUM(AK83:AK84)</f>
        <v>0</v>
      </c>
      <c r="AL82" s="341">
        <f ca="1">IF(AJ82=0,0,(AK82-AJ82)/AJ82*100)</f>
        <v>0</v>
      </c>
      <c r="AM82" s="354">
        <f ca="1">SUM(AM83:AM84)</f>
        <v>0</v>
      </c>
      <c r="AN82" s="354">
        <f ca="1">SUM(AN83:AN84)</f>
        <v>0</v>
      </c>
      <c r="AO82" s="341">
        <f ca="1">IF(AM82=0,0,(AN82-AM82)/AM82*100)</f>
        <v>0</v>
      </c>
      <c r="AP82" s="354">
        <f ca="1">SUM(AP83:AP84)</f>
        <v>0</v>
      </c>
      <c r="AQ82" s="354">
        <f ca="1">SUM(AQ83:AQ84)</f>
        <v>0</v>
      </c>
      <c r="AR82" s="341">
        <f ca="1">IF(AP82=0,0,(AQ82-AP82)/AP82*100)</f>
        <v>0</v>
      </c>
      <c r="AS82" s="1534">
        <f ca="1">SUM(AS83:AS84)</f>
        <v>0</v>
      </c>
      <c r="AT82" s="1534">
        <f ca="1">SUM(AT83:AT84)</f>
        <v>0</v>
      </c>
      <c r="AU82" s="341">
        <f ca="1">IF(AS82=0,0,(AT82-AS82)/AS82*100)</f>
        <v>0</v>
      </c>
      <c r="AV82" s="1534">
        <f ca="1">SUM(AV83:AV84)</f>
        <v>0</v>
      </c>
      <c r="AW82" s="1534">
        <f ca="1">SUM(AW83:AW84)</f>
        <v>0</v>
      </c>
      <c r="AX82" s="341">
        <f ca="1">IF(AV82=0,0,(AW82-AV82)/AV82*100)</f>
        <v>0</v>
      </c>
      <c r="AY82" s="1534">
        <f ca="1">SUM(AY83:AY84)</f>
        <v>0</v>
      </c>
      <c r="AZ82" s="1534">
        <f ca="1">SUM(AZ83:AZ84)</f>
        <v>0</v>
      </c>
      <c r="BA82" s="341">
        <f ca="1">IF(AY82=0,0,(AZ82-AY82)/AY82*100)</f>
        <v>0</v>
      </c>
      <c r="BB82" s="1534">
        <f ca="1">SUM(BB83:BB84)</f>
        <v>0</v>
      </c>
      <c r="BC82" s="1534">
        <f ca="1">SUM(BC83:BC84)</f>
        <v>0</v>
      </c>
      <c r="BD82" s="341">
        <f ca="1">IF(BB82=0,0,(BC82-BB82)/BB82*100)</f>
        <v>0</v>
      </c>
      <c r="BE82" s="1534">
        <f ca="1">SUM(BE83:BE84)</f>
        <v>0</v>
      </c>
      <c r="BF82" s="1534">
        <f ca="1">SUM(BF83:BF84)</f>
        <v>0</v>
      </c>
      <c r="BG82" s="341">
        <f ca="1">IF(BE82=0,0,(BF82-BE82)/BE82*100)</f>
        <v>0</v>
      </c>
      <c r="BH82" s="1534">
        <f>SUM(BH83:BH84)</f>
        <v>0</v>
      </c>
      <c r="BI82" s="1534">
        <f>SUM(BI83:BI84)</f>
        <v>0</v>
      </c>
      <c r="BJ82" s="341">
        <f>IF(BH82=0,0,(BI82-BH82)/BH82*100)</f>
        <v>0</v>
      </c>
      <c r="BK82" s="1534">
        <f>SUM(BK83:BK84)</f>
        <v>0</v>
      </c>
      <c r="BL82" s="1534">
        <f>SUM(BL83:BL84)</f>
        <v>0</v>
      </c>
      <c r="BM82" s="341">
        <f>IF(BK82=0,0,(BL82-BK82)/BK82*100)</f>
        <v>0</v>
      </c>
      <c r="BN82" s="1534">
        <f>SUM(BN83:BN84)</f>
        <v>0</v>
      </c>
      <c r="BO82" s="1534">
        <f>SUM(BO83:BO84)</f>
        <v>0</v>
      </c>
      <c r="BP82" s="341">
        <f>IF(BN82=0,0,(BO82-BN82)/BN82*100)</f>
        <v>0</v>
      </c>
      <c r="BQ82" s="1534">
        <f>SUM(BQ83:BQ84)</f>
        <v>0</v>
      </c>
      <c r="BR82" s="1534">
        <f>SUM(BR83:BR84)</f>
        <v>0</v>
      </c>
      <c r="BS82" s="341">
        <f>IF(BQ82=0,0,(BR82-BQ82)/BQ82*100)</f>
        <v>0</v>
      </c>
      <c r="BT82" s="1534">
        <f>SUM(BT83:BT84)</f>
        <v>0</v>
      </c>
      <c r="BU82" s="1534">
        <f>SUM(BU83:BU84)</f>
        <v>0</v>
      </c>
      <c r="BV82" s="341">
        <f>IF(BT82=0,0,(BU82-BT82)/BT82*100)</f>
        <v>0</v>
      </c>
      <c r="BW82" s="1534">
        <f>SUM(BW83:BW84)</f>
        <v>0</v>
      </c>
      <c r="BX82" s="1534">
        <f>SUM(BX83:BX84)</f>
        <v>0</v>
      </c>
      <c r="BY82" s="341">
        <f>IF(BW82=0,0,(BX82-BW82)/BW82*100)</f>
        <v>0</v>
      </c>
      <c r="BZ82" s="1534">
        <f>SUM(BZ83:BZ84)</f>
        <v>0</v>
      </c>
      <c r="CA82" s="1534">
        <f>SUM(CA83:CA84)</f>
        <v>0</v>
      </c>
      <c r="CB82" s="341">
        <f>IF(BZ82=0,0,(CA82-BZ82)/BZ82*100)</f>
        <v>0</v>
      </c>
      <c r="CC82" s="1534">
        <f>SUM(CC83:CC84)</f>
        <v>0</v>
      </c>
      <c r="CD82" s="1534">
        <f>SUM(CD83:CD84)</f>
        <v>0</v>
      </c>
      <c r="CE82" s="341">
        <f>IF(CC82=0,0,(CD82-CC82)/CC82*100)</f>
        <v>0</v>
      </c>
      <c r="CF82" s="1534">
        <f>SUM(CF83:CF84)</f>
        <v>0</v>
      </c>
      <c r="CG82" s="1534">
        <f>SUM(CG83:CG84)</f>
        <v>0</v>
      </c>
      <c r="CH82" s="341">
        <f>IF(CF82=0,0,(CG82-CF82)/CF82*100)</f>
        <v>0</v>
      </c>
      <c r="CI82" s="1534">
        <f>SUM(CI83:CI84)</f>
        <v>0</v>
      </c>
      <c r="CJ82" s="1534">
        <f>SUM(CJ83:CJ84)</f>
        <v>0</v>
      </c>
      <c r="CK82" s="341">
        <f>IF(CI82=0,0,(CJ82-CI82)/CI82*100)</f>
        <v>0</v>
      </c>
      <c r="CL82" s="1534">
        <f>SUM(CL83:CL84)</f>
        <v>0</v>
      </c>
      <c r="CM82" s="1534">
        <f>SUM(CM83:CM84)</f>
        <v>0</v>
      </c>
      <c r="CN82" s="341">
        <f>IF(CL82=0,0,(CM82-CL82)/CL82*100)</f>
        <v>0</v>
      </c>
      <c r="CO82" s="1534">
        <f>SUM(CO83:CO84)</f>
        <v>0</v>
      </c>
      <c r="CP82" s="1534">
        <f>SUM(CP83:CP84)</f>
        <v>0</v>
      </c>
      <c r="CQ82" s="341">
        <f>IF(CO82=0,0,(CP82-CO82)/CO82*100)</f>
        <v>0</v>
      </c>
      <c r="CR82" s="1534">
        <f>SUM(CR83:CR84)</f>
        <v>0</v>
      </c>
      <c r="CS82" s="1534">
        <f>SUM(CS83:CS84)</f>
        <v>0</v>
      </c>
      <c r="CT82" s="341">
        <f>IF(CR82=0,0,(CS82-CR82)/CR82*100)</f>
        <v>0</v>
      </c>
      <c r="CU82" s="1534">
        <f>SUM(CU83:CU84)</f>
        <v>0</v>
      </c>
      <c r="CV82" s="1534">
        <f>SUM(CV83:CV84)</f>
        <v>0</v>
      </c>
      <c r="CW82" s="341">
        <f>IF(CU82=0,0,(CV82-CU82)/CU82*100)</f>
        <v>0</v>
      </c>
      <c r="CX82" s="1534">
        <f>SUM(CX83:CX84)</f>
        <v>0</v>
      </c>
      <c r="CY82" s="1534">
        <f>SUM(CY83:CY84)</f>
        <v>0</v>
      </c>
      <c r="CZ82" s="341">
        <f>IF(CX82=0,0,(CY82-CX82)/CX82*100)</f>
        <v>0</v>
      </c>
      <c r="DA82" s="1534">
        <f>SUM(DA83:DA84)</f>
        <v>0</v>
      </c>
      <c r="DB82" s="1534">
        <f>SUM(DB83:DB84)</f>
        <v>0</v>
      </c>
      <c r="DC82" s="341">
        <f>IF(DA82=0,0,(DB82-DA82)/DA82*100)</f>
        <v>0</v>
      </c>
      <c r="DD82" s="1534">
        <f>SUM(DD83:DD84)</f>
        <v>0</v>
      </c>
      <c r="DE82" s="1534">
        <f>SUM(DE83:DE84)</f>
        <v>0</v>
      </c>
      <c r="DF82" s="341">
        <f>IF(DD82=0,0,(DE82-DD82)/DD82*100)</f>
        <v>0</v>
      </c>
      <c r="DG82" s="1534">
        <f>SUM(DG83:DG84)</f>
        <v>0</v>
      </c>
      <c r="DH82" s="1534">
        <f>SUM(DH83:DH84)</f>
        <v>0</v>
      </c>
      <c r="DI82" s="341">
        <f>IF(DG82=0,0,(DH82-DG82)/DG82*100)</f>
        <v>0</v>
      </c>
      <c r="DJ82" s="1534">
        <f>SUM(DJ83:DJ84)</f>
        <v>0</v>
      </c>
      <c r="DK82" s="1534">
        <f>SUM(DK83:DK84)</f>
        <v>0</v>
      </c>
      <c r="DL82" s="341">
        <f>IF(DJ82=0,0,(DK82-DJ82)/DJ82*100)</f>
        <v>0</v>
      </c>
      <c r="DM82" s="1534">
        <f>SUM(DM83:DM84)</f>
        <v>0</v>
      </c>
      <c r="DN82" s="1534">
        <f>SUM(DN83:DN84)</f>
        <v>0</v>
      </c>
      <c r="DO82" s="341">
        <f>IF(DM82=0,0,(DN82-DM82)/DM82*100)</f>
        <v>0</v>
      </c>
      <c r="DP82" s="1534">
        <f>SUM(DP83:DP84)</f>
        <v>0</v>
      </c>
      <c r="DQ82" s="1534">
        <f>SUM(DQ83:DQ84)</f>
        <v>0</v>
      </c>
      <c r="DR82" s="341">
        <f>IF(DP82=0,0,(DQ82-DP82)/DP82*100)</f>
        <v>0</v>
      </c>
      <c r="DS82" s="1534">
        <f>SUM(DS83:DS84)</f>
        <v>0</v>
      </c>
      <c r="DT82" s="1534">
        <f>SUM(DT83:DT84)</f>
        <v>0</v>
      </c>
      <c r="DU82" s="341">
        <f>IF(DS82=0,0,(DT82-DS82)/DS82*100)</f>
        <v>0</v>
      </c>
      <c r="DV82" s="1534">
        <f>SUM(DV83:DV84)</f>
        <v>0</v>
      </c>
      <c r="DW82" s="1534">
        <f>SUM(DW83:DW84)</f>
        <v>0</v>
      </c>
      <c r="DX82" s="341">
        <f>IF(DV82=0,0,(DW82-DV82)/DV82*100)</f>
        <v>0</v>
      </c>
      <c r="DY82" s="1534">
        <f>SUM(DY83:DY84)</f>
        <v>0</v>
      </c>
      <c r="DZ82" s="1534">
        <f>SUM(DZ83:DZ84)</f>
        <v>0</v>
      </c>
      <c r="EA82" s="341">
        <f>IF(DY82=0,0,(DZ82-DY82)/DY82*100)</f>
        <v>0</v>
      </c>
      <c r="EB82" s="1534">
        <f>SUM(EB83:EB84)</f>
        <v>0</v>
      </c>
      <c r="EC82" s="1534">
        <f>SUM(EC83:EC84)</f>
        <v>0</v>
      </c>
      <c r="ED82" s="341">
        <f>IF(EB82=0,0,(EC82-EB82)/EB82*100)</f>
        <v>0</v>
      </c>
      <c r="EE82" s="1534">
        <f>SUM(EE83:EE84)</f>
        <v>0</v>
      </c>
      <c r="EF82" s="1534">
        <f>SUM(EF83:EF84)</f>
        <v>0</v>
      </c>
      <c r="EG82" s="341">
        <f>IF(EE82=0,0,(EF82-EE82)/EE82*100)</f>
        <v>0</v>
      </c>
      <c r="EH82" s="1534">
        <f>SUM(EH83:EH84)</f>
        <v>0</v>
      </c>
      <c r="EI82" s="1534">
        <f>SUM(EI83:EI84)</f>
        <v>0</v>
      </c>
      <c r="EJ82" s="341">
        <f>IF(EH82=0,0,(EI82-EH82)/EH82*100)</f>
        <v>0</v>
      </c>
      <c r="EK82" s="1534">
        <f>SUM(EK83:EK84)</f>
        <v>0</v>
      </c>
      <c r="EL82" s="1534">
        <f>SUM(EL83:EL84)</f>
        <v>0</v>
      </c>
      <c r="EM82" s="341">
        <f>IF(EK82=0,0,(EL82-EK82)/EK82*100)</f>
        <v>0</v>
      </c>
      <c r="EN82" s="1534">
        <f>SUM(EN83:EN84)</f>
        <v>0</v>
      </c>
      <c r="EO82" s="1534">
        <f>SUM(EO83:EO84)</f>
        <v>0</v>
      </c>
      <c r="EP82" s="341">
        <f>IF(EN82=0,0,(EO82-EN82)/EN82*100)</f>
        <v>0</v>
      </c>
      <c r="EQ82" s="1534">
        <f>SUM(EQ83:EQ84)</f>
        <v>0</v>
      </c>
      <c r="ER82" s="1534">
        <f>SUM(ER83:ER84)</f>
        <v>0</v>
      </c>
      <c r="ES82" s="341">
        <f>IF(EQ82=0,0,(ER82-EQ82)/EQ82*100)</f>
        <v>0</v>
      </c>
      <c r="ET82" s="1534">
        <f>SUM(ET83:ET84)</f>
        <v>0</v>
      </c>
      <c r="EU82" s="1534">
        <f>SUM(EU83:EU84)</f>
        <v>0</v>
      </c>
      <c r="EV82" s="341">
        <f>IF(ET82=0,0,(EU82-ET82)/ET82*100)</f>
        <v>0</v>
      </c>
      <c r="EW82" s="1534">
        <f>SUM(EW83:EW84)</f>
        <v>0</v>
      </c>
      <c r="EX82" s="1534">
        <f>SUM(EX83:EX84)</f>
        <v>0</v>
      </c>
      <c r="EY82" s="341">
        <f>IF(EW82=0,0,(EX82-EW82)/EW82*100)</f>
        <v>0</v>
      </c>
      <c r="EZ82" s="1534">
        <f>SUM(EZ83:EZ84)</f>
        <v>0</v>
      </c>
      <c r="FA82" s="1534">
        <f>SUM(FA83:FA84)</f>
        <v>0</v>
      </c>
      <c r="FB82" s="341">
        <f>IF(EZ82=0,0,(FA82-EZ82)/EZ82*100)</f>
        <v>0</v>
      </c>
      <c r="FC82" s="1534">
        <f>SUM(FC83:FC84)</f>
        <v>0</v>
      </c>
      <c r="FD82" s="1534">
        <f>SUM(FD83:FD84)</f>
        <v>0</v>
      </c>
      <c r="FE82" s="341">
        <f>IF(FC82=0,0,(FD82-FC82)/FC82*100)</f>
        <v>0</v>
      </c>
      <c r="FF82" s="1534">
        <f>SUM(FF83:FF84)</f>
        <v>0</v>
      </c>
      <c r="FG82" s="1534">
        <f>SUM(FG83:FG84)</f>
        <v>0</v>
      </c>
      <c r="FH82" s="341">
        <f>IF(FF82=0,0,(FG82-FF82)/FF82*100)</f>
        <v>0</v>
      </c>
      <c r="FI82" s="1534">
        <f>SUM(FI83:FI84)</f>
        <v>0</v>
      </c>
      <c r="FJ82" s="1534">
        <f>SUM(FJ83:FJ84)</f>
        <v>0</v>
      </c>
      <c r="FK82" s="341">
        <f>IF(FI82=0,0,(FJ82-FI82)/FI82*100)</f>
        <v>0</v>
      </c>
      <c r="FL82" s="1534">
        <f>SUM(FL83:FL84)</f>
        <v>0</v>
      </c>
      <c r="FM82" s="1534">
        <f>SUM(FM83:FM84)</f>
        <v>0</v>
      </c>
      <c r="FN82" s="341">
        <f>IF(FL82=0,0,(FM82-FL82)/FL82*100)</f>
        <v>0</v>
      </c>
      <c r="FO82" s="1534">
        <f>SUM(FO83:FO84)</f>
        <v>0</v>
      </c>
      <c r="FP82" s="1534">
        <f>SUM(FP83:FP84)</f>
        <v>0</v>
      </c>
      <c r="FQ82" s="341">
        <f>IF(FO82=0,0,(FP82-FO82)/FO82*100)</f>
        <v>0</v>
      </c>
      <c r="FR82" s="1534">
        <f>SUM(FR83:FR84)</f>
        <v>0</v>
      </c>
      <c r="FS82" s="1534">
        <f>SUM(FS83:FS84)</f>
        <v>0</v>
      </c>
      <c r="FT82" s="341">
        <f>IF(FR82=0,0,(FS82-FR82)/FR82*100)</f>
        <v>0</v>
      </c>
      <c r="FU82" s="1534">
        <f>SUM(FU83:FU84)</f>
        <v>0</v>
      </c>
      <c r="FV82" s="1534">
        <f>SUM(FV83:FV84)</f>
        <v>0</v>
      </c>
      <c r="FW82" s="341">
        <f>IF(FU82=0,0,(FV82-FU82)/FU82*100)</f>
        <v>0</v>
      </c>
      <c r="FX82" s="425"/>
      <c r="FY82" s="425"/>
      <c r="FZ82" s="981" t="s">
        <v>2165</v>
      </c>
      <c r="GA82" s="981"/>
      <c r="GB82" s="981"/>
      <c r="GC82" s="981"/>
      <c r="GD82" s="981"/>
    </row>
    <row r="83" spans="1:186" s="1229" customFormat="1" ht="16.5" customHeight="1">
      <c r="A83" s="1153"/>
      <c r="B83" s="813" t="b" cm="1">
        <f t="array" ref="B83">B82</f>
        <v>1</v>
      </c>
      <c r="C83" s="1118" t="s">
        <v>1779</v>
      </c>
      <c r="D83" s="1087" t="s">
        <v>1780</v>
      </c>
      <c r="E83" s="676">
        <v>17.100000000000001</v>
      </c>
      <c r="F83" s="779" t="str" cm="1">
        <f t="array" aca="1" ref="F83" ca="1">OFFSET(G83,-1,-1)</f>
        <v>1</v>
      </c>
      <c r="G83" s="143" t="s">
        <v>1781</v>
      </c>
      <c r="H83" s="425"/>
      <c r="I83" s="425"/>
      <c r="J83" s="1108" t="s">
        <v>2149</v>
      </c>
      <c r="K83" s="1108" t="str" cm="1">
        <f t="array" aca="1" ref="K83" ca="1">OFFSET(J83,-1,1)</f>
        <v>ТЭ.42.26322895.0003</v>
      </c>
      <c r="L83" s="1108" t="s">
        <v>2163</v>
      </c>
      <c r="M83" s="1108" t="s">
        <v>1782</v>
      </c>
      <c r="N83" s="1108" t="s">
        <v>2151</v>
      </c>
      <c r="O83" s="1109" t="s">
        <v>2152</v>
      </c>
      <c r="P83" s="1108"/>
      <c r="Q83" s="1108"/>
      <c r="R83" s="784"/>
      <c r="S83" s="425"/>
      <c r="T83" s="687" t="b" cm="1">
        <f t="array" aca="1" ref="T83" ca="1">T82</f>
        <v>1</v>
      </c>
      <c r="U83" s="1153"/>
      <c r="V83" s="1153"/>
      <c r="W83" s="1153"/>
      <c r="X83" s="1726"/>
      <c r="Y83" s="1153"/>
      <c r="Z83" s="1726"/>
      <c r="AA83" s="425"/>
      <c r="AB83" s="236" t="s">
        <v>1783</v>
      </c>
      <c r="AC83" s="123" t="s">
        <v>634</v>
      </c>
      <c r="AD83" s="1534">
        <f ca="1">IF(method_reg="Метод экономически обоснованных расходов",SUMIFS('Калькуляция (4.6)'!AJ$25:AJ$229,'Калькуляция (4.6)'!$F$25:$F$229,$F83,'Калькуляция (4.6)'!$G$25:$G$229,$G83),IF(method_reg="Метод сравнения аналогов",SUMIFS(INDEX('Калькуляция (МСА)'!$AE$25:$BC$109,,MATCH(AD$8,'Калькуляция (МСА)'!$AE$8:$BC$8,0)),'Калькуляция (МСА)'!$F$25:$F$109,$F83,'Калькуляция (МСА)'!$G$25:$G$109,$G83),SUMIFS(INDEX('Калькуляция (5.9)'!$AJ$25:$BC$194,,MATCH(AD$8,'Калькуляция (5.9)'!$AJ$8:$BC$8,0)),'Калькуляция (5.9)'!$F$25:$F$194,$F83,'Калькуляция (5.9)'!$G$25:$G$194,$G83)))</f>
        <v>0</v>
      </c>
      <c r="AE83" s="1534">
        <f ca="1">IF(method_reg="Метод экономически обоснованных расходов",SUMIFS('Калькуляция (4.6)'!AK$25:AK$229,'Калькуляция (4.6)'!$F$25:$F$229,$F83,'Калькуляция (4.6)'!$G$25:$G$229,$G83),IF(method_reg="Метод сравнения аналогов",SUMIFS(INDEX('Калькуляция (МСА)'!$AE$25:$BC$109,,MATCH(AE$8,'Калькуляция (МСА)'!$AE$8:$BC$8,0)),'Калькуляция (МСА)'!$F$25:$F$109,$F83,'Калькуляция (МСА)'!$G$25:$G$109,$G83),SUMIFS(INDEX('Калькуляция (5.9)'!$AJ$25:$BC$194,,MATCH(AE$8,'Калькуляция (5.9)'!$AJ$8:$BC$8,0)),'Калькуляция (5.9)'!$F$25:$F$194,$F83,'Калькуляция (5.9)'!$G$25:$G$194,$G83)))</f>
        <v>92819.8</v>
      </c>
      <c r="AF83" s="341">
        <f ca="1">IF(AD83=0,0,(AE83-AD83)/AD83*100)</f>
        <v>0</v>
      </c>
      <c r="AG83" s="354">
        <f ca="1">IF(method_reg="Метод сравнения аналогов",SUMIFS(INDEX('Калькуляция (МСА)'!$AE$25:$BC$109,,MATCH(AG$8,'Калькуляция (МСА)'!$AE$8:$BC$8,0)),'Калькуляция (МСА)'!$F$25:$F$109,$F83,'Калькуляция (МСА)'!$G$25:$G$109,$G83),SUMIFS(INDEX('Калькуляция (5.9)'!$AJ$25:$BC$194,,MATCH(AG$8,'Калькуляция (5.9)'!$AJ$8:$BC$8,0)),'Калькуляция (5.9)'!$F$25:$F$194,$F83,'Калькуляция (5.9)'!$G$25:$G$194,$G83))</f>
        <v>0</v>
      </c>
      <c r="AH83" s="354">
        <f ca="1">IF(method_reg="Метод сравнения аналогов",SUMIFS(INDEX('Калькуляция (МСА)'!$AE$25:$BC$109,,MATCH(AH$8,'Калькуляция (МСА)'!$AE$8:$BC$8,0)),'Калькуляция (МСА)'!$F$25:$F$109,$F83,'Калькуляция (МСА)'!$G$25:$G$109,$G83),SUMIFS(INDEX('Калькуляция (5.9)'!$AJ$25:$BC$194,,MATCH(AH$8,'Калькуляция (5.9)'!$AJ$8:$BC$8,0)),'Калькуляция (5.9)'!$F$25:$F$194,$F83,'Калькуляция (5.9)'!$G$25:$G$194,$G83))</f>
        <v>0</v>
      </c>
      <c r="AI83" s="341">
        <f ca="1">IF(AG83=0,0,(AH83-AG83)/AG83*100)</f>
        <v>0</v>
      </c>
      <c r="AJ83" s="354">
        <f ca="1">IF(method_reg="Метод сравнения аналогов",SUMIFS(INDEX('Калькуляция (МСА)'!$AE$25:$BC$109,,MATCH(AJ$8,'Калькуляция (МСА)'!$AE$8:$BC$8,0)),'Калькуляция (МСА)'!$F$25:$F$109,$F83,'Калькуляция (МСА)'!$G$25:$G$109,$G83),SUMIFS(INDEX('Калькуляция (5.9)'!$AJ$25:$BC$194,,MATCH(AJ$8,'Калькуляция (5.9)'!$AJ$8:$BC$8,0)),'Калькуляция (5.9)'!$F$25:$F$194,$F83,'Калькуляция (5.9)'!$G$25:$G$194,$G83))</f>
        <v>0</v>
      </c>
      <c r="AK83" s="354">
        <f ca="1">IF(method_reg="Метод сравнения аналогов",SUMIFS(INDEX('Калькуляция (МСА)'!$AE$25:$BC$109,,MATCH(AK$8,'Калькуляция (МСА)'!$AE$8:$BC$8,0)),'Калькуляция (МСА)'!$F$25:$F$109,$F83,'Калькуляция (МСА)'!$G$25:$G$109,$G83),SUMIFS(INDEX('Калькуляция (5.9)'!$AJ$25:$BC$194,,MATCH(AK$8,'Калькуляция (5.9)'!$AJ$8:$BC$8,0)),'Калькуляция (5.9)'!$F$25:$F$194,$F83,'Калькуляция (5.9)'!$G$25:$G$194,$G83))</f>
        <v>0</v>
      </c>
      <c r="AL83" s="341">
        <f ca="1">IF(AJ83=0,0,(AK83-AJ83)/AJ83*100)</f>
        <v>0</v>
      </c>
      <c r="AM83" s="354">
        <f ca="1">IF(method_reg="Метод сравнения аналогов",SUMIFS(INDEX('Калькуляция (МСА)'!$AE$25:$BC$109,,MATCH(AM$8,'Калькуляция (МСА)'!$AE$8:$BC$8,0)),'Калькуляция (МСА)'!$F$25:$F$109,$F83,'Калькуляция (МСА)'!$G$25:$G$109,$G83),SUMIFS(INDEX('Калькуляция (5.9)'!$AJ$25:$BC$194,,MATCH(AM$8,'Калькуляция (5.9)'!$AJ$8:$BC$8,0)),'Калькуляция (5.9)'!$F$25:$F$194,$F83,'Калькуляция (5.9)'!$G$25:$G$194,$G83))</f>
        <v>0</v>
      </c>
      <c r="AN83" s="354">
        <f ca="1">IF(method_reg="Метод сравнения аналогов",SUMIFS(INDEX('Калькуляция (МСА)'!$AE$25:$BC$109,,MATCH(AN$8,'Калькуляция (МСА)'!$AE$8:$BC$8,0)),'Калькуляция (МСА)'!$F$25:$F$109,$F83,'Калькуляция (МСА)'!$G$25:$G$109,$G83),SUMIFS(INDEX('Калькуляция (5.9)'!$AJ$25:$BC$194,,MATCH(AN$8,'Калькуляция (5.9)'!$AJ$8:$BC$8,0)),'Калькуляция (5.9)'!$F$25:$F$194,$F83,'Калькуляция (5.9)'!$G$25:$G$194,$G83))</f>
        <v>0</v>
      </c>
      <c r="AO83" s="341">
        <f ca="1">IF(AM83=0,0,(AN83-AM83)/AM83*100)</f>
        <v>0</v>
      </c>
      <c r="AP83" s="354">
        <f ca="1">IF(method_reg="Метод сравнения аналогов",SUMIFS(INDEX('Калькуляция (МСА)'!$AE$25:$BC$109,,MATCH(AP$8,'Калькуляция (МСА)'!$AE$8:$BC$8,0)),'Калькуляция (МСА)'!$F$25:$F$109,$F83,'Калькуляция (МСА)'!$G$25:$G$109,$G83),SUMIFS(INDEX('Калькуляция (5.9)'!$AJ$25:$BC$194,,MATCH(AP$8,'Калькуляция (5.9)'!$AJ$8:$BC$8,0)),'Калькуляция (5.9)'!$F$25:$F$194,$F83,'Калькуляция (5.9)'!$G$25:$G$194,$G83))</f>
        <v>0</v>
      </c>
      <c r="AQ83" s="354">
        <f ca="1">IF(method_reg="Метод сравнения аналогов",SUMIFS(INDEX('Калькуляция (МСА)'!$AE$25:$BC$109,,MATCH(AQ$8,'Калькуляция (МСА)'!$AE$8:$BC$8,0)),'Калькуляция (МСА)'!$F$25:$F$109,$F83,'Калькуляция (МСА)'!$G$25:$G$109,$G83),SUMIFS(INDEX('Калькуляция (5.9)'!$AJ$25:$BC$194,,MATCH(AQ$8,'Калькуляция (5.9)'!$AJ$8:$BC$8,0)),'Калькуляция (5.9)'!$F$25:$F$194,$F83,'Калькуляция (5.9)'!$G$25:$G$194,$G83))</f>
        <v>0</v>
      </c>
      <c r="AR83" s="341">
        <f ca="1">IF(AP83=0,0,(AQ83-AP83)/AP83*100)</f>
        <v>0</v>
      </c>
      <c r="AS83" s="1534">
        <f ca="1">IF(method_reg="Метод сравнения аналогов",SUMIFS(INDEX('Калькуляция (МСА)'!$AE$25:$BC$109,,MATCH(AS$8,'Калькуляция (МСА)'!$AE$8:$BC$8,0)),'Калькуляция (МСА)'!$F$25:$F$109,$F83,'Калькуляция (МСА)'!$G$25:$G$109,$G83),SUMIFS(INDEX('Калькуляция (5.9)'!$AJ$25:$BC$194,,MATCH(AS$8,'Калькуляция (5.9)'!$AJ$8:$BC$8,0)),'Калькуляция (5.9)'!$F$25:$F$194,$F83,'Калькуляция (5.9)'!$G$25:$G$194,$G83))</f>
        <v>0</v>
      </c>
      <c r="AT83" s="1534">
        <f ca="1">IF(method_reg="Метод сравнения аналогов",SUMIFS(INDEX('Калькуляция (МСА)'!$AE$25:$BC$109,,MATCH(AT$8,'Калькуляция (МСА)'!$AE$8:$BC$8,0)),'Калькуляция (МСА)'!$F$25:$F$109,$F83,'Калькуляция (МСА)'!$G$25:$G$109,$G83),SUMIFS(INDEX('Калькуляция (5.9)'!$AJ$25:$BC$194,,MATCH(AT$8,'Калькуляция (5.9)'!$AJ$8:$BC$8,0)),'Калькуляция (5.9)'!$F$25:$F$194,$F83,'Калькуляция (5.9)'!$G$25:$G$194,$G83))</f>
        <v>0</v>
      </c>
      <c r="AU83" s="341">
        <f ca="1">IF(AS83=0,0,(AT83-AS83)/AS83*100)</f>
        <v>0</v>
      </c>
      <c r="AV83" s="1534">
        <f ca="1">IF(method_reg="Метод сравнения аналогов",SUMIFS(INDEX('Калькуляция (МСА)'!$AE$25:$BC$109,,MATCH(AV$8,'Калькуляция (МСА)'!$AE$8:$BC$8,0)),'Калькуляция (МСА)'!$F$25:$F$109,$F83,'Калькуляция (МСА)'!$G$25:$G$109,$G83),SUMIFS(INDEX('Калькуляция (5.9)'!$AJ$25:$BC$194,,MATCH(AV$8,'Калькуляция (5.9)'!$AJ$8:$BC$8,0)),'Калькуляция (5.9)'!$F$25:$F$194,$F83,'Калькуляция (5.9)'!$G$25:$G$194,$G83))</f>
        <v>0</v>
      </c>
      <c r="AW83" s="1534">
        <f ca="1">IF(method_reg="Метод сравнения аналогов",SUMIFS(INDEX('Калькуляция (МСА)'!$AE$25:$BC$109,,MATCH(AW$8,'Калькуляция (МСА)'!$AE$8:$BC$8,0)),'Калькуляция (МСА)'!$F$25:$F$109,$F83,'Калькуляция (МСА)'!$G$25:$G$109,$G83),SUMIFS(INDEX('Калькуляция (5.9)'!$AJ$25:$BC$194,,MATCH(AW$8,'Калькуляция (5.9)'!$AJ$8:$BC$8,0)),'Калькуляция (5.9)'!$F$25:$F$194,$F83,'Калькуляция (5.9)'!$G$25:$G$194,$G83))</f>
        <v>0</v>
      </c>
      <c r="AX83" s="341">
        <f ca="1">IF(AV83=0,0,(AW83-AV83)/AV83*100)</f>
        <v>0</v>
      </c>
      <c r="AY83" s="1534">
        <f ca="1">IF(method_reg="Метод сравнения аналогов",SUMIFS(INDEX('Калькуляция (МСА)'!$AE$25:$BC$109,,MATCH(AY$8,'Калькуляция (МСА)'!$AE$8:$BC$8,0)),'Калькуляция (МСА)'!$F$25:$F$109,$F83,'Калькуляция (МСА)'!$G$25:$G$109,$G83),SUMIFS(INDEX('Калькуляция (5.9)'!$AJ$25:$BC$194,,MATCH(AY$8,'Калькуляция (5.9)'!$AJ$8:$BC$8,0)),'Калькуляция (5.9)'!$F$25:$F$194,$F83,'Калькуляция (5.9)'!$G$25:$G$194,$G83))</f>
        <v>0</v>
      </c>
      <c r="AZ83" s="1534">
        <f ca="1">IF(method_reg="Метод сравнения аналогов",SUMIFS(INDEX('Калькуляция (МСА)'!$AE$25:$BC$109,,MATCH(AZ$8,'Калькуляция (МСА)'!$AE$8:$BC$8,0)),'Калькуляция (МСА)'!$F$25:$F$109,$F83,'Калькуляция (МСА)'!$G$25:$G$109,$G83),SUMIFS(INDEX('Калькуляция (5.9)'!$AJ$25:$BC$194,,MATCH(AZ$8,'Калькуляция (5.9)'!$AJ$8:$BC$8,0)),'Калькуляция (5.9)'!$F$25:$F$194,$F83,'Калькуляция (5.9)'!$G$25:$G$194,$G83))</f>
        <v>0</v>
      </c>
      <c r="BA83" s="341">
        <f ca="1">IF(AY83=0,0,(AZ83-AY83)/AY83*100)</f>
        <v>0</v>
      </c>
      <c r="BB83" s="1534">
        <f ca="1">IF(method_reg="Метод сравнения аналогов",SUMIFS(INDEX('Калькуляция (МСА)'!$AE$25:$BC$109,,MATCH(BB$8,'Калькуляция (МСА)'!$AE$8:$BC$8,0)),'Калькуляция (МСА)'!$F$25:$F$109,$F83,'Калькуляция (МСА)'!$G$25:$G$109,$G83),SUMIFS(INDEX('Калькуляция (5.9)'!$AJ$25:$BC$194,,MATCH(BB$8,'Калькуляция (5.9)'!$AJ$8:$BC$8,0)),'Калькуляция (5.9)'!$F$25:$F$194,$F83,'Калькуляция (5.9)'!$G$25:$G$194,$G83))</f>
        <v>0</v>
      </c>
      <c r="BC83" s="1534">
        <f ca="1">IF(method_reg="Метод сравнения аналогов",SUMIFS(INDEX('Калькуляция (МСА)'!$AE$25:$BC$109,,MATCH(BC$8,'Калькуляция (МСА)'!$AE$8:$BC$8,0)),'Калькуляция (МСА)'!$F$25:$F$109,$F83,'Калькуляция (МСА)'!$G$25:$G$109,$G83),SUMIFS(INDEX('Калькуляция (5.9)'!$AJ$25:$BC$194,,MATCH(BC$8,'Калькуляция (5.9)'!$AJ$8:$BC$8,0)),'Калькуляция (5.9)'!$F$25:$F$194,$F83,'Калькуляция (5.9)'!$G$25:$G$194,$G83))</f>
        <v>0</v>
      </c>
      <c r="BD83" s="341">
        <f ca="1">IF(BB83=0,0,(BC83-BB83)/BB83*100)</f>
        <v>0</v>
      </c>
      <c r="BE83" s="1534">
        <f ca="1">IF(method_reg="Метод сравнения аналогов",SUMIFS(INDEX('Калькуляция (МСА)'!$AE$25:$BC$109,,MATCH(BE$8,'Калькуляция (МСА)'!$AE$8:$BC$8,0)),'Калькуляция (МСА)'!$F$25:$F$109,$F83,'Калькуляция (МСА)'!$G$25:$G$109,$G83),SUMIFS(INDEX('Калькуляция (5.9)'!$AJ$25:$BC$194,,MATCH(BE$8,'Калькуляция (5.9)'!$AJ$8:$BC$8,0)),'Калькуляция (5.9)'!$F$25:$F$194,$F83,'Калькуляция (5.9)'!$G$25:$G$194,$G83))</f>
        <v>0</v>
      </c>
      <c r="BF83" s="1534">
        <f ca="1">IF(method_reg="Метод сравнения аналогов",SUMIFS(INDEX('Калькуляция (МСА)'!$AE$25:$BC$109,,MATCH(BF$8,'Калькуляция (МСА)'!$AE$8:$BC$8,0)),'Калькуляция (МСА)'!$F$25:$F$109,$F83,'Калькуляция (МСА)'!$G$25:$G$109,$G83),SUMIFS(INDEX('Калькуляция (5.9)'!$AJ$25:$BC$194,,MATCH(BF$8,'Калькуляция (5.9)'!$AJ$8:$BC$8,0)),'Калькуляция (5.9)'!$F$25:$F$194,$F83,'Калькуляция (5.9)'!$G$25:$G$194,$G83))</f>
        <v>0</v>
      </c>
      <c r="BG83" s="341">
        <f ca="1">IF(BE83=0,0,(BF83-BE83)/BE83*100)</f>
        <v>0</v>
      </c>
      <c r="BH83" s="1534"/>
      <c r="BI83" s="1534"/>
      <c r="BJ83" s="341">
        <f>IF(BH83=0,0,(BI83-BH83)/BH83*100)</f>
        <v>0</v>
      </c>
      <c r="BK83" s="1534"/>
      <c r="BL83" s="1534"/>
      <c r="BM83" s="341">
        <f>IF(BK83=0,0,(BL83-BK83)/BK83*100)</f>
        <v>0</v>
      </c>
      <c r="BN83" s="1534"/>
      <c r="BO83" s="1534"/>
      <c r="BP83" s="341">
        <f>IF(BN83=0,0,(BO83-BN83)/BN83*100)</f>
        <v>0</v>
      </c>
      <c r="BQ83" s="1534"/>
      <c r="BR83" s="1534"/>
      <c r="BS83" s="341">
        <f>IF(BQ83=0,0,(BR83-BQ83)/BQ83*100)</f>
        <v>0</v>
      </c>
      <c r="BT83" s="1534"/>
      <c r="BU83" s="1534"/>
      <c r="BV83" s="341">
        <f>IF(BT83=0,0,(BU83-BT83)/BT83*100)</f>
        <v>0</v>
      </c>
      <c r="BW83" s="1534"/>
      <c r="BX83" s="1534"/>
      <c r="BY83" s="341">
        <f>IF(BW83=0,0,(BX83-BW83)/BW83*100)</f>
        <v>0</v>
      </c>
      <c r="BZ83" s="1534"/>
      <c r="CA83" s="1534"/>
      <c r="CB83" s="341">
        <f>IF(BZ83=0,0,(CA83-BZ83)/BZ83*100)</f>
        <v>0</v>
      </c>
      <c r="CC83" s="1534"/>
      <c r="CD83" s="1534"/>
      <c r="CE83" s="341">
        <f>IF(CC83=0,0,(CD83-CC83)/CC83*100)</f>
        <v>0</v>
      </c>
      <c r="CF83" s="1534"/>
      <c r="CG83" s="1534"/>
      <c r="CH83" s="341">
        <f>IF(CF83=0,0,(CG83-CF83)/CF83*100)</f>
        <v>0</v>
      </c>
      <c r="CI83" s="1534"/>
      <c r="CJ83" s="1534"/>
      <c r="CK83" s="341">
        <f>IF(CI83=0,0,(CJ83-CI83)/CI83*100)</f>
        <v>0</v>
      </c>
      <c r="CL83" s="1534"/>
      <c r="CM83" s="1534"/>
      <c r="CN83" s="341">
        <f>IF(CL83=0,0,(CM83-CL83)/CL83*100)</f>
        <v>0</v>
      </c>
      <c r="CO83" s="1534"/>
      <c r="CP83" s="1534"/>
      <c r="CQ83" s="341">
        <f>IF(CO83=0,0,(CP83-CO83)/CO83*100)</f>
        <v>0</v>
      </c>
      <c r="CR83" s="1534"/>
      <c r="CS83" s="1534"/>
      <c r="CT83" s="341">
        <f>IF(CR83=0,0,(CS83-CR83)/CR83*100)</f>
        <v>0</v>
      </c>
      <c r="CU83" s="1534"/>
      <c r="CV83" s="1534"/>
      <c r="CW83" s="341">
        <f>IF(CU83=0,0,(CV83-CU83)/CU83*100)</f>
        <v>0</v>
      </c>
      <c r="CX83" s="1534"/>
      <c r="CY83" s="1534"/>
      <c r="CZ83" s="341">
        <f>IF(CX83=0,0,(CY83-CX83)/CX83*100)</f>
        <v>0</v>
      </c>
      <c r="DA83" s="1534"/>
      <c r="DB83" s="1534"/>
      <c r="DC83" s="341">
        <f>IF(DA83=0,0,(DB83-DA83)/DA83*100)</f>
        <v>0</v>
      </c>
      <c r="DD83" s="1534"/>
      <c r="DE83" s="1534"/>
      <c r="DF83" s="341">
        <f>IF(DD83=0,0,(DE83-DD83)/DD83*100)</f>
        <v>0</v>
      </c>
      <c r="DG83" s="1534"/>
      <c r="DH83" s="1534"/>
      <c r="DI83" s="341">
        <f>IF(DG83=0,0,(DH83-DG83)/DG83*100)</f>
        <v>0</v>
      </c>
      <c r="DJ83" s="1534"/>
      <c r="DK83" s="1534"/>
      <c r="DL83" s="341">
        <f>IF(DJ83=0,0,(DK83-DJ83)/DJ83*100)</f>
        <v>0</v>
      </c>
      <c r="DM83" s="1534"/>
      <c r="DN83" s="1534"/>
      <c r="DO83" s="341">
        <f>IF(DM83=0,0,(DN83-DM83)/DM83*100)</f>
        <v>0</v>
      </c>
      <c r="DP83" s="1534"/>
      <c r="DQ83" s="1534"/>
      <c r="DR83" s="341">
        <f>IF(DP83=0,0,(DQ83-DP83)/DP83*100)</f>
        <v>0</v>
      </c>
      <c r="DS83" s="1534"/>
      <c r="DT83" s="1534"/>
      <c r="DU83" s="341">
        <f>IF(DS83=0,0,(DT83-DS83)/DS83*100)</f>
        <v>0</v>
      </c>
      <c r="DV83" s="1534"/>
      <c r="DW83" s="1534"/>
      <c r="DX83" s="341">
        <f>IF(DV83=0,0,(DW83-DV83)/DV83*100)</f>
        <v>0</v>
      </c>
      <c r="DY83" s="1534"/>
      <c r="DZ83" s="1534"/>
      <c r="EA83" s="341">
        <f>IF(DY83=0,0,(DZ83-DY83)/DY83*100)</f>
        <v>0</v>
      </c>
      <c r="EB83" s="1534"/>
      <c r="EC83" s="1534"/>
      <c r="ED83" s="341">
        <f>IF(EB83=0,0,(EC83-EB83)/EB83*100)</f>
        <v>0</v>
      </c>
      <c r="EE83" s="1534"/>
      <c r="EF83" s="1534"/>
      <c r="EG83" s="341">
        <f>IF(EE83=0,0,(EF83-EE83)/EE83*100)</f>
        <v>0</v>
      </c>
      <c r="EH83" s="1534"/>
      <c r="EI83" s="1534"/>
      <c r="EJ83" s="341">
        <f>IF(EH83=0,0,(EI83-EH83)/EH83*100)</f>
        <v>0</v>
      </c>
      <c r="EK83" s="1534"/>
      <c r="EL83" s="1534"/>
      <c r="EM83" s="341">
        <f>IF(EK83=0,0,(EL83-EK83)/EK83*100)</f>
        <v>0</v>
      </c>
      <c r="EN83" s="1534"/>
      <c r="EO83" s="1534"/>
      <c r="EP83" s="341">
        <f>IF(EN83=0,0,(EO83-EN83)/EN83*100)</f>
        <v>0</v>
      </c>
      <c r="EQ83" s="1534"/>
      <c r="ER83" s="1534"/>
      <c r="ES83" s="341">
        <f>IF(EQ83=0,0,(ER83-EQ83)/EQ83*100)</f>
        <v>0</v>
      </c>
      <c r="ET83" s="1534"/>
      <c r="EU83" s="1534"/>
      <c r="EV83" s="341">
        <f>IF(ET83=0,0,(EU83-ET83)/ET83*100)</f>
        <v>0</v>
      </c>
      <c r="EW83" s="1534"/>
      <c r="EX83" s="1534"/>
      <c r="EY83" s="341">
        <f>IF(EW83=0,0,(EX83-EW83)/EW83*100)</f>
        <v>0</v>
      </c>
      <c r="EZ83" s="1534"/>
      <c r="FA83" s="1534"/>
      <c r="FB83" s="341">
        <f>IF(EZ83=0,0,(FA83-EZ83)/EZ83*100)</f>
        <v>0</v>
      </c>
      <c r="FC83" s="1534"/>
      <c r="FD83" s="1534"/>
      <c r="FE83" s="341">
        <f>IF(FC83=0,0,(FD83-FC83)/FC83*100)</f>
        <v>0</v>
      </c>
      <c r="FF83" s="1534"/>
      <c r="FG83" s="1534"/>
      <c r="FH83" s="341">
        <f>IF(FF83=0,0,(FG83-FF83)/FF83*100)</f>
        <v>0</v>
      </c>
      <c r="FI83" s="1534"/>
      <c r="FJ83" s="1534"/>
      <c r="FK83" s="341">
        <f>IF(FI83=0,0,(FJ83-FI83)/FI83*100)</f>
        <v>0</v>
      </c>
      <c r="FL83" s="1534"/>
      <c r="FM83" s="1534"/>
      <c r="FN83" s="341">
        <f>IF(FL83=0,0,(FM83-FL83)/FL83*100)</f>
        <v>0</v>
      </c>
      <c r="FO83" s="1534"/>
      <c r="FP83" s="1534"/>
      <c r="FQ83" s="341">
        <f>IF(FO83=0,0,(FP83-FO83)/FO83*100)</f>
        <v>0</v>
      </c>
      <c r="FR83" s="1534"/>
      <c r="FS83" s="1534"/>
      <c r="FT83" s="341">
        <f>IF(FR83=0,0,(FS83-FR83)/FR83*100)</f>
        <v>0</v>
      </c>
      <c r="FU83" s="1534"/>
      <c r="FV83" s="1534"/>
      <c r="FW83" s="341">
        <f>IF(FU83=0,0,(FV83-FU83)/FU83*100)</f>
        <v>0</v>
      </c>
      <c r="FX83" s="425"/>
      <c r="FY83" s="425"/>
      <c r="FZ83" s="981" t="s">
        <v>2166</v>
      </c>
      <c r="GA83" s="981"/>
      <c r="GB83" s="981"/>
      <c r="GC83" s="981"/>
      <c r="GD83" s="981"/>
    </row>
    <row r="84" spans="1:186" s="1229" customFormat="1" ht="16.5" customHeight="1">
      <c r="A84" s="1153"/>
      <c r="B84" s="813" t="b" cm="1">
        <f t="array" ref="B84">B83</f>
        <v>1</v>
      </c>
      <c r="C84" s="1118" t="s">
        <v>1779</v>
      </c>
      <c r="D84" s="1087" t="s">
        <v>1780</v>
      </c>
      <c r="E84" s="676">
        <v>17.100000000000001</v>
      </c>
      <c r="F84" s="779" t="str" cm="1">
        <f t="array" aca="1" ref="F84" ca="1">OFFSET(G84,-1,-1)</f>
        <v>1</v>
      </c>
      <c r="G84" s="143" t="s">
        <v>1790</v>
      </c>
      <c r="H84" s="425"/>
      <c r="I84" s="425"/>
      <c r="J84" s="1108" t="s">
        <v>2149</v>
      </c>
      <c r="K84" s="1108" t="str" cm="1">
        <f t="array" aca="1" ref="K84" ca="1">OFFSET(J84,-1,1)</f>
        <v>ТЭ.42.26322895.0003</v>
      </c>
      <c r="L84" s="1108" t="s">
        <v>2163</v>
      </c>
      <c r="M84" s="1108" t="s">
        <v>1791</v>
      </c>
      <c r="N84" s="1108" t="s">
        <v>2151</v>
      </c>
      <c r="O84" s="1109" t="s">
        <v>2152</v>
      </c>
      <c r="P84" s="1108"/>
      <c r="Q84" s="1108"/>
      <c r="R84" s="784"/>
      <c r="S84" s="425"/>
      <c r="T84" s="687" t="b" cm="1">
        <f t="array" aca="1" ref="T84" ca="1">T83</f>
        <v>1</v>
      </c>
      <c r="U84" s="1153"/>
      <c r="V84" s="1153"/>
      <c r="W84" s="1153"/>
      <c r="X84" s="1726"/>
      <c r="Y84" s="1153"/>
      <c r="Z84" s="1726"/>
      <c r="AA84" s="425"/>
      <c r="AB84" s="236" t="s">
        <v>1792</v>
      </c>
      <c r="AC84" s="123" t="s">
        <v>634</v>
      </c>
      <c r="AD84" s="1534">
        <f ca="1">IF(method_reg="Метод экономически обоснованных расходов",SUMIFS('Калькуляция (4.6)'!AJ$25:AJ$229,'Калькуляция (4.6)'!$F$25:$F$229,$F84,'Калькуляция (4.6)'!$G$25:$G$229,$G84),IF(method_reg="Метод сравнения аналогов",SUMIFS(INDEX('Калькуляция (МСА)'!$AE$25:$BC$109,,MATCH(AD$8,'Калькуляция (МСА)'!$AE$8:$BC$8,0)),'Калькуляция (МСА)'!$F$25:$F$109,$F84,'Калькуляция (МСА)'!$G$25:$G$109,$G84),SUMIFS(INDEX('Калькуляция (5.9)'!$AJ$25:$BC$194,,MATCH(AD$8,'Калькуляция (5.9)'!$AJ$8:$BC$8,0)),'Калькуляция (5.9)'!$F$25:$F$194,$F84,'Калькуляция (5.9)'!$G$25:$G$194,$G84)))</f>
        <v>0</v>
      </c>
      <c r="AE84" s="1534">
        <f ca="1">IF(method_reg="Метод экономически обоснованных расходов",SUMIFS('Калькуляция (4.6)'!AK$25:AK$229,'Калькуляция (4.6)'!$F$25:$F$229,$F84,'Калькуляция (4.6)'!$G$25:$G$229,$G84),IF(method_reg="Метод сравнения аналогов",SUMIFS(INDEX('Калькуляция (МСА)'!$AE$25:$BC$109,,MATCH(AE$8,'Калькуляция (МСА)'!$AE$8:$BC$8,0)),'Калькуляция (МСА)'!$F$25:$F$109,$F84,'Калькуляция (МСА)'!$G$25:$G$109,$G84),SUMIFS(INDEX('Калькуляция (5.9)'!$AJ$25:$BC$194,,MATCH(AE$8,'Калькуляция (5.9)'!$AJ$8:$BC$8,0)),'Калькуляция (5.9)'!$F$25:$F$194,$F84,'Калькуляция (5.9)'!$G$25:$G$194,$G84)))</f>
        <v>36932.309999999983</v>
      </c>
      <c r="AF84" s="341">
        <f ca="1">IF(AD84=0,0,(AE84-AD84)/AD84*100)</f>
        <v>0</v>
      </c>
      <c r="AG84" s="354">
        <f ca="1">IF(method_reg="Метод сравнения аналогов",SUMIFS(INDEX('Калькуляция (МСА)'!$AE$25:$BC$109,,MATCH(AG$8,'Калькуляция (МСА)'!$AE$8:$BC$8,0)),'Калькуляция (МСА)'!$F$25:$F$109,$F84,'Калькуляция (МСА)'!$G$25:$G$109,$G84),SUMIFS(INDEX('Калькуляция (5.9)'!$AJ$25:$BC$194,,MATCH(AG$8,'Калькуляция (5.9)'!$AJ$8:$BC$8,0)),'Калькуляция (5.9)'!$F$25:$F$194,$F84,'Калькуляция (5.9)'!$G$25:$G$194,$G84))</f>
        <v>0</v>
      </c>
      <c r="AH84" s="354">
        <f ca="1">IF(method_reg="Метод сравнения аналогов",SUMIFS(INDEX('Калькуляция (МСА)'!$AE$25:$BC$109,,MATCH(AH$8,'Калькуляция (МСА)'!$AE$8:$BC$8,0)),'Калькуляция (МСА)'!$F$25:$F$109,$F84,'Калькуляция (МСА)'!$G$25:$G$109,$G84),SUMIFS(INDEX('Калькуляция (5.9)'!$AJ$25:$BC$194,,MATCH(AH$8,'Калькуляция (5.9)'!$AJ$8:$BC$8,0)),'Калькуляция (5.9)'!$F$25:$F$194,$F84,'Калькуляция (5.9)'!$G$25:$G$194,$G84))</f>
        <v>0</v>
      </c>
      <c r="AI84" s="341">
        <f ca="1">IF(AG84=0,0,(AH84-AG84)/AG84*100)</f>
        <v>0</v>
      </c>
      <c r="AJ84" s="354">
        <f ca="1">IF(method_reg="Метод сравнения аналогов",SUMIFS(INDEX('Калькуляция (МСА)'!$AE$25:$BC$109,,MATCH(AJ$8,'Калькуляция (МСА)'!$AE$8:$BC$8,0)),'Калькуляция (МСА)'!$F$25:$F$109,$F84,'Калькуляция (МСА)'!$G$25:$G$109,$G84),SUMIFS(INDEX('Калькуляция (5.9)'!$AJ$25:$BC$194,,MATCH(AJ$8,'Калькуляция (5.9)'!$AJ$8:$BC$8,0)),'Калькуляция (5.9)'!$F$25:$F$194,$F84,'Калькуляция (5.9)'!$G$25:$G$194,$G84))</f>
        <v>0</v>
      </c>
      <c r="AK84" s="354">
        <f ca="1">IF(method_reg="Метод сравнения аналогов",SUMIFS(INDEX('Калькуляция (МСА)'!$AE$25:$BC$109,,MATCH(AK$8,'Калькуляция (МСА)'!$AE$8:$BC$8,0)),'Калькуляция (МСА)'!$F$25:$F$109,$F84,'Калькуляция (МСА)'!$G$25:$G$109,$G84),SUMIFS(INDEX('Калькуляция (5.9)'!$AJ$25:$BC$194,,MATCH(AK$8,'Калькуляция (5.9)'!$AJ$8:$BC$8,0)),'Калькуляция (5.9)'!$F$25:$F$194,$F84,'Калькуляция (5.9)'!$G$25:$G$194,$G84))</f>
        <v>0</v>
      </c>
      <c r="AL84" s="341">
        <f ca="1">IF(AJ84=0,0,(AK84-AJ84)/AJ84*100)</f>
        <v>0</v>
      </c>
      <c r="AM84" s="354">
        <f ca="1">IF(method_reg="Метод сравнения аналогов",SUMIFS(INDEX('Калькуляция (МСА)'!$AE$25:$BC$109,,MATCH(AM$8,'Калькуляция (МСА)'!$AE$8:$BC$8,0)),'Калькуляция (МСА)'!$F$25:$F$109,$F84,'Калькуляция (МСА)'!$G$25:$G$109,$G84),SUMIFS(INDEX('Калькуляция (5.9)'!$AJ$25:$BC$194,,MATCH(AM$8,'Калькуляция (5.9)'!$AJ$8:$BC$8,0)),'Калькуляция (5.9)'!$F$25:$F$194,$F84,'Калькуляция (5.9)'!$G$25:$G$194,$G84))</f>
        <v>0</v>
      </c>
      <c r="AN84" s="354">
        <f ca="1">IF(method_reg="Метод сравнения аналогов",SUMIFS(INDEX('Калькуляция (МСА)'!$AE$25:$BC$109,,MATCH(AN$8,'Калькуляция (МСА)'!$AE$8:$BC$8,0)),'Калькуляция (МСА)'!$F$25:$F$109,$F84,'Калькуляция (МСА)'!$G$25:$G$109,$G84),SUMIFS(INDEX('Калькуляция (5.9)'!$AJ$25:$BC$194,,MATCH(AN$8,'Калькуляция (5.9)'!$AJ$8:$BC$8,0)),'Калькуляция (5.9)'!$F$25:$F$194,$F84,'Калькуляция (5.9)'!$G$25:$G$194,$G84))</f>
        <v>0</v>
      </c>
      <c r="AO84" s="341">
        <f ca="1">IF(AM84=0,0,(AN84-AM84)/AM84*100)</f>
        <v>0</v>
      </c>
      <c r="AP84" s="354">
        <f ca="1">IF(method_reg="Метод сравнения аналогов",SUMIFS(INDEX('Калькуляция (МСА)'!$AE$25:$BC$109,,MATCH(AP$8,'Калькуляция (МСА)'!$AE$8:$BC$8,0)),'Калькуляция (МСА)'!$F$25:$F$109,$F84,'Калькуляция (МСА)'!$G$25:$G$109,$G84),SUMIFS(INDEX('Калькуляция (5.9)'!$AJ$25:$BC$194,,MATCH(AP$8,'Калькуляция (5.9)'!$AJ$8:$BC$8,0)),'Калькуляция (5.9)'!$F$25:$F$194,$F84,'Калькуляция (5.9)'!$G$25:$G$194,$G84))</f>
        <v>0</v>
      </c>
      <c r="AQ84" s="354">
        <f ca="1">IF(method_reg="Метод сравнения аналогов",SUMIFS(INDEX('Калькуляция (МСА)'!$AE$25:$BC$109,,MATCH(AQ$8,'Калькуляция (МСА)'!$AE$8:$BC$8,0)),'Калькуляция (МСА)'!$F$25:$F$109,$F84,'Калькуляция (МСА)'!$G$25:$G$109,$G84),SUMIFS(INDEX('Калькуляция (5.9)'!$AJ$25:$BC$194,,MATCH(AQ$8,'Калькуляция (5.9)'!$AJ$8:$BC$8,0)),'Калькуляция (5.9)'!$F$25:$F$194,$F84,'Калькуляция (5.9)'!$G$25:$G$194,$G84))</f>
        <v>0</v>
      </c>
      <c r="AR84" s="341">
        <f ca="1">IF(AP84=0,0,(AQ84-AP84)/AP84*100)</f>
        <v>0</v>
      </c>
      <c r="AS84" s="1534">
        <f ca="1">IF(method_reg="Метод сравнения аналогов",SUMIFS(INDEX('Калькуляция (МСА)'!$AE$25:$BC$109,,MATCH(AS$8,'Калькуляция (МСА)'!$AE$8:$BC$8,0)),'Калькуляция (МСА)'!$F$25:$F$109,$F84,'Калькуляция (МСА)'!$G$25:$G$109,$G84),SUMIFS(INDEX('Калькуляция (5.9)'!$AJ$25:$BC$194,,MATCH(AS$8,'Калькуляция (5.9)'!$AJ$8:$BC$8,0)),'Калькуляция (5.9)'!$F$25:$F$194,$F84,'Калькуляция (5.9)'!$G$25:$G$194,$G84))</f>
        <v>0</v>
      </c>
      <c r="AT84" s="1534">
        <f ca="1">IF(method_reg="Метод сравнения аналогов",SUMIFS(INDEX('Калькуляция (МСА)'!$AE$25:$BC$109,,MATCH(AT$8,'Калькуляция (МСА)'!$AE$8:$BC$8,0)),'Калькуляция (МСА)'!$F$25:$F$109,$F84,'Калькуляция (МСА)'!$G$25:$G$109,$G84),SUMIFS(INDEX('Калькуляция (5.9)'!$AJ$25:$BC$194,,MATCH(AT$8,'Калькуляция (5.9)'!$AJ$8:$BC$8,0)),'Калькуляция (5.9)'!$F$25:$F$194,$F84,'Калькуляция (5.9)'!$G$25:$G$194,$G84))</f>
        <v>0</v>
      </c>
      <c r="AU84" s="341">
        <f ca="1">IF(AS84=0,0,(AT84-AS84)/AS84*100)</f>
        <v>0</v>
      </c>
      <c r="AV84" s="1534">
        <f ca="1">IF(method_reg="Метод сравнения аналогов",SUMIFS(INDEX('Калькуляция (МСА)'!$AE$25:$BC$109,,MATCH(AV$8,'Калькуляция (МСА)'!$AE$8:$BC$8,0)),'Калькуляция (МСА)'!$F$25:$F$109,$F84,'Калькуляция (МСА)'!$G$25:$G$109,$G84),SUMIFS(INDEX('Калькуляция (5.9)'!$AJ$25:$BC$194,,MATCH(AV$8,'Калькуляция (5.9)'!$AJ$8:$BC$8,0)),'Калькуляция (5.9)'!$F$25:$F$194,$F84,'Калькуляция (5.9)'!$G$25:$G$194,$G84))</f>
        <v>0</v>
      </c>
      <c r="AW84" s="1534">
        <f ca="1">IF(method_reg="Метод сравнения аналогов",SUMIFS(INDEX('Калькуляция (МСА)'!$AE$25:$BC$109,,MATCH(AW$8,'Калькуляция (МСА)'!$AE$8:$BC$8,0)),'Калькуляция (МСА)'!$F$25:$F$109,$F84,'Калькуляция (МСА)'!$G$25:$G$109,$G84),SUMIFS(INDEX('Калькуляция (5.9)'!$AJ$25:$BC$194,,MATCH(AW$8,'Калькуляция (5.9)'!$AJ$8:$BC$8,0)),'Калькуляция (5.9)'!$F$25:$F$194,$F84,'Калькуляция (5.9)'!$G$25:$G$194,$G84))</f>
        <v>0</v>
      </c>
      <c r="AX84" s="341">
        <f ca="1">IF(AV84=0,0,(AW84-AV84)/AV84*100)</f>
        <v>0</v>
      </c>
      <c r="AY84" s="1534">
        <f ca="1">IF(method_reg="Метод сравнения аналогов",SUMIFS(INDEX('Калькуляция (МСА)'!$AE$25:$BC$109,,MATCH(AY$8,'Калькуляция (МСА)'!$AE$8:$BC$8,0)),'Калькуляция (МСА)'!$F$25:$F$109,$F84,'Калькуляция (МСА)'!$G$25:$G$109,$G84),SUMIFS(INDEX('Калькуляция (5.9)'!$AJ$25:$BC$194,,MATCH(AY$8,'Калькуляция (5.9)'!$AJ$8:$BC$8,0)),'Калькуляция (5.9)'!$F$25:$F$194,$F84,'Калькуляция (5.9)'!$G$25:$G$194,$G84))</f>
        <v>0</v>
      </c>
      <c r="AZ84" s="1534">
        <f ca="1">IF(method_reg="Метод сравнения аналогов",SUMIFS(INDEX('Калькуляция (МСА)'!$AE$25:$BC$109,,MATCH(AZ$8,'Калькуляция (МСА)'!$AE$8:$BC$8,0)),'Калькуляция (МСА)'!$F$25:$F$109,$F84,'Калькуляция (МСА)'!$G$25:$G$109,$G84),SUMIFS(INDEX('Калькуляция (5.9)'!$AJ$25:$BC$194,,MATCH(AZ$8,'Калькуляция (5.9)'!$AJ$8:$BC$8,0)),'Калькуляция (5.9)'!$F$25:$F$194,$F84,'Калькуляция (5.9)'!$G$25:$G$194,$G84))</f>
        <v>0</v>
      </c>
      <c r="BA84" s="341">
        <f ca="1">IF(AY84=0,0,(AZ84-AY84)/AY84*100)</f>
        <v>0</v>
      </c>
      <c r="BB84" s="1534">
        <f ca="1">IF(method_reg="Метод сравнения аналогов",SUMIFS(INDEX('Калькуляция (МСА)'!$AE$25:$BC$109,,MATCH(BB$8,'Калькуляция (МСА)'!$AE$8:$BC$8,0)),'Калькуляция (МСА)'!$F$25:$F$109,$F84,'Калькуляция (МСА)'!$G$25:$G$109,$G84),SUMIFS(INDEX('Калькуляция (5.9)'!$AJ$25:$BC$194,,MATCH(BB$8,'Калькуляция (5.9)'!$AJ$8:$BC$8,0)),'Калькуляция (5.9)'!$F$25:$F$194,$F84,'Калькуляция (5.9)'!$G$25:$G$194,$G84))</f>
        <v>0</v>
      </c>
      <c r="BC84" s="1534">
        <f ca="1">IF(method_reg="Метод сравнения аналогов",SUMIFS(INDEX('Калькуляция (МСА)'!$AE$25:$BC$109,,MATCH(BC$8,'Калькуляция (МСА)'!$AE$8:$BC$8,0)),'Калькуляция (МСА)'!$F$25:$F$109,$F84,'Калькуляция (МСА)'!$G$25:$G$109,$G84),SUMIFS(INDEX('Калькуляция (5.9)'!$AJ$25:$BC$194,,MATCH(BC$8,'Калькуляция (5.9)'!$AJ$8:$BC$8,0)),'Калькуляция (5.9)'!$F$25:$F$194,$F84,'Калькуляция (5.9)'!$G$25:$G$194,$G84))</f>
        <v>0</v>
      </c>
      <c r="BD84" s="341">
        <f ca="1">IF(BB84=0,0,(BC84-BB84)/BB84*100)</f>
        <v>0</v>
      </c>
      <c r="BE84" s="1534">
        <f ca="1">IF(method_reg="Метод сравнения аналогов",SUMIFS(INDEX('Калькуляция (МСА)'!$AE$25:$BC$109,,MATCH(BE$8,'Калькуляция (МСА)'!$AE$8:$BC$8,0)),'Калькуляция (МСА)'!$F$25:$F$109,$F84,'Калькуляция (МСА)'!$G$25:$G$109,$G84),SUMIFS(INDEX('Калькуляция (5.9)'!$AJ$25:$BC$194,,MATCH(BE$8,'Калькуляция (5.9)'!$AJ$8:$BC$8,0)),'Калькуляция (5.9)'!$F$25:$F$194,$F84,'Калькуляция (5.9)'!$G$25:$G$194,$G84))</f>
        <v>0</v>
      </c>
      <c r="BF84" s="1534">
        <f ca="1">IF(method_reg="Метод сравнения аналогов",SUMIFS(INDEX('Калькуляция (МСА)'!$AE$25:$BC$109,,MATCH(BF$8,'Калькуляция (МСА)'!$AE$8:$BC$8,0)),'Калькуляция (МСА)'!$F$25:$F$109,$F84,'Калькуляция (МСА)'!$G$25:$G$109,$G84),SUMIFS(INDEX('Калькуляция (5.9)'!$AJ$25:$BC$194,,MATCH(BF$8,'Калькуляция (5.9)'!$AJ$8:$BC$8,0)),'Калькуляция (5.9)'!$F$25:$F$194,$F84,'Калькуляция (5.9)'!$G$25:$G$194,$G84))</f>
        <v>0</v>
      </c>
      <c r="BG84" s="341">
        <f ca="1">IF(BE84=0,0,(BF84-BE84)/BE84*100)</f>
        <v>0</v>
      </c>
      <c r="BH84" s="1534"/>
      <c r="BI84" s="1534"/>
      <c r="BJ84" s="341">
        <f>IF(BH84=0,0,(BI84-BH84)/BH84*100)</f>
        <v>0</v>
      </c>
      <c r="BK84" s="1534"/>
      <c r="BL84" s="1534"/>
      <c r="BM84" s="341">
        <f>IF(BK84=0,0,(BL84-BK84)/BK84*100)</f>
        <v>0</v>
      </c>
      <c r="BN84" s="1534"/>
      <c r="BO84" s="1534"/>
      <c r="BP84" s="341">
        <f>IF(BN84=0,0,(BO84-BN84)/BN84*100)</f>
        <v>0</v>
      </c>
      <c r="BQ84" s="1534"/>
      <c r="BR84" s="1534"/>
      <c r="BS84" s="341">
        <f>IF(BQ84=0,0,(BR84-BQ84)/BQ84*100)</f>
        <v>0</v>
      </c>
      <c r="BT84" s="1534"/>
      <c r="BU84" s="1534"/>
      <c r="BV84" s="341">
        <f>IF(BT84=0,0,(BU84-BT84)/BT84*100)</f>
        <v>0</v>
      </c>
      <c r="BW84" s="1534"/>
      <c r="BX84" s="1534"/>
      <c r="BY84" s="341">
        <f>IF(BW84=0,0,(BX84-BW84)/BW84*100)</f>
        <v>0</v>
      </c>
      <c r="BZ84" s="1534"/>
      <c r="CA84" s="1534"/>
      <c r="CB84" s="341">
        <f>IF(BZ84=0,0,(CA84-BZ84)/BZ84*100)</f>
        <v>0</v>
      </c>
      <c r="CC84" s="1534"/>
      <c r="CD84" s="1534"/>
      <c r="CE84" s="341">
        <f>IF(CC84=0,0,(CD84-CC84)/CC84*100)</f>
        <v>0</v>
      </c>
      <c r="CF84" s="1534"/>
      <c r="CG84" s="1534"/>
      <c r="CH84" s="341">
        <f>IF(CF84=0,0,(CG84-CF84)/CF84*100)</f>
        <v>0</v>
      </c>
      <c r="CI84" s="1534"/>
      <c r="CJ84" s="1534"/>
      <c r="CK84" s="341">
        <f>IF(CI84=0,0,(CJ84-CI84)/CI84*100)</f>
        <v>0</v>
      </c>
      <c r="CL84" s="1534"/>
      <c r="CM84" s="1534"/>
      <c r="CN84" s="341">
        <f>IF(CL84=0,0,(CM84-CL84)/CL84*100)</f>
        <v>0</v>
      </c>
      <c r="CO84" s="1534"/>
      <c r="CP84" s="1534"/>
      <c r="CQ84" s="341">
        <f>IF(CO84=0,0,(CP84-CO84)/CO84*100)</f>
        <v>0</v>
      </c>
      <c r="CR84" s="1534"/>
      <c r="CS84" s="1534"/>
      <c r="CT84" s="341">
        <f>IF(CR84=0,0,(CS84-CR84)/CR84*100)</f>
        <v>0</v>
      </c>
      <c r="CU84" s="1534"/>
      <c r="CV84" s="1534"/>
      <c r="CW84" s="341">
        <f>IF(CU84=0,0,(CV84-CU84)/CU84*100)</f>
        <v>0</v>
      </c>
      <c r="CX84" s="1534"/>
      <c r="CY84" s="1534"/>
      <c r="CZ84" s="341">
        <f>IF(CX84=0,0,(CY84-CX84)/CX84*100)</f>
        <v>0</v>
      </c>
      <c r="DA84" s="1534"/>
      <c r="DB84" s="1534"/>
      <c r="DC84" s="341">
        <f>IF(DA84=0,0,(DB84-DA84)/DA84*100)</f>
        <v>0</v>
      </c>
      <c r="DD84" s="1534"/>
      <c r="DE84" s="1534"/>
      <c r="DF84" s="341">
        <f>IF(DD84=0,0,(DE84-DD84)/DD84*100)</f>
        <v>0</v>
      </c>
      <c r="DG84" s="1534"/>
      <c r="DH84" s="1534"/>
      <c r="DI84" s="341">
        <f>IF(DG84=0,0,(DH84-DG84)/DG84*100)</f>
        <v>0</v>
      </c>
      <c r="DJ84" s="1534"/>
      <c r="DK84" s="1534"/>
      <c r="DL84" s="341">
        <f>IF(DJ84=0,0,(DK84-DJ84)/DJ84*100)</f>
        <v>0</v>
      </c>
      <c r="DM84" s="1534"/>
      <c r="DN84" s="1534"/>
      <c r="DO84" s="341">
        <f>IF(DM84=0,0,(DN84-DM84)/DM84*100)</f>
        <v>0</v>
      </c>
      <c r="DP84" s="1534"/>
      <c r="DQ84" s="1534"/>
      <c r="DR84" s="341">
        <f>IF(DP84=0,0,(DQ84-DP84)/DP84*100)</f>
        <v>0</v>
      </c>
      <c r="DS84" s="1534"/>
      <c r="DT84" s="1534"/>
      <c r="DU84" s="341">
        <f>IF(DS84=0,0,(DT84-DS84)/DS84*100)</f>
        <v>0</v>
      </c>
      <c r="DV84" s="1534"/>
      <c r="DW84" s="1534"/>
      <c r="DX84" s="341">
        <f>IF(DV84=0,0,(DW84-DV84)/DV84*100)</f>
        <v>0</v>
      </c>
      <c r="DY84" s="1534"/>
      <c r="DZ84" s="1534"/>
      <c r="EA84" s="341">
        <f>IF(DY84=0,0,(DZ84-DY84)/DY84*100)</f>
        <v>0</v>
      </c>
      <c r="EB84" s="1534"/>
      <c r="EC84" s="1534"/>
      <c r="ED84" s="341">
        <f>IF(EB84=0,0,(EC84-EB84)/EB84*100)</f>
        <v>0</v>
      </c>
      <c r="EE84" s="1534"/>
      <c r="EF84" s="1534"/>
      <c r="EG84" s="341">
        <f>IF(EE84=0,0,(EF84-EE84)/EE84*100)</f>
        <v>0</v>
      </c>
      <c r="EH84" s="1534"/>
      <c r="EI84" s="1534"/>
      <c r="EJ84" s="341">
        <f>IF(EH84=0,0,(EI84-EH84)/EH84*100)</f>
        <v>0</v>
      </c>
      <c r="EK84" s="1534"/>
      <c r="EL84" s="1534"/>
      <c r="EM84" s="341">
        <f>IF(EK84=0,0,(EL84-EK84)/EK84*100)</f>
        <v>0</v>
      </c>
      <c r="EN84" s="1534"/>
      <c r="EO84" s="1534"/>
      <c r="EP84" s="341">
        <f>IF(EN84=0,0,(EO84-EN84)/EN84*100)</f>
        <v>0</v>
      </c>
      <c r="EQ84" s="1534"/>
      <c r="ER84" s="1534"/>
      <c r="ES84" s="341">
        <f>IF(EQ84=0,0,(ER84-EQ84)/EQ84*100)</f>
        <v>0</v>
      </c>
      <c r="ET84" s="1534"/>
      <c r="EU84" s="1534"/>
      <c r="EV84" s="341">
        <f>IF(ET84=0,0,(EU84-ET84)/ET84*100)</f>
        <v>0</v>
      </c>
      <c r="EW84" s="1534"/>
      <c r="EX84" s="1534"/>
      <c r="EY84" s="341">
        <f>IF(EW84=0,0,(EX84-EW84)/EW84*100)</f>
        <v>0</v>
      </c>
      <c r="EZ84" s="1534"/>
      <c r="FA84" s="1534"/>
      <c r="FB84" s="341">
        <f>IF(EZ84=0,0,(FA84-EZ84)/EZ84*100)</f>
        <v>0</v>
      </c>
      <c r="FC84" s="1534"/>
      <c r="FD84" s="1534"/>
      <c r="FE84" s="341">
        <f>IF(FC84=0,0,(FD84-FC84)/FC84*100)</f>
        <v>0</v>
      </c>
      <c r="FF84" s="1534"/>
      <c r="FG84" s="1534"/>
      <c r="FH84" s="341">
        <f>IF(FF84=0,0,(FG84-FF84)/FF84*100)</f>
        <v>0</v>
      </c>
      <c r="FI84" s="1534"/>
      <c r="FJ84" s="1534"/>
      <c r="FK84" s="341">
        <f>IF(FI84=0,0,(FJ84-FI84)/FI84*100)</f>
        <v>0</v>
      </c>
      <c r="FL84" s="1534"/>
      <c r="FM84" s="1534"/>
      <c r="FN84" s="341">
        <f>IF(FL84=0,0,(FM84-FL84)/FL84*100)</f>
        <v>0</v>
      </c>
      <c r="FO84" s="1534"/>
      <c r="FP84" s="1534"/>
      <c r="FQ84" s="341">
        <f>IF(FO84=0,0,(FP84-FO84)/FO84*100)</f>
        <v>0</v>
      </c>
      <c r="FR84" s="1534"/>
      <c r="FS84" s="1534"/>
      <c r="FT84" s="341">
        <f>IF(FR84=0,0,(FS84-FR84)/FR84*100)</f>
        <v>0</v>
      </c>
      <c r="FU84" s="1534"/>
      <c r="FV84" s="1534"/>
      <c r="FW84" s="341">
        <f>IF(FU84=0,0,(FV84-FU84)/FU84*100)</f>
        <v>0</v>
      </c>
      <c r="FX84" s="425"/>
      <c r="FY84" s="425"/>
      <c r="FZ84" s="981" t="s">
        <v>2167</v>
      </c>
      <c r="GA84" s="981"/>
      <c r="GB84" s="981"/>
      <c r="GC84" s="981"/>
      <c r="GD84" s="981"/>
    </row>
    <row r="85" spans="1:186" s="1535" customFormat="1" ht="16.5" customHeight="1">
      <c r="A85" s="307"/>
      <c r="B85" s="813" t="b" cm="1">
        <f t="array" ref="B85">B84</f>
        <v>1</v>
      </c>
      <c r="C85" s="1118" t="s">
        <v>2168</v>
      </c>
      <c r="D85" s="1087" t="s">
        <v>2169</v>
      </c>
      <c r="E85" s="676">
        <v>17.100000000000001</v>
      </c>
      <c r="F85" s="779" t="str" cm="1">
        <f t="array" aca="1" ref="F85" ca="1">OFFSET(G85,-1,-1)</f>
        <v>1</v>
      </c>
      <c r="G85" s="307"/>
      <c r="H85" s="163" t="s">
        <v>536</v>
      </c>
      <c r="I85" s="163" t="s">
        <v>2170</v>
      </c>
      <c r="J85" s="1108" t="s">
        <v>2149</v>
      </c>
      <c r="K85" s="1108" t="str" cm="1">
        <f t="array" aca="1" ref="K85" ca="1">OFFSET(J85,-1,1)</f>
        <v>ТЭ.42.26322895.0003</v>
      </c>
      <c r="L85" s="1108"/>
      <c r="M85" s="1108" t="s">
        <v>1782</v>
      </c>
      <c r="N85" s="1108" t="s">
        <v>2171</v>
      </c>
      <c r="O85" s="1109" t="s">
        <v>2172</v>
      </c>
      <c r="P85" s="1108"/>
      <c r="Q85" s="1108"/>
      <c r="R85" s="307"/>
      <c r="S85" s="307"/>
      <c r="T85" s="687" t="b" cm="1">
        <f t="array" aca="1" ref="T85" ca="1">T84</f>
        <v>1</v>
      </c>
      <c r="U85" s="307"/>
      <c r="V85" s="307"/>
      <c r="W85" s="307"/>
      <c r="X85" s="1853"/>
      <c r="Y85" s="307"/>
      <c r="Z85" s="1853"/>
      <c r="AA85" s="307"/>
      <c r="AB85" s="1140" t="s">
        <v>2173</v>
      </c>
      <c r="AC85" s="308" t="s">
        <v>929</v>
      </c>
      <c r="AD85" s="1532">
        <f ca="1">IF(tax_system="ОСНО",AD79*(1+Сценарии!AE$26%),AD79)</f>
        <v>0</v>
      </c>
      <c r="AE85" s="1532">
        <f ca="1">IF(tax_system="ОСНО",AE79*(1+Сценарии!AO$26%),AE79)</f>
        <v>4299.3531999999996</v>
      </c>
      <c r="AF85" s="310">
        <f ca="1">IF(AD85=0,0,(AE85-AD85)/AD85*100)</f>
        <v>0</v>
      </c>
      <c r="AG85" s="309">
        <f ca="1">IF(tax_system="ОСНО",AG79*(1+Сценарии!AF$26%),AG79)</f>
        <v>0</v>
      </c>
      <c r="AH85" s="309">
        <f ca="1">IF(tax_system="ОСНО",AH79*(1+Сценарии!AP$26%),AH79)</f>
        <v>0</v>
      </c>
      <c r="AI85" s="310">
        <f ca="1">IF(AG85=0,0,(AH85-AG85)/AG85*100)</f>
        <v>0</v>
      </c>
      <c r="AJ85" s="309">
        <f ca="1">IF(tax_system="ОСНО",AJ79*(1+Сценарии!AG$26%),AJ79)</f>
        <v>0</v>
      </c>
      <c r="AK85" s="309">
        <f ca="1">IF(tax_system="ОСНО",AK79*(1+Сценарии!AQ$26%),AK79)</f>
        <v>0</v>
      </c>
      <c r="AL85" s="310">
        <f ca="1">IF(AJ85=0,0,(AK85-AJ85)/AJ85*100)</f>
        <v>0</v>
      </c>
      <c r="AM85" s="309">
        <f ca="1">IF(tax_system="ОСНО",AM79*(1+Сценарии!AH$26%),AM79)</f>
        <v>0</v>
      </c>
      <c r="AN85" s="309">
        <f ca="1">IF(tax_system="ОСНО",AN79*(1+Сценарии!AR$26%),AN79)</f>
        <v>0</v>
      </c>
      <c r="AO85" s="310">
        <f ca="1">IF(AM85=0,0,(AN85-AM85)/AM85*100)</f>
        <v>0</v>
      </c>
      <c r="AP85" s="309">
        <f ca="1">IF(tax_system="ОСНО",AP79*(1+Сценарии!AI$26%),AP79)</f>
        <v>0</v>
      </c>
      <c r="AQ85" s="309">
        <f ca="1">IF(tax_system="ОСНО",AQ79*(1+Сценарии!AS$26%),AQ79)</f>
        <v>0</v>
      </c>
      <c r="AR85" s="310">
        <f ca="1">IF(AP85=0,0,(AQ85-AP85)/AP85*100)</f>
        <v>0</v>
      </c>
      <c r="AS85" s="1532">
        <f ca="1">IF(tax_system="ОСНО",AS79*(1+Сценарии!AJ$26%),AS79)</f>
        <v>0</v>
      </c>
      <c r="AT85" s="1532">
        <f ca="1">IF(tax_system="ОСНО",AT79*(1+Сценарии!AT$26%),AT79)</f>
        <v>0</v>
      </c>
      <c r="AU85" s="310">
        <f ca="1">IF(AS85=0,0,(AT85-AS85)/AS85*100)</f>
        <v>0</v>
      </c>
      <c r="AV85" s="1532">
        <f ca="1">IF(tax_system="ОСНО",AV79*(1+Сценарии!AK$26%),AV79)</f>
        <v>0</v>
      </c>
      <c r="AW85" s="1532">
        <f ca="1">IF(tax_system="ОСНО",AW79*(1+Сценарии!AU$26%),AW79)</f>
        <v>0</v>
      </c>
      <c r="AX85" s="310">
        <f ca="1">IF(AV85=0,0,(AW85-AV85)/AV85*100)</f>
        <v>0</v>
      </c>
      <c r="AY85" s="1532">
        <f ca="1">IF(tax_system="ОСНО",AY79*(1+Сценарии!AL$26%),AY79)</f>
        <v>0</v>
      </c>
      <c r="AZ85" s="1532">
        <f ca="1">IF(tax_system="ОСНО",AZ79*(1+Сценарии!AV$26%),AZ79)</f>
        <v>0</v>
      </c>
      <c r="BA85" s="310">
        <f ca="1">IF(AY85=0,0,(AZ85-AY85)/AY85*100)</f>
        <v>0</v>
      </c>
      <c r="BB85" s="1532">
        <f ca="1">IF(tax_system="ОСНО",BB79*(1+Сценарии!AM$26%),BB79)</f>
        <v>0</v>
      </c>
      <c r="BC85" s="1532">
        <f ca="1">IF(tax_system="ОСНО",BC79*(1+Сценарии!AW$26%),BC79)</f>
        <v>0</v>
      </c>
      <c r="BD85" s="310">
        <f ca="1">IF(BB85=0,0,(BC85-BB85)/BB85*100)</f>
        <v>0</v>
      </c>
      <c r="BE85" s="1532">
        <f ca="1">IF(tax_system="ОСНО",BE79*(1+Сценарии!AN$26%),BE79)</f>
        <v>0</v>
      </c>
      <c r="BF85" s="1532">
        <f ca="1">IF(tax_system="ОСНО",BF79*(1+Сценарии!AX$26%),BF79)</f>
        <v>0</v>
      </c>
      <c r="BG85" s="310">
        <f ca="1">IF(BE85=0,0,(BF85-BE85)/BE85*100)</f>
        <v>0</v>
      </c>
      <c r="BH85" s="1532"/>
      <c r="BI85" s="1532"/>
      <c r="BJ85" s="310">
        <f>IF(BH85=0,0,(BI85-BH85)/BH85*100)</f>
        <v>0</v>
      </c>
      <c r="BK85" s="1532"/>
      <c r="BL85" s="1532"/>
      <c r="BM85" s="310">
        <f>IF(BK85=0,0,(BL85-BK85)/BK85*100)</f>
        <v>0</v>
      </c>
      <c r="BN85" s="1532"/>
      <c r="BO85" s="1532"/>
      <c r="BP85" s="310">
        <f>IF(BN85=0,0,(BO85-BN85)/BN85*100)</f>
        <v>0</v>
      </c>
      <c r="BQ85" s="1532"/>
      <c r="BR85" s="1532"/>
      <c r="BS85" s="310">
        <f>IF(BQ85=0,0,(BR85-BQ85)/BQ85*100)</f>
        <v>0</v>
      </c>
      <c r="BT85" s="1532"/>
      <c r="BU85" s="1532"/>
      <c r="BV85" s="310">
        <f>IF(BT85=0,0,(BU85-BT85)/BT85*100)</f>
        <v>0</v>
      </c>
      <c r="BW85" s="1532"/>
      <c r="BX85" s="1532"/>
      <c r="BY85" s="310">
        <f>IF(BW85=0,0,(BX85-BW85)/BW85*100)</f>
        <v>0</v>
      </c>
      <c r="BZ85" s="1532"/>
      <c r="CA85" s="1532"/>
      <c r="CB85" s="310">
        <f>IF(BZ85=0,0,(CA85-BZ85)/BZ85*100)</f>
        <v>0</v>
      </c>
      <c r="CC85" s="1532"/>
      <c r="CD85" s="1532"/>
      <c r="CE85" s="310">
        <f>IF(CC85=0,0,(CD85-CC85)/CC85*100)</f>
        <v>0</v>
      </c>
      <c r="CF85" s="1532"/>
      <c r="CG85" s="1532"/>
      <c r="CH85" s="310">
        <f>IF(CF85=0,0,(CG85-CF85)/CF85*100)</f>
        <v>0</v>
      </c>
      <c r="CI85" s="1532"/>
      <c r="CJ85" s="1532"/>
      <c r="CK85" s="310">
        <f>IF(CI85=0,0,(CJ85-CI85)/CI85*100)</f>
        <v>0</v>
      </c>
      <c r="CL85" s="1532"/>
      <c r="CM85" s="1532"/>
      <c r="CN85" s="310">
        <f>IF(CL85=0,0,(CM85-CL85)/CL85*100)</f>
        <v>0</v>
      </c>
      <c r="CO85" s="1532"/>
      <c r="CP85" s="1532"/>
      <c r="CQ85" s="310">
        <f>IF(CO85=0,0,(CP85-CO85)/CO85*100)</f>
        <v>0</v>
      </c>
      <c r="CR85" s="1532"/>
      <c r="CS85" s="1532"/>
      <c r="CT85" s="310">
        <f>IF(CR85=0,0,(CS85-CR85)/CR85*100)</f>
        <v>0</v>
      </c>
      <c r="CU85" s="1532"/>
      <c r="CV85" s="1532"/>
      <c r="CW85" s="310">
        <f>IF(CU85=0,0,(CV85-CU85)/CU85*100)</f>
        <v>0</v>
      </c>
      <c r="CX85" s="1532"/>
      <c r="CY85" s="1532"/>
      <c r="CZ85" s="310">
        <f>IF(CX85=0,0,(CY85-CX85)/CX85*100)</f>
        <v>0</v>
      </c>
      <c r="DA85" s="1532"/>
      <c r="DB85" s="1532"/>
      <c r="DC85" s="310">
        <f>IF(DA85=0,0,(DB85-DA85)/DA85*100)</f>
        <v>0</v>
      </c>
      <c r="DD85" s="1532"/>
      <c r="DE85" s="1532"/>
      <c r="DF85" s="310">
        <f>IF(DD85=0,0,(DE85-DD85)/DD85*100)</f>
        <v>0</v>
      </c>
      <c r="DG85" s="1532"/>
      <c r="DH85" s="1532"/>
      <c r="DI85" s="310">
        <f>IF(DG85=0,0,(DH85-DG85)/DG85*100)</f>
        <v>0</v>
      </c>
      <c r="DJ85" s="1532"/>
      <c r="DK85" s="1532"/>
      <c r="DL85" s="310">
        <f>IF(DJ85=0,0,(DK85-DJ85)/DJ85*100)</f>
        <v>0</v>
      </c>
      <c r="DM85" s="1532"/>
      <c r="DN85" s="1532"/>
      <c r="DO85" s="310">
        <f>IF(DM85=0,0,(DN85-DM85)/DM85*100)</f>
        <v>0</v>
      </c>
      <c r="DP85" s="1532"/>
      <c r="DQ85" s="1532"/>
      <c r="DR85" s="310">
        <f>IF(DP85=0,0,(DQ85-DP85)/DP85*100)</f>
        <v>0</v>
      </c>
      <c r="DS85" s="1532"/>
      <c r="DT85" s="1532"/>
      <c r="DU85" s="310">
        <f>IF(DS85=0,0,(DT85-DS85)/DS85*100)</f>
        <v>0</v>
      </c>
      <c r="DV85" s="1532"/>
      <c r="DW85" s="1532"/>
      <c r="DX85" s="310">
        <f>IF(DV85=0,0,(DW85-DV85)/DV85*100)</f>
        <v>0</v>
      </c>
      <c r="DY85" s="1532"/>
      <c r="DZ85" s="1532"/>
      <c r="EA85" s="310">
        <f>IF(DY85=0,0,(DZ85-DY85)/DY85*100)</f>
        <v>0</v>
      </c>
      <c r="EB85" s="1532"/>
      <c r="EC85" s="1532"/>
      <c r="ED85" s="310">
        <f>IF(EB85=0,0,(EC85-EB85)/EB85*100)</f>
        <v>0</v>
      </c>
      <c r="EE85" s="1532"/>
      <c r="EF85" s="1532"/>
      <c r="EG85" s="310">
        <f>IF(EE85=0,0,(EF85-EE85)/EE85*100)</f>
        <v>0</v>
      </c>
      <c r="EH85" s="1532"/>
      <c r="EI85" s="1532"/>
      <c r="EJ85" s="310">
        <f>IF(EH85=0,0,(EI85-EH85)/EH85*100)</f>
        <v>0</v>
      </c>
      <c r="EK85" s="1532"/>
      <c r="EL85" s="1532"/>
      <c r="EM85" s="310">
        <f>IF(EK85=0,0,(EL85-EK85)/EK85*100)</f>
        <v>0</v>
      </c>
      <c r="EN85" s="1532"/>
      <c r="EO85" s="1532"/>
      <c r="EP85" s="310">
        <f>IF(EN85=0,0,(EO85-EN85)/EN85*100)</f>
        <v>0</v>
      </c>
      <c r="EQ85" s="1532"/>
      <c r="ER85" s="1532"/>
      <c r="ES85" s="310">
        <f>IF(EQ85=0,0,(ER85-EQ85)/EQ85*100)</f>
        <v>0</v>
      </c>
      <c r="ET85" s="1532"/>
      <c r="EU85" s="1532"/>
      <c r="EV85" s="310">
        <f>IF(ET85=0,0,(EU85-ET85)/ET85*100)</f>
        <v>0</v>
      </c>
      <c r="EW85" s="1532"/>
      <c r="EX85" s="1532"/>
      <c r="EY85" s="310">
        <f>IF(EW85=0,0,(EX85-EW85)/EW85*100)</f>
        <v>0</v>
      </c>
      <c r="EZ85" s="1532"/>
      <c r="FA85" s="1532"/>
      <c r="FB85" s="310">
        <f>IF(EZ85=0,0,(FA85-EZ85)/EZ85*100)</f>
        <v>0</v>
      </c>
      <c r="FC85" s="1532"/>
      <c r="FD85" s="1532"/>
      <c r="FE85" s="310">
        <f>IF(FC85=0,0,(FD85-FC85)/FC85*100)</f>
        <v>0</v>
      </c>
      <c r="FF85" s="1532"/>
      <c r="FG85" s="1532"/>
      <c r="FH85" s="310">
        <f>IF(FF85=0,0,(FG85-FF85)/FF85*100)</f>
        <v>0</v>
      </c>
      <c r="FI85" s="1532"/>
      <c r="FJ85" s="1532"/>
      <c r="FK85" s="310">
        <f>IF(FI85=0,0,(FJ85-FI85)/FI85*100)</f>
        <v>0</v>
      </c>
      <c r="FL85" s="1532"/>
      <c r="FM85" s="1532"/>
      <c r="FN85" s="310">
        <f>IF(FL85=0,0,(FM85-FL85)/FL85*100)</f>
        <v>0</v>
      </c>
      <c r="FO85" s="1532"/>
      <c r="FP85" s="1532"/>
      <c r="FQ85" s="310">
        <f>IF(FO85=0,0,(FP85-FO85)/FO85*100)</f>
        <v>0</v>
      </c>
      <c r="FR85" s="1532"/>
      <c r="FS85" s="1532"/>
      <c r="FT85" s="310">
        <f>IF(FR85=0,0,(FS85-FR85)/FR85*100)</f>
        <v>0</v>
      </c>
      <c r="FU85" s="1532"/>
      <c r="FV85" s="1532"/>
      <c r="FW85" s="310">
        <f>IF(FU85=0,0,(FV85-FU85)/FU85*100)</f>
        <v>0</v>
      </c>
      <c r="FX85" s="307"/>
      <c r="FY85" s="307"/>
      <c r="FZ85" s="981" t="s">
        <v>2174</v>
      </c>
      <c r="GA85" s="981"/>
      <c r="GB85" s="981"/>
      <c r="GC85" s="981"/>
      <c r="GD85" s="981"/>
    </row>
    <row r="86" spans="1:186" s="1536" customFormat="1" ht="16.5" customHeight="1">
      <c r="A86" s="307"/>
      <c r="B86" s="813" t="b" cm="1">
        <f t="array" ref="B86">B85</f>
        <v>1</v>
      </c>
      <c r="C86" s="1118" t="s">
        <v>2168</v>
      </c>
      <c r="D86" s="1087" t="s">
        <v>2169</v>
      </c>
      <c r="E86" s="676">
        <v>17.100000000000001</v>
      </c>
      <c r="F86" s="779" t="str" cm="1">
        <f t="array" aca="1" ref="F86" ca="1">OFFSET(G86,-1,-1)</f>
        <v>1</v>
      </c>
      <c r="G86" s="307"/>
      <c r="H86" s="163" t="s">
        <v>536</v>
      </c>
      <c r="I86" s="163" t="s">
        <v>2175</v>
      </c>
      <c r="J86" s="1108" t="s">
        <v>2149</v>
      </c>
      <c r="K86" s="1108" t="str" cm="1">
        <f t="array" aca="1" ref="K86" ca="1">OFFSET(J86,-1,1)</f>
        <v>ТЭ.42.26322895.0003</v>
      </c>
      <c r="L86" s="1108"/>
      <c r="M86" s="1108" t="s">
        <v>1791</v>
      </c>
      <c r="N86" s="1108" t="s">
        <v>2171</v>
      </c>
      <c r="O86" s="1109" t="s">
        <v>2172</v>
      </c>
      <c r="P86" s="1108"/>
      <c r="Q86" s="1108"/>
      <c r="R86" s="307"/>
      <c r="S86" s="307"/>
      <c r="T86" s="687" t="b" cm="1">
        <f t="array" aca="1" ref="T86" ca="1">T85</f>
        <v>1</v>
      </c>
      <c r="U86" s="307"/>
      <c r="V86" s="307"/>
      <c r="W86" s="307"/>
      <c r="X86" s="1853"/>
      <c r="Y86" s="307"/>
      <c r="Z86" s="1853"/>
      <c r="AA86" s="307"/>
      <c r="AB86" s="1140" t="s">
        <v>2176</v>
      </c>
      <c r="AC86" s="308" t="s">
        <v>929</v>
      </c>
      <c r="AD86" s="1532">
        <f ca="1">IF(tax_system="ОСНО",AD80*(1+Сценарии!AE$26%),AD80)</f>
        <v>0</v>
      </c>
      <c r="AE86" s="1532">
        <f ca="1">IF(tax_system="ОСНО",AE80*(1+Сценарии!AO$26%),AE80)</f>
        <v>4815.2789999999995</v>
      </c>
      <c r="AF86" s="310">
        <f ca="1">IF(AD86=0,0,(AE86-AD86)/AD86*100)</f>
        <v>0</v>
      </c>
      <c r="AG86" s="309">
        <f ca="1">IF(tax_system="ОСНО",AG80*(1+Сценарии!AF$26%),AG80)</f>
        <v>0</v>
      </c>
      <c r="AH86" s="309">
        <f ca="1">IF(tax_system="ОСНО",AH80*(1+Сценарии!AP$26%),AH80)</f>
        <v>0</v>
      </c>
      <c r="AI86" s="310">
        <f ca="1">IF(AG86=0,0,(AH86-AG86)/AG86*100)</f>
        <v>0</v>
      </c>
      <c r="AJ86" s="309">
        <f ca="1">IF(tax_system="ОСНО",AJ80*(1+Сценарии!AG$26%),AJ80)</f>
        <v>0</v>
      </c>
      <c r="AK86" s="309">
        <f ca="1">IF(tax_system="ОСНО",AK80*(1+Сценарии!AQ$26%),AK80)</f>
        <v>0</v>
      </c>
      <c r="AL86" s="310">
        <f ca="1">IF(AJ86=0,0,(AK86-AJ86)/AJ86*100)</f>
        <v>0</v>
      </c>
      <c r="AM86" s="309">
        <f ca="1">IF(tax_system="ОСНО",AM80*(1+Сценарии!AH$26%),AM80)</f>
        <v>0</v>
      </c>
      <c r="AN86" s="309">
        <f ca="1">IF(tax_system="ОСНО",AN80*(1+Сценарии!AR$26%),AN80)</f>
        <v>0</v>
      </c>
      <c r="AO86" s="310">
        <f ca="1">IF(AM86=0,0,(AN86-AM86)/AM86*100)</f>
        <v>0</v>
      </c>
      <c r="AP86" s="309">
        <f ca="1">IF(tax_system="ОСНО",AP80*(1+Сценарии!AI$26%),AP80)</f>
        <v>0</v>
      </c>
      <c r="AQ86" s="309">
        <f ca="1">IF(tax_system="ОСНО",AQ80*(1+Сценарии!AS$26%),AQ80)</f>
        <v>0</v>
      </c>
      <c r="AR86" s="310">
        <f ca="1">IF(AP86=0,0,(AQ86-AP86)/AP86*100)</f>
        <v>0</v>
      </c>
      <c r="AS86" s="1532">
        <f ca="1">IF(tax_system="ОСНО",AS80*(1+Сценарии!AJ$26%),AS80)</f>
        <v>0</v>
      </c>
      <c r="AT86" s="1532">
        <f ca="1">IF(tax_system="ОСНО",AT80*(1+Сценарии!AT$26%),AT80)</f>
        <v>0</v>
      </c>
      <c r="AU86" s="310">
        <f ca="1">IF(AS86=0,0,(AT86-AS86)/AS86*100)</f>
        <v>0</v>
      </c>
      <c r="AV86" s="1532">
        <f ca="1">IF(tax_system="ОСНО",AV80*(1+Сценарии!AK$26%),AV80)</f>
        <v>0</v>
      </c>
      <c r="AW86" s="1532">
        <f ca="1">IF(tax_system="ОСНО",AW80*(1+Сценарии!AU$26%),AW80)</f>
        <v>0</v>
      </c>
      <c r="AX86" s="310">
        <f ca="1">IF(AV86=0,0,(AW86-AV86)/AV86*100)</f>
        <v>0</v>
      </c>
      <c r="AY86" s="1532">
        <f ca="1">IF(tax_system="ОСНО",AY80*(1+Сценарии!AL$26%),AY80)</f>
        <v>0</v>
      </c>
      <c r="AZ86" s="1532">
        <f ca="1">IF(tax_system="ОСНО",AZ80*(1+Сценарии!AV$26%),AZ80)</f>
        <v>0</v>
      </c>
      <c r="BA86" s="310">
        <f ca="1">IF(AY86=0,0,(AZ86-AY86)/AY86*100)</f>
        <v>0</v>
      </c>
      <c r="BB86" s="1532">
        <f ca="1">IF(tax_system="ОСНО",BB80*(1+Сценарии!AM$26%),BB80)</f>
        <v>0</v>
      </c>
      <c r="BC86" s="1532">
        <f ca="1">IF(tax_system="ОСНО",BC80*(1+Сценарии!AW$26%),BC80)</f>
        <v>0</v>
      </c>
      <c r="BD86" s="310">
        <f ca="1">IF(BB86=0,0,(BC86-BB86)/BB86*100)</f>
        <v>0</v>
      </c>
      <c r="BE86" s="1532">
        <f ca="1">IF(tax_system="ОСНО",BE80*(1+Сценарии!AN$26%),BE80)</f>
        <v>0</v>
      </c>
      <c r="BF86" s="1532">
        <f ca="1">IF(tax_system="ОСНО",BF80*(1+Сценарии!AX$26%),BF80)</f>
        <v>0</v>
      </c>
      <c r="BG86" s="310">
        <f ca="1">IF(BE86=0,0,(BF86-BE86)/BE86*100)</f>
        <v>0</v>
      </c>
      <c r="BH86" s="1532"/>
      <c r="BI86" s="1532"/>
      <c r="BJ86" s="310">
        <f>IF(BH86=0,0,(BI86-BH86)/BH86*100)</f>
        <v>0</v>
      </c>
      <c r="BK86" s="1532"/>
      <c r="BL86" s="1532"/>
      <c r="BM86" s="310">
        <f>IF(BK86=0,0,(BL86-BK86)/BK86*100)</f>
        <v>0</v>
      </c>
      <c r="BN86" s="1532"/>
      <c r="BO86" s="1532"/>
      <c r="BP86" s="310">
        <f>IF(BN86=0,0,(BO86-BN86)/BN86*100)</f>
        <v>0</v>
      </c>
      <c r="BQ86" s="1532"/>
      <c r="BR86" s="1532"/>
      <c r="BS86" s="310">
        <f>IF(BQ86=0,0,(BR86-BQ86)/BQ86*100)</f>
        <v>0</v>
      </c>
      <c r="BT86" s="1532"/>
      <c r="BU86" s="1532"/>
      <c r="BV86" s="310">
        <f>IF(BT86=0,0,(BU86-BT86)/BT86*100)</f>
        <v>0</v>
      </c>
      <c r="BW86" s="1532"/>
      <c r="BX86" s="1532"/>
      <c r="BY86" s="310">
        <f>IF(BW86=0,0,(BX86-BW86)/BW86*100)</f>
        <v>0</v>
      </c>
      <c r="BZ86" s="1532"/>
      <c r="CA86" s="1532"/>
      <c r="CB86" s="310">
        <f>IF(BZ86=0,0,(CA86-BZ86)/BZ86*100)</f>
        <v>0</v>
      </c>
      <c r="CC86" s="1532"/>
      <c r="CD86" s="1532"/>
      <c r="CE86" s="310">
        <f>IF(CC86=0,0,(CD86-CC86)/CC86*100)</f>
        <v>0</v>
      </c>
      <c r="CF86" s="1532"/>
      <c r="CG86" s="1532"/>
      <c r="CH86" s="310">
        <f>IF(CF86=0,0,(CG86-CF86)/CF86*100)</f>
        <v>0</v>
      </c>
      <c r="CI86" s="1532"/>
      <c r="CJ86" s="1532"/>
      <c r="CK86" s="310">
        <f>IF(CI86=0,0,(CJ86-CI86)/CI86*100)</f>
        <v>0</v>
      </c>
      <c r="CL86" s="1532"/>
      <c r="CM86" s="1532"/>
      <c r="CN86" s="310">
        <f>IF(CL86=0,0,(CM86-CL86)/CL86*100)</f>
        <v>0</v>
      </c>
      <c r="CO86" s="1532"/>
      <c r="CP86" s="1532"/>
      <c r="CQ86" s="310">
        <f>IF(CO86=0,0,(CP86-CO86)/CO86*100)</f>
        <v>0</v>
      </c>
      <c r="CR86" s="1532"/>
      <c r="CS86" s="1532"/>
      <c r="CT86" s="310">
        <f>IF(CR86=0,0,(CS86-CR86)/CR86*100)</f>
        <v>0</v>
      </c>
      <c r="CU86" s="1532"/>
      <c r="CV86" s="1532"/>
      <c r="CW86" s="310">
        <f>IF(CU86=0,0,(CV86-CU86)/CU86*100)</f>
        <v>0</v>
      </c>
      <c r="CX86" s="1532"/>
      <c r="CY86" s="1532"/>
      <c r="CZ86" s="310">
        <f>IF(CX86=0,0,(CY86-CX86)/CX86*100)</f>
        <v>0</v>
      </c>
      <c r="DA86" s="1532"/>
      <c r="DB86" s="1532"/>
      <c r="DC86" s="310">
        <f>IF(DA86=0,0,(DB86-DA86)/DA86*100)</f>
        <v>0</v>
      </c>
      <c r="DD86" s="1532"/>
      <c r="DE86" s="1532"/>
      <c r="DF86" s="310">
        <f>IF(DD86=0,0,(DE86-DD86)/DD86*100)</f>
        <v>0</v>
      </c>
      <c r="DG86" s="1532"/>
      <c r="DH86" s="1532"/>
      <c r="DI86" s="310">
        <f>IF(DG86=0,0,(DH86-DG86)/DG86*100)</f>
        <v>0</v>
      </c>
      <c r="DJ86" s="1532"/>
      <c r="DK86" s="1532"/>
      <c r="DL86" s="310">
        <f>IF(DJ86=0,0,(DK86-DJ86)/DJ86*100)</f>
        <v>0</v>
      </c>
      <c r="DM86" s="1532"/>
      <c r="DN86" s="1532"/>
      <c r="DO86" s="310">
        <f>IF(DM86=0,0,(DN86-DM86)/DM86*100)</f>
        <v>0</v>
      </c>
      <c r="DP86" s="1532"/>
      <c r="DQ86" s="1532"/>
      <c r="DR86" s="310">
        <f>IF(DP86=0,0,(DQ86-DP86)/DP86*100)</f>
        <v>0</v>
      </c>
      <c r="DS86" s="1532"/>
      <c r="DT86" s="1532"/>
      <c r="DU86" s="310">
        <f>IF(DS86=0,0,(DT86-DS86)/DS86*100)</f>
        <v>0</v>
      </c>
      <c r="DV86" s="1532"/>
      <c r="DW86" s="1532"/>
      <c r="DX86" s="310">
        <f>IF(DV86=0,0,(DW86-DV86)/DV86*100)</f>
        <v>0</v>
      </c>
      <c r="DY86" s="1532"/>
      <c r="DZ86" s="1532"/>
      <c r="EA86" s="310">
        <f>IF(DY86=0,0,(DZ86-DY86)/DY86*100)</f>
        <v>0</v>
      </c>
      <c r="EB86" s="1532"/>
      <c r="EC86" s="1532"/>
      <c r="ED86" s="310">
        <f>IF(EB86=0,0,(EC86-EB86)/EB86*100)</f>
        <v>0</v>
      </c>
      <c r="EE86" s="1532"/>
      <c r="EF86" s="1532"/>
      <c r="EG86" s="310">
        <f>IF(EE86=0,0,(EF86-EE86)/EE86*100)</f>
        <v>0</v>
      </c>
      <c r="EH86" s="1532"/>
      <c r="EI86" s="1532"/>
      <c r="EJ86" s="310">
        <f>IF(EH86=0,0,(EI86-EH86)/EH86*100)</f>
        <v>0</v>
      </c>
      <c r="EK86" s="1532"/>
      <c r="EL86" s="1532"/>
      <c r="EM86" s="310">
        <f>IF(EK86=0,0,(EL86-EK86)/EK86*100)</f>
        <v>0</v>
      </c>
      <c r="EN86" s="1532"/>
      <c r="EO86" s="1532"/>
      <c r="EP86" s="310">
        <f>IF(EN86=0,0,(EO86-EN86)/EN86*100)</f>
        <v>0</v>
      </c>
      <c r="EQ86" s="1532"/>
      <c r="ER86" s="1532"/>
      <c r="ES86" s="310">
        <f>IF(EQ86=0,0,(ER86-EQ86)/EQ86*100)</f>
        <v>0</v>
      </c>
      <c r="ET86" s="1532"/>
      <c r="EU86" s="1532"/>
      <c r="EV86" s="310">
        <f>IF(ET86=0,0,(EU86-ET86)/ET86*100)</f>
        <v>0</v>
      </c>
      <c r="EW86" s="1532"/>
      <c r="EX86" s="1532"/>
      <c r="EY86" s="310">
        <f>IF(EW86=0,0,(EX86-EW86)/EW86*100)</f>
        <v>0</v>
      </c>
      <c r="EZ86" s="1532"/>
      <c r="FA86" s="1532"/>
      <c r="FB86" s="310">
        <f>IF(EZ86=0,0,(FA86-EZ86)/EZ86*100)</f>
        <v>0</v>
      </c>
      <c r="FC86" s="1532"/>
      <c r="FD86" s="1532"/>
      <c r="FE86" s="310">
        <f>IF(FC86=0,0,(FD86-FC86)/FC86*100)</f>
        <v>0</v>
      </c>
      <c r="FF86" s="1532"/>
      <c r="FG86" s="1532"/>
      <c r="FH86" s="310">
        <f>IF(FF86=0,0,(FG86-FF86)/FF86*100)</f>
        <v>0</v>
      </c>
      <c r="FI86" s="1532"/>
      <c r="FJ86" s="1532"/>
      <c r="FK86" s="310">
        <f>IF(FI86=0,0,(FJ86-FI86)/FI86*100)</f>
        <v>0</v>
      </c>
      <c r="FL86" s="1532"/>
      <c r="FM86" s="1532"/>
      <c r="FN86" s="310">
        <f>IF(FL86=0,0,(FM86-FL86)/FL86*100)</f>
        <v>0</v>
      </c>
      <c r="FO86" s="1532"/>
      <c r="FP86" s="1532"/>
      <c r="FQ86" s="310">
        <f>IF(FO86=0,0,(FP86-FO86)/FO86*100)</f>
        <v>0</v>
      </c>
      <c r="FR86" s="1532"/>
      <c r="FS86" s="1532"/>
      <c r="FT86" s="310">
        <f>IF(FR86=0,0,(FS86-FR86)/FR86*100)</f>
        <v>0</v>
      </c>
      <c r="FU86" s="1532"/>
      <c r="FV86" s="1532"/>
      <c r="FW86" s="310">
        <f>IF(FU86=0,0,(FV86-FU86)/FU86*100)</f>
        <v>0</v>
      </c>
      <c r="FX86" s="307"/>
      <c r="FY86" s="307"/>
      <c r="FZ86" s="981" t="s">
        <v>2177</v>
      </c>
      <c r="GA86" s="981"/>
      <c r="GB86" s="981"/>
      <c r="GC86" s="981"/>
      <c r="GD86" s="981"/>
    </row>
    <row r="87" spans="1:186" s="1229" customFormat="1" ht="16.5" customHeight="1">
      <c r="A87" s="1153"/>
      <c r="B87" s="813" t="b" cm="1">
        <f t="array" ref="B87">B86</f>
        <v>1</v>
      </c>
      <c r="C87" s="1118" t="s">
        <v>1797</v>
      </c>
      <c r="D87" s="1087" t="s">
        <v>1798</v>
      </c>
      <c r="E87" s="676">
        <v>17.100000000000001</v>
      </c>
      <c r="F87" s="779" t="str" cm="1">
        <f t="array" aca="1" ref="F87" ca="1">OFFSET(G87,-1,-1)</f>
        <v>1</v>
      </c>
      <c r="G87" s="425"/>
      <c r="H87" s="163" t="s">
        <v>539</v>
      </c>
      <c r="I87" s="163" t="s">
        <v>2178</v>
      </c>
      <c r="J87" s="1108" t="s">
        <v>2149</v>
      </c>
      <c r="K87" s="1108" t="str" cm="1">
        <f t="array" aca="1" ref="K87" ca="1">OFFSET(J87,-1,1)</f>
        <v>ТЭ.42.26322895.0003</v>
      </c>
      <c r="L87" s="1108" t="s">
        <v>2159</v>
      </c>
      <c r="M87" s="1108"/>
      <c r="N87" s="1108" t="s">
        <v>2171</v>
      </c>
      <c r="O87" s="1109" t="s">
        <v>2172</v>
      </c>
      <c r="P87" s="1108"/>
      <c r="Q87" s="1108"/>
      <c r="R87" s="784"/>
      <c r="S87" s="425"/>
      <c r="T87" s="687" t="b" cm="1">
        <f t="array" aca="1" ref="T87" ca="1">T86</f>
        <v>1</v>
      </c>
      <c r="U87" s="1153"/>
      <c r="V87" s="1153"/>
      <c r="W87" s="1153"/>
      <c r="X87" s="1726"/>
      <c r="Y87" s="1153"/>
      <c r="Z87" s="1726"/>
      <c r="AA87" s="425"/>
      <c r="AB87" s="887" t="s">
        <v>2160</v>
      </c>
      <c r="AC87" s="123" t="s">
        <v>533</v>
      </c>
      <c r="AD87" s="876">
        <f ca="1">IF(AD85=0,0,AD86/AD85)</f>
        <v>0</v>
      </c>
      <c r="AE87" s="876">
        <f ca="1">IF(AE85=0,0,AE86/AE85)</f>
        <v>1.1200007945381181</v>
      </c>
      <c r="AF87" s="341"/>
      <c r="AG87" s="876">
        <f ca="1">IF(AG85=0,0,AG86/AG85)</f>
        <v>0</v>
      </c>
      <c r="AH87" s="876">
        <f ca="1">IF(AH85=0,0,AH86/AH85)</f>
        <v>0</v>
      </c>
      <c r="AI87" s="341"/>
      <c r="AJ87" s="876">
        <f ca="1">IF(AJ85=0,0,AJ86/AJ85)</f>
        <v>0</v>
      </c>
      <c r="AK87" s="876">
        <f ca="1">IF(AK85=0,0,AK86/AK85)</f>
        <v>0</v>
      </c>
      <c r="AL87" s="341"/>
      <c r="AM87" s="876">
        <f ca="1">IF(AM85=0,0,AM86/AM85)</f>
        <v>0</v>
      </c>
      <c r="AN87" s="876">
        <f ca="1">IF(AN85=0,0,AN86/AN85)</f>
        <v>0</v>
      </c>
      <c r="AO87" s="341"/>
      <c r="AP87" s="876">
        <f ca="1">IF(AP85=0,0,AP86/AP85)</f>
        <v>0</v>
      </c>
      <c r="AQ87" s="876">
        <f ca="1">IF(AQ85=0,0,AQ86/AQ85)</f>
        <v>0</v>
      </c>
      <c r="AR87" s="341"/>
      <c r="AS87" s="876">
        <f ca="1">IF(AS85=0,0,AS86/AS85)</f>
        <v>0</v>
      </c>
      <c r="AT87" s="876">
        <f ca="1">IF(AT85=0,0,AT86/AT85)</f>
        <v>0</v>
      </c>
      <c r="AU87" s="341"/>
      <c r="AV87" s="876">
        <f ca="1">IF(AV85=0,0,AV86/AV85)</f>
        <v>0</v>
      </c>
      <c r="AW87" s="876">
        <f ca="1">IF(AW85=0,0,AW86/AW85)</f>
        <v>0</v>
      </c>
      <c r="AX87" s="341"/>
      <c r="AY87" s="876">
        <f ca="1">IF(AY85=0,0,AY86/AY85)</f>
        <v>0</v>
      </c>
      <c r="AZ87" s="876">
        <f ca="1">IF(AZ85=0,0,AZ86/AZ85)</f>
        <v>0</v>
      </c>
      <c r="BA87" s="341"/>
      <c r="BB87" s="876">
        <f ca="1">IF(BB85=0,0,BB86/BB85)</f>
        <v>0</v>
      </c>
      <c r="BC87" s="876">
        <f ca="1">IF(BC85=0,0,BC86/BC85)</f>
        <v>0</v>
      </c>
      <c r="BD87" s="341"/>
      <c r="BE87" s="876">
        <f ca="1">IF(BE85=0,0,BE86/BE85)</f>
        <v>0</v>
      </c>
      <c r="BF87" s="876">
        <f ca="1">IF(BF85=0,0,BF86/BF85)</f>
        <v>0</v>
      </c>
      <c r="BG87" s="341"/>
      <c r="BH87" s="876">
        <f>IF(BH85=0,0,BH86/BH85)</f>
        <v>0</v>
      </c>
      <c r="BI87" s="876">
        <f>IF(BI85=0,0,BI86/BI85)</f>
        <v>0</v>
      </c>
      <c r="BJ87" s="312"/>
      <c r="BK87" s="876">
        <f>IF(BK85=0,0,BK86/BK85)</f>
        <v>0</v>
      </c>
      <c r="BL87" s="876">
        <f>IF(BL85=0,0,BL86/BL85)</f>
        <v>0</v>
      </c>
      <c r="BM87" s="312"/>
      <c r="BN87" s="876">
        <f>IF(BN85=0,0,BN86/BN85)</f>
        <v>0</v>
      </c>
      <c r="BO87" s="876">
        <f>IF(BO85=0,0,BO86/BO85)</f>
        <v>0</v>
      </c>
      <c r="BP87" s="312"/>
      <c r="BQ87" s="876">
        <f>IF(BQ85=0,0,BQ86/BQ85)</f>
        <v>0</v>
      </c>
      <c r="BR87" s="876">
        <f>IF(BR85=0,0,BR86/BR85)</f>
        <v>0</v>
      </c>
      <c r="BS87" s="312"/>
      <c r="BT87" s="876">
        <f>IF(BT85=0,0,BT86/BT85)</f>
        <v>0</v>
      </c>
      <c r="BU87" s="876">
        <f>IF(BU85=0,0,BU86/BU85)</f>
        <v>0</v>
      </c>
      <c r="BV87" s="312"/>
      <c r="BW87" s="876">
        <f>IF(BW85=0,0,BW86/BW85)</f>
        <v>0</v>
      </c>
      <c r="BX87" s="876">
        <f>IF(BX85=0,0,BX86/BX85)</f>
        <v>0</v>
      </c>
      <c r="BY87" s="312"/>
      <c r="BZ87" s="876">
        <f>IF(BZ85=0,0,BZ86/BZ85)</f>
        <v>0</v>
      </c>
      <c r="CA87" s="876">
        <f>IF(CA85=0,0,CA86/CA85)</f>
        <v>0</v>
      </c>
      <c r="CB87" s="312"/>
      <c r="CC87" s="876">
        <f>IF(CC85=0,0,CC86/CC85)</f>
        <v>0</v>
      </c>
      <c r="CD87" s="876">
        <f>IF(CD85=0,0,CD86/CD85)</f>
        <v>0</v>
      </c>
      <c r="CE87" s="312"/>
      <c r="CF87" s="876">
        <f>IF(CF85=0,0,CF86/CF85)</f>
        <v>0</v>
      </c>
      <c r="CG87" s="876">
        <f>IF(CG85=0,0,CG86/CG85)</f>
        <v>0</v>
      </c>
      <c r="CH87" s="312"/>
      <c r="CI87" s="876">
        <f>IF(CI85=0,0,CI86/CI85)</f>
        <v>0</v>
      </c>
      <c r="CJ87" s="876">
        <f>IF(CJ85=0,0,CJ86/CJ85)</f>
        <v>0</v>
      </c>
      <c r="CK87" s="312"/>
      <c r="CL87" s="876">
        <f>IF(CL85=0,0,CL86/CL85)</f>
        <v>0</v>
      </c>
      <c r="CM87" s="876">
        <f>IF(CM85=0,0,CM86/CM85)</f>
        <v>0</v>
      </c>
      <c r="CN87" s="312"/>
      <c r="CO87" s="876">
        <f>IF(CO85=0,0,CO86/CO85)</f>
        <v>0</v>
      </c>
      <c r="CP87" s="876">
        <f>IF(CP85=0,0,CP86/CP85)</f>
        <v>0</v>
      </c>
      <c r="CQ87" s="312"/>
      <c r="CR87" s="876">
        <f>IF(CR85=0,0,CR86/CR85)</f>
        <v>0</v>
      </c>
      <c r="CS87" s="876">
        <f>IF(CS85=0,0,CS86/CS85)</f>
        <v>0</v>
      </c>
      <c r="CT87" s="312"/>
      <c r="CU87" s="876">
        <f>IF(CU85=0,0,CU86/CU85)</f>
        <v>0</v>
      </c>
      <c r="CV87" s="876">
        <f>IF(CV85=0,0,CV86/CV85)</f>
        <v>0</v>
      </c>
      <c r="CW87" s="312"/>
      <c r="CX87" s="876">
        <f>IF(CX85=0,0,CX86/CX85)</f>
        <v>0</v>
      </c>
      <c r="CY87" s="876">
        <f>IF(CY85=0,0,CY86/CY85)</f>
        <v>0</v>
      </c>
      <c r="CZ87" s="312"/>
      <c r="DA87" s="876">
        <f>IF(DA85=0,0,DA86/DA85)</f>
        <v>0</v>
      </c>
      <c r="DB87" s="876">
        <f>IF(DB85=0,0,DB86/DB85)</f>
        <v>0</v>
      </c>
      <c r="DC87" s="312"/>
      <c r="DD87" s="876">
        <f>IF(DD85=0,0,DD86/DD85)</f>
        <v>0</v>
      </c>
      <c r="DE87" s="876">
        <f>IF(DE85=0,0,DE86/DE85)</f>
        <v>0</v>
      </c>
      <c r="DF87" s="312"/>
      <c r="DG87" s="876">
        <f>IF(DG85=0,0,DG86/DG85)</f>
        <v>0</v>
      </c>
      <c r="DH87" s="876">
        <f>IF(DH85=0,0,DH86/DH85)</f>
        <v>0</v>
      </c>
      <c r="DI87" s="312"/>
      <c r="DJ87" s="876">
        <f>IF(DJ85=0,0,DJ86/DJ85)</f>
        <v>0</v>
      </c>
      <c r="DK87" s="876">
        <f>IF(DK85=0,0,DK86/DK85)</f>
        <v>0</v>
      </c>
      <c r="DL87" s="312"/>
      <c r="DM87" s="876">
        <f>IF(DM85=0,0,DM86/DM85)</f>
        <v>0</v>
      </c>
      <c r="DN87" s="876">
        <f>IF(DN85=0,0,DN86/DN85)</f>
        <v>0</v>
      </c>
      <c r="DO87" s="312"/>
      <c r="DP87" s="876">
        <f>IF(DP85=0,0,DP86/DP85)</f>
        <v>0</v>
      </c>
      <c r="DQ87" s="876">
        <f>IF(DQ85=0,0,DQ86/DQ85)</f>
        <v>0</v>
      </c>
      <c r="DR87" s="312"/>
      <c r="DS87" s="876">
        <f>IF(DS85=0,0,DS86/DS85)</f>
        <v>0</v>
      </c>
      <c r="DT87" s="876">
        <f>IF(DT85=0,0,DT86/DT85)</f>
        <v>0</v>
      </c>
      <c r="DU87" s="312"/>
      <c r="DV87" s="876">
        <f>IF(DV85=0,0,DV86/DV85)</f>
        <v>0</v>
      </c>
      <c r="DW87" s="876">
        <f>IF(DW85=0,0,DW86/DW85)</f>
        <v>0</v>
      </c>
      <c r="DX87" s="312"/>
      <c r="DY87" s="876">
        <f>IF(DY85=0,0,DY86/DY85)</f>
        <v>0</v>
      </c>
      <c r="DZ87" s="876">
        <f>IF(DZ85=0,0,DZ86/DZ85)</f>
        <v>0</v>
      </c>
      <c r="EA87" s="312"/>
      <c r="EB87" s="876">
        <f>IF(EB85=0,0,EB86/EB85)</f>
        <v>0</v>
      </c>
      <c r="EC87" s="876">
        <f>IF(EC85=0,0,EC86/EC85)</f>
        <v>0</v>
      </c>
      <c r="ED87" s="312"/>
      <c r="EE87" s="876">
        <f>IF(EE85=0,0,EE86/EE85)</f>
        <v>0</v>
      </c>
      <c r="EF87" s="876">
        <f>IF(EF85=0,0,EF86/EF85)</f>
        <v>0</v>
      </c>
      <c r="EG87" s="312"/>
      <c r="EH87" s="876">
        <f>IF(EH85=0,0,EH86/EH85)</f>
        <v>0</v>
      </c>
      <c r="EI87" s="876">
        <f>IF(EI85=0,0,EI86/EI85)</f>
        <v>0</v>
      </c>
      <c r="EJ87" s="312"/>
      <c r="EK87" s="876">
        <f>IF(EK85=0,0,EK86/EK85)</f>
        <v>0</v>
      </c>
      <c r="EL87" s="876">
        <f>IF(EL85=0,0,EL86/EL85)</f>
        <v>0</v>
      </c>
      <c r="EM87" s="312"/>
      <c r="EN87" s="876">
        <f>IF(EN85=0,0,EN86/EN85)</f>
        <v>0</v>
      </c>
      <c r="EO87" s="876">
        <f>IF(EO85=0,0,EO86/EO85)</f>
        <v>0</v>
      </c>
      <c r="EP87" s="312"/>
      <c r="EQ87" s="876">
        <f>IF(EQ85=0,0,EQ86/EQ85)</f>
        <v>0</v>
      </c>
      <c r="ER87" s="876">
        <f>IF(ER85=0,0,ER86/ER85)</f>
        <v>0</v>
      </c>
      <c r="ES87" s="312"/>
      <c r="ET87" s="876">
        <f>IF(ET85=0,0,ET86/ET85)</f>
        <v>0</v>
      </c>
      <c r="EU87" s="876">
        <f>IF(EU85=0,0,EU86/EU85)</f>
        <v>0</v>
      </c>
      <c r="EV87" s="312"/>
      <c r="EW87" s="876">
        <f>IF(EW85=0,0,EW86/EW85)</f>
        <v>0</v>
      </c>
      <c r="EX87" s="876">
        <f>IF(EX85=0,0,EX86/EX85)</f>
        <v>0</v>
      </c>
      <c r="EY87" s="312"/>
      <c r="EZ87" s="876">
        <f>IF(EZ85=0,0,EZ86/EZ85)</f>
        <v>0</v>
      </c>
      <c r="FA87" s="876">
        <f>IF(FA85=0,0,FA86/FA85)</f>
        <v>0</v>
      </c>
      <c r="FB87" s="312"/>
      <c r="FC87" s="876">
        <f>IF(FC85=0,0,FC86/FC85)</f>
        <v>0</v>
      </c>
      <c r="FD87" s="876">
        <f>IF(FD85=0,0,FD86/FD85)</f>
        <v>0</v>
      </c>
      <c r="FE87" s="312"/>
      <c r="FF87" s="876">
        <f>IF(FF85=0,0,FF86/FF85)</f>
        <v>0</v>
      </c>
      <c r="FG87" s="876">
        <f>IF(FG85=0,0,FG86/FG85)</f>
        <v>0</v>
      </c>
      <c r="FH87" s="312"/>
      <c r="FI87" s="876">
        <f>IF(FI85=0,0,FI86/FI85)</f>
        <v>0</v>
      </c>
      <c r="FJ87" s="876">
        <f>IF(FJ85=0,0,FJ86/FJ85)</f>
        <v>0</v>
      </c>
      <c r="FK87" s="312"/>
      <c r="FL87" s="876">
        <f>IF(FL85=0,0,FL86/FL85)</f>
        <v>0</v>
      </c>
      <c r="FM87" s="876">
        <f>IF(FM85=0,0,FM86/FM85)</f>
        <v>0</v>
      </c>
      <c r="FN87" s="312"/>
      <c r="FO87" s="876">
        <f>IF(FO85=0,0,FO86/FO85)</f>
        <v>0</v>
      </c>
      <c r="FP87" s="876">
        <f>IF(FP85=0,0,FP86/FP85)</f>
        <v>0</v>
      </c>
      <c r="FQ87" s="312"/>
      <c r="FR87" s="876">
        <f>IF(FR85=0,0,FR86/FR85)</f>
        <v>0</v>
      </c>
      <c r="FS87" s="876">
        <f>IF(FS85=0,0,FS86/FS85)</f>
        <v>0</v>
      </c>
      <c r="FT87" s="312"/>
      <c r="FU87" s="876">
        <f>IF(FU85=0,0,FU86/FU85)</f>
        <v>0</v>
      </c>
      <c r="FV87" s="876">
        <f>IF(FV85=0,0,FV86/FV85)</f>
        <v>0</v>
      </c>
      <c r="FW87" s="312"/>
      <c r="FX87" s="425"/>
      <c r="FY87" s="425"/>
      <c r="FZ87" s="981" t="s">
        <v>2179</v>
      </c>
      <c r="GA87" s="981"/>
      <c r="GB87" s="981"/>
      <c r="GC87" s="981"/>
      <c r="GD87" s="981"/>
    </row>
    <row r="88" spans="1:186" s="1229" customFormat="1" ht="16.5" customHeight="1">
      <c r="A88" s="1153"/>
      <c r="B88" s="813" t="b" cm="1">
        <f t="array" ref="B88">B87</f>
        <v>1</v>
      </c>
      <c r="C88" s="1118" t="s">
        <v>1779</v>
      </c>
      <c r="D88" s="1087" t="s">
        <v>1780</v>
      </c>
      <c r="E88" s="676">
        <v>17.100000000000001</v>
      </c>
      <c r="F88" s="779" t="str" cm="1">
        <f t="array" aca="1" ref="F88" ca="1">OFFSET(G88,-1,-1)</f>
        <v>1</v>
      </c>
      <c r="G88" s="143" t="s">
        <v>2180</v>
      </c>
      <c r="H88" s="163" t="s">
        <v>546</v>
      </c>
      <c r="I88" s="163" t="s">
        <v>2178</v>
      </c>
      <c r="J88" s="1108" t="s">
        <v>2149</v>
      </c>
      <c r="K88" s="1108" t="str" cm="1">
        <f t="array" aca="1" ref="K88" ca="1">OFFSET(J88,-1,1)</f>
        <v>ТЭ.42.26322895.0003</v>
      </c>
      <c r="L88" s="1108" t="s">
        <v>2163</v>
      </c>
      <c r="M88" s="1108"/>
      <c r="N88" s="1108" t="s">
        <v>2171</v>
      </c>
      <c r="O88" s="1109" t="s">
        <v>2172</v>
      </c>
      <c r="P88" s="1108"/>
      <c r="Q88" s="1108"/>
      <c r="R88" s="784"/>
      <c r="S88" s="425"/>
      <c r="T88" s="687" t="b" cm="1">
        <f t="array" aca="1" ref="T88" ca="1">T87</f>
        <v>1</v>
      </c>
      <c r="U88" s="1153"/>
      <c r="V88" s="1153"/>
      <c r="W88" s="1153"/>
      <c r="X88" s="1726"/>
      <c r="Y88" s="1153"/>
      <c r="Z88" s="1726"/>
      <c r="AA88" s="425"/>
      <c r="AB88" s="887" t="s">
        <v>2181</v>
      </c>
      <c r="AC88" s="123" t="s">
        <v>634</v>
      </c>
      <c r="AD88" s="1314">
        <f ca="1">SUMIFS('Баланс Пр'!AI$27:AI$233,'Баланс Пр'!$F$27:$F$233,$F88,'Баланс Пр'!$AB$27:$AB$233,"9.1.2.3")</f>
        <v>0</v>
      </c>
      <c r="AE88" s="1314">
        <f ca="1">SUMIFS('Баланс Пр'!AS$27:AS$233,'Баланс Пр'!$F$27:$F$233,$F88,'Баланс Пр'!$AB$27:$AB$233,"9.1.2.3")</f>
        <v>83383</v>
      </c>
      <c r="AF88" s="341">
        <f ca="1">IF(AD88=0,0,(AE88-AD88)/AD88*100)</f>
        <v>0</v>
      </c>
      <c r="AG88" s="257">
        <f ca="1">SUMIFS('Баланс Пр'!AJ$27:AJ$233,'Баланс Пр'!$F$27:$F$233,$F88,'Баланс Пр'!$AB$27:$AB$233,"9.1.2.3")</f>
        <v>0</v>
      </c>
      <c r="AH88" s="257">
        <f ca="1">SUMIFS('Баланс Пр'!AT$27:AT$233,'Баланс Пр'!$F$27:$F$233,$F88,'Баланс Пр'!$AB$27:$AB$233,"9.1.2.3")</f>
        <v>0</v>
      </c>
      <c r="AI88" s="341">
        <f ca="1">IF(AG88=0,0,(AH88-AG88)/AG88*100)</f>
        <v>0</v>
      </c>
      <c r="AJ88" s="257">
        <f ca="1">SUMIFS('Баланс Пр'!AK$27:AK$233,'Баланс Пр'!$F$27:$F$233,$F88,'Баланс Пр'!$AB$27:$AB$233,"9.1.2.3")</f>
        <v>0</v>
      </c>
      <c r="AK88" s="257">
        <f ca="1">SUMIFS('Баланс Пр'!AU$27:AU$233,'Баланс Пр'!$F$27:$F$233,$F88,'Баланс Пр'!$AB$27:$AB$233,"9.1.2.3")</f>
        <v>0</v>
      </c>
      <c r="AL88" s="341">
        <f ca="1">IF(AJ88=0,0,(AK88-AJ88)/AJ88*100)</f>
        <v>0</v>
      </c>
      <c r="AM88" s="257">
        <f ca="1">SUMIFS('Баланс Пр'!AL$27:AL$233,'Баланс Пр'!$F$27:$F$233,$F88,'Баланс Пр'!$AB$27:$AB$233,"9.1.2.3")</f>
        <v>0</v>
      </c>
      <c r="AN88" s="257">
        <f ca="1">SUMIFS('Баланс Пр'!AV$27:AV$233,'Баланс Пр'!$F$27:$F$233,$F88,'Баланс Пр'!$AB$27:$AB$233,"9.1.2.3")</f>
        <v>0</v>
      </c>
      <c r="AO88" s="341">
        <f ca="1">IF(AM88=0,0,(AN88-AM88)/AM88*100)</f>
        <v>0</v>
      </c>
      <c r="AP88" s="257">
        <f ca="1">SUMIFS('Баланс Пр'!AM$27:AM$233,'Баланс Пр'!$F$27:$F$233,$F88,'Баланс Пр'!$AB$27:$AB$233,"9.1.2.3")</f>
        <v>0</v>
      </c>
      <c r="AQ88" s="257">
        <f ca="1">SUMIFS('Баланс Пр'!AW$27:AW$233,'Баланс Пр'!$F$27:$F$233,$F88,'Баланс Пр'!$AB$27:$AB$233,"9.1.2.3")</f>
        <v>0</v>
      </c>
      <c r="AR88" s="341">
        <f ca="1">IF(AP88=0,0,(AQ88-AP88)/AP88*100)</f>
        <v>0</v>
      </c>
      <c r="AS88" s="1314">
        <f ca="1">SUMIFS('Баланс Пр'!AN$27:AN$233,'Баланс Пр'!$F$27:$F$233,$F88,'Баланс Пр'!$AB$27:$AB$233,"9.1.2.3")</f>
        <v>0</v>
      </c>
      <c r="AT88" s="1314">
        <f ca="1">SUMIFS('Баланс Пр'!AX$27:AX$233,'Баланс Пр'!$F$27:$F$233,$F88,'Баланс Пр'!$AB$27:$AB$233,"9.1.2.3")</f>
        <v>0</v>
      </c>
      <c r="AU88" s="341">
        <f ca="1">IF(AS88=0,0,(AT88-AS88)/AS88*100)</f>
        <v>0</v>
      </c>
      <c r="AV88" s="1314">
        <f ca="1">SUMIFS('Баланс Пр'!AO$27:AO$233,'Баланс Пр'!$F$27:$F$233,$F88,'Баланс Пр'!$AB$27:$AB$233,"9.1.2.3")</f>
        <v>0</v>
      </c>
      <c r="AW88" s="1314">
        <f ca="1">SUMIFS('Баланс Пр'!AY$27:AY$233,'Баланс Пр'!$F$27:$F$233,$F88,'Баланс Пр'!$AB$27:$AB$233,"9.1.2.3")</f>
        <v>0</v>
      </c>
      <c r="AX88" s="341">
        <f ca="1">IF(AV88=0,0,(AW88-AV88)/AV88*100)</f>
        <v>0</v>
      </c>
      <c r="AY88" s="1314">
        <f ca="1">SUMIFS('Баланс Пр'!AP$27:AP$233,'Баланс Пр'!$F$27:$F$233,$F88,'Баланс Пр'!$AB$27:$AB$233,"9.1.2.3")</f>
        <v>0</v>
      </c>
      <c r="AZ88" s="1314">
        <f ca="1">SUMIFS('Баланс Пр'!AZ$27:AZ$233,'Баланс Пр'!$F$27:$F$233,$F88,'Баланс Пр'!$AB$27:$AB$233,"9.1.2.3")</f>
        <v>0</v>
      </c>
      <c r="BA88" s="341">
        <f ca="1">IF(AY88=0,0,(AZ88-AY88)/AY88*100)</f>
        <v>0</v>
      </c>
      <c r="BB88" s="1314">
        <f ca="1">SUMIFS('Баланс Пр'!AQ$27:AQ$233,'Баланс Пр'!$F$27:$F$233,$F88,'Баланс Пр'!$AB$27:$AB$233,"9.1.2.3")</f>
        <v>0</v>
      </c>
      <c r="BC88" s="1314">
        <f ca="1">SUMIFS('Баланс Пр'!BA$27:BA$233,'Баланс Пр'!$F$27:$F$233,$F88,'Баланс Пр'!$AB$27:$AB$233,"9.1.2.3")</f>
        <v>0</v>
      </c>
      <c r="BD88" s="341">
        <f ca="1">IF(BB88=0,0,(BC88-BB88)/BB88*100)</f>
        <v>0</v>
      </c>
      <c r="BE88" s="1314">
        <f ca="1">SUMIFS('Баланс Пр'!AR$27:AR$233,'Баланс Пр'!$F$27:$F$233,$F88,'Баланс Пр'!$AB$27:$AB$233,"9.1.2.3")</f>
        <v>0</v>
      </c>
      <c r="BF88" s="1314">
        <f ca="1">SUMIFS('Баланс Пр'!BB$27:BB$233,'Баланс Пр'!$F$27:$F$233,$F88,'Баланс Пр'!$AB$27:$AB$233,"9.1.2.3")</f>
        <v>0</v>
      </c>
      <c r="BG88" s="341">
        <f ca="1">IF(BE88=0,0,(BF88-BE88)/BE88*100)</f>
        <v>0</v>
      </c>
      <c r="BH88" s="1534">
        <f>SUM(BH89:BH90)</f>
        <v>0</v>
      </c>
      <c r="BI88" s="1534">
        <f>SUM(BI89:BI90)</f>
        <v>0</v>
      </c>
      <c r="BJ88" s="341">
        <f>IF(BH88=0,0,(BI88-BH88)/BH88*100)</f>
        <v>0</v>
      </c>
      <c r="BK88" s="1534">
        <f>SUM(BK89:BK90)</f>
        <v>0</v>
      </c>
      <c r="BL88" s="1534">
        <f>SUM(BL89:BL90)</f>
        <v>0</v>
      </c>
      <c r="BM88" s="341">
        <f>IF(BK88=0,0,(BL88-BK88)/BK88*100)</f>
        <v>0</v>
      </c>
      <c r="BN88" s="1534">
        <f>SUM(BN89:BN90)</f>
        <v>0</v>
      </c>
      <c r="BO88" s="1534">
        <f>SUM(BO89:BO90)</f>
        <v>0</v>
      </c>
      <c r="BP88" s="341">
        <f>IF(BN88=0,0,(BO88-BN88)/BN88*100)</f>
        <v>0</v>
      </c>
      <c r="BQ88" s="1534">
        <f>SUM(BQ89:BQ90)</f>
        <v>0</v>
      </c>
      <c r="BR88" s="1534">
        <f>SUM(BR89:BR90)</f>
        <v>0</v>
      </c>
      <c r="BS88" s="341">
        <f>IF(BQ88=0,0,(BR88-BQ88)/BQ88*100)</f>
        <v>0</v>
      </c>
      <c r="BT88" s="1534">
        <f>SUM(BT89:BT90)</f>
        <v>0</v>
      </c>
      <c r="BU88" s="1534">
        <f>SUM(BU89:BU90)</f>
        <v>0</v>
      </c>
      <c r="BV88" s="341">
        <f>IF(BT88=0,0,(BU88-BT88)/BT88*100)</f>
        <v>0</v>
      </c>
      <c r="BW88" s="1534">
        <f>SUM(BW89:BW90)</f>
        <v>0</v>
      </c>
      <c r="BX88" s="1534">
        <f>SUM(BX89:BX90)</f>
        <v>0</v>
      </c>
      <c r="BY88" s="341">
        <f>IF(BW88=0,0,(BX88-BW88)/BW88*100)</f>
        <v>0</v>
      </c>
      <c r="BZ88" s="1534">
        <f>SUM(BZ89:BZ90)</f>
        <v>0</v>
      </c>
      <c r="CA88" s="1534">
        <f>SUM(CA89:CA90)</f>
        <v>0</v>
      </c>
      <c r="CB88" s="341">
        <f>IF(BZ88=0,0,(CA88-BZ88)/BZ88*100)</f>
        <v>0</v>
      </c>
      <c r="CC88" s="1534">
        <f>SUM(CC89:CC90)</f>
        <v>0</v>
      </c>
      <c r="CD88" s="1534">
        <f>SUM(CD89:CD90)</f>
        <v>0</v>
      </c>
      <c r="CE88" s="341">
        <f>IF(CC88=0,0,(CD88-CC88)/CC88*100)</f>
        <v>0</v>
      </c>
      <c r="CF88" s="1534">
        <f>SUM(CF89:CF90)</f>
        <v>0</v>
      </c>
      <c r="CG88" s="1534">
        <f>SUM(CG89:CG90)</f>
        <v>0</v>
      </c>
      <c r="CH88" s="341">
        <f>IF(CF88=0,0,(CG88-CF88)/CF88*100)</f>
        <v>0</v>
      </c>
      <c r="CI88" s="1534">
        <f>SUM(CI89:CI90)</f>
        <v>0</v>
      </c>
      <c r="CJ88" s="1534">
        <f>SUM(CJ89:CJ90)</f>
        <v>0</v>
      </c>
      <c r="CK88" s="341">
        <f>IF(CI88=0,0,(CJ88-CI88)/CI88*100)</f>
        <v>0</v>
      </c>
      <c r="CL88" s="1534">
        <f>SUM(CL89:CL90)</f>
        <v>0</v>
      </c>
      <c r="CM88" s="1534">
        <f>SUM(CM89:CM90)</f>
        <v>0</v>
      </c>
      <c r="CN88" s="341">
        <f>IF(CL88=0,0,(CM88-CL88)/CL88*100)</f>
        <v>0</v>
      </c>
      <c r="CO88" s="1534">
        <f>SUM(CO89:CO90)</f>
        <v>0</v>
      </c>
      <c r="CP88" s="1534">
        <f>SUM(CP89:CP90)</f>
        <v>0</v>
      </c>
      <c r="CQ88" s="341">
        <f>IF(CO88=0,0,(CP88-CO88)/CO88*100)</f>
        <v>0</v>
      </c>
      <c r="CR88" s="1534">
        <f>SUM(CR89:CR90)</f>
        <v>0</v>
      </c>
      <c r="CS88" s="1534">
        <f>SUM(CS89:CS90)</f>
        <v>0</v>
      </c>
      <c r="CT88" s="341">
        <f>IF(CR88=0,0,(CS88-CR88)/CR88*100)</f>
        <v>0</v>
      </c>
      <c r="CU88" s="1534">
        <f>SUM(CU89:CU90)</f>
        <v>0</v>
      </c>
      <c r="CV88" s="1534">
        <f>SUM(CV89:CV90)</f>
        <v>0</v>
      </c>
      <c r="CW88" s="341">
        <f>IF(CU88=0,0,(CV88-CU88)/CU88*100)</f>
        <v>0</v>
      </c>
      <c r="CX88" s="1534">
        <f>SUM(CX89:CX90)</f>
        <v>0</v>
      </c>
      <c r="CY88" s="1534">
        <f>SUM(CY89:CY90)</f>
        <v>0</v>
      </c>
      <c r="CZ88" s="341">
        <f>IF(CX88=0,0,(CY88-CX88)/CX88*100)</f>
        <v>0</v>
      </c>
      <c r="DA88" s="1534">
        <f>SUM(DA89:DA90)</f>
        <v>0</v>
      </c>
      <c r="DB88" s="1534">
        <f>SUM(DB89:DB90)</f>
        <v>0</v>
      </c>
      <c r="DC88" s="341">
        <f>IF(DA88=0,0,(DB88-DA88)/DA88*100)</f>
        <v>0</v>
      </c>
      <c r="DD88" s="1534">
        <f>SUM(DD89:DD90)</f>
        <v>0</v>
      </c>
      <c r="DE88" s="1534">
        <f>SUM(DE89:DE90)</f>
        <v>0</v>
      </c>
      <c r="DF88" s="341">
        <f>IF(DD88=0,0,(DE88-DD88)/DD88*100)</f>
        <v>0</v>
      </c>
      <c r="DG88" s="1534">
        <f>SUM(DG89:DG90)</f>
        <v>0</v>
      </c>
      <c r="DH88" s="1534">
        <f>SUM(DH89:DH90)</f>
        <v>0</v>
      </c>
      <c r="DI88" s="341">
        <f>IF(DG88=0,0,(DH88-DG88)/DG88*100)</f>
        <v>0</v>
      </c>
      <c r="DJ88" s="1534">
        <f>SUM(DJ89:DJ90)</f>
        <v>0</v>
      </c>
      <c r="DK88" s="1534">
        <f>SUM(DK89:DK90)</f>
        <v>0</v>
      </c>
      <c r="DL88" s="341">
        <f>IF(DJ88=0,0,(DK88-DJ88)/DJ88*100)</f>
        <v>0</v>
      </c>
      <c r="DM88" s="1534">
        <f>SUM(DM89:DM90)</f>
        <v>0</v>
      </c>
      <c r="DN88" s="1534">
        <f>SUM(DN89:DN90)</f>
        <v>0</v>
      </c>
      <c r="DO88" s="341">
        <f>IF(DM88=0,0,(DN88-DM88)/DM88*100)</f>
        <v>0</v>
      </c>
      <c r="DP88" s="1534">
        <f>SUM(DP89:DP90)</f>
        <v>0</v>
      </c>
      <c r="DQ88" s="1534">
        <f>SUM(DQ89:DQ90)</f>
        <v>0</v>
      </c>
      <c r="DR88" s="341">
        <f>IF(DP88=0,0,(DQ88-DP88)/DP88*100)</f>
        <v>0</v>
      </c>
      <c r="DS88" s="1534">
        <f>SUM(DS89:DS90)</f>
        <v>0</v>
      </c>
      <c r="DT88" s="1534">
        <f>SUM(DT89:DT90)</f>
        <v>0</v>
      </c>
      <c r="DU88" s="341">
        <f>IF(DS88=0,0,(DT88-DS88)/DS88*100)</f>
        <v>0</v>
      </c>
      <c r="DV88" s="1534">
        <f>SUM(DV89:DV90)</f>
        <v>0</v>
      </c>
      <c r="DW88" s="1534">
        <f>SUM(DW89:DW90)</f>
        <v>0</v>
      </c>
      <c r="DX88" s="341">
        <f>IF(DV88=0,0,(DW88-DV88)/DV88*100)</f>
        <v>0</v>
      </c>
      <c r="DY88" s="1534">
        <f>SUM(DY89:DY90)</f>
        <v>0</v>
      </c>
      <c r="DZ88" s="1534">
        <f>SUM(DZ89:DZ90)</f>
        <v>0</v>
      </c>
      <c r="EA88" s="341">
        <f>IF(DY88=0,0,(DZ88-DY88)/DY88*100)</f>
        <v>0</v>
      </c>
      <c r="EB88" s="1534">
        <f>SUM(EB89:EB90)</f>
        <v>0</v>
      </c>
      <c r="EC88" s="1534">
        <f>SUM(EC89:EC90)</f>
        <v>0</v>
      </c>
      <c r="ED88" s="341">
        <f>IF(EB88=0,0,(EC88-EB88)/EB88*100)</f>
        <v>0</v>
      </c>
      <c r="EE88" s="1534">
        <f>SUM(EE89:EE90)</f>
        <v>0</v>
      </c>
      <c r="EF88" s="1534">
        <f>SUM(EF89:EF90)</f>
        <v>0</v>
      </c>
      <c r="EG88" s="341">
        <f>IF(EE88=0,0,(EF88-EE88)/EE88*100)</f>
        <v>0</v>
      </c>
      <c r="EH88" s="1534">
        <f>SUM(EH89:EH90)</f>
        <v>0</v>
      </c>
      <c r="EI88" s="1534">
        <f>SUM(EI89:EI90)</f>
        <v>0</v>
      </c>
      <c r="EJ88" s="341">
        <f>IF(EH88=0,0,(EI88-EH88)/EH88*100)</f>
        <v>0</v>
      </c>
      <c r="EK88" s="1534">
        <f>SUM(EK89:EK90)</f>
        <v>0</v>
      </c>
      <c r="EL88" s="1534">
        <f>SUM(EL89:EL90)</f>
        <v>0</v>
      </c>
      <c r="EM88" s="341">
        <f>IF(EK88=0,0,(EL88-EK88)/EK88*100)</f>
        <v>0</v>
      </c>
      <c r="EN88" s="1534">
        <f>SUM(EN89:EN90)</f>
        <v>0</v>
      </c>
      <c r="EO88" s="1534">
        <f>SUM(EO89:EO90)</f>
        <v>0</v>
      </c>
      <c r="EP88" s="341">
        <f>IF(EN88=0,0,(EO88-EN88)/EN88*100)</f>
        <v>0</v>
      </c>
      <c r="EQ88" s="1534">
        <f>SUM(EQ89:EQ90)</f>
        <v>0</v>
      </c>
      <c r="ER88" s="1534">
        <f>SUM(ER89:ER90)</f>
        <v>0</v>
      </c>
      <c r="ES88" s="341">
        <f>IF(EQ88=0,0,(ER88-EQ88)/EQ88*100)</f>
        <v>0</v>
      </c>
      <c r="ET88" s="1534">
        <f>SUM(ET89:ET90)</f>
        <v>0</v>
      </c>
      <c r="EU88" s="1534">
        <f>SUM(EU89:EU90)</f>
        <v>0</v>
      </c>
      <c r="EV88" s="341">
        <f>IF(ET88=0,0,(EU88-ET88)/ET88*100)</f>
        <v>0</v>
      </c>
      <c r="EW88" s="1534">
        <f>SUM(EW89:EW90)</f>
        <v>0</v>
      </c>
      <c r="EX88" s="1534">
        <f>SUM(EX89:EX90)</f>
        <v>0</v>
      </c>
      <c r="EY88" s="341">
        <f>IF(EW88=0,0,(EX88-EW88)/EW88*100)</f>
        <v>0</v>
      </c>
      <c r="EZ88" s="1534">
        <f>SUM(EZ89:EZ90)</f>
        <v>0</v>
      </c>
      <c r="FA88" s="1534">
        <f>SUM(FA89:FA90)</f>
        <v>0</v>
      </c>
      <c r="FB88" s="341">
        <f>IF(EZ88=0,0,(FA88-EZ88)/EZ88*100)</f>
        <v>0</v>
      </c>
      <c r="FC88" s="1534">
        <f>SUM(FC89:FC90)</f>
        <v>0</v>
      </c>
      <c r="FD88" s="1534">
        <f>SUM(FD89:FD90)</f>
        <v>0</v>
      </c>
      <c r="FE88" s="341">
        <f>IF(FC88=0,0,(FD88-FC88)/FC88*100)</f>
        <v>0</v>
      </c>
      <c r="FF88" s="1534">
        <f>SUM(FF89:FF90)</f>
        <v>0</v>
      </c>
      <c r="FG88" s="1534">
        <f>SUM(FG89:FG90)</f>
        <v>0</v>
      </c>
      <c r="FH88" s="341">
        <f>IF(FF88=0,0,(FG88-FF88)/FF88*100)</f>
        <v>0</v>
      </c>
      <c r="FI88" s="1534">
        <f>SUM(FI89:FI90)</f>
        <v>0</v>
      </c>
      <c r="FJ88" s="1534">
        <f>SUM(FJ89:FJ90)</f>
        <v>0</v>
      </c>
      <c r="FK88" s="341">
        <f>IF(FI88=0,0,(FJ88-FI88)/FI88*100)</f>
        <v>0</v>
      </c>
      <c r="FL88" s="1534">
        <f>SUM(FL89:FL90)</f>
        <v>0</v>
      </c>
      <c r="FM88" s="1534">
        <f>SUM(FM89:FM90)</f>
        <v>0</v>
      </c>
      <c r="FN88" s="341">
        <f>IF(FL88=0,0,(FM88-FL88)/FL88*100)</f>
        <v>0</v>
      </c>
      <c r="FO88" s="1534">
        <f>SUM(FO89:FO90)</f>
        <v>0</v>
      </c>
      <c r="FP88" s="1534">
        <f>SUM(FP89:FP90)</f>
        <v>0</v>
      </c>
      <c r="FQ88" s="341">
        <f>IF(FO88=0,0,(FP88-FO88)/FO88*100)</f>
        <v>0</v>
      </c>
      <c r="FR88" s="1534">
        <f>SUM(FR89:FR90)</f>
        <v>0</v>
      </c>
      <c r="FS88" s="1534">
        <f>SUM(FS89:FS90)</f>
        <v>0</v>
      </c>
      <c r="FT88" s="341">
        <f>IF(FR88=0,0,(FS88-FR88)/FR88*100)</f>
        <v>0</v>
      </c>
      <c r="FU88" s="1534">
        <f>SUM(FU89:FU90)</f>
        <v>0</v>
      </c>
      <c r="FV88" s="1534">
        <f>SUM(FV89:FV90)</f>
        <v>0</v>
      </c>
      <c r="FW88" s="341">
        <f>IF(FU88=0,0,(FV88-FU88)/FU88*100)</f>
        <v>0</v>
      </c>
      <c r="FX88" s="425"/>
      <c r="FY88" s="425"/>
      <c r="FZ88" s="981" t="s">
        <v>2182</v>
      </c>
      <c r="GA88" s="981"/>
      <c r="GB88" s="981"/>
      <c r="GC88" s="981"/>
      <c r="GD88" s="981"/>
    </row>
    <row r="89" spans="1:186" s="1229" customFormat="1" ht="16.5" customHeight="1">
      <c r="A89" s="1153"/>
      <c r="B89" s="813" t="b" cm="1">
        <f t="array" ref="B89">B88</f>
        <v>1</v>
      </c>
      <c r="C89" s="1118" t="s">
        <v>1779</v>
      </c>
      <c r="D89" s="1087" t="s">
        <v>1780</v>
      </c>
      <c r="E89" s="676">
        <v>17.100000000000001</v>
      </c>
      <c r="F89" s="779" t="str" cm="1">
        <f t="array" aca="1" ref="F89" ca="1">OFFSET(G89,-1,-1)</f>
        <v>1</v>
      </c>
      <c r="G89" s="425"/>
      <c r="H89" s="425"/>
      <c r="I89" s="425"/>
      <c r="J89" s="1108" t="s">
        <v>2149</v>
      </c>
      <c r="K89" s="1108" t="str" cm="1">
        <f t="array" aca="1" ref="K89" ca="1">OFFSET(J89,-1,1)</f>
        <v>ТЭ.42.26322895.0003</v>
      </c>
      <c r="L89" s="1108" t="s">
        <v>2163</v>
      </c>
      <c r="M89" s="1108" t="s">
        <v>1782</v>
      </c>
      <c r="N89" s="1108" t="s">
        <v>2171</v>
      </c>
      <c r="O89" s="1109" t="s">
        <v>2172</v>
      </c>
      <c r="P89" s="1108"/>
      <c r="Q89" s="1108"/>
      <c r="R89" s="784"/>
      <c r="S89" s="425"/>
      <c r="T89" s="687" t="b" cm="1">
        <f t="array" aca="1" ref="T89" ca="1">T88</f>
        <v>1</v>
      </c>
      <c r="U89" s="1153"/>
      <c r="V89" s="1153"/>
      <c r="W89" s="1153"/>
      <c r="X89" s="1726"/>
      <c r="Y89" s="1153"/>
      <c r="Z89" s="1726"/>
      <c r="AA89" s="425"/>
      <c r="AB89" s="223" t="s">
        <v>2183</v>
      </c>
      <c r="AC89" s="566" t="s">
        <v>634</v>
      </c>
      <c r="AD89" s="1375"/>
      <c r="AE89" s="1375">
        <v>59652.2</v>
      </c>
      <c r="AF89" s="578">
        <f>IF(AD89=0,0,(AE89-AD89)/AD89*100)</f>
        <v>0</v>
      </c>
      <c r="AG89" s="322"/>
      <c r="AH89" s="322"/>
      <c r="AI89" s="578">
        <f>IF(AG89=0,0,(AH89-AG89)/AG89*100)</f>
        <v>0</v>
      </c>
      <c r="AJ89" s="322"/>
      <c r="AK89" s="322"/>
      <c r="AL89" s="578">
        <f>IF(AJ89=0,0,(AK89-AJ89)/AJ89*100)</f>
        <v>0</v>
      </c>
      <c r="AM89" s="322"/>
      <c r="AN89" s="322"/>
      <c r="AO89" s="578">
        <f>IF(AM89=0,0,(AN89-AM89)/AM89*100)</f>
        <v>0</v>
      </c>
      <c r="AP89" s="322"/>
      <c r="AQ89" s="322"/>
      <c r="AR89" s="578">
        <f>IF(AP89=0,0,(AQ89-AP89)/AP89*100)</f>
        <v>0</v>
      </c>
      <c r="AS89" s="1375"/>
      <c r="AT89" s="1375"/>
      <c r="AU89" s="578">
        <f>IF(AS89=0,0,(AT89-AS89)/AS89*100)</f>
        <v>0</v>
      </c>
      <c r="AV89" s="1375"/>
      <c r="AW89" s="1375"/>
      <c r="AX89" s="578">
        <f>IF(AV89=0,0,(AW89-AV89)/AV89*100)</f>
        <v>0</v>
      </c>
      <c r="AY89" s="1375"/>
      <c r="AZ89" s="1375"/>
      <c r="BA89" s="578">
        <f>IF(AY89=0,0,(AZ89-AY89)/AY89*100)</f>
        <v>0</v>
      </c>
      <c r="BB89" s="1375"/>
      <c r="BC89" s="1375"/>
      <c r="BD89" s="578">
        <f>IF(BB89=0,0,(BC89-BB89)/BB89*100)</f>
        <v>0</v>
      </c>
      <c r="BE89" s="1375"/>
      <c r="BF89" s="1375"/>
      <c r="BG89" s="578">
        <f>IF(BE89=0,0,(BF89-BE89)/BE89*100)</f>
        <v>0</v>
      </c>
      <c r="BH89" s="1375"/>
      <c r="BI89" s="1375"/>
      <c r="BJ89" s="578">
        <f>IF(BH89=0,0,(BI89-BH89)/BH89*100)</f>
        <v>0</v>
      </c>
      <c r="BK89" s="1375"/>
      <c r="BL89" s="1375"/>
      <c r="BM89" s="578">
        <f>IF(BK89=0,0,(BL89-BK89)/BK89*100)</f>
        <v>0</v>
      </c>
      <c r="BN89" s="1375"/>
      <c r="BO89" s="1375"/>
      <c r="BP89" s="578">
        <f>IF(BN89=0,0,(BO89-BN89)/BN89*100)</f>
        <v>0</v>
      </c>
      <c r="BQ89" s="1375"/>
      <c r="BR89" s="1375"/>
      <c r="BS89" s="578">
        <f>IF(BQ89=0,0,(BR89-BQ89)/BQ89*100)</f>
        <v>0</v>
      </c>
      <c r="BT89" s="1375"/>
      <c r="BU89" s="1375"/>
      <c r="BV89" s="578">
        <f>IF(BT89=0,0,(BU89-BT89)/BT89*100)</f>
        <v>0</v>
      </c>
      <c r="BW89" s="1375"/>
      <c r="BX89" s="1375"/>
      <c r="BY89" s="578">
        <f>IF(BW89=0,0,(BX89-BW89)/BW89*100)</f>
        <v>0</v>
      </c>
      <c r="BZ89" s="1375"/>
      <c r="CA89" s="1375"/>
      <c r="CB89" s="578">
        <f>IF(BZ89=0,0,(CA89-BZ89)/BZ89*100)</f>
        <v>0</v>
      </c>
      <c r="CC89" s="1375"/>
      <c r="CD89" s="1375"/>
      <c r="CE89" s="578">
        <f>IF(CC89=0,0,(CD89-CC89)/CC89*100)</f>
        <v>0</v>
      </c>
      <c r="CF89" s="1375"/>
      <c r="CG89" s="1375"/>
      <c r="CH89" s="578">
        <f>IF(CF89=0,0,(CG89-CF89)/CF89*100)</f>
        <v>0</v>
      </c>
      <c r="CI89" s="1375"/>
      <c r="CJ89" s="1375"/>
      <c r="CK89" s="578">
        <f>IF(CI89=0,0,(CJ89-CI89)/CI89*100)</f>
        <v>0</v>
      </c>
      <c r="CL89" s="1375"/>
      <c r="CM89" s="1375"/>
      <c r="CN89" s="578">
        <f>IF(CL89=0,0,(CM89-CL89)/CL89*100)</f>
        <v>0</v>
      </c>
      <c r="CO89" s="1375"/>
      <c r="CP89" s="1375"/>
      <c r="CQ89" s="578">
        <f>IF(CO89=0,0,(CP89-CO89)/CO89*100)</f>
        <v>0</v>
      </c>
      <c r="CR89" s="1375"/>
      <c r="CS89" s="1375"/>
      <c r="CT89" s="578">
        <f>IF(CR89=0,0,(CS89-CR89)/CR89*100)</f>
        <v>0</v>
      </c>
      <c r="CU89" s="1375"/>
      <c r="CV89" s="1375"/>
      <c r="CW89" s="578">
        <f>IF(CU89=0,0,(CV89-CU89)/CU89*100)</f>
        <v>0</v>
      </c>
      <c r="CX89" s="1375"/>
      <c r="CY89" s="1375"/>
      <c r="CZ89" s="578">
        <f>IF(CX89=0,0,(CY89-CX89)/CX89*100)</f>
        <v>0</v>
      </c>
      <c r="DA89" s="1375"/>
      <c r="DB89" s="1375"/>
      <c r="DC89" s="578">
        <f>IF(DA89=0,0,(DB89-DA89)/DA89*100)</f>
        <v>0</v>
      </c>
      <c r="DD89" s="1375"/>
      <c r="DE89" s="1375"/>
      <c r="DF89" s="578">
        <f>IF(DD89=0,0,(DE89-DD89)/DD89*100)</f>
        <v>0</v>
      </c>
      <c r="DG89" s="1375"/>
      <c r="DH89" s="1375"/>
      <c r="DI89" s="578">
        <f>IF(DG89=0,0,(DH89-DG89)/DG89*100)</f>
        <v>0</v>
      </c>
      <c r="DJ89" s="1375"/>
      <c r="DK89" s="1375"/>
      <c r="DL89" s="578">
        <f>IF(DJ89=0,0,(DK89-DJ89)/DJ89*100)</f>
        <v>0</v>
      </c>
      <c r="DM89" s="1375"/>
      <c r="DN89" s="1375"/>
      <c r="DO89" s="578">
        <f>IF(DM89=0,0,(DN89-DM89)/DM89*100)</f>
        <v>0</v>
      </c>
      <c r="DP89" s="1375"/>
      <c r="DQ89" s="1375"/>
      <c r="DR89" s="578">
        <f>IF(DP89=0,0,(DQ89-DP89)/DP89*100)</f>
        <v>0</v>
      </c>
      <c r="DS89" s="1375"/>
      <c r="DT89" s="1375"/>
      <c r="DU89" s="578">
        <f>IF(DS89=0,0,(DT89-DS89)/DS89*100)</f>
        <v>0</v>
      </c>
      <c r="DV89" s="1375"/>
      <c r="DW89" s="1375"/>
      <c r="DX89" s="578">
        <f>IF(DV89=0,0,(DW89-DV89)/DV89*100)</f>
        <v>0</v>
      </c>
      <c r="DY89" s="1375"/>
      <c r="DZ89" s="1375"/>
      <c r="EA89" s="578">
        <f>IF(DY89=0,0,(DZ89-DY89)/DY89*100)</f>
        <v>0</v>
      </c>
      <c r="EB89" s="1375"/>
      <c r="EC89" s="1375"/>
      <c r="ED89" s="578">
        <f>IF(EB89=0,0,(EC89-EB89)/EB89*100)</f>
        <v>0</v>
      </c>
      <c r="EE89" s="1375"/>
      <c r="EF89" s="1375"/>
      <c r="EG89" s="578">
        <f>IF(EE89=0,0,(EF89-EE89)/EE89*100)</f>
        <v>0</v>
      </c>
      <c r="EH89" s="1375"/>
      <c r="EI89" s="1375"/>
      <c r="EJ89" s="578">
        <f>IF(EH89=0,0,(EI89-EH89)/EH89*100)</f>
        <v>0</v>
      </c>
      <c r="EK89" s="1375"/>
      <c r="EL89" s="1375"/>
      <c r="EM89" s="578">
        <f>IF(EK89=0,0,(EL89-EK89)/EK89*100)</f>
        <v>0</v>
      </c>
      <c r="EN89" s="1375"/>
      <c r="EO89" s="1375"/>
      <c r="EP89" s="578">
        <f>IF(EN89=0,0,(EO89-EN89)/EN89*100)</f>
        <v>0</v>
      </c>
      <c r="EQ89" s="1375"/>
      <c r="ER89" s="1375"/>
      <c r="ES89" s="578">
        <f>IF(EQ89=0,0,(ER89-EQ89)/EQ89*100)</f>
        <v>0</v>
      </c>
      <c r="ET89" s="1375"/>
      <c r="EU89" s="1375"/>
      <c r="EV89" s="578">
        <f>IF(ET89=0,0,(EU89-ET89)/ET89*100)</f>
        <v>0</v>
      </c>
      <c r="EW89" s="1375"/>
      <c r="EX89" s="1375"/>
      <c r="EY89" s="578">
        <f>IF(EW89=0,0,(EX89-EW89)/EW89*100)</f>
        <v>0</v>
      </c>
      <c r="EZ89" s="1375"/>
      <c r="FA89" s="1375"/>
      <c r="FB89" s="578">
        <f>IF(EZ89=0,0,(FA89-EZ89)/EZ89*100)</f>
        <v>0</v>
      </c>
      <c r="FC89" s="1375"/>
      <c r="FD89" s="1375"/>
      <c r="FE89" s="578">
        <f>IF(FC89=0,0,(FD89-FC89)/FC89*100)</f>
        <v>0</v>
      </c>
      <c r="FF89" s="1375"/>
      <c r="FG89" s="1375"/>
      <c r="FH89" s="578">
        <f>IF(FF89=0,0,(FG89-FF89)/FF89*100)</f>
        <v>0</v>
      </c>
      <c r="FI89" s="1375"/>
      <c r="FJ89" s="1375"/>
      <c r="FK89" s="578">
        <f>IF(FI89=0,0,(FJ89-FI89)/FI89*100)</f>
        <v>0</v>
      </c>
      <c r="FL89" s="1375"/>
      <c r="FM89" s="1375"/>
      <c r="FN89" s="578">
        <f>IF(FL89=0,0,(FM89-FL89)/FL89*100)</f>
        <v>0</v>
      </c>
      <c r="FO89" s="1375"/>
      <c r="FP89" s="1375"/>
      <c r="FQ89" s="578">
        <f>IF(FO89=0,0,(FP89-FO89)/FO89*100)</f>
        <v>0</v>
      </c>
      <c r="FR89" s="1375"/>
      <c r="FS89" s="1375"/>
      <c r="FT89" s="578">
        <f>IF(FR89=0,0,(FS89-FR89)/FR89*100)</f>
        <v>0</v>
      </c>
      <c r="FU89" s="1375"/>
      <c r="FV89" s="1375"/>
      <c r="FW89" s="578">
        <f>IF(FU89=0,0,(FV89-FU89)/FU89*100)</f>
        <v>0</v>
      </c>
      <c r="FX89" s="425"/>
      <c r="FY89" s="425"/>
      <c r="FZ89" s="981" t="s">
        <v>2184</v>
      </c>
      <c r="GA89" s="981"/>
      <c r="GB89" s="981"/>
      <c r="GC89" s="981"/>
      <c r="GD89" s="981"/>
    </row>
    <row r="90" spans="1:186" s="1229" customFormat="1" ht="16.5" customHeight="1">
      <c r="A90" s="1153"/>
      <c r="B90" s="813" t="b" cm="1">
        <f t="array" ref="B90">B89</f>
        <v>1</v>
      </c>
      <c r="C90" s="1118" t="s">
        <v>1779</v>
      </c>
      <c r="D90" s="1087" t="s">
        <v>1780</v>
      </c>
      <c r="E90" s="676">
        <v>17.100000000000001</v>
      </c>
      <c r="F90" s="779" t="str" cm="1">
        <f t="array" aca="1" ref="F90" ca="1">OFFSET(G90,-1,-1)</f>
        <v>1</v>
      </c>
      <c r="G90" s="425"/>
      <c r="H90" s="425"/>
      <c r="I90" s="425"/>
      <c r="J90" s="1108" t="s">
        <v>2149</v>
      </c>
      <c r="K90" s="1108" t="str" cm="1">
        <f t="array" aca="1" ref="K90" ca="1">OFFSET(J90,-1,1)</f>
        <v>ТЭ.42.26322895.0003</v>
      </c>
      <c r="L90" s="1108" t="s">
        <v>2163</v>
      </c>
      <c r="M90" s="1108" t="s">
        <v>1791</v>
      </c>
      <c r="N90" s="1108" t="s">
        <v>2171</v>
      </c>
      <c r="O90" s="1109" t="s">
        <v>2172</v>
      </c>
      <c r="P90" s="1108"/>
      <c r="Q90" s="1108"/>
      <c r="R90" s="784"/>
      <c r="S90" s="425"/>
      <c r="T90" s="687" t="b" cm="1">
        <f t="array" aca="1" ref="T90" ca="1">T89</f>
        <v>1</v>
      </c>
      <c r="U90" s="1153"/>
      <c r="V90" s="1153"/>
      <c r="W90" s="1153"/>
      <c r="X90" s="1726"/>
      <c r="Y90" s="1153"/>
      <c r="Z90" s="1726"/>
      <c r="AA90" s="425"/>
      <c r="AB90" s="223" t="s">
        <v>2185</v>
      </c>
      <c r="AC90" s="566" t="s">
        <v>634</v>
      </c>
      <c r="AD90" s="1375"/>
      <c r="AE90" s="1375">
        <v>23730.799999999999</v>
      </c>
      <c r="AF90" s="578">
        <f>IF(AD90=0,0,(AE90-AD90)/AD90*100)</f>
        <v>0</v>
      </c>
      <c r="AG90" s="322"/>
      <c r="AH90" s="322"/>
      <c r="AI90" s="578">
        <f>IF(AG90=0,0,(AH90-AG90)/AG90*100)</f>
        <v>0</v>
      </c>
      <c r="AJ90" s="322"/>
      <c r="AK90" s="322"/>
      <c r="AL90" s="578">
        <f>IF(AJ90=0,0,(AK90-AJ90)/AJ90*100)</f>
        <v>0</v>
      </c>
      <c r="AM90" s="322"/>
      <c r="AN90" s="322"/>
      <c r="AO90" s="578">
        <f>IF(AM90=0,0,(AN90-AM90)/AM90*100)</f>
        <v>0</v>
      </c>
      <c r="AP90" s="322"/>
      <c r="AQ90" s="322"/>
      <c r="AR90" s="578">
        <f>IF(AP90=0,0,(AQ90-AP90)/AP90*100)</f>
        <v>0</v>
      </c>
      <c r="AS90" s="1375"/>
      <c r="AT90" s="1375"/>
      <c r="AU90" s="578">
        <f>IF(AS90=0,0,(AT90-AS90)/AS90*100)</f>
        <v>0</v>
      </c>
      <c r="AV90" s="1375"/>
      <c r="AW90" s="1375"/>
      <c r="AX90" s="578">
        <f>IF(AV90=0,0,(AW90-AV90)/AV90*100)</f>
        <v>0</v>
      </c>
      <c r="AY90" s="1375"/>
      <c r="AZ90" s="1375"/>
      <c r="BA90" s="578">
        <f>IF(AY90=0,0,(AZ90-AY90)/AY90*100)</f>
        <v>0</v>
      </c>
      <c r="BB90" s="1375"/>
      <c r="BC90" s="1375"/>
      <c r="BD90" s="578">
        <f>IF(BB90=0,0,(BC90-BB90)/BB90*100)</f>
        <v>0</v>
      </c>
      <c r="BE90" s="1375"/>
      <c r="BF90" s="1375"/>
      <c r="BG90" s="578">
        <f>IF(BE90=0,0,(BF90-BE90)/BE90*100)</f>
        <v>0</v>
      </c>
      <c r="BH90" s="1375"/>
      <c r="BI90" s="1375"/>
      <c r="BJ90" s="578">
        <f>IF(BH90=0,0,(BI90-BH90)/BH90*100)</f>
        <v>0</v>
      </c>
      <c r="BK90" s="1375"/>
      <c r="BL90" s="1375"/>
      <c r="BM90" s="578">
        <f>IF(BK90=0,0,(BL90-BK90)/BK90*100)</f>
        <v>0</v>
      </c>
      <c r="BN90" s="1375"/>
      <c r="BO90" s="1375"/>
      <c r="BP90" s="578">
        <f>IF(BN90=0,0,(BO90-BN90)/BN90*100)</f>
        <v>0</v>
      </c>
      <c r="BQ90" s="1375"/>
      <c r="BR90" s="1375"/>
      <c r="BS90" s="578">
        <f>IF(BQ90=0,0,(BR90-BQ90)/BQ90*100)</f>
        <v>0</v>
      </c>
      <c r="BT90" s="1375"/>
      <c r="BU90" s="1375"/>
      <c r="BV90" s="578">
        <f>IF(BT90=0,0,(BU90-BT90)/BT90*100)</f>
        <v>0</v>
      </c>
      <c r="BW90" s="1375"/>
      <c r="BX90" s="1375"/>
      <c r="BY90" s="578">
        <f>IF(BW90=0,0,(BX90-BW90)/BW90*100)</f>
        <v>0</v>
      </c>
      <c r="BZ90" s="1375"/>
      <c r="CA90" s="1375"/>
      <c r="CB90" s="578">
        <f>IF(BZ90=0,0,(CA90-BZ90)/BZ90*100)</f>
        <v>0</v>
      </c>
      <c r="CC90" s="1375"/>
      <c r="CD90" s="1375"/>
      <c r="CE90" s="578">
        <f>IF(CC90=0,0,(CD90-CC90)/CC90*100)</f>
        <v>0</v>
      </c>
      <c r="CF90" s="1375"/>
      <c r="CG90" s="1375"/>
      <c r="CH90" s="578">
        <f>IF(CF90=0,0,(CG90-CF90)/CF90*100)</f>
        <v>0</v>
      </c>
      <c r="CI90" s="1375"/>
      <c r="CJ90" s="1375"/>
      <c r="CK90" s="578">
        <f>IF(CI90=0,0,(CJ90-CI90)/CI90*100)</f>
        <v>0</v>
      </c>
      <c r="CL90" s="1375"/>
      <c r="CM90" s="1375"/>
      <c r="CN90" s="578">
        <f>IF(CL90=0,0,(CM90-CL90)/CL90*100)</f>
        <v>0</v>
      </c>
      <c r="CO90" s="1375"/>
      <c r="CP90" s="1375"/>
      <c r="CQ90" s="578">
        <f>IF(CO90=0,0,(CP90-CO90)/CO90*100)</f>
        <v>0</v>
      </c>
      <c r="CR90" s="1375"/>
      <c r="CS90" s="1375"/>
      <c r="CT90" s="578">
        <f>IF(CR90=0,0,(CS90-CR90)/CR90*100)</f>
        <v>0</v>
      </c>
      <c r="CU90" s="1375"/>
      <c r="CV90" s="1375"/>
      <c r="CW90" s="578">
        <f>IF(CU90=0,0,(CV90-CU90)/CU90*100)</f>
        <v>0</v>
      </c>
      <c r="CX90" s="1375"/>
      <c r="CY90" s="1375"/>
      <c r="CZ90" s="578">
        <f>IF(CX90=0,0,(CY90-CX90)/CX90*100)</f>
        <v>0</v>
      </c>
      <c r="DA90" s="1375"/>
      <c r="DB90" s="1375"/>
      <c r="DC90" s="578">
        <f>IF(DA90=0,0,(DB90-DA90)/DA90*100)</f>
        <v>0</v>
      </c>
      <c r="DD90" s="1375"/>
      <c r="DE90" s="1375"/>
      <c r="DF90" s="578">
        <f>IF(DD90=0,0,(DE90-DD90)/DD90*100)</f>
        <v>0</v>
      </c>
      <c r="DG90" s="1375"/>
      <c r="DH90" s="1375"/>
      <c r="DI90" s="578">
        <f>IF(DG90=0,0,(DH90-DG90)/DG90*100)</f>
        <v>0</v>
      </c>
      <c r="DJ90" s="1375"/>
      <c r="DK90" s="1375"/>
      <c r="DL90" s="578">
        <f>IF(DJ90=0,0,(DK90-DJ90)/DJ90*100)</f>
        <v>0</v>
      </c>
      <c r="DM90" s="1375"/>
      <c r="DN90" s="1375"/>
      <c r="DO90" s="578">
        <f>IF(DM90=0,0,(DN90-DM90)/DM90*100)</f>
        <v>0</v>
      </c>
      <c r="DP90" s="1375"/>
      <c r="DQ90" s="1375"/>
      <c r="DR90" s="578">
        <f>IF(DP90=0,0,(DQ90-DP90)/DP90*100)</f>
        <v>0</v>
      </c>
      <c r="DS90" s="1375"/>
      <c r="DT90" s="1375"/>
      <c r="DU90" s="578">
        <f>IF(DS90=0,0,(DT90-DS90)/DS90*100)</f>
        <v>0</v>
      </c>
      <c r="DV90" s="1375"/>
      <c r="DW90" s="1375"/>
      <c r="DX90" s="578">
        <f>IF(DV90=0,0,(DW90-DV90)/DV90*100)</f>
        <v>0</v>
      </c>
      <c r="DY90" s="1375"/>
      <c r="DZ90" s="1375"/>
      <c r="EA90" s="578">
        <f>IF(DY90=0,0,(DZ90-DY90)/DY90*100)</f>
        <v>0</v>
      </c>
      <c r="EB90" s="1375"/>
      <c r="EC90" s="1375"/>
      <c r="ED90" s="578">
        <f>IF(EB90=0,0,(EC90-EB90)/EB90*100)</f>
        <v>0</v>
      </c>
      <c r="EE90" s="1375"/>
      <c r="EF90" s="1375"/>
      <c r="EG90" s="578">
        <f>IF(EE90=0,0,(EF90-EE90)/EE90*100)</f>
        <v>0</v>
      </c>
      <c r="EH90" s="1375"/>
      <c r="EI90" s="1375"/>
      <c r="EJ90" s="578">
        <f>IF(EH90=0,0,(EI90-EH90)/EH90*100)</f>
        <v>0</v>
      </c>
      <c r="EK90" s="1375"/>
      <c r="EL90" s="1375"/>
      <c r="EM90" s="578">
        <f>IF(EK90=0,0,(EL90-EK90)/EK90*100)</f>
        <v>0</v>
      </c>
      <c r="EN90" s="1375"/>
      <c r="EO90" s="1375"/>
      <c r="EP90" s="578">
        <f>IF(EN90=0,0,(EO90-EN90)/EN90*100)</f>
        <v>0</v>
      </c>
      <c r="EQ90" s="1375"/>
      <c r="ER90" s="1375"/>
      <c r="ES90" s="578">
        <f>IF(EQ90=0,0,(ER90-EQ90)/EQ90*100)</f>
        <v>0</v>
      </c>
      <c r="ET90" s="1375"/>
      <c r="EU90" s="1375"/>
      <c r="EV90" s="578">
        <f>IF(ET90=0,0,(EU90-ET90)/ET90*100)</f>
        <v>0</v>
      </c>
      <c r="EW90" s="1375"/>
      <c r="EX90" s="1375"/>
      <c r="EY90" s="578">
        <f>IF(EW90=0,0,(EX90-EW90)/EW90*100)</f>
        <v>0</v>
      </c>
      <c r="EZ90" s="1375"/>
      <c r="FA90" s="1375"/>
      <c r="FB90" s="578">
        <f>IF(EZ90=0,0,(FA90-EZ90)/EZ90*100)</f>
        <v>0</v>
      </c>
      <c r="FC90" s="1375"/>
      <c r="FD90" s="1375"/>
      <c r="FE90" s="578">
        <f>IF(FC90=0,0,(FD90-FC90)/FC90*100)</f>
        <v>0</v>
      </c>
      <c r="FF90" s="1375"/>
      <c r="FG90" s="1375"/>
      <c r="FH90" s="578">
        <f>IF(FF90=0,0,(FG90-FF90)/FF90*100)</f>
        <v>0</v>
      </c>
      <c r="FI90" s="1375"/>
      <c r="FJ90" s="1375"/>
      <c r="FK90" s="578">
        <f>IF(FI90=0,0,(FJ90-FI90)/FI90*100)</f>
        <v>0</v>
      </c>
      <c r="FL90" s="1375"/>
      <c r="FM90" s="1375"/>
      <c r="FN90" s="578">
        <f>IF(FL90=0,0,(FM90-FL90)/FL90*100)</f>
        <v>0</v>
      </c>
      <c r="FO90" s="1375"/>
      <c r="FP90" s="1375"/>
      <c r="FQ90" s="578">
        <f>IF(FO90=0,0,(FP90-FO90)/FO90*100)</f>
        <v>0</v>
      </c>
      <c r="FR90" s="1375"/>
      <c r="FS90" s="1375"/>
      <c r="FT90" s="578">
        <f>IF(FR90=0,0,(FS90-FR90)/FR90*100)</f>
        <v>0</v>
      </c>
      <c r="FU90" s="1375"/>
      <c r="FV90" s="1375"/>
      <c r="FW90" s="578">
        <f>IF(FU90=0,0,(FV90-FU90)/FU90*100)</f>
        <v>0</v>
      </c>
      <c r="FX90" s="425"/>
      <c r="FY90" s="425"/>
      <c r="FZ90" s="981" t="s">
        <v>2186</v>
      </c>
      <c r="GA90" s="981"/>
      <c r="GB90" s="981"/>
      <c r="GC90" s="981"/>
      <c r="GD90" s="981"/>
    </row>
    <row r="91" spans="1:186" s="1229" customFormat="1" ht="16.5" hidden="1" customHeight="1">
      <c r="B91" s="813" t="b" cm="1">
        <f t="array" aca="1" ref="B91" ca="1">OFFSET(A91,-1,1)</f>
        <v>1</v>
      </c>
      <c r="C91" s="1118" t="s">
        <v>2168</v>
      </c>
      <c r="D91" s="1087" t="s">
        <v>2169</v>
      </c>
      <c r="E91" s="676">
        <v>17.100000000000001</v>
      </c>
      <c r="F91" s="779" t="str" cm="1">
        <f t="array" aca="1" ref="F91" ca="1">OFFSET(G91,-1,-1)</f>
        <v>1</v>
      </c>
      <c r="J91" s="1108" t="s">
        <v>2149</v>
      </c>
      <c r="K91" s="1108" t="str" cm="1">
        <f t="array" aca="1" ref="K91" ca="1">OFFSET(J91,-1,1)</f>
        <v>ТЭ.42.26322895.0003</v>
      </c>
      <c r="L91" s="1108"/>
      <c r="M91" s="1108"/>
      <c r="N91" s="1108" t="s">
        <v>2171</v>
      </c>
      <c r="O91" s="1109" t="s">
        <v>2172</v>
      </c>
      <c r="P91" s="1108"/>
      <c r="Q91" s="1108" cm="1">
        <f t="array" ref="Q91">AB91</f>
        <v>0</v>
      </c>
      <c r="T91" s="687" t="b">
        <f ca="1">AND(OFFSET(S91,1,1),Y91&gt;0)</f>
        <v>0</v>
      </c>
      <c r="W91" s="126" t="s">
        <v>236</v>
      </c>
      <c r="X91" s="1722"/>
      <c r="Y91" s="1726">
        <v>0</v>
      </c>
      <c r="Z91" s="1722"/>
      <c r="AA91" s="1808" t="s">
        <v>218</v>
      </c>
      <c r="AB91" s="101"/>
      <c r="AC91" s="566" t="s">
        <v>929</v>
      </c>
      <c r="AD91" s="68"/>
      <c r="AE91" s="68"/>
      <c r="AF91" s="578">
        <f>IF(AD91=0,0,(AE91-AD91)/AD91*100)</f>
        <v>0</v>
      </c>
      <c r="AG91" s="322"/>
      <c r="AH91" s="322"/>
      <c r="AI91" s="578">
        <f>IF(AG91=0,0,(AH91-AG91)/AG91*100)</f>
        <v>0</v>
      </c>
      <c r="AJ91" s="322"/>
      <c r="AK91" s="322"/>
      <c r="AL91" s="578">
        <f>IF(AJ91=0,0,(AK91-AJ91)/AJ91*100)</f>
        <v>0</v>
      </c>
      <c r="AM91" s="322"/>
      <c r="AN91" s="322"/>
      <c r="AO91" s="578">
        <f>IF(AM91=0,0,(AN91-AM91)/AM91*100)</f>
        <v>0</v>
      </c>
      <c r="AP91" s="322"/>
      <c r="AQ91" s="322"/>
      <c r="AR91" s="578">
        <f>IF(AP91=0,0,(AQ91-AP91)/AP91*100)</f>
        <v>0</v>
      </c>
      <c r="AS91" s="68"/>
      <c r="AT91" s="68"/>
      <c r="AU91" s="578">
        <f>IF(AS91=0,0,(AT91-AS91)/AS91*100)</f>
        <v>0</v>
      </c>
      <c r="AV91" s="68"/>
      <c r="AW91" s="68"/>
      <c r="AX91" s="578">
        <f>IF(AV91=0,0,(AW91-AV91)/AV91*100)</f>
        <v>0</v>
      </c>
      <c r="AY91" s="68"/>
      <c r="AZ91" s="68"/>
      <c r="BA91" s="578">
        <f>IF(AY91=0,0,(AZ91-AY91)/AY91*100)</f>
        <v>0</v>
      </c>
      <c r="BB91" s="68"/>
      <c r="BC91" s="68"/>
      <c r="BD91" s="578">
        <f>IF(BB91=0,0,(BC91-BB91)/BB91*100)</f>
        <v>0</v>
      </c>
      <c r="BE91" s="68"/>
      <c r="BF91" s="68"/>
      <c r="BG91" s="578">
        <f>IF(BE91=0,0,(BF91-BE91)/BE91*100)</f>
        <v>0</v>
      </c>
      <c r="BH91" s="68"/>
      <c r="BI91" s="68"/>
      <c r="BJ91" s="578">
        <f>IF(BH91=0,0,(BI91-BH91)/BH91*100)</f>
        <v>0</v>
      </c>
      <c r="BK91" s="68"/>
      <c r="BL91" s="68"/>
      <c r="BM91" s="578">
        <f>IF(BK91=0,0,(BL91-BK91)/BK91*100)</f>
        <v>0</v>
      </c>
      <c r="BN91" s="68"/>
      <c r="BO91" s="68"/>
      <c r="BP91" s="578">
        <f>IF(BN91=0,0,(BO91-BN91)/BN91*100)</f>
        <v>0</v>
      </c>
      <c r="BQ91" s="68"/>
      <c r="BR91" s="68"/>
      <c r="BS91" s="578">
        <f>IF(BQ91=0,0,(BR91-BQ91)/BQ91*100)</f>
        <v>0</v>
      </c>
      <c r="BT91" s="68"/>
      <c r="BU91" s="68"/>
      <c r="BV91" s="578">
        <f>IF(BT91=0,0,(BU91-BT91)/BT91*100)</f>
        <v>0</v>
      </c>
      <c r="BW91" s="68"/>
      <c r="BX91" s="68"/>
      <c r="BY91" s="578">
        <f>IF(BW91=0,0,(BX91-BW91)/BW91*100)</f>
        <v>0</v>
      </c>
      <c r="BZ91" s="68"/>
      <c r="CA91" s="68"/>
      <c r="CB91" s="578">
        <f>IF(BZ91=0,0,(CA91-BZ91)/BZ91*100)</f>
        <v>0</v>
      </c>
      <c r="CC91" s="68"/>
      <c r="CD91" s="68"/>
      <c r="CE91" s="578">
        <f>IF(CC91=0,0,(CD91-CC91)/CC91*100)</f>
        <v>0</v>
      </c>
      <c r="CF91" s="68"/>
      <c r="CG91" s="68"/>
      <c r="CH91" s="578">
        <f>IF(CF91=0,0,(CG91-CF91)/CF91*100)</f>
        <v>0</v>
      </c>
      <c r="CI91" s="68"/>
      <c r="CJ91" s="68"/>
      <c r="CK91" s="578">
        <f>IF(CI91=0,0,(CJ91-CI91)/CI91*100)</f>
        <v>0</v>
      </c>
      <c r="CL91" s="68"/>
      <c r="CM91" s="68"/>
      <c r="CN91" s="578">
        <f>IF(CL91=0,0,(CM91-CL91)/CL91*100)</f>
        <v>0</v>
      </c>
      <c r="CO91" s="68"/>
      <c r="CP91" s="68"/>
      <c r="CQ91" s="578">
        <f>IF(CO91=0,0,(CP91-CO91)/CO91*100)</f>
        <v>0</v>
      </c>
      <c r="CR91" s="68"/>
      <c r="CS91" s="68"/>
      <c r="CT91" s="578">
        <f>IF(CR91=0,0,(CS91-CR91)/CR91*100)</f>
        <v>0</v>
      </c>
      <c r="CU91" s="68"/>
      <c r="CV91" s="68"/>
      <c r="CW91" s="578">
        <f>IF(CU91=0,0,(CV91-CU91)/CU91*100)</f>
        <v>0</v>
      </c>
      <c r="CX91" s="68"/>
      <c r="CY91" s="68"/>
      <c r="CZ91" s="578">
        <f>IF(CX91=0,0,(CY91-CX91)/CX91*100)</f>
        <v>0</v>
      </c>
      <c r="DA91" s="68"/>
      <c r="DB91" s="68"/>
      <c r="DC91" s="578">
        <f>IF(DA91=0,0,(DB91-DA91)/DA91*100)</f>
        <v>0</v>
      </c>
      <c r="DD91" s="68"/>
      <c r="DE91" s="68"/>
      <c r="DF91" s="578">
        <f>IF(DD91=0,0,(DE91-DD91)/DD91*100)</f>
        <v>0</v>
      </c>
      <c r="DG91" s="68"/>
      <c r="DH91" s="68"/>
      <c r="DI91" s="578">
        <f>IF(DG91=0,0,(DH91-DG91)/DG91*100)</f>
        <v>0</v>
      </c>
      <c r="DJ91" s="68"/>
      <c r="DK91" s="68"/>
      <c r="DL91" s="578">
        <f>IF(DJ91=0,0,(DK91-DJ91)/DJ91*100)</f>
        <v>0</v>
      </c>
      <c r="DM91" s="68"/>
      <c r="DN91" s="68"/>
      <c r="DO91" s="578">
        <f>IF(DM91=0,0,(DN91-DM91)/DM91*100)</f>
        <v>0</v>
      </c>
      <c r="DP91" s="68"/>
      <c r="DQ91" s="68"/>
      <c r="DR91" s="578">
        <f>IF(DP91=0,0,(DQ91-DP91)/DP91*100)</f>
        <v>0</v>
      </c>
      <c r="DS91" s="68"/>
      <c r="DT91" s="68"/>
      <c r="DU91" s="578">
        <f>IF(DS91=0,0,(DT91-DS91)/DS91*100)</f>
        <v>0</v>
      </c>
      <c r="DV91" s="68"/>
      <c r="DW91" s="68"/>
      <c r="DX91" s="578">
        <f>IF(DV91=0,0,(DW91-DV91)/DV91*100)</f>
        <v>0</v>
      </c>
      <c r="DY91" s="68"/>
      <c r="DZ91" s="68"/>
      <c r="EA91" s="578">
        <f>IF(DY91=0,0,(DZ91-DY91)/DY91*100)</f>
        <v>0</v>
      </c>
      <c r="EB91" s="68"/>
      <c r="EC91" s="68"/>
      <c r="ED91" s="578">
        <f>IF(EB91=0,0,(EC91-EB91)/EB91*100)</f>
        <v>0</v>
      </c>
      <c r="EE91" s="68"/>
      <c r="EF91" s="68"/>
      <c r="EG91" s="578">
        <f>IF(EE91=0,0,(EF91-EE91)/EE91*100)</f>
        <v>0</v>
      </c>
      <c r="EH91" s="68"/>
      <c r="EI91" s="68"/>
      <c r="EJ91" s="578">
        <f>IF(EH91=0,0,(EI91-EH91)/EH91*100)</f>
        <v>0</v>
      </c>
      <c r="EK91" s="68"/>
      <c r="EL91" s="68"/>
      <c r="EM91" s="578">
        <f>IF(EK91=0,0,(EL91-EK91)/EK91*100)</f>
        <v>0</v>
      </c>
      <c r="EN91" s="68"/>
      <c r="EO91" s="68"/>
      <c r="EP91" s="578">
        <f>IF(EN91=0,0,(EO91-EN91)/EN91*100)</f>
        <v>0</v>
      </c>
      <c r="EQ91" s="68"/>
      <c r="ER91" s="68"/>
      <c r="ES91" s="578">
        <f>IF(EQ91=0,0,(ER91-EQ91)/EQ91*100)</f>
        <v>0</v>
      </c>
      <c r="ET91" s="68"/>
      <c r="EU91" s="68"/>
      <c r="EV91" s="578">
        <f>IF(ET91=0,0,(EU91-ET91)/ET91*100)</f>
        <v>0</v>
      </c>
      <c r="EW91" s="68"/>
      <c r="EX91" s="68"/>
      <c r="EY91" s="578">
        <f>IF(EW91=0,0,(EX91-EW91)/EW91*100)</f>
        <v>0</v>
      </c>
      <c r="EZ91" s="68"/>
      <c r="FA91" s="68"/>
      <c r="FB91" s="578">
        <f>IF(EZ91=0,0,(FA91-EZ91)/EZ91*100)</f>
        <v>0</v>
      </c>
      <c r="FC91" s="68"/>
      <c r="FD91" s="68"/>
      <c r="FE91" s="578">
        <f>IF(FC91=0,0,(FD91-FC91)/FC91*100)</f>
        <v>0</v>
      </c>
      <c r="FF91" s="68"/>
      <c r="FG91" s="68"/>
      <c r="FH91" s="578">
        <f>IF(FF91=0,0,(FG91-FF91)/FF91*100)</f>
        <v>0</v>
      </c>
      <c r="FI91" s="68"/>
      <c r="FJ91" s="68"/>
      <c r="FK91" s="578">
        <f>IF(FI91=0,0,(FJ91-FI91)/FI91*100)</f>
        <v>0</v>
      </c>
      <c r="FL91" s="68"/>
      <c r="FM91" s="68"/>
      <c r="FN91" s="578">
        <f>IF(FL91=0,0,(FM91-FL91)/FL91*100)</f>
        <v>0</v>
      </c>
      <c r="FO91" s="68"/>
      <c r="FP91" s="68"/>
      <c r="FQ91" s="578">
        <f>IF(FO91=0,0,(FP91-FO91)/FO91*100)</f>
        <v>0</v>
      </c>
      <c r="FR91" s="68"/>
      <c r="FS91" s="68"/>
      <c r="FT91" s="578">
        <f>IF(FR91=0,0,(FS91-FR91)/FR91*100)</f>
        <v>0</v>
      </c>
      <c r="FU91" s="68"/>
      <c r="FV91" s="68"/>
      <c r="FW91" s="578">
        <f>IF(FU91=0,0,(FV91-FU91)/FU91*100)</f>
        <v>0</v>
      </c>
      <c r="FZ91" s="981" t="s">
        <v>2187</v>
      </c>
      <c r="GA91" s="981" t="s">
        <v>2188</v>
      </c>
      <c r="GB91" s="981" cm="1">
        <f t="array" ref="GB91">AB91</f>
        <v>0</v>
      </c>
      <c r="GC91" s="981"/>
      <c r="GD91" s="981" t="b">
        <v>1</v>
      </c>
    </row>
    <row r="92" spans="1:186" s="1229" customFormat="1" ht="16.5" hidden="1" customHeight="1">
      <c r="B92" s="813" t="b" cm="1">
        <f t="array" aca="1" ref="B92" ca="1">OFFSET(A92,-1,1)</f>
        <v>1</v>
      </c>
      <c r="C92" s="1118" t="s">
        <v>1779</v>
      </c>
      <c r="D92" s="1087" t="s">
        <v>1780</v>
      </c>
      <c r="E92" s="676">
        <v>17.100000000000001</v>
      </c>
      <c r="F92" s="779" t="str" cm="1">
        <f t="array" aca="1" ref="F92" ca="1">OFFSET(G92,-1,-1)</f>
        <v>1</v>
      </c>
      <c r="J92" s="1108" t="s">
        <v>2149</v>
      </c>
      <c r="K92" s="1108" t="str" cm="1">
        <f t="array" aca="1" ref="K92" ca="1">OFFSET(J92,-1,1)</f>
        <v>ТЭ.42.26322895.0003</v>
      </c>
      <c r="L92" s="1108" t="s">
        <v>2163</v>
      </c>
      <c r="M92" s="1108"/>
      <c r="N92" s="1108" t="s">
        <v>2171</v>
      </c>
      <c r="O92" s="1109" t="s">
        <v>2172</v>
      </c>
      <c r="P92" s="1108"/>
      <c r="Q92" s="1108" cm="1">
        <f t="array" ref="Q92">AB91</f>
        <v>0</v>
      </c>
      <c r="T92" s="687" t="b">
        <f ca="1">AND(OFFSET(S92,1,1),Y91&gt;0)</f>
        <v>0</v>
      </c>
      <c r="X92" s="1722"/>
      <c r="Y92" s="1722"/>
      <c r="Z92" s="1722"/>
      <c r="AA92" s="1808"/>
      <c r="AB92" s="887" t="s">
        <v>2189</v>
      </c>
      <c r="AC92" s="566" t="s">
        <v>634</v>
      </c>
      <c r="AD92" s="68"/>
      <c r="AE92" s="68"/>
      <c r="AF92" s="578">
        <f>IF(AD92=0,0,(AE92-AD92)/AD92*100)</f>
        <v>0</v>
      </c>
      <c r="AG92" s="322"/>
      <c r="AH92" s="322"/>
      <c r="AI92" s="578">
        <f>IF(AG92=0,0,(AH92-AG92)/AG92*100)</f>
        <v>0</v>
      </c>
      <c r="AJ92" s="322"/>
      <c r="AK92" s="322"/>
      <c r="AL92" s="578">
        <f>IF(AJ92=0,0,(AK92-AJ92)/AJ92*100)</f>
        <v>0</v>
      </c>
      <c r="AM92" s="322"/>
      <c r="AN92" s="322"/>
      <c r="AO92" s="578">
        <f>IF(AM92=0,0,(AN92-AM92)/AM92*100)</f>
        <v>0</v>
      </c>
      <c r="AP92" s="322"/>
      <c r="AQ92" s="322"/>
      <c r="AR92" s="578">
        <f>IF(AP92=0,0,(AQ92-AP92)/AP92*100)</f>
        <v>0</v>
      </c>
      <c r="AS92" s="68"/>
      <c r="AT92" s="68"/>
      <c r="AU92" s="578">
        <f>IF(AS92=0,0,(AT92-AS92)/AS92*100)</f>
        <v>0</v>
      </c>
      <c r="AV92" s="68"/>
      <c r="AW92" s="68"/>
      <c r="AX92" s="578">
        <f>IF(AV92=0,0,(AW92-AV92)/AV92*100)</f>
        <v>0</v>
      </c>
      <c r="AY92" s="68"/>
      <c r="AZ92" s="68"/>
      <c r="BA92" s="578">
        <f>IF(AY92=0,0,(AZ92-AY92)/AY92*100)</f>
        <v>0</v>
      </c>
      <c r="BB92" s="68"/>
      <c r="BC92" s="68"/>
      <c r="BD92" s="578">
        <f>IF(BB92=0,0,(BC92-BB92)/BB92*100)</f>
        <v>0</v>
      </c>
      <c r="BE92" s="68"/>
      <c r="BF92" s="68"/>
      <c r="BG92" s="578">
        <f>IF(BE92=0,0,(BF92-BE92)/BE92*100)</f>
        <v>0</v>
      </c>
      <c r="BH92" s="68"/>
      <c r="BI92" s="68"/>
      <c r="BJ92" s="578">
        <f>IF(BH92=0,0,(BI92-BH92)/BH92*100)</f>
        <v>0</v>
      </c>
      <c r="BK92" s="68"/>
      <c r="BL92" s="68"/>
      <c r="BM92" s="578">
        <f>IF(BK92=0,0,(BL92-BK92)/BK92*100)</f>
        <v>0</v>
      </c>
      <c r="BN92" s="68"/>
      <c r="BO92" s="68"/>
      <c r="BP92" s="578">
        <f>IF(BN92=0,0,(BO92-BN92)/BN92*100)</f>
        <v>0</v>
      </c>
      <c r="BQ92" s="68"/>
      <c r="BR92" s="68"/>
      <c r="BS92" s="578">
        <f>IF(BQ92=0,0,(BR92-BQ92)/BQ92*100)</f>
        <v>0</v>
      </c>
      <c r="BT92" s="68"/>
      <c r="BU92" s="68"/>
      <c r="BV92" s="578">
        <f>IF(BT92=0,0,(BU92-BT92)/BT92*100)</f>
        <v>0</v>
      </c>
      <c r="BW92" s="68"/>
      <c r="BX92" s="68"/>
      <c r="BY92" s="578">
        <f>IF(BW92=0,0,(BX92-BW92)/BW92*100)</f>
        <v>0</v>
      </c>
      <c r="BZ92" s="68"/>
      <c r="CA92" s="68"/>
      <c r="CB92" s="578">
        <f>IF(BZ92=0,0,(CA92-BZ92)/BZ92*100)</f>
        <v>0</v>
      </c>
      <c r="CC92" s="68"/>
      <c r="CD92" s="68"/>
      <c r="CE92" s="578">
        <f>IF(CC92=0,0,(CD92-CC92)/CC92*100)</f>
        <v>0</v>
      </c>
      <c r="CF92" s="68"/>
      <c r="CG92" s="68"/>
      <c r="CH92" s="578">
        <f>IF(CF92=0,0,(CG92-CF92)/CF92*100)</f>
        <v>0</v>
      </c>
      <c r="CI92" s="68"/>
      <c r="CJ92" s="68"/>
      <c r="CK92" s="578">
        <f>IF(CI92=0,0,(CJ92-CI92)/CI92*100)</f>
        <v>0</v>
      </c>
      <c r="CL92" s="68"/>
      <c r="CM92" s="68"/>
      <c r="CN92" s="578">
        <f>IF(CL92=0,0,(CM92-CL92)/CL92*100)</f>
        <v>0</v>
      </c>
      <c r="CO92" s="68"/>
      <c r="CP92" s="68"/>
      <c r="CQ92" s="578">
        <f>IF(CO92=0,0,(CP92-CO92)/CO92*100)</f>
        <v>0</v>
      </c>
      <c r="CR92" s="68"/>
      <c r="CS92" s="68"/>
      <c r="CT92" s="578">
        <f>IF(CR92=0,0,(CS92-CR92)/CR92*100)</f>
        <v>0</v>
      </c>
      <c r="CU92" s="68"/>
      <c r="CV92" s="68"/>
      <c r="CW92" s="578">
        <f>IF(CU92=0,0,(CV92-CU92)/CU92*100)</f>
        <v>0</v>
      </c>
      <c r="CX92" s="68"/>
      <c r="CY92" s="68"/>
      <c r="CZ92" s="578">
        <f>IF(CX92=0,0,(CY92-CX92)/CX92*100)</f>
        <v>0</v>
      </c>
      <c r="DA92" s="68"/>
      <c r="DB92" s="68"/>
      <c r="DC92" s="578">
        <f>IF(DA92=0,0,(DB92-DA92)/DA92*100)</f>
        <v>0</v>
      </c>
      <c r="DD92" s="68"/>
      <c r="DE92" s="68"/>
      <c r="DF92" s="578">
        <f>IF(DD92=0,0,(DE92-DD92)/DD92*100)</f>
        <v>0</v>
      </c>
      <c r="DG92" s="68"/>
      <c r="DH92" s="68"/>
      <c r="DI92" s="578">
        <f>IF(DG92=0,0,(DH92-DG92)/DG92*100)</f>
        <v>0</v>
      </c>
      <c r="DJ92" s="68"/>
      <c r="DK92" s="68"/>
      <c r="DL92" s="578">
        <f>IF(DJ92=0,0,(DK92-DJ92)/DJ92*100)</f>
        <v>0</v>
      </c>
      <c r="DM92" s="68"/>
      <c r="DN92" s="68"/>
      <c r="DO92" s="578">
        <f>IF(DM92=0,0,(DN92-DM92)/DM92*100)</f>
        <v>0</v>
      </c>
      <c r="DP92" s="68"/>
      <c r="DQ92" s="68"/>
      <c r="DR92" s="578">
        <f>IF(DP92=0,0,(DQ92-DP92)/DP92*100)</f>
        <v>0</v>
      </c>
      <c r="DS92" s="68"/>
      <c r="DT92" s="68"/>
      <c r="DU92" s="578">
        <f>IF(DS92=0,0,(DT92-DS92)/DS92*100)</f>
        <v>0</v>
      </c>
      <c r="DV92" s="68"/>
      <c r="DW92" s="68"/>
      <c r="DX92" s="578">
        <f>IF(DV92=0,0,(DW92-DV92)/DV92*100)</f>
        <v>0</v>
      </c>
      <c r="DY92" s="68"/>
      <c r="DZ92" s="68"/>
      <c r="EA92" s="578">
        <f>IF(DY92=0,0,(DZ92-DY92)/DY92*100)</f>
        <v>0</v>
      </c>
      <c r="EB92" s="68"/>
      <c r="EC92" s="68"/>
      <c r="ED92" s="578">
        <f>IF(EB92=0,0,(EC92-EB92)/EB92*100)</f>
        <v>0</v>
      </c>
      <c r="EE92" s="68"/>
      <c r="EF92" s="68"/>
      <c r="EG92" s="578">
        <f>IF(EE92=0,0,(EF92-EE92)/EE92*100)</f>
        <v>0</v>
      </c>
      <c r="EH92" s="68"/>
      <c r="EI92" s="68"/>
      <c r="EJ92" s="578">
        <f>IF(EH92=0,0,(EI92-EH92)/EH92*100)</f>
        <v>0</v>
      </c>
      <c r="EK92" s="68"/>
      <c r="EL92" s="68"/>
      <c r="EM92" s="578">
        <f>IF(EK92=0,0,(EL92-EK92)/EK92*100)</f>
        <v>0</v>
      </c>
      <c r="EN92" s="68"/>
      <c r="EO92" s="68"/>
      <c r="EP92" s="578">
        <f>IF(EN92=0,0,(EO92-EN92)/EN92*100)</f>
        <v>0</v>
      </c>
      <c r="EQ92" s="68"/>
      <c r="ER92" s="68"/>
      <c r="ES92" s="578">
        <f>IF(EQ92=0,0,(ER92-EQ92)/EQ92*100)</f>
        <v>0</v>
      </c>
      <c r="ET92" s="68"/>
      <c r="EU92" s="68"/>
      <c r="EV92" s="578">
        <f>IF(ET92=0,0,(EU92-ET92)/ET92*100)</f>
        <v>0</v>
      </c>
      <c r="EW92" s="68"/>
      <c r="EX92" s="68"/>
      <c r="EY92" s="578">
        <f>IF(EW92=0,0,(EX92-EW92)/EW92*100)</f>
        <v>0</v>
      </c>
      <c r="EZ92" s="68"/>
      <c r="FA92" s="68"/>
      <c r="FB92" s="578">
        <f>IF(EZ92=0,0,(FA92-EZ92)/EZ92*100)</f>
        <v>0</v>
      </c>
      <c r="FC92" s="68"/>
      <c r="FD92" s="68"/>
      <c r="FE92" s="578">
        <f>IF(FC92=0,0,(FD92-FC92)/FC92*100)</f>
        <v>0</v>
      </c>
      <c r="FF92" s="68"/>
      <c r="FG92" s="68"/>
      <c r="FH92" s="578">
        <f>IF(FF92=0,0,(FG92-FF92)/FF92*100)</f>
        <v>0</v>
      </c>
      <c r="FI92" s="68"/>
      <c r="FJ92" s="68"/>
      <c r="FK92" s="578">
        <f>IF(FI92=0,0,(FJ92-FI92)/FI92*100)</f>
        <v>0</v>
      </c>
      <c r="FL92" s="68"/>
      <c r="FM92" s="68"/>
      <c r="FN92" s="578">
        <f>IF(FL92=0,0,(FM92-FL92)/FL92*100)</f>
        <v>0</v>
      </c>
      <c r="FO92" s="68"/>
      <c r="FP92" s="68"/>
      <c r="FQ92" s="578">
        <f>IF(FO92=0,0,(FP92-FO92)/FO92*100)</f>
        <v>0</v>
      </c>
      <c r="FR92" s="68"/>
      <c r="FS92" s="68"/>
      <c r="FT92" s="578">
        <f>IF(FR92=0,0,(FS92-FR92)/FR92*100)</f>
        <v>0</v>
      </c>
      <c r="FU92" s="68"/>
      <c r="FV92" s="68"/>
      <c r="FW92" s="578">
        <f>IF(FU92=0,0,(FV92-FU92)/FU92*100)</f>
        <v>0</v>
      </c>
      <c r="FZ92" s="981" t="s">
        <v>2182</v>
      </c>
      <c r="GA92" s="981" t="s">
        <v>2188</v>
      </c>
      <c r="GB92" s="981" cm="1">
        <f t="array" ref="GB92">GB91</f>
        <v>0</v>
      </c>
      <c r="GC92" s="981"/>
      <c r="GD92" s="981"/>
    </row>
    <row r="93" spans="1:186" s="1229" customFormat="1" ht="16.5" customHeight="1">
      <c r="A93" s="1153"/>
      <c r="B93" s="813" t="b" cm="1">
        <f t="array" aca="1" ref="B93" ca="1">OFFSET(A93,-1,1)</f>
        <v>1</v>
      </c>
      <c r="C93" s="1118"/>
      <c r="D93" s="1087"/>
      <c r="E93" s="676">
        <v>17</v>
      </c>
      <c r="F93" s="779" t="str" cm="1">
        <f t="array" aca="1" ref="F93" ca="1">OFFSET(G93,-1,-1)</f>
        <v>1</v>
      </c>
      <c r="G93" s="425"/>
      <c r="H93" s="163" t="str">
        <f ca="1">F93&amp;"pIns1"</f>
        <v>1pIns1</v>
      </c>
      <c r="I93" s="425"/>
      <c r="J93" s="1110"/>
      <c r="K93" s="1108" t="str" cm="1">
        <f t="array" aca="1" ref="K93" ca="1">OFFSET(J93,-1,1)</f>
        <v>ТЭ.42.26322895.0003</v>
      </c>
      <c r="L93" s="1110"/>
      <c r="M93" s="1110"/>
      <c r="N93" s="1110"/>
      <c r="O93" s="1110"/>
      <c r="P93" s="1110"/>
      <c r="Q93" s="1092"/>
      <c r="R93" s="784"/>
      <c r="S93" s="425"/>
      <c r="T93" s="687" t="b" cm="1">
        <f t="array" aca="1" ref="T93" ca="1">T90</f>
        <v>1</v>
      </c>
      <c r="U93" s="1153"/>
      <c r="V93" s="1153"/>
      <c r="W93" s="1537" t="s">
        <v>2190</v>
      </c>
      <c r="X93" s="1726"/>
      <c r="Y93" s="1153"/>
      <c r="Z93" s="1726"/>
      <c r="AA93" s="425"/>
      <c r="AB93" s="760" t="s">
        <v>238</v>
      </c>
      <c r="AC93" s="285"/>
      <c r="AD93" s="483"/>
      <c r="AE93" s="483"/>
      <c r="AF93" s="283"/>
      <c r="AG93" s="483"/>
      <c r="AH93" s="483"/>
      <c r="AI93" s="283"/>
      <c r="AJ93" s="483"/>
      <c r="AK93" s="483"/>
      <c r="AL93" s="283"/>
      <c r="AM93" s="483"/>
      <c r="AN93" s="483"/>
      <c r="AO93" s="283"/>
      <c r="AP93" s="483"/>
      <c r="AQ93" s="483"/>
      <c r="AR93" s="283"/>
      <c r="AS93" s="483"/>
      <c r="AT93" s="483"/>
      <c r="AU93" s="283"/>
      <c r="AV93" s="483"/>
      <c r="AW93" s="483"/>
      <c r="AX93" s="283"/>
      <c r="AY93" s="483"/>
      <c r="AZ93" s="483"/>
      <c r="BA93" s="283"/>
      <c r="BB93" s="483"/>
      <c r="BC93" s="483"/>
      <c r="BD93" s="283"/>
      <c r="BE93" s="483"/>
      <c r="BF93" s="483"/>
      <c r="BG93" s="283"/>
      <c r="BH93" s="483"/>
      <c r="BI93" s="483"/>
      <c r="BJ93" s="283"/>
      <c r="BK93" s="283"/>
      <c r="BL93" s="283"/>
      <c r="BM93" s="283"/>
      <c r="BN93" s="283"/>
      <c r="BO93" s="283"/>
      <c r="BP93" s="283"/>
      <c r="BQ93" s="283"/>
      <c r="BR93" s="283"/>
      <c r="BS93" s="283"/>
      <c r="BT93" s="283"/>
      <c r="BU93" s="283"/>
      <c r="BV93" s="283"/>
      <c r="BW93" s="283"/>
      <c r="BX93" s="283"/>
      <c r="BY93" s="283"/>
      <c r="BZ93" s="283"/>
      <c r="CA93" s="283"/>
      <c r="CB93" s="283"/>
      <c r="CC93" s="283"/>
      <c r="CD93" s="283"/>
      <c r="CE93" s="283"/>
      <c r="CF93" s="283"/>
      <c r="CG93" s="283"/>
      <c r="CH93" s="283"/>
      <c r="CI93" s="283"/>
      <c r="CJ93" s="283"/>
      <c r="CK93" s="283"/>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c r="FC93" s="283"/>
      <c r="FD93" s="283"/>
      <c r="FE93" s="283"/>
      <c r="FF93" s="283"/>
      <c r="FG93" s="283"/>
      <c r="FH93" s="283"/>
      <c r="FI93" s="283"/>
      <c r="FJ93" s="283"/>
      <c r="FK93" s="283"/>
      <c r="FL93" s="283"/>
      <c r="FM93" s="283"/>
      <c r="FN93" s="283"/>
      <c r="FO93" s="283"/>
      <c r="FP93" s="283"/>
      <c r="FQ93" s="283"/>
      <c r="FR93" s="283"/>
      <c r="FS93" s="283"/>
      <c r="FT93" s="283"/>
      <c r="FU93" s="283"/>
      <c r="FV93" s="283"/>
      <c r="FW93" s="284"/>
      <c r="FX93" s="425"/>
      <c r="FY93" s="425"/>
      <c r="FZ93" s="1015"/>
      <c r="GA93" s="981"/>
      <c r="GB93" s="981"/>
      <c r="GC93" s="981" t="s">
        <v>2188</v>
      </c>
      <c r="GD93" s="981"/>
    </row>
    <row r="94" spans="1:186" s="1229" customFormat="1" ht="15" hidden="1" customHeight="1">
      <c r="A94" s="1153"/>
      <c r="B94" s="813" t="b">
        <f>R74="двухставочный"</f>
        <v>0</v>
      </c>
      <c r="C94" s="1118"/>
      <c r="D94" s="1087"/>
      <c r="E94" s="676">
        <v>15.8</v>
      </c>
      <c r="F94" s="779" t="str" cm="1">
        <f t="array" aca="1" ref="F94" ca="1">OFFSET(G94,-1,-1)</f>
        <v>1</v>
      </c>
      <c r="G94" s="425"/>
      <c r="H94" s="425"/>
      <c r="I94" s="425"/>
      <c r="J94" s="1110"/>
      <c r="K94" s="1108" t="str" cm="1">
        <f t="array" aca="1" ref="K94" ca="1">OFFSET(J94,-1,1)</f>
        <v>ТЭ.42.26322895.0003</v>
      </c>
      <c r="L94" s="1110"/>
      <c r="M94" s="1110"/>
      <c r="N94" s="1110"/>
      <c r="O94" s="1110"/>
      <c r="P94" s="1110"/>
      <c r="Q94" s="1092"/>
      <c r="R94" s="784"/>
      <c r="S94" s="425"/>
      <c r="T94" s="687" t="b">
        <f ca="1">AND(F94&gt;0,G74="двухставочный")</f>
        <v>0</v>
      </c>
      <c r="U94" s="1153"/>
      <c r="V94" s="1153"/>
      <c r="W94" s="1153"/>
      <c r="X94" s="1726"/>
      <c r="Y94" s="1153"/>
      <c r="Z94" s="1726"/>
      <c r="AA94" s="425"/>
      <c r="AB94" s="629" t="s">
        <v>2191</v>
      </c>
      <c r="AC94" s="304"/>
      <c r="AD94" s="305"/>
      <c r="AE94" s="305"/>
      <c r="AF94" s="305"/>
      <c r="AG94" s="305"/>
      <c r="AH94" s="305"/>
      <c r="AI94" s="305"/>
      <c r="AJ94" s="305"/>
      <c r="AK94" s="305"/>
      <c r="AL94" s="305"/>
      <c r="AM94" s="305"/>
      <c r="AN94" s="305"/>
      <c r="AO94" s="305"/>
      <c r="AP94" s="305"/>
      <c r="AQ94" s="305"/>
      <c r="AR94" s="305"/>
      <c r="AS94" s="305"/>
      <c r="AT94" s="305"/>
      <c r="AU94" s="305"/>
      <c r="AV94" s="305"/>
      <c r="AW94" s="305"/>
      <c r="AX94" s="305"/>
      <c r="AY94" s="305"/>
      <c r="AZ94" s="305"/>
      <c r="BA94" s="305"/>
      <c r="BB94" s="305"/>
      <c r="BC94" s="305"/>
      <c r="BD94" s="305"/>
      <c r="BE94" s="305"/>
      <c r="BF94" s="305"/>
      <c r="BG94" s="305"/>
      <c r="BH94" s="305"/>
      <c r="BI94" s="305"/>
      <c r="BJ94" s="305"/>
      <c r="BK94" s="305"/>
      <c r="BL94" s="305"/>
      <c r="BM94" s="305"/>
      <c r="BN94" s="305"/>
      <c r="BO94" s="305"/>
      <c r="BP94" s="305"/>
      <c r="BQ94" s="305"/>
      <c r="BR94" s="305"/>
      <c r="BS94" s="305"/>
      <c r="BT94" s="305"/>
      <c r="BU94" s="305"/>
      <c r="BV94" s="305"/>
      <c r="BW94" s="305"/>
      <c r="BX94" s="305"/>
      <c r="BY94" s="305"/>
      <c r="BZ94" s="305"/>
      <c r="CA94" s="305"/>
      <c r="CB94" s="305"/>
      <c r="CC94" s="305"/>
      <c r="CD94" s="305"/>
      <c r="CE94" s="305"/>
      <c r="CF94" s="305"/>
      <c r="CG94" s="305"/>
      <c r="CH94" s="305"/>
      <c r="CI94" s="305"/>
      <c r="CJ94" s="305"/>
      <c r="CK94" s="305"/>
      <c r="CL94" s="305"/>
      <c r="CM94" s="305"/>
      <c r="CN94" s="305"/>
      <c r="CO94" s="305"/>
      <c r="CP94" s="305"/>
      <c r="CQ94" s="305"/>
      <c r="CR94" s="305"/>
      <c r="CS94" s="305"/>
      <c r="CT94" s="305"/>
      <c r="CU94" s="305"/>
      <c r="CV94" s="305"/>
      <c r="CW94" s="305"/>
      <c r="CX94" s="305"/>
      <c r="CY94" s="305"/>
      <c r="CZ94" s="305"/>
      <c r="DA94" s="305"/>
      <c r="DB94" s="305"/>
      <c r="DC94" s="305"/>
      <c r="DD94" s="305"/>
      <c r="DE94" s="305"/>
      <c r="DF94" s="305"/>
      <c r="DG94" s="305"/>
      <c r="DH94" s="305"/>
      <c r="DI94" s="305"/>
      <c r="DJ94" s="305"/>
      <c r="DK94" s="305"/>
      <c r="DL94" s="305"/>
      <c r="DM94" s="305"/>
      <c r="DN94" s="305"/>
      <c r="DO94" s="305"/>
      <c r="DP94" s="305"/>
      <c r="DQ94" s="305"/>
      <c r="DR94" s="305"/>
      <c r="DS94" s="305"/>
      <c r="DT94" s="305"/>
      <c r="DU94" s="305"/>
      <c r="DV94" s="305"/>
      <c r="DW94" s="305"/>
      <c r="DX94" s="305"/>
      <c r="DY94" s="305"/>
      <c r="DZ94" s="305"/>
      <c r="EA94" s="305"/>
      <c r="EB94" s="305"/>
      <c r="EC94" s="305"/>
      <c r="ED94" s="305"/>
      <c r="EE94" s="305"/>
      <c r="EF94" s="305"/>
      <c r="EG94" s="305"/>
      <c r="EH94" s="305"/>
      <c r="EI94" s="305"/>
      <c r="EJ94" s="305"/>
      <c r="EK94" s="305"/>
      <c r="EL94" s="305"/>
      <c r="EM94" s="305"/>
      <c r="EN94" s="305"/>
      <c r="EO94" s="305"/>
      <c r="EP94" s="305"/>
      <c r="EQ94" s="305"/>
      <c r="ER94" s="305"/>
      <c r="ES94" s="305"/>
      <c r="ET94" s="305"/>
      <c r="EU94" s="305"/>
      <c r="EV94" s="305"/>
      <c r="EW94" s="305"/>
      <c r="EX94" s="305"/>
      <c r="EY94" s="305"/>
      <c r="EZ94" s="305"/>
      <c r="FA94" s="305"/>
      <c r="FB94" s="305"/>
      <c r="FC94" s="305"/>
      <c r="FD94" s="305"/>
      <c r="FE94" s="305"/>
      <c r="FF94" s="305"/>
      <c r="FG94" s="305"/>
      <c r="FH94" s="305"/>
      <c r="FI94" s="305"/>
      <c r="FJ94" s="305"/>
      <c r="FK94" s="305"/>
      <c r="FL94" s="305"/>
      <c r="FM94" s="305"/>
      <c r="FN94" s="305"/>
      <c r="FO94" s="305"/>
      <c r="FP94" s="305"/>
      <c r="FQ94" s="305"/>
      <c r="FR94" s="305"/>
      <c r="FS94" s="305"/>
      <c r="FT94" s="305"/>
      <c r="FU94" s="305"/>
      <c r="FV94" s="305"/>
      <c r="FW94" s="306"/>
      <c r="FX94" s="425"/>
      <c r="FY94" s="425"/>
      <c r="FZ94" s="1015"/>
      <c r="GA94" s="981"/>
      <c r="GB94" s="981"/>
      <c r="GC94" s="981"/>
      <c r="GD94" s="981"/>
    </row>
    <row r="95" spans="1:186" s="1229" customFormat="1" ht="15" hidden="1" customHeight="1">
      <c r="A95" s="1153"/>
      <c r="B95" s="813" t="b" cm="1">
        <f t="array" ref="B95">B94</f>
        <v>0</v>
      </c>
      <c r="C95" s="1118"/>
      <c r="D95" s="1087"/>
      <c r="E95" s="676">
        <v>15.8</v>
      </c>
      <c r="F95" s="779" t="str" cm="1">
        <f t="array" aca="1" ref="F95" ca="1">OFFSET(G95,-1,-1)</f>
        <v>1</v>
      </c>
      <c r="G95" s="425"/>
      <c r="H95" s="425"/>
      <c r="I95" s="425"/>
      <c r="J95" s="1092"/>
      <c r="K95" s="1108" t="str" cm="1">
        <f t="array" aca="1" ref="K95" ca="1">OFFSET(J95,-1,1)</f>
        <v>ТЭ.42.26322895.0003</v>
      </c>
      <c r="L95" s="1092"/>
      <c r="M95" s="1092"/>
      <c r="N95" s="1092"/>
      <c r="O95" s="1092"/>
      <c r="P95" s="1092"/>
      <c r="Q95" s="1092"/>
      <c r="R95" s="784"/>
      <c r="S95" s="425"/>
      <c r="T95" s="687" t="b" cm="1">
        <f t="array" aca="1" ref="T95" ca="1">T94</f>
        <v>0</v>
      </c>
      <c r="U95" s="1153"/>
      <c r="V95" s="1153"/>
      <c r="W95" s="1153"/>
      <c r="X95" s="1726"/>
      <c r="Y95" s="1153"/>
      <c r="Z95" s="1726"/>
      <c r="AA95" s="425"/>
      <c r="AB95" s="1140" t="s">
        <v>2192</v>
      </c>
      <c r="AC95" s="314"/>
      <c r="AD95" s="315"/>
      <c r="AE95" s="315"/>
      <c r="AF95" s="315"/>
      <c r="AG95" s="315"/>
      <c r="AH95" s="315"/>
      <c r="AI95" s="315"/>
      <c r="AJ95" s="315"/>
      <c r="AK95" s="315"/>
      <c r="AL95" s="315"/>
      <c r="AM95" s="315"/>
      <c r="AN95" s="315"/>
      <c r="AO95" s="315"/>
      <c r="AP95" s="315"/>
      <c r="AQ95" s="315"/>
      <c r="AR95" s="315"/>
      <c r="AS95" s="315"/>
      <c r="AT95" s="315"/>
      <c r="AU95" s="315"/>
      <c r="AV95" s="315"/>
      <c r="AW95" s="315"/>
      <c r="AX95" s="315"/>
      <c r="AY95" s="315"/>
      <c r="AZ95" s="315"/>
      <c r="BA95" s="315"/>
      <c r="BB95" s="315"/>
      <c r="BC95" s="315"/>
      <c r="BD95" s="315"/>
      <c r="BE95" s="315"/>
      <c r="BF95" s="315"/>
      <c r="BG95" s="315"/>
      <c r="BH95" s="315"/>
      <c r="BI95" s="315"/>
      <c r="BJ95" s="315"/>
      <c r="BK95" s="315"/>
      <c r="BL95" s="315"/>
      <c r="BM95" s="315"/>
      <c r="BN95" s="315"/>
      <c r="BO95" s="315"/>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315"/>
      <c r="CL95" s="315"/>
      <c r="CM95" s="315"/>
      <c r="CN95" s="315"/>
      <c r="CO95" s="315"/>
      <c r="CP95" s="315"/>
      <c r="CQ95" s="315"/>
      <c r="CR95" s="315"/>
      <c r="CS95" s="315"/>
      <c r="CT95" s="315"/>
      <c r="CU95" s="315"/>
      <c r="CV95" s="315"/>
      <c r="CW95" s="315"/>
      <c r="CX95" s="315"/>
      <c r="CY95" s="315"/>
      <c r="CZ95" s="315"/>
      <c r="DA95" s="315"/>
      <c r="DB95" s="315"/>
      <c r="DC95" s="315"/>
      <c r="DD95" s="315"/>
      <c r="DE95" s="315"/>
      <c r="DF95" s="315"/>
      <c r="DG95" s="315"/>
      <c r="DH95" s="315"/>
      <c r="DI95" s="315"/>
      <c r="DJ95" s="315"/>
      <c r="DK95" s="315"/>
      <c r="DL95" s="315"/>
      <c r="DM95" s="315"/>
      <c r="DN95" s="315"/>
      <c r="DO95" s="315"/>
      <c r="DP95" s="315"/>
      <c r="DQ95" s="315"/>
      <c r="DR95" s="315"/>
      <c r="DS95" s="315"/>
      <c r="DT95" s="315"/>
      <c r="DU95" s="315"/>
      <c r="DV95" s="315"/>
      <c r="DW95" s="315"/>
      <c r="DX95" s="315"/>
      <c r="DY95" s="315"/>
      <c r="DZ95" s="315"/>
      <c r="EA95" s="315"/>
      <c r="EB95" s="315"/>
      <c r="EC95" s="315"/>
      <c r="ED95" s="315"/>
      <c r="EE95" s="315"/>
      <c r="EF95" s="315"/>
      <c r="EG95" s="315"/>
      <c r="EH95" s="315"/>
      <c r="EI95" s="315"/>
      <c r="EJ95" s="315"/>
      <c r="EK95" s="315"/>
      <c r="EL95" s="315"/>
      <c r="EM95" s="315"/>
      <c r="EN95" s="315"/>
      <c r="EO95" s="315"/>
      <c r="EP95" s="315"/>
      <c r="EQ95" s="315"/>
      <c r="ER95" s="315"/>
      <c r="ES95" s="315"/>
      <c r="ET95" s="315"/>
      <c r="EU95" s="315"/>
      <c r="EV95" s="315"/>
      <c r="EW95" s="315"/>
      <c r="EX95" s="315"/>
      <c r="EY95" s="315"/>
      <c r="EZ95" s="315"/>
      <c r="FA95" s="315"/>
      <c r="FB95" s="315"/>
      <c r="FC95" s="315"/>
      <c r="FD95" s="315"/>
      <c r="FE95" s="315"/>
      <c r="FF95" s="315"/>
      <c r="FG95" s="315"/>
      <c r="FH95" s="315"/>
      <c r="FI95" s="315"/>
      <c r="FJ95" s="315"/>
      <c r="FK95" s="315"/>
      <c r="FL95" s="315"/>
      <c r="FM95" s="315"/>
      <c r="FN95" s="315"/>
      <c r="FO95" s="315"/>
      <c r="FP95" s="315"/>
      <c r="FQ95" s="315"/>
      <c r="FR95" s="315"/>
      <c r="FS95" s="315"/>
      <c r="FT95" s="315"/>
      <c r="FU95" s="315"/>
      <c r="FV95" s="315"/>
      <c r="FW95" s="316"/>
      <c r="FX95" s="425"/>
      <c r="FY95" s="425"/>
      <c r="FZ95" s="1015"/>
      <c r="GA95" s="981"/>
      <c r="GB95" s="981"/>
      <c r="GC95" s="981"/>
      <c r="GD95" s="981"/>
    </row>
    <row r="96" spans="1:186" s="1229" customFormat="1" ht="15" hidden="1" customHeight="1">
      <c r="A96" s="1153"/>
      <c r="B96" s="813" t="b" cm="1">
        <f t="array" ref="B96">B95</f>
        <v>0</v>
      </c>
      <c r="C96" s="1118" t="s">
        <v>2193</v>
      </c>
      <c r="D96" s="1087" t="s">
        <v>2194</v>
      </c>
      <c r="E96" s="676">
        <v>15.8</v>
      </c>
      <c r="F96" s="779" t="str" cm="1">
        <f t="array" aca="1" ref="F96" ca="1">OFFSET(G96,-1,-1)</f>
        <v>1</v>
      </c>
      <c r="G96" s="620" t="s">
        <v>1787</v>
      </c>
      <c r="H96" s="163" t="s">
        <v>2195</v>
      </c>
      <c r="I96" s="163" t="s">
        <v>2148</v>
      </c>
      <c r="J96" s="1108"/>
      <c r="K96" s="1108" t="str" cm="1">
        <f t="array" aca="1" ref="K96" ca="1">OFFSET(J96,-1,1)</f>
        <v>ТЭ.42.26322895.0003</v>
      </c>
      <c r="L96" s="1108"/>
      <c r="M96" s="1108" t="s">
        <v>1782</v>
      </c>
      <c r="N96" s="1108" t="s">
        <v>2151</v>
      </c>
      <c r="O96" s="1109" t="s">
        <v>2152</v>
      </c>
      <c r="P96" s="1108" t="s">
        <v>2196</v>
      </c>
      <c r="Q96" s="1108"/>
      <c r="R96" s="784"/>
      <c r="S96" s="425"/>
      <c r="T96" s="687" t="b" cm="1">
        <f t="array" aca="1" ref="T96" ca="1">T95</f>
        <v>0</v>
      </c>
      <c r="U96" s="1153"/>
      <c r="V96" s="1153"/>
      <c r="W96" s="1153"/>
      <c r="X96" s="1726"/>
      <c r="Y96" s="1153"/>
      <c r="Z96" s="1726"/>
      <c r="AA96" s="425"/>
      <c r="AB96" s="223" t="s">
        <v>2197</v>
      </c>
      <c r="AC96" s="123" t="s">
        <v>929</v>
      </c>
      <c r="AD96" s="22">
        <f ca="1">IF(method_reg="Метод экономически обоснованных расходов",SUMIFS('Калькуляция (4.6)'!AJ$25:AJ$229,'Калькуляция (4.6)'!$F$25:$F$229,$F96,'Калькуляция (4.6)'!$G$25:$G$229,$G96),IF(method_reg="Метод сравнения аналогов",SUMIFS(INDEX('Калькуляция (МСА)'!$AE$25:$BC$109,,MATCH(AD$8,'Калькуляция (МСА)'!$AE$8:$BC$8,0)),'Калькуляция (МСА)'!$F$25:$F$109,$F96,'Калькуляция (МСА)'!$G$25:$G$109,$G96),SUMIFS(INDEX('Калькуляция (5.9)'!$AJ$25:$BC$194,,MATCH(AD$8,'Калькуляция (5.9)'!$AJ$8:$BC$8,0)),'Калькуляция (5.9)'!$F$25:$F$194,$F96,'Калькуляция (5.9)'!$G$25:$G$194,$G96)))</f>
        <v>0</v>
      </c>
      <c r="AE96" s="22">
        <f ca="1">IF(method_reg="Метод экономически обоснованных расходов",SUMIFS('Калькуляция (4.6)'!AK$25:AK$229,'Калькуляция (4.6)'!$F$25:$F$229,$F96,'Калькуляция (4.6)'!$G$25:$G$229,$G96),IF(method_reg="Метод сравнения аналогов",SUMIFS(INDEX('Калькуляция (МСА)'!$AE$25:$BC$109,,MATCH(AE$8,'Калькуляция (МСА)'!$AE$8:$BC$8,0)),'Калькуляция (МСА)'!$F$25:$F$109,$F96,'Калькуляция (МСА)'!$G$25:$G$109,$G96),SUMIFS(INDEX('Калькуляция (5.9)'!$AJ$25:$BC$194,,MATCH(AE$8,'Калькуляция (5.9)'!$AJ$8:$BC$8,0)),'Калькуляция (5.9)'!$F$25:$F$194,$F96,'Калькуляция (5.9)'!$G$25:$G$194,$G96)))</f>
        <v>3524.06</v>
      </c>
      <c r="AF96" s="312">
        <f ca="1">IF(AD96=0,0,(AE96-AD96)/AD96*100)</f>
        <v>0</v>
      </c>
      <c r="AG96" s="313">
        <f ca="1">IF(method_reg="Метод сравнения аналогов",SUMIFS(INDEX('Калькуляция (МСА)'!$AE$25:$BC$109,,MATCH(AG$8,'Калькуляция (МСА)'!$AE$8:$BC$8,0)),'Калькуляция (МСА)'!$F$25:$F$109,$F96,'Калькуляция (МСА)'!$G$25:$G$109,$G96),SUMIFS(INDEX('Калькуляция (5.9)'!$AJ$25:$BC$194,,MATCH(AG$8,'Калькуляция (5.9)'!$AJ$8:$BC$8,0)),'Калькуляция (5.9)'!$F$25:$F$194,$F96,'Калькуляция (5.9)'!$G$25:$G$194,$G96))</f>
        <v>0</v>
      </c>
      <c r="AH96" s="313">
        <f ca="1">IF(method_reg="Метод сравнения аналогов",SUMIFS(INDEX('Калькуляция (МСА)'!$AE$25:$BC$109,,MATCH(AH$8,'Калькуляция (МСА)'!$AE$8:$BC$8,0)),'Калькуляция (МСА)'!$F$25:$F$109,$F96,'Калькуляция (МСА)'!$G$25:$G$109,$G96),SUMIFS(INDEX('Калькуляция (5.9)'!$AJ$25:$BC$194,,MATCH(AH$8,'Калькуляция (5.9)'!$AJ$8:$BC$8,0)),'Калькуляция (5.9)'!$F$25:$F$194,$F96,'Калькуляция (5.9)'!$G$25:$G$194,$G96))</f>
        <v>0</v>
      </c>
      <c r="AI96" s="312">
        <f ca="1">IF(AG96=0,0,(AH96-AG96)/AG96*100)</f>
        <v>0</v>
      </c>
      <c r="AJ96" s="313">
        <f ca="1">IF(method_reg="Метод сравнения аналогов",SUMIFS(INDEX('Калькуляция (МСА)'!$AE$25:$BC$109,,MATCH(AJ$8,'Калькуляция (МСА)'!$AE$8:$BC$8,0)),'Калькуляция (МСА)'!$F$25:$F$109,$F96,'Калькуляция (МСА)'!$G$25:$G$109,$G96),SUMIFS(INDEX('Калькуляция (5.9)'!$AJ$25:$BC$194,,MATCH(AJ$8,'Калькуляция (5.9)'!$AJ$8:$BC$8,0)),'Калькуляция (5.9)'!$F$25:$F$194,$F96,'Калькуляция (5.9)'!$G$25:$G$194,$G96))</f>
        <v>0</v>
      </c>
      <c r="AK96" s="313">
        <f ca="1">IF(method_reg="Метод сравнения аналогов",SUMIFS(INDEX('Калькуляция (МСА)'!$AE$25:$BC$109,,MATCH(AK$8,'Калькуляция (МСА)'!$AE$8:$BC$8,0)),'Калькуляция (МСА)'!$F$25:$F$109,$F96,'Калькуляция (МСА)'!$G$25:$G$109,$G96),SUMIFS(INDEX('Калькуляция (5.9)'!$AJ$25:$BC$194,,MATCH(AK$8,'Калькуляция (5.9)'!$AJ$8:$BC$8,0)),'Калькуляция (5.9)'!$F$25:$F$194,$F96,'Калькуляция (5.9)'!$G$25:$G$194,$G96))</f>
        <v>0</v>
      </c>
      <c r="AL96" s="312">
        <f ca="1">IF(AJ96=0,0,(AK96-AJ96)/AJ96*100)</f>
        <v>0</v>
      </c>
      <c r="AM96" s="313">
        <f ca="1">IF(method_reg="Метод сравнения аналогов",SUMIFS(INDEX('Калькуляция (МСА)'!$AE$25:$BC$109,,MATCH(AM$8,'Калькуляция (МСА)'!$AE$8:$BC$8,0)),'Калькуляция (МСА)'!$F$25:$F$109,$F96,'Калькуляция (МСА)'!$G$25:$G$109,$G96),SUMIFS(INDEX('Калькуляция (5.9)'!$AJ$25:$BC$194,,MATCH(AM$8,'Калькуляция (5.9)'!$AJ$8:$BC$8,0)),'Калькуляция (5.9)'!$F$25:$F$194,$F96,'Калькуляция (5.9)'!$G$25:$G$194,$G96))</f>
        <v>0</v>
      </c>
      <c r="AN96" s="313">
        <f ca="1">IF(method_reg="Метод сравнения аналогов",SUMIFS(INDEX('Калькуляция (МСА)'!$AE$25:$BC$109,,MATCH(AN$8,'Калькуляция (МСА)'!$AE$8:$BC$8,0)),'Калькуляция (МСА)'!$F$25:$F$109,$F96,'Калькуляция (МСА)'!$G$25:$G$109,$G96),SUMIFS(INDEX('Калькуляция (5.9)'!$AJ$25:$BC$194,,MATCH(AN$8,'Калькуляция (5.9)'!$AJ$8:$BC$8,0)),'Калькуляция (5.9)'!$F$25:$F$194,$F96,'Калькуляция (5.9)'!$G$25:$G$194,$G96))</f>
        <v>0</v>
      </c>
      <c r="AO96" s="312">
        <f ca="1">IF(AM96=0,0,(AN96-AM96)/AM96*100)</f>
        <v>0</v>
      </c>
      <c r="AP96" s="313">
        <f ca="1">IF(method_reg="Метод сравнения аналогов",SUMIFS(INDEX('Калькуляция (МСА)'!$AE$25:$BC$109,,MATCH(AP$8,'Калькуляция (МСА)'!$AE$8:$BC$8,0)),'Калькуляция (МСА)'!$F$25:$F$109,$F96,'Калькуляция (МСА)'!$G$25:$G$109,$G96),SUMIFS(INDEX('Калькуляция (5.9)'!$AJ$25:$BC$194,,MATCH(AP$8,'Калькуляция (5.9)'!$AJ$8:$BC$8,0)),'Калькуляция (5.9)'!$F$25:$F$194,$F96,'Калькуляция (5.9)'!$G$25:$G$194,$G96))</f>
        <v>0</v>
      </c>
      <c r="AQ96" s="313">
        <f ca="1">IF(method_reg="Метод сравнения аналогов",SUMIFS(INDEX('Калькуляция (МСА)'!$AE$25:$BC$109,,MATCH(AQ$8,'Калькуляция (МСА)'!$AE$8:$BC$8,0)),'Калькуляция (МСА)'!$F$25:$F$109,$F96,'Калькуляция (МСА)'!$G$25:$G$109,$G96),SUMIFS(INDEX('Калькуляция (5.9)'!$AJ$25:$BC$194,,MATCH(AQ$8,'Калькуляция (5.9)'!$AJ$8:$BC$8,0)),'Калькуляция (5.9)'!$F$25:$F$194,$F96,'Калькуляция (5.9)'!$G$25:$G$194,$G96))</f>
        <v>0</v>
      </c>
      <c r="AR96" s="312">
        <f ca="1">IF(AP96=0,0,(AQ96-AP96)/AP96*100)</f>
        <v>0</v>
      </c>
      <c r="AS96" s="22">
        <f ca="1">IF(method_reg="Метод сравнения аналогов",SUMIFS(INDEX('Калькуляция (МСА)'!$AE$25:$BC$109,,MATCH(AS$8,'Калькуляция (МСА)'!$AE$8:$BC$8,0)),'Калькуляция (МСА)'!$F$25:$F$109,$F96,'Калькуляция (МСА)'!$G$25:$G$109,$G96),SUMIFS(INDEX('Калькуляция (5.9)'!$AJ$25:$BC$194,,MATCH(AS$8,'Калькуляция (5.9)'!$AJ$8:$BC$8,0)),'Калькуляция (5.9)'!$F$25:$F$194,$F96,'Калькуляция (5.9)'!$G$25:$G$194,$G96))</f>
        <v>0</v>
      </c>
      <c r="AT96" s="22">
        <f ca="1">IF(method_reg="Метод сравнения аналогов",SUMIFS(INDEX('Калькуляция (МСА)'!$AE$25:$BC$109,,MATCH(AT$8,'Калькуляция (МСА)'!$AE$8:$BC$8,0)),'Калькуляция (МСА)'!$F$25:$F$109,$F96,'Калькуляция (МСА)'!$G$25:$G$109,$G96),SUMIFS(INDEX('Калькуляция (5.9)'!$AJ$25:$BC$194,,MATCH(AT$8,'Калькуляция (5.9)'!$AJ$8:$BC$8,0)),'Калькуляция (5.9)'!$F$25:$F$194,$F96,'Калькуляция (5.9)'!$G$25:$G$194,$G96))</f>
        <v>0</v>
      </c>
      <c r="AU96" s="312">
        <f ca="1">IF(AS96=0,0,(AT96-AS96)/AS96*100)</f>
        <v>0</v>
      </c>
      <c r="AV96" s="22">
        <f ca="1">IF(method_reg="Метод сравнения аналогов",SUMIFS(INDEX('Калькуляция (МСА)'!$AE$25:$BC$109,,MATCH(AV$8,'Калькуляция (МСА)'!$AE$8:$BC$8,0)),'Калькуляция (МСА)'!$F$25:$F$109,$F96,'Калькуляция (МСА)'!$G$25:$G$109,$G96),SUMIFS(INDEX('Калькуляция (5.9)'!$AJ$25:$BC$194,,MATCH(AV$8,'Калькуляция (5.9)'!$AJ$8:$BC$8,0)),'Калькуляция (5.9)'!$F$25:$F$194,$F96,'Калькуляция (5.9)'!$G$25:$G$194,$G96))</f>
        <v>0</v>
      </c>
      <c r="AW96" s="22">
        <f ca="1">IF(method_reg="Метод сравнения аналогов",SUMIFS(INDEX('Калькуляция (МСА)'!$AE$25:$BC$109,,MATCH(AW$8,'Калькуляция (МСА)'!$AE$8:$BC$8,0)),'Калькуляция (МСА)'!$F$25:$F$109,$F96,'Калькуляция (МСА)'!$G$25:$G$109,$G96),SUMIFS(INDEX('Калькуляция (5.9)'!$AJ$25:$BC$194,,MATCH(AW$8,'Калькуляция (5.9)'!$AJ$8:$BC$8,0)),'Калькуляция (5.9)'!$F$25:$F$194,$F96,'Калькуляция (5.9)'!$G$25:$G$194,$G96))</f>
        <v>0</v>
      </c>
      <c r="AX96" s="312">
        <f ca="1">IF(AV96=0,0,(AW96-AV96)/AV96*100)</f>
        <v>0</v>
      </c>
      <c r="AY96" s="22">
        <f ca="1">IF(method_reg="Метод сравнения аналогов",SUMIFS(INDEX('Калькуляция (МСА)'!$AE$25:$BC$109,,MATCH(AY$8,'Калькуляция (МСА)'!$AE$8:$BC$8,0)),'Калькуляция (МСА)'!$F$25:$F$109,$F96,'Калькуляция (МСА)'!$G$25:$G$109,$G96),SUMIFS(INDEX('Калькуляция (5.9)'!$AJ$25:$BC$194,,MATCH(AY$8,'Калькуляция (5.9)'!$AJ$8:$BC$8,0)),'Калькуляция (5.9)'!$F$25:$F$194,$F96,'Калькуляция (5.9)'!$G$25:$G$194,$G96))</f>
        <v>0</v>
      </c>
      <c r="AZ96" s="22">
        <f ca="1">IF(method_reg="Метод сравнения аналогов",SUMIFS(INDEX('Калькуляция (МСА)'!$AE$25:$BC$109,,MATCH(AZ$8,'Калькуляция (МСА)'!$AE$8:$BC$8,0)),'Калькуляция (МСА)'!$F$25:$F$109,$F96,'Калькуляция (МСА)'!$G$25:$G$109,$G96),SUMIFS(INDEX('Калькуляция (5.9)'!$AJ$25:$BC$194,,MATCH(AZ$8,'Калькуляция (5.9)'!$AJ$8:$BC$8,0)),'Калькуляция (5.9)'!$F$25:$F$194,$F96,'Калькуляция (5.9)'!$G$25:$G$194,$G96))</f>
        <v>0</v>
      </c>
      <c r="BA96" s="312">
        <f ca="1">IF(AY96=0,0,(AZ96-AY96)/AY96*100)</f>
        <v>0</v>
      </c>
      <c r="BB96" s="22">
        <f ca="1">IF(method_reg="Метод сравнения аналогов",SUMIFS(INDEX('Калькуляция (МСА)'!$AE$25:$BC$109,,MATCH(BB$8,'Калькуляция (МСА)'!$AE$8:$BC$8,0)),'Калькуляция (МСА)'!$F$25:$F$109,$F96,'Калькуляция (МСА)'!$G$25:$G$109,$G96),SUMIFS(INDEX('Калькуляция (5.9)'!$AJ$25:$BC$194,,MATCH(BB$8,'Калькуляция (5.9)'!$AJ$8:$BC$8,0)),'Калькуляция (5.9)'!$F$25:$F$194,$F96,'Калькуляция (5.9)'!$G$25:$G$194,$G96))</f>
        <v>0</v>
      </c>
      <c r="BC96" s="22">
        <f ca="1">IF(method_reg="Метод сравнения аналогов",SUMIFS(INDEX('Калькуляция (МСА)'!$AE$25:$BC$109,,MATCH(BC$8,'Калькуляция (МСА)'!$AE$8:$BC$8,0)),'Калькуляция (МСА)'!$F$25:$F$109,$F96,'Калькуляция (МСА)'!$G$25:$G$109,$G96),SUMIFS(INDEX('Калькуляция (5.9)'!$AJ$25:$BC$194,,MATCH(BC$8,'Калькуляция (5.9)'!$AJ$8:$BC$8,0)),'Калькуляция (5.9)'!$F$25:$F$194,$F96,'Калькуляция (5.9)'!$G$25:$G$194,$G96))</f>
        <v>0</v>
      </c>
      <c r="BD96" s="312">
        <f ca="1">IF(BB96=0,0,(BC96-BB96)/BB96*100)</f>
        <v>0</v>
      </c>
      <c r="BE96" s="22">
        <f ca="1">IF(method_reg="Метод сравнения аналогов",SUMIFS(INDEX('Калькуляция (МСА)'!$AE$25:$BC$109,,MATCH(BE$8,'Калькуляция (МСА)'!$AE$8:$BC$8,0)),'Калькуляция (МСА)'!$F$25:$F$109,$F96,'Калькуляция (МСА)'!$G$25:$G$109,$G96),SUMIFS(INDEX('Калькуляция (5.9)'!$AJ$25:$BC$194,,MATCH(BE$8,'Калькуляция (5.9)'!$AJ$8:$BC$8,0)),'Калькуляция (5.9)'!$F$25:$F$194,$F96,'Калькуляция (5.9)'!$G$25:$G$194,$G96))</f>
        <v>0</v>
      </c>
      <c r="BF96" s="22">
        <f ca="1">IF(method_reg="Метод сравнения аналогов",SUMIFS(INDEX('Калькуляция (МСА)'!$AE$25:$BC$109,,MATCH(BF$8,'Калькуляция (МСА)'!$AE$8:$BC$8,0)),'Калькуляция (МСА)'!$F$25:$F$109,$F96,'Калькуляция (МСА)'!$G$25:$G$109,$G96),SUMIFS(INDEX('Калькуляция (5.9)'!$AJ$25:$BC$194,,MATCH(BF$8,'Калькуляция (5.9)'!$AJ$8:$BC$8,0)),'Калькуляция (5.9)'!$F$25:$F$194,$F96,'Калькуляция (5.9)'!$G$25:$G$194,$G96))</f>
        <v>0</v>
      </c>
      <c r="BG96" s="312">
        <f ca="1">IF(BE96=0,0,(BF96-BE96)/BE96*100)</f>
        <v>0</v>
      </c>
      <c r="BH96" s="22">
        <f>IF(BH98=0,0,(BH97*BH98+BH99*BH100*6)/BH98)</f>
        <v>0</v>
      </c>
      <c r="BI96" s="22">
        <f>IF(BI98=0,0,(BI97*BI98+BI99*BI100*6)/BI98)</f>
        <v>0</v>
      </c>
      <c r="BJ96" s="312">
        <f>IF(BH96=0,0,(BI96-BH96)/BH96*100)</f>
        <v>0</v>
      </c>
      <c r="BK96" s="22">
        <f>IF(BK98=0,0,(BK97*BK98+BK99*BK100*6)/BK98)</f>
        <v>0</v>
      </c>
      <c r="BL96" s="22">
        <f>IF(BL98=0,0,(BL97*BL98+BL99*BL100*6)/BL98)</f>
        <v>0</v>
      </c>
      <c r="BM96" s="312">
        <f>IF(BK96=0,0,(BL96-BK96)/BK96*100)</f>
        <v>0</v>
      </c>
      <c r="BN96" s="22">
        <f>IF(BN98=0,0,(BN97*BN98+BN99*BN100*6)/BN98)</f>
        <v>0</v>
      </c>
      <c r="BO96" s="22">
        <f>IF(BO98=0,0,(BO97*BO98+BO99*BO100*6)/BO98)</f>
        <v>0</v>
      </c>
      <c r="BP96" s="312">
        <f>IF(BN96=0,0,(BO96-BN96)/BN96*100)</f>
        <v>0</v>
      </c>
      <c r="BQ96" s="22">
        <f>IF(BQ98=0,0,(BQ97*BQ98+BQ99*BQ100*6)/BQ98)</f>
        <v>0</v>
      </c>
      <c r="BR96" s="22">
        <f>IF(BR98=0,0,(BR97*BR98+BR99*BR100*6)/BR98)</f>
        <v>0</v>
      </c>
      <c r="BS96" s="312">
        <f>IF(BQ96=0,0,(BR96-BQ96)/BQ96*100)</f>
        <v>0</v>
      </c>
      <c r="BT96" s="22">
        <f>IF(BT98=0,0,(BT97*BT98+BT99*BT100*6)/BT98)</f>
        <v>0</v>
      </c>
      <c r="BU96" s="22">
        <f>IF(BU98=0,0,(BU97*BU98+BU99*BU100*6)/BU98)</f>
        <v>0</v>
      </c>
      <c r="BV96" s="312">
        <f>IF(BT96=0,0,(BU96-BT96)/BT96*100)</f>
        <v>0</v>
      </c>
      <c r="BW96" s="22">
        <f>IF(BW98=0,0,(BW97*BW98+BW99*BW100*6)/BW98)</f>
        <v>0</v>
      </c>
      <c r="BX96" s="22">
        <f>IF(BX98=0,0,(BX97*BX98+BX99*BX100*6)/BX98)</f>
        <v>0</v>
      </c>
      <c r="BY96" s="312">
        <f>IF(BW96=0,0,(BX96-BW96)/BW96*100)</f>
        <v>0</v>
      </c>
      <c r="BZ96" s="22">
        <f>IF(BZ98=0,0,(BZ97*BZ98+BZ99*BZ100*6)/BZ98)</f>
        <v>0</v>
      </c>
      <c r="CA96" s="22">
        <f>IF(CA98=0,0,(CA97*CA98+CA99*CA100*6)/CA98)</f>
        <v>0</v>
      </c>
      <c r="CB96" s="312">
        <f>IF(BZ96=0,0,(CA96-BZ96)/BZ96*100)</f>
        <v>0</v>
      </c>
      <c r="CC96" s="22">
        <f>IF(CC98=0,0,(CC97*CC98+CC99*CC100*6)/CC98)</f>
        <v>0</v>
      </c>
      <c r="CD96" s="22">
        <f>IF(CD98=0,0,(CD97*CD98+CD99*CD100*6)/CD98)</f>
        <v>0</v>
      </c>
      <c r="CE96" s="312">
        <f>IF(CC96=0,0,(CD96-CC96)/CC96*100)</f>
        <v>0</v>
      </c>
      <c r="CF96" s="22">
        <f>IF(CF98=0,0,(CF97*CF98+CF99*CF100*6)/CF98)</f>
        <v>0</v>
      </c>
      <c r="CG96" s="22">
        <f>IF(CG98=0,0,(CG97*CG98+CG99*CG100*6)/CG98)</f>
        <v>0</v>
      </c>
      <c r="CH96" s="312">
        <f>IF(CF96=0,0,(CG96-CF96)/CF96*100)</f>
        <v>0</v>
      </c>
      <c r="CI96" s="22">
        <f>IF(CI98=0,0,(CI97*CI98+CI99*CI100*6)/CI98)</f>
        <v>0</v>
      </c>
      <c r="CJ96" s="22">
        <f>IF(CJ98=0,0,(CJ97*CJ98+CJ99*CJ100*6)/CJ98)</f>
        <v>0</v>
      </c>
      <c r="CK96" s="312">
        <f>IF(CI96=0,0,(CJ96-CI96)/CI96*100)</f>
        <v>0</v>
      </c>
      <c r="CL96" s="22">
        <f>IF(CL98=0,0,(CL97*CL98+CL99*CL100*6)/CL98)</f>
        <v>0</v>
      </c>
      <c r="CM96" s="22">
        <f>IF(CM98=0,0,(CM97*CM98+CM99*CM100*6)/CM98)</f>
        <v>0</v>
      </c>
      <c r="CN96" s="312">
        <f>IF(CL96=0,0,(CM96-CL96)/CL96*100)</f>
        <v>0</v>
      </c>
      <c r="CO96" s="22">
        <f>IF(CO98=0,0,(CO97*CO98+CO99*CO100*6)/CO98)</f>
        <v>0</v>
      </c>
      <c r="CP96" s="22">
        <f>IF(CP98=0,0,(CP97*CP98+CP99*CP100*6)/CP98)</f>
        <v>0</v>
      </c>
      <c r="CQ96" s="312">
        <f>IF(CO96=0,0,(CP96-CO96)/CO96*100)</f>
        <v>0</v>
      </c>
      <c r="CR96" s="22">
        <f>IF(CR98=0,0,(CR97*CR98+CR99*CR100*6)/CR98)</f>
        <v>0</v>
      </c>
      <c r="CS96" s="22">
        <f>IF(CS98=0,0,(CS97*CS98+CS99*CS100*6)/CS98)</f>
        <v>0</v>
      </c>
      <c r="CT96" s="312">
        <f>IF(CR96=0,0,(CS96-CR96)/CR96*100)</f>
        <v>0</v>
      </c>
      <c r="CU96" s="22">
        <f>IF(CU98=0,0,(CU97*CU98+CU99*CU100*6)/CU98)</f>
        <v>0</v>
      </c>
      <c r="CV96" s="22">
        <f>IF(CV98=0,0,(CV97*CV98+CV99*CV100*6)/CV98)</f>
        <v>0</v>
      </c>
      <c r="CW96" s="312">
        <f>IF(CU96=0,0,(CV96-CU96)/CU96*100)</f>
        <v>0</v>
      </c>
      <c r="CX96" s="22">
        <f>IF(CX98=0,0,(CX97*CX98+CX99*CX100*6)/CX98)</f>
        <v>0</v>
      </c>
      <c r="CY96" s="22">
        <f>IF(CY98=0,0,(CY97*CY98+CY99*CY100*6)/CY98)</f>
        <v>0</v>
      </c>
      <c r="CZ96" s="312">
        <f>IF(CX96=0,0,(CY96-CX96)/CX96*100)</f>
        <v>0</v>
      </c>
      <c r="DA96" s="22">
        <f>IF(DA98=0,0,(DA97*DA98+DA99*DA100*6)/DA98)</f>
        <v>0</v>
      </c>
      <c r="DB96" s="22">
        <f>IF(DB98=0,0,(DB97*DB98+DB99*DB100*6)/DB98)</f>
        <v>0</v>
      </c>
      <c r="DC96" s="312">
        <f>IF(DA96=0,0,(DB96-DA96)/DA96*100)</f>
        <v>0</v>
      </c>
      <c r="DD96" s="22">
        <f>IF(DD98=0,0,(DD97*DD98+DD99*DD100*6)/DD98)</f>
        <v>0</v>
      </c>
      <c r="DE96" s="22">
        <f>IF(DE98=0,0,(DE97*DE98+DE99*DE100*6)/DE98)</f>
        <v>0</v>
      </c>
      <c r="DF96" s="312">
        <f>IF(DD96=0,0,(DE96-DD96)/DD96*100)</f>
        <v>0</v>
      </c>
      <c r="DG96" s="22">
        <f>IF(DG98=0,0,(DG97*DG98+DG99*DG100*6)/DG98)</f>
        <v>0</v>
      </c>
      <c r="DH96" s="22">
        <f>IF(DH98=0,0,(DH97*DH98+DH99*DH100*6)/DH98)</f>
        <v>0</v>
      </c>
      <c r="DI96" s="312">
        <f>IF(DG96=0,0,(DH96-DG96)/DG96*100)</f>
        <v>0</v>
      </c>
      <c r="DJ96" s="22">
        <f>IF(DJ98=0,0,(DJ97*DJ98+DJ99*DJ100*6)/DJ98)</f>
        <v>0</v>
      </c>
      <c r="DK96" s="22">
        <f>IF(DK98=0,0,(DK97*DK98+DK99*DK100*6)/DK98)</f>
        <v>0</v>
      </c>
      <c r="DL96" s="312">
        <f>IF(DJ96=0,0,(DK96-DJ96)/DJ96*100)</f>
        <v>0</v>
      </c>
      <c r="DM96" s="22">
        <f>IF(DM98=0,0,(DM97*DM98+DM99*DM100*6)/DM98)</f>
        <v>0</v>
      </c>
      <c r="DN96" s="22">
        <f>IF(DN98=0,0,(DN97*DN98+DN99*DN100*6)/DN98)</f>
        <v>0</v>
      </c>
      <c r="DO96" s="312">
        <f>IF(DM96=0,0,(DN96-DM96)/DM96*100)</f>
        <v>0</v>
      </c>
      <c r="DP96" s="22">
        <f>IF(DP98=0,0,(DP97*DP98+DP99*DP100*6)/DP98)</f>
        <v>0</v>
      </c>
      <c r="DQ96" s="22">
        <f>IF(DQ98=0,0,(DQ97*DQ98+DQ99*DQ100*6)/DQ98)</f>
        <v>0</v>
      </c>
      <c r="DR96" s="312">
        <f>IF(DP96=0,0,(DQ96-DP96)/DP96*100)</f>
        <v>0</v>
      </c>
      <c r="DS96" s="22">
        <f>IF(DS98=0,0,(DS97*DS98+DS99*DS100*6)/DS98)</f>
        <v>0</v>
      </c>
      <c r="DT96" s="22">
        <f>IF(DT98=0,0,(DT97*DT98+DT99*DT100*6)/DT98)</f>
        <v>0</v>
      </c>
      <c r="DU96" s="312">
        <f>IF(DS96=0,0,(DT96-DS96)/DS96*100)</f>
        <v>0</v>
      </c>
      <c r="DV96" s="22">
        <f>IF(DV98=0,0,(DV97*DV98+DV99*DV100*6)/DV98)</f>
        <v>0</v>
      </c>
      <c r="DW96" s="22">
        <f>IF(DW98=0,0,(DW97*DW98+DW99*DW100*6)/DW98)</f>
        <v>0</v>
      </c>
      <c r="DX96" s="312">
        <f>IF(DV96=0,0,(DW96-DV96)/DV96*100)</f>
        <v>0</v>
      </c>
      <c r="DY96" s="22">
        <f>IF(DY98=0,0,(DY97*DY98+DY99*DY100*6)/DY98)</f>
        <v>0</v>
      </c>
      <c r="DZ96" s="22">
        <f>IF(DZ98=0,0,(DZ97*DZ98+DZ99*DZ100*6)/DZ98)</f>
        <v>0</v>
      </c>
      <c r="EA96" s="312">
        <f>IF(DY96=0,0,(DZ96-DY96)/DY96*100)</f>
        <v>0</v>
      </c>
      <c r="EB96" s="22">
        <f>IF(EB98=0,0,(EB97*EB98+EB99*EB100*6)/EB98)</f>
        <v>0</v>
      </c>
      <c r="EC96" s="22">
        <f>IF(EC98=0,0,(EC97*EC98+EC99*EC100*6)/EC98)</f>
        <v>0</v>
      </c>
      <c r="ED96" s="312">
        <f>IF(EB96=0,0,(EC96-EB96)/EB96*100)</f>
        <v>0</v>
      </c>
      <c r="EE96" s="22">
        <f>IF(EE98=0,0,(EE97*EE98+EE99*EE100*6)/EE98)</f>
        <v>0</v>
      </c>
      <c r="EF96" s="22">
        <f>IF(EF98=0,0,(EF97*EF98+EF99*EF100*6)/EF98)</f>
        <v>0</v>
      </c>
      <c r="EG96" s="312">
        <f>IF(EE96=0,0,(EF96-EE96)/EE96*100)</f>
        <v>0</v>
      </c>
      <c r="EH96" s="22">
        <f>IF(EH98=0,0,(EH97*EH98+EH99*EH100*6)/EH98)</f>
        <v>0</v>
      </c>
      <c r="EI96" s="22">
        <f>IF(EI98=0,0,(EI97*EI98+EI99*EI100*6)/EI98)</f>
        <v>0</v>
      </c>
      <c r="EJ96" s="312">
        <f>IF(EH96=0,0,(EI96-EH96)/EH96*100)</f>
        <v>0</v>
      </c>
      <c r="EK96" s="22">
        <f>IF(EK98=0,0,(EK97*EK98+EK99*EK100*6)/EK98)</f>
        <v>0</v>
      </c>
      <c r="EL96" s="22">
        <f>IF(EL98=0,0,(EL97*EL98+EL99*EL100*6)/EL98)</f>
        <v>0</v>
      </c>
      <c r="EM96" s="312">
        <f>IF(EK96=0,0,(EL96-EK96)/EK96*100)</f>
        <v>0</v>
      </c>
      <c r="EN96" s="22">
        <f>IF(EN98=0,0,(EN97*EN98+EN99*EN100*6)/EN98)</f>
        <v>0</v>
      </c>
      <c r="EO96" s="22">
        <f>IF(EO98=0,0,(EO97*EO98+EO99*EO100*6)/EO98)</f>
        <v>0</v>
      </c>
      <c r="EP96" s="312">
        <f>IF(EN96=0,0,(EO96-EN96)/EN96*100)</f>
        <v>0</v>
      </c>
      <c r="EQ96" s="22">
        <f>IF(EQ98=0,0,(EQ97*EQ98+EQ99*EQ100*6)/EQ98)</f>
        <v>0</v>
      </c>
      <c r="ER96" s="22">
        <f>IF(ER98=0,0,(ER97*ER98+ER99*ER100*6)/ER98)</f>
        <v>0</v>
      </c>
      <c r="ES96" s="312">
        <f>IF(EQ96=0,0,(ER96-EQ96)/EQ96*100)</f>
        <v>0</v>
      </c>
      <c r="ET96" s="22">
        <f>IF(ET98=0,0,(ET97*ET98+ET99*ET100*6)/ET98)</f>
        <v>0</v>
      </c>
      <c r="EU96" s="22">
        <f>IF(EU98=0,0,(EU97*EU98+EU99*EU100*6)/EU98)</f>
        <v>0</v>
      </c>
      <c r="EV96" s="312">
        <f>IF(ET96=0,0,(EU96-ET96)/ET96*100)</f>
        <v>0</v>
      </c>
      <c r="EW96" s="22">
        <f>IF(EW98=0,0,(EW97*EW98+EW99*EW100*6)/EW98)</f>
        <v>0</v>
      </c>
      <c r="EX96" s="22">
        <f>IF(EX98=0,0,(EX97*EX98+EX99*EX100*6)/EX98)</f>
        <v>0</v>
      </c>
      <c r="EY96" s="312">
        <f>IF(EW96=0,0,(EX96-EW96)/EW96*100)</f>
        <v>0</v>
      </c>
      <c r="EZ96" s="22">
        <f>IF(EZ98=0,0,(EZ97*EZ98+EZ99*EZ100*6)/EZ98)</f>
        <v>0</v>
      </c>
      <c r="FA96" s="22">
        <f>IF(FA98=0,0,(FA97*FA98+FA99*FA100*6)/FA98)</f>
        <v>0</v>
      </c>
      <c r="FB96" s="312">
        <f>IF(EZ96=0,0,(FA96-EZ96)/EZ96*100)</f>
        <v>0</v>
      </c>
      <c r="FC96" s="22">
        <f>IF(FC98=0,0,(FC97*FC98+FC99*FC100*6)/FC98)</f>
        <v>0</v>
      </c>
      <c r="FD96" s="22">
        <f>IF(FD98=0,0,(FD97*FD98+FD99*FD100*6)/FD98)</f>
        <v>0</v>
      </c>
      <c r="FE96" s="312">
        <f>IF(FC96=0,0,(FD96-FC96)/FC96*100)</f>
        <v>0</v>
      </c>
      <c r="FF96" s="22">
        <f>IF(FF98=0,0,(FF97*FF98+FF99*FF100*6)/FF98)</f>
        <v>0</v>
      </c>
      <c r="FG96" s="22">
        <f>IF(FG98=0,0,(FG97*FG98+FG99*FG100*6)/FG98)</f>
        <v>0</v>
      </c>
      <c r="FH96" s="312">
        <f>IF(FF96=0,0,(FG96-FF96)/FF96*100)</f>
        <v>0</v>
      </c>
      <c r="FI96" s="22">
        <f>IF(FI98=0,0,(FI97*FI98+FI99*FI100*6)/FI98)</f>
        <v>0</v>
      </c>
      <c r="FJ96" s="22">
        <f>IF(FJ98=0,0,(FJ97*FJ98+FJ99*FJ100*6)/FJ98)</f>
        <v>0</v>
      </c>
      <c r="FK96" s="312">
        <f>IF(FI96=0,0,(FJ96-FI96)/FI96*100)</f>
        <v>0</v>
      </c>
      <c r="FL96" s="22">
        <f>IF(FL98=0,0,(FL97*FL98+FL99*FL100*6)/FL98)</f>
        <v>0</v>
      </c>
      <c r="FM96" s="22">
        <f>IF(FM98=0,0,(FM97*FM98+FM99*FM100*6)/FM98)</f>
        <v>0</v>
      </c>
      <c r="FN96" s="312">
        <f>IF(FL96=0,0,(FM96-FL96)/FL96*100)</f>
        <v>0</v>
      </c>
      <c r="FO96" s="22">
        <f>IF(FO98=0,0,(FO97*FO98+FO99*FO100*6)/FO98)</f>
        <v>0</v>
      </c>
      <c r="FP96" s="22">
        <f>IF(FP98=0,0,(FP97*FP98+FP99*FP100*6)/FP98)</f>
        <v>0</v>
      </c>
      <c r="FQ96" s="312">
        <f>IF(FO96=0,0,(FP96-FO96)/FO96*100)</f>
        <v>0</v>
      </c>
      <c r="FR96" s="22">
        <f>IF(FR98=0,0,(FR97*FR98+FR99*FR100*6)/FR98)</f>
        <v>0</v>
      </c>
      <c r="FS96" s="22">
        <f>IF(FS98=0,0,(FS97*FS98+FS99*FS100*6)/FS98)</f>
        <v>0</v>
      </c>
      <c r="FT96" s="312">
        <f>IF(FR96=0,0,(FS96-FR96)/FR96*100)</f>
        <v>0</v>
      </c>
      <c r="FU96" s="22">
        <f>IF(FU98=0,0,(FU97*FU98+FU99*FU100*6)/FU98)</f>
        <v>0</v>
      </c>
      <c r="FV96" s="22">
        <f>IF(FV98=0,0,(FV97*FV98+FV99*FV100*6)/FV98)</f>
        <v>0</v>
      </c>
      <c r="FW96" s="312">
        <f>IF(FU96=0,0,(FV96-FU96)/FU96*100)</f>
        <v>0</v>
      </c>
      <c r="FX96" s="425"/>
      <c r="FY96" s="425"/>
      <c r="FZ96" s="981" t="s">
        <v>2198</v>
      </c>
      <c r="GA96" s="981"/>
      <c r="GB96" s="981"/>
      <c r="GC96" s="981"/>
      <c r="GD96" s="981"/>
    </row>
    <row r="97" spans="1:186" s="1229" customFormat="1" ht="15" hidden="1" customHeight="1">
      <c r="A97" s="1153"/>
      <c r="B97" s="813" t="b" cm="1">
        <f t="array" ref="B97">B96</f>
        <v>0</v>
      </c>
      <c r="C97" s="1118" t="s">
        <v>2199</v>
      </c>
      <c r="D97" s="1087" t="s">
        <v>2200</v>
      </c>
      <c r="E97" s="676">
        <v>15.8</v>
      </c>
      <c r="F97" s="779" t="str" cm="1">
        <f t="array" aca="1" ref="F97" ca="1">OFFSET(G97,-1,-1)</f>
        <v>1</v>
      </c>
      <c r="G97" s="620" t="s">
        <v>1820</v>
      </c>
      <c r="H97" s="163" t="s">
        <v>2201</v>
      </c>
      <c r="I97" s="163" t="s">
        <v>2148</v>
      </c>
      <c r="J97" s="1108"/>
      <c r="K97" s="1108" t="str" cm="1">
        <f t="array" aca="1" ref="K97" ca="1">OFFSET(J97,-1,1)</f>
        <v>ТЭ.42.26322895.0003</v>
      </c>
      <c r="L97" s="1108"/>
      <c r="M97" s="1108" t="s">
        <v>1782</v>
      </c>
      <c r="N97" s="1108" t="s">
        <v>2151</v>
      </c>
      <c r="O97" s="1109" t="s">
        <v>2152</v>
      </c>
      <c r="P97" s="1108" t="s">
        <v>2202</v>
      </c>
      <c r="Q97" s="1108"/>
      <c r="R97" s="784"/>
      <c r="S97" s="425"/>
      <c r="T97" s="687" t="b" cm="1">
        <f t="array" aca="1" ref="T97" ca="1">T96</f>
        <v>0</v>
      </c>
      <c r="U97" s="1153"/>
      <c r="V97" s="1153"/>
      <c r="W97" s="1153"/>
      <c r="X97" s="1726"/>
      <c r="Y97" s="1153"/>
      <c r="Z97" s="1726"/>
      <c r="AA97" s="425"/>
      <c r="AB97" s="223" t="s">
        <v>2203</v>
      </c>
      <c r="AC97" s="123" t="s">
        <v>929</v>
      </c>
      <c r="AD97" s="22">
        <f ca="1">IF(method_reg="Метод экономически обоснованных расходов",SUMIFS('Калькуляция (4.6)'!AJ$25:AJ$229,'Калькуляция (4.6)'!$F$25:$F$229,$F97,'Калькуляция (4.6)'!$G$25:$G$229,$G97),IF(method_reg="Метод сравнения аналогов",SUMIFS(INDEX('Калькуляция (МСА)'!$AE$25:$BC$109,,MATCH(AD$8,'Калькуляция (МСА)'!$AE$8:$BC$8,0)),'Калькуляция (МСА)'!$F$25:$F$109,$F97,'Калькуляция (МСА)'!$G$25:$G$109,$G97),SUMIFS(INDEX('Калькуляция (5.9)'!$AJ$25:$BC$194,,MATCH(AD$8,'Калькуляция (5.9)'!$AJ$8:$BC$8,0)),'Калькуляция (5.9)'!$F$25:$F$194,$F97,'Калькуляция (5.9)'!$G$25:$G$194,$G97)))</f>
        <v>0</v>
      </c>
      <c r="AE97" s="22">
        <f ca="1">IF(method_reg="Метод экономически обоснованных расходов",SUMIFS('Калькуляция (4.6)'!AK$25:AK$229,'Калькуляция (4.6)'!$F$25:$F$229,$F97,'Калькуляция (4.6)'!$G$25:$G$229,$G97),IF(method_reg="Метод сравнения аналогов",SUMIFS(INDEX('Калькуляция (МСА)'!$AE$25:$BC$109,,MATCH(AE$8,'Калькуляция (МСА)'!$AE$8:$BC$8,0)),'Калькуляция (МСА)'!$F$25:$F$109,$F97,'Калькуляция (МСА)'!$G$25:$G$109,$G97),SUMIFS(INDEX('Калькуляция (5.9)'!$AJ$25:$BC$194,,MATCH(AE$8,'Калькуляция (5.9)'!$AJ$8:$BC$8,0)),'Калькуляция (5.9)'!$F$25:$F$194,$F97,'Калькуляция (5.9)'!$G$25:$G$194,$G97)))</f>
        <v>1086.4979200524481</v>
      </c>
      <c r="AF97" s="312">
        <f ca="1">IF(AD97=0,0,(AE97-AD97)/AD97*100)</f>
        <v>0</v>
      </c>
      <c r="AG97" s="313">
        <f ca="1">IF(method_reg="Метод сравнения аналогов",SUMIFS(INDEX('Калькуляция (МСА)'!$AE$25:$BC$109,,MATCH(AG$8,'Калькуляция (МСА)'!$AE$8:$BC$8,0)),'Калькуляция (МСА)'!$F$25:$F$109,$F97,'Калькуляция (МСА)'!$G$25:$G$109,$G97),SUMIFS(INDEX('Калькуляция (5.9)'!$AJ$25:$BC$194,,MATCH(AG$8,'Калькуляция (5.9)'!$AJ$8:$BC$8,0)),'Калькуляция (5.9)'!$F$25:$F$194,$F97,'Калькуляция (5.9)'!$G$25:$G$194,$G97))</f>
        <v>0</v>
      </c>
      <c r="AH97" s="313">
        <f ca="1">IF(method_reg="Метод сравнения аналогов",SUMIFS(INDEX('Калькуляция (МСА)'!$AE$25:$BC$109,,MATCH(AH$8,'Калькуляция (МСА)'!$AE$8:$BC$8,0)),'Калькуляция (МСА)'!$F$25:$F$109,$F97,'Калькуляция (МСА)'!$G$25:$G$109,$G97),SUMIFS(INDEX('Калькуляция (5.9)'!$AJ$25:$BC$194,,MATCH(AH$8,'Калькуляция (5.9)'!$AJ$8:$BC$8,0)),'Калькуляция (5.9)'!$F$25:$F$194,$F97,'Калькуляция (5.9)'!$G$25:$G$194,$G97))</f>
        <v>0</v>
      </c>
      <c r="AI97" s="312">
        <f ca="1">IF(AG97=0,0,(AH97-AG97)/AG97*100)</f>
        <v>0</v>
      </c>
      <c r="AJ97" s="313">
        <f ca="1">IF(method_reg="Метод сравнения аналогов",SUMIFS(INDEX('Калькуляция (МСА)'!$AE$25:$BC$109,,MATCH(AJ$8,'Калькуляция (МСА)'!$AE$8:$BC$8,0)),'Калькуляция (МСА)'!$F$25:$F$109,$F97,'Калькуляция (МСА)'!$G$25:$G$109,$G97),SUMIFS(INDEX('Калькуляция (5.9)'!$AJ$25:$BC$194,,MATCH(AJ$8,'Калькуляция (5.9)'!$AJ$8:$BC$8,0)),'Калькуляция (5.9)'!$F$25:$F$194,$F97,'Калькуляция (5.9)'!$G$25:$G$194,$G97))</f>
        <v>0</v>
      </c>
      <c r="AK97" s="313">
        <f ca="1">IF(method_reg="Метод сравнения аналогов",SUMIFS(INDEX('Калькуляция (МСА)'!$AE$25:$BC$109,,MATCH(AK$8,'Калькуляция (МСА)'!$AE$8:$BC$8,0)),'Калькуляция (МСА)'!$F$25:$F$109,$F97,'Калькуляция (МСА)'!$G$25:$G$109,$G97),SUMIFS(INDEX('Калькуляция (5.9)'!$AJ$25:$BC$194,,MATCH(AK$8,'Калькуляция (5.9)'!$AJ$8:$BC$8,0)),'Калькуляция (5.9)'!$F$25:$F$194,$F97,'Калькуляция (5.9)'!$G$25:$G$194,$G97))</f>
        <v>0</v>
      </c>
      <c r="AL97" s="312">
        <f ca="1">IF(AJ97=0,0,(AK97-AJ97)/AJ97*100)</f>
        <v>0</v>
      </c>
      <c r="AM97" s="313">
        <f ca="1">IF(method_reg="Метод сравнения аналогов",SUMIFS(INDEX('Калькуляция (МСА)'!$AE$25:$BC$109,,MATCH(AM$8,'Калькуляция (МСА)'!$AE$8:$BC$8,0)),'Калькуляция (МСА)'!$F$25:$F$109,$F97,'Калькуляция (МСА)'!$G$25:$G$109,$G97),SUMIFS(INDEX('Калькуляция (5.9)'!$AJ$25:$BC$194,,MATCH(AM$8,'Калькуляция (5.9)'!$AJ$8:$BC$8,0)),'Калькуляция (5.9)'!$F$25:$F$194,$F97,'Калькуляция (5.9)'!$G$25:$G$194,$G97))</f>
        <v>0</v>
      </c>
      <c r="AN97" s="313">
        <f ca="1">IF(method_reg="Метод сравнения аналогов",SUMIFS(INDEX('Калькуляция (МСА)'!$AE$25:$BC$109,,MATCH(AN$8,'Калькуляция (МСА)'!$AE$8:$BC$8,0)),'Калькуляция (МСА)'!$F$25:$F$109,$F97,'Калькуляция (МСА)'!$G$25:$G$109,$G97),SUMIFS(INDEX('Калькуляция (5.9)'!$AJ$25:$BC$194,,MATCH(AN$8,'Калькуляция (5.9)'!$AJ$8:$BC$8,0)),'Калькуляция (5.9)'!$F$25:$F$194,$F97,'Калькуляция (5.9)'!$G$25:$G$194,$G97))</f>
        <v>0</v>
      </c>
      <c r="AO97" s="312">
        <f ca="1">IF(AM97=0,0,(AN97-AM97)/AM97*100)</f>
        <v>0</v>
      </c>
      <c r="AP97" s="313">
        <f ca="1">IF(method_reg="Метод сравнения аналогов",SUMIFS(INDEX('Калькуляция (МСА)'!$AE$25:$BC$109,,MATCH(AP$8,'Калькуляция (МСА)'!$AE$8:$BC$8,0)),'Калькуляция (МСА)'!$F$25:$F$109,$F97,'Калькуляция (МСА)'!$G$25:$G$109,$G97),SUMIFS(INDEX('Калькуляция (5.9)'!$AJ$25:$BC$194,,MATCH(AP$8,'Калькуляция (5.9)'!$AJ$8:$BC$8,0)),'Калькуляция (5.9)'!$F$25:$F$194,$F97,'Калькуляция (5.9)'!$G$25:$G$194,$G97))</f>
        <v>0</v>
      </c>
      <c r="AQ97" s="313">
        <f ca="1">IF(method_reg="Метод сравнения аналогов",SUMIFS(INDEX('Калькуляция (МСА)'!$AE$25:$BC$109,,MATCH(AQ$8,'Калькуляция (МСА)'!$AE$8:$BC$8,0)),'Калькуляция (МСА)'!$F$25:$F$109,$F97,'Калькуляция (МСА)'!$G$25:$G$109,$G97),SUMIFS(INDEX('Калькуляция (5.9)'!$AJ$25:$BC$194,,MATCH(AQ$8,'Калькуляция (5.9)'!$AJ$8:$BC$8,0)),'Калькуляция (5.9)'!$F$25:$F$194,$F97,'Калькуляция (5.9)'!$G$25:$G$194,$G97))</f>
        <v>0</v>
      </c>
      <c r="AR97" s="312">
        <f ca="1">IF(AP97=0,0,(AQ97-AP97)/AP97*100)</f>
        <v>0</v>
      </c>
      <c r="AS97" s="22">
        <f ca="1">IF(method_reg="Метод сравнения аналогов",SUMIFS(INDEX('Калькуляция (МСА)'!$AE$25:$BC$109,,MATCH(AS$8,'Калькуляция (МСА)'!$AE$8:$BC$8,0)),'Калькуляция (МСА)'!$F$25:$F$109,$F97,'Калькуляция (МСА)'!$G$25:$G$109,$G97),SUMIFS(INDEX('Калькуляция (5.9)'!$AJ$25:$BC$194,,MATCH(AS$8,'Калькуляция (5.9)'!$AJ$8:$BC$8,0)),'Калькуляция (5.9)'!$F$25:$F$194,$F97,'Калькуляция (5.9)'!$G$25:$G$194,$G97))</f>
        <v>0</v>
      </c>
      <c r="AT97" s="22">
        <f ca="1">IF(method_reg="Метод сравнения аналогов",SUMIFS(INDEX('Калькуляция (МСА)'!$AE$25:$BC$109,,MATCH(AT$8,'Калькуляция (МСА)'!$AE$8:$BC$8,0)),'Калькуляция (МСА)'!$F$25:$F$109,$F97,'Калькуляция (МСА)'!$G$25:$G$109,$G97),SUMIFS(INDEX('Калькуляция (5.9)'!$AJ$25:$BC$194,,MATCH(AT$8,'Калькуляция (5.9)'!$AJ$8:$BC$8,0)),'Калькуляция (5.9)'!$F$25:$F$194,$F97,'Калькуляция (5.9)'!$G$25:$G$194,$G97))</f>
        <v>0</v>
      </c>
      <c r="AU97" s="312">
        <f ca="1">IF(AS97=0,0,(AT97-AS97)/AS97*100)</f>
        <v>0</v>
      </c>
      <c r="AV97" s="22">
        <f ca="1">IF(method_reg="Метод сравнения аналогов",SUMIFS(INDEX('Калькуляция (МСА)'!$AE$25:$BC$109,,MATCH(AV$8,'Калькуляция (МСА)'!$AE$8:$BC$8,0)),'Калькуляция (МСА)'!$F$25:$F$109,$F97,'Калькуляция (МСА)'!$G$25:$G$109,$G97),SUMIFS(INDEX('Калькуляция (5.9)'!$AJ$25:$BC$194,,MATCH(AV$8,'Калькуляция (5.9)'!$AJ$8:$BC$8,0)),'Калькуляция (5.9)'!$F$25:$F$194,$F97,'Калькуляция (5.9)'!$G$25:$G$194,$G97))</f>
        <v>0</v>
      </c>
      <c r="AW97" s="22">
        <f ca="1">IF(method_reg="Метод сравнения аналогов",SUMIFS(INDEX('Калькуляция (МСА)'!$AE$25:$BC$109,,MATCH(AW$8,'Калькуляция (МСА)'!$AE$8:$BC$8,0)),'Калькуляция (МСА)'!$F$25:$F$109,$F97,'Калькуляция (МСА)'!$G$25:$G$109,$G97),SUMIFS(INDEX('Калькуляция (5.9)'!$AJ$25:$BC$194,,MATCH(AW$8,'Калькуляция (5.9)'!$AJ$8:$BC$8,0)),'Калькуляция (5.9)'!$F$25:$F$194,$F97,'Калькуляция (5.9)'!$G$25:$G$194,$G97))</f>
        <v>0</v>
      </c>
      <c r="AX97" s="312">
        <f ca="1">IF(AV97=0,0,(AW97-AV97)/AV97*100)</f>
        <v>0</v>
      </c>
      <c r="AY97" s="22">
        <f ca="1">IF(method_reg="Метод сравнения аналогов",SUMIFS(INDEX('Калькуляция (МСА)'!$AE$25:$BC$109,,MATCH(AY$8,'Калькуляция (МСА)'!$AE$8:$BC$8,0)),'Калькуляция (МСА)'!$F$25:$F$109,$F97,'Калькуляция (МСА)'!$G$25:$G$109,$G97),SUMIFS(INDEX('Калькуляция (5.9)'!$AJ$25:$BC$194,,MATCH(AY$8,'Калькуляция (5.9)'!$AJ$8:$BC$8,0)),'Калькуляция (5.9)'!$F$25:$F$194,$F97,'Калькуляция (5.9)'!$G$25:$G$194,$G97))</f>
        <v>0</v>
      </c>
      <c r="AZ97" s="22">
        <f ca="1">IF(method_reg="Метод сравнения аналогов",SUMIFS(INDEX('Калькуляция (МСА)'!$AE$25:$BC$109,,MATCH(AZ$8,'Калькуляция (МСА)'!$AE$8:$BC$8,0)),'Калькуляция (МСА)'!$F$25:$F$109,$F97,'Калькуляция (МСА)'!$G$25:$G$109,$G97),SUMIFS(INDEX('Калькуляция (5.9)'!$AJ$25:$BC$194,,MATCH(AZ$8,'Калькуляция (5.9)'!$AJ$8:$BC$8,0)),'Калькуляция (5.9)'!$F$25:$F$194,$F97,'Калькуляция (5.9)'!$G$25:$G$194,$G97))</f>
        <v>0</v>
      </c>
      <c r="BA97" s="312">
        <f ca="1">IF(AY97=0,0,(AZ97-AY97)/AY97*100)</f>
        <v>0</v>
      </c>
      <c r="BB97" s="22">
        <f ca="1">IF(method_reg="Метод сравнения аналогов",SUMIFS(INDEX('Калькуляция (МСА)'!$AE$25:$BC$109,,MATCH(BB$8,'Калькуляция (МСА)'!$AE$8:$BC$8,0)),'Калькуляция (МСА)'!$F$25:$F$109,$F97,'Калькуляция (МСА)'!$G$25:$G$109,$G97),SUMIFS(INDEX('Калькуляция (5.9)'!$AJ$25:$BC$194,,MATCH(BB$8,'Калькуляция (5.9)'!$AJ$8:$BC$8,0)),'Калькуляция (5.9)'!$F$25:$F$194,$F97,'Калькуляция (5.9)'!$G$25:$G$194,$G97))</f>
        <v>0</v>
      </c>
      <c r="BC97" s="22">
        <f ca="1">IF(method_reg="Метод сравнения аналогов",SUMIFS(INDEX('Калькуляция (МСА)'!$AE$25:$BC$109,,MATCH(BC$8,'Калькуляция (МСА)'!$AE$8:$BC$8,0)),'Калькуляция (МСА)'!$F$25:$F$109,$F97,'Калькуляция (МСА)'!$G$25:$G$109,$G97),SUMIFS(INDEX('Калькуляция (5.9)'!$AJ$25:$BC$194,,MATCH(BC$8,'Калькуляция (5.9)'!$AJ$8:$BC$8,0)),'Калькуляция (5.9)'!$F$25:$F$194,$F97,'Калькуляция (5.9)'!$G$25:$G$194,$G97))</f>
        <v>0</v>
      </c>
      <c r="BD97" s="312">
        <f ca="1">IF(BB97=0,0,(BC97-BB97)/BB97*100)</f>
        <v>0</v>
      </c>
      <c r="BE97" s="22">
        <f ca="1">IF(method_reg="Метод сравнения аналогов",SUMIFS(INDEX('Калькуляция (МСА)'!$AE$25:$BC$109,,MATCH(BE$8,'Калькуляция (МСА)'!$AE$8:$BC$8,0)),'Калькуляция (МСА)'!$F$25:$F$109,$F97,'Калькуляция (МСА)'!$G$25:$G$109,$G97),SUMIFS(INDEX('Калькуляция (5.9)'!$AJ$25:$BC$194,,MATCH(BE$8,'Калькуляция (5.9)'!$AJ$8:$BC$8,0)),'Калькуляция (5.9)'!$F$25:$F$194,$F97,'Калькуляция (5.9)'!$G$25:$G$194,$G97))</f>
        <v>0</v>
      </c>
      <c r="BF97" s="22">
        <f ca="1">IF(method_reg="Метод сравнения аналогов",SUMIFS(INDEX('Калькуляция (МСА)'!$AE$25:$BC$109,,MATCH(BF$8,'Калькуляция (МСА)'!$AE$8:$BC$8,0)),'Калькуляция (МСА)'!$F$25:$F$109,$F97,'Калькуляция (МСА)'!$G$25:$G$109,$G97),SUMIFS(INDEX('Калькуляция (5.9)'!$AJ$25:$BC$194,,MATCH(BF$8,'Калькуляция (5.9)'!$AJ$8:$BC$8,0)),'Калькуляция (5.9)'!$F$25:$F$194,$F97,'Калькуляция (5.9)'!$G$25:$G$194,$G97))</f>
        <v>0</v>
      </c>
      <c r="BG97" s="312">
        <f ca="1">IF(BE97=0,0,(BF97-BE97)/BE97*100)</f>
        <v>0</v>
      </c>
      <c r="BH97" s="22"/>
      <c r="BI97" s="22"/>
      <c r="BJ97" s="312">
        <f>IF(BH97=0,0,(BI97-BH97)/BH97*100)</f>
        <v>0</v>
      </c>
      <c r="BK97" s="22"/>
      <c r="BL97" s="22"/>
      <c r="BM97" s="312">
        <f>IF(BK97=0,0,(BL97-BK97)/BK97*100)</f>
        <v>0</v>
      </c>
      <c r="BN97" s="22"/>
      <c r="BO97" s="22"/>
      <c r="BP97" s="312">
        <f>IF(BN97=0,0,(BO97-BN97)/BN97*100)</f>
        <v>0</v>
      </c>
      <c r="BQ97" s="22"/>
      <c r="BR97" s="22"/>
      <c r="BS97" s="312">
        <f>IF(BQ97=0,0,(BR97-BQ97)/BQ97*100)</f>
        <v>0</v>
      </c>
      <c r="BT97" s="22"/>
      <c r="BU97" s="22"/>
      <c r="BV97" s="312">
        <f>IF(BT97=0,0,(BU97-BT97)/BT97*100)</f>
        <v>0</v>
      </c>
      <c r="BW97" s="22"/>
      <c r="BX97" s="22"/>
      <c r="BY97" s="312">
        <f>IF(BW97=0,0,(BX97-BW97)/BW97*100)</f>
        <v>0</v>
      </c>
      <c r="BZ97" s="22"/>
      <c r="CA97" s="22"/>
      <c r="CB97" s="312">
        <f>IF(BZ97=0,0,(CA97-BZ97)/BZ97*100)</f>
        <v>0</v>
      </c>
      <c r="CC97" s="22"/>
      <c r="CD97" s="22"/>
      <c r="CE97" s="312">
        <f>IF(CC97=0,0,(CD97-CC97)/CC97*100)</f>
        <v>0</v>
      </c>
      <c r="CF97" s="22"/>
      <c r="CG97" s="22"/>
      <c r="CH97" s="312">
        <f>IF(CF97=0,0,(CG97-CF97)/CF97*100)</f>
        <v>0</v>
      </c>
      <c r="CI97" s="22"/>
      <c r="CJ97" s="22"/>
      <c r="CK97" s="312">
        <f>IF(CI97=0,0,(CJ97-CI97)/CI97*100)</f>
        <v>0</v>
      </c>
      <c r="CL97" s="22"/>
      <c r="CM97" s="22"/>
      <c r="CN97" s="312">
        <f>IF(CL97=0,0,(CM97-CL97)/CL97*100)</f>
        <v>0</v>
      </c>
      <c r="CO97" s="22"/>
      <c r="CP97" s="22"/>
      <c r="CQ97" s="312">
        <f>IF(CO97=0,0,(CP97-CO97)/CO97*100)</f>
        <v>0</v>
      </c>
      <c r="CR97" s="22"/>
      <c r="CS97" s="22"/>
      <c r="CT97" s="312">
        <f>IF(CR97=0,0,(CS97-CR97)/CR97*100)</f>
        <v>0</v>
      </c>
      <c r="CU97" s="22"/>
      <c r="CV97" s="22"/>
      <c r="CW97" s="312">
        <f>IF(CU97=0,0,(CV97-CU97)/CU97*100)</f>
        <v>0</v>
      </c>
      <c r="CX97" s="22"/>
      <c r="CY97" s="22"/>
      <c r="CZ97" s="312">
        <f>IF(CX97=0,0,(CY97-CX97)/CX97*100)</f>
        <v>0</v>
      </c>
      <c r="DA97" s="22"/>
      <c r="DB97" s="22"/>
      <c r="DC97" s="312">
        <f>IF(DA97=0,0,(DB97-DA97)/DA97*100)</f>
        <v>0</v>
      </c>
      <c r="DD97" s="22"/>
      <c r="DE97" s="22"/>
      <c r="DF97" s="312">
        <f>IF(DD97=0,0,(DE97-DD97)/DD97*100)</f>
        <v>0</v>
      </c>
      <c r="DG97" s="22"/>
      <c r="DH97" s="22"/>
      <c r="DI97" s="312">
        <f>IF(DG97=0,0,(DH97-DG97)/DG97*100)</f>
        <v>0</v>
      </c>
      <c r="DJ97" s="22"/>
      <c r="DK97" s="22"/>
      <c r="DL97" s="312">
        <f>IF(DJ97=0,0,(DK97-DJ97)/DJ97*100)</f>
        <v>0</v>
      </c>
      <c r="DM97" s="22"/>
      <c r="DN97" s="22"/>
      <c r="DO97" s="312">
        <f>IF(DM97=0,0,(DN97-DM97)/DM97*100)</f>
        <v>0</v>
      </c>
      <c r="DP97" s="22"/>
      <c r="DQ97" s="22"/>
      <c r="DR97" s="312">
        <f>IF(DP97=0,0,(DQ97-DP97)/DP97*100)</f>
        <v>0</v>
      </c>
      <c r="DS97" s="22"/>
      <c r="DT97" s="22"/>
      <c r="DU97" s="312">
        <f>IF(DS97=0,0,(DT97-DS97)/DS97*100)</f>
        <v>0</v>
      </c>
      <c r="DV97" s="22"/>
      <c r="DW97" s="22"/>
      <c r="DX97" s="312">
        <f>IF(DV97=0,0,(DW97-DV97)/DV97*100)</f>
        <v>0</v>
      </c>
      <c r="DY97" s="22"/>
      <c r="DZ97" s="22"/>
      <c r="EA97" s="312">
        <f>IF(DY97=0,0,(DZ97-DY97)/DY97*100)</f>
        <v>0</v>
      </c>
      <c r="EB97" s="22"/>
      <c r="EC97" s="22"/>
      <c r="ED97" s="312">
        <f>IF(EB97=0,0,(EC97-EB97)/EB97*100)</f>
        <v>0</v>
      </c>
      <c r="EE97" s="22"/>
      <c r="EF97" s="22"/>
      <c r="EG97" s="312">
        <f>IF(EE97=0,0,(EF97-EE97)/EE97*100)</f>
        <v>0</v>
      </c>
      <c r="EH97" s="22"/>
      <c r="EI97" s="22"/>
      <c r="EJ97" s="312">
        <f>IF(EH97=0,0,(EI97-EH97)/EH97*100)</f>
        <v>0</v>
      </c>
      <c r="EK97" s="22"/>
      <c r="EL97" s="22"/>
      <c r="EM97" s="312">
        <f>IF(EK97=0,0,(EL97-EK97)/EK97*100)</f>
        <v>0</v>
      </c>
      <c r="EN97" s="22"/>
      <c r="EO97" s="22"/>
      <c r="EP97" s="312">
        <f>IF(EN97=0,0,(EO97-EN97)/EN97*100)</f>
        <v>0</v>
      </c>
      <c r="EQ97" s="22"/>
      <c r="ER97" s="22"/>
      <c r="ES97" s="312">
        <f>IF(EQ97=0,0,(ER97-EQ97)/EQ97*100)</f>
        <v>0</v>
      </c>
      <c r="ET97" s="22"/>
      <c r="EU97" s="22"/>
      <c r="EV97" s="312">
        <f>IF(ET97=0,0,(EU97-ET97)/ET97*100)</f>
        <v>0</v>
      </c>
      <c r="EW97" s="22"/>
      <c r="EX97" s="22"/>
      <c r="EY97" s="312">
        <f>IF(EW97=0,0,(EX97-EW97)/EW97*100)</f>
        <v>0</v>
      </c>
      <c r="EZ97" s="22"/>
      <c r="FA97" s="22"/>
      <c r="FB97" s="312">
        <f>IF(EZ97=0,0,(FA97-EZ97)/EZ97*100)</f>
        <v>0</v>
      </c>
      <c r="FC97" s="22"/>
      <c r="FD97" s="22"/>
      <c r="FE97" s="312">
        <f>IF(FC97=0,0,(FD97-FC97)/FC97*100)</f>
        <v>0</v>
      </c>
      <c r="FF97" s="22"/>
      <c r="FG97" s="22"/>
      <c r="FH97" s="312">
        <f>IF(FF97=0,0,(FG97-FF97)/FF97*100)</f>
        <v>0</v>
      </c>
      <c r="FI97" s="22"/>
      <c r="FJ97" s="22"/>
      <c r="FK97" s="312">
        <f>IF(FI97=0,0,(FJ97-FI97)/FI97*100)</f>
        <v>0</v>
      </c>
      <c r="FL97" s="22"/>
      <c r="FM97" s="22"/>
      <c r="FN97" s="312">
        <f>IF(FL97=0,0,(FM97-FL97)/FL97*100)</f>
        <v>0</v>
      </c>
      <c r="FO97" s="22"/>
      <c r="FP97" s="22"/>
      <c r="FQ97" s="312">
        <f>IF(FO97=0,0,(FP97-FO97)/FO97*100)</f>
        <v>0</v>
      </c>
      <c r="FR97" s="22"/>
      <c r="FS97" s="22"/>
      <c r="FT97" s="312">
        <f>IF(FR97=0,0,(FS97-FR97)/FR97*100)</f>
        <v>0</v>
      </c>
      <c r="FU97" s="22"/>
      <c r="FV97" s="22"/>
      <c r="FW97" s="312">
        <f>IF(FU97=0,0,(FV97-FU97)/FU97*100)</f>
        <v>0</v>
      </c>
      <c r="FX97" s="425"/>
      <c r="FY97" s="425"/>
      <c r="FZ97" s="981" t="s">
        <v>2204</v>
      </c>
      <c r="GA97" s="981"/>
      <c r="GB97" s="981"/>
      <c r="GC97" s="981"/>
      <c r="GD97" s="981"/>
    </row>
    <row r="98" spans="1:186" s="1229" customFormat="1" ht="15" hidden="1" customHeight="1">
      <c r="A98" s="1153"/>
      <c r="B98" s="813" t="b" cm="1">
        <f t="array" ref="B98">B97</f>
        <v>0</v>
      </c>
      <c r="C98" s="1118" t="s">
        <v>1779</v>
      </c>
      <c r="D98" s="1087" t="s">
        <v>1780</v>
      </c>
      <c r="E98" s="676">
        <v>15.8</v>
      </c>
      <c r="F98" s="779" t="str" cm="1">
        <f t="array" aca="1" ref="F98" ca="1">OFFSET(G98,-1,-1)</f>
        <v>1</v>
      </c>
      <c r="G98" s="143" t="s">
        <v>1781</v>
      </c>
      <c r="H98" s="163" t="s">
        <v>2205</v>
      </c>
      <c r="I98" s="163" t="s">
        <v>2148</v>
      </c>
      <c r="J98" s="1108"/>
      <c r="K98" s="1108" t="str" cm="1">
        <f t="array" aca="1" ref="K98" ca="1">OFFSET(J98,-1,1)</f>
        <v>ТЭ.42.26322895.0003</v>
      </c>
      <c r="L98" s="1108"/>
      <c r="M98" s="1108" t="s">
        <v>1782</v>
      </c>
      <c r="N98" s="1108" t="s">
        <v>2151</v>
      </c>
      <c r="O98" s="1109" t="s">
        <v>2152</v>
      </c>
      <c r="P98" s="1108" t="s">
        <v>2206</v>
      </c>
      <c r="Q98" s="1108"/>
      <c r="R98" s="784"/>
      <c r="S98" s="425"/>
      <c r="T98" s="687" t="b" cm="1">
        <f t="array" aca="1" ref="T98" ca="1">T97</f>
        <v>0</v>
      </c>
      <c r="U98" s="1153"/>
      <c r="V98" s="1153"/>
      <c r="W98" s="1153"/>
      <c r="X98" s="1726"/>
      <c r="Y98" s="1153"/>
      <c r="Z98" s="1726"/>
      <c r="AA98" s="425"/>
      <c r="AB98" s="223" t="s">
        <v>2207</v>
      </c>
      <c r="AC98" s="123" t="s">
        <v>634</v>
      </c>
      <c r="AD98" s="100">
        <f ca="1">IF(method_reg="Метод экономически обоснованных расходов",SUMIFS('Калькуляция (4.6)'!AJ$25:AJ$229,'Калькуляция (4.6)'!$F$25:$F$229,$F98,'Калькуляция (4.6)'!$G$25:$G$229,$G98),IF(method_reg="Метод сравнения аналогов",SUMIFS(INDEX('Калькуляция (МСА)'!$AE$25:$BC$109,,MATCH(AD$8,'Калькуляция (МСА)'!$AE$8:$BC$8,0)),'Калькуляция (МСА)'!$F$25:$F$109,$F98,'Калькуляция (МСА)'!$G$25:$G$109,$G98),SUMIFS(INDEX('Калькуляция (5.9)'!$AJ$25:$BC$194,,MATCH(AD$8,'Калькуляция (5.9)'!$AJ$8:$BC$8,0)),'Калькуляция (5.9)'!$F$25:$F$194,$F98,'Калькуляция (5.9)'!$G$25:$G$194,$G98)))</f>
        <v>0</v>
      </c>
      <c r="AE98" s="100">
        <f ca="1">IF(method_reg="Метод экономически обоснованных расходов",SUMIFS('Калькуляция (4.6)'!AK$25:AK$229,'Калькуляция (4.6)'!$F$25:$F$229,$F98,'Калькуляция (4.6)'!$G$25:$G$229,$G98),IF(method_reg="Метод сравнения аналогов",SUMIFS(INDEX('Калькуляция (МСА)'!$AE$25:$BC$109,,MATCH(AE$8,'Калькуляция (МСА)'!$AE$8:$BC$8,0)),'Калькуляция (МСА)'!$F$25:$F$109,$F98,'Калькуляция (МСА)'!$G$25:$G$109,$G98),SUMIFS(INDEX('Калькуляция (5.9)'!$AJ$25:$BC$194,,MATCH(AE$8,'Калькуляция (5.9)'!$AJ$8:$BC$8,0)),'Калькуляция (5.9)'!$F$25:$F$194,$F98,'Калькуляция (5.9)'!$G$25:$G$194,$G98)))</f>
        <v>92819.8</v>
      </c>
      <c r="AF98" s="341">
        <f ca="1">IF(AD98=0,0,(AE98-AD98)/AD98*100)</f>
        <v>0</v>
      </c>
      <c r="AG98" s="354">
        <f ca="1">IF(method_reg="Метод сравнения аналогов",SUMIFS(INDEX('Калькуляция (МСА)'!$AE$25:$BC$109,,MATCH(AG$8,'Калькуляция (МСА)'!$AE$8:$BC$8,0)),'Калькуляция (МСА)'!$F$25:$F$109,$F98,'Калькуляция (МСА)'!$G$25:$G$109,$G98),SUMIFS(INDEX('Калькуляция (5.9)'!$AJ$25:$BC$194,,MATCH(AG$8,'Калькуляция (5.9)'!$AJ$8:$BC$8,0)),'Калькуляция (5.9)'!$F$25:$F$194,$F98,'Калькуляция (5.9)'!$G$25:$G$194,$G98))</f>
        <v>0</v>
      </c>
      <c r="AH98" s="354">
        <f ca="1">IF(method_reg="Метод сравнения аналогов",SUMIFS(INDEX('Калькуляция (МСА)'!$AE$25:$BC$109,,MATCH(AH$8,'Калькуляция (МСА)'!$AE$8:$BC$8,0)),'Калькуляция (МСА)'!$F$25:$F$109,$F98,'Калькуляция (МСА)'!$G$25:$G$109,$G98),SUMIFS(INDEX('Калькуляция (5.9)'!$AJ$25:$BC$194,,MATCH(AH$8,'Калькуляция (5.9)'!$AJ$8:$BC$8,0)),'Калькуляция (5.9)'!$F$25:$F$194,$F98,'Калькуляция (5.9)'!$G$25:$G$194,$G98))</f>
        <v>0</v>
      </c>
      <c r="AI98" s="341">
        <f ca="1">IF(AG98=0,0,(AH98-AG98)/AG98*100)</f>
        <v>0</v>
      </c>
      <c r="AJ98" s="354">
        <f ca="1">IF(method_reg="Метод сравнения аналогов",SUMIFS(INDEX('Калькуляция (МСА)'!$AE$25:$BC$109,,MATCH(AJ$8,'Калькуляция (МСА)'!$AE$8:$BC$8,0)),'Калькуляция (МСА)'!$F$25:$F$109,$F98,'Калькуляция (МСА)'!$G$25:$G$109,$G98),SUMIFS(INDEX('Калькуляция (5.9)'!$AJ$25:$BC$194,,MATCH(AJ$8,'Калькуляция (5.9)'!$AJ$8:$BC$8,0)),'Калькуляция (5.9)'!$F$25:$F$194,$F98,'Калькуляция (5.9)'!$G$25:$G$194,$G98))</f>
        <v>0</v>
      </c>
      <c r="AK98" s="354">
        <f ca="1">IF(method_reg="Метод сравнения аналогов",SUMIFS(INDEX('Калькуляция (МСА)'!$AE$25:$BC$109,,MATCH(AK$8,'Калькуляция (МСА)'!$AE$8:$BC$8,0)),'Калькуляция (МСА)'!$F$25:$F$109,$F98,'Калькуляция (МСА)'!$G$25:$G$109,$G98),SUMIFS(INDEX('Калькуляция (5.9)'!$AJ$25:$BC$194,,MATCH(AK$8,'Калькуляция (5.9)'!$AJ$8:$BC$8,0)),'Калькуляция (5.9)'!$F$25:$F$194,$F98,'Калькуляция (5.9)'!$G$25:$G$194,$G98))</f>
        <v>0</v>
      </c>
      <c r="AL98" s="341">
        <f ca="1">IF(AJ98=0,0,(AK98-AJ98)/AJ98*100)</f>
        <v>0</v>
      </c>
      <c r="AM98" s="354">
        <f ca="1">IF(method_reg="Метод сравнения аналогов",SUMIFS(INDEX('Калькуляция (МСА)'!$AE$25:$BC$109,,MATCH(AM$8,'Калькуляция (МСА)'!$AE$8:$BC$8,0)),'Калькуляция (МСА)'!$F$25:$F$109,$F98,'Калькуляция (МСА)'!$G$25:$G$109,$G98),SUMIFS(INDEX('Калькуляция (5.9)'!$AJ$25:$BC$194,,MATCH(AM$8,'Калькуляция (5.9)'!$AJ$8:$BC$8,0)),'Калькуляция (5.9)'!$F$25:$F$194,$F98,'Калькуляция (5.9)'!$G$25:$G$194,$G98))</f>
        <v>0</v>
      </c>
      <c r="AN98" s="354">
        <f ca="1">IF(method_reg="Метод сравнения аналогов",SUMIFS(INDEX('Калькуляция (МСА)'!$AE$25:$BC$109,,MATCH(AN$8,'Калькуляция (МСА)'!$AE$8:$BC$8,0)),'Калькуляция (МСА)'!$F$25:$F$109,$F98,'Калькуляция (МСА)'!$G$25:$G$109,$G98),SUMIFS(INDEX('Калькуляция (5.9)'!$AJ$25:$BC$194,,MATCH(AN$8,'Калькуляция (5.9)'!$AJ$8:$BC$8,0)),'Калькуляция (5.9)'!$F$25:$F$194,$F98,'Калькуляция (5.9)'!$G$25:$G$194,$G98))</f>
        <v>0</v>
      </c>
      <c r="AO98" s="341">
        <f ca="1">IF(AM98=0,0,(AN98-AM98)/AM98*100)</f>
        <v>0</v>
      </c>
      <c r="AP98" s="354">
        <f ca="1">IF(method_reg="Метод сравнения аналогов",SUMIFS(INDEX('Калькуляция (МСА)'!$AE$25:$BC$109,,MATCH(AP$8,'Калькуляция (МСА)'!$AE$8:$BC$8,0)),'Калькуляция (МСА)'!$F$25:$F$109,$F98,'Калькуляция (МСА)'!$G$25:$G$109,$G98),SUMIFS(INDEX('Калькуляция (5.9)'!$AJ$25:$BC$194,,MATCH(AP$8,'Калькуляция (5.9)'!$AJ$8:$BC$8,0)),'Калькуляция (5.9)'!$F$25:$F$194,$F98,'Калькуляция (5.9)'!$G$25:$G$194,$G98))</f>
        <v>0</v>
      </c>
      <c r="AQ98" s="354">
        <f ca="1">IF(method_reg="Метод сравнения аналогов",SUMIFS(INDEX('Калькуляция (МСА)'!$AE$25:$BC$109,,MATCH(AQ$8,'Калькуляция (МСА)'!$AE$8:$BC$8,0)),'Калькуляция (МСА)'!$F$25:$F$109,$F98,'Калькуляция (МСА)'!$G$25:$G$109,$G98),SUMIFS(INDEX('Калькуляция (5.9)'!$AJ$25:$BC$194,,MATCH(AQ$8,'Калькуляция (5.9)'!$AJ$8:$BC$8,0)),'Калькуляция (5.9)'!$F$25:$F$194,$F98,'Калькуляция (5.9)'!$G$25:$G$194,$G98))</f>
        <v>0</v>
      </c>
      <c r="AR98" s="341">
        <f ca="1">IF(AP98=0,0,(AQ98-AP98)/AP98*100)</f>
        <v>0</v>
      </c>
      <c r="AS98" s="100">
        <f ca="1">IF(method_reg="Метод сравнения аналогов",SUMIFS(INDEX('Калькуляция (МСА)'!$AE$25:$BC$109,,MATCH(AS$8,'Калькуляция (МСА)'!$AE$8:$BC$8,0)),'Калькуляция (МСА)'!$F$25:$F$109,$F98,'Калькуляция (МСА)'!$G$25:$G$109,$G98),SUMIFS(INDEX('Калькуляция (5.9)'!$AJ$25:$BC$194,,MATCH(AS$8,'Калькуляция (5.9)'!$AJ$8:$BC$8,0)),'Калькуляция (5.9)'!$F$25:$F$194,$F98,'Калькуляция (5.9)'!$G$25:$G$194,$G98))</f>
        <v>0</v>
      </c>
      <c r="AT98" s="100">
        <f ca="1">IF(method_reg="Метод сравнения аналогов",SUMIFS(INDEX('Калькуляция (МСА)'!$AE$25:$BC$109,,MATCH(AT$8,'Калькуляция (МСА)'!$AE$8:$BC$8,0)),'Калькуляция (МСА)'!$F$25:$F$109,$F98,'Калькуляция (МСА)'!$G$25:$G$109,$G98),SUMIFS(INDEX('Калькуляция (5.9)'!$AJ$25:$BC$194,,MATCH(AT$8,'Калькуляция (5.9)'!$AJ$8:$BC$8,0)),'Калькуляция (5.9)'!$F$25:$F$194,$F98,'Калькуляция (5.9)'!$G$25:$G$194,$G98))</f>
        <v>0</v>
      </c>
      <c r="AU98" s="341">
        <f ca="1">IF(AS98=0,0,(AT98-AS98)/AS98*100)</f>
        <v>0</v>
      </c>
      <c r="AV98" s="100">
        <f ca="1">IF(method_reg="Метод сравнения аналогов",SUMIFS(INDEX('Калькуляция (МСА)'!$AE$25:$BC$109,,MATCH(AV$8,'Калькуляция (МСА)'!$AE$8:$BC$8,0)),'Калькуляция (МСА)'!$F$25:$F$109,$F98,'Калькуляция (МСА)'!$G$25:$G$109,$G98),SUMIFS(INDEX('Калькуляция (5.9)'!$AJ$25:$BC$194,,MATCH(AV$8,'Калькуляция (5.9)'!$AJ$8:$BC$8,0)),'Калькуляция (5.9)'!$F$25:$F$194,$F98,'Калькуляция (5.9)'!$G$25:$G$194,$G98))</f>
        <v>0</v>
      </c>
      <c r="AW98" s="100">
        <f ca="1">IF(method_reg="Метод сравнения аналогов",SUMIFS(INDEX('Калькуляция (МСА)'!$AE$25:$BC$109,,MATCH(AW$8,'Калькуляция (МСА)'!$AE$8:$BC$8,0)),'Калькуляция (МСА)'!$F$25:$F$109,$F98,'Калькуляция (МСА)'!$G$25:$G$109,$G98),SUMIFS(INDEX('Калькуляция (5.9)'!$AJ$25:$BC$194,,MATCH(AW$8,'Калькуляция (5.9)'!$AJ$8:$BC$8,0)),'Калькуляция (5.9)'!$F$25:$F$194,$F98,'Калькуляция (5.9)'!$G$25:$G$194,$G98))</f>
        <v>0</v>
      </c>
      <c r="AX98" s="341">
        <f ca="1">IF(AV98=0,0,(AW98-AV98)/AV98*100)</f>
        <v>0</v>
      </c>
      <c r="AY98" s="100">
        <f ca="1">IF(method_reg="Метод сравнения аналогов",SUMIFS(INDEX('Калькуляция (МСА)'!$AE$25:$BC$109,,MATCH(AY$8,'Калькуляция (МСА)'!$AE$8:$BC$8,0)),'Калькуляция (МСА)'!$F$25:$F$109,$F98,'Калькуляция (МСА)'!$G$25:$G$109,$G98),SUMIFS(INDEX('Калькуляция (5.9)'!$AJ$25:$BC$194,,MATCH(AY$8,'Калькуляция (5.9)'!$AJ$8:$BC$8,0)),'Калькуляция (5.9)'!$F$25:$F$194,$F98,'Калькуляция (5.9)'!$G$25:$G$194,$G98))</f>
        <v>0</v>
      </c>
      <c r="AZ98" s="100">
        <f ca="1">IF(method_reg="Метод сравнения аналогов",SUMIFS(INDEX('Калькуляция (МСА)'!$AE$25:$BC$109,,MATCH(AZ$8,'Калькуляция (МСА)'!$AE$8:$BC$8,0)),'Калькуляция (МСА)'!$F$25:$F$109,$F98,'Калькуляция (МСА)'!$G$25:$G$109,$G98),SUMIFS(INDEX('Калькуляция (5.9)'!$AJ$25:$BC$194,,MATCH(AZ$8,'Калькуляция (5.9)'!$AJ$8:$BC$8,0)),'Калькуляция (5.9)'!$F$25:$F$194,$F98,'Калькуляция (5.9)'!$G$25:$G$194,$G98))</f>
        <v>0</v>
      </c>
      <c r="BA98" s="341">
        <f ca="1">IF(AY98=0,0,(AZ98-AY98)/AY98*100)</f>
        <v>0</v>
      </c>
      <c r="BB98" s="100">
        <f ca="1">IF(method_reg="Метод сравнения аналогов",SUMIFS(INDEX('Калькуляция (МСА)'!$AE$25:$BC$109,,MATCH(BB$8,'Калькуляция (МСА)'!$AE$8:$BC$8,0)),'Калькуляция (МСА)'!$F$25:$F$109,$F98,'Калькуляция (МСА)'!$G$25:$G$109,$G98),SUMIFS(INDEX('Калькуляция (5.9)'!$AJ$25:$BC$194,,MATCH(BB$8,'Калькуляция (5.9)'!$AJ$8:$BC$8,0)),'Калькуляция (5.9)'!$F$25:$F$194,$F98,'Калькуляция (5.9)'!$G$25:$G$194,$G98))</f>
        <v>0</v>
      </c>
      <c r="BC98" s="100">
        <f ca="1">IF(method_reg="Метод сравнения аналогов",SUMIFS(INDEX('Калькуляция (МСА)'!$AE$25:$BC$109,,MATCH(BC$8,'Калькуляция (МСА)'!$AE$8:$BC$8,0)),'Калькуляция (МСА)'!$F$25:$F$109,$F98,'Калькуляция (МСА)'!$G$25:$G$109,$G98),SUMIFS(INDEX('Калькуляция (5.9)'!$AJ$25:$BC$194,,MATCH(BC$8,'Калькуляция (5.9)'!$AJ$8:$BC$8,0)),'Калькуляция (5.9)'!$F$25:$F$194,$F98,'Калькуляция (5.9)'!$G$25:$G$194,$G98))</f>
        <v>0</v>
      </c>
      <c r="BD98" s="341">
        <f ca="1">IF(BB98=0,0,(BC98-BB98)/BB98*100)</f>
        <v>0</v>
      </c>
      <c r="BE98" s="100">
        <f ca="1">IF(method_reg="Метод сравнения аналогов",SUMIFS(INDEX('Калькуляция (МСА)'!$AE$25:$BC$109,,MATCH(BE$8,'Калькуляция (МСА)'!$AE$8:$BC$8,0)),'Калькуляция (МСА)'!$F$25:$F$109,$F98,'Калькуляция (МСА)'!$G$25:$G$109,$G98),SUMIFS(INDEX('Калькуляция (5.9)'!$AJ$25:$BC$194,,MATCH(BE$8,'Калькуляция (5.9)'!$AJ$8:$BC$8,0)),'Калькуляция (5.9)'!$F$25:$F$194,$F98,'Калькуляция (5.9)'!$G$25:$G$194,$G98))</f>
        <v>0</v>
      </c>
      <c r="BF98" s="100">
        <f ca="1">IF(method_reg="Метод сравнения аналогов",SUMIFS(INDEX('Калькуляция (МСА)'!$AE$25:$BC$109,,MATCH(BF$8,'Калькуляция (МСА)'!$AE$8:$BC$8,0)),'Калькуляция (МСА)'!$F$25:$F$109,$F98,'Калькуляция (МСА)'!$G$25:$G$109,$G98),SUMIFS(INDEX('Калькуляция (5.9)'!$AJ$25:$BC$194,,MATCH(BF$8,'Калькуляция (5.9)'!$AJ$8:$BC$8,0)),'Калькуляция (5.9)'!$F$25:$F$194,$F98,'Калькуляция (5.9)'!$G$25:$G$194,$G98))</f>
        <v>0</v>
      </c>
      <c r="BG98" s="341">
        <f ca="1">IF(BE98=0,0,(BF98-BE98)/BE98*100)</f>
        <v>0</v>
      </c>
      <c r="BH98" s="100"/>
      <c r="BI98" s="100"/>
      <c r="BJ98" s="341">
        <f>IF(BH98=0,0,(BI98-BH98)/BH98*100)</f>
        <v>0</v>
      </c>
      <c r="BK98" s="100"/>
      <c r="BL98" s="100"/>
      <c r="BM98" s="341">
        <f>IF(BK98=0,0,(BL98-BK98)/BK98*100)</f>
        <v>0</v>
      </c>
      <c r="BN98" s="100"/>
      <c r="BO98" s="100"/>
      <c r="BP98" s="341">
        <f>IF(BN98=0,0,(BO98-BN98)/BN98*100)</f>
        <v>0</v>
      </c>
      <c r="BQ98" s="100"/>
      <c r="BR98" s="100"/>
      <c r="BS98" s="341">
        <f>IF(BQ98=0,0,(BR98-BQ98)/BQ98*100)</f>
        <v>0</v>
      </c>
      <c r="BT98" s="100"/>
      <c r="BU98" s="100"/>
      <c r="BV98" s="341">
        <f>IF(BT98=0,0,(BU98-BT98)/BT98*100)</f>
        <v>0</v>
      </c>
      <c r="BW98" s="100"/>
      <c r="BX98" s="100"/>
      <c r="BY98" s="341">
        <f>IF(BW98=0,0,(BX98-BW98)/BW98*100)</f>
        <v>0</v>
      </c>
      <c r="BZ98" s="100"/>
      <c r="CA98" s="100"/>
      <c r="CB98" s="341">
        <f>IF(BZ98=0,0,(CA98-BZ98)/BZ98*100)</f>
        <v>0</v>
      </c>
      <c r="CC98" s="100"/>
      <c r="CD98" s="100"/>
      <c r="CE98" s="341">
        <f>IF(CC98=0,0,(CD98-CC98)/CC98*100)</f>
        <v>0</v>
      </c>
      <c r="CF98" s="100"/>
      <c r="CG98" s="100"/>
      <c r="CH98" s="341">
        <f>IF(CF98=0,0,(CG98-CF98)/CF98*100)</f>
        <v>0</v>
      </c>
      <c r="CI98" s="100"/>
      <c r="CJ98" s="100"/>
      <c r="CK98" s="341">
        <f>IF(CI98=0,0,(CJ98-CI98)/CI98*100)</f>
        <v>0</v>
      </c>
      <c r="CL98" s="100"/>
      <c r="CM98" s="100"/>
      <c r="CN98" s="341">
        <f>IF(CL98=0,0,(CM98-CL98)/CL98*100)</f>
        <v>0</v>
      </c>
      <c r="CO98" s="100"/>
      <c r="CP98" s="100"/>
      <c r="CQ98" s="341">
        <f>IF(CO98=0,0,(CP98-CO98)/CO98*100)</f>
        <v>0</v>
      </c>
      <c r="CR98" s="100"/>
      <c r="CS98" s="100"/>
      <c r="CT98" s="341">
        <f>IF(CR98=0,0,(CS98-CR98)/CR98*100)</f>
        <v>0</v>
      </c>
      <c r="CU98" s="100"/>
      <c r="CV98" s="100"/>
      <c r="CW98" s="341">
        <f>IF(CU98=0,0,(CV98-CU98)/CU98*100)</f>
        <v>0</v>
      </c>
      <c r="CX98" s="100"/>
      <c r="CY98" s="100"/>
      <c r="CZ98" s="341">
        <f>IF(CX98=0,0,(CY98-CX98)/CX98*100)</f>
        <v>0</v>
      </c>
      <c r="DA98" s="100"/>
      <c r="DB98" s="100"/>
      <c r="DC98" s="341">
        <f>IF(DA98=0,0,(DB98-DA98)/DA98*100)</f>
        <v>0</v>
      </c>
      <c r="DD98" s="100"/>
      <c r="DE98" s="100"/>
      <c r="DF98" s="341">
        <f>IF(DD98=0,0,(DE98-DD98)/DD98*100)</f>
        <v>0</v>
      </c>
      <c r="DG98" s="100"/>
      <c r="DH98" s="100"/>
      <c r="DI98" s="341">
        <f>IF(DG98=0,0,(DH98-DG98)/DG98*100)</f>
        <v>0</v>
      </c>
      <c r="DJ98" s="100"/>
      <c r="DK98" s="100"/>
      <c r="DL98" s="341">
        <f>IF(DJ98=0,0,(DK98-DJ98)/DJ98*100)</f>
        <v>0</v>
      </c>
      <c r="DM98" s="100"/>
      <c r="DN98" s="100"/>
      <c r="DO98" s="341">
        <f>IF(DM98=0,0,(DN98-DM98)/DM98*100)</f>
        <v>0</v>
      </c>
      <c r="DP98" s="100"/>
      <c r="DQ98" s="100"/>
      <c r="DR98" s="341">
        <f>IF(DP98=0,0,(DQ98-DP98)/DP98*100)</f>
        <v>0</v>
      </c>
      <c r="DS98" s="100"/>
      <c r="DT98" s="100"/>
      <c r="DU98" s="341">
        <f>IF(DS98=0,0,(DT98-DS98)/DS98*100)</f>
        <v>0</v>
      </c>
      <c r="DV98" s="100"/>
      <c r="DW98" s="100"/>
      <c r="DX98" s="341">
        <f>IF(DV98=0,0,(DW98-DV98)/DV98*100)</f>
        <v>0</v>
      </c>
      <c r="DY98" s="100"/>
      <c r="DZ98" s="100"/>
      <c r="EA98" s="341">
        <f>IF(DY98=0,0,(DZ98-DY98)/DY98*100)</f>
        <v>0</v>
      </c>
      <c r="EB98" s="100"/>
      <c r="EC98" s="100"/>
      <c r="ED98" s="341">
        <f>IF(EB98=0,0,(EC98-EB98)/EB98*100)</f>
        <v>0</v>
      </c>
      <c r="EE98" s="100"/>
      <c r="EF98" s="100"/>
      <c r="EG98" s="341">
        <f>IF(EE98=0,0,(EF98-EE98)/EE98*100)</f>
        <v>0</v>
      </c>
      <c r="EH98" s="100"/>
      <c r="EI98" s="100"/>
      <c r="EJ98" s="341">
        <f>IF(EH98=0,0,(EI98-EH98)/EH98*100)</f>
        <v>0</v>
      </c>
      <c r="EK98" s="100"/>
      <c r="EL98" s="100"/>
      <c r="EM98" s="341">
        <f>IF(EK98=0,0,(EL98-EK98)/EK98*100)</f>
        <v>0</v>
      </c>
      <c r="EN98" s="100"/>
      <c r="EO98" s="100"/>
      <c r="EP98" s="341">
        <f>IF(EN98=0,0,(EO98-EN98)/EN98*100)</f>
        <v>0</v>
      </c>
      <c r="EQ98" s="100"/>
      <c r="ER98" s="100"/>
      <c r="ES98" s="341">
        <f>IF(EQ98=0,0,(ER98-EQ98)/EQ98*100)</f>
        <v>0</v>
      </c>
      <c r="ET98" s="100"/>
      <c r="EU98" s="100"/>
      <c r="EV98" s="341">
        <f>IF(ET98=0,0,(EU98-ET98)/ET98*100)</f>
        <v>0</v>
      </c>
      <c r="EW98" s="100"/>
      <c r="EX98" s="100"/>
      <c r="EY98" s="341">
        <f>IF(EW98=0,0,(EX98-EW98)/EW98*100)</f>
        <v>0</v>
      </c>
      <c r="EZ98" s="100"/>
      <c r="FA98" s="100"/>
      <c r="FB98" s="341">
        <f>IF(EZ98=0,0,(FA98-EZ98)/EZ98*100)</f>
        <v>0</v>
      </c>
      <c r="FC98" s="100"/>
      <c r="FD98" s="100"/>
      <c r="FE98" s="341">
        <f>IF(FC98=0,0,(FD98-FC98)/FC98*100)</f>
        <v>0</v>
      </c>
      <c r="FF98" s="100"/>
      <c r="FG98" s="100"/>
      <c r="FH98" s="341">
        <f>IF(FF98=0,0,(FG98-FF98)/FF98*100)</f>
        <v>0</v>
      </c>
      <c r="FI98" s="100"/>
      <c r="FJ98" s="100"/>
      <c r="FK98" s="341">
        <f>IF(FI98=0,0,(FJ98-FI98)/FI98*100)</f>
        <v>0</v>
      </c>
      <c r="FL98" s="100"/>
      <c r="FM98" s="100"/>
      <c r="FN98" s="341">
        <f>IF(FL98=0,0,(FM98-FL98)/FL98*100)</f>
        <v>0</v>
      </c>
      <c r="FO98" s="100"/>
      <c r="FP98" s="100"/>
      <c r="FQ98" s="341">
        <f>IF(FO98=0,0,(FP98-FO98)/FO98*100)</f>
        <v>0</v>
      </c>
      <c r="FR98" s="100"/>
      <c r="FS98" s="100"/>
      <c r="FT98" s="341">
        <f>IF(FR98=0,0,(FS98-FR98)/FR98*100)</f>
        <v>0</v>
      </c>
      <c r="FU98" s="100"/>
      <c r="FV98" s="100"/>
      <c r="FW98" s="341">
        <f>IF(FU98=0,0,(FV98-FU98)/FU98*100)</f>
        <v>0</v>
      </c>
      <c r="FX98" s="425"/>
      <c r="FY98" s="425"/>
      <c r="FZ98" s="981" t="s">
        <v>2208</v>
      </c>
      <c r="GA98" s="981"/>
      <c r="GB98" s="981"/>
      <c r="GC98" s="981"/>
      <c r="GD98" s="981"/>
    </row>
    <row r="99" spans="1:186" s="1229" customFormat="1" ht="30" hidden="1" customHeight="1">
      <c r="A99" s="1153"/>
      <c r="B99" s="813" t="b" cm="1">
        <f t="array" ref="B99">B98</f>
        <v>0</v>
      </c>
      <c r="C99" s="1118" t="s">
        <v>1833</v>
      </c>
      <c r="D99" s="1087" t="s">
        <v>1834</v>
      </c>
      <c r="E99" s="676">
        <v>31.5</v>
      </c>
      <c r="F99" s="779" t="str" cm="1">
        <f t="array" aca="1" ref="F99" ca="1">OFFSET(G99,-1,-1)</f>
        <v>1</v>
      </c>
      <c r="G99" s="620" t="s">
        <v>1835</v>
      </c>
      <c r="H99" s="163" t="s">
        <v>2209</v>
      </c>
      <c r="I99" s="163" t="s">
        <v>2148</v>
      </c>
      <c r="J99" s="1108"/>
      <c r="K99" s="1108" t="str" cm="1">
        <f t="array" aca="1" ref="K99" ca="1">OFFSET(J99,-1,1)</f>
        <v>ТЭ.42.26322895.0003</v>
      </c>
      <c r="L99" s="1108"/>
      <c r="M99" s="1108" t="s">
        <v>1782</v>
      </c>
      <c r="N99" s="1108" t="s">
        <v>2151</v>
      </c>
      <c r="O99" s="1109" t="s">
        <v>2152</v>
      </c>
      <c r="P99" s="1108" t="s">
        <v>2210</v>
      </c>
      <c r="Q99" s="1108"/>
      <c r="R99" s="784"/>
      <c r="S99" s="425"/>
      <c r="T99" s="687" t="b" cm="1">
        <f t="array" aca="1" ref="T99" ca="1">T98</f>
        <v>0</v>
      </c>
      <c r="U99" s="1153"/>
      <c r="V99" s="1153"/>
      <c r="W99" s="1153"/>
      <c r="X99" s="1726"/>
      <c r="Y99" s="1153"/>
      <c r="Z99" s="1726"/>
      <c r="AA99" s="425"/>
      <c r="AB99" s="223" t="s">
        <v>2211</v>
      </c>
      <c r="AC99" s="443" t="s">
        <v>1837</v>
      </c>
      <c r="AD99" s="22">
        <f ca="1">IF(method_reg="Метод экономически обоснованных расходов",SUMIFS('Калькуляция (4.6)'!AJ$25:AJ$229,'Калькуляция (4.6)'!$F$25:$F$229,$F99,'Калькуляция (4.6)'!$G$25:$G$229,$G99),IF(method_reg="Метод сравнения аналогов",SUMIFS(INDEX('Калькуляция (МСА)'!$AE$25:$BC$109,,MATCH(AD$8,'Калькуляция (МСА)'!$AE$8:$BC$8,0)),'Калькуляция (МСА)'!$F$25:$F$109,$F99,'Калькуляция (МСА)'!$G$25:$G$109,$G99),SUMIFS(INDEX('Калькуляция (5.9)'!$AJ$25:$BC$194,,MATCH(AD$8,'Калькуляция (5.9)'!$AJ$8:$BC$8,0)),'Калькуляция (5.9)'!$F$25:$F$194,$F99,'Калькуляция (5.9)'!$G$25:$G$194,$G99)))</f>
        <v>0</v>
      </c>
      <c r="AE99" s="22">
        <f ca="1">IF(method_reg="Метод экономически обоснованных расходов",SUMIFS('Калькуляция (4.6)'!AK$25:AK$229,'Калькуляция (4.6)'!$F$25:$F$229,$F99,'Калькуляция (4.6)'!$G$25:$G$229,$G99),IF(method_reg="Метод сравнения аналогов",SUMIFS(INDEX('Калькуляция (МСА)'!$AE$25:$BC$109,,MATCH(AE$8,'Калькуляция (МСА)'!$AE$8:$BC$8,0)),'Калькуляция (МСА)'!$F$25:$F$109,$F99,'Калькуляция (МСА)'!$G$25:$G$109,$G99),SUMIFS(INDEX('Калькуляция (5.9)'!$AJ$25:$BC$194,,MATCH(AE$8,'Калькуляция (5.9)'!$AJ$8:$BC$8,0)),'Калькуляция (5.9)'!$F$25:$F$194,$F99,'Калькуляция (5.9)'!$G$25:$G$194,$G99)))</f>
        <v>0</v>
      </c>
      <c r="AF99" s="312">
        <f ca="1">IF(AD99=0,0,(AE99-AD99)/AD99*100)</f>
        <v>0</v>
      </c>
      <c r="AG99" s="313">
        <f ca="1">IF(method_reg="Метод сравнения аналогов",SUMIFS(INDEX('Калькуляция (МСА)'!$AE$25:$BC$109,,MATCH(AG$8,'Калькуляция (МСА)'!$AE$8:$BC$8,0)),'Калькуляция (МСА)'!$F$25:$F$109,$F99,'Калькуляция (МСА)'!$G$25:$G$109,$G99),SUMIFS(INDEX('Калькуляция (5.9)'!$AJ$25:$BC$194,,MATCH(AG$8,'Калькуляция (5.9)'!$AJ$8:$BC$8,0)),'Калькуляция (5.9)'!$F$25:$F$194,$F99,'Калькуляция (5.9)'!$G$25:$G$194,$G99))</f>
        <v>0</v>
      </c>
      <c r="AH99" s="313">
        <f ca="1">IF(method_reg="Метод сравнения аналогов",SUMIFS(INDEX('Калькуляция (МСА)'!$AE$25:$BC$109,,MATCH(AH$8,'Калькуляция (МСА)'!$AE$8:$BC$8,0)),'Калькуляция (МСА)'!$F$25:$F$109,$F99,'Калькуляция (МСА)'!$G$25:$G$109,$G99),SUMIFS(INDEX('Калькуляция (5.9)'!$AJ$25:$BC$194,,MATCH(AH$8,'Калькуляция (5.9)'!$AJ$8:$BC$8,0)),'Калькуляция (5.9)'!$F$25:$F$194,$F99,'Калькуляция (5.9)'!$G$25:$G$194,$G99))</f>
        <v>0</v>
      </c>
      <c r="AI99" s="312">
        <f ca="1">IF(AG99=0,0,(AH99-AG99)/AG99*100)</f>
        <v>0</v>
      </c>
      <c r="AJ99" s="313">
        <f ca="1">IF(method_reg="Метод сравнения аналогов",SUMIFS(INDEX('Калькуляция (МСА)'!$AE$25:$BC$109,,MATCH(AJ$8,'Калькуляция (МСА)'!$AE$8:$BC$8,0)),'Калькуляция (МСА)'!$F$25:$F$109,$F99,'Калькуляция (МСА)'!$G$25:$G$109,$G99),SUMIFS(INDEX('Калькуляция (5.9)'!$AJ$25:$BC$194,,MATCH(AJ$8,'Калькуляция (5.9)'!$AJ$8:$BC$8,0)),'Калькуляция (5.9)'!$F$25:$F$194,$F99,'Калькуляция (5.9)'!$G$25:$G$194,$G99))</f>
        <v>0</v>
      </c>
      <c r="AK99" s="313">
        <f ca="1">IF(method_reg="Метод сравнения аналогов",SUMIFS(INDEX('Калькуляция (МСА)'!$AE$25:$BC$109,,MATCH(AK$8,'Калькуляция (МСА)'!$AE$8:$BC$8,0)),'Калькуляция (МСА)'!$F$25:$F$109,$F99,'Калькуляция (МСА)'!$G$25:$G$109,$G99),SUMIFS(INDEX('Калькуляция (5.9)'!$AJ$25:$BC$194,,MATCH(AK$8,'Калькуляция (5.9)'!$AJ$8:$BC$8,0)),'Калькуляция (5.9)'!$F$25:$F$194,$F99,'Калькуляция (5.9)'!$G$25:$G$194,$G99))</f>
        <v>0</v>
      </c>
      <c r="AL99" s="312">
        <f ca="1">IF(AJ99=0,0,(AK99-AJ99)/AJ99*100)</f>
        <v>0</v>
      </c>
      <c r="AM99" s="313">
        <f ca="1">IF(method_reg="Метод сравнения аналогов",SUMIFS(INDEX('Калькуляция (МСА)'!$AE$25:$BC$109,,MATCH(AM$8,'Калькуляция (МСА)'!$AE$8:$BC$8,0)),'Калькуляция (МСА)'!$F$25:$F$109,$F99,'Калькуляция (МСА)'!$G$25:$G$109,$G99),SUMIFS(INDEX('Калькуляция (5.9)'!$AJ$25:$BC$194,,MATCH(AM$8,'Калькуляция (5.9)'!$AJ$8:$BC$8,0)),'Калькуляция (5.9)'!$F$25:$F$194,$F99,'Калькуляция (5.9)'!$G$25:$G$194,$G99))</f>
        <v>0</v>
      </c>
      <c r="AN99" s="313">
        <f ca="1">IF(method_reg="Метод сравнения аналогов",SUMIFS(INDEX('Калькуляция (МСА)'!$AE$25:$BC$109,,MATCH(AN$8,'Калькуляция (МСА)'!$AE$8:$BC$8,0)),'Калькуляция (МСА)'!$F$25:$F$109,$F99,'Калькуляция (МСА)'!$G$25:$G$109,$G99),SUMIFS(INDEX('Калькуляция (5.9)'!$AJ$25:$BC$194,,MATCH(AN$8,'Калькуляция (5.9)'!$AJ$8:$BC$8,0)),'Калькуляция (5.9)'!$F$25:$F$194,$F99,'Калькуляция (5.9)'!$G$25:$G$194,$G99))</f>
        <v>0</v>
      </c>
      <c r="AO99" s="312">
        <f ca="1">IF(AM99=0,0,(AN99-AM99)/AM99*100)</f>
        <v>0</v>
      </c>
      <c r="AP99" s="313">
        <f ca="1">IF(method_reg="Метод сравнения аналогов",SUMIFS(INDEX('Калькуляция (МСА)'!$AE$25:$BC$109,,MATCH(AP$8,'Калькуляция (МСА)'!$AE$8:$BC$8,0)),'Калькуляция (МСА)'!$F$25:$F$109,$F99,'Калькуляция (МСА)'!$G$25:$G$109,$G99),SUMIFS(INDEX('Калькуляция (5.9)'!$AJ$25:$BC$194,,MATCH(AP$8,'Калькуляция (5.9)'!$AJ$8:$BC$8,0)),'Калькуляция (5.9)'!$F$25:$F$194,$F99,'Калькуляция (5.9)'!$G$25:$G$194,$G99))</f>
        <v>0</v>
      </c>
      <c r="AQ99" s="313">
        <f ca="1">IF(method_reg="Метод сравнения аналогов",SUMIFS(INDEX('Калькуляция (МСА)'!$AE$25:$BC$109,,MATCH(AQ$8,'Калькуляция (МСА)'!$AE$8:$BC$8,0)),'Калькуляция (МСА)'!$F$25:$F$109,$F99,'Калькуляция (МСА)'!$G$25:$G$109,$G99),SUMIFS(INDEX('Калькуляция (5.9)'!$AJ$25:$BC$194,,MATCH(AQ$8,'Калькуляция (5.9)'!$AJ$8:$BC$8,0)),'Калькуляция (5.9)'!$F$25:$F$194,$F99,'Калькуляция (5.9)'!$G$25:$G$194,$G99))</f>
        <v>0</v>
      </c>
      <c r="AR99" s="312">
        <f ca="1">IF(AP99=0,0,(AQ99-AP99)/AP99*100)</f>
        <v>0</v>
      </c>
      <c r="AS99" s="22">
        <f ca="1">IF(method_reg="Метод сравнения аналогов",SUMIFS(INDEX('Калькуляция (МСА)'!$AE$25:$BC$109,,MATCH(AS$8,'Калькуляция (МСА)'!$AE$8:$BC$8,0)),'Калькуляция (МСА)'!$F$25:$F$109,$F99,'Калькуляция (МСА)'!$G$25:$G$109,$G99),SUMIFS(INDEX('Калькуляция (5.9)'!$AJ$25:$BC$194,,MATCH(AS$8,'Калькуляция (5.9)'!$AJ$8:$BC$8,0)),'Калькуляция (5.9)'!$F$25:$F$194,$F99,'Калькуляция (5.9)'!$G$25:$G$194,$G99))</f>
        <v>0</v>
      </c>
      <c r="AT99" s="22">
        <f ca="1">IF(method_reg="Метод сравнения аналогов",SUMIFS(INDEX('Калькуляция (МСА)'!$AE$25:$BC$109,,MATCH(AT$8,'Калькуляция (МСА)'!$AE$8:$BC$8,0)),'Калькуляция (МСА)'!$F$25:$F$109,$F99,'Калькуляция (МСА)'!$G$25:$G$109,$G99),SUMIFS(INDEX('Калькуляция (5.9)'!$AJ$25:$BC$194,,MATCH(AT$8,'Калькуляция (5.9)'!$AJ$8:$BC$8,0)),'Калькуляция (5.9)'!$F$25:$F$194,$F99,'Калькуляция (5.9)'!$G$25:$G$194,$G99))</f>
        <v>0</v>
      </c>
      <c r="AU99" s="312">
        <f ca="1">IF(AS99=0,0,(AT99-AS99)/AS99*100)</f>
        <v>0</v>
      </c>
      <c r="AV99" s="22">
        <f ca="1">IF(method_reg="Метод сравнения аналогов",SUMIFS(INDEX('Калькуляция (МСА)'!$AE$25:$BC$109,,MATCH(AV$8,'Калькуляция (МСА)'!$AE$8:$BC$8,0)),'Калькуляция (МСА)'!$F$25:$F$109,$F99,'Калькуляция (МСА)'!$G$25:$G$109,$G99),SUMIFS(INDEX('Калькуляция (5.9)'!$AJ$25:$BC$194,,MATCH(AV$8,'Калькуляция (5.9)'!$AJ$8:$BC$8,0)),'Калькуляция (5.9)'!$F$25:$F$194,$F99,'Калькуляция (5.9)'!$G$25:$G$194,$G99))</f>
        <v>0</v>
      </c>
      <c r="AW99" s="22">
        <f ca="1">IF(method_reg="Метод сравнения аналогов",SUMIFS(INDEX('Калькуляция (МСА)'!$AE$25:$BC$109,,MATCH(AW$8,'Калькуляция (МСА)'!$AE$8:$BC$8,0)),'Калькуляция (МСА)'!$F$25:$F$109,$F99,'Калькуляция (МСА)'!$G$25:$G$109,$G99),SUMIFS(INDEX('Калькуляция (5.9)'!$AJ$25:$BC$194,,MATCH(AW$8,'Калькуляция (5.9)'!$AJ$8:$BC$8,0)),'Калькуляция (5.9)'!$F$25:$F$194,$F99,'Калькуляция (5.9)'!$G$25:$G$194,$G99))</f>
        <v>0</v>
      </c>
      <c r="AX99" s="312">
        <f ca="1">IF(AV99=0,0,(AW99-AV99)/AV99*100)</f>
        <v>0</v>
      </c>
      <c r="AY99" s="22">
        <f ca="1">IF(method_reg="Метод сравнения аналогов",SUMIFS(INDEX('Калькуляция (МСА)'!$AE$25:$BC$109,,MATCH(AY$8,'Калькуляция (МСА)'!$AE$8:$BC$8,0)),'Калькуляция (МСА)'!$F$25:$F$109,$F99,'Калькуляция (МСА)'!$G$25:$G$109,$G99),SUMIFS(INDEX('Калькуляция (5.9)'!$AJ$25:$BC$194,,MATCH(AY$8,'Калькуляция (5.9)'!$AJ$8:$BC$8,0)),'Калькуляция (5.9)'!$F$25:$F$194,$F99,'Калькуляция (5.9)'!$G$25:$G$194,$G99))</f>
        <v>0</v>
      </c>
      <c r="AZ99" s="22">
        <f ca="1">IF(method_reg="Метод сравнения аналогов",SUMIFS(INDEX('Калькуляция (МСА)'!$AE$25:$BC$109,,MATCH(AZ$8,'Калькуляция (МСА)'!$AE$8:$BC$8,0)),'Калькуляция (МСА)'!$F$25:$F$109,$F99,'Калькуляция (МСА)'!$G$25:$G$109,$G99),SUMIFS(INDEX('Калькуляция (5.9)'!$AJ$25:$BC$194,,MATCH(AZ$8,'Калькуляция (5.9)'!$AJ$8:$BC$8,0)),'Калькуляция (5.9)'!$F$25:$F$194,$F99,'Калькуляция (5.9)'!$G$25:$G$194,$G99))</f>
        <v>0</v>
      </c>
      <c r="BA99" s="312">
        <f ca="1">IF(AY99=0,0,(AZ99-AY99)/AY99*100)</f>
        <v>0</v>
      </c>
      <c r="BB99" s="22">
        <f ca="1">IF(method_reg="Метод сравнения аналогов",SUMIFS(INDEX('Калькуляция (МСА)'!$AE$25:$BC$109,,MATCH(BB$8,'Калькуляция (МСА)'!$AE$8:$BC$8,0)),'Калькуляция (МСА)'!$F$25:$F$109,$F99,'Калькуляция (МСА)'!$G$25:$G$109,$G99),SUMIFS(INDEX('Калькуляция (5.9)'!$AJ$25:$BC$194,,MATCH(BB$8,'Калькуляция (5.9)'!$AJ$8:$BC$8,0)),'Калькуляция (5.9)'!$F$25:$F$194,$F99,'Калькуляция (5.9)'!$G$25:$G$194,$G99))</f>
        <v>0</v>
      </c>
      <c r="BC99" s="22">
        <f ca="1">IF(method_reg="Метод сравнения аналогов",SUMIFS(INDEX('Калькуляция (МСА)'!$AE$25:$BC$109,,MATCH(BC$8,'Калькуляция (МСА)'!$AE$8:$BC$8,0)),'Калькуляция (МСА)'!$F$25:$F$109,$F99,'Калькуляция (МСА)'!$G$25:$G$109,$G99),SUMIFS(INDEX('Калькуляция (5.9)'!$AJ$25:$BC$194,,MATCH(BC$8,'Калькуляция (5.9)'!$AJ$8:$BC$8,0)),'Калькуляция (5.9)'!$F$25:$F$194,$F99,'Калькуляция (5.9)'!$G$25:$G$194,$G99))</f>
        <v>0</v>
      </c>
      <c r="BD99" s="312">
        <f ca="1">IF(BB99=0,0,(BC99-BB99)/BB99*100)</f>
        <v>0</v>
      </c>
      <c r="BE99" s="22">
        <f ca="1">IF(method_reg="Метод сравнения аналогов",SUMIFS(INDEX('Калькуляция (МСА)'!$AE$25:$BC$109,,MATCH(BE$8,'Калькуляция (МСА)'!$AE$8:$BC$8,0)),'Калькуляция (МСА)'!$F$25:$F$109,$F99,'Калькуляция (МСА)'!$G$25:$G$109,$G99),SUMIFS(INDEX('Калькуляция (5.9)'!$AJ$25:$BC$194,,MATCH(BE$8,'Калькуляция (5.9)'!$AJ$8:$BC$8,0)),'Калькуляция (5.9)'!$F$25:$F$194,$F99,'Калькуляция (5.9)'!$G$25:$G$194,$G99))</f>
        <v>0</v>
      </c>
      <c r="BF99" s="22">
        <f ca="1">IF(method_reg="Метод сравнения аналогов",SUMIFS(INDEX('Калькуляция (МСА)'!$AE$25:$BC$109,,MATCH(BF$8,'Калькуляция (МСА)'!$AE$8:$BC$8,0)),'Калькуляция (МСА)'!$F$25:$F$109,$F99,'Калькуляция (МСА)'!$G$25:$G$109,$G99),SUMIFS(INDEX('Калькуляция (5.9)'!$AJ$25:$BC$194,,MATCH(BF$8,'Калькуляция (5.9)'!$AJ$8:$BC$8,0)),'Калькуляция (5.9)'!$F$25:$F$194,$F99,'Калькуляция (5.9)'!$G$25:$G$194,$G99))</f>
        <v>0</v>
      </c>
      <c r="BG99" s="312">
        <f ca="1">IF(BE99=0,0,(BF99-BE99)/BE99*100)</f>
        <v>0</v>
      </c>
      <c r="BH99" s="22"/>
      <c r="BI99" s="22"/>
      <c r="BJ99" s="312">
        <f>IF(BH99=0,0,(BI99-BH99)/BH99*100)</f>
        <v>0</v>
      </c>
      <c r="BK99" s="22"/>
      <c r="BL99" s="22"/>
      <c r="BM99" s="312">
        <f>IF(BK99=0,0,(BL99-BK99)/BK99*100)</f>
        <v>0</v>
      </c>
      <c r="BN99" s="22"/>
      <c r="BO99" s="22"/>
      <c r="BP99" s="312">
        <f>IF(BN99=0,0,(BO99-BN99)/BN99*100)</f>
        <v>0</v>
      </c>
      <c r="BQ99" s="22"/>
      <c r="BR99" s="22"/>
      <c r="BS99" s="312">
        <f>IF(BQ99=0,0,(BR99-BQ99)/BQ99*100)</f>
        <v>0</v>
      </c>
      <c r="BT99" s="22"/>
      <c r="BU99" s="22"/>
      <c r="BV99" s="312">
        <f>IF(BT99=0,0,(BU99-BT99)/BT99*100)</f>
        <v>0</v>
      </c>
      <c r="BW99" s="22"/>
      <c r="BX99" s="22"/>
      <c r="BY99" s="312">
        <f>IF(BW99=0,0,(BX99-BW99)/BW99*100)</f>
        <v>0</v>
      </c>
      <c r="BZ99" s="22"/>
      <c r="CA99" s="22"/>
      <c r="CB99" s="312">
        <f>IF(BZ99=0,0,(CA99-BZ99)/BZ99*100)</f>
        <v>0</v>
      </c>
      <c r="CC99" s="22"/>
      <c r="CD99" s="22"/>
      <c r="CE99" s="312">
        <f>IF(CC99=0,0,(CD99-CC99)/CC99*100)</f>
        <v>0</v>
      </c>
      <c r="CF99" s="22"/>
      <c r="CG99" s="22"/>
      <c r="CH99" s="312">
        <f>IF(CF99=0,0,(CG99-CF99)/CF99*100)</f>
        <v>0</v>
      </c>
      <c r="CI99" s="22"/>
      <c r="CJ99" s="22"/>
      <c r="CK99" s="312">
        <f>IF(CI99=0,0,(CJ99-CI99)/CI99*100)</f>
        <v>0</v>
      </c>
      <c r="CL99" s="22"/>
      <c r="CM99" s="22"/>
      <c r="CN99" s="312">
        <f>IF(CL99=0,0,(CM99-CL99)/CL99*100)</f>
        <v>0</v>
      </c>
      <c r="CO99" s="22"/>
      <c r="CP99" s="22"/>
      <c r="CQ99" s="312">
        <f>IF(CO99=0,0,(CP99-CO99)/CO99*100)</f>
        <v>0</v>
      </c>
      <c r="CR99" s="22"/>
      <c r="CS99" s="22"/>
      <c r="CT99" s="312">
        <f>IF(CR99=0,0,(CS99-CR99)/CR99*100)</f>
        <v>0</v>
      </c>
      <c r="CU99" s="22"/>
      <c r="CV99" s="22"/>
      <c r="CW99" s="312">
        <f>IF(CU99=0,0,(CV99-CU99)/CU99*100)</f>
        <v>0</v>
      </c>
      <c r="CX99" s="22"/>
      <c r="CY99" s="22"/>
      <c r="CZ99" s="312">
        <f>IF(CX99=0,0,(CY99-CX99)/CX99*100)</f>
        <v>0</v>
      </c>
      <c r="DA99" s="22"/>
      <c r="DB99" s="22"/>
      <c r="DC99" s="312">
        <f>IF(DA99=0,0,(DB99-DA99)/DA99*100)</f>
        <v>0</v>
      </c>
      <c r="DD99" s="22"/>
      <c r="DE99" s="22"/>
      <c r="DF99" s="312">
        <f>IF(DD99=0,0,(DE99-DD99)/DD99*100)</f>
        <v>0</v>
      </c>
      <c r="DG99" s="22"/>
      <c r="DH99" s="22"/>
      <c r="DI99" s="312">
        <f>IF(DG99=0,0,(DH99-DG99)/DG99*100)</f>
        <v>0</v>
      </c>
      <c r="DJ99" s="22"/>
      <c r="DK99" s="22"/>
      <c r="DL99" s="312">
        <f>IF(DJ99=0,0,(DK99-DJ99)/DJ99*100)</f>
        <v>0</v>
      </c>
      <c r="DM99" s="22"/>
      <c r="DN99" s="22"/>
      <c r="DO99" s="312">
        <f>IF(DM99=0,0,(DN99-DM99)/DM99*100)</f>
        <v>0</v>
      </c>
      <c r="DP99" s="22"/>
      <c r="DQ99" s="22"/>
      <c r="DR99" s="312">
        <f>IF(DP99=0,0,(DQ99-DP99)/DP99*100)</f>
        <v>0</v>
      </c>
      <c r="DS99" s="22"/>
      <c r="DT99" s="22"/>
      <c r="DU99" s="312">
        <f>IF(DS99=0,0,(DT99-DS99)/DS99*100)</f>
        <v>0</v>
      </c>
      <c r="DV99" s="22"/>
      <c r="DW99" s="22"/>
      <c r="DX99" s="312">
        <f>IF(DV99=0,0,(DW99-DV99)/DV99*100)</f>
        <v>0</v>
      </c>
      <c r="DY99" s="22"/>
      <c r="DZ99" s="22"/>
      <c r="EA99" s="312">
        <f>IF(DY99=0,0,(DZ99-DY99)/DY99*100)</f>
        <v>0</v>
      </c>
      <c r="EB99" s="22"/>
      <c r="EC99" s="22"/>
      <c r="ED99" s="312">
        <f>IF(EB99=0,0,(EC99-EB99)/EB99*100)</f>
        <v>0</v>
      </c>
      <c r="EE99" s="22"/>
      <c r="EF99" s="22"/>
      <c r="EG99" s="312">
        <f>IF(EE99=0,0,(EF99-EE99)/EE99*100)</f>
        <v>0</v>
      </c>
      <c r="EH99" s="22"/>
      <c r="EI99" s="22"/>
      <c r="EJ99" s="312">
        <f>IF(EH99=0,0,(EI99-EH99)/EH99*100)</f>
        <v>0</v>
      </c>
      <c r="EK99" s="22"/>
      <c r="EL99" s="22"/>
      <c r="EM99" s="312">
        <f>IF(EK99=0,0,(EL99-EK99)/EK99*100)</f>
        <v>0</v>
      </c>
      <c r="EN99" s="22"/>
      <c r="EO99" s="22"/>
      <c r="EP99" s="312">
        <f>IF(EN99=0,0,(EO99-EN99)/EN99*100)</f>
        <v>0</v>
      </c>
      <c r="EQ99" s="22"/>
      <c r="ER99" s="22"/>
      <c r="ES99" s="312">
        <f>IF(EQ99=0,0,(ER99-EQ99)/EQ99*100)</f>
        <v>0</v>
      </c>
      <c r="ET99" s="22"/>
      <c r="EU99" s="22"/>
      <c r="EV99" s="312">
        <f>IF(ET99=0,0,(EU99-ET99)/ET99*100)</f>
        <v>0</v>
      </c>
      <c r="EW99" s="22"/>
      <c r="EX99" s="22"/>
      <c r="EY99" s="312">
        <f>IF(EW99=0,0,(EX99-EW99)/EW99*100)</f>
        <v>0</v>
      </c>
      <c r="EZ99" s="22"/>
      <c r="FA99" s="22"/>
      <c r="FB99" s="312">
        <f>IF(EZ99=0,0,(FA99-EZ99)/EZ99*100)</f>
        <v>0</v>
      </c>
      <c r="FC99" s="22"/>
      <c r="FD99" s="22"/>
      <c r="FE99" s="312">
        <f>IF(FC99=0,0,(FD99-FC99)/FC99*100)</f>
        <v>0</v>
      </c>
      <c r="FF99" s="22"/>
      <c r="FG99" s="22"/>
      <c r="FH99" s="312">
        <f>IF(FF99=0,0,(FG99-FF99)/FF99*100)</f>
        <v>0</v>
      </c>
      <c r="FI99" s="22"/>
      <c r="FJ99" s="22"/>
      <c r="FK99" s="312">
        <f>IF(FI99=0,0,(FJ99-FI99)/FI99*100)</f>
        <v>0</v>
      </c>
      <c r="FL99" s="22"/>
      <c r="FM99" s="22"/>
      <c r="FN99" s="312">
        <f>IF(FL99=0,0,(FM99-FL99)/FL99*100)</f>
        <v>0</v>
      </c>
      <c r="FO99" s="22"/>
      <c r="FP99" s="22"/>
      <c r="FQ99" s="312">
        <f>IF(FO99=0,0,(FP99-FO99)/FO99*100)</f>
        <v>0</v>
      </c>
      <c r="FR99" s="22"/>
      <c r="FS99" s="22"/>
      <c r="FT99" s="312">
        <f>IF(FR99=0,0,(FS99-FR99)/FR99*100)</f>
        <v>0</v>
      </c>
      <c r="FU99" s="22"/>
      <c r="FV99" s="22"/>
      <c r="FW99" s="312">
        <f>IF(FU99=0,0,(FV99-FU99)/FU99*100)</f>
        <v>0</v>
      </c>
      <c r="FX99" s="425"/>
      <c r="FY99" s="425"/>
      <c r="FZ99" s="981" t="s">
        <v>2212</v>
      </c>
      <c r="GA99" s="981"/>
      <c r="GB99" s="981"/>
      <c r="GC99" s="981"/>
      <c r="GD99" s="981"/>
    </row>
    <row r="100" spans="1:186" s="1229" customFormat="1" ht="15" hidden="1" customHeight="1">
      <c r="A100" s="1153"/>
      <c r="B100" s="813" t="b" cm="1">
        <f t="array" ref="B100">B99</f>
        <v>0</v>
      </c>
      <c r="C100" s="1118" t="s">
        <v>1805</v>
      </c>
      <c r="D100" s="1087" t="s">
        <v>1806</v>
      </c>
      <c r="E100" s="676">
        <v>15.8</v>
      </c>
      <c r="F100" s="779" t="str" cm="1">
        <f t="array" aca="1" ref="F100" ca="1">OFFSET(G100,-1,-1)</f>
        <v>1</v>
      </c>
      <c r="G100" s="620" t="s">
        <v>1809</v>
      </c>
      <c r="H100" s="163" t="s">
        <v>2213</v>
      </c>
      <c r="I100" s="163" t="s">
        <v>2148</v>
      </c>
      <c r="J100" s="1108"/>
      <c r="K100" s="1108" t="str" cm="1">
        <f t="array" aca="1" ref="K100" ca="1">OFFSET(J100,-1,1)</f>
        <v>ТЭ.42.26322895.0003</v>
      </c>
      <c r="L100" s="1108"/>
      <c r="M100" s="1108" t="s">
        <v>1782</v>
      </c>
      <c r="N100" s="1108" t="s">
        <v>2151</v>
      </c>
      <c r="O100" s="1109" t="s">
        <v>2152</v>
      </c>
      <c r="P100" s="1108" t="s">
        <v>2214</v>
      </c>
      <c r="Q100" s="1108"/>
      <c r="R100" s="784"/>
      <c r="S100" s="425"/>
      <c r="T100" s="687" t="b" cm="1">
        <f t="array" aca="1" ref="T100" ca="1">T99</f>
        <v>0</v>
      </c>
      <c r="U100" s="1153"/>
      <c r="V100" s="1153"/>
      <c r="W100" s="1153"/>
      <c r="X100" s="1726"/>
      <c r="Y100" s="1153"/>
      <c r="Z100" s="1726"/>
      <c r="AA100" s="425"/>
      <c r="AB100" s="223" t="s">
        <v>2215</v>
      </c>
      <c r="AC100" s="557" t="s">
        <v>725</v>
      </c>
      <c r="AD100" s="22">
        <f ca="1">IF(method_reg="Метод экономически обоснованных расходов",SUMIFS('Калькуляция (4.6)'!AJ$25:AJ$229,'Калькуляция (4.6)'!$F$25:$F$229,$F100,'Калькуляция (4.6)'!$G$25:$G$229,$G100),IF(method_reg="Метод сравнения аналогов",SUMIFS(INDEX('Калькуляция (МСА)'!$AE$25:$BC$109,,MATCH(AD$8,'Калькуляция (МСА)'!$AE$8:$BC$8,0)),'Калькуляция (МСА)'!$F$25:$F$109,$F100,'Калькуляция (МСА)'!$G$25:$G$109,$G100),SUMIFS(INDEX('Калькуляция (5.9)'!$AJ$25:$BC$194,,MATCH(AD$8,'Калькуляция (5.9)'!$AJ$8:$BC$8,0)),'Калькуляция (5.9)'!$F$25:$F$194,$F100,'Калькуляция (5.9)'!$G$25:$G$194,$G100)))</f>
        <v>0</v>
      </c>
      <c r="AE100" s="22">
        <f ca="1">IF(method_reg="Метод экономически обоснованных расходов",SUMIFS('Калькуляция (4.6)'!AK$25:AK$229,'Калькуляция (4.6)'!$F$25:$F$229,$F100,'Калькуляция (4.6)'!$G$25:$G$229,$G100),IF(method_reg="Метод сравнения аналогов",SUMIFS(INDEX('Калькуляция (МСА)'!$AE$25:$BC$109,,MATCH(AE$8,'Калькуляция (МСА)'!$AE$8:$BC$8,0)),'Калькуляция (МСА)'!$F$25:$F$109,$F100,'Калькуляция (МСА)'!$G$25:$G$109,$G100),SUMIFS(INDEX('Калькуляция (5.9)'!$AJ$25:$BC$194,,MATCH(AE$8,'Калькуляция (5.9)'!$AJ$8:$BC$8,0)),'Калькуляция (5.9)'!$F$25:$F$194,$F100,'Калькуляция (5.9)'!$G$25:$G$194,$G100)))</f>
        <v>0</v>
      </c>
      <c r="AF100" s="312">
        <f ca="1">IF(AD100=0,0,(AE100-AD100)/AD100*100)</f>
        <v>0</v>
      </c>
      <c r="AG100" s="313">
        <f ca="1">IF(method_reg="Метод сравнения аналогов",SUMIFS(INDEX('Калькуляция (МСА)'!$AE$25:$BC$109,,MATCH(AG$8,'Калькуляция (МСА)'!$AE$8:$BC$8,0)),'Калькуляция (МСА)'!$F$25:$F$109,$F100,'Калькуляция (МСА)'!$G$25:$G$109,$G100),SUMIFS(INDEX('Калькуляция (5.9)'!$AJ$25:$BC$194,,MATCH(AG$8,'Калькуляция (5.9)'!$AJ$8:$BC$8,0)),'Калькуляция (5.9)'!$F$25:$F$194,$F100,'Калькуляция (5.9)'!$G$25:$G$194,$G100))</f>
        <v>0</v>
      </c>
      <c r="AH100" s="313">
        <f ca="1">IF(method_reg="Метод сравнения аналогов",SUMIFS(INDEX('Калькуляция (МСА)'!$AE$25:$BC$109,,MATCH(AH$8,'Калькуляция (МСА)'!$AE$8:$BC$8,0)),'Калькуляция (МСА)'!$F$25:$F$109,$F100,'Калькуляция (МСА)'!$G$25:$G$109,$G100),SUMIFS(INDEX('Калькуляция (5.9)'!$AJ$25:$BC$194,,MATCH(AH$8,'Калькуляция (5.9)'!$AJ$8:$BC$8,0)),'Калькуляция (5.9)'!$F$25:$F$194,$F100,'Калькуляция (5.9)'!$G$25:$G$194,$G100))</f>
        <v>0</v>
      </c>
      <c r="AI100" s="312">
        <f ca="1">IF(AG100=0,0,(AH100-AG100)/AG100*100)</f>
        <v>0</v>
      </c>
      <c r="AJ100" s="313">
        <f ca="1">IF(method_reg="Метод сравнения аналогов",SUMIFS(INDEX('Калькуляция (МСА)'!$AE$25:$BC$109,,MATCH(AJ$8,'Калькуляция (МСА)'!$AE$8:$BC$8,0)),'Калькуляция (МСА)'!$F$25:$F$109,$F100,'Калькуляция (МСА)'!$G$25:$G$109,$G100),SUMIFS(INDEX('Калькуляция (5.9)'!$AJ$25:$BC$194,,MATCH(AJ$8,'Калькуляция (5.9)'!$AJ$8:$BC$8,0)),'Калькуляция (5.9)'!$F$25:$F$194,$F100,'Калькуляция (5.9)'!$G$25:$G$194,$G100))</f>
        <v>0</v>
      </c>
      <c r="AK100" s="313">
        <f ca="1">IF(method_reg="Метод сравнения аналогов",SUMIFS(INDEX('Калькуляция (МСА)'!$AE$25:$BC$109,,MATCH(AK$8,'Калькуляция (МСА)'!$AE$8:$BC$8,0)),'Калькуляция (МСА)'!$F$25:$F$109,$F100,'Калькуляция (МСА)'!$G$25:$G$109,$G100),SUMIFS(INDEX('Калькуляция (5.9)'!$AJ$25:$BC$194,,MATCH(AK$8,'Калькуляция (5.9)'!$AJ$8:$BC$8,0)),'Калькуляция (5.9)'!$F$25:$F$194,$F100,'Калькуляция (5.9)'!$G$25:$G$194,$G100))</f>
        <v>0</v>
      </c>
      <c r="AL100" s="312">
        <f ca="1">IF(AJ100=0,0,(AK100-AJ100)/AJ100*100)</f>
        <v>0</v>
      </c>
      <c r="AM100" s="313">
        <f ca="1">IF(method_reg="Метод сравнения аналогов",SUMIFS(INDEX('Калькуляция (МСА)'!$AE$25:$BC$109,,MATCH(AM$8,'Калькуляция (МСА)'!$AE$8:$BC$8,0)),'Калькуляция (МСА)'!$F$25:$F$109,$F100,'Калькуляция (МСА)'!$G$25:$G$109,$G100),SUMIFS(INDEX('Калькуляция (5.9)'!$AJ$25:$BC$194,,MATCH(AM$8,'Калькуляция (5.9)'!$AJ$8:$BC$8,0)),'Калькуляция (5.9)'!$F$25:$F$194,$F100,'Калькуляция (5.9)'!$G$25:$G$194,$G100))</f>
        <v>0</v>
      </c>
      <c r="AN100" s="313">
        <f ca="1">IF(method_reg="Метод сравнения аналогов",SUMIFS(INDEX('Калькуляция (МСА)'!$AE$25:$BC$109,,MATCH(AN$8,'Калькуляция (МСА)'!$AE$8:$BC$8,0)),'Калькуляция (МСА)'!$F$25:$F$109,$F100,'Калькуляция (МСА)'!$G$25:$G$109,$G100),SUMIFS(INDEX('Калькуляция (5.9)'!$AJ$25:$BC$194,,MATCH(AN$8,'Калькуляция (5.9)'!$AJ$8:$BC$8,0)),'Калькуляция (5.9)'!$F$25:$F$194,$F100,'Калькуляция (5.9)'!$G$25:$G$194,$G100))</f>
        <v>0</v>
      </c>
      <c r="AO100" s="312">
        <f ca="1">IF(AM100=0,0,(AN100-AM100)/AM100*100)</f>
        <v>0</v>
      </c>
      <c r="AP100" s="313">
        <f ca="1">IF(method_reg="Метод сравнения аналогов",SUMIFS(INDEX('Калькуляция (МСА)'!$AE$25:$BC$109,,MATCH(AP$8,'Калькуляция (МСА)'!$AE$8:$BC$8,0)),'Калькуляция (МСА)'!$F$25:$F$109,$F100,'Калькуляция (МСА)'!$G$25:$G$109,$G100),SUMIFS(INDEX('Калькуляция (5.9)'!$AJ$25:$BC$194,,MATCH(AP$8,'Калькуляция (5.9)'!$AJ$8:$BC$8,0)),'Калькуляция (5.9)'!$F$25:$F$194,$F100,'Калькуляция (5.9)'!$G$25:$G$194,$G100))</f>
        <v>0</v>
      </c>
      <c r="AQ100" s="313">
        <f ca="1">IF(method_reg="Метод сравнения аналогов",SUMIFS(INDEX('Калькуляция (МСА)'!$AE$25:$BC$109,,MATCH(AQ$8,'Калькуляция (МСА)'!$AE$8:$BC$8,0)),'Калькуляция (МСА)'!$F$25:$F$109,$F100,'Калькуляция (МСА)'!$G$25:$G$109,$G100),SUMIFS(INDEX('Калькуляция (5.9)'!$AJ$25:$BC$194,,MATCH(AQ$8,'Калькуляция (5.9)'!$AJ$8:$BC$8,0)),'Калькуляция (5.9)'!$F$25:$F$194,$F100,'Калькуляция (5.9)'!$G$25:$G$194,$G100))</f>
        <v>0</v>
      </c>
      <c r="AR100" s="312">
        <f ca="1">IF(AP100=0,0,(AQ100-AP100)/AP100*100)</f>
        <v>0</v>
      </c>
      <c r="AS100" s="22">
        <f ca="1">IF(method_reg="Метод сравнения аналогов",SUMIFS(INDEX('Калькуляция (МСА)'!$AE$25:$BC$109,,MATCH(AS$8,'Калькуляция (МСА)'!$AE$8:$BC$8,0)),'Калькуляция (МСА)'!$F$25:$F$109,$F100,'Калькуляция (МСА)'!$G$25:$G$109,$G100),SUMIFS(INDEX('Калькуляция (5.9)'!$AJ$25:$BC$194,,MATCH(AS$8,'Калькуляция (5.9)'!$AJ$8:$BC$8,0)),'Калькуляция (5.9)'!$F$25:$F$194,$F100,'Калькуляция (5.9)'!$G$25:$G$194,$G100))</f>
        <v>0</v>
      </c>
      <c r="AT100" s="22">
        <f ca="1">IF(method_reg="Метод сравнения аналогов",SUMIFS(INDEX('Калькуляция (МСА)'!$AE$25:$BC$109,,MATCH(AT$8,'Калькуляция (МСА)'!$AE$8:$BC$8,0)),'Калькуляция (МСА)'!$F$25:$F$109,$F100,'Калькуляция (МСА)'!$G$25:$G$109,$G100),SUMIFS(INDEX('Калькуляция (5.9)'!$AJ$25:$BC$194,,MATCH(AT$8,'Калькуляция (5.9)'!$AJ$8:$BC$8,0)),'Калькуляция (5.9)'!$F$25:$F$194,$F100,'Калькуляция (5.9)'!$G$25:$G$194,$G100))</f>
        <v>0</v>
      </c>
      <c r="AU100" s="312">
        <f ca="1">IF(AS100=0,0,(AT100-AS100)/AS100*100)</f>
        <v>0</v>
      </c>
      <c r="AV100" s="22">
        <f ca="1">IF(method_reg="Метод сравнения аналогов",SUMIFS(INDEX('Калькуляция (МСА)'!$AE$25:$BC$109,,MATCH(AV$8,'Калькуляция (МСА)'!$AE$8:$BC$8,0)),'Калькуляция (МСА)'!$F$25:$F$109,$F100,'Калькуляция (МСА)'!$G$25:$G$109,$G100),SUMIFS(INDEX('Калькуляция (5.9)'!$AJ$25:$BC$194,,MATCH(AV$8,'Калькуляция (5.9)'!$AJ$8:$BC$8,0)),'Калькуляция (5.9)'!$F$25:$F$194,$F100,'Калькуляция (5.9)'!$G$25:$G$194,$G100))</f>
        <v>0</v>
      </c>
      <c r="AW100" s="22">
        <f ca="1">IF(method_reg="Метод сравнения аналогов",SUMIFS(INDEX('Калькуляция (МСА)'!$AE$25:$BC$109,,MATCH(AW$8,'Калькуляция (МСА)'!$AE$8:$BC$8,0)),'Калькуляция (МСА)'!$F$25:$F$109,$F100,'Калькуляция (МСА)'!$G$25:$G$109,$G100),SUMIFS(INDEX('Калькуляция (5.9)'!$AJ$25:$BC$194,,MATCH(AW$8,'Калькуляция (5.9)'!$AJ$8:$BC$8,0)),'Калькуляция (5.9)'!$F$25:$F$194,$F100,'Калькуляция (5.9)'!$G$25:$G$194,$G100))</f>
        <v>0</v>
      </c>
      <c r="AX100" s="312">
        <f ca="1">IF(AV100=0,0,(AW100-AV100)/AV100*100)</f>
        <v>0</v>
      </c>
      <c r="AY100" s="22">
        <f ca="1">IF(method_reg="Метод сравнения аналогов",SUMIFS(INDEX('Калькуляция (МСА)'!$AE$25:$BC$109,,MATCH(AY$8,'Калькуляция (МСА)'!$AE$8:$BC$8,0)),'Калькуляция (МСА)'!$F$25:$F$109,$F100,'Калькуляция (МСА)'!$G$25:$G$109,$G100),SUMIFS(INDEX('Калькуляция (5.9)'!$AJ$25:$BC$194,,MATCH(AY$8,'Калькуляция (5.9)'!$AJ$8:$BC$8,0)),'Калькуляция (5.9)'!$F$25:$F$194,$F100,'Калькуляция (5.9)'!$G$25:$G$194,$G100))</f>
        <v>0</v>
      </c>
      <c r="AZ100" s="22">
        <f ca="1">IF(method_reg="Метод сравнения аналогов",SUMIFS(INDEX('Калькуляция (МСА)'!$AE$25:$BC$109,,MATCH(AZ$8,'Калькуляция (МСА)'!$AE$8:$BC$8,0)),'Калькуляция (МСА)'!$F$25:$F$109,$F100,'Калькуляция (МСА)'!$G$25:$G$109,$G100),SUMIFS(INDEX('Калькуляция (5.9)'!$AJ$25:$BC$194,,MATCH(AZ$8,'Калькуляция (5.9)'!$AJ$8:$BC$8,0)),'Калькуляция (5.9)'!$F$25:$F$194,$F100,'Калькуляция (5.9)'!$G$25:$G$194,$G100))</f>
        <v>0</v>
      </c>
      <c r="BA100" s="312">
        <f ca="1">IF(AY100=0,0,(AZ100-AY100)/AY100*100)</f>
        <v>0</v>
      </c>
      <c r="BB100" s="22">
        <f ca="1">IF(method_reg="Метод сравнения аналогов",SUMIFS(INDEX('Калькуляция (МСА)'!$AE$25:$BC$109,,MATCH(BB$8,'Калькуляция (МСА)'!$AE$8:$BC$8,0)),'Калькуляция (МСА)'!$F$25:$F$109,$F100,'Калькуляция (МСА)'!$G$25:$G$109,$G100),SUMIFS(INDEX('Калькуляция (5.9)'!$AJ$25:$BC$194,,MATCH(BB$8,'Калькуляция (5.9)'!$AJ$8:$BC$8,0)),'Калькуляция (5.9)'!$F$25:$F$194,$F100,'Калькуляция (5.9)'!$G$25:$G$194,$G100))</f>
        <v>0</v>
      </c>
      <c r="BC100" s="22">
        <f ca="1">IF(method_reg="Метод сравнения аналогов",SUMIFS(INDEX('Калькуляция (МСА)'!$AE$25:$BC$109,,MATCH(BC$8,'Калькуляция (МСА)'!$AE$8:$BC$8,0)),'Калькуляция (МСА)'!$F$25:$F$109,$F100,'Калькуляция (МСА)'!$G$25:$G$109,$G100),SUMIFS(INDEX('Калькуляция (5.9)'!$AJ$25:$BC$194,,MATCH(BC$8,'Калькуляция (5.9)'!$AJ$8:$BC$8,0)),'Калькуляция (5.9)'!$F$25:$F$194,$F100,'Калькуляция (5.9)'!$G$25:$G$194,$G100))</f>
        <v>0</v>
      </c>
      <c r="BD100" s="312">
        <f ca="1">IF(BB100=0,0,(BC100-BB100)/BB100*100)</f>
        <v>0</v>
      </c>
      <c r="BE100" s="22">
        <f ca="1">IF(method_reg="Метод сравнения аналогов",SUMIFS(INDEX('Калькуляция (МСА)'!$AE$25:$BC$109,,MATCH(BE$8,'Калькуляция (МСА)'!$AE$8:$BC$8,0)),'Калькуляция (МСА)'!$F$25:$F$109,$F100,'Калькуляция (МСА)'!$G$25:$G$109,$G100),SUMIFS(INDEX('Калькуляция (5.9)'!$AJ$25:$BC$194,,MATCH(BE$8,'Калькуляция (5.9)'!$AJ$8:$BC$8,0)),'Калькуляция (5.9)'!$F$25:$F$194,$F100,'Калькуляция (5.9)'!$G$25:$G$194,$G100))</f>
        <v>0</v>
      </c>
      <c r="BF100" s="22">
        <f ca="1">IF(method_reg="Метод сравнения аналогов",SUMIFS(INDEX('Калькуляция (МСА)'!$AE$25:$BC$109,,MATCH(BF$8,'Калькуляция (МСА)'!$AE$8:$BC$8,0)),'Калькуляция (МСА)'!$F$25:$F$109,$F100,'Калькуляция (МСА)'!$G$25:$G$109,$G100),SUMIFS(INDEX('Калькуляция (5.9)'!$AJ$25:$BC$194,,MATCH(BF$8,'Калькуляция (5.9)'!$AJ$8:$BC$8,0)),'Калькуляция (5.9)'!$F$25:$F$194,$F100,'Калькуляция (5.9)'!$G$25:$G$194,$G100))</f>
        <v>0</v>
      </c>
      <c r="BG100" s="312">
        <f ca="1">IF(BE100=0,0,(BF100-BE100)/BE100*100)</f>
        <v>0</v>
      </c>
      <c r="BH100" s="22"/>
      <c r="BI100" s="22"/>
      <c r="BJ100" s="312">
        <f>IF(BH100=0,0,(BI100-BH100)/BH100*100)</f>
        <v>0</v>
      </c>
      <c r="BK100" s="22"/>
      <c r="BL100" s="22"/>
      <c r="BM100" s="312">
        <f>IF(BK100=0,0,(BL100-BK100)/BK100*100)</f>
        <v>0</v>
      </c>
      <c r="BN100" s="22"/>
      <c r="BO100" s="22"/>
      <c r="BP100" s="312">
        <f>IF(BN100=0,0,(BO100-BN100)/BN100*100)</f>
        <v>0</v>
      </c>
      <c r="BQ100" s="22"/>
      <c r="BR100" s="22"/>
      <c r="BS100" s="312">
        <f>IF(BQ100=0,0,(BR100-BQ100)/BQ100*100)</f>
        <v>0</v>
      </c>
      <c r="BT100" s="22"/>
      <c r="BU100" s="22"/>
      <c r="BV100" s="312">
        <f>IF(BT100=0,0,(BU100-BT100)/BT100*100)</f>
        <v>0</v>
      </c>
      <c r="BW100" s="22"/>
      <c r="BX100" s="22"/>
      <c r="BY100" s="312">
        <f>IF(BW100=0,0,(BX100-BW100)/BW100*100)</f>
        <v>0</v>
      </c>
      <c r="BZ100" s="22"/>
      <c r="CA100" s="22"/>
      <c r="CB100" s="312">
        <f>IF(BZ100=0,0,(CA100-BZ100)/BZ100*100)</f>
        <v>0</v>
      </c>
      <c r="CC100" s="22"/>
      <c r="CD100" s="22"/>
      <c r="CE100" s="312">
        <f>IF(CC100=0,0,(CD100-CC100)/CC100*100)</f>
        <v>0</v>
      </c>
      <c r="CF100" s="22"/>
      <c r="CG100" s="22"/>
      <c r="CH100" s="312">
        <f>IF(CF100=0,0,(CG100-CF100)/CF100*100)</f>
        <v>0</v>
      </c>
      <c r="CI100" s="22"/>
      <c r="CJ100" s="22"/>
      <c r="CK100" s="312">
        <f>IF(CI100=0,0,(CJ100-CI100)/CI100*100)</f>
        <v>0</v>
      </c>
      <c r="CL100" s="22"/>
      <c r="CM100" s="22"/>
      <c r="CN100" s="312">
        <f>IF(CL100=0,0,(CM100-CL100)/CL100*100)</f>
        <v>0</v>
      </c>
      <c r="CO100" s="22"/>
      <c r="CP100" s="22"/>
      <c r="CQ100" s="312">
        <f>IF(CO100=0,0,(CP100-CO100)/CO100*100)</f>
        <v>0</v>
      </c>
      <c r="CR100" s="22"/>
      <c r="CS100" s="22"/>
      <c r="CT100" s="312">
        <f>IF(CR100=0,0,(CS100-CR100)/CR100*100)</f>
        <v>0</v>
      </c>
      <c r="CU100" s="22"/>
      <c r="CV100" s="22"/>
      <c r="CW100" s="312">
        <f>IF(CU100=0,0,(CV100-CU100)/CU100*100)</f>
        <v>0</v>
      </c>
      <c r="CX100" s="22"/>
      <c r="CY100" s="22"/>
      <c r="CZ100" s="312">
        <f>IF(CX100=0,0,(CY100-CX100)/CX100*100)</f>
        <v>0</v>
      </c>
      <c r="DA100" s="22"/>
      <c r="DB100" s="22"/>
      <c r="DC100" s="312">
        <f>IF(DA100=0,0,(DB100-DA100)/DA100*100)</f>
        <v>0</v>
      </c>
      <c r="DD100" s="22"/>
      <c r="DE100" s="22"/>
      <c r="DF100" s="312">
        <f>IF(DD100=0,0,(DE100-DD100)/DD100*100)</f>
        <v>0</v>
      </c>
      <c r="DG100" s="22"/>
      <c r="DH100" s="22"/>
      <c r="DI100" s="312">
        <f>IF(DG100=0,0,(DH100-DG100)/DG100*100)</f>
        <v>0</v>
      </c>
      <c r="DJ100" s="22"/>
      <c r="DK100" s="22"/>
      <c r="DL100" s="312">
        <f>IF(DJ100=0,0,(DK100-DJ100)/DJ100*100)</f>
        <v>0</v>
      </c>
      <c r="DM100" s="22"/>
      <c r="DN100" s="22"/>
      <c r="DO100" s="312">
        <f>IF(DM100=0,0,(DN100-DM100)/DM100*100)</f>
        <v>0</v>
      </c>
      <c r="DP100" s="22"/>
      <c r="DQ100" s="22"/>
      <c r="DR100" s="312">
        <f>IF(DP100=0,0,(DQ100-DP100)/DP100*100)</f>
        <v>0</v>
      </c>
      <c r="DS100" s="22"/>
      <c r="DT100" s="22"/>
      <c r="DU100" s="312">
        <f>IF(DS100=0,0,(DT100-DS100)/DS100*100)</f>
        <v>0</v>
      </c>
      <c r="DV100" s="22"/>
      <c r="DW100" s="22"/>
      <c r="DX100" s="312">
        <f>IF(DV100=0,0,(DW100-DV100)/DV100*100)</f>
        <v>0</v>
      </c>
      <c r="DY100" s="22"/>
      <c r="DZ100" s="22"/>
      <c r="EA100" s="312">
        <f>IF(DY100=0,0,(DZ100-DY100)/DY100*100)</f>
        <v>0</v>
      </c>
      <c r="EB100" s="22"/>
      <c r="EC100" s="22"/>
      <c r="ED100" s="312">
        <f>IF(EB100=0,0,(EC100-EB100)/EB100*100)</f>
        <v>0</v>
      </c>
      <c r="EE100" s="22"/>
      <c r="EF100" s="22"/>
      <c r="EG100" s="312">
        <f>IF(EE100=0,0,(EF100-EE100)/EE100*100)</f>
        <v>0</v>
      </c>
      <c r="EH100" s="22"/>
      <c r="EI100" s="22"/>
      <c r="EJ100" s="312">
        <f>IF(EH100=0,0,(EI100-EH100)/EH100*100)</f>
        <v>0</v>
      </c>
      <c r="EK100" s="22"/>
      <c r="EL100" s="22"/>
      <c r="EM100" s="312">
        <f>IF(EK100=0,0,(EL100-EK100)/EK100*100)</f>
        <v>0</v>
      </c>
      <c r="EN100" s="22"/>
      <c r="EO100" s="22"/>
      <c r="EP100" s="312">
        <f>IF(EN100=0,0,(EO100-EN100)/EN100*100)</f>
        <v>0</v>
      </c>
      <c r="EQ100" s="22"/>
      <c r="ER100" s="22"/>
      <c r="ES100" s="312">
        <f>IF(EQ100=0,0,(ER100-EQ100)/EQ100*100)</f>
        <v>0</v>
      </c>
      <c r="ET100" s="22"/>
      <c r="EU100" s="22"/>
      <c r="EV100" s="312">
        <f>IF(ET100=0,0,(EU100-ET100)/ET100*100)</f>
        <v>0</v>
      </c>
      <c r="EW100" s="22"/>
      <c r="EX100" s="22"/>
      <c r="EY100" s="312">
        <f>IF(EW100=0,0,(EX100-EW100)/EW100*100)</f>
        <v>0</v>
      </c>
      <c r="EZ100" s="22"/>
      <c r="FA100" s="22"/>
      <c r="FB100" s="312">
        <f>IF(EZ100=0,0,(FA100-EZ100)/EZ100*100)</f>
        <v>0</v>
      </c>
      <c r="FC100" s="22"/>
      <c r="FD100" s="22"/>
      <c r="FE100" s="312">
        <f>IF(FC100=0,0,(FD100-FC100)/FC100*100)</f>
        <v>0</v>
      </c>
      <c r="FF100" s="22"/>
      <c r="FG100" s="22"/>
      <c r="FH100" s="312">
        <f>IF(FF100=0,0,(FG100-FF100)/FF100*100)</f>
        <v>0</v>
      </c>
      <c r="FI100" s="22"/>
      <c r="FJ100" s="22"/>
      <c r="FK100" s="312">
        <f>IF(FI100=0,0,(FJ100-FI100)/FI100*100)</f>
        <v>0</v>
      </c>
      <c r="FL100" s="22"/>
      <c r="FM100" s="22"/>
      <c r="FN100" s="312">
        <f>IF(FL100=0,0,(FM100-FL100)/FL100*100)</f>
        <v>0</v>
      </c>
      <c r="FO100" s="22"/>
      <c r="FP100" s="22"/>
      <c r="FQ100" s="312">
        <f>IF(FO100=0,0,(FP100-FO100)/FO100*100)</f>
        <v>0</v>
      </c>
      <c r="FR100" s="22"/>
      <c r="FS100" s="22"/>
      <c r="FT100" s="312">
        <f>IF(FR100=0,0,(FS100-FR100)/FR100*100)</f>
        <v>0</v>
      </c>
      <c r="FU100" s="22"/>
      <c r="FV100" s="22"/>
      <c r="FW100" s="312">
        <f>IF(FU100=0,0,(FV100-FU100)/FU100*100)</f>
        <v>0</v>
      </c>
      <c r="FX100" s="425"/>
      <c r="FY100" s="425"/>
      <c r="FZ100" s="981" t="s">
        <v>2216</v>
      </c>
      <c r="GA100" s="981"/>
      <c r="GB100" s="981"/>
      <c r="GC100" s="981"/>
      <c r="GD100" s="981"/>
    </row>
    <row r="101" spans="1:186" s="1229" customFormat="1" ht="15" hidden="1" customHeight="1">
      <c r="A101" s="1153"/>
      <c r="B101" s="813" t="b" cm="1">
        <f t="array" ref="B101">B100</f>
        <v>0</v>
      </c>
      <c r="C101" s="1118"/>
      <c r="D101" s="1087"/>
      <c r="E101" s="676">
        <v>15.8</v>
      </c>
      <c r="F101" s="779" t="str" cm="1">
        <f t="array" aca="1" ref="F101" ca="1">OFFSET(G101,-1,-1)</f>
        <v>1</v>
      </c>
      <c r="G101" s="425"/>
      <c r="H101" s="425"/>
      <c r="I101" s="425"/>
      <c r="J101" s="1092"/>
      <c r="K101" s="1108" t="str" cm="1">
        <f t="array" aca="1" ref="K101" ca="1">OFFSET(J101,-1,1)</f>
        <v>ТЭ.42.26322895.0003</v>
      </c>
      <c r="L101" s="1092"/>
      <c r="M101" s="1092"/>
      <c r="N101" s="1092"/>
      <c r="O101" s="1092"/>
      <c r="P101" s="1108"/>
      <c r="Q101" s="1108"/>
      <c r="R101" s="784"/>
      <c r="S101" s="425"/>
      <c r="T101" s="687" t="b" cm="1">
        <f t="array" aca="1" ref="T101" ca="1">T100</f>
        <v>0</v>
      </c>
      <c r="U101" s="1153"/>
      <c r="V101" s="1153"/>
      <c r="W101" s="1153"/>
      <c r="X101" s="1726"/>
      <c r="Y101" s="1153"/>
      <c r="Z101" s="1726"/>
      <c r="AA101" s="425"/>
      <c r="AB101" s="1140" t="s">
        <v>2217</v>
      </c>
      <c r="AC101" s="314"/>
      <c r="AD101" s="315"/>
      <c r="AE101" s="315"/>
      <c r="AF101" s="315"/>
      <c r="AG101" s="315"/>
      <c r="AH101" s="315"/>
      <c r="AI101" s="315"/>
      <c r="AJ101" s="315"/>
      <c r="AK101" s="315"/>
      <c r="AL101" s="315"/>
      <c r="AM101" s="315"/>
      <c r="AN101" s="315"/>
      <c r="AO101" s="315"/>
      <c r="AP101" s="315"/>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15"/>
      <c r="CW101" s="315"/>
      <c r="CX101" s="315"/>
      <c r="CY101" s="315"/>
      <c r="CZ101" s="315"/>
      <c r="DA101" s="315"/>
      <c r="DB101" s="315"/>
      <c r="DC101" s="315"/>
      <c r="DD101" s="315"/>
      <c r="DE101" s="315"/>
      <c r="DF101" s="315"/>
      <c r="DG101" s="315"/>
      <c r="DH101" s="315"/>
      <c r="DI101" s="315"/>
      <c r="DJ101" s="315"/>
      <c r="DK101" s="315"/>
      <c r="DL101" s="315"/>
      <c r="DM101" s="315"/>
      <c r="DN101" s="315"/>
      <c r="DO101" s="315"/>
      <c r="DP101" s="315"/>
      <c r="DQ101" s="315"/>
      <c r="DR101" s="315"/>
      <c r="DS101" s="315"/>
      <c r="DT101" s="315"/>
      <c r="DU101" s="315"/>
      <c r="DV101" s="315"/>
      <c r="DW101" s="315"/>
      <c r="DX101" s="315"/>
      <c r="DY101" s="315"/>
      <c r="DZ101" s="315"/>
      <c r="EA101" s="315"/>
      <c r="EB101" s="315"/>
      <c r="EC101" s="315"/>
      <c r="ED101" s="315"/>
      <c r="EE101" s="315"/>
      <c r="EF101" s="315"/>
      <c r="EG101" s="315"/>
      <c r="EH101" s="315"/>
      <c r="EI101" s="315"/>
      <c r="EJ101" s="315"/>
      <c r="EK101" s="315"/>
      <c r="EL101" s="315"/>
      <c r="EM101" s="315"/>
      <c r="EN101" s="315"/>
      <c r="EO101" s="315"/>
      <c r="EP101" s="315"/>
      <c r="EQ101" s="315"/>
      <c r="ER101" s="315"/>
      <c r="ES101" s="315"/>
      <c r="ET101" s="315"/>
      <c r="EU101" s="315"/>
      <c r="EV101" s="315"/>
      <c r="EW101" s="315"/>
      <c r="EX101" s="315"/>
      <c r="EY101" s="315"/>
      <c r="EZ101" s="315"/>
      <c r="FA101" s="315"/>
      <c r="FB101" s="315"/>
      <c r="FC101" s="315"/>
      <c r="FD101" s="315"/>
      <c r="FE101" s="315"/>
      <c r="FF101" s="315"/>
      <c r="FG101" s="315"/>
      <c r="FH101" s="315"/>
      <c r="FI101" s="315"/>
      <c r="FJ101" s="315"/>
      <c r="FK101" s="315"/>
      <c r="FL101" s="315"/>
      <c r="FM101" s="315"/>
      <c r="FN101" s="315"/>
      <c r="FO101" s="315"/>
      <c r="FP101" s="315"/>
      <c r="FQ101" s="315"/>
      <c r="FR101" s="315"/>
      <c r="FS101" s="315"/>
      <c r="FT101" s="315"/>
      <c r="FU101" s="315"/>
      <c r="FV101" s="315"/>
      <c r="FW101" s="316"/>
      <c r="FX101" s="425"/>
      <c r="FY101" s="425"/>
      <c r="FZ101" s="1015"/>
      <c r="GA101" s="981"/>
      <c r="GB101" s="981"/>
      <c r="GC101" s="981"/>
      <c r="GD101" s="981"/>
    </row>
    <row r="102" spans="1:186" s="1229" customFormat="1" ht="15" hidden="1" customHeight="1">
      <c r="A102" s="1153"/>
      <c r="B102" s="813" t="b" cm="1">
        <f t="array" ref="B102">B101</f>
        <v>0</v>
      </c>
      <c r="C102" s="1118" t="s">
        <v>2193</v>
      </c>
      <c r="D102" s="1087" t="s">
        <v>2194</v>
      </c>
      <c r="E102" s="676">
        <v>15.8</v>
      </c>
      <c r="F102" s="779" t="str" cm="1">
        <f t="array" aca="1" ref="F102" ca="1">OFFSET(G102,-1,-1)</f>
        <v>1</v>
      </c>
      <c r="G102" s="620" t="s">
        <v>1794</v>
      </c>
      <c r="H102" s="163" t="s">
        <v>2195</v>
      </c>
      <c r="I102" s="163" t="s">
        <v>2155</v>
      </c>
      <c r="J102" s="1108"/>
      <c r="K102" s="1108" t="str" cm="1">
        <f t="array" aca="1" ref="K102" ca="1">OFFSET(J102,-1,1)</f>
        <v>ТЭ.42.26322895.0003</v>
      </c>
      <c r="L102" s="1108"/>
      <c r="M102" s="1108" t="s">
        <v>1791</v>
      </c>
      <c r="N102" s="1108" t="s">
        <v>2151</v>
      </c>
      <c r="O102" s="1109" t="s">
        <v>2152</v>
      </c>
      <c r="P102" s="1108" t="s">
        <v>2196</v>
      </c>
      <c r="Q102" s="1108"/>
      <c r="R102" s="784"/>
      <c r="S102" s="425"/>
      <c r="T102" s="687" t="b" cm="1">
        <f t="array" aca="1" ref="T102" ca="1">T101</f>
        <v>0</v>
      </c>
      <c r="U102" s="1153"/>
      <c r="V102" s="1153"/>
      <c r="W102" s="1153"/>
      <c r="X102" s="1726"/>
      <c r="Y102" s="1153"/>
      <c r="Z102" s="1726"/>
      <c r="AA102" s="425"/>
      <c r="AB102" s="223" t="s">
        <v>2197</v>
      </c>
      <c r="AC102" s="123" t="s">
        <v>929</v>
      </c>
      <c r="AD102" s="22">
        <f ca="1">IF(method_reg="Метод экономически обоснованных расходов",SUMIFS('Калькуляция (4.6)'!AJ$25:AJ$229,'Калькуляция (4.6)'!$F$25:$F$229,$F102,'Калькуляция (4.6)'!$G$25:$G$229,$G102),IF(method_reg="Метод сравнения аналогов",SUMIFS(INDEX('Калькуляция (МСА)'!$AE$25:$BC$109,,MATCH(AD$8,'Калькуляция (МСА)'!$AE$8:$BC$8,0)),'Калькуляция (МСА)'!$F$25:$F$109,$F102,'Калькуляция (МСА)'!$G$25:$G$109,$G102),SUMIFS(INDEX('Калькуляция (5.9)'!$AJ$25:$BC$194,,MATCH(AD$8,'Калькуляция (5.9)'!$AJ$8:$BC$8,0)),'Калькуляция (5.9)'!$F$25:$F$194,$F102,'Калькуляция (5.9)'!$G$25:$G$194,$G102)))</f>
        <v>0</v>
      </c>
      <c r="AE102" s="22">
        <f ca="1">IF(method_reg="Метод экономически обоснованных расходов",SUMIFS('Калькуляция (4.6)'!AK$25:AK$229,'Калькуляция (4.6)'!$F$25:$F$229,$F102,'Калькуляция (4.6)'!$G$25:$G$229,$G102),IF(method_reg="Метод сравнения аналогов",SUMIFS(INDEX('Калькуляция (МСА)'!$AE$25:$BC$109,,MATCH(AE$8,'Калькуляция (МСА)'!$AE$8:$BC$8,0)),'Калькуляция (МСА)'!$F$25:$F$109,$F102,'Калькуляция (МСА)'!$G$25:$G$109,$G102),SUMIFS(INDEX('Калькуляция (5.9)'!$AJ$25:$BC$194,,MATCH(AE$8,'Калькуляция (5.9)'!$AJ$8:$BC$8,0)),'Калькуляция (5.9)'!$F$25:$F$194,$F102,'Калькуляция (5.9)'!$G$25:$G$194,$G102)))</f>
        <v>3946.95</v>
      </c>
      <c r="AF102" s="312">
        <f ca="1">IF(AD102=0,0,(AE102-AD102)/AD102*100)</f>
        <v>0</v>
      </c>
      <c r="AG102" s="313">
        <f ca="1">IF(method_reg="Метод сравнения аналогов",SUMIFS(INDEX('Калькуляция (МСА)'!$AE$25:$BC$109,,MATCH(AG$8,'Калькуляция (МСА)'!$AE$8:$BC$8,0)),'Калькуляция (МСА)'!$F$25:$F$109,$F102,'Калькуляция (МСА)'!$G$25:$G$109,$G102),SUMIFS(INDEX('Калькуляция (5.9)'!$AJ$25:$BC$194,,MATCH(AG$8,'Калькуляция (5.9)'!$AJ$8:$BC$8,0)),'Калькуляция (5.9)'!$F$25:$F$194,$F102,'Калькуляция (5.9)'!$G$25:$G$194,$G102))</f>
        <v>0</v>
      </c>
      <c r="AH102" s="313">
        <f ca="1">IF(method_reg="Метод сравнения аналогов",SUMIFS(INDEX('Калькуляция (МСА)'!$AE$25:$BC$109,,MATCH(AH$8,'Калькуляция (МСА)'!$AE$8:$BC$8,0)),'Калькуляция (МСА)'!$F$25:$F$109,$F102,'Калькуляция (МСА)'!$G$25:$G$109,$G102),SUMIFS(INDEX('Калькуляция (5.9)'!$AJ$25:$BC$194,,MATCH(AH$8,'Калькуляция (5.9)'!$AJ$8:$BC$8,0)),'Калькуляция (5.9)'!$F$25:$F$194,$F102,'Калькуляция (5.9)'!$G$25:$G$194,$G102))</f>
        <v>0</v>
      </c>
      <c r="AI102" s="312">
        <f ca="1">IF(AG102=0,0,(AH102-AG102)/AG102*100)</f>
        <v>0</v>
      </c>
      <c r="AJ102" s="313">
        <f ca="1">IF(method_reg="Метод сравнения аналогов",SUMIFS(INDEX('Калькуляция (МСА)'!$AE$25:$BC$109,,MATCH(AJ$8,'Калькуляция (МСА)'!$AE$8:$BC$8,0)),'Калькуляция (МСА)'!$F$25:$F$109,$F102,'Калькуляция (МСА)'!$G$25:$G$109,$G102),SUMIFS(INDEX('Калькуляция (5.9)'!$AJ$25:$BC$194,,MATCH(AJ$8,'Калькуляция (5.9)'!$AJ$8:$BC$8,0)),'Калькуляция (5.9)'!$F$25:$F$194,$F102,'Калькуляция (5.9)'!$G$25:$G$194,$G102))</f>
        <v>0</v>
      </c>
      <c r="AK102" s="313">
        <f ca="1">IF(method_reg="Метод сравнения аналогов",SUMIFS(INDEX('Калькуляция (МСА)'!$AE$25:$BC$109,,MATCH(AK$8,'Калькуляция (МСА)'!$AE$8:$BC$8,0)),'Калькуляция (МСА)'!$F$25:$F$109,$F102,'Калькуляция (МСА)'!$G$25:$G$109,$G102),SUMIFS(INDEX('Калькуляция (5.9)'!$AJ$25:$BC$194,,MATCH(AK$8,'Калькуляция (5.9)'!$AJ$8:$BC$8,0)),'Калькуляция (5.9)'!$F$25:$F$194,$F102,'Калькуляция (5.9)'!$G$25:$G$194,$G102))</f>
        <v>0</v>
      </c>
      <c r="AL102" s="312">
        <f ca="1">IF(AJ102=0,0,(AK102-AJ102)/AJ102*100)</f>
        <v>0</v>
      </c>
      <c r="AM102" s="313">
        <f ca="1">IF(method_reg="Метод сравнения аналогов",SUMIFS(INDEX('Калькуляция (МСА)'!$AE$25:$BC$109,,MATCH(AM$8,'Калькуляция (МСА)'!$AE$8:$BC$8,0)),'Калькуляция (МСА)'!$F$25:$F$109,$F102,'Калькуляция (МСА)'!$G$25:$G$109,$G102),SUMIFS(INDEX('Калькуляция (5.9)'!$AJ$25:$BC$194,,MATCH(AM$8,'Калькуляция (5.9)'!$AJ$8:$BC$8,0)),'Калькуляция (5.9)'!$F$25:$F$194,$F102,'Калькуляция (5.9)'!$G$25:$G$194,$G102))</f>
        <v>0</v>
      </c>
      <c r="AN102" s="313">
        <f ca="1">IF(method_reg="Метод сравнения аналогов",SUMIFS(INDEX('Калькуляция (МСА)'!$AE$25:$BC$109,,MATCH(AN$8,'Калькуляция (МСА)'!$AE$8:$BC$8,0)),'Калькуляция (МСА)'!$F$25:$F$109,$F102,'Калькуляция (МСА)'!$G$25:$G$109,$G102),SUMIFS(INDEX('Калькуляция (5.9)'!$AJ$25:$BC$194,,MATCH(AN$8,'Калькуляция (5.9)'!$AJ$8:$BC$8,0)),'Калькуляция (5.9)'!$F$25:$F$194,$F102,'Калькуляция (5.9)'!$G$25:$G$194,$G102))</f>
        <v>0</v>
      </c>
      <c r="AO102" s="312">
        <f ca="1">IF(AM102=0,0,(AN102-AM102)/AM102*100)</f>
        <v>0</v>
      </c>
      <c r="AP102" s="313">
        <f ca="1">IF(method_reg="Метод сравнения аналогов",SUMIFS(INDEX('Калькуляция (МСА)'!$AE$25:$BC$109,,MATCH(AP$8,'Калькуляция (МСА)'!$AE$8:$BC$8,0)),'Калькуляция (МСА)'!$F$25:$F$109,$F102,'Калькуляция (МСА)'!$G$25:$G$109,$G102),SUMIFS(INDEX('Калькуляция (5.9)'!$AJ$25:$BC$194,,MATCH(AP$8,'Калькуляция (5.9)'!$AJ$8:$BC$8,0)),'Калькуляция (5.9)'!$F$25:$F$194,$F102,'Калькуляция (5.9)'!$G$25:$G$194,$G102))</f>
        <v>0</v>
      </c>
      <c r="AQ102" s="313">
        <f ca="1">IF(method_reg="Метод сравнения аналогов",SUMIFS(INDEX('Калькуляция (МСА)'!$AE$25:$BC$109,,MATCH(AQ$8,'Калькуляция (МСА)'!$AE$8:$BC$8,0)),'Калькуляция (МСА)'!$F$25:$F$109,$F102,'Калькуляция (МСА)'!$G$25:$G$109,$G102),SUMIFS(INDEX('Калькуляция (5.9)'!$AJ$25:$BC$194,,MATCH(AQ$8,'Калькуляция (5.9)'!$AJ$8:$BC$8,0)),'Калькуляция (5.9)'!$F$25:$F$194,$F102,'Калькуляция (5.9)'!$G$25:$G$194,$G102))</f>
        <v>0</v>
      </c>
      <c r="AR102" s="312">
        <f ca="1">IF(AP102=0,0,(AQ102-AP102)/AP102*100)</f>
        <v>0</v>
      </c>
      <c r="AS102" s="22">
        <f ca="1">IF(method_reg="Метод сравнения аналогов",SUMIFS(INDEX('Калькуляция (МСА)'!$AE$25:$BC$109,,MATCH(AS$8,'Калькуляция (МСА)'!$AE$8:$BC$8,0)),'Калькуляция (МСА)'!$F$25:$F$109,$F102,'Калькуляция (МСА)'!$G$25:$G$109,$G102),SUMIFS(INDEX('Калькуляция (5.9)'!$AJ$25:$BC$194,,MATCH(AS$8,'Калькуляция (5.9)'!$AJ$8:$BC$8,0)),'Калькуляция (5.9)'!$F$25:$F$194,$F102,'Калькуляция (5.9)'!$G$25:$G$194,$G102))</f>
        <v>0</v>
      </c>
      <c r="AT102" s="22">
        <f ca="1">IF(method_reg="Метод сравнения аналогов",SUMIFS(INDEX('Калькуляция (МСА)'!$AE$25:$BC$109,,MATCH(AT$8,'Калькуляция (МСА)'!$AE$8:$BC$8,0)),'Калькуляция (МСА)'!$F$25:$F$109,$F102,'Калькуляция (МСА)'!$G$25:$G$109,$G102),SUMIFS(INDEX('Калькуляция (5.9)'!$AJ$25:$BC$194,,MATCH(AT$8,'Калькуляция (5.9)'!$AJ$8:$BC$8,0)),'Калькуляция (5.9)'!$F$25:$F$194,$F102,'Калькуляция (5.9)'!$G$25:$G$194,$G102))</f>
        <v>0</v>
      </c>
      <c r="AU102" s="312">
        <f ca="1">IF(AS102=0,0,(AT102-AS102)/AS102*100)</f>
        <v>0</v>
      </c>
      <c r="AV102" s="22">
        <f ca="1">IF(method_reg="Метод сравнения аналогов",SUMIFS(INDEX('Калькуляция (МСА)'!$AE$25:$BC$109,,MATCH(AV$8,'Калькуляция (МСА)'!$AE$8:$BC$8,0)),'Калькуляция (МСА)'!$F$25:$F$109,$F102,'Калькуляция (МСА)'!$G$25:$G$109,$G102),SUMIFS(INDEX('Калькуляция (5.9)'!$AJ$25:$BC$194,,MATCH(AV$8,'Калькуляция (5.9)'!$AJ$8:$BC$8,0)),'Калькуляция (5.9)'!$F$25:$F$194,$F102,'Калькуляция (5.9)'!$G$25:$G$194,$G102))</f>
        <v>0</v>
      </c>
      <c r="AW102" s="22">
        <f ca="1">IF(method_reg="Метод сравнения аналогов",SUMIFS(INDEX('Калькуляция (МСА)'!$AE$25:$BC$109,,MATCH(AW$8,'Калькуляция (МСА)'!$AE$8:$BC$8,0)),'Калькуляция (МСА)'!$F$25:$F$109,$F102,'Калькуляция (МСА)'!$G$25:$G$109,$G102),SUMIFS(INDEX('Калькуляция (5.9)'!$AJ$25:$BC$194,,MATCH(AW$8,'Калькуляция (5.9)'!$AJ$8:$BC$8,0)),'Калькуляция (5.9)'!$F$25:$F$194,$F102,'Калькуляция (5.9)'!$G$25:$G$194,$G102))</f>
        <v>0</v>
      </c>
      <c r="AX102" s="312">
        <f ca="1">IF(AV102=0,0,(AW102-AV102)/AV102*100)</f>
        <v>0</v>
      </c>
      <c r="AY102" s="22">
        <f ca="1">IF(method_reg="Метод сравнения аналогов",SUMIFS(INDEX('Калькуляция (МСА)'!$AE$25:$BC$109,,MATCH(AY$8,'Калькуляция (МСА)'!$AE$8:$BC$8,0)),'Калькуляция (МСА)'!$F$25:$F$109,$F102,'Калькуляция (МСА)'!$G$25:$G$109,$G102),SUMIFS(INDEX('Калькуляция (5.9)'!$AJ$25:$BC$194,,MATCH(AY$8,'Калькуляция (5.9)'!$AJ$8:$BC$8,0)),'Калькуляция (5.9)'!$F$25:$F$194,$F102,'Калькуляция (5.9)'!$G$25:$G$194,$G102))</f>
        <v>0</v>
      </c>
      <c r="AZ102" s="22">
        <f ca="1">IF(method_reg="Метод сравнения аналогов",SUMIFS(INDEX('Калькуляция (МСА)'!$AE$25:$BC$109,,MATCH(AZ$8,'Калькуляция (МСА)'!$AE$8:$BC$8,0)),'Калькуляция (МСА)'!$F$25:$F$109,$F102,'Калькуляция (МСА)'!$G$25:$G$109,$G102),SUMIFS(INDEX('Калькуляция (5.9)'!$AJ$25:$BC$194,,MATCH(AZ$8,'Калькуляция (5.9)'!$AJ$8:$BC$8,0)),'Калькуляция (5.9)'!$F$25:$F$194,$F102,'Калькуляция (5.9)'!$G$25:$G$194,$G102))</f>
        <v>0</v>
      </c>
      <c r="BA102" s="312">
        <f ca="1">IF(AY102=0,0,(AZ102-AY102)/AY102*100)</f>
        <v>0</v>
      </c>
      <c r="BB102" s="22">
        <f ca="1">IF(method_reg="Метод сравнения аналогов",SUMIFS(INDEX('Калькуляция (МСА)'!$AE$25:$BC$109,,MATCH(BB$8,'Калькуляция (МСА)'!$AE$8:$BC$8,0)),'Калькуляция (МСА)'!$F$25:$F$109,$F102,'Калькуляция (МСА)'!$G$25:$G$109,$G102),SUMIFS(INDEX('Калькуляция (5.9)'!$AJ$25:$BC$194,,MATCH(BB$8,'Калькуляция (5.9)'!$AJ$8:$BC$8,0)),'Калькуляция (5.9)'!$F$25:$F$194,$F102,'Калькуляция (5.9)'!$G$25:$G$194,$G102))</f>
        <v>0</v>
      </c>
      <c r="BC102" s="22">
        <f ca="1">IF(method_reg="Метод сравнения аналогов",SUMIFS(INDEX('Калькуляция (МСА)'!$AE$25:$BC$109,,MATCH(BC$8,'Калькуляция (МСА)'!$AE$8:$BC$8,0)),'Калькуляция (МСА)'!$F$25:$F$109,$F102,'Калькуляция (МСА)'!$G$25:$G$109,$G102),SUMIFS(INDEX('Калькуляция (5.9)'!$AJ$25:$BC$194,,MATCH(BC$8,'Калькуляция (5.9)'!$AJ$8:$BC$8,0)),'Калькуляция (5.9)'!$F$25:$F$194,$F102,'Калькуляция (5.9)'!$G$25:$G$194,$G102))</f>
        <v>0</v>
      </c>
      <c r="BD102" s="312">
        <f ca="1">IF(BB102=0,0,(BC102-BB102)/BB102*100)</f>
        <v>0</v>
      </c>
      <c r="BE102" s="22">
        <f ca="1">IF(method_reg="Метод сравнения аналогов",SUMIFS(INDEX('Калькуляция (МСА)'!$AE$25:$BC$109,,MATCH(BE$8,'Калькуляция (МСА)'!$AE$8:$BC$8,0)),'Калькуляция (МСА)'!$F$25:$F$109,$F102,'Калькуляция (МСА)'!$G$25:$G$109,$G102),SUMIFS(INDEX('Калькуляция (5.9)'!$AJ$25:$BC$194,,MATCH(BE$8,'Калькуляция (5.9)'!$AJ$8:$BC$8,0)),'Калькуляция (5.9)'!$F$25:$F$194,$F102,'Калькуляция (5.9)'!$G$25:$G$194,$G102))</f>
        <v>0</v>
      </c>
      <c r="BF102" s="22">
        <f ca="1">IF(method_reg="Метод сравнения аналогов",SUMIFS(INDEX('Калькуляция (МСА)'!$AE$25:$BC$109,,MATCH(BF$8,'Калькуляция (МСА)'!$AE$8:$BC$8,0)),'Калькуляция (МСА)'!$F$25:$F$109,$F102,'Калькуляция (МСА)'!$G$25:$G$109,$G102),SUMIFS(INDEX('Калькуляция (5.9)'!$AJ$25:$BC$194,,MATCH(BF$8,'Калькуляция (5.9)'!$AJ$8:$BC$8,0)),'Калькуляция (5.9)'!$F$25:$F$194,$F102,'Калькуляция (5.9)'!$G$25:$G$194,$G102))</f>
        <v>0</v>
      </c>
      <c r="BG102" s="312">
        <f ca="1">IF(BE102=0,0,(BF102-BE102)/BE102*100)</f>
        <v>0</v>
      </c>
      <c r="BH102" s="22">
        <f>IF(BH104=0,0,(BH103*BH104+BH105*BH106*6)/BH104)</f>
        <v>0</v>
      </c>
      <c r="BI102" s="22">
        <f>IF(BI104=0,0,(BI103*BI104+BI105*BI106*6)/BI104)</f>
        <v>0</v>
      </c>
      <c r="BJ102" s="312">
        <f>IF(BH102=0,0,(BI102-BH102)/BH102*100)</f>
        <v>0</v>
      </c>
      <c r="BK102" s="22">
        <f>IF(BK104=0,0,(BK103*BK104+BK105*BK106*6)/BK104)</f>
        <v>0</v>
      </c>
      <c r="BL102" s="22">
        <f>IF(BL104=0,0,(BL103*BL104+BL105*BL106*6)/BL104)</f>
        <v>0</v>
      </c>
      <c r="BM102" s="312">
        <f>IF(BK102=0,0,(BL102-BK102)/BK102*100)</f>
        <v>0</v>
      </c>
      <c r="BN102" s="22">
        <f>IF(BN104=0,0,(BN103*BN104+BN105*BN106*6)/BN104)</f>
        <v>0</v>
      </c>
      <c r="BO102" s="22">
        <f>IF(BO104=0,0,(BO103*BO104+BO105*BO106*6)/BO104)</f>
        <v>0</v>
      </c>
      <c r="BP102" s="312">
        <f>IF(BN102=0,0,(BO102-BN102)/BN102*100)</f>
        <v>0</v>
      </c>
      <c r="BQ102" s="22">
        <f>IF(BQ104=0,0,(BQ103*BQ104+BQ105*BQ106*6)/BQ104)</f>
        <v>0</v>
      </c>
      <c r="BR102" s="22">
        <f>IF(BR104=0,0,(BR103*BR104+BR105*BR106*6)/BR104)</f>
        <v>0</v>
      </c>
      <c r="BS102" s="312">
        <f>IF(BQ102=0,0,(BR102-BQ102)/BQ102*100)</f>
        <v>0</v>
      </c>
      <c r="BT102" s="22">
        <f>IF(BT104=0,0,(BT103*BT104+BT105*BT106*6)/BT104)</f>
        <v>0</v>
      </c>
      <c r="BU102" s="22">
        <f>IF(BU104=0,0,(BU103*BU104+BU105*BU106*6)/BU104)</f>
        <v>0</v>
      </c>
      <c r="BV102" s="312">
        <f>IF(BT102=0,0,(BU102-BT102)/BT102*100)</f>
        <v>0</v>
      </c>
      <c r="BW102" s="22">
        <f>IF(BW104=0,0,(BW103*BW104+BW105*BW106*6)/BW104)</f>
        <v>0</v>
      </c>
      <c r="BX102" s="22">
        <f>IF(BX104=0,0,(BX103*BX104+BX105*BX106*6)/BX104)</f>
        <v>0</v>
      </c>
      <c r="BY102" s="312">
        <f>IF(BW102=0,0,(BX102-BW102)/BW102*100)</f>
        <v>0</v>
      </c>
      <c r="BZ102" s="22">
        <f>IF(BZ104=0,0,(BZ103*BZ104+BZ105*BZ106*6)/BZ104)</f>
        <v>0</v>
      </c>
      <c r="CA102" s="22">
        <f>IF(CA104=0,0,(CA103*CA104+CA105*CA106*6)/CA104)</f>
        <v>0</v>
      </c>
      <c r="CB102" s="312">
        <f>IF(BZ102=0,0,(CA102-BZ102)/BZ102*100)</f>
        <v>0</v>
      </c>
      <c r="CC102" s="22">
        <f>IF(CC104=0,0,(CC103*CC104+CC105*CC106*6)/CC104)</f>
        <v>0</v>
      </c>
      <c r="CD102" s="22">
        <f>IF(CD104=0,0,(CD103*CD104+CD105*CD106*6)/CD104)</f>
        <v>0</v>
      </c>
      <c r="CE102" s="312">
        <f>IF(CC102=0,0,(CD102-CC102)/CC102*100)</f>
        <v>0</v>
      </c>
      <c r="CF102" s="22">
        <f>IF(CF104=0,0,(CF103*CF104+CF105*CF106*6)/CF104)</f>
        <v>0</v>
      </c>
      <c r="CG102" s="22">
        <f>IF(CG104=0,0,(CG103*CG104+CG105*CG106*6)/CG104)</f>
        <v>0</v>
      </c>
      <c r="CH102" s="312">
        <f>IF(CF102=0,0,(CG102-CF102)/CF102*100)</f>
        <v>0</v>
      </c>
      <c r="CI102" s="22">
        <f>IF(CI104=0,0,(CI103*CI104+CI105*CI106*6)/CI104)</f>
        <v>0</v>
      </c>
      <c r="CJ102" s="22">
        <f>IF(CJ104=0,0,(CJ103*CJ104+CJ105*CJ106*6)/CJ104)</f>
        <v>0</v>
      </c>
      <c r="CK102" s="312">
        <f>IF(CI102=0,0,(CJ102-CI102)/CI102*100)</f>
        <v>0</v>
      </c>
      <c r="CL102" s="22">
        <f>IF(CL104=0,0,(CL103*CL104+CL105*CL106*6)/CL104)</f>
        <v>0</v>
      </c>
      <c r="CM102" s="22">
        <f>IF(CM104=0,0,(CM103*CM104+CM105*CM106*6)/CM104)</f>
        <v>0</v>
      </c>
      <c r="CN102" s="312">
        <f>IF(CL102=0,0,(CM102-CL102)/CL102*100)</f>
        <v>0</v>
      </c>
      <c r="CO102" s="22">
        <f>IF(CO104=0,0,(CO103*CO104+CO105*CO106*6)/CO104)</f>
        <v>0</v>
      </c>
      <c r="CP102" s="22">
        <f>IF(CP104=0,0,(CP103*CP104+CP105*CP106*6)/CP104)</f>
        <v>0</v>
      </c>
      <c r="CQ102" s="312">
        <f>IF(CO102=0,0,(CP102-CO102)/CO102*100)</f>
        <v>0</v>
      </c>
      <c r="CR102" s="22">
        <f>IF(CR104=0,0,(CR103*CR104+CR105*CR106*6)/CR104)</f>
        <v>0</v>
      </c>
      <c r="CS102" s="22">
        <f>IF(CS104=0,0,(CS103*CS104+CS105*CS106*6)/CS104)</f>
        <v>0</v>
      </c>
      <c r="CT102" s="312">
        <f>IF(CR102=0,0,(CS102-CR102)/CR102*100)</f>
        <v>0</v>
      </c>
      <c r="CU102" s="22">
        <f>IF(CU104=0,0,(CU103*CU104+CU105*CU106*6)/CU104)</f>
        <v>0</v>
      </c>
      <c r="CV102" s="22">
        <f>IF(CV104=0,0,(CV103*CV104+CV105*CV106*6)/CV104)</f>
        <v>0</v>
      </c>
      <c r="CW102" s="312">
        <f>IF(CU102=0,0,(CV102-CU102)/CU102*100)</f>
        <v>0</v>
      </c>
      <c r="CX102" s="22">
        <f>IF(CX104=0,0,(CX103*CX104+CX105*CX106*6)/CX104)</f>
        <v>0</v>
      </c>
      <c r="CY102" s="22">
        <f>IF(CY104=0,0,(CY103*CY104+CY105*CY106*6)/CY104)</f>
        <v>0</v>
      </c>
      <c r="CZ102" s="312">
        <f>IF(CX102=0,0,(CY102-CX102)/CX102*100)</f>
        <v>0</v>
      </c>
      <c r="DA102" s="22">
        <f>IF(DA104=0,0,(DA103*DA104+DA105*DA106*6)/DA104)</f>
        <v>0</v>
      </c>
      <c r="DB102" s="22">
        <f>IF(DB104=0,0,(DB103*DB104+DB105*DB106*6)/DB104)</f>
        <v>0</v>
      </c>
      <c r="DC102" s="312">
        <f>IF(DA102=0,0,(DB102-DA102)/DA102*100)</f>
        <v>0</v>
      </c>
      <c r="DD102" s="22">
        <f>IF(DD104=0,0,(DD103*DD104+DD105*DD106*6)/DD104)</f>
        <v>0</v>
      </c>
      <c r="DE102" s="22">
        <f>IF(DE104=0,0,(DE103*DE104+DE105*DE106*6)/DE104)</f>
        <v>0</v>
      </c>
      <c r="DF102" s="312">
        <f>IF(DD102=0,0,(DE102-DD102)/DD102*100)</f>
        <v>0</v>
      </c>
      <c r="DG102" s="22">
        <f>IF(DG104=0,0,(DG103*DG104+DG105*DG106*6)/DG104)</f>
        <v>0</v>
      </c>
      <c r="DH102" s="22">
        <f>IF(DH104=0,0,(DH103*DH104+DH105*DH106*6)/DH104)</f>
        <v>0</v>
      </c>
      <c r="DI102" s="312">
        <f>IF(DG102=0,0,(DH102-DG102)/DG102*100)</f>
        <v>0</v>
      </c>
      <c r="DJ102" s="22">
        <f>IF(DJ104=0,0,(DJ103*DJ104+DJ105*DJ106*6)/DJ104)</f>
        <v>0</v>
      </c>
      <c r="DK102" s="22">
        <f>IF(DK104=0,0,(DK103*DK104+DK105*DK106*6)/DK104)</f>
        <v>0</v>
      </c>
      <c r="DL102" s="312">
        <f>IF(DJ102=0,0,(DK102-DJ102)/DJ102*100)</f>
        <v>0</v>
      </c>
      <c r="DM102" s="22">
        <f>IF(DM104=0,0,(DM103*DM104+DM105*DM106*6)/DM104)</f>
        <v>0</v>
      </c>
      <c r="DN102" s="22">
        <f>IF(DN104=0,0,(DN103*DN104+DN105*DN106*6)/DN104)</f>
        <v>0</v>
      </c>
      <c r="DO102" s="312">
        <f>IF(DM102=0,0,(DN102-DM102)/DM102*100)</f>
        <v>0</v>
      </c>
      <c r="DP102" s="22">
        <f>IF(DP104=0,0,(DP103*DP104+DP105*DP106*6)/DP104)</f>
        <v>0</v>
      </c>
      <c r="DQ102" s="22">
        <f>IF(DQ104=0,0,(DQ103*DQ104+DQ105*DQ106*6)/DQ104)</f>
        <v>0</v>
      </c>
      <c r="DR102" s="312">
        <f>IF(DP102=0,0,(DQ102-DP102)/DP102*100)</f>
        <v>0</v>
      </c>
      <c r="DS102" s="22">
        <f>IF(DS104=0,0,(DS103*DS104+DS105*DS106*6)/DS104)</f>
        <v>0</v>
      </c>
      <c r="DT102" s="22">
        <f>IF(DT104=0,0,(DT103*DT104+DT105*DT106*6)/DT104)</f>
        <v>0</v>
      </c>
      <c r="DU102" s="312">
        <f>IF(DS102=0,0,(DT102-DS102)/DS102*100)</f>
        <v>0</v>
      </c>
      <c r="DV102" s="22">
        <f>IF(DV104=0,0,(DV103*DV104+DV105*DV106*6)/DV104)</f>
        <v>0</v>
      </c>
      <c r="DW102" s="22">
        <f>IF(DW104=0,0,(DW103*DW104+DW105*DW106*6)/DW104)</f>
        <v>0</v>
      </c>
      <c r="DX102" s="312">
        <f>IF(DV102=0,0,(DW102-DV102)/DV102*100)</f>
        <v>0</v>
      </c>
      <c r="DY102" s="22">
        <f>IF(DY104=0,0,(DY103*DY104+DY105*DY106*6)/DY104)</f>
        <v>0</v>
      </c>
      <c r="DZ102" s="22">
        <f>IF(DZ104=0,0,(DZ103*DZ104+DZ105*DZ106*6)/DZ104)</f>
        <v>0</v>
      </c>
      <c r="EA102" s="312">
        <f>IF(DY102=0,0,(DZ102-DY102)/DY102*100)</f>
        <v>0</v>
      </c>
      <c r="EB102" s="22">
        <f>IF(EB104=0,0,(EB103*EB104+EB105*EB106*6)/EB104)</f>
        <v>0</v>
      </c>
      <c r="EC102" s="22">
        <f>IF(EC104=0,0,(EC103*EC104+EC105*EC106*6)/EC104)</f>
        <v>0</v>
      </c>
      <c r="ED102" s="312">
        <f>IF(EB102=0,0,(EC102-EB102)/EB102*100)</f>
        <v>0</v>
      </c>
      <c r="EE102" s="22">
        <f>IF(EE104=0,0,(EE103*EE104+EE105*EE106*6)/EE104)</f>
        <v>0</v>
      </c>
      <c r="EF102" s="22">
        <f>IF(EF104=0,0,(EF103*EF104+EF105*EF106*6)/EF104)</f>
        <v>0</v>
      </c>
      <c r="EG102" s="312">
        <f>IF(EE102=0,0,(EF102-EE102)/EE102*100)</f>
        <v>0</v>
      </c>
      <c r="EH102" s="22">
        <f>IF(EH104=0,0,(EH103*EH104+EH105*EH106*6)/EH104)</f>
        <v>0</v>
      </c>
      <c r="EI102" s="22">
        <f>IF(EI104=0,0,(EI103*EI104+EI105*EI106*6)/EI104)</f>
        <v>0</v>
      </c>
      <c r="EJ102" s="312">
        <f>IF(EH102=0,0,(EI102-EH102)/EH102*100)</f>
        <v>0</v>
      </c>
      <c r="EK102" s="22">
        <f>IF(EK104=0,0,(EK103*EK104+EK105*EK106*6)/EK104)</f>
        <v>0</v>
      </c>
      <c r="EL102" s="22">
        <f>IF(EL104=0,0,(EL103*EL104+EL105*EL106*6)/EL104)</f>
        <v>0</v>
      </c>
      <c r="EM102" s="312">
        <f>IF(EK102=0,0,(EL102-EK102)/EK102*100)</f>
        <v>0</v>
      </c>
      <c r="EN102" s="22">
        <f>IF(EN104=0,0,(EN103*EN104+EN105*EN106*6)/EN104)</f>
        <v>0</v>
      </c>
      <c r="EO102" s="22">
        <f>IF(EO104=0,0,(EO103*EO104+EO105*EO106*6)/EO104)</f>
        <v>0</v>
      </c>
      <c r="EP102" s="312">
        <f>IF(EN102=0,0,(EO102-EN102)/EN102*100)</f>
        <v>0</v>
      </c>
      <c r="EQ102" s="22">
        <f>IF(EQ104=0,0,(EQ103*EQ104+EQ105*EQ106*6)/EQ104)</f>
        <v>0</v>
      </c>
      <c r="ER102" s="22">
        <f>IF(ER104=0,0,(ER103*ER104+ER105*ER106*6)/ER104)</f>
        <v>0</v>
      </c>
      <c r="ES102" s="312">
        <f>IF(EQ102=0,0,(ER102-EQ102)/EQ102*100)</f>
        <v>0</v>
      </c>
      <c r="ET102" s="22">
        <f>IF(ET104=0,0,(ET103*ET104+ET105*ET106*6)/ET104)</f>
        <v>0</v>
      </c>
      <c r="EU102" s="22">
        <f>IF(EU104=0,0,(EU103*EU104+EU105*EU106*6)/EU104)</f>
        <v>0</v>
      </c>
      <c r="EV102" s="312">
        <f>IF(ET102=0,0,(EU102-ET102)/ET102*100)</f>
        <v>0</v>
      </c>
      <c r="EW102" s="22">
        <f>IF(EW104=0,0,(EW103*EW104+EW105*EW106*6)/EW104)</f>
        <v>0</v>
      </c>
      <c r="EX102" s="22">
        <f>IF(EX104=0,0,(EX103*EX104+EX105*EX106*6)/EX104)</f>
        <v>0</v>
      </c>
      <c r="EY102" s="312">
        <f>IF(EW102=0,0,(EX102-EW102)/EW102*100)</f>
        <v>0</v>
      </c>
      <c r="EZ102" s="22">
        <f>IF(EZ104=0,0,(EZ103*EZ104+EZ105*EZ106*6)/EZ104)</f>
        <v>0</v>
      </c>
      <c r="FA102" s="22">
        <f>IF(FA104=0,0,(FA103*FA104+FA105*FA106*6)/FA104)</f>
        <v>0</v>
      </c>
      <c r="FB102" s="312">
        <f>IF(EZ102=0,0,(FA102-EZ102)/EZ102*100)</f>
        <v>0</v>
      </c>
      <c r="FC102" s="22">
        <f>IF(FC104=0,0,(FC103*FC104+FC105*FC106*6)/FC104)</f>
        <v>0</v>
      </c>
      <c r="FD102" s="22">
        <f>IF(FD104=0,0,(FD103*FD104+FD105*FD106*6)/FD104)</f>
        <v>0</v>
      </c>
      <c r="FE102" s="312">
        <f>IF(FC102=0,0,(FD102-FC102)/FC102*100)</f>
        <v>0</v>
      </c>
      <c r="FF102" s="22">
        <f>IF(FF104=0,0,(FF103*FF104+FF105*FF106*6)/FF104)</f>
        <v>0</v>
      </c>
      <c r="FG102" s="22">
        <f>IF(FG104=0,0,(FG103*FG104+FG105*FG106*6)/FG104)</f>
        <v>0</v>
      </c>
      <c r="FH102" s="312">
        <f>IF(FF102=0,0,(FG102-FF102)/FF102*100)</f>
        <v>0</v>
      </c>
      <c r="FI102" s="22">
        <f>IF(FI104=0,0,(FI103*FI104+FI105*FI106*6)/FI104)</f>
        <v>0</v>
      </c>
      <c r="FJ102" s="22">
        <f>IF(FJ104=0,0,(FJ103*FJ104+FJ105*FJ106*6)/FJ104)</f>
        <v>0</v>
      </c>
      <c r="FK102" s="312">
        <f>IF(FI102=0,0,(FJ102-FI102)/FI102*100)</f>
        <v>0</v>
      </c>
      <c r="FL102" s="22">
        <f>IF(FL104=0,0,(FL103*FL104+FL105*FL106*6)/FL104)</f>
        <v>0</v>
      </c>
      <c r="FM102" s="22">
        <f>IF(FM104=0,0,(FM103*FM104+FM105*FM106*6)/FM104)</f>
        <v>0</v>
      </c>
      <c r="FN102" s="312">
        <f>IF(FL102=0,0,(FM102-FL102)/FL102*100)</f>
        <v>0</v>
      </c>
      <c r="FO102" s="22">
        <f>IF(FO104=0,0,(FO103*FO104+FO105*FO106*6)/FO104)</f>
        <v>0</v>
      </c>
      <c r="FP102" s="22">
        <f>IF(FP104=0,0,(FP103*FP104+FP105*FP106*6)/FP104)</f>
        <v>0</v>
      </c>
      <c r="FQ102" s="312">
        <f>IF(FO102=0,0,(FP102-FO102)/FO102*100)</f>
        <v>0</v>
      </c>
      <c r="FR102" s="22">
        <f>IF(FR104=0,0,(FR103*FR104+FR105*FR106*6)/FR104)</f>
        <v>0</v>
      </c>
      <c r="FS102" s="22">
        <f>IF(FS104=0,0,(FS103*FS104+FS105*FS106*6)/FS104)</f>
        <v>0</v>
      </c>
      <c r="FT102" s="312">
        <f>IF(FR102=0,0,(FS102-FR102)/FR102*100)</f>
        <v>0</v>
      </c>
      <c r="FU102" s="22">
        <f>IF(FU104=0,0,(FU103*FU104+FU105*FU106*6)/FU104)</f>
        <v>0</v>
      </c>
      <c r="FV102" s="22">
        <f>IF(FV104=0,0,(FV103*FV104+FV105*FV106*6)/FV104)</f>
        <v>0</v>
      </c>
      <c r="FW102" s="312">
        <f>IF(FU102=0,0,(FV102-FU102)/FU102*100)</f>
        <v>0</v>
      </c>
      <c r="FX102" s="425"/>
      <c r="FY102" s="425"/>
      <c r="FZ102" s="981" t="s">
        <v>2218</v>
      </c>
      <c r="GA102" s="981"/>
      <c r="GB102" s="981"/>
      <c r="GC102" s="981"/>
      <c r="GD102" s="981"/>
    </row>
    <row r="103" spans="1:186" s="1229" customFormat="1" ht="15" hidden="1" customHeight="1">
      <c r="A103" s="1153"/>
      <c r="B103" s="813" t="b" cm="1">
        <f t="array" ref="B103">B102</f>
        <v>0</v>
      </c>
      <c r="C103" s="1118" t="s">
        <v>2199</v>
      </c>
      <c r="D103" s="1087" t="s">
        <v>2200</v>
      </c>
      <c r="E103" s="676">
        <v>15.8</v>
      </c>
      <c r="F103" s="779" t="str" cm="1">
        <f t="array" aca="1" ref="F103" ca="1">OFFSET(G103,-1,-1)</f>
        <v>1</v>
      </c>
      <c r="G103" s="620" t="s">
        <v>1823</v>
      </c>
      <c r="H103" s="163" t="s">
        <v>2201</v>
      </c>
      <c r="I103" s="163" t="s">
        <v>2155</v>
      </c>
      <c r="J103" s="1108"/>
      <c r="K103" s="1108" t="str" cm="1">
        <f t="array" aca="1" ref="K103" ca="1">OFFSET(J103,-1,1)</f>
        <v>ТЭ.42.26322895.0003</v>
      </c>
      <c r="L103" s="1108"/>
      <c r="M103" s="1108" t="s">
        <v>1791</v>
      </c>
      <c r="N103" s="1108" t="s">
        <v>2151</v>
      </c>
      <c r="O103" s="1109" t="s">
        <v>2152</v>
      </c>
      <c r="P103" s="1108" t="s">
        <v>2202</v>
      </c>
      <c r="Q103" s="1108"/>
      <c r="R103" s="784"/>
      <c r="S103" s="425"/>
      <c r="T103" s="687" t="b" cm="1">
        <f t="array" aca="1" ref="T103" ca="1">T102</f>
        <v>0</v>
      </c>
      <c r="U103" s="1153"/>
      <c r="V103" s="1153"/>
      <c r="W103" s="1153"/>
      <c r="X103" s="1726"/>
      <c r="Y103" s="1153"/>
      <c r="Z103" s="1726"/>
      <c r="AA103" s="425"/>
      <c r="AB103" s="223" t="s">
        <v>2203</v>
      </c>
      <c r="AC103" s="123" t="s">
        <v>929</v>
      </c>
      <c r="AD103" s="22">
        <f ca="1">IF(method_reg="Метод экономически обоснованных расходов",SUMIFS('Калькуляция (4.6)'!AJ$25:AJ$229,'Калькуляция (4.6)'!$F$25:$F$229,$F103,'Калькуляция (4.6)'!$G$25:$G$229,$G103),IF(method_reg="Метод сравнения аналогов",SUMIFS(INDEX('Калькуляция (МСА)'!$AE$25:$BC$109,,MATCH(AD$8,'Калькуляция (МСА)'!$AE$8:$BC$8,0)),'Калькуляция (МСА)'!$F$25:$F$109,$F103,'Калькуляция (МСА)'!$G$25:$G$109,$G103),SUMIFS(INDEX('Калькуляция (5.9)'!$AJ$25:$BC$194,,MATCH(AD$8,'Калькуляция (5.9)'!$AJ$8:$BC$8,0)),'Калькуляция (5.9)'!$F$25:$F$194,$F103,'Калькуляция (5.9)'!$G$25:$G$194,$G103)))</f>
        <v>0</v>
      </c>
      <c r="AE103" s="22">
        <f ca="1">IF(method_reg="Метод экономически обоснованных расходов",SUMIFS('Калькуляция (4.6)'!AK$25:AK$229,'Калькуляция (4.6)'!$F$25:$F$229,$F103,'Калькуляция (4.6)'!$G$25:$G$229,$G103),IF(method_reg="Метод сравнения аналогов",SUMIFS(INDEX('Калькуляция (МСА)'!$AE$25:$BC$109,,MATCH(AE$8,'Калькуляция (МСА)'!$AE$8:$BC$8,0)),'Калькуляция (МСА)'!$F$25:$F$109,$F103,'Калькуляция (МСА)'!$G$25:$G$109,$G103),SUMIFS(INDEX('Калькуляция (5.9)'!$AJ$25:$BC$194,,MATCH(AE$8,'Калькуляция (5.9)'!$AJ$8:$BC$8,0)),'Калькуляция (5.9)'!$F$25:$F$194,$F103,'Калькуляция (5.9)'!$G$25:$G$194,$G103)))</f>
        <v>1086.4979200524476</v>
      </c>
      <c r="AF103" s="312">
        <f ca="1">IF(AD103=0,0,(AE103-AD103)/AD103*100)</f>
        <v>0</v>
      </c>
      <c r="AG103" s="313">
        <f ca="1">IF(method_reg="Метод сравнения аналогов",SUMIFS(INDEX('Калькуляция (МСА)'!$AE$25:$BC$109,,MATCH(AG$8,'Калькуляция (МСА)'!$AE$8:$BC$8,0)),'Калькуляция (МСА)'!$F$25:$F$109,$F103,'Калькуляция (МСА)'!$G$25:$G$109,$G103),SUMIFS(INDEX('Калькуляция (5.9)'!$AJ$25:$BC$194,,MATCH(AG$8,'Калькуляция (5.9)'!$AJ$8:$BC$8,0)),'Калькуляция (5.9)'!$F$25:$F$194,$F103,'Калькуляция (5.9)'!$G$25:$G$194,$G103))</f>
        <v>0</v>
      </c>
      <c r="AH103" s="313">
        <f ca="1">IF(method_reg="Метод сравнения аналогов",SUMIFS(INDEX('Калькуляция (МСА)'!$AE$25:$BC$109,,MATCH(AH$8,'Калькуляция (МСА)'!$AE$8:$BC$8,0)),'Калькуляция (МСА)'!$F$25:$F$109,$F103,'Калькуляция (МСА)'!$G$25:$G$109,$G103),SUMIFS(INDEX('Калькуляция (5.9)'!$AJ$25:$BC$194,,MATCH(AH$8,'Калькуляция (5.9)'!$AJ$8:$BC$8,0)),'Калькуляция (5.9)'!$F$25:$F$194,$F103,'Калькуляция (5.9)'!$G$25:$G$194,$G103))</f>
        <v>0</v>
      </c>
      <c r="AI103" s="312">
        <f ca="1">IF(AG103=0,0,(AH103-AG103)/AG103*100)</f>
        <v>0</v>
      </c>
      <c r="AJ103" s="313">
        <f ca="1">IF(method_reg="Метод сравнения аналогов",SUMIFS(INDEX('Калькуляция (МСА)'!$AE$25:$BC$109,,MATCH(AJ$8,'Калькуляция (МСА)'!$AE$8:$BC$8,0)),'Калькуляция (МСА)'!$F$25:$F$109,$F103,'Калькуляция (МСА)'!$G$25:$G$109,$G103),SUMIFS(INDEX('Калькуляция (5.9)'!$AJ$25:$BC$194,,MATCH(AJ$8,'Калькуляция (5.9)'!$AJ$8:$BC$8,0)),'Калькуляция (5.9)'!$F$25:$F$194,$F103,'Калькуляция (5.9)'!$G$25:$G$194,$G103))</f>
        <v>0</v>
      </c>
      <c r="AK103" s="313">
        <f ca="1">IF(method_reg="Метод сравнения аналогов",SUMIFS(INDEX('Калькуляция (МСА)'!$AE$25:$BC$109,,MATCH(AK$8,'Калькуляция (МСА)'!$AE$8:$BC$8,0)),'Калькуляция (МСА)'!$F$25:$F$109,$F103,'Калькуляция (МСА)'!$G$25:$G$109,$G103),SUMIFS(INDEX('Калькуляция (5.9)'!$AJ$25:$BC$194,,MATCH(AK$8,'Калькуляция (5.9)'!$AJ$8:$BC$8,0)),'Калькуляция (5.9)'!$F$25:$F$194,$F103,'Калькуляция (5.9)'!$G$25:$G$194,$G103))</f>
        <v>0</v>
      </c>
      <c r="AL103" s="312">
        <f ca="1">IF(AJ103=0,0,(AK103-AJ103)/AJ103*100)</f>
        <v>0</v>
      </c>
      <c r="AM103" s="313">
        <f ca="1">IF(method_reg="Метод сравнения аналогов",SUMIFS(INDEX('Калькуляция (МСА)'!$AE$25:$BC$109,,MATCH(AM$8,'Калькуляция (МСА)'!$AE$8:$BC$8,0)),'Калькуляция (МСА)'!$F$25:$F$109,$F103,'Калькуляция (МСА)'!$G$25:$G$109,$G103),SUMIFS(INDEX('Калькуляция (5.9)'!$AJ$25:$BC$194,,MATCH(AM$8,'Калькуляция (5.9)'!$AJ$8:$BC$8,0)),'Калькуляция (5.9)'!$F$25:$F$194,$F103,'Калькуляция (5.9)'!$G$25:$G$194,$G103))</f>
        <v>0</v>
      </c>
      <c r="AN103" s="313">
        <f ca="1">IF(method_reg="Метод сравнения аналогов",SUMIFS(INDEX('Калькуляция (МСА)'!$AE$25:$BC$109,,MATCH(AN$8,'Калькуляция (МСА)'!$AE$8:$BC$8,0)),'Калькуляция (МСА)'!$F$25:$F$109,$F103,'Калькуляция (МСА)'!$G$25:$G$109,$G103),SUMIFS(INDEX('Калькуляция (5.9)'!$AJ$25:$BC$194,,MATCH(AN$8,'Калькуляция (5.9)'!$AJ$8:$BC$8,0)),'Калькуляция (5.9)'!$F$25:$F$194,$F103,'Калькуляция (5.9)'!$G$25:$G$194,$G103))</f>
        <v>0</v>
      </c>
      <c r="AO103" s="312">
        <f ca="1">IF(AM103=0,0,(AN103-AM103)/AM103*100)</f>
        <v>0</v>
      </c>
      <c r="AP103" s="313">
        <f ca="1">IF(method_reg="Метод сравнения аналогов",SUMIFS(INDEX('Калькуляция (МСА)'!$AE$25:$BC$109,,MATCH(AP$8,'Калькуляция (МСА)'!$AE$8:$BC$8,0)),'Калькуляция (МСА)'!$F$25:$F$109,$F103,'Калькуляция (МСА)'!$G$25:$G$109,$G103),SUMIFS(INDEX('Калькуляция (5.9)'!$AJ$25:$BC$194,,MATCH(AP$8,'Калькуляция (5.9)'!$AJ$8:$BC$8,0)),'Калькуляция (5.9)'!$F$25:$F$194,$F103,'Калькуляция (5.9)'!$G$25:$G$194,$G103))</f>
        <v>0</v>
      </c>
      <c r="AQ103" s="313">
        <f ca="1">IF(method_reg="Метод сравнения аналогов",SUMIFS(INDEX('Калькуляция (МСА)'!$AE$25:$BC$109,,MATCH(AQ$8,'Калькуляция (МСА)'!$AE$8:$BC$8,0)),'Калькуляция (МСА)'!$F$25:$F$109,$F103,'Калькуляция (МСА)'!$G$25:$G$109,$G103),SUMIFS(INDEX('Калькуляция (5.9)'!$AJ$25:$BC$194,,MATCH(AQ$8,'Калькуляция (5.9)'!$AJ$8:$BC$8,0)),'Калькуляция (5.9)'!$F$25:$F$194,$F103,'Калькуляция (5.9)'!$G$25:$G$194,$G103))</f>
        <v>0</v>
      </c>
      <c r="AR103" s="312">
        <f ca="1">IF(AP103=0,0,(AQ103-AP103)/AP103*100)</f>
        <v>0</v>
      </c>
      <c r="AS103" s="22">
        <f ca="1">IF(method_reg="Метод сравнения аналогов",SUMIFS(INDEX('Калькуляция (МСА)'!$AE$25:$BC$109,,MATCH(AS$8,'Калькуляция (МСА)'!$AE$8:$BC$8,0)),'Калькуляция (МСА)'!$F$25:$F$109,$F103,'Калькуляция (МСА)'!$G$25:$G$109,$G103),SUMIFS(INDEX('Калькуляция (5.9)'!$AJ$25:$BC$194,,MATCH(AS$8,'Калькуляция (5.9)'!$AJ$8:$BC$8,0)),'Калькуляция (5.9)'!$F$25:$F$194,$F103,'Калькуляция (5.9)'!$G$25:$G$194,$G103))</f>
        <v>0</v>
      </c>
      <c r="AT103" s="22">
        <f ca="1">IF(method_reg="Метод сравнения аналогов",SUMIFS(INDEX('Калькуляция (МСА)'!$AE$25:$BC$109,,MATCH(AT$8,'Калькуляция (МСА)'!$AE$8:$BC$8,0)),'Калькуляция (МСА)'!$F$25:$F$109,$F103,'Калькуляция (МСА)'!$G$25:$G$109,$G103),SUMIFS(INDEX('Калькуляция (5.9)'!$AJ$25:$BC$194,,MATCH(AT$8,'Калькуляция (5.9)'!$AJ$8:$BC$8,0)),'Калькуляция (5.9)'!$F$25:$F$194,$F103,'Калькуляция (5.9)'!$G$25:$G$194,$G103))</f>
        <v>0</v>
      </c>
      <c r="AU103" s="312">
        <f ca="1">IF(AS103=0,0,(AT103-AS103)/AS103*100)</f>
        <v>0</v>
      </c>
      <c r="AV103" s="22">
        <f ca="1">IF(method_reg="Метод сравнения аналогов",SUMIFS(INDEX('Калькуляция (МСА)'!$AE$25:$BC$109,,MATCH(AV$8,'Калькуляция (МСА)'!$AE$8:$BC$8,0)),'Калькуляция (МСА)'!$F$25:$F$109,$F103,'Калькуляция (МСА)'!$G$25:$G$109,$G103),SUMIFS(INDEX('Калькуляция (5.9)'!$AJ$25:$BC$194,,MATCH(AV$8,'Калькуляция (5.9)'!$AJ$8:$BC$8,0)),'Калькуляция (5.9)'!$F$25:$F$194,$F103,'Калькуляция (5.9)'!$G$25:$G$194,$G103))</f>
        <v>0</v>
      </c>
      <c r="AW103" s="22">
        <f ca="1">IF(method_reg="Метод сравнения аналогов",SUMIFS(INDEX('Калькуляция (МСА)'!$AE$25:$BC$109,,MATCH(AW$8,'Калькуляция (МСА)'!$AE$8:$BC$8,0)),'Калькуляция (МСА)'!$F$25:$F$109,$F103,'Калькуляция (МСА)'!$G$25:$G$109,$G103),SUMIFS(INDEX('Калькуляция (5.9)'!$AJ$25:$BC$194,,MATCH(AW$8,'Калькуляция (5.9)'!$AJ$8:$BC$8,0)),'Калькуляция (5.9)'!$F$25:$F$194,$F103,'Калькуляция (5.9)'!$G$25:$G$194,$G103))</f>
        <v>0</v>
      </c>
      <c r="AX103" s="312">
        <f ca="1">IF(AV103=0,0,(AW103-AV103)/AV103*100)</f>
        <v>0</v>
      </c>
      <c r="AY103" s="22">
        <f ca="1">IF(method_reg="Метод сравнения аналогов",SUMIFS(INDEX('Калькуляция (МСА)'!$AE$25:$BC$109,,MATCH(AY$8,'Калькуляция (МСА)'!$AE$8:$BC$8,0)),'Калькуляция (МСА)'!$F$25:$F$109,$F103,'Калькуляция (МСА)'!$G$25:$G$109,$G103),SUMIFS(INDEX('Калькуляция (5.9)'!$AJ$25:$BC$194,,MATCH(AY$8,'Калькуляция (5.9)'!$AJ$8:$BC$8,0)),'Калькуляция (5.9)'!$F$25:$F$194,$F103,'Калькуляция (5.9)'!$G$25:$G$194,$G103))</f>
        <v>0</v>
      </c>
      <c r="AZ103" s="22">
        <f ca="1">IF(method_reg="Метод сравнения аналогов",SUMIFS(INDEX('Калькуляция (МСА)'!$AE$25:$BC$109,,MATCH(AZ$8,'Калькуляция (МСА)'!$AE$8:$BC$8,0)),'Калькуляция (МСА)'!$F$25:$F$109,$F103,'Калькуляция (МСА)'!$G$25:$G$109,$G103),SUMIFS(INDEX('Калькуляция (5.9)'!$AJ$25:$BC$194,,MATCH(AZ$8,'Калькуляция (5.9)'!$AJ$8:$BC$8,0)),'Калькуляция (5.9)'!$F$25:$F$194,$F103,'Калькуляция (5.9)'!$G$25:$G$194,$G103))</f>
        <v>0</v>
      </c>
      <c r="BA103" s="312">
        <f ca="1">IF(AY103=0,0,(AZ103-AY103)/AY103*100)</f>
        <v>0</v>
      </c>
      <c r="BB103" s="22">
        <f ca="1">IF(method_reg="Метод сравнения аналогов",SUMIFS(INDEX('Калькуляция (МСА)'!$AE$25:$BC$109,,MATCH(BB$8,'Калькуляция (МСА)'!$AE$8:$BC$8,0)),'Калькуляция (МСА)'!$F$25:$F$109,$F103,'Калькуляция (МСА)'!$G$25:$G$109,$G103),SUMIFS(INDEX('Калькуляция (5.9)'!$AJ$25:$BC$194,,MATCH(BB$8,'Калькуляция (5.9)'!$AJ$8:$BC$8,0)),'Калькуляция (5.9)'!$F$25:$F$194,$F103,'Калькуляция (5.9)'!$G$25:$G$194,$G103))</f>
        <v>0</v>
      </c>
      <c r="BC103" s="22">
        <f ca="1">IF(method_reg="Метод сравнения аналогов",SUMIFS(INDEX('Калькуляция (МСА)'!$AE$25:$BC$109,,MATCH(BC$8,'Калькуляция (МСА)'!$AE$8:$BC$8,0)),'Калькуляция (МСА)'!$F$25:$F$109,$F103,'Калькуляция (МСА)'!$G$25:$G$109,$G103),SUMIFS(INDEX('Калькуляция (5.9)'!$AJ$25:$BC$194,,MATCH(BC$8,'Калькуляция (5.9)'!$AJ$8:$BC$8,0)),'Калькуляция (5.9)'!$F$25:$F$194,$F103,'Калькуляция (5.9)'!$G$25:$G$194,$G103))</f>
        <v>0</v>
      </c>
      <c r="BD103" s="312">
        <f ca="1">IF(BB103=0,0,(BC103-BB103)/BB103*100)</f>
        <v>0</v>
      </c>
      <c r="BE103" s="22">
        <f ca="1">IF(method_reg="Метод сравнения аналогов",SUMIFS(INDEX('Калькуляция (МСА)'!$AE$25:$BC$109,,MATCH(BE$8,'Калькуляция (МСА)'!$AE$8:$BC$8,0)),'Калькуляция (МСА)'!$F$25:$F$109,$F103,'Калькуляция (МСА)'!$G$25:$G$109,$G103),SUMIFS(INDEX('Калькуляция (5.9)'!$AJ$25:$BC$194,,MATCH(BE$8,'Калькуляция (5.9)'!$AJ$8:$BC$8,0)),'Калькуляция (5.9)'!$F$25:$F$194,$F103,'Калькуляция (5.9)'!$G$25:$G$194,$G103))</f>
        <v>0</v>
      </c>
      <c r="BF103" s="22">
        <f ca="1">IF(method_reg="Метод сравнения аналогов",SUMIFS(INDEX('Калькуляция (МСА)'!$AE$25:$BC$109,,MATCH(BF$8,'Калькуляция (МСА)'!$AE$8:$BC$8,0)),'Калькуляция (МСА)'!$F$25:$F$109,$F103,'Калькуляция (МСА)'!$G$25:$G$109,$G103),SUMIFS(INDEX('Калькуляция (5.9)'!$AJ$25:$BC$194,,MATCH(BF$8,'Калькуляция (5.9)'!$AJ$8:$BC$8,0)),'Калькуляция (5.9)'!$F$25:$F$194,$F103,'Калькуляция (5.9)'!$G$25:$G$194,$G103))</f>
        <v>0</v>
      </c>
      <c r="BG103" s="312">
        <f ca="1">IF(BE103=0,0,(BF103-BE103)/BE103*100)</f>
        <v>0</v>
      </c>
      <c r="BH103" s="22"/>
      <c r="BI103" s="22"/>
      <c r="BJ103" s="312">
        <f>IF(BH103=0,0,(BI103-BH103)/BH103*100)</f>
        <v>0</v>
      </c>
      <c r="BK103" s="22"/>
      <c r="BL103" s="22"/>
      <c r="BM103" s="312">
        <f>IF(BK103=0,0,(BL103-BK103)/BK103*100)</f>
        <v>0</v>
      </c>
      <c r="BN103" s="22"/>
      <c r="BO103" s="22"/>
      <c r="BP103" s="312">
        <f>IF(BN103=0,0,(BO103-BN103)/BN103*100)</f>
        <v>0</v>
      </c>
      <c r="BQ103" s="22"/>
      <c r="BR103" s="22"/>
      <c r="BS103" s="312">
        <f>IF(BQ103=0,0,(BR103-BQ103)/BQ103*100)</f>
        <v>0</v>
      </c>
      <c r="BT103" s="22"/>
      <c r="BU103" s="22"/>
      <c r="BV103" s="312">
        <f>IF(BT103=0,0,(BU103-BT103)/BT103*100)</f>
        <v>0</v>
      </c>
      <c r="BW103" s="22"/>
      <c r="BX103" s="22"/>
      <c r="BY103" s="312">
        <f>IF(BW103=0,0,(BX103-BW103)/BW103*100)</f>
        <v>0</v>
      </c>
      <c r="BZ103" s="22"/>
      <c r="CA103" s="22"/>
      <c r="CB103" s="312">
        <f>IF(BZ103=0,0,(CA103-BZ103)/BZ103*100)</f>
        <v>0</v>
      </c>
      <c r="CC103" s="22"/>
      <c r="CD103" s="22"/>
      <c r="CE103" s="312">
        <f>IF(CC103=0,0,(CD103-CC103)/CC103*100)</f>
        <v>0</v>
      </c>
      <c r="CF103" s="22"/>
      <c r="CG103" s="22"/>
      <c r="CH103" s="312">
        <f>IF(CF103=0,0,(CG103-CF103)/CF103*100)</f>
        <v>0</v>
      </c>
      <c r="CI103" s="22"/>
      <c r="CJ103" s="22"/>
      <c r="CK103" s="312">
        <f>IF(CI103=0,0,(CJ103-CI103)/CI103*100)</f>
        <v>0</v>
      </c>
      <c r="CL103" s="22"/>
      <c r="CM103" s="22"/>
      <c r="CN103" s="312">
        <f>IF(CL103=0,0,(CM103-CL103)/CL103*100)</f>
        <v>0</v>
      </c>
      <c r="CO103" s="22"/>
      <c r="CP103" s="22"/>
      <c r="CQ103" s="312">
        <f>IF(CO103=0,0,(CP103-CO103)/CO103*100)</f>
        <v>0</v>
      </c>
      <c r="CR103" s="22"/>
      <c r="CS103" s="22"/>
      <c r="CT103" s="312">
        <f>IF(CR103=0,0,(CS103-CR103)/CR103*100)</f>
        <v>0</v>
      </c>
      <c r="CU103" s="22"/>
      <c r="CV103" s="22"/>
      <c r="CW103" s="312">
        <f>IF(CU103=0,0,(CV103-CU103)/CU103*100)</f>
        <v>0</v>
      </c>
      <c r="CX103" s="22"/>
      <c r="CY103" s="22"/>
      <c r="CZ103" s="312">
        <f>IF(CX103=0,0,(CY103-CX103)/CX103*100)</f>
        <v>0</v>
      </c>
      <c r="DA103" s="22"/>
      <c r="DB103" s="22"/>
      <c r="DC103" s="312">
        <f>IF(DA103=0,0,(DB103-DA103)/DA103*100)</f>
        <v>0</v>
      </c>
      <c r="DD103" s="22"/>
      <c r="DE103" s="22"/>
      <c r="DF103" s="312">
        <f>IF(DD103=0,0,(DE103-DD103)/DD103*100)</f>
        <v>0</v>
      </c>
      <c r="DG103" s="22"/>
      <c r="DH103" s="22"/>
      <c r="DI103" s="312">
        <f>IF(DG103=0,0,(DH103-DG103)/DG103*100)</f>
        <v>0</v>
      </c>
      <c r="DJ103" s="22"/>
      <c r="DK103" s="22"/>
      <c r="DL103" s="312">
        <f>IF(DJ103=0,0,(DK103-DJ103)/DJ103*100)</f>
        <v>0</v>
      </c>
      <c r="DM103" s="22"/>
      <c r="DN103" s="22"/>
      <c r="DO103" s="312">
        <f>IF(DM103=0,0,(DN103-DM103)/DM103*100)</f>
        <v>0</v>
      </c>
      <c r="DP103" s="22"/>
      <c r="DQ103" s="22"/>
      <c r="DR103" s="312">
        <f>IF(DP103=0,0,(DQ103-DP103)/DP103*100)</f>
        <v>0</v>
      </c>
      <c r="DS103" s="22"/>
      <c r="DT103" s="22"/>
      <c r="DU103" s="312">
        <f>IF(DS103=0,0,(DT103-DS103)/DS103*100)</f>
        <v>0</v>
      </c>
      <c r="DV103" s="22"/>
      <c r="DW103" s="22"/>
      <c r="DX103" s="312">
        <f>IF(DV103=0,0,(DW103-DV103)/DV103*100)</f>
        <v>0</v>
      </c>
      <c r="DY103" s="22"/>
      <c r="DZ103" s="22"/>
      <c r="EA103" s="312">
        <f>IF(DY103=0,0,(DZ103-DY103)/DY103*100)</f>
        <v>0</v>
      </c>
      <c r="EB103" s="22"/>
      <c r="EC103" s="22"/>
      <c r="ED103" s="312">
        <f>IF(EB103=0,0,(EC103-EB103)/EB103*100)</f>
        <v>0</v>
      </c>
      <c r="EE103" s="22"/>
      <c r="EF103" s="22"/>
      <c r="EG103" s="312">
        <f>IF(EE103=0,0,(EF103-EE103)/EE103*100)</f>
        <v>0</v>
      </c>
      <c r="EH103" s="22"/>
      <c r="EI103" s="22"/>
      <c r="EJ103" s="312">
        <f>IF(EH103=0,0,(EI103-EH103)/EH103*100)</f>
        <v>0</v>
      </c>
      <c r="EK103" s="22"/>
      <c r="EL103" s="22"/>
      <c r="EM103" s="312">
        <f>IF(EK103=0,0,(EL103-EK103)/EK103*100)</f>
        <v>0</v>
      </c>
      <c r="EN103" s="22"/>
      <c r="EO103" s="22"/>
      <c r="EP103" s="312">
        <f>IF(EN103=0,0,(EO103-EN103)/EN103*100)</f>
        <v>0</v>
      </c>
      <c r="EQ103" s="22"/>
      <c r="ER103" s="22"/>
      <c r="ES103" s="312">
        <f>IF(EQ103=0,0,(ER103-EQ103)/EQ103*100)</f>
        <v>0</v>
      </c>
      <c r="ET103" s="22"/>
      <c r="EU103" s="22"/>
      <c r="EV103" s="312">
        <f>IF(ET103=0,0,(EU103-ET103)/ET103*100)</f>
        <v>0</v>
      </c>
      <c r="EW103" s="22"/>
      <c r="EX103" s="22"/>
      <c r="EY103" s="312">
        <f>IF(EW103=0,0,(EX103-EW103)/EW103*100)</f>
        <v>0</v>
      </c>
      <c r="EZ103" s="22"/>
      <c r="FA103" s="22"/>
      <c r="FB103" s="312">
        <f>IF(EZ103=0,0,(FA103-EZ103)/EZ103*100)</f>
        <v>0</v>
      </c>
      <c r="FC103" s="22"/>
      <c r="FD103" s="22"/>
      <c r="FE103" s="312">
        <f>IF(FC103=0,0,(FD103-FC103)/FC103*100)</f>
        <v>0</v>
      </c>
      <c r="FF103" s="22"/>
      <c r="FG103" s="22"/>
      <c r="FH103" s="312">
        <f>IF(FF103=0,0,(FG103-FF103)/FF103*100)</f>
        <v>0</v>
      </c>
      <c r="FI103" s="22"/>
      <c r="FJ103" s="22"/>
      <c r="FK103" s="312">
        <f>IF(FI103=0,0,(FJ103-FI103)/FI103*100)</f>
        <v>0</v>
      </c>
      <c r="FL103" s="22"/>
      <c r="FM103" s="22"/>
      <c r="FN103" s="312">
        <f>IF(FL103=0,0,(FM103-FL103)/FL103*100)</f>
        <v>0</v>
      </c>
      <c r="FO103" s="22"/>
      <c r="FP103" s="22"/>
      <c r="FQ103" s="312">
        <f>IF(FO103=0,0,(FP103-FO103)/FO103*100)</f>
        <v>0</v>
      </c>
      <c r="FR103" s="22"/>
      <c r="FS103" s="22"/>
      <c r="FT103" s="312">
        <f>IF(FR103=0,0,(FS103-FR103)/FR103*100)</f>
        <v>0</v>
      </c>
      <c r="FU103" s="22"/>
      <c r="FV103" s="22"/>
      <c r="FW103" s="312">
        <f>IF(FU103=0,0,(FV103-FU103)/FU103*100)</f>
        <v>0</v>
      </c>
      <c r="FX103" s="425"/>
      <c r="FY103" s="425"/>
      <c r="FZ103" s="981" t="s">
        <v>2219</v>
      </c>
      <c r="GA103" s="981"/>
      <c r="GB103" s="981"/>
      <c r="GC103" s="981"/>
      <c r="GD103" s="981"/>
    </row>
    <row r="104" spans="1:186" s="1229" customFormat="1" ht="15" hidden="1" customHeight="1">
      <c r="A104" s="1153"/>
      <c r="B104" s="813" t="b" cm="1">
        <f t="array" ref="B104">B103</f>
        <v>0</v>
      </c>
      <c r="C104" s="1118" t="s">
        <v>1779</v>
      </c>
      <c r="D104" s="1087" t="s">
        <v>1780</v>
      </c>
      <c r="E104" s="676">
        <v>15.8</v>
      </c>
      <c r="F104" s="779" t="str" cm="1">
        <f t="array" aca="1" ref="F104" ca="1">OFFSET(G104,-1,-1)</f>
        <v>1</v>
      </c>
      <c r="G104" s="143" t="s">
        <v>1790</v>
      </c>
      <c r="H104" s="163" t="s">
        <v>2205</v>
      </c>
      <c r="I104" s="163" t="s">
        <v>2155</v>
      </c>
      <c r="J104" s="1108"/>
      <c r="K104" s="1108" t="str" cm="1">
        <f t="array" aca="1" ref="K104" ca="1">OFFSET(J104,-1,1)</f>
        <v>ТЭ.42.26322895.0003</v>
      </c>
      <c r="L104" s="1108"/>
      <c r="M104" s="1108" t="s">
        <v>1791</v>
      </c>
      <c r="N104" s="1108" t="s">
        <v>2151</v>
      </c>
      <c r="O104" s="1109" t="s">
        <v>2152</v>
      </c>
      <c r="P104" s="1108" t="s">
        <v>2206</v>
      </c>
      <c r="Q104" s="1108"/>
      <c r="R104" s="784"/>
      <c r="S104" s="425"/>
      <c r="T104" s="687" t="b" cm="1">
        <f t="array" aca="1" ref="T104" ca="1">T103</f>
        <v>0</v>
      </c>
      <c r="U104" s="1153"/>
      <c r="V104" s="1153"/>
      <c r="W104" s="1153"/>
      <c r="X104" s="1726"/>
      <c r="Y104" s="1153"/>
      <c r="Z104" s="1726"/>
      <c r="AA104" s="425"/>
      <c r="AB104" s="223" t="s">
        <v>2207</v>
      </c>
      <c r="AC104" s="123" t="s">
        <v>634</v>
      </c>
      <c r="AD104" s="100">
        <f ca="1">IF(method_reg="Метод экономически обоснованных расходов",SUMIFS('Калькуляция (4.6)'!AJ$25:AJ$229,'Калькуляция (4.6)'!$F$25:$F$229,$F104,'Калькуляция (4.6)'!$G$25:$G$229,$G104),IF(method_reg="Метод сравнения аналогов",SUMIFS(INDEX('Калькуляция (МСА)'!$AE$25:$BC$109,,MATCH(AD$8,'Калькуляция (МСА)'!$AE$8:$BC$8,0)),'Калькуляция (МСА)'!$F$25:$F$109,$F104,'Калькуляция (МСА)'!$G$25:$G$109,$G104),SUMIFS(INDEX('Калькуляция (5.9)'!$AJ$25:$BC$194,,MATCH(AD$8,'Калькуляция (5.9)'!$AJ$8:$BC$8,0)),'Калькуляция (5.9)'!$F$25:$F$194,$F104,'Калькуляция (5.9)'!$G$25:$G$194,$G104)))</f>
        <v>0</v>
      </c>
      <c r="AE104" s="100">
        <f ca="1">IF(method_reg="Метод экономически обоснованных расходов",SUMIFS('Калькуляция (4.6)'!AK$25:AK$229,'Калькуляция (4.6)'!$F$25:$F$229,$F104,'Калькуляция (4.6)'!$G$25:$G$229,$G104),IF(method_reg="Метод сравнения аналогов",SUMIFS(INDEX('Калькуляция (МСА)'!$AE$25:$BC$109,,MATCH(AE$8,'Калькуляция (МСА)'!$AE$8:$BC$8,0)),'Калькуляция (МСА)'!$F$25:$F$109,$F104,'Калькуляция (МСА)'!$G$25:$G$109,$G104),SUMIFS(INDEX('Калькуляция (5.9)'!$AJ$25:$BC$194,,MATCH(AE$8,'Калькуляция (5.9)'!$AJ$8:$BC$8,0)),'Калькуляция (5.9)'!$F$25:$F$194,$F104,'Калькуляция (5.9)'!$G$25:$G$194,$G104)))</f>
        <v>36932.309999999983</v>
      </c>
      <c r="AF104" s="341">
        <f ca="1">IF(AD104=0,0,(AE104-AD104)/AD104*100)</f>
        <v>0</v>
      </c>
      <c r="AG104" s="354">
        <f ca="1">IF(method_reg="Метод сравнения аналогов",SUMIFS(INDEX('Калькуляция (МСА)'!$AE$25:$BC$109,,MATCH(AG$8,'Калькуляция (МСА)'!$AE$8:$BC$8,0)),'Калькуляция (МСА)'!$F$25:$F$109,$F104,'Калькуляция (МСА)'!$G$25:$G$109,$G104),SUMIFS(INDEX('Калькуляция (5.9)'!$AJ$25:$BC$194,,MATCH(AG$8,'Калькуляция (5.9)'!$AJ$8:$BC$8,0)),'Калькуляция (5.9)'!$F$25:$F$194,$F104,'Калькуляция (5.9)'!$G$25:$G$194,$G104))</f>
        <v>0</v>
      </c>
      <c r="AH104" s="354">
        <f ca="1">IF(method_reg="Метод сравнения аналогов",SUMIFS(INDEX('Калькуляция (МСА)'!$AE$25:$BC$109,,MATCH(AH$8,'Калькуляция (МСА)'!$AE$8:$BC$8,0)),'Калькуляция (МСА)'!$F$25:$F$109,$F104,'Калькуляция (МСА)'!$G$25:$G$109,$G104),SUMIFS(INDEX('Калькуляция (5.9)'!$AJ$25:$BC$194,,MATCH(AH$8,'Калькуляция (5.9)'!$AJ$8:$BC$8,0)),'Калькуляция (5.9)'!$F$25:$F$194,$F104,'Калькуляция (5.9)'!$G$25:$G$194,$G104))</f>
        <v>0</v>
      </c>
      <c r="AI104" s="341">
        <f ca="1">IF(AG104=0,0,(AH104-AG104)/AG104*100)</f>
        <v>0</v>
      </c>
      <c r="AJ104" s="354">
        <f ca="1">IF(method_reg="Метод сравнения аналогов",SUMIFS(INDEX('Калькуляция (МСА)'!$AE$25:$BC$109,,MATCH(AJ$8,'Калькуляция (МСА)'!$AE$8:$BC$8,0)),'Калькуляция (МСА)'!$F$25:$F$109,$F104,'Калькуляция (МСА)'!$G$25:$G$109,$G104),SUMIFS(INDEX('Калькуляция (5.9)'!$AJ$25:$BC$194,,MATCH(AJ$8,'Калькуляция (5.9)'!$AJ$8:$BC$8,0)),'Калькуляция (5.9)'!$F$25:$F$194,$F104,'Калькуляция (5.9)'!$G$25:$G$194,$G104))</f>
        <v>0</v>
      </c>
      <c r="AK104" s="354">
        <f ca="1">IF(method_reg="Метод сравнения аналогов",SUMIFS(INDEX('Калькуляция (МСА)'!$AE$25:$BC$109,,MATCH(AK$8,'Калькуляция (МСА)'!$AE$8:$BC$8,0)),'Калькуляция (МСА)'!$F$25:$F$109,$F104,'Калькуляция (МСА)'!$G$25:$G$109,$G104),SUMIFS(INDEX('Калькуляция (5.9)'!$AJ$25:$BC$194,,MATCH(AK$8,'Калькуляция (5.9)'!$AJ$8:$BC$8,0)),'Калькуляция (5.9)'!$F$25:$F$194,$F104,'Калькуляция (5.9)'!$G$25:$G$194,$G104))</f>
        <v>0</v>
      </c>
      <c r="AL104" s="341">
        <f ca="1">IF(AJ104=0,0,(AK104-AJ104)/AJ104*100)</f>
        <v>0</v>
      </c>
      <c r="AM104" s="354">
        <f ca="1">IF(method_reg="Метод сравнения аналогов",SUMIFS(INDEX('Калькуляция (МСА)'!$AE$25:$BC$109,,MATCH(AM$8,'Калькуляция (МСА)'!$AE$8:$BC$8,0)),'Калькуляция (МСА)'!$F$25:$F$109,$F104,'Калькуляция (МСА)'!$G$25:$G$109,$G104),SUMIFS(INDEX('Калькуляция (5.9)'!$AJ$25:$BC$194,,MATCH(AM$8,'Калькуляция (5.9)'!$AJ$8:$BC$8,0)),'Калькуляция (5.9)'!$F$25:$F$194,$F104,'Калькуляция (5.9)'!$G$25:$G$194,$G104))</f>
        <v>0</v>
      </c>
      <c r="AN104" s="354">
        <f ca="1">IF(method_reg="Метод сравнения аналогов",SUMIFS(INDEX('Калькуляция (МСА)'!$AE$25:$BC$109,,MATCH(AN$8,'Калькуляция (МСА)'!$AE$8:$BC$8,0)),'Калькуляция (МСА)'!$F$25:$F$109,$F104,'Калькуляция (МСА)'!$G$25:$G$109,$G104),SUMIFS(INDEX('Калькуляция (5.9)'!$AJ$25:$BC$194,,MATCH(AN$8,'Калькуляция (5.9)'!$AJ$8:$BC$8,0)),'Калькуляция (5.9)'!$F$25:$F$194,$F104,'Калькуляция (5.9)'!$G$25:$G$194,$G104))</f>
        <v>0</v>
      </c>
      <c r="AO104" s="341">
        <f ca="1">IF(AM104=0,0,(AN104-AM104)/AM104*100)</f>
        <v>0</v>
      </c>
      <c r="AP104" s="354">
        <f ca="1">IF(method_reg="Метод сравнения аналогов",SUMIFS(INDEX('Калькуляция (МСА)'!$AE$25:$BC$109,,MATCH(AP$8,'Калькуляция (МСА)'!$AE$8:$BC$8,0)),'Калькуляция (МСА)'!$F$25:$F$109,$F104,'Калькуляция (МСА)'!$G$25:$G$109,$G104),SUMIFS(INDEX('Калькуляция (5.9)'!$AJ$25:$BC$194,,MATCH(AP$8,'Калькуляция (5.9)'!$AJ$8:$BC$8,0)),'Калькуляция (5.9)'!$F$25:$F$194,$F104,'Калькуляция (5.9)'!$G$25:$G$194,$G104))</f>
        <v>0</v>
      </c>
      <c r="AQ104" s="354">
        <f ca="1">IF(method_reg="Метод сравнения аналогов",SUMIFS(INDEX('Калькуляция (МСА)'!$AE$25:$BC$109,,MATCH(AQ$8,'Калькуляция (МСА)'!$AE$8:$BC$8,0)),'Калькуляция (МСА)'!$F$25:$F$109,$F104,'Калькуляция (МСА)'!$G$25:$G$109,$G104),SUMIFS(INDEX('Калькуляция (5.9)'!$AJ$25:$BC$194,,MATCH(AQ$8,'Калькуляция (5.9)'!$AJ$8:$BC$8,0)),'Калькуляция (5.9)'!$F$25:$F$194,$F104,'Калькуляция (5.9)'!$G$25:$G$194,$G104))</f>
        <v>0</v>
      </c>
      <c r="AR104" s="341">
        <f ca="1">IF(AP104=0,0,(AQ104-AP104)/AP104*100)</f>
        <v>0</v>
      </c>
      <c r="AS104" s="100">
        <f ca="1">IF(method_reg="Метод сравнения аналогов",SUMIFS(INDEX('Калькуляция (МСА)'!$AE$25:$BC$109,,MATCH(AS$8,'Калькуляция (МСА)'!$AE$8:$BC$8,0)),'Калькуляция (МСА)'!$F$25:$F$109,$F104,'Калькуляция (МСА)'!$G$25:$G$109,$G104),SUMIFS(INDEX('Калькуляция (5.9)'!$AJ$25:$BC$194,,MATCH(AS$8,'Калькуляция (5.9)'!$AJ$8:$BC$8,0)),'Калькуляция (5.9)'!$F$25:$F$194,$F104,'Калькуляция (5.9)'!$G$25:$G$194,$G104))</f>
        <v>0</v>
      </c>
      <c r="AT104" s="100">
        <f ca="1">IF(method_reg="Метод сравнения аналогов",SUMIFS(INDEX('Калькуляция (МСА)'!$AE$25:$BC$109,,MATCH(AT$8,'Калькуляция (МСА)'!$AE$8:$BC$8,0)),'Калькуляция (МСА)'!$F$25:$F$109,$F104,'Калькуляция (МСА)'!$G$25:$G$109,$G104),SUMIFS(INDEX('Калькуляция (5.9)'!$AJ$25:$BC$194,,MATCH(AT$8,'Калькуляция (5.9)'!$AJ$8:$BC$8,0)),'Калькуляция (5.9)'!$F$25:$F$194,$F104,'Калькуляция (5.9)'!$G$25:$G$194,$G104))</f>
        <v>0</v>
      </c>
      <c r="AU104" s="341">
        <f ca="1">IF(AS104=0,0,(AT104-AS104)/AS104*100)</f>
        <v>0</v>
      </c>
      <c r="AV104" s="100">
        <f ca="1">IF(method_reg="Метод сравнения аналогов",SUMIFS(INDEX('Калькуляция (МСА)'!$AE$25:$BC$109,,MATCH(AV$8,'Калькуляция (МСА)'!$AE$8:$BC$8,0)),'Калькуляция (МСА)'!$F$25:$F$109,$F104,'Калькуляция (МСА)'!$G$25:$G$109,$G104),SUMIFS(INDEX('Калькуляция (5.9)'!$AJ$25:$BC$194,,MATCH(AV$8,'Калькуляция (5.9)'!$AJ$8:$BC$8,0)),'Калькуляция (5.9)'!$F$25:$F$194,$F104,'Калькуляция (5.9)'!$G$25:$G$194,$G104))</f>
        <v>0</v>
      </c>
      <c r="AW104" s="100">
        <f ca="1">IF(method_reg="Метод сравнения аналогов",SUMIFS(INDEX('Калькуляция (МСА)'!$AE$25:$BC$109,,MATCH(AW$8,'Калькуляция (МСА)'!$AE$8:$BC$8,0)),'Калькуляция (МСА)'!$F$25:$F$109,$F104,'Калькуляция (МСА)'!$G$25:$G$109,$G104),SUMIFS(INDEX('Калькуляция (5.9)'!$AJ$25:$BC$194,,MATCH(AW$8,'Калькуляция (5.9)'!$AJ$8:$BC$8,0)),'Калькуляция (5.9)'!$F$25:$F$194,$F104,'Калькуляция (5.9)'!$G$25:$G$194,$G104))</f>
        <v>0</v>
      </c>
      <c r="AX104" s="341">
        <f ca="1">IF(AV104=0,0,(AW104-AV104)/AV104*100)</f>
        <v>0</v>
      </c>
      <c r="AY104" s="100">
        <f ca="1">IF(method_reg="Метод сравнения аналогов",SUMIFS(INDEX('Калькуляция (МСА)'!$AE$25:$BC$109,,MATCH(AY$8,'Калькуляция (МСА)'!$AE$8:$BC$8,0)),'Калькуляция (МСА)'!$F$25:$F$109,$F104,'Калькуляция (МСА)'!$G$25:$G$109,$G104),SUMIFS(INDEX('Калькуляция (5.9)'!$AJ$25:$BC$194,,MATCH(AY$8,'Калькуляция (5.9)'!$AJ$8:$BC$8,0)),'Калькуляция (5.9)'!$F$25:$F$194,$F104,'Калькуляция (5.9)'!$G$25:$G$194,$G104))</f>
        <v>0</v>
      </c>
      <c r="AZ104" s="100">
        <f ca="1">IF(method_reg="Метод сравнения аналогов",SUMIFS(INDEX('Калькуляция (МСА)'!$AE$25:$BC$109,,MATCH(AZ$8,'Калькуляция (МСА)'!$AE$8:$BC$8,0)),'Калькуляция (МСА)'!$F$25:$F$109,$F104,'Калькуляция (МСА)'!$G$25:$G$109,$G104),SUMIFS(INDEX('Калькуляция (5.9)'!$AJ$25:$BC$194,,MATCH(AZ$8,'Калькуляция (5.9)'!$AJ$8:$BC$8,0)),'Калькуляция (5.9)'!$F$25:$F$194,$F104,'Калькуляция (5.9)'!$G$25:$G$194,$G104))</f>
        <v>0</v>
      </c>
      <c r="BA104" s="341">
        <f ca="1">IF(AY104=0,0,(AZ104-AY104)/AY104*100)</f>
        <v>0</v>
      </c>
      <c r="BB104" s="100">
        <f ca="1">IF(method_reg="Метод сравнения аналогов",SUMIFS(INDEX('Калькуляция (МСА)'!$AE$25:$BC$109,,MATCH(BB$8,'Калькуляция (МСА)'!$AE$8:$BC$8,0)),'Калькуляция (МСА)'!$F$25:$F$109,$F104,'Калькуляция (МСА)'!$G$25:$G$109,$G104),SUMIFS(INDEX('Калькуляция (5.9)'!$AJ$25:$BC$194,,MATCH(BB$8,'Калькуляция (5.9)'!$AJ$8:$BC$8,0)),'Калькуляция (5.9)'!$F$25:$F$194,$F104,'Калькуляция (5.9)'!$G$25:$G$194,$G104))</f>
        <v>0</v>
      </c>
      <c r="BC104" s="100">
        <f ca="1">IF(method_reg="Метод сравнения аналогов",SUMIFS(INDEX('Калькуляция (МСА)'!$AE$25:$BC$109,,MATCH(BC$8,'Калькуляция (МСА)'!$AE$8:$BC$8,0)),'Калькуляция (МСА)'!$F$25:$F$109,$F104,'Калькуляция (МСА)'!$G$25:$G$109,$G104),SUMIFS(INDEX('Калькуляция (5.9)'!$AJ$25:$BC$194,,MATCH(BC$8,'Калькуляция (5.9)'!$AJ$8:$BC$8,0)),'Калькуляция (5.9)'!$F$25:$F$194,$F104,'Калькуляция (5.9)'!$G$25:$G$194,$G104))</f>
        <v>0</v>
      </c>
      <c r="BD104" s="341">
        <f ca="1">IF(BB104=0,0,(BC104-BB104)/BB104*100)</f>
        <v>0</v>
      </c>
      <c r="BE104" s="100">
        <f ca="1">IF(method_reg="Метод сравнения аналогов",SUMIFS(INDEX('Калькуляция (МСА)'!$AE$25:$BC$109,,MATCH(BE$8,'Калькуляция (МСА)'!$AE$8:$BC$8,0)),'Калькуляция (МСА)'!$F$25:$F$109,$F104,'Калькуляция (МСА)'!$G$25:$G$109,$G104),SUMIFS(INDEX('Калькуляция (5.9)'!$AJ$25:$BC$194,,MATCH(BE$8,'Калькуляция (5.9)'!$AJ$8:$BC$8,0)),'Калькуляция (5.9)'!$F$25:$F$194,$F104,'Калькуляция (5.9)'!$G$25:$G$194,$G104))</f>
        <v>0</v>
      </c>
      <c r="BF104" s="100">
        <f ca="1">IF(method_reg="Метод сравнения аналогов",SUMIFS(INDEX('Калькуляция (МСА)'!$AE$25:$BC$109,,MATCH(BF$8,'Калькуляция (МСА)'!$AE$8:$BC$8,0)),'Калькуляция (МСА)'!$F$25:$F$109,$F104,'Калькуляция (МСА)'!$G$25:$G$109,$G104),SUMIFS(INDEX('Калькуляция (5.9)'!$AJ$25:$BC$194,,MATCH(BF$8,'Калькуляция (5.9)'!$AJ$8:$BC$8,0)),'Калькуляция (5.9)'!$F$25:$F$194,$F104,'Калькуляция (5.9)'!$G$25:$G$194,$G104))</f>
        <v>0</v>
      </c>
      <c r="BG104" s="341">
        <f ca="1">IF(BE104=0,0,(BF104-BE104)/BE104*100)</f>
        <v>0</v>
      </c>
      <c r="BH104" s="100"/>
      <c r="BI104" s="100"/>
      <c r="BJ104" s="341">
        <f>IF(BH104=0,0,(BI104-BH104)/BH104*100)</f>
        <v>0</v>
      </c>
      <c r="BK104" s="100"/>
      <c r="BL104" s="100"/>
      <c r="BM104" s="341">
        <f>IF(BK104=0,0,(BL104-BK104)/BK104*100)</f>
        <v>0</v>
      </c>
      <c r="BN104" s="100"/>
      <c r="BO104" s="100"/>
      <c r="BP104" s="341">
        <f>IF(BN104=0,0,(BO104-BN104)/BN104*100)</f>
        <v>0</v>
      </c>
      <c r="BQ104" s="100"/>
      <c r="BR104" s="100"/>
      <c r="BS104" s="341">
        <f>IF(BQ104=0,0,(BR104-BQ104)/BQ104*100)</f>
        <v>0</v>
      </c>
      <c r="BT104" s="100"/>
      <c r="BU104" s="100"/>
      <c r="BV104" s="341">
        <f>IF(BT104=0,0,(BU104-BT104)/BT104*100)</f>
        <v>0</v>
      </c>
      <c r="BW104" s="100"/>
      <c r="BX104" s="100"/>
      <c r="BY104" s="341">
        <f>IF(BW104=0,0,(BX104-BW104)/BW104*100)</f>
        <v>0</v>
      </c>
      <c r="BZ104" s="100"/>
      <c r="CA104" s="100"/>
      <c r="CB104" s="341">
        <f>IF(BZ104=0,0,(CA104-BZ104)/BZ104*100)</f>
        <v>0</v>
      </c>
      <c r="CC104" s="100"/>
      <c r="CD104" s="100"/>
      <c r="CE104" s="341">
        <f>IF(CC104=0,0,(CD104-CC104)/CC104*100)</f>
        <v>0</v>
      </c>
      <c r="CF104" s="100"/>
      <c r="CG104" s="100"/>
      <c r="CH104" s="341">
        <f>IF(CF104=0,0,(CG104-CF104)/CF104*100)</f>
        <v>0</v>
      </c>
      <c r="CI104" s="100"/>
      <c r="CJ104" s="100"/>
      <c r="CK104" s="341">
        <f>IF(CI104=0,0,(CJ104-CI104)/CI104*100)</f>
        <v>0</v>
      </c>
      <c r="CL104" s="100"/>
      <c r="CM104" s="100"/>
      <c r="CN104" s="341">
        <f>IF(CL104=0,0,(CM104-CL104)/CL104*100)</f>
        <v>0</v>
      </c>
      <c r="CO104" s="100"/>
      <c r="CP104" s="100"/>
      <c r="CQ104" s="341">
        <f>IF(CO104=0,0,(CP104-CO104)/CO104*100)</f>
        <v>0</v>
      </c>
      <c r="CR104" s="100"/>
      <c r="CS104" s="100"/>
      <c r="CT104" s="341">
        <f>IF(CR104=0,0,(CS104-CR104)/CR104*100)</f>
        <v>0</v>
      </c>
      <c r="CU104" s="100"/>
      <c r="CV104" s="100"/>
      <c r="CW104" s="341">
        <f>IF(CU104=0,0,(CV104-CU104)/CU104*100)</f>
        <v>0</v>
      </c>
      <c r="CX104" s="100"/>
      <c r="CY104" s="100"/>
      <c r="CZ104" s="341">
        <f>IF(CX104=0,0,(CY104-CX104)/CX104*100)</f>
        <v>0</v>
      </c>
      <c r="DA104" s="100"/>
      <c r="DB104" s="100"/>
      <c r="DC104" s="341">
        <f>IF(DA104=0,0,(DB104-DA104)/DA104*100)</f>
        <v>0</v>
      </c>
      <c r="DD104" s="100"/>
      <c r="DE104" s="100"/>
      <c r="DF104" s="341">
        <f>IF(DD104=0,0,(DE104-DD104)/DD104*100)</f>
        <v>0</v>
      </c>
      <c r="DG104" s="100"/>
      <c r="DH104" s="100"/>
      <c r="DI104" s="341">
        <f>IF(DG104=0,0,(DH104-DG104)/DG104*100)</f>
        <v>0</v>
      </c>
      <c r="DJ104" s="100"/>
      <c r="DK104" s="100"/>
      <c r="DL104" s="341">
        <f>IF(DJ104=0,0,(DK104-DJ104)/DJ104*100)</f>
        <v>0</v>
      </c>
      <c r="DM104" s="100"/>
      <c r="DN104" s="100"/>
      <c r="DO104" s="341">
        <f>IF(DM104=0,0,(DN104-DM104)/DM104*100)</f>
        <v>0</v>
      </c>
      <c r="DP104" s="100"/>
      <c r="DQ104" s="100"/>
      <c r="DR104" s="341">
        <f>IF(DP104=0,0,(DQ104-DP104)/DP104*100)</f>
        <v>0</v>
      </c>
      <c r="DS104" s="100"/>
      <c r="DT104" s="100"/>
      <c r="DU104" s="341">
        <f>IF(DS104=0,0,(DT104-DS104)/DS104*100)</f>
        <v>0</v>
      </c>
      <c r="DV104" s="100"/>
      <c r="DW104" s="100"/>
      <c r="DX104" s="341">
        <f>IF(DV104=0,0,(DW104-DV104)/DV104*100)</f>
        <v>0</v>
      </c>
      <c r="DY104" s="100"/>
      <c r="DZ104" s="100"/>
      <c r="EA104" s="341">
        <f>IF(DY104=0,0,(DZ104-DY104)/DY104*100)</f>
        <v>0</v>
      </c>
      <c r="EB104" s="100"/>
      <c r="EC104" s="100"/>
      <c r="ED104" s="341">
        <f>IF(EB104=0,0,(EC104-EB104)/EB104*100)</f>
        <v>0</v>
      </c>
      <c r="EE104" s="100"/>
      <c r="EF104" s="100"/>
      <c r="EG104" s="341">
        <f>IF(EE104=0,0,(EF104-EE104)/EE104*100)</f>
        <v>0</v>
      </c>
      <c r="EH104" s="100"/>
      <c r="EI104" s="100"/>
      <c r="EJ104" s="341">
        <f>IF(EH104=0,0,(EI104-EH104)/EH104*100)</f>
        <v>0</v>
      </c>
      <c r="EK104" s="100"/>
      <c r="EL104" s="100"/>
      <c r="EM104" s="341">
        <f>IF(EK104=0,0,(EL104-EK104)/EK104*100)</f>
        <v>0</v>
      </c>
      <c r="EN104" s="100"/>
      <c r="EO104" s="100"/>
      <c r="EP104" s="341">
        <f>IF(EN104=0,0,(EO104-EN104)/EN104*100)</f>
        <v>0</v>
      </c>
      <c r="EQ104" s="100"/>
      <c r="ER104" s="100"/>
      <c r="ES104" s="341">
        <f>IF(EQ104=0,0,(ER104-EQ104)/EQ104*100)</f>
        <v>0</v>
      </c>
      <c r="ET104" s="100"/>
      <c r="EU104" s="100"/>
      <c r="EV104" s="341">
        <f>IF(ET104=0,0,(EU104-ET104)/ET104*100)</f>
        <v>0</v>
      </c>
      <c r="EW104" s="100"/>
      <c r="EX104" s="100"/>
      <c r="EY104" s="341">
        <f>IF(EW104=0,0,(EX104-EW104)/EW104*100)</f>
        <v>0</v>
      </c>
      <c r="EZ104" s="100"/>
      <c r="FA104" s="100"/>
      <c r="FB104" s="341">
        <f>IF(EZ104=0,0,(FA104-EZ104)/EZ104*100)</f>
        <v>0</v>
      </c>
      <c r="FC104" s="100"/>
      <c r="FD104" s="100"/>
      <c r="FE104" s="341">
        <f>IF(FC104=0,0,(FD104-FC104)/FC104*100)</f>
        <v>0</v>
      </c>
      <c r="FF104" s="100"/>
      <c r="FG104" s="100"/>
      <c r="FH104" s="341">
        <f>IF(FF104=0,0,(FG104-FF104)/FF104*100)</f>
        <v>0</v>
      </c>
      <c r="FI104" s="100"/>
      <c r="FJ104" s="100"/>
      <c r="FK104" s="341">
        <f>IF(FI104=0,0,(FJ104-FI104)/FI104*100)</f>
        <v>0</v>
      </c>
      <c r="FL104" s="100"/>
      <c r="FM104" s="100"/>
      <c r="FN104" s="341">
        <f>IF(FL104=0,0,(FM104-FL104)/FL104*100)</f>
        <v>0</v>
      </c>
      <c r="FO104" s="100"/>
      <c r="FP104" s="100"/>
      <c r="FQ104" s="341">
        <f>IF(FO104=0,0,(FP104-FO104)/FO104*100)</f>
        <v>0</v>
      </c>
      <c r="FR104" s="100"/>
      <c r="FS104" s="100"/>
      <c r="FT104" s="341">
        <f>IF(FR104=0,0,(FS104-FR104)/FR104*100)</f>
        <v>0</v>
      </c>
      <c r="FU104" s="100"/>
      <c r="FV104" s="100"/>
      <c r="FW104" s="341">
        <f>IF(FU104=0,0,(FV104-FU104)/FU104*100)</f>
        <v>0</v>
      </c>
      <c r="FX104" s="425"/>
      <c r="FY104" s="425"/>
      <c r="FZ104" s="981" t="s">
        <v>2220</v>
      </c>
      <c r="GA104" s="981"/>
      <c r="GB104" s="981"/>
      <c r="GC104" s="981"/>
      <c r="GD104" s="981"/>
    </row>
    <row r="105" spans="1:186" s="1229" customFormat="1" ht="30" hidden="1" customHeight="1">
      <c r="A105" s="1153"/>
      <c r="B105" s="813" t="b" cm="1">
        <f t="array" ref="B105">B104</f>
        <v>0</v>
      </c>
      <c r="C105" s="1118" t="s">
        <v>1833</v>
      </c>
      <c r="D105" s="1087" t="s">
        <v>1834</v>
      </c>
      <c r="E105" s="676">
        <v>31.5</v>
      </c>
      <c r="F105" s="779" t="str" cm="1">
        <f t="array" aca="1" ref="F105" ca="1">OFFSET(G105,-1,-1)</f>
        <v>1</v>
      </c>
      <c r="G105" s="620" t="s">
        <v>1839</v>
      </c>
      <c r="H105" s="163" t="s">
        <v>2209</v>
      </c>
      <c r="I105" s="163" t="s">
        <v>2155</v>
      </c>
      <c r="J105" s="1108"/>
      <c r="K105" s="1108" t="str" cm="1">
        <f t="array" aca="1" ref="K105" ca="1">OFFSET(J105,-1,1)</f>
        <v>ТЭ.42.26322895.0003</v>
      </c>
      <c r="L105" s="1108"/>
      <c r="M105" s="1108" t="s">
        <v>1791</v>
      </c>
      <c r="N105" s="1108" t="s">
        <v>2151</v>
      </c>
      <c r="O105" s="1109" t="s">
        <v>2152</v>
      </c>
      <c r="P105" s="1108" t="s">
        <v>2210</v>
      </c>
      <c r="Q105" s="1108"/>
      <c r="R105" s="784"/>
      <c r="S105" s="425"/>
      <c r="T105" s="687" t="b" cm="1">
        <f t="array" aca="1" ref="T105" ca="1">T104</f>
        <v>0</v>
      </c>
      <c r="U105" s="1153"/>
      <c r="V105" s="1153"/>
      <c r="W105" s="1153"/>
      <c r="X105" s="1726"/>
      <c r="Y105" s="1153"/>
      <c r="Z105" s="1726"/>
      <c r="AA105" s="425"/>
      <c r="AB105" s="223" t="s">
        <v>2211</v>
      </c>
      <c r="AC105" s="443" t="s">
        <v>1837</v>
      </c>
      <c r="AD105" s="22">
        <f ca="1">IF(method_reg="Метод экономически обоснованных расходов",SUMIFS('Калькуляция (4.6)'!AJ$25:AJ$229,'Калькуляция (4.6)'!$F$25:$F$229,$F105,'Калькуляция (4.6)'!$G$25:$G$229,$G105),IF(method_reg="Метод сравнения аналогов",SUMIFS(INDEX('Калькуляция (МСА)'!$AE$25:$BC$109,,MATCH(AD$8,'Калькуляция (МСА)'!$AE$8:$BC$8,0)),'Калькуляция (МСА)'!$F$25:$F$109,$F105,'Калькуляция (МСА)'!$G$25:$G$109,$G105),SUMIFS(INDEX('Калькуляция (5.9)'!$AJ$25:$BC$194,,MATCH(AD$8,'Калькуляция (5.9)'!$AJ$8:$BC$8,0)),'Калькуляция (5.9)'!$F$25:$F$194,$F105,'Калькуляция (5.9)'!$G$25:$G$194,$G105)))</f>
        <v>0</v>
      </c>
      <c r="AE105" s="22">
        <f ca="1">IF(method_reg="Метод экономически обоснованных расходов",SUMIFS('Калькуляция (4.6)'!AK$25:AK$229,'Калькуляция (4.6)'!$F$25:$F$229,$F105,'Калькуляция (4.6)'!$G$25:$G$229,$G105),IF(method_reg="Метод сравнения аналогов",SUMIFS(INDEX('Калькуляция (МСА)'!$AE$25:$BC$109,,MATCH(AE$8,'Калькуляция (МСА)'!$AE$8:$BC$8,0)),'Калькуляция (МСА)'!$F$25:$F$109,$F105,'Калькуляция (МСА)'!$G$25:$G$109,$G105),SUMIFS(INDEX('Калькуляция (5.9)'!$AJ$25:$BC$194,,MATCH(AE$8,'Калькуляция (5.9)'!$AJ$8:$BC$8,0)),'Калькуляция (5.9)'!$F$25:$F$194,$F105,'Калькуляция (5.9)'!$G$25:$G$194,$G105)))</f>
        <v>0</v>
      </c>
      <c r="AF105" s="312">
        <f ca="1">IF(AD105=0,0,(AE105-AD105)/AD105*100)</f>
        <v>0</v>
      </c>
      <c r="AG105" s="313">
        <f ca="1">IF(method_reg="Метод сравнения аналогов",SUMIFS(INDEX('Калькуляция (МСА)'!$AE$25:$BC$109,,MATCH(AG$8,'Калькуляция (МСА)'!$AE$8:$BC$8,0)),'Калькуляция (МСА)'!$F$25:$F$109,$F105,'Калькуляция (МСА)'!$G$25:$G$109,$G105),SUMIFS(INDEX('Калькуляция (5.9)'!$AJ$25:$BC$194,,MATCH(AG$8,'Калькуляция (5.9)'!$AJ$8:$BC$8,0)),'Калькуляция (5.9)'!$F$25:$F$194,$F105,'Калькуляция (5.9)'!$G$25:$G$194,$G105))</f>
        <v>0</v>
      </c>
      <c r="AH105" s="313">
        <f ca="1">IF(method_reg="Метод сравнения аналогов",SUMIFS(INDEX('Калькуляция (МСА)'!$AE$25:$BC$109,,MATCH(AH$8,'Калькуляция (МСА)'!$AE$8:$BC$8,0)),'Калькуляция (МСА)'!$F$25:$F$109,$F105,'Калькуляция (МСА)'!$G$25:$G$109,$G105),SUMIFS(INDEX('Калькуляция (5.9)'!$AJ$25:$BC$194,,MATCH(AH$8,'Калькуляция (5.9)'!$AJ$8:$BC$8,0)),'Калькуляция (5.9)'!$F$25:$F$194,$F105,'Калькуляция (5.9)'!$G$25:$G$194,$G105))</f>
        <v>0</v>
      </c>
      <c r="AI105" s="312">
        <f ca="1">IF(AG105=0,0,(AH105-AG105)/AG105*100)</f>
        <v>0</v>
      </c>
      <c r="AJ105" s="313">
        <f ca="1">IF(method_reg="Метод сравнения аналогов",SUMIFS(INDEX('Калькуляция (МСА)'!$AE$25:$BC$109,,MATCH(AJ$8,'Калькуляция (МСА)'!$AE$8:$BC$8,0)),'Калькуляция (МСА)'!$F$25:$F$109,$F105,'Калькуляция (МСА)'!$G$25:$G$109,$G105),SUMIFS(INDEX('Калькуляция (5.9)'!$AJ$25:$BC$194,,MATCH(AJ$8,'Калькуляция (5.9)'!$AJ$8:$BC$8,0)),'Калькуляция (5.9)'!$F$25:$F$194,$F105,'Калькуляция (5.9)'!$G$25:$G$194,$G105))</f>
        <v>0</v>
      </c>
      <c r="AK105" s="313">
        <f ca="1">IF(method_reg="Метод сравнения аналогов",SUMIFS(INDEX('Калькуляция (МСА)'!$AE$25:$BC$109,,MATCH(AK$8,'Калькуляция (МСА)'!$AE$8:$BC$8,0)),'Калькуляция (МСА)'!$F$25:$F$109,$F105,'Калькуляция (МСА)'!$G$25:$G$109,$G105),SUMIFS(INDEX('Калькуляция (5.9)'!$AJ$25:$BC$194,,MATCH(AK$8,'Калькуляция (5.9)'!$AJ$8:$BC$8,0)),'Калькуляция (5.9)'!$F$25:$F$194,$F105,'Калькуляция (5.9)'!$G$25:$G$194,$G105))</f>
        <v>0</v>
      </c>
      <c r="AL105" s="312">
        <f ca="1">IF(AJ105=0,0,(AK105-AJ105)/AJ105*100)</f>
        <v>0</v>
      </c>
      <c r="AM105" s="313">
        <f ca="1">IF(method_reg="Метод сравнения аналогов",SUMIFS(INDEX('Калькуляция (МСА)'!$AE$25:$BC$109,,MATCH(AM$8,'Калькуляция (МСА)'!$AE$8:$BC$8,0)),'Калькуляция (МСА)'!$F$25:$F$109,$F105,'Калькуляция (МСА)'!$G$25:$G$109,$G105),SUMIFS(INDEX('Калькуляция (5.9)'!$AJ$25:$BC$194,,MATCH(AM$8,'Калькуляция (5.9)'!$AJ$8:$BC$8,0)),'Калькуляция (5.9)'!$F$25:$F$194,$F105,'Калькуляция (5.9)'!$G$25:$G$194,$G105))</f>
        <v>0</v>
      </c>
      <c r="AN105" s="313">
        <f ca="1">IF(method_reg="Метод сравнения аналогов",SUMIFS(INDEX('Калькуляция (МСА)'!$AE$25:$BC$109,,MATCH(AN$8,'Калькуляция (МСА)'!$AE$8:$BC$8,0)),'Калькуляция (МСА)'!$F$25:$F$109,$F105,'Калькуляция (МСА)'!$G$25:$G$109,$G105),SUMIFS(INDEX('Калькуляция (5.9)'!$AJ$25:$BC$194,,MATCH(AN$8,'Калькуляция (5.9)'!$AJ$8:$BC$8,0)),'Калькуляция (5.9)'!$F$25:$F$194,$F105,'Калькуляция (5.9)'!$G$25:$G$194,$G105))</f>
        <v>0</v>
      </c>
      <c r="AO105" s="312">
        <f ca="1">IF(AM105=0,0,(AN105-AM105)/AM105*100)</f>
        <v>0</v>
      </c>
      <c r="AP105" s="313">
        <f ca="1">IF(method_reg="Метод сравнения аналогов",SUMIFS(INDEX('Калькуляция (МСА)'!$AE$25:$BC$109,,MATCH(AP$8,'Калькуляция (МСА)'!$AE$8:$BC$8,0)),'Калькуляция (МСА)'!$F$25:$F$109,$F105,'Калькуляция (МСА)'!$G$25:$G$109,$G105),SUMIFS(INDEX('Калькуляция (5.9)'!$AJ$25:$BC$194,,MATCH(AP$8,'Калькуляция (5.9)'!$AJ$8:$BC$8,0)),'Калькуляция (5.9)'!$F$25:$F$194,$F105,'Калькуляция (5.9)'!$G$25:$G$194,$G105))</f>
        <v>0</v>
      </c>
      <c r="AQ105" s="313">
        <f ca="1">IF(method_reg="Метод сравнения аналогов",SUMIFS(INDEX('Калькуляция (МСА)'!$AE$25:$BC$109,,MATCH(AQ$8,'Калькуляция (МСА)'!$AE$8:$BC$8,0)),'Калькуляция (МСА)'!$F$25:$F$109,$F105,'Калькуляция (МСА)'!$G$25:$G$109,$G105),SUMIFS(INDEX('Калькуляция (5.9)'!$AJ$25:$BC$194,,MATCH(AQ$8,'Калькуляция (5.9)'!$AJ$8:$BC$8,0)),'Калькуляция (5.9)'!$F$25:$F$194,$F105,'Калькуляция (5.9)'!$G$25:$G$194,$G105))</f>
        <v>0</v>
      </c>
      <c r="AR105" s="312">
        <f ca="1">IF(AP105=0,0,(AQ105-AP105)/AP105*100)</f>
        <v>0</v>
      </c>
      <c r="AS105" s="22">
        <f ca="1">IF(method_reg="Метод сравнения аналогов",SUMIFS(INDEX('Калькуляция (МСА)'!$AE$25:$BC$109,,MATCH(AS$8,'Калькуляция (МСА)'!$AE$8:$BC$8,0)),'Калькуляция (МСА)'!$F$25:$F$109,$F105,'Калькуляция (МСА)'!$G$25:$G$109,$G105),SUMIFS(INDEX('Калькуляция (5.9)'!$AJ$25:$BC$194,,MATCH(AS$8,'Калькуляция (5.9)'!$AJ$8:$BC$8,0)),'Калькуляция (5.9)'!$F$25:$F$194,$F105,'Калькуляция (5.9)'!$G$25:$G$194,$G105))</f>
        <v>0</v>
      </c>
      <c r="AT105" s="22">
        <f ca="1">IF(method_reg="Метод сравнения аналогов",SUMIFS(INDEX('Калькуляция (МСА)'!$AE$25:$BC$109,,MATCH(AT$8,'Калькуляция (МСА)'!$AE$8:$BC$8,0)),'Калькуляция (МСА)'!$F$25:$F$109,$F105,'Калькуляция (МСА)'!$G$25:$G$109,$G105),SUMIFS(INDEX('Калькуляция (5.9)'!$AJ$25:$BC$194,,MATCH(AT$8,'Калькуляция (5.9)'!$AJ$8:$BC$8,0)),'Калькуляция (5.9)'!$F$25:$F$194,$F105,'Калькуляция (5.9)'!$G$25:$G$194,$G105))</f>
        <v>0</v>
      </c>
      <c r="AU105" s="312">
        <f ca="1">IF(AS105=0,0,(AT105-AS105)/AS105*100)</f>
        <v>0</v>
      </c>
      <c r="AV105" s="22">
        <f ca="1">IF(method_reg="Метод сравнения аналогов",SUMIFS(INDEX('Калькуляция (МСА)'!$AE$25:$BC$109,,MATCH(AV$8,'Калькуляция (МСА)'!$AE$8:$BC$8,0)),'Калькуляция (МСА)'!$F$25:$F$109,$F105,'Калькуляция (МСА)'!$G$25:$G$109,$G105),SUMIFS(INDEX('Калькуляция (5.9)'!$AJ$25:$BC$194,,MATCH(AV$8,'Калькуляция (5.9)'!$AJ$8:$BC$8,0)),'Калькуляция (5.9)'!$F$25:$F$194,$F105,'Калькуляция (5.9)'!$G$25:$G$194,$G105))</f>
        <v>0</v>
      </c>
      <c r="AW105" s="22">
        <f ca="1">IF(method_reg="Метод сравнения аналогов",SUMIFS(INDEX('Калькуляция (МСА)'!$AE$25:$BC$109,,MATCH(AW$8,'Калькуляция (МСА)'!$AE$8:$BC$8,0)),'Калькуляция (МСА)'!$F$25:$F$109,$F105,'Калькуляция (МСА)'!$G$25:$G$109,$G105),SUMIFS(INDEX('Калькуляция (5.9)'!$AJ$25:$BC$194,,MATCH(AW$8,'Калькуляция (5.9)'!$AJ$8:$BC$8,0)),'Калькуляция (5.9)'!$F$25:$F$194,$F105,'Калькуляция (5.9)'!$G$25:$G$194,$G105))</f>
        <v>0</v>
      </c>
      <c r="AX105" s="312">
        <f ca="1">IF(AV105=0,0,(AW105-AV105)/AV105*100)</f>
        <v>0</v>
      </c>
      <c r="AY105" s="22">
        <f ca="1">IF(method_reg="Метод сравнения аналогов",SUMIFS(INDEX('Калькуляция (МСА)'!$AE$25:$BC$109,,MATCH(AY$8,'Калькуляция (МСА)'!$AE$8:$BC$8,0)),'Калькуляция (МСА)'!$F$25:$F$109,$F105,'Калькуляция (МСА)'!$G$25:$G$109,$G105),SUMIFS(INDEX('Калькуляция (5.9)'!$AJ$25:$BC$194,,MATCH(AY$8,'Калькуляция (5.9)'!$AJ$8:$BC$8,0)),'Калькуляция (5.9)'!$F$25:$F$194,$F105,'Калькуляция (5.9)'!$G$25:$G$194,$G105))</f>
        <v>0</v>
      </c>
      <c r="AZ105" s="22">
        <f ca="1">IF(method_reg="Метод сравнения аналогов",SUMIFS(INDEX('Калькуляция (МСА)'!$AE$25:$BC$109,,MATCH(AZ$8,'Калькуляция (МСА)'!$AE$8:$BC$8,0)),'Калькуляция (МСА)'!$F$25:$F$109,$F105,'Калькуляция (МСА)'!$G$25:$G$109,$G105),SUMIFS(INDEX('Калькуляция (5.9)'!$AJ$25:$BC$194,,MATCH(AZ$8,'Калькуляция (5.9)'!$AJ$8:$BC$8,0)),'Калькуляция (5.9)'!$F$25:$F$194,$F105,'Калькуляция (5.9)'!$G$25:$G$194,$G105))</f>
        <v>0</v>
      </c>
      <c r="BA105" s="312">
        <f ca="1">IF(AY105=0,0,(AZ105-AY105)/AY105*100)</f>
        <v>0</v>
      </c>
      <c r="BB105" s="22">
        <f ca="1">IF(method_reg="Метод сравнения аналогов",SUMIFS(INDEX('Калькуляция (МСА)'!$AE$25:$BC$109,,MATCH(BB$8,'Калькуляция (МСА)'!$AE$8:$BC$8,0)),'Калькуляция (МСА)'!$F$25:$F$109,$F105,'Калькуляция (МСА)'!$G$25:$G$109,$G105),SUMIFS(INDEX('Калькуляция (5.9)'!$AJ$25:$BC$194,,MATCH(BB$8,'Калькуляция (5.9)'!$AJ$8:$BC$8,0)),'Калькуляция (5.9)'!$F$25:$F$194,$F105,'Калькуляция (5.9)'!$G$25:$G$194,$G105))</f>
        <v>0</v>
      </c>
      <c r="BC105" s="22">
        <f ca="1">IF(method_reg="Метод сравнения аналогов",SUMIFS(INDEX('Калькуляция (МСА)'!$AE$25:$BC$109,,MATCH(BC$8,'Калькуляция (МСА)'!$AE$8:$BC$8,0)),'Калькуляция (МСА)'!$F$25:$F$109,$F105,'Калькуляция (МСА)'!$G$25:$G$109,$G105),SUMIFS(INDEX('Калькуляция (5.9)'!$AJ$25:$BC$194,,MATCH(BC$8,'Калькуляция (5.9)'!$AJ$8:$BC$8,0)),'Калькуляция (5.9)'!$F$25:$F$194,$F105,'Калькуляция (5.9)'!$G$25:$G$194,$G105))</f>
        <v>0</v>
      </c>
      <c r="BD105" s="312">
        <f ca="1">IF(BB105=0,0,(BC105-BB105)/BB105*100)</f>
        <v>0</v>
      </c>
      <c r="BE105" s="22">
        <f ca="1">IF(method_reg="Метод сравнения аналогов",SUMIFS(INDEX('Калькуляция (МСА)'!$AE$25:$BC$109,,MATCH(BE$8,'Калькуляция (МСА)'!$AE$8:$BC$8,0)),'Калькуляция (МСА)'!$F$25:$F$109,$F105,'Калькуляция (МСА)'!$G$25:$G$109,$G105),SUMIFS(INDEX('Калькуляция (5.9)'!$AJ$25:$BC$194,,MATCH(BE$8,'Калькуляция (5.9)'!$AJ$8:$BC$8,0)),'Калькуляция (5.9)'!$F$25:$F$194,$F105,'Калькуляция (5.9)'!$G$25:$G$194,$G105))</f>
        <v>0</v>
      </c>
      <c r="BF105" s="22">
        <f ca="1">IF(method_reg="Метод сравнения аналогов",SUMIFS(INDEX('Калькуляция (МСА)'!$AE$25:$BC$109,,MATCH(BF$8,'Калькуляция (МСА)'!$AE$8:$BC$8,0)),'Калькуляция (МСА)'!$F$25:$F$109,$F105,'Калькуляция (МСА)'!$G$25:$G$109,$G105),SUMIFS(INDEX('Калькуляция (5.9)'!$AJ$25:$BC$194,,MATCH(BF$8,'Калькуляция (5.9)'!$AJ$8:$BC$8,0)),'Калькуляция (5.9)'!$F$25:$F$194,$F105,'Калькуляция (5.9)'!$G$25:$G$194,$G105))</f>
        <v>0</v>
      </c>
      <c r="BG105" s="312">
        <f ca="1">IF(BE105=0,0,(BF105-BE105)/BE105*100)</f>
        <v>0</v>
      </c>
      <c r="BH105" s="22"/>
      <c r="BI105" s="22"/>
      <c r="BJ105" s="312">
        <f>IF(BH105=0,0,(BI105-BH105)/BH105*100)</f>
        <v>0</v>
      </c>
      <c r="BK105" s="22"/>
      <c r="BL105" s="22"/>
      <c r="BM105" s="312">
        <f>IF(BK105=0,0,(BL105-BK105)/BK105*100)</f>
        <v>0</v>
      </c>
      <c r="BN105" s="22"/>
      <c r="BO105" s="22"/>
      <c r="BP105" s="312">
        <f>IF(BN105=0,0,(BO105-BN105)/BN105*100)</f>
        <v>0</v>
      </c>
      <c r="BQ105" s="22"/>
      <c r="BR105" s="22"/>
      <c r="BS105" s="312">
        <f>IF(BQ105=0,0,(BR105-BQ105)/BQ105*100)</f>
        <v>0</v>
      </c>
      <c r="BT105" s="22"/>
      <c r="BU105" s="22"/>
      <c r="BV105" s="312">
        <f>IF(BT105=0,0,(BU105-BT105)/BT105*100)</f>
        <v>0</v>
      </c>
      <c r="BW105" s="22"/>
      <c r="BX105" s="22"/>
      <c r="BY105" s="312">
        <f>IF(BW105=0,0,(BX105-BW105)/BW105*100)</f>
        <v>0</v>
      </c>
      <c r="BZ105" s="22"/>
      <c r="CA105" s="22"/>
      <c r="CB105" s="312">
        <f>IF(BZ105=0,0,(CA105-BZ105)/BZ105*100)</f>
        <v>0</v>
      </c>
      <c r="CC105" s="22"/>
      <c r="CD105" s="22"/>
      <c r="CE105" s="312">
        <f>IF(CC105=0,0,(CD105-CC105)/CC105*100)</f>
        <v>0</v>
      </c>
      <c r="CF105" s="22"/>
      <c r="CG105" s="22"/>
      <c r="CH105" s="312">
        <f>IF(CF105=0,0,(CG105-CF105)/CF105*100)</f>
        <v>0</v>
      </c>
      <c r="CI105" s="22"/>
      <c r="CJ105" s="22"/>
      <c r="CK105" s="312">
        <f>IF(CI105=0,0,(CJ105-CI105)/CI105*100)</f>
        <v>0</v>
      </c>
      <c r="CL105" s="22"/>
      <c r="CM105" s="22"/>
      <c r="CN105" s="312">
        <f>IF(CL105=0,0,(CM105-CL105)/CL105*100)</f>
        <v>0</v>
      </c>
      <c r="CO105" s="22"/>
      <c r="CP105" s="22"/>
      <c r="CQ105" s="312">
        <f>IF(CO105=0,0,(CP105-CO105)/CO105*100)</f>
        <v>0</v>
      </c>
      <c r="CR105" s="22"/>
      <c r="CS105" s="22"/>
      <c r="CT105" s="312">
        <f>IF(CR105=0,0,(CS105-CR105)/CR105*100)</f>
        <v>0</v>
      </c>
      <c r="CU105" s="22"/>
      <c r="CV105" s="22"/>
      <c r="CW105" s="312">
        <f>IF(CU105=0,0,(CV105-CU105)/CU105*100)</f>
        <v>0</v>
      </c>
      <c r="CX105" s="22"/>
      <c r="CY105" s="22"/>
      <c r="CZ105" s="312">
        <f>IF(CX105=0,0,(CY105-CX105)/CX105*100)</f>
        <v>0</v>
      </c>
      <c r="DA105" s="22"/>
      <c r="DB105" s="22"/>
      <c r="DC105" s="312">
        <f>IF(DA105=0,0,(DB105-DA105)/DA105*100)</f>
        <v>0</v>
      </c>
      <c r="DD105" s="22"/>
      <c r="DE105" s="22"/>
      <c r="DF105" s="312">
        <f>IF(DD105=0,0,(DE105-DD105)/DD105*100)</f>
        <v>0</v>
      </c>
      <c r="DG105" s="22"/>
      <c r="DH105" s="22"/>
      <c r="DI105" s="312">
        <f>IF(DG105=0,0,(DH105-DG105)/DG105*100)</f>
        <v>0</v>
      </c>
      <c r="DJ105" s="22"/>
      <c r="DK105" s="22"/>
      <c r="DL105" s="312">
        <f>IF(DJ105=0,0,(DK105-DJ105)/DJ105*100)</f>
        <v>0</v>
      </c>
      <c r="DM105" s="22"/>
      <c r="DN105" s="22"/>
      <c r="DO105" s="312">
        <f>IF(DM105=0,0,(DN105-DM105)/DM105*100)</f>
        <v>0</v>
      </c>
      <c r="DP105" s="22"/>
      <c r="DQ105" s="22"/>
      <c r="DR105" s="312">
        <f>IF(DP105=0,0,(DQ105-DP105)/DP105*100)</f>
        <v>0</v>
      </c>
      <c r="DS105" s="22"/>
      <c r="DT105" s="22"/>
      <c r="DU105" s="312">
        <f>IF(DS105=0,0,(DT105-DS105)/DS105*100)</f>
        <v>0</v>
      </c>
      <c r="DV105" s="22"/>
      <c r="DW105" s="22"/>
      <c r="DX105" s="312">
        <f>IF(DV105=0,0,(DW105-DV105)/DV105*100)</f>
        <v>0</v>
      </c>
      <c r="DY105" s="22"/>
      <c r="DZ105" s="22"/>
      <c r="EA105" s="312">
        <f>IF(DY105=0,0,(DZ105-DY105)/DY105*100)</f>
        <v>0</v>
      </c>
      <c r="EB105" s="22"/>
      <c r="EC105" s="22"/>
      <c r="ED105" s="312">
        <f>IF(EB105=0,0,(EC105-EB105)/EB105*100)</f>
        <v>0</v>
      </c>
      <c r="EE105" s="22"/>
      <c r="EF105" s="22"/>
      <c r="EG105" s="312">
        <f>IF(EE105=0,0,(EF105-EE105)/EE105*100)</f>
        <v>0</v>
      </c>
      <c r="EH105" s="22"/>
      <c r="EI105" s="22"/>
      <c r="EJ105" s="312">
        <f>IF(EH105=0,0,(EI105-EH105)/EH105*100)</f>
        <v>0</v>
      </c>
      <c r="EK105" s="22"/>
      <c r="EL105" s="22"/>
      <c r="EM105" s="312">
        <f>IF(EK105=0,0,(EL105-EK105)/EK105*100)</f>
        <v>0</v>
      </c>
      <c r="EN105" s="22"/>
      <c r="EO105" s="22"/>
      <c r="EP105" s="312">
        <f>IF(EN105=0,0,(EO105-EN105)/EN105*100)</f>
        <v>0</v>
      </c>
      <c r="EQ105" s="22"/>
      <c r="ER105" s="22"/>
      <c r="ES105" s="312">
        <f>IF(EQ105=0,0,(ER105-EQ105)/EQ105*100)</f>
        <v>0</v>
      </c>
      <c r="ET105" s="22"/>
      <c r="EU105" s="22"/>
      <c r="EV105" s="312">
        <f>IF(ET105=0,0,(EU105-ET105)/ET105*100)</f>
        <v>0</v>
      </c>
      <c r="EW105" s="22"/>
      <c r="EX105" s="22"/>
      <c r="EY105" s="312">
        <f>IF(EW105=0,0,(EX105-EW105)/EW105*100)</f>
        <v>0</v>
      </c>
      <c r="EZ105" s="22"/>
      <c r="FA105" s="22"/>
      <c r="FB105" s="312">
        <f>IF(EZ105=0,0,(FA105-EZ105)/EZ105*100)</f>
        <v>0</v>
      </c>
      <c r="FC105" s="22"/>
      <c r="FD105" s="22"/>
      <c r="FE105" s="312">
        <f>IF(FC105=0,0,(FD105-FC105)/FC105*100)</f>
        <v>0</v>
      </c>
      <c r="FF105" s="22"/>
      <c r="FG105" s="22"/>
      <c r="FH105" s="312">
        <f>IF(FF105=0,0,(FG105-FF105)/FF105*100)</f>
        <v>0</v>
      </c>
      <c r="FI105" s="22"/>
      <c r="FJ105" s="22"/>
      <c r="FK105" s="312">
        <f>IF(FI105=0,0,(FJ105-FI105)/FI105*100)</f>
        <v>0</v>
      </c>
      <c r="FL105" s="22"/>
      <c r="FM105" s="22"/>
      <c r="FN105" s="312">
        <f>IF(FL105=0,0,(FM105-FL105)/FL105*100)</f>
        <v>0</v>
      </c>
      <c r="FO105" s="22"/>
      <c r="FP105" s="22"/>
      <c r="FQ105" s="312">
        <f>IF(FO105=0,0,(FP105-FO105)/FO105*100)</f>
        <v>0</v>
      </c>
      <c r="FR105" s="22"/>
      <c r="FS105" s="22"/>
      <c r="FT105" s="312">
        <f>IF(FR105=0,0,(FS105-FR105)/FR105*100)</f>
        <v>0</v>
      </c>
      <c r="FU105" s="22"/>
      <c r="FV105" s="22"/>
      <c r="FW105" s="312">
        <f>IF(FU105=0,0,(FV105-FU105)/FU105*100)</f>
        <v>0</v>
      </c>
      <c r="FX105" s="425"/>
      <c r="FY105" s="425"/>
      <c r="FZ105" s="981" t="s">
        <v>2221</v>
      </c>
      <c r="GA105" s="981"/>
      <c r="GB105" s="981"/>
      <c r="GC105" s="981"/>
      <c r="GD105" s="981"/>
    </row>
    <row r="106" spans="1:186" s="1229" customFormat="1" ht="15" hidden="1" customHeight="1">
      <c r="A106" s="1153"/>
      <c r="B106" s="813" t="b" cm="1">
        <f t="array" ref="B106">B105</f>
        <v>0</v>
      </c>
      <c r="C106" s="1118" t="s">
        <v>1805</v>
      </c>
      <c r="D106" s="1087" t="s">
        <v>1806</v>
      </c>
      <c r="E106" s="676">
        <v>15.8</v>
      </c>
      <c r="F106" s="779" t="str" cm="1">
        <f t="array" aca="1" ref="F106" ca="1">OFFSET(G106,-1,-1)</f>
        <v>1</v>
      </c>
      <c r="G106" s="620" t="s">
        <v>1812</v>
      </c>
      <c r="H106" s="163" t="s">
        <v>2213</v>
      </c>
      <c r="I106" s="163" t="s">
        <v>2155</v>
      </c>
      <c r="J106" s="1108"/>
      <c r="K106" s="1108" t="str" cm="1">
        <f t="array" aca="1" ref="K106" ca="1">OFFSET(J106,-1,1)</f>
        <v>ТЭ.42.26322895.0003</v>
      </c>
      <c r="L106" s="1108"/>
      <c r="M106" s="1108" t="s">
        <v>1791</v>
      </c>
      <c r="N106" s="1108" t="s">
        <v>2151</v>
      </c>
      <c r="O106" s="1109" t="s">
        <v>2152</v>
      </c>
      <c r="P106" s="1108" t="s">
        <v>2214</v>
      </c>
      <c r="Q106" s="1108"/>
      <c r="R106" s="784"/>
      <c r="S106" s="425"/>
      <c r="T106" s="687" t="b" cm="1">
        <f t="array" aca="1" ref="T106" ca="1">T105</f>
        <v>0</v>
      </c>
      <c r="U106" s="1153"/>
      <c r="V106" s="1153"/>
      <c r="W106" s="1153"/>
      <c r="X106" s="1726"/>
      <c r="Y106" s="1153"/>
      <c r="Z106" s="1726"/>
      <c r="AA106" s="425"/>
      <c r="AB106" s="223" t="s">
        <v>2215</v>
      </c>
      <c r="AC106" s="557" t="s">
        <v>725</v>
      </c>
      <c r="AD106" s="22">
        <f ca="1">IF(method_reg="Метод экономически обоснованных расходов",SUMIFS('Калькуляция (4.6)'!AJ$25:AJ$229,'Калькуляция (4.6)'!$F$25:$F$229,$F106,'Калькуляция (4.6)'!$G$25:$G$229,$G106),IF(method_reg="Метод сравнения аналогов",SUMIFS(INDEX('Калькуляция (МСА)'!$AE$25:$BC$109,,MATCH(AD$8,'Калькуляция (МСА)'!$AE$8:$BC$8,0)),'Калькуляция (МСА)'!$F$25:$F$109,$F106,'Калькуляция (МСА)'!$G$25:$G$109,$G106),SUMIFS(INDEX('Калькуляция (5.9)'!$AJ$25:$BC$194,,MATCH(AD$8,'Калькуляция (5.9)'!$AJ$8:$BC$8,0)),'Калькуляция (5.9)'!$F$25:$F$194,$F106,'Калькуляция (5.9)'!$G$25:$G$194,$G106)))</f>
        <v>0</v>
      </c>
      <c r="AE106" s="22">
        <f ca="1">IF(method_reg="Метод экономически обоснованных расходов",SUMIFS('Калькуляция (4.6)'!AK$25:AK$229,'Калькуляция (4.6)'!$F$25:$F$229,$F106,'Калькуляция (4.6)'!$G$25:$G$229,$G106),IF(method_reg="Метод сравнения аналогов",SUMIFS(INDEX('Калькуляция (МСА)'!$AE$25:$BC$109,,MATCH(AE$8,'Калькуляция (МСА)'!$AE$8:$BC$8,0)),'Калькуляция (МСА)'!$F$25:$F$109,$F106,'Калькуляция (МСА)'!$G$25:$G$109,$G106),SUMIFS(INDEX('Калькуляция (5.9)'!$AJ$25:$BC$194,,MATCH(AE$8,'Калькуляция (5.9)'!$AJ$8:$BC$8,0)),'Калькуляция (5.9)'!$F$25:$F$194,$F106,'Калькуляция (5.9)'!$G$25:$G$194,$G106)))</f>
        <v>0</v>
      </c>
      <c r="AF106" s="312">
        <f ca="1">IF(AD106=0,0,(AE106-AD106)/AD106*100)</f>
        <v>0</v>
      </c>
      <c r="AG106" s="313">
        <f ca="1">IF(method_reg="Метод сравнения аналогов",SUMIFS(INDEX('Калькуляция (МСА)'!$AE$25:$BC$109,,MATCH(AG$8,'Калькуляция (МСА)'!$AE$8:$BC$8,0)),'Калькуляция (МСА)'!$F$25:$F$109,$F106,'Калькуляция (МСА)'!$G$25:$G$109,$G106),SUMIFS(INDEX('Калькуляция (5.9)'!$AJ$25:$BC$194,,MATCH(AG$8,'Калькуляция (5.9)'!$AJ$8:$BC$8,0)),'Калькуляция (5.9)'!$F$25:$F$194,$F106,'Калькуляция (5.9)'!$G$25:$G$194,$G106))</f>
        <v>0</v>
      </c>
      <c r="AH106" s="313">
        <f ca="1">IF(method_reg="Метод сравнения аналогов",SUMIFS(INDEX('Калькуляция (МСА)'!$AE$25:$BC$109,,MATCH(AH$8,'Калькуляция (МСА)'!$AE$8:$BC$8,0)),'Калькуляция (МСА)'!$F$25:$F$109,$F106,'Калькуляция (МСА)'!$G$25:$G$109,$G106),SUMIFS(INDEX('Калькуляция (5.9)'!$AJ$25:$BC$194,,MATCH(AH$8,'Калькуляция (5.9)'!$AJ$8:$BC$8,0)),'Калькуляция (5.9)'!$F$25:$F$194,$F106,'Калькуляция (5.9)'!$G$25:$G$194,$G106))</f>
        <v>0</v>
      </c>
      <c r="AI106" s="312">
        <f ca="1">IF(AG106=0,0,(AH106-AG106)/AG106*100)</f>
        <v>0</v>
      </c>
      <c r="AJ106" s="313">
        <f ca="1">IF(method_reg="Метод сравнения аналогов",SUMIFS(INDEX('Калькуляция (МСА)'!$AE$25:$BC$109,,MATCH(AJ$8,'Калькуляция (МСА)'!$AE$8:$BC$8,0)),'Калькуляция (МСА)'!$F$25:$F$109,$F106,'Калькуляция (МСА)'!$G$25:$G$109,$G106),SUMIFS(INDEX('Калькуляция (5.9)'!$AJ$25:$BC$194,,MATCH(AJ$8,'Калькуляция (5.9)'!$AJ$8:$BC$8,0)),'Калькуляция (5.9)'!$F$25:$F$194,$F106,'Калькуляция (5.9)'!$G$25:$G$194,$G106))</f>
        <v>0</v>
      </c>
      <c r="AK106" s="313">
        <f ca="1">IF(method_reg="Метод сравнения аналогов",SUMIFS(INDEX('Калькуляция (МСА)'!$AE$25:$BC$109,,MATCH(AK$8,'Калькуляция (МСА)'!$AE$8:$BC$8,0)),'Калькуляция (МСА)'!$F$25:$F$109,$F106,'Калькуляция (МСА)'!$G$25:$G$109,$G106),SUMIFS(INDEX('Калькуляция (5.9)'!$AJ$25:$BC$194,,MATCH(AK$8,'Калькуляция (5.9)'!$AJ$8:$BC$8,0)),'Калькуляция (5.9)'!$F$25:$F$194,$F106,'Калькуляция (5.9)'!$G$25:$G$194,$G106))</f>
        <v>0</v>
      </c>
      <c r="AL106" s="312">
        <f ca="1">IF(AJ106=0,0,(AK106-AJ106)/AJ106*100)</f>
        <v>0</v>
      </c>
      <c r="AM106" s="313">
        <f ca="1">IF(method_reg="Метод сравнения аналогов",SUMIFS(INDEX('Калькуляция (МСА)'!$AE$25:$BC$109,,MATCH(AM$8,'Калькуляция (МСА)'!$AE$8:$BC$8,0)),'Калькуляция (МСА)'!$F$25:$F$109,$F106,'Калькуляция (МСА)'!$G$25:$G$109,$G106),SUMIFS(INDEX('Калькуляция (5.9)'!$AJ$25:$BC$194,,MATCH(AM$8,'Калькуляция (5.9)'!$AJ$8:$BC$8,0)),'Калькуляция (5.9)'!$F$25:$F$194,$F106,'Калькуляция (5.9)'!$G$25:$G$194,$G106))</f>
        <v>0</v>
      </c>
      <c r="AN106" s="313">
        <f ca="1">IF(method_reg="Метод сравнения аналогов",SUMIFS(INDEX('Калькуляция (МСА)'!$AE$25:$BC$109,,MATCH(AN$8,'Калькуляция (МСА)'!$AE$8:$BC$8,0)),'Калькуляция (МСА)'!$F$25:$F$109,$F106,'Калькуляция (МСА)'!$G$25:$G$109,$G106),SUMIFS(INDEX('Калькуляция (5.9)'!$AJ$25:$BC$194,,MATCH(AN$8,'Калькуляция (5.9)'!$AJ$8:$BC$8,0)),'Калькуляция (5.9)'!$F$25:$F$194,$F106,'Калькуляция (5.9)'!$G$25:$G$194,$G106))</f>
        <v>0</v>
      </c>
      <c r="AO106" s="312">
        <f ca="1">IF(AM106=0,0,(AN106-AM106)/AM106*100)</f>
        <v>0</v>
      </c>
      <c r="AP106" s="313">
        <f ca="1">IF(method_reg="Метод сравнения аналогов",SUMIFS(INDEX('Калькуляция (МСА)'!$AE$25:$BC$109,,MATCH(AP$8,'Калькуляция (МСА)'!$AE$8:$BC$8,0)),'Калькуляция (МСА)'!$F$25:$F$109,$F106,'Калькуляция (МСА)'!$G$25:$G$109,$G106),SUMIFS(INDEX('Калькуляция (5.9)'!$AJ$25:$BC$194,,MATCH(AP$8,'Калькуляция (5.9)'!$AJ$8:$BC$8,0)),'Калькуляция (5.9)'!$F$25:$F$194,$F106,'Калькуляция (5.9)'!$G$25:$G$194,$G106))</f>
        <v>0</v>
      </c>
      <c r="AQ106" s="313">
        <f ca="1">IF(method_reg="Метод сравнения аналогов",SUMIFS(INDEX('Калькуляция (МСА)'!$AE$25:$BC$109,,MATCH(AQ$8,'Калькуляция (МСА)'!$AE$8:$BC$8,0)),'Калькуляция (МСА)'!$F$25:$F$109,$F106,'Калькуляция (МСА)'!$G$25:$G$109,$G106),SUMIFS(INDEX('Калькуляция (5.9)'!$AJ$25:$BC$194,,MATCH(AQ$8,'Калькуляция (5.9)'!$AJ$8:$BC$8,0)),'Калькуляция (5.9)'!$F$25:$F$194,$F106,'Калькуляция (5.9)'!$G$25:$G$194,$G106))</f>
        <v>0</v>
      </c>
      <c r="AR106" s="312">
        <f ca="1">IF(AP106=0,0,(AQ106-AP106)/AP106*100)</f>
        <v>0</v>
      </c>
      <c r="AS106" s="22">
        <f ca="1">IF(method_reg="Метод сравнения аналогов",SUMIFS(INDEX('Калькуляция (МСА)'!$AE$25:$BC$109,,MATCH(AS$8,'Калькуляция (МСА)'!$AE$8:$BC$8,0)),'Калькуляция (МСА)'!$F$25:$F$109,$F106,'Калькуляция (МСА)'!$G$25:$G$109,$G106),SUMIFS(INDEX('Калькуляция (5.9)'!$AJ$25:$BC$194,,MATCH(AS$8,'Калькуляция (5.9)'!$AJ$8:$BC$8,0)),'Калькуляция (5.9)'!$F$25:$F$194,$F106,'Калькуляция (5.9)'!$G$25:$G$194,$G106))</f>
        <v>0</v>
      </c>
      <c r="AT106" s="22">
        <f ca="1">IF(method_reg="Метод сравнения аналогов",SUMIFS(INDEX('Калькуляция (МСА)'!$AE$25:$BC$109,,MATCH(AT$8,'Калькуляция (МСА)'!$AE$8:$BC$8,0)),'Калькуляция (МСА)'!$F$25:$F$109,$F106,'Калькуляция (МСА)'!$G$25:$G$109,$G106),SUMIFS(INDEX('Калькуляция (5.9)'!$AJ$25:$BC$194,,MATCH(AT$8,'Калькуляция (5.9)'!$AJ$8:$BC$8,0)),'Калькуляция (5.9)'!$F$25:$F$194,$F106,'Калькуляция (5.9)'!$G$25:$G$194,$G106))</f>
        <v>0</v>
      </c>
      <c r="AU106" s="312">
        <f ca="1">IF(AS106=0,0,(AT106-AS106)/AS106*100)</f>
        <v>0</v>
      </c>
      <c r="AV106" s="22">
        <f ca="1">IF(method_reg="Метод сравнения аналогов",SUMIFS(INDEX('Калькуляция (МСА)'!$AE$25:$BC$109,,MATCH(AV$8,'Калькуляция (МСА)'!$AE$8:$BC$8,0)),'Калькуляция (МСА)'!$F$25:$F$109,$F106,'Калькуляция (МСА)'!$G$25:$G$109,$G106),SUMIFS(INDEX('Калькуляция (5.9)'!$AJ$25:$BC$194,,MATCH(AV$8,'Калькуляция (5.9)'!$AJ$8:$BC$8,0)),'Калькуляция (5.9)'!$F$25:$F$194,$F106,'Калькуляция (5.9)'!$G$25:$G$194,$G106))</f>
        <v>0</v>
      </c>
      <c r="AW106" s="22">
        <f ca="1">IF(method_reg="Метод сравнения аналогов",SUMIFS(INDEX('Калькуляция (МСА)'!$AE$25:$BC$109,,MATCH(AW$8,'Калькуляция (МСА)'!$AE$8:$BC$8,0)),'Калькуляция (МСА)'!$F$25:$F$109,$F106,'Калькуляция (МСА)'!$G$25:$G$109,$G106),SUMIFS(INDEX('Калькуляция (5.9)'!$AJ$25:$BC$194,,MATCH(AW$8,'Калькуляция (5.9)'!$AJ$8:$BC$8,0)),'Калькуляция (5.9)'!$F$25:$F$194,$F106,'Калькуляция (5.9)'!$G$25:$G$194,$G106))</f>
        <v>0</v>
      </c>
      <c r="AX106" s="312">
        <f ca="1">IF(AV106=0,0,(AW106-AV106)/AV106*100)</f>
        <v>0</v>
      </c>
      <c r="AY106" s="22">
        <f ca="1">IF(method_reg="Метод сравнения аналогов",SUMIFS(INDEX('Калькуляция (МСА)'!$AE$25:$BC$109,,MATCH(AY$8,'Калькуляция (МСА)'!$AE$8:$BC$8,0)),'Калькуляция (МСА)'!$F$25:$F$109,$F106,'Калькуляция (МСА)'!$G$25:$G$109,$G106),SUMIFS(INDEX('Калькуляция (5.9)'!$AJ$25:$BC$194,,MATCH(AY$8,'Калькуляция (5.9)'!$AJ$8:$BC$8,0)),'Калькуляция (5.9)'!$F$25:$F$194,$F106,'Калькуляция (5.9)'!$G$25:$G$194,$G106))</f>
        <v>0</v>
      </c>
      <c r="AZ106" s="22">
        <f ca="1">IF(method_reg="Метод сравнения аналогов",SUMIFS(INDEX('Калькуляция (МСА)'!$AE$25:$BC$109,,MATCH(AZ$8,'Калькуляция (МСА)'!$AE$8:$BC$8,0)),'Калькуляция (МСА)'!$F$25:$F$109,$F106,'Калькуляция (МСА)'!$G$25:$G$109,$G106),SUMIFS(INDEX('Калькуляция (5.9)'!$AJ$25:$BC$194,,MATCH(AZ$8,'Калькуляция (5.9)'!$AJ$8:$BC$8,0)),'Калькуляция (5.9)'!$F$25:$F$194,$F106,'Калькуляция (5.9)'!$G$25:$G$194,$G106))</f>
        <v>0</v>
      </c>
      <c r="BA106" s="312">
        <f ca="1">IF(AY106=0,0,(AZ106-AY106)/AY106*100)</f>
        <v>0</v>
      </c>
      <c r="BB106" s="22">
        <f ca="1">IF(method_reg="Метод сравнения аналогов",SUMIFS(INDEX('Калькуляция (МСА)'!$AE$25:$BC$109,,MATCH(BB$8,'Калькуляция (МСА)'!$AE$8:$BC$8,0)),'Калькуляция (МСА)'!$F$25:$F$109,$F106,'Калькуляция (МСА)'!$G$25:$G$109,$G106),SUMIFS(INDEX('Калькуляция (5.9)'!$AJ$25:$BC$194,,MATCH(BB$8,'Калькуляция (5.9)'!$AJ$8:$BC$8,0)),'Калькуляция (5.9)'!$F$25:$F$194,$F106,'Калькуляция (5.9)'!$G$25:$G$194,$G106))</f>
        <v>0</v>
      </c>
      <c r="BC106" s="22">
        <f ca="1">IF(method_reg="Метод сравнения аналогов",SUMIFS(INDEX('Калькуляция (МСА)'!$AE$25:$BC$109,,MATCH(BC$8,'Калькуляция (МСА)'!$AE$8:$BC$8,0)),'Калькуляция (МСА)'!$F$25:$F$109,$F106,'Калькуляция (МСА)'!$G$25:$G$109,$G106),SUMIFS(INDEX('Калькуляция (5.9)'!$AJ$25:$BC$194,,MATCH(BC$8,'Калькуляция (5.9)'!$AJ$8:$BC$8,0)),'Калькуляция (5.9)'!$F$25:$F$194,$F106,'Калькуляция (5.9)'!$G$25:$G$194,$G106))</f>
        <v>0</v>
      </c>
      <c r="BD106" s="312">
        <f ca="1">IF(BB106=0,0,(BC106-BB106)/BB106*100)</f>
        <v>0</v>
      </c>
      <c r="BE106" s="22">
        <f ca="1">IF(method_reg="Метод сравнения аналогов",SUMIFS(INDEX('Калькуляция (МСА)'!$AE$25:$BC$109,,MATCH(BE$8,'Калькуляция (МСА)'!$AE$8:$BC$8,0)),'Калькуляция (МСА)'!$F$25:$F$109,$F106,'Калькуляция (МСА)'!$G$25:$G$109,$G106),SUMIFS(INDEX('Калькуляция (5.9)'!$AJ$25:$BC$194,,MATCH(BE$8,'Калькуляция (5.9)'!$AJ$8:$BC$8,0)),'Калькуляция (5.9)'!$F$25:$F$194,$F106,'Калькуляция (5.9)'!$G$25:$G$194,$G106))</f>
        <v>0</v>
      </c>
      <c r="BF106" s="22">
        <f ca="1">IF(method_reg="Метод сравнения аналогов",SUMIFS(INDEX('Калькуляция (МСА)'!$AE$25:$BC$109,,MATCH(BF$8,'Калькуляция (МСА)'!$AE$8:$BC$8,0)),'Калькуляция (МСА)'!$F$25:$F$109,$F106,'Калькуляция (МСА)'!$G$25:$G$109,$G106),SUMIFS(INDEX('Калькуляция (5.9)'!$AJ$25:$BC$194,,MATCH(BF$8,'Калькуляция (5.9)'!$AJ$8:$BC$8,0)),'Калькуляция (5.9)'!$F$25:$F$194,$F106,'Калькуляция (5.9)'!$G$25:$G$194,$G106))</f>
        <v>0</v>
      </c>
      <c r="BG106" s="312">
        <f ca="1">IF(BE106=0,0,(BF106-BE106)/BE106*100)</f>
        <v>0</v>
      </c>
      <c r="BH106" s="22"/>
      <c r="BI106" s="22"/>
      <c r="BJ106" s="312">
        <f>IF(BH106=0,0,(BI106-BH106)/BH106*100)</f>
        <v>0</v>
      </c>
      <c r="BK106" s="22"/>
      <c r="BL106" s="22"/>
      <c r="BM106" s="312">
        <f>IF(BK106=0,0,(BL106-BK106)/BK106*100)</f>
        <v>0</v>
      </c>
      <c r="BN106" s="22"/>
      <c r="BO106" s="22"/>
      <c r="BP106" s="312">
        <f>IF(BN106=0,0,(BO106-BN106)/BN106*100)</f>
        <v>0</v>
      </c>
      <c r="BQ106" s="22"/>
      <c r="BR106" s="22"/>
      <c r="BS106" s="312">
        <f>IF(BQ106=0,0,(BR106-BQ106)/BQ106*100)</f>
        <v>0</v>
      </c>
      <c r="BT106" s="22"/>
      <c r="BU106" s="22"/>
      <c r="BV106" s="312">
        <f>IF(BT106=0,0,(BU106-BT106)/BT106*100)</f>
        <v>0</v>
      </c>
      <c r="BW106" s="22"/>
      <c r="BX106" s="22"/>
      <c r="BY106" s="312">
        <f>IF(BW106=0,0,(BX106-BW106)/BW106*100)</f>
        <v>0</v>
      </c>
      <c r="BZ106" s="22"/>
      <c r="CA106" s="22"/>
      <c r="CB106" s="312">
        <f>IF(BZ106=0,0,(CA106-BZ106)/BZ106*100)</f>
        <v>0</v>
      </c>
      <c r="CC106" s="22"/>
      <c r="CD106" s="22"/>
      <c r="CE106" s="312">
        <f>IF(CC106=0,0,(CD106-CC106)/CC106*100)</f>
        <v>0</v>
      </c>
      <c r="CF106" s="22"/>
      <c r="CG106" s="22"/>
      <c r="CH106" s="312">
        <f>IF(CF106=0,0,(CG106-CF106)/CF106*100)</f>
        <v>0</v>
      </c>
      <c r="CI106" s="22"/>
      <c r="CJ106" s="22"/>
      <c r="CK106" s="312">
        <f>IF(CI106=0,0,(CJ106-CI106)/CI106*100)</f>
        <v>0</v>
      </c>
      <c r="CL106" s="22"/>
      <c r="CM106" s="22"/>
      <c r="CN106" s="312">
        <f>IF(CL106=0,0,(CM106-CL106)/CL106*100)</f>
        <v>0</v>
      </c>
      <c r="CO106" s="22"/>
      <c r="CP106" s="22"/>
      <c r="CQ106" s="312">
        <f>IF(CO106=0,0,(CP106-CO106)/CO106*100)</f>
        <v>0</v>
      </c>
      <c r="CR106" s="22"/>
      <c r="CS106" s="22"/>
      <c r="CT106" s="312">
        <f>IF(CR106=0,0,(CS106-CR106)/CR106*100)</f>
        <v>0</v>
      </c>
      <c r="CU106" s="22"/>
      <c r="CV106" s="22"/>
      <c r="CW106" s="312">
        <f>IF(CU106=0,0,(CV106-CU106)/CU106*100)</f>
        <v>0</v>
      </c>
      <c r="CX106" s="22"/>
      <c r="CY106" s="22"/>
      <c r="CZ106" s="312">
        <f>IF(CX106=0,0,(CY106-CX106)/CX106*100)</f>
        <v>0</v>
      </c>
      <c r="DA106" s="22"/>
      <c r="DB106" s="22"/>
      <c r="DC106" s="312">
        <f>IF(DA106=0,0,(DB106-DA106)/DA106*100)</f>
        <v>0</v>
      </c>
      <c r="DD106" s="22"/>
      <c r="DE106" s="22"/>
      <c r="DF106" s="312">
        <f>IF(DD106=0,0,(DE106-DD106)/DD106*100)</f>
        <v>0</v>
      </c>
      <c r="DG106" s="22"/>
      <c r="DH106" s="22"/>
      <c r="DI106" s="312">
        <f>IF(DG106=0,0,(DH106-DG106)/DG106*100)</f>
        <v>0</v>
      </c>
      <c r="DJ106" s="22"/>
      <c r="DK106" s="22"/>
      <c r="DL106" s="312">
        <f>IF(DJ106=0,0,(DK106-DJ106)/DJ106*100)</f>
        <v>0</v>
      </c>
      <c r="DM106" s="22"/>
      <c r="DN106" s="22"/>
      <c r="DO106" s="312">
        <f>IF(DM106=0,0,(DN106-DM106)/DM106*100)</f>
        <v>0</v>
      </c>
      <c r="DP106" s="22"/>
      <c r="DQ106" s="22"/>
      <c r="DR106" s="312">
        <f>IF(DP106=0,0,(DQ106-DP106)/DP106*100)</f>
        <v>0</v>
      </c>
      <c r="DS106" s="22"/>
      <c r="DT106" s="22"/>
      <c r="DU106" s="312">
        <f>IF(DS106=0,0,(DT106-DS106)/DS106*100)</f>
        <v>0</v>
      </c>
      <c r="DV106" s="22"/>
      <c r="DW106" s="22"/>
      <c r="DX106" s="312">
        <f>IF(DV106=0,0,(DW106-DV106)/DV106*100)</f>
        <v>0</v>
      </c>
      <c r="DY106" s="22"/>
      <c r="DZ106" s="22"/>
      <c r="EA106" s="312">
        <f>IF(DY106=0,0,(DZ106-DY106)/DY106*100)</f>
        <v>0</v>
      </c>
      <c r="EB106" s="22"/>
      <c r="EC106" s="22"/>
      <c r="ED106" s="312">
        <f>IF(EB106=0,0,(EC106-EB106)/EB106*100)</f>
        <v>0</v>
      </c>
      <c r="EE106" s="22"/>
      <c r="EF106" s="22"/>
      <c r="EG106" s="312">
        <f>IF(EE106=0,0,(EF106-EE106)/EE106*100)</f>
        <v>0</v>
      </c>
      <c r="EH106" s="22"/>
      <c r="EI106" s="22"/>
      <c r="EJ106" s="312">
        <f>IF(EH106=0,0,(EI106-EH106)/EH106*100)</f>
        <v>0</v>
      </c>
      <c r="EK106" s="22"/>
      <c r="EL106" s="22"/>
      <c r="EM106" s="312">
        <f>IF(EK106=0,0,(EL106-EK106)/EK106*100)</f>
        <v>0</v>
      </c>
      <c r="EN106" s="22"/>
      <c r="EO106" s="22"/>
      <c r="EP106" s="312">
        <f>IF(EN106=0,0,(EO106-EN106)/EN106*100)</f>
        <v>0</v>
      </c>
      <c r="EQ106" s="22"/>
      <c r="ER106" s="22"/>
      <c r="ES106" s="312">
        <f>IF(EQ106=0,0,(ER106-EQ106)/EQ106*100)</f>
        <v>0</v>
      </c>
      <c r="ET106" s="22"/>
      <c r="EU106" s="22"/>
      <c r="EV106" s="312">
        <f>IF(ET106=0,0,(EU106-ET106)/ET106*100)</f>
        <v>0</v>
      </c>
      <c r="EW106" s="22"/>
      <c r="EX106" s="22"/>
      <c r="EY106" s="312">
        <f>IF(EW106=0,0,(EX106-EW106)/EW106*100)</f>
        <v>0</v>
      </c>
      <c r="EZ106" s="22"/>
      <c r="FA106" s="22"/>
      <c r="FB106" s="312">
        <f>IF(EZ106=0,0,(FA106-EZ106)/EZ106*100)</f>
        <v>0</v>
      </c>
      <c r="FC106" s="22"/>
      <c r="FD106" s="22"/>
      <c r="FE106" s="312">
        <f>IF(FC106=0,0,(FD106-FC106)/FC106*100)</f>
        <v>0</v>
      </c>
      <c r="FF106" s="22"/>
      <c r="FG106" s="22"/>
      <c r="FH106" s="312">
        <f>IF(FF106=0,0,(FG106-FF106)/FF106*100)</f>
        <v>0</v>
      </c>
      <c r="FI106" s="22"/>
      <c r="FJ106" s="22"/>
      <c r="FK106" s="312">
        <f>IF(FI106=0,0,(FJ106-FI106)/FI106*100)</f>
        <v>0</v>
      </c>
      <c r="FL106" s="22"/>
      <c r="FM106" s="22"/>
      <c r="FN106" s="312">
        <f>IF(FL106=0,0,(FM106-FL106)/FL106*100)</f>
        <v>0</v>
      </c>
      <c r="FO106" s="22"/>
      <c r="FP106" s="22"/>
      <c r="FQ106" s="312">
        <f>IF(FO106=0,0,(FP106-FO106)/FO106*100)</f>
        <v>0</v>
      </c>
      <c r="FR106" s="22"/>
      <c r="FS106" s="22"/>
      <c r="FT106" s="312">
        <f>IF(FR106=0,0,(FS106-FR106)/FR106*100)</f>
        <v>0</v>
      </c>
      <c r="FU106" s="22"/>
      <c r="FV106" s="22"/>
      <c r="FW106" s="312">
        <f>IF(FU106=0,0,(FV106-FU106)/FU106*100)</f>
        <v>0</v>
      </c>
      <c r="FX106" s="425"/>
      <c r="FY106" s="425"/>
      <c r="FZ106" s="981" t="s">
        <v>2222</v>
      </c>
      <c r="GA106" s="981"/>
      <c r="GB106" s="981"/>
      <c r="GC106" s="981"/>
      <c r="GD106" s="981"/>
    </row>
    <row r="107" spans="1:186" s="1229" customFormat="1" ht="15" hidden="1" customHeight="1">
      <c r="A107" s="1153"/>
      <c r="B107" s="813" t="b" cm="1">
        <f t="array" ref="B107">B106</f>
        <v>0</v>
      </c>
      <c r="C107" s="1118"/>
      <c r="D107" s="1087"/>
      <c r="E107" s="676">
        <v>15.8</v>
      </c>
      <c r="F107" s="779" t="str" cm="1">
        <f t="array" aca="1" ref="F107" ca="1">OFFSET(G107,-1,-1)</f>
        <v>1</v>
      </c>
      <c r="G107" s="425"/>
      <c r="H107" s="425"/>
      <c r="I107" s="425"/>
      <c r="J107" s="1092"/>
      <c r="K107" s="1108" t="str" cm="1">
        <f t="array" aca="1" ref="K107" ca="1">OFFSET(J107,-1,1)</f>
        <v>ТЭ.42.26322895.0003</v>
      </c>
      <c r="L107" s="1092"/>
      <c r="M107" s="1092"/>
      <c r="N107" s="1092"/>
      <c r="O107" s="1092"/>
      <c r="P107" s="1108"/>
      <c r="Q107" s="1108"/>
      <c r="R107" s="784"/>
      <c r="S107" s="425"/>
      <c r="T107" s="687" t="b" cm="1">
        <f t="array" aca="1" ref="T107" ca="1">T106</f>
        <v>0</v>
      </c>
      <c r="U107" s="1153"/>
      <c r="V107" s="1153"/>
      <c r="W107" s="1153"/>
      <c r="X107" s="1726"/>
      <c r="Y107" s="1153"/>
      <c r="Z107" s="1726"/>
      <c r="AA107" s="425"/>
      <c r="AB107" s="1140" t="s">
        <v>2173</v>
      </c>
      <c r="AC107" s="314"/>
      <c r="AD107" s="315"/>
      <c r="AE107" s="315"/>
      <c r="AF107" s="315"/>
      <c r="AG107" s="315"/>
      <c r="AH107" s="315"/>
      <c r="AI107" s="315"/>
      <c r="AJ107" s="315"/>
      <c r="AK107" s="315"/>
      <c r="AL107" s="315"/>
      <c r="AM107" s="315"/>
      <c r="AN107" s="315"/>
      <c r="AO107" s="315"/>
      <c r="AP107" s="315"/>
      <c r="AQ107" s="315"/>
      <c r="AR107" s="315"/>
      <c r="AS107" s="315"/>
      <c r="AT107" s="315"/>
      <c r="AU107" s="315"/>
      <c r="AV107" s="315"/>
      <c r="AW107" s="315"/>
      <c r="AX107" s="315"/>
      <c r="AY107" s="315"/>
      <c r="AZ107" s="315"/>
      <c r="BA107" s="315"/>
      <c r="BB107" s="315"/>
      <c r="BC107" s="315"/>
      <c r="BD107" s="315"/>
      <c r="BE107" s="315"/>
      <c r="BF107" s="315"/>
      <c r="BG107" s="315"/>
      <c r="BH107" s="315"/>
      <c r="BI107" s="315"/>
      <c r="BJ107" s="315"/>
      <c r="BK107" s="315"/>
      <c r="BL107" s="315"/>
      <c r="BM107" s="315"/>
      <c r="BN107" s="315"/>
      <c r="BO107" s="315"/>
      <c r="BP107" s="315"/>
      <c r="BQ107" s="315"/>
      <c r="BR107" s="315"/>
      <c r="BS107" s="315"/>
      <c r="BT107" s="315"/>
      <c r="BU107" s="315"/>
      <c r="BV107" s="315"/>
      <c r="BW107" s="315"/>
      <c r="BX107" s="315"/>
      <c r="BY107" s="315"/>
      <c r="BZ107" s="315"/>
      <c r="CA107" s="315"/>
      <c r="CB107" s="315"/>
      <c r="CC107" s="315"/>
      <c r="CD107" s="315"/>
      <c r="CE107" s="315"/>
      <c r="CF107" s="315"/>
      <c r="CG107" s="315"/>
      <c r="CH107" s="315"/>
      <c r="CI107" s="315"/>
      <c r="CJ107" s="315"/>
      <c r="CK107" s="315"/>
      <c r="CL107" s="315"/>
      <c r="CM107" s="315"/>
      <c r="CN107" s="315"/>
      <c r="CO107" s="315"/>
      <c r="CP107" s="315"/>
      <c r="CQ107" s="315"/>
      <c r="CR107" s="315"/>
      <c r="CS107" s="315"/>
      <c r="CT107" s="315"/>
      <c r="CU107" s="315"/>
      <c r="CV107" s="315"/>
      <c r="CW107" s="315"/>
      <c r="CX107" s="315"/>
      <c r="CY107" s="315"/>
      <c r="CZ107" s="315"/>
      <c r="DA107" s="315"/>
      <c r="DB107" s="315"/>
      <c r="DC107" s="315"/>
      <c r="DD107" s="315"/>
      <c r="DE107" s="315"/>
      <c r="DF107" s="315"/>
      <c r="DG107" s="315"/>
      <c r="DH107" s="315"/>
      <c r="DI107" s="315"/>
      <c r="DJ107" s="315"/>
      <c r="DK107" s="315"/>
      <c r="DL107" s="315"/>
      <c r="DM107" s="315"/>
      <c r="DN107" s="315"/>
      <c r="DO107" s="315"/>
      <c r="DP107" s="315"/>
      <c r="DQ107" s="315"/>
      <c r="DR107" s="315"/>
      <c r="DS107" s="315"/>
      <c r="DT107" s="315"/>
      <c r="DU107" s="315"/>
      <c r="DV107" s="315"/>
      <c r="DW107" s="315"/>
      <c r="DX107" s="315"/>
      <c r="DY107" s="315"/>
      <c r="DZ107" s="315"/>
      <c r="EA107" s="315"/>
      <c r="EB107" s="315"/>
      <c r="EC107" s="315"/>
      <c r="ED107" s="315"/>
      <c r="EE107" s="315"/>
      <c r="EF107" s="315"/>
      <c r="EG107" s="315"/>
      <c r="EH107" s="315"/>
      <c r="EI107" s="315"/>
      <c r="EJ107" s="315"/>
      <c r="EK107" s="315"/>
      <c r="EL107" s="315"/>
      <c r="EM107" s="315"/>
      <c r="EN107" s="315"/>
      <c r="EO107" s="315"/>
      <c r="EP107" s="315"/>
      <c r="EQ107" s="315"/>
      <c r="ER107" s="315"/>
      <c r="ES107" s="315"/>
      <c r="ET107" s="315"/>
      <c r="EU107" s="315"/>
      <c r="EV107" s="315"/>
      <c r="EW107" s="315"/>
      <c r="EX107" s="315"/>
      <c r="EY107" s="315"/>
      <c r="EZ107" s="315"/>
      <c r="FA107" s="315"/>
      <c r="FB107" s="315"/>
      <c r="FC107" s="315"/>
      <c r="FD107" s="315"/>
      <c r="FE107" s="315"/>
      <c r="FF107" s="315"/>
      <c r="FG107" s="315"/>
      <c r="FH107" s="315"/>
      <c r="FI107" s="315"/>
      <c r="FJ107" s="315"/>
      <c r="FK107" s="315"/>
      <c r="FL107" s="315"/>
      <c r="FM107" s="315"/>
      <c r="FN107" s="315"/>
      <c r="FO107" s="315"/>
      <c r="FP107" s="315"/>
      <c r="FQ107" s="315"/>
      <c r="FR107" s="315"/>
      <c r="FS107" s="315"/>
      <c r="FT107" s="315"/>
      <c r="FU107" s="315"/>
      <c r="FV107" s="315"/>
      <c r="FW107" s="316"/>
      <c r="FX107" s="425"/>
      <c r="FY107" s="425"/>
      <c r="FZ107" s="1015"/>
      <c r="GA107" s="981"/>
      <c r="GB107" s="981"/>
      <c r="GC107" s="981"/>
      <c r="GD107" s="981"/>
    </row>
    <row r="108" spans="1:186" s="1229" customFormat="1" ht="15" hidden="1" customHeight="1">
      <c r="A108" s="1153"/>
      <c r="B108" s="813" t="b" cm="1">
        <f t="array" ref="B108">B107</f>
        <v>0</v>
      </c>
      <c r="C108" s="1118" t="s">
        <v>2223</v>
      </c>
      <c r="D108" s="1087" t="s">
        <v>2224</v>
      </c>
      <c r="E108" s="676">
        <v>15.8</v>
      </c>
      <c r="F108" s="779" t="str" cm="1">
        <f t="array" aca="1" ref="F108" ca="1">OFFSET(G108,-1,-1)</f>
        <v>1</v>
      </c>
      <c r="G108" s="425"/>
      <c r="H108" s="163" t="s">
        <v>2195</v>
      </c>
      <c r="I108" s="163" t="s">
        <v>2170</v>
      </c>
      <c r="J108" s="1108"/>
      <c r="K108" s="1108" t="str" cm="1">
        <f t="array" aca="1" ref="K108" ca="1">OFFSET(J108,-1,1)</f>
        <v>ТЭ.42.26322895.0003</v>
      </c>
      <c r="L108" s="1108"/>
      <c r="M108" s="1108" t="s">
        <v>1782</v>
      </c>
      <c r="N108" s="1108" t="s">
        <v>2171</v>
      </c>
      <c r="O108" s="1109" t="s">
        <v>2172</v>
      </c>
      <c r="P108" s="1108" t="s">
        <v>2196</v>
      </c>
      <c r="Q108" s="1108"/>
      <c r="R108" s="784"/>
      <c r="S108" s="425"/>
      <c r="T108" s="687" t="b" cm="1">
        <f t="array" aca="1" ref="T108" ca="1">T107</f>
        <v>0</v>
      </c>
      <c r="U108" s="1153"/>
      <c r="V108" s="1153"/>
      <c r="W108" s="1153"/>
      <c r="X108" s="1726"/>
      <c r="Y108" s="1153"/>
      <c r="Z108" s="1726"/>
      <c r="AA108" s="425"/>
      <c r="AB108" s="223" t="s">
        <v>2197</v>
      </c>
      <c r="AC108" s="123" t="s">
        <v>929</v>
      </c>
      <c r="AD108" s="22">
        <f>IF(AD110=0,0,(AD109*AD110+AD111*AD112*IF(god=2026,9,6))/AD110)</f>
        <v>0</v>
      </c>
      <c r="AE108" s="22">
        <f>IF(AE110=0,0,(AE109*AE110+AE111*AE112*IF(god=2026,9,6))/AE110)</f>
        <v>0</v>
      </c>
      <c r="AF108" s="312">
        <f>IF(AD108=0,0,(AE108-AD108)/AD108*100)</f>
        <v>0</v>
      </c>
      <c r="AG108" s="313">
        <f>IF(AG110=0,0,(AG109*AG110+AG111*AG112*IF(god=2025,9,6))/AG110)</f>
        <v>0</v>
      </c>
      <c r="AH108" s="313">
        <f>IF(AH110=0,0,(AH109*AH110+AH111*AH112*IF(god=2025,9,6))/AH110)</f>
        <v>0</v>
      </c>
      <c r="AI108" s="312">
        <f>IF(AG108=0,0,(AH108-AG108)/AG108*100)</f>
        <v>0</v>
      </c>
      <c r="AJ108" s="313">
        <f>IF(AJ110=0,0,(AJ109*AJ110+AJ111*AJ112*6)/AJ110)</f>
        <v>0</v>
      </c>
      <c r="AK108" s="313">
        <f>IF(AK110=0,0,(AK109*AK110+AK111*AK112*6)/AK110)</f>
        <v>0</v>
      </c>
      <c r="AL108" s="312">
        <f>IF(AJ108=0,0,(AK108-AJ108)/AJ108*100)</f>
        <v>0</v>
      </c>
      <c r="AM108" s="313">
        <f>IF(AM110=0,0,(AM109*AM110+AM111*AM112*6)/AM110)</f>
        <v>0</v>
      </c>
      <c r="AN108" s="313">
        <f>IF(AN110=0,0,(AN109*AN110+AN111*AN112*6)/AN110)</f>
        <v>0</v>
      </c>
      <c r="AO108" s="312">
        <f>IF(AM108=0,0,(AN108-AM108)/AM108*100)</f>
        <v>0</v>
      </c>
      <c r="AP108" s="313">
        <f>IF(AP110=0,0,(AP109*AP110+AP111*AP112*6)/AP110)</f>
        <v>0</v>
      </c>
      <c r="AQ108" s="313">
        <f>IF(AQ110=0,0,(AQ109*AQ110+AQ111*AQ112*6)/AQ110)</f>
        <v>0</v>
      </c>
      <c r="AR108" s="312">
        <f>IF(AP108=0,0,(AQ108-AP108)/AP108*100)</f>
        <v>0</v>
      </c>
      <c r="AS108" s="22">
        <f>IF(AS110=0,0,(AS109*AS110+AS111*AS112*6)/AS110)</f>
        <v>0</v>
      </c>
      <c r="AT108" s="22">
        <f>IF(AT110=0,0,(AT109*AT110+AT111*AT112*6)/AT110)</f>
        <v>0</v>
      </c>
      <c r="AU108" s="312">
        <f>IF(AS108=0,0,(AT108-AS108)/AS108*100)</f>
        <v>0</v>
      </c>
      <c r="AV108" s="22">
        <f>IF(AV110=0,0,(AV109*AV110+AV111*AV112*6)/AV110)</f>
        <v>0</v>
      </c>
      <c r="AW108" s="22">
        <f>IF(AW110=0,0,(AW109*AW110+AW111*AW112*6)/AW110)</f>
        <v>0</v>
      </c>
      <c r="AX108" s="312">
        <f>IF(AV108=0,0,(AW108-AV108)/AV108*100)</f>
        <v>0</v>
      </c>
      <c r="AY108" s="22">
        <f>IF(AY110=0,0,(AY109*AY110+AY111*AY112*6)/AY110)</f>
        <v>0</v>
      </c>
      <c r="AZ108" s="22">
        <f>IF(AZ110=0,0,(AZ109*AZ110+AZ111*AZ112*6)/AZ110)</f>
        <v>0</v>
      </c>
      <c r="BA108" s="312">
        <f>IF(AY108=0,0,(AZ108-AY108)/AY108*100)</f>
        <v>0</v>
      </c>
      <c r="BB108" s="22">
        <f>IF(BB110=0,0,(BB109*BB110+BB111*BB112*6)/BB110)</f>
        <v>0</v>
      </c>
      <c r="BC108" s="22">
        <f>IF(BC110=0,0,(BC109*BC110+BC111*BC112*6)/BC110)</f>
        <v>0</v>
      </c>
      <c r="BD108" s="312">
        <f>IF(BB108=0,0,(BC108-BB108)/BB108*100)</f>
        <v>0</v>
      </c>
      <c r="BE108" s="22">
        <f>IF(BE110=0,0,(BE109*BE110+BE111*BE112*6)/BE110)</f>
        <v>0</v>
      </c>
      <c r="BF108" s="22">
        <f>IF(BF110=0,0,(BF109*BF110+BF111*BF112*6)/BF110)</f>
        <v>0</v>
      </c>
      <c r="BG108" s="312">
        <f>IF(BE108=0,0,(BF108-BE108)/BE108*100)</f>
        <v>0</v>
      </c>
      <c r="BH108" s="22">
        <f>IF(BH110=0,0,(BH109*BH110+BH111*BH112*6)/BH110)</f>
        <v>0</v>
      </c>
      <c r="BI108" s="22">
        <f>IF(BI110=0,0,(BI109*BI110+BI111*BI112*6)/BI110)</f>
        <v>0</v>
      </c>
      <c r="BJ108" s="312">
        <f>IF(BH108=0,0,(BI108-BH108)/BH108*100)</f>
        <v>0</v>
      </c>
      <c r="BK108" s="22">
        <f>IF(BK110=0,0,(BK109*BK110+BK111*BK112*6)/BK110)</f>
        <v>0</v>
      </c>
      <c r="BL108" s="22">
        <f>IF(BL110=0,0,(BL109*BL110+BL111*BL112*6)/BL110)</f>
        <v>0</v>
      </c>
      <c r="BM108" s="312">
        <f>IF(BK108=0,0,(BL108-BK108)/BK108*100)</f>
        <v>0</v>
      </c>
      <c r="BN108" s="22">
        <f>IF(BN110=0,0,(BN109*BN110+BN111*BN112*6)/BN110)</f>
        <v>0</v>
      </c>
      <c r="BO108" s="22">
        <f>IF(BO110=0,0,(BO109*BO110+BO111*BO112*6)/BO110)</f>
        <v>0</v>
      </c>
      <c r="BP108" s="312">
        <f>IF(BN108=0,0,(BO108-BN108)/BN108*100)</f>
        <v>0</v>
      </c>
      <c r="BQ108" s="22">
        <f>IF(BQ110=0,0,(BQ109*BQ110+BQ111*BQ112*6)/BQ110)</f>
        <v>0</v>
      </c>
      <c r="BR108" s="22">
        <f>IF(BR110=0,0,(BR109*BR110+BR111*BR112*6)/BR110)</f>
        <v>0</v>
      </c>
      <c r="BS108" s="312">
        <f>IF(BQ108=0,0,(BR108-BQ108)/BQ108*100)</f>
        <v>0</v>
      </c>
      <c r="BT108" s="22">
        <f>IF(BT110=0,0,(BT109*BT110+BT111*BT112*6)/BT110)</f>
        <v>0</v>
      </c>
      <c r="BU108" s="22">
        <f>IF(BU110=0,0,(BU109*BU110+BU111*BU112*6)/BU110)</f>
        <v>0</v>
      </c>
      <c r="BV108" s="312">
        <f>IF(BT108=0,0,(BU108-BT108)/BT108*100)</f>
        <v>0</v>
      </c>
      <c r="BW108" s="22">
        <f>IF(BW110=0,0,(BW109*BW110+BW111*BW112*6)/BW110)</f>
        <v>0</v>
      </c>
      <c r="BX108" s="22">
        <f>IF(BX110=0,0,(BX109*BX110+BX111*BX112*6)/BX110)</f>
        <v>0</v>
      </c>
      <c r="BY108" s="312">
        <f>IF(BW108=0,0,(BX108-BW108)/BW108*100)</f>
        <v>0</v>
      </c>
      <c r="BZ108" s="22">
        <f>IF(BZ110=0,0,(BZ109*BZ110+BZ111*BZ112*6)/BZ110)</f>
        <v>0</v>
      </c>
      <c r="CA108" s="22">
        <f>IF(CA110=0,0,(CA109*CA110+CA111*CA112*6)/CA110)</f>
        <v>0</v>
      </c>
      <c r="CB108" s="312">
        <f>IF(BZ108=0,0,(CA108-BZ108)/BZ108*100)</f>
        <v>0</v>
      </c>
      <c r="CC108" s="22">
        <f>IF(CC110=0,0,(CC109*CC110+CC111*CC112*6)/CC110)</f>
        <v>0</v>
      </c>
      <c r="CD108" s="22">
        <f>IF(CD110=0,0,(CD109*CD110+CD111*CD112*6)/CD110)</f>
        <v>0</v>
      </c>
      <c r="CE108" s="312">
        <f>IF(CC108=0,0,(CD108-CC108)/CC108*100)</f>
        <v>0</v>
      </c>
      <c r="CF108" s="22">
        <f>IF(CF110=0,0,(CF109*CF110+CF111*CF112*6)/CF110)</f>
        <v>0</v>
      </c>
      <c r="CG108" s="22">
        <f>IF(CG110=0,0,(CG109*CG110+CG111*CG112*6)/CG110)</f>
        <v>0</v>
      </c>
      <c r="CH108" s="312">
        <f>IF(CF108=0,0,(CG108-CF108)/CF108*100)</f>
        <v>0</v>
      </c>
      <c r="CI108" s="22">
        <f>IF(CI110=0,0,(CI109*CI110+CI111*CI112*6)/CI110)</f>
        <v>0</v>
      </c>
      <c r="CJ108" s="22">
        <f>IF(CJ110=0,0,(CJ109*CJ110+CJ111*CJ112*6)/CJ110)</f>
        <v>0</v>
      </c>
      <c r="CK108" s="312">
        <f>IF(CI108=0,0,(CJ108-CI108)/CI108*100)</f>
        <v>0</v>
      </c>
      <c r="CL108" s="22">
        <f>IF(CL110=0,0,(CL109*CL110+CL111*CL112*6)/CL110)</f>
        <v>0</v>
      </c>
      <c r="CM108" s="22">
        <f>IF(CM110=0,0,(CM109*CM110+CM111*CM112*6)/CM110)</f>
        <v>0</v>
      </c>
      <c r="CN108" s="312">
        <f>IF(CL108=0,0,(CM108-CL108)/CL108*100)</f>
        <v>0</v>
      </c>
      <c r="CO108" s="22">
        <f>IF(CO110=0,0,(CO109*CO110+CO111*CO112*6)/CO110)</f>
        <v>0</v>
      </c>
      <c r="CP108" s="22">
        <f>IF(CP110=0,0,(CP109*CP110+CP111*CP112*6)/CP110)</f>
        <v>0</v>
      </c>
      <c r="CQ108" s="312">
        <f>IF(CO108=0,0,(CP108-CO108)/CO108*100)</f>
        <v>0</v>
      </c>
      <c r="CR108" s="22">
        <f>IF(CR110=0,0,(CR109*CR110+CR111*CR112*6)/CR110)</f>
        <v>0</v>
      </c>
      <c r="CS108" s="22">
        <f>IF(CS110=0,0,(CS109*CS110+CS111*CS112*6)/CS110)</f>
        <v>0</v>
      </c>
      <c r="CT108" s="312">
        <f>IF(CR108=0,0,(CS108-CR108)/CR108*100)</f>
        <v>0</v>
      </c>
      <c r="CU108" s="22">
        <f>IF(CU110=0,0,(CU109*CU110+CU111*CU112*6)/CU110)</f>
        <v>0</v>
      </c>
      <c r="CV108" s="22">
        <f>IF(CV110=0,0,(CV109*CV110+CV111*CV112*6)/CV110)</f>
        <v>0</v>
      </c>
      <c r="CW108" s="312">
        <f>IF(CU108=0,0,(CV108-CU108)/CU108*100)</f>
        <v>0</v>
      </c>
      <c r="CX108" s="22">
        <f>IF(CX110=0,0,(CX109*CX110+CX111*CX112*6)/CX110)</f>
        <v>0</v>
      </c>
      <c r="CY108" s="22">
        <f>IF(CY110=0,0,(CY109*CY110+CY111*CY112*6)/CY110)</f>
        <v>0</v>
      </c>
      <c r="CZ108" s="312">
        <f>IF(CX108=0,0,(CY108-CX108)/CX108*100)</f>
        <v>0</v>
      </c>
      <c r="DA108" s="22">
        <f>IF(DA110=0,0,(DA109*DA110+DA111*DA112*6)/DA110)</f>
        <v>0</v>
      </c>
      <c r="DB108" s="22">
        <f>IF(DB110=0,0,(DB109*DB110+DB111*DB112*6)/DB110)</f>
        <v>0</v>
      </c>
      <c r="DC108" s="312">
        <f>IF(DA108=0,0,(DB108-DA108)/DA108*100)</f>
        <v>0</v>
      </c>
      <c r="DD108" s="22">
        <f>IF(DD110=0,0,(DD109*DD110+DD111*DD112*6)/DD110)</f>
        <v>0</v>
      </c>
      <c r="DE108" s="22">
        <f>IF(DE110=0,0,(DE109*DE110+DE111*DE112*6)/DE110)</f>
        <v>0</v>
      </c>
      <c r="DF108" s="312">
        <f>IF(DD108=0,0,(DE108-DD108)/DD108*100)</f>
        <v>0</v>
      </c>
      <c r="DG108" s="22">
        <f>IF(DG110=0,0,(DG109*DG110+DG111*DG112*6)/DG110)</f>
        <v>0</v>
      </c>
      <c r="DH108" s="22">
        <f>IF(DH110=0,0,(DH109*DH110+DH111*DH112*6)/DH110)</f>
        <v>0</v>
      </c>
      <c r="DI108" s="312">
        <f>IF(DG108=0,0,(DH108-DG108)/DG108*100)</f>
        <v>0</v>
      </c>
      <c r="DJ108" s="22">
        <f>IF(DJ110=0,0,(DJ109*DJ110+DJ111*DJ112*6)/DJ110)</f>
        <v>0</v>
      </c>
      <c r="DK108" s="22">
        <f>IF(DK110=0,0,(DK109*DK110+DK111*DK112*6)/DK110)</f>
        <v>0</v>
      </c>
      <c r="DL108" s="312">
        <f>IF(DJ108=0,0,(DK108-DJ108)/DJ108*100)</f>
        <v>0</v>
      </c>
      <c r="DM108" s="22">
        <f>IF(DM110=0,0,(DM109*DM110+DM111*DM112*6)/DM110)</f>
        <v>0</v>
      </c>
      <c r="DN108" s="22">
        <f>IF(DN110=0,0,(DN109*DN110+DN111*DN112*6)/DN110)</f>
        <v>0</v>
      </c>
      <c r="DO108" s="312">
        <f>IF(DM108=0,0,(DN108-DM108)/DM108*100)</f>
        <v>0</v>
      </c>
      <c r="DP108" s="22">
        <f>IF(DP110=0,0,(DP109*DP110+DP111*DP112*6)/DP110)</f>
        <v>0</v>
      </c>
      <c r="DQ108" s="22">
        <f>IF(DQ110=0,0,(DQ109*DQ110+DQ111*DQ112*6)/DQ110)</f>
        <v>0</v>
      </c>
      <c r="DR108" s="312">
        <f>IF(DP108=0,0,(DQ108-DP108)/DP108*100)</f>
        <v>0</v>
      </c>
      <c r="DS108" s="22">
        <f>IF(DS110=0,0,(DS109*DS110+DS111*DS112*6)/DS110)</f>
        <v>0</v>
      </c>
      <c r="DT108" s="22">
        <f>IF(DT110=0,0,(DT109*DT110+DT111*DT112*6)/DT110)</f>
        <v>0</v>
      </c>
      <c r="DU108" s="312">
        <f>IF(DS108=0,0,(DT108-DS108)/DS108*100)</f>
        <v>0</v>
      </c>
      <c r="DV108" s="22">
        <f>IF(DV110=0,0,(DV109*DV110+DV111*DV112*6)/DV110)</f>
        <v>0</v>
      </c>
      <c r="DW108" s="22">
        <f>IF(DW110=0,0,(DW109*DW110+DW111*DW112*6)/DW110)</f>
        <v>0</v>
      </c>
      <c r="DX108" s="312">
        <f>IF(DV108=0,0,(DW108-DV108)/DV108*100)</f>
        <v>0</v>
      </c>
      <c r="DY108" s="22">
        <f>IF(DY110=0,0,(DY109*DY110+DY111*DY112*6)/DY110)</f>
        <v>0</v>
      </c>
      <c r="DZ108" s="22">
        <f>IF(DZ110=0,0,(DZ109*DZ110+DZ111*DZ112*6)/DZ110)</f>
        <v>0</v>
      </c>
      <c r="EA108" s="312">
        <f>IF(DY108=0,0,(DZ108-DY108)/DY108*100)</f>
        <v>0</v>
      </c>
      <c r="EB108" s="22">
        <f>IF(EB110=0,0,(EB109*EB110+EB111*EB112*6)/EB110)</f>
        <v>0</v>
      </c>
      <c r="EC108" s="22">
        <f>IF(EC110=0,0,(EC109*EC110+EC111*EC112*6)/EC110)</f>
        <v>0</v>
      </c>
      <c r="ED108" s="312">
        <f>IF(EB108=0,0,(EC108-EB108)/EB108*100)</f>
        <v>0</v>
      </c>
      <c r="EE108" s="22">
        <f>IF(EE110=0,0,(EE109*EE110+EE111*EE112*6)/EE110)</f>
        <v>0</v>
      </c>
      <c r="EF108" s="22">
        <f>IF(EF110=0,0,(EF109*EF110+EF111*EF112*6)/EF110)</f>
        <v>0</v>
      </c>
      <c r="EG108" s="312">
        <f>IF(EE108=0,0,(EF108-EE108)/EE108*100)</f>
        <v>0</v>
      </c>
      <c r="EH108" s="22">
        <f>IF(EH110=0,0,(EH109*EH110+EH111*EH112*6)/EH110)</f>
        <v>0</v>
      </c>
      <c r="EI108" s="22">
        <f>IF(EI110=0,0,(EI109*EI110+EI111*EI112*6)/EI110)</f>
        <v>0</v>
      </c>
      <c r="EJ108" s="312">
        <f>IF(EH108=0,0,(EI108-EH108)/EH108*100)</f>
        <v>0</v>
      </c>
      <c r="EK108" s="22">
        <f>IF(EK110=0,0,(EK109*EK110+EK111*EK112*6)/EK110)</f>
        <v>0</v>
      </c>
      <c r="EL108" s="22">
        <f>IF(EL110=0,0,(EL109*EL110+EL111*EL112*6)/EL110)</f>
        <v>0</v>
      </c>
      <c r="EM108" s="312">
        <f>IF(EK108=0,0,(EL108-EK108)/EK108*100)</f>
        <v>0</v>
      </c>
      <c r="EN108" s="22">
        <f>IF(EN110=0,0,(EN109*EN110+EN111*EN112*6)/EN110)</f>
        <v>0</v>
      </c>
      <c r="EO108" s="22">
        <f>IF(EO110=0,0,(EO109*EO110+EO111*EO112*6)/EO110)</f>
        <v>0</v>
      </c>
      <c r="EP108" s="312">
        <f>IF(EN108=0,0,(EO108-EN108)/EN108*100)</f>
        <v>0</v>
      </c>
      <c r="EQ108" s="22">
        <f>IF(EQ110=0,0,(EQ109*EQ110+EQ111*EQ112*6)/EQ110)</f>
        <v>0</v>
      </c>
      <c r="ER108" s="22">
        <f>IF(ER110=0,0,(ER109*ER110+ER111*ER112*6)/ER110)</f>
        <v>0</v>
      </c>
      <c r="ES108" s="312">
        <f>IF(EQ108=0,0,(ER108-EQ108)/EQ108*100)</f>
        <v>0</v>
      </c>
      <c r="ET108" s="22">
        <f>IF(ET110=0,0,(ET109*ET110+ET111*ET112*6)/ET110)</f>
        <v>0</v>
      </c>
      <c r="EU108" s="22">
        <f>IF(EU110=0,0,(EU109*EU110+EU111*EU112*6)/EU110)</f>
        <v>0</v>
      </c>
      <c r="EV108" s="312">
        <f>IF(ET108=0,0,(EU108-ET108)/ET108*100)</f>
        <v>0</v>
      </c>
      <c r="EW108" s="22">
        <f>IF(EW110=0,0,(EW109*EW110+EW111*EW112*6)/EW110)</f>
        <v>0</v>
      </c>
      <c r="EX108" s="22">
        <f>IF(EX110=0,0,(EX109*EX110+EX111*EX112*6)/EX110)</f>
        <v>0</v>
      </c>
      <c r="EY108" s="312">
        <f>IF(EW108=0,0,(EX108-EW108)/EW108*100)</f>
        <v>0</v>
      </c>
      <c r="EZ108" s="22">
        <f>IF(EZ110=0,0,(EZ109*EZ110+EZ111*EZ112*6)/EZ110)</f>
        <v>0</v>
      </c>
      <c r="FA108" s="22">
        <f>IF(FA110=0,0,(FA109*FA110+FA111*FA112*6)/FA110)</f>
        <v>0</v>
      </c>
      <c r="FB108" s="312">
        <f>IF(EZ108=0,0,(FA108-EZ108)/EZ108*100)</f>
        <v>0</v>
      </c>
      <c r="FC108" s="22">
        <f>IF(FC110=0,0,(FC109*FC110+FC111*FC112*6)/FC110)</f>
        <v>0</v>
      </c>
      <c r="FD108" s="22">
        <f>IF(FD110=0,0,(FD109*FD110+FD111*FD112*6)/FD110)</f>
        <v>0</v>
      </c>
      <c r="FE108" s="312">
        <f>IF(FC108=0,0,(FD108-FC108)/FC108*100)</f>
        <v>0</v>
      </c>
      <c r="FF108" s="22">
        <f>IF(FF110=0,0,(FF109*FF110+FF111*FF112*6)/FF110)</f>
        <v>0</v>
      </c>
      <c r="FG108" s="22">
        <f>IF(FG110=0,0,(FG109*FG110+FG111*FG112*6)/FG110)</f>
        <v>0</v>
      </c>
      <c r="FH108" s="312">
        <f>IF(FF108=0,0,(FG108-FF108)/FF108*100)</f>
        <v>0</v>
      </c>
      <c r="FI108" s="22">
        <f>IF(FI110=0,0,(FI109*FI110+FI111*FI112*6)/FI110)</f>
        <v>0</v>
      </c>
      <c r="FJ108" s="22">
        <f>IF(FJ110=0,0,(FJ109*FJ110+FJ111*FJ112*6)/FJ110)</f>
        <v>0</v>
      </c>
      <c r="FK108" s="312">
        <f>IF(FI108=0,0,(FJ108-FI108)/FI108*100)</f>
        <v>0</v>
      </c>
      <c r="FL108" s="22">
        <f>IF(FL110=0,0,(FL109*FL110+FL111*FL112*6)/FL110)</f>
        <v>0</v>
      </c>
      <c r="FM108" s="22">
        <f>IF(FM110=0,0,(FM109*FM110+FM111*FM112*6)/FM110)</f>
        <v>0</v>
      </c>
      <c r="FN108" s="312">
        <f>IF(FL108=0,0,(FM108-FL108)/FL108*100)</f>
        <v>0</v>
      </c>
      <c r="FO108" s="22">
        <f>IF(FO110=0,0,(FO109*FO110+FO111*FO112*6)/FO110)</f>
        <v>0</v>
      </c>
      <c r="FP108" s="22">
        <f>IF(FP110=0,0,(FP109*FP110+FP111*FP112*6)/FP110)</f>
        <v>0</v>
      </c>
      <c r="FQ108" s="312">
        <f>IF(FO108=0,0,(FP108-FO108)/FO108*100)</f>
        <v>0</v>
      </c>
      <c r="FR108" s="22">
        <f>IF(FR110=0,0,(FR109*FR110+FR111*FR112*6)/FR110)</f>
        <v>0</v>
      </c>
      <c r="FS108" s="22">
        <f>IF(FS110=0,0,(FS109*FS110+FS111*FS112*6)/FS110)</f>
        <v>0</v>
      </c>
      <c r="FT108" s="312">
        <f>IF(FR108=0,0,(FS108-FR108)/FR108*100)</f>
        <v>0</v>
      </c>
      <c r="FU108" s="22">
        <f>IF(FU110=0,0,(FU109*FU110+FU111*FU112*6)/FU110)</f>
        <v>0</v>
      </c>
      <c r="FV108" s="22">
        <f>IF(FV110=0,0,(FV109*FV110+FV111*FV112*6)/FV110)</f>
        <v>0</v>
      </c>
      <c r="FW108" s="312">
        <f>IF(FU108=0,0,(FV108-FU108)/FU108*100)</f>
        <v>0</v>
      </c>
      <c r="FX108" s="425"/>
      <c r="FY108" s="425"/>
      <c r="FZ108" s="981" t="s">
        <v>2225</v>
      </c>
      <c r="GA108" s="981"/>
      <c r="GB108" s="981"/>
      <c r="GC108" s="981"/>
      <c r="GD108" s="981"/>
    </row>
    <row r="109" spans="1:186" s="1229" customFormat="1" ht="15" hidden="1" customHeight="1">
      <c r="A109" s="1153"/>
      <c r="B109" s="813" t="b" cm="1">
        <f t="array" ref="B109">B108</f>
        <v>0</v>
      </c>
      <c r="C109" s="1118" t="s">
        <v>2226</v>
      </c>
      <c r="D109" s="1087" t="s">
        <v>2227</v>
      </c>
      <c r="E109" s="676">
        <v>15.8</v>
      </c>
      <c r="F109" s="779" t="str" cm="1">
        <f t="array" aca="1" ref="F109" ca="1">OFFSET(G109,-1,-1)</f>
        <v>1</v>
      </c>
      <c r="G109" s="425"/>
      <c r="H109" s="163" t="s">
        <v>2201</v>
      </c>
      <c r="I109" s="163" t="s">
        <v>2170</v>
      </c>
      <c r="J109" s="1108"/>
      <c r="K109" s="1108" t="str" cm="1">
        <f t="array" aca="1" ref="K109" ca="1">OFFSET(J109,-1,1)</f>
        <v>ТЭ.42.26322895.0003</v>
      </c>
      <c r="L109" s="1108"/>
      <c r="M109" s="1108" t="s">
        <v>1782</v>
      </c>
      <c r="N109" s="1108" t="s">
        <v>2171</v>
      </c>
      <c r="O109" s="1109" t="s">
        <v>2172</v>
      </c>
      <c r="P109" s="1108" t="s">
        <v>2202</v>
      </c>
      <c r="Q109" s="1108"/>
      <c r="R109" s="784"/>
      <c r="S109" s="425"/>
      <c r="T109" s="687" t="b" cm="1">
        <f t="array" aca="1" ref="T109" ca="1">T108</f>
        <v>0</v>
      </c>
      <c r="U109" s="1153"/>
      <c r="V109" s="1153"/>
      <c r="W109" s="1153"/>
      <c r="X109" s="1726"/>
      <c r="Y109" s="1153"/>
      <c r="Z109" s="1726"/>
      <c r="AA109" s="425"/>
      <c r="AB109" s="223" t="s">
        <v>2203</v>
      </c>
      <c r="AC109" s="123" t="s">
        <v>929</v>
      </c>
      <c r="AD109" s="22"/>
      <c r="AE109" s="22"/>
      <c r="AF109" s="312">
        <f>IF(AD109=0,0,(AE109-AD109)/AD109*100)</f>
        <v>0</v>
      </c>
      <c r="AG109" s="313"/>
      <c r="AH109" s="313"/>
      <c r="AI109" s="312">
        <f>IF(AG109=0,0,(AH109-AG109)/AG109*100)</f>
        <v>0</v>
      </c>
      <c r="AJ109" s="313"/>
      <c r="AK109" s="313"/>
      <c r="AL109" s="312">
        <f>IF(AJ109=0,0,(AK109-AJ109)/AJ109*100)</f>
        <v>0</v>
      </c>
      <c r="AM109" s="313"/>
      <c r="AN109" s="313"/>
      <c r="AO109" s="312">
        <f>IF(AM109=0,0,(AN109-AM109)/AM109*100)</f>
        <v>0</v>
      </c>
      <c r="AP109" s="313"/>
      <c r="AQ109" s="313"/>
      <c r="AR109" s="312">
        <f>IF(AP109=0,0,(AQ109-AP109)/AP109*100)</f>
        <v>0</v>
      </c>
      <c r="AS109" s="22"/>
      <c r="AT109" s="22"/>
      <c r="AU109" s="312">
        <f>IF(AS109=0,0,(AT109-AS109)/AS109*100)</f>
        <v>0</v>
      </c>
      <c r="AV109" s="22"/>
      <c r="AW109" s="22"/>
      <c r="AX109" s="312">
        <f>IF(AV109=0,0,(AW109-AV109)/AV109*100)</f>
        <v>0</v>
      </c>
      <c r="AY109" s="22"/>
      <c r="AZ109" s="22"/>
      <c r="BA109" s="312">
        <f>IF(AY109=0,0,(AZ109-AY109)/AY109*100)</f>
        <v>0</v>
      </c>
      <c r="BB109" s="22"/>
      <c r="BC109" s="22"/>
      <c r="BD109" s="312">
        <f>IF(BB109=0,0,(BC109-BB109)/BB109*100)</f>
        <v>0</v>
      </c>
      <c r="BE109" s="22"/>
      <c r="BF109" s="22"/>
      <c r="BG109" s="312">
        <f>IF(BE109=0,0,(BF109-BE109)/BE109*100)</f>
        <v>0</v>
      </c>
      <c r="BH109" s="22"/>
      <c r="BI109" s="22"/>
      <c r="BJ109" s="312">
        <f>IF(BH109=0,0,(BI109-BH109)/BH109*100)</f>
        <v>0</v>
      </c>
      <c r="BK109" s="22"/>
      <c r="BL109" s="22"/>
      <c r="BM109" s="312">
        <f>IF(BK109=0,0,(BL109-BK109)/BK109*100)</f>
        <v>0</v>
      </c>
      <c r="BN109" s="22"/>
      <c r="BO109" s="22"/>
      <c r="BP109" s="312">
        <f>IF(BN109=0,0,(BO109-BN109)/BN109*100)</f>
        <v>0</v>
      </c>
      <c r="BQ109" s="22"/>
      <c r="BR109" s="22"/>
      <c r="BS109" s="312">
        <f>IF(BQ109=0,0,(BR109-BQ109)/BQ109*100)</f>
        <v>0</v>
      </c>
      <c r="BT109" s="22"/>
      <c r="BU109" s="22"/>
      <c r="BV109" s="312">
        <f>IF(BT109=0,0,(BU109-BT109)/BT109*100)</f>
        <v>0</v>
      </c>
      <c r="BW109" s="22"/>
      <c r="BX109" s="22"/>
      <c r="BY109" s="312">
        <f>IF(BW109=0,0,(BX109-BW109)/BW109*100)</f>
        <v>0</v>
      </c>
      <c r="BZ109" s="22"/>
      <c r="CA109" s="22"/>
      <c r="CB109" s="312">
        <f>IF(BZ109=0,0,(CA109-BZ109)/BZ109*100)</f>
        <v>0</v>
      </c>
      <c r="CC109" s="22"/>
      <c r="CD109" s="22"/>
      <c r="CE109" s="312">
        <f>IF(CC109=0,0,(CD109-CC109)/CC109*100)</f>
        <v>0</v>
      </c>
      <c r="CF109" s="22"/>
      <c r="CG109" s="22"/>
      <c r="CH109" s="312">
        <f>IF(CF109=0,0,(CG109-CF109)/CF109*100)</f>
        <v>0</v>
      </c>
      <c r="CI109" s="22"/>
      <c r="CJ109" s="22"/>
      <c r="CK109" s="312">
        <f>IF(CI109=0,0,(CJ109-CI109)/CI109*100)</f>
        <v>0</v>
      </c>
      <c r="CL109" s="22"/>
      <c r="CM109" s="22"/>
      <c r="CN109" s="312">
        <f>IF(CL109=0,0,(CM109-CL109)/CL109*100)</f>
        <v>0</v>
      </c>
      <c r="CO109" s="22"/>
      <c r="CP109" s="22"/>
      <c r="CQ109" s="312">
        <f>IF(CO109=0,0,(CP109-CO109)/CO109*100)</f>
        <v>0</v>
      </c>
      <c r="CR109" s="22"/>
      <c r="CS109" s="22"/>
      <c r="CT109" s="312">
        <f>IF(CR109=0,0,(CS109-CR109)/CR109*100)</f>
        <v>0</v>
      </c>
      <c r="CU109" s="22"/>
      <c r="CV109" s="22"/>
      <c r="CW109" s="312">
        <f>IF(CU109=0,0,(CV109-CU109)/CU109*100)</f>
        <v>0</v>
      </c>
      <c r="CX109" s="22"/>
      <c r="CY109" s="22"/>
      <c r="CZ109" s="312">
        <f>IF(CX109=0,0,(CY109-CX109)/CX109*100)</f>
        <v>0</v>
      </c>
      <c r="DA109" s="22"/>
      <c r="DB109" s="22"/>
      <c r="DC109" s="312">
        <f>IF(DA109=0,0,(DB109-DA109)/DA109*100)</f>
        <v>0</v>
      </c>
      <c r="DD109" s="22"/>
      <c r="DE109" s="22"/>
      <c r="DF109" s="312">
        <f>IF(DD109=0,0,(DE109-DD109)/DD109*100)</f>
        <v>0</v>
      </c>
      <c r="DG109" s="22"/>
      <c r="DH109" s="22"/>
      <c r="DI109" s="312">
        <f>IF(DG109=0,0,(DH109-DG109)/DG109*100)</f>
        <v>0</v>
      </c>
      <c r="DJ109" s="22"/>
      <c r="DK109" s="22"/>
      <c r="DL109" s="312">
        <f>IF(DJ109=0,0,(DK109-DJ109)/DJ109*100)</f>
        <v>0</v>
      </c>
      <c r="DM109" s="22"/>
      <c r="DN109" s="22"/>
      <c r="DO109" s="312">
        <f>IF(DM109=0,0,(DN109-DM109)/DM109*100)</f>
        <v>0</v>
      </c>
      <c r="DP109" s="22"/>
      <c r="DQ109" s="22"/>
      <c r="DR109" s="312">
        <f>IF(DP109=0,0,(DQ109-DP109)/DP109*100)</f>
        <v>0</v>
      </c>
      <c r="DS109" s="22"/>
      <c r="DT109" s="22"/>
      <c r="DU109" s="312">
        <f>IF(DS109=0,0,(DT109-DS109)/DS109*100)</f>
        <v>0</v>
      </c>
      <c r="DV109" s="22"/>
      <c r="DW109" s="22"/>
      <c r="DX109" s="312">
        <f>IF(DV109=0,0,(DW109-DV109)/DV109*100)</f>
        <v>0</v>
      </c>
      <c r="DY109" s="22"/>
      <c r="DZ109" s="22"/>
      <c r="EA109" s="312">
        <f>IF(DY109=0,0,(DZ109-DY109)/DY109*100)</f>
        <v>0</v>
      </c>
      <c r="EB109" s="22"/>
      <c r="EC109" s="22"/>
      <c r="ED109" s="312">
        <f>IF(EB109=0,0,(EC109-EB109)/EB109*100)</f>
        <v>0</v>
      </c>
      <c r="EE109" s="22"/>
      <c r="EF109" s="22"/>
      <c r="EG109" s="312">
        <f>IF(EE109=0,0,(EF109-EE109)/EE109*100)</f>
        <v>0</v>
      </c>
      <c r="EH109" s="22"/>
      <c r="EI109" s="22"/>
      <c r="EJ109" s="312">
        <f>IF(EH109=0,0,(EI109-EH109)/EH109*100)</f>
        <v>0</v>
      </c>
      <c r="EK109" s="22"/>
      <c r="EL109" s="22"/>
      <c r="EM109" s="312">
        <f>IF(EK109=0,0,(EL109-EK109)/EK109*100)</f>
        <v>0</v>
      </c>
      <c r="EN109" s="22"/>
      <c r="EO109" s="22"/>
      <c r="EP109" s="312">
        <f>IF(EN109=0,0,(EO109-EN109)/EN109*100)</f>
        <v>0</v>
      </c>
      <c r="EQ109" s="22"/>
      <c r="ER109" s="22"/>
      <c r="ES109" s="312">
        <f>IF(EQ109=0,0,(ER109-EQ109)/EQ109*100)</f>
        <v>0</v>
      </c>
      <c r="ET109" s="22"/>
      <c r="EU109" s="22"/>
      <c r="EV109" s="312">
        <f>IF(ET109=0,0,(EU109-ET109)/ET109*100)</f>
        <v>0</v>
      </c>
      <c r="EW109" s="22"/>
      <c r="EX109" s="22"/>
      <c r="EY109" s="312">
        <f>IF(EW109=0,0,(EX109-EW109)/EW109*100)</f>
        <v>0</v>
      </c>
      <c r="EZ109" s="22"/>
      <c r="FA109" s="22"/>
      <c r="FB109" s="312">
        <f>IF(EZ109=0,0,(FA109-EZ109)/EZ109*100)</f>
        <v>0</v>
      </c>
      <c r="FC109" s="22"/>
      <c r="FD109" s="22"/>
      <c r="FE109" s="312">
        <f>IF(FC109=0,0,(FD109-FC109)/FC109*100)</f>
        <v>0</v>
      </c>
      <c r="FF109" s="22"/>
      <c r="FG109" s="22"/>
      <c r="FH109" s="312">
        <f>IF(FF109=0,0,(FG109-FF109)/FF109*100)</f>
        <v>0</v>
      </c>
      <c r="FI109" s="22"/>
      <c r="FJ109" s="22"/>
      <c r="FK109" s="312">
        <f>IF(FI109=0,0,(FJ109-FI109)/FI109*100)</f>
        <v>0</v>
      </c>
      <c r="FL109" s="22"/>
      <c r="FM109" s="22"/>
      <c r="FN109" s="312">
        <f>IF(FL109=0,0,(FM109-FL109)/FL109*100)</f>
        <v>0</v>
      </c>
      <c r="FO109" s="22"/>
      <c r="FP109" s="22"/>
      <c r="FQ109" s="312">
        <f>IF(FO109=0,0,(FP109-FO109)/FO109*100)</f>
        <v>0</v>
      </c>
      <c r="FR109" s="22"/>
      <c r="FS109" s="22"/>
      <c r="FT109" s="312">
        <f>IF(FR109=0,0,(FS109-FR109)/FR109*100)</f>
        <v>0</v>
      </c>
      <c r="FU109" s="22"/>
      <c r="FV109" s="22"/>
      <c r="FW109" s="312">
        <f>IF(FU109=0,0,(FV109-FU109)/FU109*100)</f>
        <v>0</v>
      </c>
      <c r="FX109" s="425"/>
      <c r="FY109" s="425"/>
      <c r="FZ109" s="981" t="s">
        <v>2228</v>
      </c>
      <c r="GA109" s="981"/>
      <c r="GB109" s="981"/>
      <c r="GC109" s="981"/>
      <c r="GD109" s="981"/>
    </row>
    <row r="110" spans="1:186" s="1229" customFormat="1" ht="15" hidden="1" customHeight="1">
      <c r="A110" s="1153"/>
      <c r="B110" s="813" t="b" cm="1">
        <f t="array" ref="B110">B109</f>
        <v>0</v>
      </c>
      <c r="C110" s="1118" t="s">
        <v>1779</v>
      </c>
      <c r="D110" s="1087" t="s">
        <v>1780</v>
      </c>
      <c r="E110" s="676">
        <v>15.8</v>
      </c>
      <c r="F110" s="779" t="str" cm="1">
        <f t="array" aca="1" ref="F110" ca="1">OFFSET(G110,-1,-1)</f>
        <v>1</v>
      </c>
      <c r="G110" s="425"/>
      <c r="H110" s="163" t="s">
        <v>2205</v>
      </c>
      <c r="I110" s="163" t="s">
        <v>2170</v>
      </c>
      <c r="J110" s="1108"/>
      <c r="K110" s="1108" t="str" cm="1">
        <f t="array" aca="1" ref="K110" ca="1">OFFSET(J110,-1,1)</f>
        <v>ТЭ.42.26322895.0003</v>
      </c>
      <c r="L110" s="1108"/>
      <c r="M110" s="1108" t="s">
        <v>1782</v>
      </c>
      <c r="N110" s="1108" t="s">
        <v>2171</v>
      </c>
      <c r="O110" s="1109" t="s">
        <v>2172</v>
      </c>
      <c r="P110" s="1108" t="s">
        <v>2206</v>
      </c>
      <c r="Q110" s="1108"/>
      <c r="R110" s="784"/>
      <c r="S110" s="425"/>
      <c r="T110" s="687" t="b" cm="1">
        <f t="array" aca="1" ref="T110" ca="1">T109</f>
        <v>0</v>
      </c>
      <c r="U110" s="1153"/>
      <c r="V110" s="1153"/>
      <c r="W110" s="1153"/>
      <c r="X110" s="1726"/>
      <c r="Y110" s="1153"/>
      <c r="Z110" s="1726"/>
      <c r="AA110" s="425"/>
      <c r="AB110" s="223" t="s">
        <v>2207</v>
      </c>
      <c r="AC110" s="123" t="s">
        <v>634</v>
      </c>
      <c r="AD110" s="100"/>
      <c r="AE110" s="100"/>
      <c r="AF110" s="341">
        <f>IF(AD110=0,0,(AE110-AD110)/AD110*100)</f>
        <v>0</v>
      </c>
      <c r="AG110" s="354"/>
      <c r="AH110" s="354"/>
      <c r="AI110" s="341">
        <f>IF(AG110=0,0,(AH110-AG110)/AG110*100)</f>
        <v>0</v>
      </c>
      <c r="AJ110" s="354"/>
      <c r="AK110" s="354"/>
      <c r="AL110" s="341">
        <f>IF(AJ110=0,0,(AK110-AJ110)/AJ110*100)</f>
        <v>0</v>
      </c>
      <c r="AM110" s="354"/>
      <c r="AN110" s="354"/>
      <c r="AO110" s="341">
        <f>IF(AM110=0,0,(AN110-AM110)/AM110*100)</f>
        <v>0</v>
      </c>
      <c r="AP110" s="354"/>
      <c r="AQ110" s="354"/>
      <c r="AR110" s="341">
        <f>IF(AP110=0,0,(AQ110-AP110)/AP110*100)</f>
        <v>0</v>
      </c>
      <c r="AS110" s="100"/>
      <c r="AT110" s="100"/>
      <c r="AU110" s="341">
        <f>IF(AS110=0,0,(AT110-AS110)/AS110*100)</f>
        <v>0</v>
      </c>
      <c r="AV110" s="100"/>
      <c r="AW110" s="100"/>
      <c r="AX110" s="341">
        <f>IF(AV110=0,0,(AW110-AV110)/AV110*100)</f>
        <v>0</v>
      </c>
      <c r="AY110" s="100"/>
      <c r="AZ110" s="100"/>
      <c r="BA110" s="341">
        <f>IF(AY110=0,0,(AZ110-AY110)/AY110*100)</f>
        <v>0</v>
      </c>
      <c r="BB110" s="100"/>
      <c r="BC110" s="100"/>
      <c r="BD110" s="341">
        <f>IF(BB110=0,0,(BC110-BB110)/BB110*100)</f>
        <v>0</v>
      </c>
      <c r="BE110" s="100"/>
      <c r="BF110" s="100"/>
      <c r="BG110" s="341">
        <f>IF(BE110=0,0,(BF110-BE110)/BE110*100)</f>
        <v>0</v>
      </c>
      <c r="BH110" s="100"/>
      <c r="BI110" s="100"/>
      <c r="BJ110" s="341">
        <f>IF(BH110=0,0,(BI110-BH110)/BH110*100)</f>
        <v>0</v>
      </c>
      <c r="BK110" s="100"/>
      <c r="BL110" s="100"/>
      <c r="BM110" s="341">
        <f>IF(BK110=0,0,(BL110-BK110)/BK110*100)</f>
        <v>0</v>
      </c>
      <c r="BN110" s="100"/>
      <c r="BO110" s="100"/>
      <c r="BP110" s="341">
        <f>IF(BN110=0,0,(BO110-BN110)/BN110*100)</f>
        <v>0</v>
      </c>
      <c r="BQ110" s="100"/>
      <c r="BR110" s="100"/>
      <c r="BS110" s="341">
        <f>IF(BQ110=0,0,(BR110-BQ110)/BQ110*100)</f>
        <v>0</v>
      </c>
      <c r="BT110" s="100"/>
      <c r="BU110" s="100"/>
      <c r="BV110" s="341">
        <f>IF(BT110=0,0,(BU110-BT110)/BT110*100)</f>
        <v>0</v>
      </c>
      <c r="BW110" s="100"/>
      <c r="BX110" s="100"/>
      <c r="BY110" s="341">
        <f>IF(BW110=0,0,(BX110-BW110)/BW110*100)</f>
        <v>0</v>
      </c>
      <c r="BZ110" s="100"/>
      <c r="CA110" s="100"/>
      <c r="CB110" s="341">
        <f>IF(BZ110=0,0,(CA110-BZ110)/BZ110*100)</f>
        <v>0</v>
      </c>
      <c r="CC110" s="100"/>
      <c r="CD110" s="100"/>
      <c r="CE110" s="341">
        <f>IF(CC110=0,0,(CD110-CC110)/CC110*100)</f>
        <v>0</v>
      </c>
      <c r="CF110" s="100"/>
      <c r="CG110" s="100"/>
      <c r="CH110" s="341">
        <f>IF(CF110=0,0,(CG110-CF110)/CF110*100)</f>
        <v>0</v>
      </c>
      <c r="CI110" s="100"/>
      <c r="CJ110" s="100"/>
      <c r="CK110" s="341">
        <f>IF(CI110=0,0,(CJ110-CI110)/CI110*100)</f>
        <v>0</v>
      </c>
      <c r="CL110" s="100"/>
      <c r="CM110" s="100"/>
      <c r="CN110" s="341">
        <f>IF(CL110=0,0,(CM110-CL110)/CL110*100)</f>
        <v>0</v>
      </c>
      <c r="CO110" s="100"/>
      <c r="CP110" s="100"/>
      <c r="CQ110" s="341">
        <f>IF(CO110=0,0,(CP110-CO110)/CO110*100)</f>
        <v>0</v>
      </c>
      <c r="CR110" s="100"/>
      <c r="CS110" s="100"/>
      <c r="CT110" s="341">
        <f>IF(CR110=0,0,(CS110-CR110)/CR110*100)</f>
        <v>0</v>
      </c>
      <c r="CU110" s="100"/>
      <c r="CV110" s="100"/>
      <c r="CW110" s="341">
        <f>IF(CU110=0,0,(CV110-CU110)/CU110*100)</f>
        <v>0</v>
      </c>
      <c r="CX110" s="100"/>
      <c r="CY110" s="100"/>
      <c r="CZ110" s="341">
        <f>IF(CX110=0,0,(CY110-CX110)/CX110*100)</f>
        <v>0</v>
      </c>
      <c r="DA110" s="100"/>
      <c r="DB110" s="100"/>
      <c r="DC110" s="341">
        <f>IF(DA110=0,0,(DB110-DA110)/DA110*100)</f>
        <v>0</v>
      </c>
      <c r="DD110" s="100"/>
      <c r="DE110" s="100"/>
      <c r="DF110" s="341">
        <f>IF(DD110=0,0,(DE110-DD110)/DD110*100)</f>
        <v>0</v>
      </c>
      <c r="DG110" s="100"/>
      <c r="DH110" s="100"/>
      <c r="DI110" s="341">
        <f>IF(DG110=0,0,(DH110-DG110)/DG110*100)</f>
        <v>0</v>
      </c>
      <c r="DJ110" s="100"/>
      <c r="DK110" s="100"/>
      <c r="DL110" s="341">
        <f>IF(DJ110=0,0,(DK110-DJ110)/DJ110*100)</f>
        <v>0</v>
      </c>
      <c r="DM110" s="100"/>
      <c r="DN110" s="100"/>
      <c r="DO110" s="341">
        <f>IF(DM110=0,0,(DN110-DM110)/DM110*100)</f>
        <v>0</v>
      </c>
      <c r="DP110" s="100"/>
      <c r="DQ110" s="100"/>
      <c r="DR110" s="341">
        <f>IF(DP110=0,0,(DQ110-DP110)/DP110*100)</f>
        <v>0</v>
      </c>
      <c r="DS110" s="100"/>
      <c r="DT110" s="100"/>
      <c r="DU110" s="341">
        <f>IF(DS110=0,0,(DT110-DS110)/DS110*100)</f>
        <v>0</v>
      </c>
      <c r="DV110" s="100"/>
      <c r="DW110" s="100"/>
      <c r="DX110" s="341">
        <f>IF(DV110=0,0,(DW110-DV110)/DV110*100)</f>
        <v>0</v>
      </c>
      <c r="DY110" s="100"/>
      <c r="DZ110" s="100"/>
      <c r="EA110" s="341">
        <f>IF(DY110=0,0,(DZ110-DY110)/DY110*100)</f>
        <v>0</v>
      </c>
      <c r="EB110" s="100"/>
      <c r="EC110" s="100"/>
      <c r="ED110" s="341">
        <f>IF(EB110=0,0,(EC110-EB110)/EB110*100)</f>
        <v>0</v>
      </c>
      <c r="EE110" s="100"/>
      <c r="EF110" s="100"/>
      <c r="EG110" s="341">
        <f>IF(EE110=0,0,(EF110-EE110)/EE110*100)</f>
        <v>0</v>
      </c>
      <c r="EH110" s="100"/>
      <c r="EI110" s="100"/>
      <c r="EJ110" s="341">
        <f>IF(EH110=0,0,(EI110-EH110)/EH110*100)</f>
        <v>0</v>
      </c>
      <c r="EK110" s="100"/>
      <c r="EL110" s="100"/>
      <c r="EM110" s="341">
        <f>IF(EK110=0,0,(EL110-EK110)/EK110*100)</f>
        <v>0</v>
      </c>
      <c r="EN110" s="100"/>
      <c r="EO110" s="100"/>
      <c r="EP110" s="341">
        <f>IF(EN110=0,0,(EO110-EN110)/EN110*100)</f>
        <v>0</v>
      </c>
      <c r="EQ110" s="100"/>
      <c r="ER110" s="100"/>
      <c r="ES110" s="341">
        <f>IF(EQ110=0,0,(ER110-EQ110)/EQ110*100)</f>
        <v>0</v>
      </c>
      <c r="ET110" s="100"/>
      <c r="EU110" s="100"/>
      <c r="EV110" s="341">
        <f>IF(ET110=0,0,(EU110-ET110)/ET110*100)</f>
        <v>0</v>
      </c>
      <c r="EW110" s="100"/>
      <c r="EX110" s="100"/>
      <c r="EY110" s="341">
        <f>IF(EW110=0,0,(EX110-EW110)/EW110*100)</f>
        <v>0</v>
      </c>
      <c r="EZ110" s="100"/>
      <c r="FA110" s="100"/>
      <c r="FB110" s="341">
        <f>IF(EZ110=0,0,(FA110-EZ110)/EZ110*100)</f>
        <v>0</v>
      </c>
      <c r="FC110" s="100"/>
      <c r="FD110" s="100"/>
      <c r="FE110" s="341">
        <f>IF(FC110=0,0,(FD110-FC110)/FC110*100)</f>
        <v>0</v>
      </c>
      <c r="FF110" s="100"/>
      <c r="FG110" s="100"/>
      <c r="FH110" s="341">
        <f>IF(FF110=0,0,(FG110-FF110)/FF110*100)</f>
        <v>0</v>
      </c>
      <c r="FI110" s="100"/>
      <c r="FJ110" s="100"/>
      <c r="FK110" s="341">
        <f>IF(FI110=0,0,(FJ110-FI110)/FI110*100)</f>
        <v>0</v>
      </c>
      <c r="FL110" s="100"/>
      <c r="FM110" s="100"/>
      <c r="FN110" s="341">
        <f>IF(FL110=0,0,(FM110-FL110)/FL110*100)</f>
        <v>0</v>
      </c>
      <c r="FO110" s="100"/>
      <c r="FP110" s="100"/>
      <c r="FQ110" s="341">
        <f>IF(FO110=0,0,(FP110-FO110)/FO110*100)</f>
        <v>0</v>
      </c>
      <c r="FR110" s="100"/>
      <c r="FS110" s="100"/>
      <c r="FT110" s="341">
        <f>IF(FR110=0,0,(FS110-FR110)/FR110*100)</f>
        <v>0</v>
      </c>
      <c r="FU110" s="100"/>
      <c r="FV110" s="100"/>
      <c r="FW110" s="341">
        <f>IF(FU110=0,0,(FV110-FU110)/FU110*100)</f>
        <v>0</v>
      </c>
      <c r="FX110" s="425"/>
      <c r="FY110" s="425"/>
      <c r="FZ110" s="981" t="s">
        <v>2229</v>
      </c>
      <c r="GA110" s="981"/>
      <c r="GB110" s="981"/>
      <c r="GC110" s="981"/>
      <c r="GD110" s="981"/>
    </row>
    <row r="111" spans="1:186" s="1229" customFormat="1" ht="30" hidden="1" customHeight="1">
      <c r="A111" s="1153"/>
      <c r="B111" s="813" t="b" cm="1">
        <f t="array" ref="B111">B110</f>
        <v>0</v>
      </c>
      <c r="C111" s="1118" t="s">
        <v>1833</v>
      </c>
      <c r="D111" s="1087" t="s">
        <v>1834</v>
      </c>
      <c r="E111" s="676">
        <v>31.5</v>
      </c>
      <c r="F111" s="779" t="str" cm="1">
        <f t="array" aca="1" ref="F111" ca="1">OFFSET(G111,-1,-1)</f>
        <v>1</v>
      </c>
      <c r="G111" s="425"/>
      <c r="H111" s="163" t="s">
        <v>2209</v>
      </c>
      <c r="I111" s="163" t="s">
        <v>2170</v>
      </c>
      <c r="J111" s="1108"/>
      <c r="K111" s="1108" t="str" cm="1">
        <f t="array" aca="1" ref="K111" ca="1">OFFSET(J111,-1,1)</f>
        <v>ТЭ.42.26322895.0003</v>
      </c>
      <c r="L111" s="1108"/>
      <c r="M111" s="1108" t="s">
        <v>1782</v>
      </c>
      <c r="N111" s="1108" t="s">
        <v>2171</v>
      </c>
      <c r="O111" s="1109" t="s">
        <v>2172</v>
      </c>
      <c r="P111" s="1108" t="s">
        <v>2210</v>
      </c>
      <c r="Q111" s="1108"/>
      <c r="R111" s="784"/>
      <c r="S111" s="425"/>
      <c r="T111" s="687" t="b" cm="1">
        <f t="array" aca="1" ref="T111" ca="1">T110</f>
        <v>0</v>
      </c>
      <c r="U111" s="1153"/>
      <c r="V111" s="1153"/>
      <c r="W111" s="1153"/>
      <c r="X111" s="1726"/>
      <c r="Y111" s="1153"/>
      <c r="Z111" s="1726"/>
      <c r="AA111" s="425"/>
      <c r="AB111" s="223" t="s">
        <v>2211</v>
      </c>
      <c r="AC111" s="443" t="s">
        <v>1837</v>
      </c>
      <c r="AD111" s="22"/>
      <c r="AE111" s="22"/>
      <c r="AF111" s="312">
        <f>IF(AD111=0,0,(AE111-AD111)/AD111*100)</f>
        <v>0</v>
      </c>
      <c r="AG111" s="313"/>
      <c r="AH111" s="313"/>
      <c r="AI111" s="312">
        <f>IF(AG111=0,0,(AH111-AG111)/AG111*100)</f>
        <v>0</v>
      </c>
      <c r="AJ111" s="313"/>
      <c r="AK111" s="313"/>
      <c r="AL111" s="312">
        <f>IF(AJ111=0,0,(AK111-AJ111)/AJ111*100)</f>
        <v>0</v>
      </c>
      <c r="AM111" s="313"/>
      <c r="AN111" s="313"/>
      <c r="AO111" s="312">
        <f>IF(AM111=0,0,(AN111-AM111)/AM111*100)</f>
        <v>0</v>
      </c>
      <c r="AP111" s="313"/>
      <c r="AQ111" s="313"/>
      <c r="AR111" s="312">
        <f>IF(AP111=0,0,(AQ111-AP111)/AP111*100)</f>
        <v>0</v>
      </c>
      <c r="AS111" s="22"/>
      <c r="AT111" s="22"/>
      <c r="AU111" s="312">
        <f>IF(AS111=0,0,(AT111-AS111)/AS111*100)</f>
        <v>0</v>
      </c>
      <c r="AV111" s="22"/>
      <c r="AW111" s="22"/>
      <c r="AX111" s="312">
        <f>IF(AV111=0,0,(AW111-AV111)/AV111*100)</f>
        <v>0</v>
      </c>
      <c r="AY111" s="22"/>
      <c r="AZ111" s="22"/>
      <c r="BA111" s="312">
        <f>IF(AY111=0,0,(AZ111-AY111)/AY111*100)</f>
        <v>0</v>
      </c>
      <c r="BB111" s="22"/>
      <c r="BC111" s="22"/>
      <c r="BD111" s="312">
        <f>IF(BB111=0,0,(BC111-BB111)/BB111*100)</f>
        <v>0</v>
      </c>
      <c r="BE111" s="22"/>
      <c r="BF111" s="22"/>
      <c r="BG111" s="312">
        <f>IF(BE111=0,0,(BF111-BE111)/BE111*100)</f>
        <v>0</v>
      </c>
      <c r="BH111" s="22"/>
      <c r="BI111" s="22"/>
      <c r="BJ111" s="312">
        <f>IF(BH111=0,0,(BI111-BH111)/BH111*100)</f>
        <v>0</v>
      </c>
      <c r="BK111" s="22"/>
      <c r="BL111" s="22"/>
      <c r="BM111" s="312">
        <f>IF(BK111=0,0,(BL111-BK111)/BK111*100)</f>
        <v>0</v>
      </c>
      <c r="BN111" s="22"/>
      <c r="BO111" s="22"/>
      <c r="BP111" s="312">
        <f>IF(BN111=0,0,(BO111-BN111)/BN111*100)</f>
        <v>0</v>
      </c>
      <c r="BQ111" s="22"/>
      <c r="BR111" s="22"/>
      <c r="BS111" s="312">
        <f>IF(BQ111=0,0,(BR111-BQ111)/BQ111*100)</f>
        <v>0</v>
      </c>
      <c r="BT111" s="22"/>
      <c r="BU111" s="22"/>
      <c r="BV111" s="312">
        <f>IF(BT111=0,0,(BU111-BT111)/BT111*100)</f>
        <v>0</v>
      </c>
      <c r="BW111" s="22"/>
      <c r="BX111" s="22"/>
      <c r="BY111" s="312">
        <f>IF(BW111=0,0,(BX111-BW111)/BW111*100)</f>
        <v>0</v>
      </c>
      <c r="BZ111" s="22"/>
      <c r="CA111" s="22"/>
      <c r="CB111" s="312">
        <f>IF(BZ111=0,0,(CA111-BZ111)/BZ111*100)</f>
        <v>0</v>
      </c>
      <c r="CC111" s="22"/>
      <c r="CD111" s="22"/>
      <c r="CE111" s="312">
        <f>IF(CC111=0,0,(CD111-CC111)/CC111*100)</f>
        <v>0</v>
      </c>
      <c r="CF111" s="22"/>
      <c r="CG111" s="22"/>
      <c r="CH111" s="312">
        <f>IF(CF111=0,0,(CG111-CF111)/CF111*100)</f>
        <v>0</v>
      </c>
      <c r="CI111" s="22"/>
      <c r="CJ111" s="22"/>
      <c r="CK111" s="312">
        <f>IF(CI111=0,0,(CJ111-CI111)/CI111*100)</f>
        <v>0</v>
      </c>
      <c r="CL111" s="22"/>
      <c r="CM111" s="22"/>
      <c r="CN111" s="312">
        <f>IF(CL111=0,0,(CM111-CL111)/CL111*100)</f>
        <v>0</v>
      </c>
      <c r="CO111" s="22"/>
      <c r="CP111" s="22"/>
      <c r="CQ111" s="312">
        <f>IF(CO111=0,0,(CP111-CO111)/CO111*100)</f>
        <v>0</v>
      </c>
      <c r="CR111" s="22"/>
      <c r="CS111" s="22"/>
      <c r="CT111" s="312">
        <f>IF(CR111=0,0,(CS111-CR111)/CR111*100)</f>
        <v>0</v>
      </c>
      <c r="CU111" s="22"/>
      <c r="CV111" s="22"/>
      <c r="CW111" s="312">
        <f>IF(CU111=0,0,(CV111-CU111)/CU111*100)</f>
        <v>0</v>
      </c>
      <c r="CX111" s="22"/>
      <c r="CY111" s="22"/>
      <c r="CZ111" s="312">
        <f>IF(CX111=0,0,(CY111-CX111)/CX111*100)</f>
        <v>0</v>
      </c>
      <c r="DA111" s="22"/>
      <c r="DB111" s="22"/>
      <c r="DC111" s="312">
        <f>IF(DA111=0,0,(DB111-DA111)/DA111*100)</f>
        <v>0</v>
      </c>
      <c r="DD111" s="22"/>
      <c r="DE111" s="22"/>
      <c r="DF111" s="312">
        <f>IF(DD111=0,0,(DE111-DD111)/DD111*100)</f>
        <v>0</v>
      </c>
      <c r="DG111" s="22"/>
      <c r="DH111" s="22"/>
      <c r="DI111" s="312">
        <f>IF(DG111=0,0,(DH111-DG111)/DG111*100)</f>
        <v>0</v>
      </c>
      <c r="DJ111" s="22"/>
      <c r="DK111" s="22"/>
      <c r="DL111" s="312">
        <f>IF(DJ111=0,0,(DK111-DJ111)/DJ111*100)</f>
        <v>0</v>
      </c>
      <c r="DM111" s="22"/>
      <c r="DN111" s="22"/>
      <c r="DO111" s="312">
        <f>IF(DM111=0,0,(DN111-DM111)/DM111*100)</f>
        <v>0</v>
      </c>
      <c r="DP111" s="22"/>
      <c r="DQ111" s="22"/>
      <c r="DR111" s="312">
        <f>IF(DP111=0,0,(DQ111-DP111)/DP111*100)</f>
        <v>0</v>
      </c>
      <c r="DS111" s="22"/>
      <c r="DT111" s="22"/>
      <c r="DU111" s="312">
        <f>IF(DS111=0,0,(DT111-DS111)/DS111*100)</f>
        <v>0</v>
      </c>
      <c r="DV111" s="22"/>
      <c r="DW111" s="22"/>
      <c r="DX111" s="312">
        <f>IF(DV111=0,0,(DW111-DV111)/DV111*100)</f>
        <v>0</v>
      </c>
      <c r="DY111" s="22"/>
      <c r="DZ111" s="22"/>
      <c r="EA111" s="312">
        <f>IF(DY111=0,0,(DZ111-DY111)/DY111*100)</f>
        <v>0</v>
      </c>
      <c r="EB111" s="22"/>
      <c r="EC111" s="22"/>
      <c r="ED111" s="312">
        <f>IF(EB111=0,0,(EC111-EB111)/EB111*100)</f>
        <v>0</v>
      </c>
      <c r="EE111" s="22"/>
      <c r="EF111" s="22"/>
      <c r="EG111" s="312">
        <f>IF(EE111=0,0,(EF111-EE111)/EE111*100)</f>
        <v>0</v>
      </c>
      <c r="EH111" s="22"/>
      <c r="EI111" s="22"/>
      <c r="EJ111" s="312">
        <f>IF(EH111=0,0,(EI111-EH111)/EH111*100)</f>
        <v>0</v>
      </c>
      <c r="EK111" s="22"/>
      <c r="EL111" s="22"/>
      <c r="EM111" s="312">
        <f>IF(EK111=0,0,(EL111-EK111)/EK111*100)</f>
        <v>0</v>
      </c>
      <c r="EN111" s="22"/>
      <c r="EO111" s="22"/>
      <c r="EP111" s="312">
        <f>IF(EN111=0,0,(EO111-EN111)/EN111*100)</f>
        <v>0</v>
      </c>
      <c r="EQ111" s="22"/>
      <c r="ER111" s="22"/>
      <c r="ES111" s="312">
        <f>IF(EQ111=0,0,(ER111-EQ111)/EQ111*100)</f>
        <v>0</v>
      </c>
      <c r="ET111" s="22"/>
      <c r="EU111" s="22"/>
      <c r="EV111" s="312">
        <f>IF(ET111=0,0,(EU111-ET111)/ET111*100)</f>
        <v>0</v>
      </c>
      <c r="EW111" s="22"/>
      <c r="EX111" s="22"/>
      <c r="EY111" s="312">
        <f>IF(EW111=0,0,(EX111-EW111)/EW111*100)</f>
        <v>0</v>
      </c>
      <c r="EZ111" s="22"/>
      <c r="FA111" s="22"/>
      <c r="FB111" s="312">
        <f>IF(EZ111=0,0,(FA111-EZ111)/EZ111*100)</f>
        <v>0</v>
      </c>
      <c r="FC111" s="22"/>
      <c r="FD111" s="22"/>
      <c r="FE111" s="312">
        <f>IF(FC111=0,0,(FD111-FC111)/FC111*100)</f>
        <v>0</v>
      </c>
      <c r="FF111" s="22"/>
      <c r="FG111" s="22"/>
      <c r="FH111" s="312">
        <f>IF(FF111=0,0,(FG111-FF111)/FF111*100)</f>
        <v>0</v>
      </c>
      <c r="FI111" s="22"/>
      <c r="FJ111" s="22"/>
      <c r="FK111" s="312">
        <f>IF(FI111=0,0,(FJ111-FI111)/FI111*100)</f>
        <v>0</v>
      </c>
      <c r="FL111" s="22"/>
      <c r="FM111" s="22"/>
      <c r="FN111" s="312">
        <f>IF(FL111=0,0,(FM111-FL111)/FL111*100)</f>
        <v>0</v>
      </c>
      <c r="FO111" s="22"/>
      <c r="FP111" s="22"/>
      <c r="FQ111" s="312">
        <f>IF(FO111=0,0,(FP111-FO111)/FO111*100)</f>
        <v>0</v>
      </c>
      <c r="FR111" s="22"/>
      <c r="FS111" s="22"/>
      <c r="FT111" s="312">
        <f>IF(FR111=0,0,(FS111-FR111)/FR111*100)</f>
        <v>0</v>
      </c>
      <c r="FU111" s="22"/>
      <c r="FV111" s="22"/>
      <c r="FW111" s="312">
        <f>IF(FU111=0,0,(FV111-FU111)/FU111*100)</f>
        <v>0</v>
      </c>
      <c r="FX111" s="425"/>
      <c r="FY111" s="425"/>
      <c r="FZ111" s="981" t="s">
        <v>2230</v>
      </c>
      <c r="GA111" s="981"/>
      <c r="GB111" s="981"/>
      <c r="GC111" s="981"/>
      <c r="GD111" s="981"/>
    </row>
    <row r="112" spans="1:186" s="1229" customFormat="1" ht="15" hidden="1" customHeight="1">
      <c r="A112" s="1153"/>
      <c r="B112" s="813" t="b" cm="1">
        <f t="array" ref="B112">B111</f>
        <v>0</v>
      </c>
      <c r="C112" s="1118" t="s">
        <v>1805</v>
      </c>
      <c r="D112" s="1087" t="s">
        <v>1806</v>
      </c>
      <c r="E112" s="676">
        <v>15.8</v>
      </c>
      <c r="F112" s="779" t="str" cm="1">
        <f t="array" aca="1" ref="F112" ca="1">OFFSET(G112,-1,-1)</f>
        <v>1</v>
      </c>
      <c r="G112" s="425"/>
      <c r="H112" s="163" t="s">
        <v>2213</v>
      </c>
      <c r="I112" s="163" t="s">
        <v>2170</v>
      </c>
      <c r="J112" s="1108"/>
      <c r="K112" s="1108" t="str" cm="1">
        <f t="array" aca="1" ref="K112" ca="1">OFFSET(J112,-1,1)</f>
        <v>ТЭ.42.26322895.0003</v>
      </c>
      <c r="L112" s="1108"/>
      <c r="M112" s="1108" t="s">
        <v>1782</v>
      </c>
      <c r="N112" s="1108" t="s">
        <v>2171</v>
      </c>
      <c r="O112" s="1109" t="s">
        <v>2172</v>
      </c>
      <c r="P112" s="1108" t="s">
        <v>2214</v>
      </c>
      <c r="Q112" s="1108"/>
      <c r="R112" s="784"/>
      <c r="S112" s="425"/>
      <c r="T112" s="687" t="b" cm="1">
        <f t="array" aca="1" ref="T112" ca="1">T111</f>
        <v>0</v>
      </c>
      <c r="U112" s="1153"/>
      <c r="V112" s="1153"/>
      <c r="W112" s="1153"/>
      <c r="X112" s="1726"/>
      <c r="Y112" s="1153"/>
      <c r="Z112" s="1726"/>
      <c r="AA112" s="425"/>
      <c r="AB112" s="223" t="s">
        <v>2215</v>
      </c>
      <c r="AC112" s="557" t="s">
        <v>725</v>
      </c>
      <c r="AD112" s="22"/>
      <c r="AE112" s="22"/>
      <c r="AF112" s="312">
        <f>IF(AD112=0,0,(AE112-AD112)/AD112*100)</f>
        <v>0</v>
      </c>
      <c r="AG112" s="313"/>
      <c r="AH112" s="313"/>
      <c r="AI112" s="312">
        <f>IF(AG112=0,0,(AH112-AG112)/AG112*100)</f>
        <v>0</v>
      </c>
      <c r="AJ112" s="313"/>
      <c r="AK112" s="313"/>
      <c r="AL112" s="312">
        <f>IF(AJ112=0,0,(AK112-AJ112)/AJ112*100)</f>
        <v>0</v>
      </c>
      <c r="AM112" s="313"/>
      <c r="AN112" s="313"/>
      <c r="AO112" s="312">
        <f>IF(AM112=0,0,(AN112-AM112)/AM112*100)</f>
        <v>0</v>
      </c>
      <c r="AP112" s="313"/>
      <c r="AQ112" s="313"/>
      <c r="AR112" s="312">
        <f>IF(AP112=0,0,(AQ112-AP112)/AP112*100)</f>
        <v>0</v>
      </c>
      <c r="AS112" s="22"/>
      <c r="AT112" s="22"/>
      <c r="AU112" s="312">
        <f>IF(AS112=0,0,(AT112-AS112)/AS112*100)</f>
        <v>0</v>
      </c>
      <c r="AV112" s="22"/>
      <c r="AW112" s="22"/>
      <c r="AX112" s="312">
        <f>IF(AV112=0,0,(AW112-AV112)/AV112*100)</f>
        <v>0</v>
      </c>
      <c r="AY112" s="22"/>
      <c r="AZ112" s="22"/>
      <c r="BA112" s="312">
        <f>IF(AY112=0,0,(AZ112-AY112)/AY112*100)</f>
        <v>0</v>
      </c>
      <c r="BB112" s="22"/>
      <c r="BC112" s="22"/>
      <c r="BD112" s="312">
        <f>IF(BB112=0,0,(BC112-BB112)/BB112*100)</f>
        <v>0</v>
      </c>
      <c r="BE112" s="22"/>
      <c r="BF112" s="22"/>
      <c r="BG112" s="312">
        <f>IF(BE112=0,0,(BF112-BE112)/BE112*100)</f>
        <v>0</v>
      </c>
      <c r="BH112" s="22"/>
      <c r="BI112" s="22"/>
      <c r="BJ112" s="312">
        <f>IF(BH112=0,0,(BI112-BH112)/BH112*100)</f>
        <v>0</v>
      </c>
      <c r="BK112" s="22"/>
      <c r="BL112" s="22"/>
      <c r="BM112" s="312">
        <f>IF(BK112=0,0,(BL112-BK112)/BK112*100)</f>
        <v>0</v>
      </c>
      <c r="BN112" s="22"/>
      <c r="BO112" s="22"/>
      <c r="BP112" s="312">
        <f>IF(BN112=0,0,(BO112-BN112)/BN112*100)</f>
        <v>0</v>
      </c>
      <c r="BQ112" s="22"/>
      <c r="BR112" s="22"/>
      <c r="BS112" s="312">
        <f>IF(BQ112=0,0,(BR112-BQ112)/BQ112*100)</f>
        <v>0</v>
      </c>
      <c r="BT112" s="22"/>
      <c r="BU112" s="22"/>
      <c r="BV112" s="312">
        <f>IF(BT112=0,0,(BU112-BT112)/BT112*100)</f>
        <v>0</v>
      </c>
      <c r="BW112" s="22"/>
      <c r="BX112" s="22"/>
      <c r="BY112" s="312">
        <f>IF(BW112=0,0,(BX112-BW112)/BW112*100)</f>
        <v>0</v>
      </c>
      <c r="BZ112" s="22"/>
      <c r="CA112" s="22"/>
      <c r="CB112" s="312">
        <f>IF(BZ112=0,0,(CA112-BZ112)/BZ112*100)</f>
        <v>0</v>
      </c>
      <c r="CC112" s="22"/>
      <c r="CD112" s="22"/>
      <c r="CE112" s="312">
        <f>IF(CC112=0,0,(CD112-CC112)/CC112*100)</f>
        <v>0</v>
      </c>
      <c r="CF112" s="22"/>
      <c r="CG112" s="22"/>
      <c r="CH112" s="312">
        <f>IF(CF112=0,0,(CG112-CF112)/CF112*100)</f>
        <v>0</v>
      </c>
      <c r="CI112" s="22"/>
      <c r="CJ112" s="22"/>
      <c r="CK112" s="312">
        <f>IF(CI112=0,0,(CJ112-CI112)/CI112*100)</f>
        <v>0</v>
      </c>
      <c r="CL112" s="22"/>
      <c r="CM112" s="22"/>
      <c r="CN112" s="312">
        <f>IF(CL112=0,0,(CM112-CL112)/CL112*100)</f>
        <v>0</v>
      </c>
      <c r="CO112" s="22"/>
      <c r="CP112" s="22"/>
      <c r="CQ112" s="312">
        <f>IF(CO112=0,0,(CP112-CO112)/CO112*100)</f>
        <v>0</v>
      </c>
      <c r="CR112" s="22"/>
      <c r="CS112" s="22"/>
      <c r="CT112" s="312">
        <f>IF(CR112=0,0,(CS112-CR112)/CR112*100)</f>
        <v>0</v>
      </c>
      <c r="CU112" s="22"/>
      <c r="CV112" s="22"/>
      <c r="CW112" s="312">
        <f>IF(CU112=0,0,(CV112-CU112)/CU112*100)</f>
        <v>0</v>
      </c>
      <c r="CX112" s="22"/>
      <c r="CY112" s="22"/>
      <c r="CZ112" s="312">
        <f>IF(CX112=0,0,(CY112-CX112)/CX112*100)</f>
        <v>0</v>
      </c>
      <c r="DA112" s="22"/>
      <c r="DB112" s="22"/>
      <c r="DC112" s="312">
        <f>IF(DA112=0,0,(DB112-DA112)/DA112*100)</f>
        <v>0</v>
      </c>
      <c r="DD112" s="22"/>
      <c r="DE112" s="22"/>
      <c r="DF112" s="312">
        <f>IF(DD112=0,0,(DE112-DD112)/DD112*100)</f>
        <v>0</v>
      </c>
      <c r="DG112" s="22"/>
      <c r="DH112" s="22"/>
      <c r="DI112" s="312">
        <f>IF(DG112=0,0,(DH112-DG112)/DG112*100)</f>
        <v>0</v>
      </c>
      <c r="DJ112" s="22"/>
      <c r="DK112" s="22"/>
      <c r="DL112" s="312">
        <f>IF(DJ112=0,0,(DK112-DJ112)/DJ112*100)</f>
        <v>0</v>
      </c>
      <c r="DM112" s="22"/>
      <c r="DN112" s="22"/>
      <c r="DO112" s="312">
        <f>IF(DM112=0,0,(DN112-DM112)/DM112*100)</f>
        <v>0</v>
      </c>
      <c r="DP112" s="22"/>
      <c r="DQ112" s="22"/>
      <c r="DR112" s="312">
        <f>IF(DP112=0,0,(DQ112-DP112)/DP112*100)</f>
        <v>0</v>
      </c>
      <c r="DS112" s="22"/>
      <c r="DT112" s="22"/>
      <c r="DU112" s="312">
        <f>IF(DS112=0,0,(DT112-DS112)/DS112*100)</f>
        <v>0</v>
      </c>
      <c r="DV112" s="22"/>
      <c r="DW112" s="22"/>
      <c r="DX112" s="312">
        <f>IF(DV112=0,0,(DW112-DV112)/DV112*100)</f>
        <v>0</v>
      </c>
      <c r="DY112" s="22"/>
      <c r="DZ112" s="22"/>
      <c r="EA112" s="312">
        <f>IF(DY112=0,0,(DZ112-DY112)/DY112*100)</f>
        <v>0</v>
      </c>
      <c r="EB112" s="22"/>
      <c r="EC112" s="22"/>
      <c r="ED112" s="312">
        <f>IF(EB112=0,0,(EC112-EB112)/EB112*100)</f>
        <v>0</v>
      </c>
      <c r="EE112" s="22"/>
      <c r="EF112" s="22"/>
      <c r="EG112" s="312">
        <f>IF(EE112=0,0,(EF112-EE112)/EE112*100)</f>
        <v>0</v>
      </c>
      <c r="EH112" s="22"/>
      <c r="EI112" s="22"/>
      <c r="EJ112" s="312">
        <f>IF(EH112=0,0,(EI112-EH112)/EH112*100)</f>
        <v>0</v>
      </c>
      <c r="EK112" s="22"/>
      <c r="EL112" s="22"/>
      <c r="EM112" s="312">
        <f>IF(EK112=0,0,(EL112-EK112)/EK112*100)</f>
        <v>0</v>
      </c>
      <c r="EN112" s="22"/>
      <c r="EO112" s="22"/>
      <c r="EP112" s="312">
        <f>IF(EN112=0,0,(EO112-EN112)/EN112*100)</f>
        <v>0</v>
      </c>
      <c r="EQ112" s="22"/>
      <c r="ER112" s="22"/>
      <c r="ES112" s="312">
        <f>IF(EQ112=0,0,(ER112-EQ112)/EQ112*100)</f>
        <v>0</v>
      </c>
      <c r="ET112" s="22"/>
      <c r="EU112" s="22"/>
      <c r="EV112" s="312">
        <f>IF(ET112=0,0,(EU112-ET112)/ET112*100)</f>
        <v>0</v>
      </c>
      <c r="EW112" s="22"/>
      <c r="EX112" s="22"/>
      <c r="EY112" s="312">
        <f>IF(EW112=0,0,(EX112-EW112)/EW112*100)</f>
        <v>0</v>
      </c>
      <c r="EZ112" s="22"/>
      <c r="FA112" s="22"/>
      <c r="FB112" s="312">
        <f>IF(EZ112=0,0,(FA112-EZ112)/EZ112*100)</f>
        <v>0</v>
      </c>
      <c r="FC112" s="22"/>
      <c r="FD112" s="22"/>
      <c r="FE112" s="312">
        <f>IF(FC112=0,0,(FD112-FC112)/FC112*100)</f>
        <v>0</v>
      </c>
      <c r="FF112" s="22"/>
      <c r="FG112" s="22"/>
      <c r="FH112" s="312">
        <f>IF(FF112=0,0,(FG112-FF112)/FF112*100)</f>
        <v>0</v>
      </c>
      <c r="FI112" s="22"/>
      <c r="FJ112" s="22"/>
      <c r="FK112" s="312">
        <f>IF(FI112=0,0,(FJ112-FI112)/FI112*100)</f>
        <v>0</v>
      </c>
      <c r="FL112" s="22"/>
      <c r="FM112" s="22"/>
      <c r="FN112" s="312">
        <f>IF(FL112=0,0,(FM112-FL112)/FL112*100)</f>
        <v>0</v>
      </c>
      <c r="FO112" s="22"/>
      <c r="FP112" s="22"/>
      <c r="FQ112" s="312">
        <f>IF(FO112=0,0,(FP112-FO112)/FO112*100)</f>
        <v>0</v>
      </c>
      <c r="FR112" s="22"/>
      <c r="FS112" s="22"/>
      <c r="FT112" s="312">
        <f>IF(FR112=0,0,(FS112-FR112)/FR112*100)</f>
        <v>0</v>
      </c>
      <c r="FU112" s="22"/>
      <c r="FV112" s="22"/>
      <c r="FW112" s="312">
        <f>IF(FU112=0,0,(FV112-FU112)/FU112*100)</f>
        <v>0</v>
      </c>
      <c r="FX112" s="425"/>
      <c r="FY112" s="425"/>
      <c r="FZ112" s="981" t="s">
        <v>2231</v>
      </c>
      <c r="GA112" s="981"/>
      <c r="GB112" s="981"/>
      <c r="GC112" s="981"/>
      <c r="GD112" s="981"/>
    </row>
    <row r="113" spans="1:186" s="1229" customFormat="1" ht="15" hidden="1" customHeight="1">
      <c r="A113" s="1153"/>
      <c r="B113" s="813" t="b" cm="1">
        <f t="array" ref="B113">B112</f>
        <v>0</v>
      </c>
      <c r="C113" s="1118"/>
      <c r="D113" s="1087"/>
      <c r="E113" s="676">
        <v>15.8</v>
      </c>
      <c r="F113" s="779" t="str" cm="1">
        <f t="array" aca="1" ref="F113" ca="1">OFFSET(G113,-1,-1)</f>
        <v>1</v>
      </c>
      <c r="G113" s="425"/>
      <c r="H113" s="425"/>
      <c r="I113" s="425"/>
      <c r="J113" s="1092"/>
      <c r="K113" s="1108" t="str" cm="1">
        <f t="array" aca="1" ref="K113" ca="1">OFFSET(J113,-1,1)</f>
        <v>ТЭ.42.26322895.0003</v>
      </c>
      <c r="L113" s="1092"/>
      <c r="M113" s="1092"/>
      <c r="N113" s="1092"/>
      <c r="O113" s="1092"/>
      <c r="P113" s="1108"/>
      <c r="Q113" s="1108"/>
      <c r="R113" s="784"/>
      <c r="S113" s="425"/>
      <c r="T113" s="687" t="b" cm="1">
        <f t="array" aca="1" ref="T113" ca="1">T112</f>
        <v>0</v>
      </c>
      <c r="U113" s="1153"/>
      <c r="V113" s="1153"/>
      <c r="W113" s="1153"/>
      <c r="X113" s="1726"/>
      <c r="Y113" s="1153"/>
      <c r="Z113" s="1726"/>
      <c r="AA113" s="425"/>
      <c r="AB113" s="1140" t="s">
        <v>2176</v>
      </c>
      <c r="AC113" s="314"/>
      <c r="AD113" s="315"/>
      <c r="AE113" s="315"/>
      <c r="AF113" s="315"/>
      <c r="AG113" s="315"/>
      <c r="AH113" s="315"/>
      <c r="AI113" s="315"/>
      <c r="AJ113" s="315"/>
      <c r="AK113" s="315"/>
      <c r="AL113" s="315"/>
      <c r="AM113" s="315"/>
      <c r="AN113" s="315"/>
      <c r="AO113" s="315"/>
      <c r="AP113" s="315"/>
      <c r="AQ113" s="315"/>
      <c r="AR113" s="315"/>
      <c r="AS113" s="315"/>
      <c r="AT113" s="315"/>
      <c r="AU113" s="315"/>
      <c r="AV113" s="315"/>
      <c r="AW113" s="315"/>
      <c r="AX113" s="315"/>
      <c r="AY113" s="315"/>
      <c r="AZ113" s="315"/>
      <c r="BA113" s="315"/>
      <c r="BB113" s="315"/>
      <c r="BC113" s="315"/>
      <c r="BD113" s="315"/>
      <c r="BE113" s="315"/>
      <c r="BF113" s="315"/>
      <c r="BG113" s="315"/>
      <c r="BH113" s="315"/>
      <c r="BI113" s="315"/>
      <c r="BJ113" s="315"/>
      <c r="BK113" s="315"/>
      <c r="BL113" s="315"/>
      <c r="BM113" s="315"/>
      <c r="BN113" s="315"/>
      <c r="BO113" s="315"/>
      <c r="BP113" s="315"/>
      <c r="BQ113" s="315"/>
      <c r="BR113" s="315"/>
      <c r="BS113" s="315"/>
      <c r="BT113" s="315"/>
      <c r="BU113" s="315"/>
      <c r="BV113" s="315"/>
      <c r="BW113" s="315"/>
      <c r="BX113" s="315"/>
      <c r="BY113" s="315"/>
      <c r="BZ113" s="315"/>
      <c r="CA113" s="315"/>
      <c r="CB113" s="315"/>
      <c r="CC113" s="315"/>
      <c r="CD113" s="315"/>
      <c r="CE113" s="315"/>
      <c r="CF113" s="315"/>
      <c r="CG113" s="315"/>
      <c r="CH113" s="315"/>
      <c r="CI113" s="315"/>
      <c r="CJ113" s="315"/>
      <c r="CK113" s="315"/>
      <c r="CL113" s="315"/>
      <c r="CM113" s="315"/>
      <c r="CN113" s="315"/>
      <c r="CO113" s="315"/>
      <c r="CP113" s="315"/>
      <c r="CQ113" s="315"/>
      <c r="CR113" s="315"/>
      <c r="CS113" s="315"/>
      <c r="CT113" s="315"/>
      <c r="CU113" s="315"/>
      <c r="CV113" s="315"/>
      <c r="CW113" s="315"/>
      <c r="CX113" s="315"/>
      <c r="CY113" s="315"/>
      <c r="CZ113" s="315"/>
      <c r="DA113" s="315"/>
      <c r="DB113" s="315"/>
      <c r="DC113" s="315"/>
      <c r="DD113" s="315"/>
      <c r="DE113" s="315"/>
      <c r="DF113" s="315"/>
      <c r="DG113" s="315"/>
      <c r="DH113" s="315"/>
      <c r="DI113" s="315"/>
      <c r="DJ113" s="315"/>
      <c r="DK113" s="315"/>
      <c r="DL113" s="315"/>
      <c r="DM113" s="315"/>
      <c r="DN113" s="315"/>
      <c r="DO113" s="315"/>
      <c r="DP113" s="315"/>
      <c r="DQ113" s="315"/>
      <c r="DR113" s="315"/>
      <c r="DS113" s="315"/>
      <c r="DT113" s="315"/>
      <c r="DU113" s="315"/>
      <c r="DV113" s="315"/>
      <c r="DW113" s="315"/>
      <c r="DX113" s="315"/>
      <c r="DY113" s="315"/>
      <c r="DZ113" s="315"/>
      <c r="EA113" s="315"/>
      <c r="EB113" s="315"/>
      <c r="EC113" s="315"/>
      <c r="ED113" s="315"/>
      <c r="EE113" s="315"/>
      <c r="EF113" s="315"/>
      <c r="EG113" s="315"/>
      <c r="EH113" s="315"/>
      <c r="EI113" s="315"/>
      <c r="EJ113" s="315"/>
      <c r="EK113" s="315"/>
      <c r="EL113" s="315"/>
      <c r="EM113" s="315"/>
      <c r="EN113" s="315"/>
      <c r="EO113" s="315"/>
      <c r="EP113" s="315"/>
      <c r="EQ113" s="315"/>
      <c r="ER113" s="315"/>
      <c r="ES113" s="315"/>
      <c r="ET113" s="315"/>
      <c r="EU113" s="315"/>
      <c r="EV113" s="315"/>
      <c r="EW113" s="315"/>
      <c r="EX113" s="315"/>
      <c r="EY113" s="315"/>
      <c r="EZ113" s="315"/>
      <c r="FA113" s="315"/>
      <c r="FB113" s="315"/>
      <c r="FC113" s="315"/>
      <c r="FD113" s="315"/>
      <c r="FE113" s="315"/>
      <c r="FF113" s="315"/>
      <c r="FG113" s="315"/>
      <c r="FH113" s="315"/>
      <c r="FI113" s="315"/>
      <c r="FJ113" s="315"/>
      <c r="FK113" s="315"/>
      <c r="FL113" s="315"/>
      <c r="FM113" s="315"/>
      <c r="FN113" s="315"/>
      <c r="FO113" s="315"/>
      <c r="FP113" s="315"/>
      <c r="FQ113" s="315"/>
      <c r="FR113" s="315"/>
      <c r="FS113" s="315"/>
      <c r="FT113" s="315"/>
      <c r="FU113" s="315"/>
      <c r="FV113" s="315"/>
      <c r="FW113" s="316"/>
      <c r="FX113" s="425"/>
      <c r="FY113" s="425"/>
      <c r="FZ113" s="1015"/>
      <c r="GA113" s="981"/>
      <c r="GB113" s="981"/>
      <c r="GC113" s="981"/>
      <c r="GD113" s="981"/>
    </row>
    <row r="114" spans="1:186" s="1229" customFormat="1" ht="15" hidden="1" customHeight="1">
      <c r="A114" s="1153"/>
      <c r="B114" s="813" t="b" cm="1">
        <f t="array" ref="B114">B113</f>
        <v>0</v>
      </c>
      <c r="C114" s="1118" t="s">
        <v>2223</v>
      </c>
      <c r="D114" s="1087" t="s">
        <v>2224</v>
      </c>
      <c r="E114" s="676">
        <v>15.8</v>
      </c>
      <c r="F114" s="779" t="str" cm="1">
        <f t="array" aca="1" ref="F114" ca="1">OFFSET(G114,-1,-1)</f>
        <v>1</v>
      </c>
      <c r="G114" s="425"/>
      <c r="H114" s="163" t="s">
        <v>2195</v>
      </c>
      <c r="I114" s="163" t="s">
        <v>2175</v>
      </c>
      <c r="J114" s="1108"/>
      <c r="K114" s="1108" t="str" cm="1">
        <f t="array" aca="1" ref="K114" ca="1">OFFSET(J114,-1,1)</f>
        <v>ТЭ.42.26322895.0003</v>
      </c>
      <c r="L114" s="1108"/>
      <c r="M114" s="1108" t="s">
        <v>1791</v>
      </c>
      <c r="N114" s="1108" t="s">
        <v>2171</v>
      </c>
      <c r="O114" s="1109" t="s">
        <v>2172</v>
      </c>
      <c r="P114" s="1108" t="s">
        <v>2196</v>
      </c>
      <c r="Q114" s="1108"/>
      <c r="R114" s="784"/>
      <c r="S114" s="425"/>
      <c r="T114" s="687" t="b" cm="1">
        <f t="array" aca="1" ref="T114" ca="1">T113</f>
        <v>0</v>
      </c>
      <c r="U114" s="1153"/>
      <c r="V114" s="1153"/>
      <c r="W114" s="1153"/>
      <c r="X114" s="1726"/>
      <c r="Y114" s="1153"/>
      <c r="Z114" s="1726"/>
      <c r="AA114" s="425"/>
      <c r="AB114" s="223" t="s">
        <v>2197</v>
      </c>
      <c r="AC114" s="123" t="s">
        <v>929</v>
      </c>
      <c r="AD114" s="22">
        <f>IF(AD116=0,0,(AD115*AD116+AD117*AD118*IF(god=2026,3,6))/AD116)</f>
        <v>0</v>
      </c>
      <c r="AE114" s="22">
        <f>IF(AE116=0,0,(AE115*AE116+AE117*AE118*IF(god=2026,3,6))/AE116)</f>
        <v>0</v>
      </c>
      <c r="AF114" s="312">
        <f>IF(AD114=0,0,(AE114-AD114)/AD114*100)</f>
        <v>0</v>
      </c>
      <c r="AG114" s="313">
        <f>IF(AG116=0,0,(AG115*AG116+AG117*AG118*IF(god=2025,3,6))/AG116)</f>
        <v>0</v>
      </c>
      <c r="AH114" s="313">
        <f>IF(AH116=0,0,(AH115*AH116+AH117*AH118*IF(god=2025,3,6))/AH116)</f>
        <v>0</v>
      </c>
      <c r="AI114" s="312">
        <f>IF(AG114=0,0,(AH114-AG114)/AG114*100)</f>
        <v>0</v>
      </c>
      <c r="AJ114" s="313">
        <f>IF(AJ116=0,0,(AJ115*AJ116+AJ117*AJ118*6)/AJ116)</f>
        <v>0</v>
      </c>
      <c r="AK114" s="313">
        <f>IF(AK116=0,0,(AK115*AK116+AK117*AK118*6)/AK116)</f>
        <v>0</v>
      </c>
      <c r="AL114" s="312">
        <f>IF(AJ114=0,0,(AK114-AJ114)/AJ114*100)</f>
        <v>0</v>
      </c>
      <c r="AM114" s="313">
        <f>IF(AM116=0,0,(AM115*AM116+AM117*AM118*6)/AM116)</f>
        <v>0</v>
      </c>
      <c r="AN114" s="313">
        <f>IF(AN116=0,0,(AN115*AN116+AN117*AN118*6)/AN116)</f>
        <v>0</v>
      </c>
      <c r="AO114" s="312">
        <f>IF(AM114=0,0,(AN114-AM114)/AM114*100)</f>
        <v>0</v>
      </c>
      <c r="AP114" s="313">
        <f>IF(AP116=0,0,(AP115*AP116+AP117*AP118*6)/AP116)</f>
        <v>0</v>
      </c>
      <c r="AQ114" s="313">
        <f>IF(AQ116=0,0,(AQ115*AQ116+AQ117*AQ118*6)/AQ116)</f>
        <v>0</v>
      </c>
      <c r="AR114" s="312">
        <f>IF(AP114=0,0,(AQ114-AP114)/AP114*100)</f>
        <v>0</v>
      </c>
      <c r="AS114" s="22">
        <f>IF(AS116=0,0,(AS115*AS116+AS117*AS118*6)/AS116)</f>
        <v>0</v>
      </c>
      <c r="AT114" s="22">
        <f>IF(AT116=0,0,(AT115*AT116+AT117*AT118*6)/AT116)</f>
        <v>0</v>
      </c>
      <c r="AU114" s="312">
        <f>IF(AS114=0,0,(AT114-AS114)/AS114*100)</f>
        <v>0</v>
      </c>
      <c r="AV114" s="22">
        <f>IF(AV116=0,0,(AV115*AV116+AV117*AV118*6)/AV116)</f>
        <v>0</v>
      </c>
      <c r="AW114" s="22">
        <f>IF(AW116=0,0,(AW115*AW116+AW117*AW118*6)/AW116)</f>
        <v>0</v>
      </c>
      <c r="AX114" s="312">
        <f>IF(AV114=0,0,(AW114-AV114)/AV114*100)</f>
        <v>0</v>
      </c>
      <c r="AY114" s="22">
        <f>IF(AY116=0,0,(AY115*AY116+AY117*AY118*6)/AY116)</f>
        <v>0</v>
      </c>
      <c r="AZ114" s="22">
        <f>IF(AZ116=0,0,(AZ115*AZ116+AZ117*AZ118*6)/AZ116)</f>
        <v>0</v>
      </c>
      <c r="BA114" s="312">
        <f>IF(AY114=0,0,(AZ114-AY114)/AY114*100)</f>
        <v>0</v>
      </c>
      <c r="BB114" s="22">
        <f>IF(BB116=0,0,(BB115*BB116+BB117*BB118*6)/BB116)</f>
        <v>0</v>
      </c>
      <c r="BC114" s="22">
        <f>IF(BC116=0,0,(BC115*BC116+BC117*BC118*6)/BC116)</f>
        <v>0</v>
      </c>
      <c r="BD114" s="312">
        <f>IF(BB114=0,0,(BC114-BB114)/BB114*100)</f>
        <v>0</v>
      </c>
      <c r="BE114" s="22">
        <f>IF(BE116=0,0,(BE115*BE116+BE117*BE118*6)/BE116)</f>
        <v>0</v>
      </c>
      <c r="BF114" s="22">
        <f>IF(BF116=0,0,(BF115*BF116+BF117*BF118*6)/BF116)</f>
        <v>0</v>
      </c>
      <c r="BG114" s="312">
        <f>IF(BE114=0,0,(BF114-BE114)/BE114*100)</f>
        <v>0</v>
      </c>
      <c r="BH114" s="22">
        <f>IF(BH116=0,0,(BH115*BH116+BH117*BH118*6)/BH116)</f>
        <v>0</v>
      </c>
      <c r="BI114" s="22">
        <f>IF(BI116=0,0,(BI115*BI116+BI117*BI118*6)/BI116)</f>
        <v>0</v>
      </c>
      <c r="BJ114" s="312">
        <f>IF(BH114=0,0,(BI114-BH114)/BH114*100)</f>
        <v>0</v>
      </c>
      <c r="BK114" s="22">
        <f>IF(BK116=0,0,(BK115*BK116+BK117*BK118*6)/BK116)</f>
        <v>0</v>
      </c>
      <c r="BL114" s="22">
        <f>IF(BL116=0,0,(BL115*BL116+BL117*BL118*6)/BL116)</f>
        <v>0</v>
      </c>
      <c r="BM114" s="312">
        <f>IF(BK114=0,0,(BL114-BK114)/BK114*100)</f>
        <v>0</v>
      </c>
      <c r="BN114" s="22">
        <f>IF(BN116=0,0,(BN115*BN116+BN117*BN118*6)/BN116)</f>
        <v>0</v>
      </c>
      <c r="BO114" s="22">
        <f>IF(BO116=0,0,(BO115*BO116+BO117*BO118*6)/BO116)</f>
        <v>0</v>
      </c>
      <c r="BP114" s="312">
        <f>IF(BN114=0,0,(BO114-BN114)/BN114*100)</f>
        <v>0</v>
      </c>
      <c r="BQ114" s="22">
        <f>IF(BQ116=0,0,(BQ115*BQ116+BQ117*BQ118*6)/BQ116)</f>
        <v>0</v>
      </c>
      <c r="BR114" s="22">
        <f>IF(BR116=0,0,(BR115*BR116+BR117*BR118*6)/BR116)</f>
        <v>0</v>
      </c>
      <c r="BS114" s="312">
        <f>IF(BQ114=0,0,(BR114-BQ114)/BQ114*100)</f>
        <v>0</v>
      </c>
      <c r="BT114" s="22">
        <f>IF(BT116=0,0,(BT115*BT116+BT117*BT118*6)/BT116)</f>
        <v>0</v>
      </c>
      <c r="BU114" s="22">
        <f>IF(BU116=0,0,(BU115*BU116+BU117*BU118*6)/BU116)</f>
        <v>0</v>
      </c>
      <c r="BV114" s="312">
        <f>IF(BT114=0,0,(BU114-BT114)/BT114*100)</f>
        <v>0</v>
      </c>
      <c r="BW114" s="22">
        <f>IF(BW116=0,0,(BW115*BW116+BW117*BW118*6)/BW116)</f>
        <v>0</v>
      </c>
      <c r="BX114" s="22">
        <f>IF(BX116=0,0,(BX115*BX116+BX117*BX118*6)/BX116)</f>
        <v>0</v>
      </c>
      <c r="BY114" s="312">
        <f>IF(BW114=0,0,(BX114-BW114)/BW114*100)</f>
        <v>0</v>
      </c>
      <c r="BZ114" s="22">
        <f>IF(BZ116=0,0,(BZ115*BZ116+BZ117*BZ118*6)/BZ116)</f>
        <v>0</v>
      </c>
      <c r="CA114" s="22">
        <f>IF(CA116=0,0,(CA115*CA116+CA117*CA118*6)/CA116)</f>
        <v>0</v>
      </c>
      <c r="CB114" s="312">
        <f>IF(BZ114=0,0,(CA114-BZ114)/BZ114*100)</f>
        <v>0</v>
      </c>
      <c r="CC114" s="22">
        <f>IF(CC116=0,0,(CC115*CC116+CC117*CC118*6)/CC116)</f>
        <v>0</v>
      </c>
      <c r="CD114" s="22">
        <f>IF(CD116=0,0,(CD115*CD116+CD117*CD118*6)/CD116)</f>
        <v>0</v>
      </c>
      <c r="CE114" s="312">
        <f>IF(CC114=0,0,(CD114-CC114)/CC114*100)</f>
        <v>0</v>
      </c>
      <c r="CF114" s="22">
        <f>IF(CF116=0,0,(CF115*CF116+CF117*CF118*6)/CF116)</f>
        <v>0</v>
      </c>
      <c r="CG114" s="22">
        <f>IF(CG116=0,0,(CG115*CG116+CG117*CG118*6)/CG116)</f>
        <v>0</v>
      </c>
      <c r="CH114" s="312">
        <f>IF(CF114=0,0,(CG114-CF114)/CF114*100)</f>
        <v>0</v>
      </c>
      <c r="CI114" s="22">
        <f>IF(CI116=0,0,(CI115*CI116+CI117*CI118*6)/CI116)</f>
        <v>0</v>
      </c>
      <c r="CJ114" s="22">
        <f>IF(CJ116=0,0,(CJ115*CJ116+CJ117*CJ118*6)/CJ116)</f>
        <v>0</v>
      </c>
      <c r="CK114" s="312">
        <f>IF(CI114=0,0,(CJ114-CI114)/CI114*100)</f>
        <v>0</v>
      </c>
      <c r="CL114" s="22">
        <f>IF(CL116=0,0,(CL115*CL116+CL117*CL118*6)/CL116)</f>
        <v>0</v>
      </c>
      <c r="CM114" s="22">
        <f>IF(CM116=0,0,(CM115*CM116+CM117*CM118*6)/CM116)</f>
        <v>0</v>
      </c>
      <c r="CN114" s="312">
        <f>IF(CL114=0,0,(CM114-CL114)/CL114*100)</f>
        <v>0</v>
      </c>
      <c r="CO114" s="22">
        <f>IF(CO116=0,0,(CO115*CO116+CO117*CO118*6)/CO116)</f>
        <v>0</v>
      </c>
      <c r="CP114" s="22">
        <f>IF(CP116=0,0,(CP115*CP116+CP117*CP118*6)/CP116)</f>
        <v>0</v>
      </c>
      <c r="CQ114" s="312">
        <f>IF(CO114=0,0,(CP114-CO114)/CO114*100)</f>
        <v>0</v>
      </c>
      <c r="CR114" s="22">
        <f>IF(CR116=0,0,(CR115*CR116+CR117*CR118*6)/CR116)</f>
        <v>0</v>
      </c>
      <c r="CS114" s="22">
        <f>IF(CS116=0,0,(CS115*CS116+CS117*CS118*6)/CS116)</f>
        <v>0</v>
      </c>
      <c r="CT114" s="312">
        <f>IF(CR114=0,0,(CS114-CR114)/CR114*100)</f>
        <v>0</v>
      </c>
      <c r="CU114" s="22">
        <f>IF(CU116=0,0,(CU115*CU116+CU117*CU118*6)/CU116)</f>
        <v>0</v>
      </c>
      <c r="CV114" s="22">
        <f>IF(CV116=0,0,(CV115*CV116+CV117*CV118*6)/CV116)</f>
        <v>0</v>
      </c>
      <c r="CW114" s="312">
        <f>IF(CU114=0,0,(CV114-CU114)/CU114*100)</f>
        <v>0</v>
      </c>
      <c r="CX114" s="22">
        <f>IF(CX116=0,0,(CX115*CX116+CX117*CX118*6)/CX116)</f>
        <v>0</v>
      </c>
      <c r="CY114" s="22">
        <f>IF(CY116=0,0,(CY115*CY116+CY117*CY118*6)/CY116)</f>
        <v>0</v>
      </c>
      <c r="CZ114" s="312">
        <f>IF(CX114=0,0,(CY114-CX114)/CX114*100)</f>
        <v>0</v>
      </c>
      <c r="DA114" s="22">
        <f>IF(DA116=0,0,(DA115*DA116+DA117*DA118*6)/DA116)</f>
        <v>0</v>
      </c>
      <c r="DB114" s="22">
        <f>IF(DB116=0,0,(DB115*DB116+DB117*DB118*6)/DB116)</f>
        <v>0</v>
      </c>
      <c r="DC114" s="312">
        <f>IF(DA114=0,0,(DB114-DA114)/DA114*100)</f>
        <v>0</v>
      </c>
      <c r="DD114" s="22">
        <f>IF(DD116=0,0,(DD115*DD116+DD117*DD118*6)/DD116)</f>
        <v>0</v>
      </c>
      <c r="DE114" s="22">
        <f>IF(DE116=0,0,(DE115*DE116+DE117*DE118*6)/DE116)</f>
        <v>0</v>
      </c>
      <c r="DF114" s="312">
        <f>IF(DD114=0,0,(DE114-DD114)/DD114*100)</f>
        <v>0</v>
      </c>
      <c r="DG114" s="22">
        <f>IF(DG116=0,0,(DG115*DG116+DG117*DG118*6)/DG116)</f>
        <v>0</v>
      </c>
      <c r="DH114" s="22">
        <f>IF(DH116=0,0,(DH115*DH116+DH117*DH118*6)/DH116)</f>
        <v>0</v>
      </c>
      <c r="DI114" s="312">
        <f>IF(DG114=0,0,(DH114-DG114)/DG114*100)</f>
        <v>0</v>
      </c>
      <c r="DJ114" s="22">
        <f>IF(DJ116=0,0,(DJ115*DJ116+DJ117*DJ118*6)/DJ116)</f>
        <v>0</v>
      </c>
      <c r="DK114" s="22">
        <f>IF(DK116=0,0,(DK115*DK116+DK117*DK118*6)/DK116)</f>
        <v>0</v>
      </c>
      <c r="DL114" s="312">
        <f>IF(DJ114=0,0,(DK114-DJ114)/DJ114*100)</f>
        <v>0</v>
      </c>
      <c r="DM114" s="22">
        <f>IF(DM116=0,0,(DM115*DM116+DM117*DM118*6)/DM116)</f>
        <v>0</v>
      </c>
      <c r="DN114" s="22">
        <f>IF(DN116=0,0,(DN115*DN116+DN117*DN118*6)/DN116)</f>
        <v>0</v>
      </c>
      <c r="DO114" s="312">
        <f>IF(DM114=0,0,(DN114-DM114)/DM114*100)</f>
        <v>0</v>
      </c>
      <c r="DP114" s="22">
        <f>IF(DP116=0,0,(DP115*DP116+DP117*DP118*6)/DP116)</f>
        <v>0</v>
      </c>
      <c r="DQ114" s="22">
        <f>IF(DQ116=0,0,(DQ115*DQ116+DQ117*DQ118*6)/DQ116)</f>
        <v>0</v>
      </c>
      <c r="DR114" s="312">
        <f>IF(DP114=0,0,(DQ114-DP114)/DP114*100)</f>
        <v>0</v>
      </c>
      <c r="DS114" s="22">
        <f>IF(DS116=0,0,(DS115*DS116+DS117*DS118*6)/DS116)</f>
        <v>0</v>
      </c>
      <c r="DT114" s="22">
        <f>IF(DT116=0,0,(DT115*DT116+DT117*DT118*6)/DT116)</f>
        <v>0</v>
      </c>
      <c r="DU114" s="312">
        <f>IF(DS114=0,0,(DT114-DS114)/DS114*100)</f>
        <v>0</v>
      </c>
      <c r="DV114" s="22">
        <f>IF(DV116=0,0,(DV115*DV116+DV117*DV118*6)/DV116)</f>
        <v>0</v>
      </c>
      <c r="DW114" s="22">
        <f>IF(DW116=0,0,(DW115*DW116+DW117*DW118*6)/DW116)</f>
        <v>0</v>
      </c>
      <c r="DX114" s="312">
        <f>IF(DV114=0,0,(DW114-DV114)/DV114*100)</f>
        <v>0</v>
      </c>
      <c r="DY114" s="22">
        <f>IF(DY116=0,0,(DY115*DY116+DY117*DY118*6)/DY116)</f>
        <v>0</v>
      </c>
      <c r="DZ114" s="22">
        <f>IF(DZ116=0,0,(DZ115*DZ116+DZ117*DZ118*6)/DZ116)</f>
        <v>0</v>
      </c>
      <c r="EA114" s="312">
        <f>IF(DY114=0,0,(DZ114-DY114)/DY114*100)</f>
        <v>0</v>
      </c>
      <c r="EB114" s="22">
        <f>IF(EB116=0,0,(EB115*EB116+EB117*EB118*6)/EB116)</f>
        <v>0</v>
      </c>
      <c r="EC114" s="22">
        <f>IF(EC116=0,0,(EC115*EC116+EC117*EC118*6)/EC116)</f>
        <v>0</v>
      </c>
      <c r="ED114" s="312">
        <f>IF(EB114=0,0,(EC114-EB114)/EB114*100)</f>
        <v>0</v>
      </c>
      <c r="EE114" s="22">
        <f>IF(EE116=0,0,(EE115*EE116+EE117*EE118*6)/EE116)</f>
        <v>0</v>
      </c>
      <c r="EF114" s="22">
        <f>IF(EF116=0,0,(EF115*EF116+EF117*EF118*6)/EF116)</f>
        <v>0</v>
      </c>
      <c r="EG114" s="312">
        <f>IF(EE114=0,0,(EF114-EE114)/EE114*100)</f>
        <v>0</v>
      </c>
      <c r="EH114" s="22">
        <f>IF(EH116=0,0,(EH115*EH116+EH117*EH118*6)/EH116)</f>
        <v>0</v>
      </c>
      <c r="EI114" s="22">
        <f>IF(EI116=0,0,(EI115*EI116+EI117*EI118*6)/EI116)</f>
        <v>0</v>
      </c>
      <c r="EJ114" s="312">
        <f>IF(EH114=0,0,(EI114-EH114)/EH114*100)</f>
        <v>0</v>
      </c>
      <c r="EK114" s="22">
        <f>IF(EK116=0,0,(EK115*EK116+EK117*EK118*6)/EK116)</f>
        <v>0</v>
      </c>
      <c r="EL114" s="22">
        <f>IF(EL116=0,0,(EL115*EL116+EL117*EL118*6)/EL116)</f>
        <v>0</v>
      </c>
      <c r="EM114" s="312">
        <f>IF(EK114=0,0,(EL114-EK114)/EK114*100)</f>
        <v>0</v>
      </c>
      <c r="EN114" s="22">
        <f>IF(EN116=0,0,(EN115*EN116+EN117*EN118*6)/EN116)</f>
        <v>0</v>
      </c>
      <c r="EO114" s="22">
        <f>IF(EO116=0,0,(EO115*EO116+EO117*EO118*6)/EO116)</f>
        <v>0</v>
      </c>
      <c r="EP114" s="312">
        <f>IF(EN114=0,0,(EO114-EN114)/EN114*100)</f>
        <v>0</v>
      </c>
      <c r="EQ114" s="22">
        <f>IF(EQ116=0,0,(EQ115*EQ116+EQ117*EQ118*6)/EQ116)</f>
        <v>0</v>
      </c>
      <c r="ER114" s="22">
        <f>IF(ER116=0,0,(ER115*ER116+ER117*ER118*6)/ER116)</f>
        <v>0</v>
      </c>
      <c r="ES114" s="312">
        <f>IF(EQ114=0,0,(ER114-EQ114)/EQ114*100)</f>
        <v>0</v>
      </c>
      <c r="ET114" s="22">
        <f>IF(ET116=0,0,(ET115*ET116+ET117*ET118*6)/ET116)</f>
        <v>0</v>
      </c>
      <c r="EU114" s="22">
        <f>IF(EU116=0,0,(EU115*EU116+EU117*EU118*6)/EU116)</f>
        <v>0</v>
      </c>
      <c r="EV114" s="312">
        <f>IF(ET114=0,0,(EU114-ET114)/ET114*100)</f>
        <v>0</v>
      </c>
      <c r="EW114" s="22">
        <f>IF(EW116=0,0,(EW115*EW116+EW117*EW118*6)/EW116)</f>
        <v>0</v>
      </c>
      <c r="EX114" s="22">
        <f>IF(EX116=0,0,(EX115*EX116+EX117*EX118*6)/EX116)</f>
        <v>0</v>
      </c>
      <c r="EY114" s="312">
        <f>IF(EW114=0,0,(EX114-EW114)/EW114*100)</f>
        <v>0</v>
      </c>
      <c r="EZ114" s="22">
        <f>IF(EZ116=0,0,(EZ115*EZ116+EZ117*EZ118*6)/EZ116)</f>
        <v>0</v>
      </c>
      <c r="FA114" s="22">
        <f>IF(FA116=0,0,(FA115*FA116+FA117*FA118*6)/FA116)</f>
        <v>0</v>
      </c>
      <c r="FB114" s="312">
        <f>IF(EZ114=0,0,(FA114-EZ114)/EZ114*100)</f>
        <v>0</v>
      </c>
      <c r="FC114" s="22">
        <f>IF(FC116=0,0,(FC115*FC116+FC117*FC118*6)/FC116)</f>
        <v>0</v>
      </c>
      <c r="FD114" s="22">
        <f>IF(FD116=0,0,(FD115*FD116+FD117*FD118*6)/FD116)</f>
        <v>0</v>
      </c>
      <c r="FE114" s="312">
        <f>IF(FC114=0,0,(FD114-FC114)/FC114*100)</f>
        <v>0</v>
      </c>
      <c r="FF114" s="22">
        <f>IF(FF116=0,0,(FF115*FF116+FF117*FF118*6)/FF116)</f>
        <v>0</v>
      </c>
      <c r="FG114" s="22">
        <f>IF(FG116=0,0,(FG115*FG116+FG117*FG118*6)/FG116)</f>
        <v>0</v>
      </c>
      <c r="FH114" s="312">
        <f>IF(FF114=0,0,(FG114-FF114)/FF114*100)</f>
        <v>0</v>
      </c>
      <c r="FI114" s="22">
        <f>IF(FI116=0,0,(FI115*FI116+FI117*FI118*6)/FI116)</f>
        <v>0</v>
      </c>
      <c r="FJ114" s="22">
        <f>IF(FJ116=0,0,(FJ115*FJ116+FJ117*FJ118*6)/FJ116)</f>
        <v>0</v>
      </c>
      <c r="FK114" s="312">
        <f>IF(FI114=0,0,(FJ114-FI114)/FI114*100)</f>
        <v>0</v>
      </c>
      <c r="FL114" s="22">
        <f>IF(FL116=0,0,(FL115*FL116+FL117*FL118*6)/FL116)</f>
        <v>0</v>
      </c>
      <c r="FM114" s="22">
        <f>IF(FM116=0,0,(FM115*FM116+FM117*FM118*6)/FM116)</f>
        <v>0</v>
      </c>
      <c r="FN114" s="312">
        <f>IF(FL114=0,0,(FM114-FL114)/FL114*100)</f>
        <v>0</v>
      </c>
      <c r="FO114" s="22">
        <f>IF(FO116=0,0,(FO115*FO116+FO117*FO118*6)/FO116)</f>
        <v>0</v>
      </c>
      <c r="FP114" s="22">
        <f>IF(FP116=0,0,(FP115*FP116+FP117*FP118*6)/FP116)</f>
        <v>0</v>
      </c>
      <c r="FQ114" s="312">
        <f>IF(FO114=0,0,(FP114-FO114)/FO114*100)</f>
        <v>0</v>
      </c>
      <c r="FR114" s="22">
        <f>IF(FR116=0,0,(FR115*FR116+FR117*FR118*6)/FR116)</f>
        <v>0</v>
      </c>
      <c r="FS114" s="22">
        <f>IF(FS116=0,0,(FS115*FS116+FS117*FS118*6)/FS116)</f>
        <v>0</v>
      </c>
      <c r="FT114" s="312">
        <f>IF(FR114=0,0,(FS114-FR114)/FR114*100)</f>
        <v>0</v>
      </c>
      <c r="FU114" s="22">
        <f>IF(FU116=0,0,(FU115*FU116+FU117*FU118*6)/FU116)</f>
        <v>0</v>
      </c>
      <c r="FV114" s="22">
        <f>IF(FV116=0,0,(FV115*FV116+FV117*FV118*6)/FV116)</f>
        <v>0</v>
      </c>
      <c r="FW114" s="312">
        <f>IF(FU114=0,0,(FV114-FU114)/FU114*100)</f>
        <v>0</v>
      </c>
      <c r="FX114" s="425"/>
      <c r="FY114" s="425"/>
      <c r="FZ114" s="981" t="s">
        <v>2232</v>
      </c>
      <c r="GA114" s="981"/>
      <c r="GB114" s="981"/>
      <c r="GC114" s="981"/>
      <c r="GD114" s="981"/>
    </row>
    <row r="115" spans="1:186" s="1229" customFormat="1" ht="15" hidden="1" customHeight="1">
      <c r="A115" s="1153"/>
      <c r="B115" s="813" t="b" cm="1">
        <f t="array" ref="B115">B114</f>
        <v>0</v>
      </c>
      <c r="C115" s="1118" t="s">
        <v>2226</v>
      </c>
      <c r="D115" s="1087" t="s">
        <v>2227</v>
      </c>
      <c r="E115" s="676">
        <v>15.8</v>
      </c>
      <c r="F115" s="779" t="str" cm="1">
        <f t="array" aca="1" ref="F115" ca="1">OFFSET(G115,-1,-1)</f>
        <v>1</v>
      </c>
      <c r="G115" s="425"/>
      <c r="H115" s="163" t="s">
        <v>2201</v>
      </c>
      <c r="I115" s="163" t="s">
        <v>2175</v>
      </c>
      <c r="J115" s="1108"/>
      <c r="K115" s="1108" t="str" cm="1">
        <f t="array" aca="1" ref="K115" ca="1">OFFSET(J115,-1,1)</f>
        <v>ТЭ.42.26322895.0003</v>
      </c>
      <c r="L115" s="1108"/>
      <c r="M115" s="1108" t="s">
        <v>1791</v>
      </c>
      <c r="N115" s="1108" t="s">
        <v>2171</v>
      </c>
      <c r="O115" s="1109" t="s">
        <v>2172</v>
      </c>
      <c r="P115" s="1108" t="s">
        <v>2202</v>
      </c>
      <c r="Q115" s="1108"/>
      <c r="R115" s="784"/>
      <c r="S115" s="425"/>
      <c r="T115" s="687" t="b" cm="1">
        <f t="array" aca="1" ref="T115" ca="1">T114</f>
        <v>0</v>
      </c>
      <c r="U115" s="1153"/>
      <c r="V115" s="1153"/>
      <c r="W115" s="1153"/>
      <c r="X115" s="1726"/>
      <c r="Y115" s="1153"/>
      <c r="Z115" s="1726"/>
      <c r="AA115" s="425"/>
      <c r="AB115" s="223" t="s">
        <v>2203</v>
      </c>
      <c r="AC115" s="123" t="s">
        <v>929</v>
      </c>
      <c r="AD115" s="22"/>
      <c r="AE115" s="22"/>
      <c r="AF115" s="312">
        <f>IF(AD115=0,0,(AE115-AD115)/AD115*100)</f>
        <v>0</v>
      </c>
      <c r="AG115" s="313"/>
      <c r="AH115" s="313"/>
      <c r="AI115" s="312">
        <f>IF(AG115=0,0,(AH115-AG115)/AG115*100)</f>
        <v>0</v>
      </c>
      <c r="AJ115" s="313"/>
      <c r="AK115" s="313"/>
      <c r="AL115" s="312">
        <f>IF(AJ115=0,0,(AK115-AJ115)/AJ115*100)</f>
        <v>0</v>
      </c>
      <c r="AM115" s="313"/>
      <c r="AN115" s="313"/>
      <c r="AO115" s="312">
        <f>IF(AM115=0,0,(AN115-AM115)/AM115*100)</f>
        <v>0</v>
      </c>
      <c r="AP115" s="313"/>
      <c r="AQ115" s="313"/>
      <c r="AR115" s="312">
        <f>IF(AP115=0,0,(AQ115-AP115)/AP115*100)</f>
        <v>0</v>
      </c>
      <c r="AS115" s="22"/>
      <c r="AT115" s="22"/>
      <c r="AU115" s="312">
        <f>IF(AS115=0,0,(AT115-AS115)/AS115*100)</f>
        <v>0</v>
      </c>
      <c r="AV115" s="22"/>
      <c r="AW115" s="22"/>
      <c r="AX115" s="312">
        <f>IF(AV115=0,0,(AW115-AV115)/AV115*100)</f>
        <v>0</v>
      </c>
      <c r="AY115" s="22"/>
      <c r="AZ115" s="22"/>
      <c r="BA115" s="312">
        <f>IF(AY115=0,0,(AZ115-AY115)/AY115*100)</f>
        <v>0</v>
      </c>
      <c r="BB115" s="22"/>
      <c r="BC115" s="22"/>
      <c r="BD115" s="312">
        <f>IF(BB115=0,0,(BC115-BB115)/BB115*100)</f>
        <v>0</v>
      </c>
      <c r="BE115" s="22"/>
      <c r="BF115" s="22"/>
      <c r="BG115" s="312">
        <f>IF(BE115=0,0,(BF115-BE115)/BE115*100)</f>
        <v>0</v>
      </c>
      <c r="BH115" s="22"/>
      <c r="BI115" s="22"/>
      <c r="BJ115" s="312">
        <f>IF(BH115=0,0,(BI115-BH115)/BH115*100)</f>
        <v>0</v>
      </c>
      <c r="BK115" s="22"/>
      <c r="BL115" s="22"/>
      <c r="BM115" s="312">
        <f>IF(BK115=0,0,(BL115-BK115)/BK115*100)</f>
        <v>0</v>
      </c>
      <c r="BN115" s="22"/>
      <c r="BO115" s="22"/>
      <c r="BP115" s="312">
        <f>IF(BN115=0,0,(BO115-BN115)/BN115*100)</f>
        <v>0</v>
      </c>
      <c r="BQ115" s="22"/>
      <c r="BR115" s="22"/>
      <c r="BS115" s="312">
        <f>IF(BQ115=0,0,(BR115-BQ115)/BQ115*100)</f>
        <v>0</v>
      </c>
      <c r="BT115" s="22"/>
      <c r="BU115" s="22"/>
      <c r="BV115" s="312">
        <f>IF(BT115=0,0,(BU115-BT115)/BT115*100)</f>
        <v>0</v>
      </c>
      <c r="BW115" s="22"/>
      <c r="BX115" s="22"/>
      <c r="BY115" s="312">
        <f>IF(BW115=0,0,(BX115-BW115)/BW115*100)</f>
        <v>0</v>
      </c>
      <c r="BZ115" s="22"/>
      <c r="CA115" s="22"/>
      <c r="CB115" s="312">
        <f>IF(BZ115=0,0,(CA115-BZ115)/BZ115*100)</f>
        <v>0</v>
      </c>
      <c r="CC115" s="22"/>
      <c r="CD115" s="22"/>
      <c r="CE115" s="312">
        <f>IF(CC115=0,0,(CD115-CC115)/CC115*100)</f>
        <v>0</v>
      </c>
      <c r="CF115" s="22"/>
      <c r="CG115" s="22"/>
      <c r="CH115" s="312">
        <f>IF(CF115=0,0,(CG115-CF115)/CF115*100)</f>
        <v>0</v>
      </c>
      <c r="CI115" s="22"/>
      <c r="CJ115" s="22"/>
      <c r="CK115" s="312">
        <f>IF(CI115=0,0,(CJ115-CI115)/CI115*100)</f>
        <v>0</v>
      </c>
      <c r="CL115" s="22"/>
      <c r="CM115" s="22"/>
      <c r="CN115" s="312">
        <f>IF(CL115=0,0,(CM115-CL115)/CL115*100)</f>
        <v>0</v>
      </c>
      <c r="CO115" s="22"/>
      <c r="CP115" s="22"/>
      <c r="CQ115" s="312">
        <f>IF(CO115=0,0,(CP115-CO115)/CO115*100)</f>
        <v>0</v>
      </c>
      <c r="CR115" s="22"/>
      <c r="CS115" s="22"/>
      <c r="CT115" s="312">
        <f>IF(CR115=0,0,(CS115-CR115)/CR115*100)</f>
        <v>0</v>
      </c>
      <c r="CU115" s="22"/>
      <c r="CV115" s="22"/>
      <c r="CW115" s="312">
        <f>IF(CU115=0,0,(CV115-CU115)/CU115*100)</f>
        <v>0</v>
      </c>
      <c r="CX115" s="22"/>
      <c r="CY115" s="22"/>
      <c r="CZ115" s="312">
        <f>IF(CX115=0,0,(CY115-CX115)/CX115*100)</f>
        <v>0</v>
      </c>
      <c r="DA115" s="22"/>
      <c r="DB115" s="22"/>
      <c r="DC115" s="312">
        <f>IF(DA115=0,0,(DB115-DA115)/DA115*100)</f>
        <v>0</v>
      </c>
      <c r="DD115" s="22"/>
      <c r="DE115" s="22"/>
      <c r="DF115" s="312">
        <f>IF(DD115=0,0,(DE115-DD115)/DD115*100)</f>
        <v>0</v>
      </c>
      <c r="DG115" s="22"/>
      <c r="DH115" s="22"/>
      <c r="DI115" s="312">
        <f>IF(DG115=0,0,(DH115-DG115)/DG115*100)</f>
        <v>0</v>
      </c>
      <c r="DJ115" s="22"/>
      <c r="DK115" s="22"/>
      <c r="DL115" s="312">
        <f>IF(DJ115=0,0,(DK115-DJ115)/DJ115*100)</f>
        <v>0</v>
      </c>
      <c r="DM115" s="22"/>
      <c r="DN115" s="22"/>
      <c r="DO115" s="312">
        <f>IF(DM115=0,0,(DN115-DM115)/DM115*100)</f>
        <v>0</v>
      </c>
      <c r="DP115" s="22"/>
      <c r="DQ115" s="22"/>
      <c r="DR115" s="312">
        <f>IF(DP115=0,0,(DQ115-DP115)/DP115*100)</f>
        <v>0</v>
      </c>
      <c r="DS115" s="22"/>
      <c r="DT115" s="22"/>
      <c r="DU115" s="312">
        <f>IF(DS115=0,0,(DT115-DS115)/DS115*100)</f>
        <v>0</v>
      </c>
      <c r="DV115" s="22"/>
      <c r="DW115" s="22"/>
      <c r="DX115" s="312">
        <f>IF(DV115=0,0,(DW115-DV115)/DV115*100)</f>
        <v>0</v>
      </c>
      <c r="DY115" s="22"/>
      <c r="DZ115" s="22"/>
      <c r="EA115" s="312">
        <f>IF(DY115=0,0,(DZ115-DY115)/DY115*100)</f>
        <v>0</v>
      </c>
      <c r="EB115" s="22"/>
      <c r="EC115" s="22"/>
      <c r="ED115" s="312">
        <f>IF(EB115=0,0,(EC115-EB115)/EB115*100)</f>
        <v>0</v>
      </c>
      <c r="EE115" s="22"/>
      <c r="EF115" s="22"/>
      <c r="EG115" s="312">
        <f>IF(EE115=0,0,(EF115-EE115)/EE115*100)</f>
        <v>0</v>
      </c>
      <c r="EH115" s="22"/>
      <c r="EI115" s="22"/>
      <c r="EJ115" s="312">
        <f>IF(EH115=0,0,(EI115-EH115)/EH115*100)</f>
        <v>0</v>
      </c>
      <c r="EK115" s="22"/>
      <c r="EL115" s="22"/>
      <c r="EM115" s="312">
        <f>IF(EK115=0,0,(EL115-EK115)/EK115*100)</f>
        <v>0</v>
      </c>
      <c r="EN115" s="22"/>
      <c r="EO115" s="22"/>
      <c r="EP115" s="312">
        <f>IF(EN115=0,0,(EO115-EN115)/EN115*100)</f>
        <v>0</v>
      </c>
      <c r="EQ115" s="22"/>
      <c r="ER115" s="22"/>
      <c r="ES115" s="312">
        <f>IF(EQ115=0,0,(ER115-EQ115)/EQ115*100)</f>
        <v>0</v>
      </c>
      <c r="ET115" s="22"/>
      <c r="EU115" s="22"/>
      <c r="EV115" s="312">
        <f>IF(ET115=0,0,(EU115-ET115)/ET115*100)</f>
        <v>0</v>
      </c>
      <c r="EW115" s="22"/>
      <c r="EX115" s="22"/>
      <c r="EY115" s="312">
        <f>IF(EW115=0,0,(EX115-EW115)/EW115*100)</f>
        <v>0</v>
      </c>
      <c r="EZ115" s="22"/>
      <c r="FA115" s="22"/>
      <c r="FB115" s="312">
        <f>IF(EZ115=0,0,(FA115-EZ115)/EZ115*100)</f>
        <v>0</v>
      </c>
      <c r="FC115" s="22"/>
      <c r="FD115" s="22"/>
      <c r="FE115" s="312">
        <f>IF(FC115=0,0,(FD115-FC115)/FC115*100)</f>
        <v>0</v>
      </c>
      <c r="FF115" s="22"/>
      <c r="FG115" s="22"/>
      <c r="FH115" s="312">
        <f>IF(FF115=0,0,(FG115-FF115)/FF115*100)</f>
        <v>0</v>
      </c>
      <c r="FI115" s="22"/>
      <c r="FJ115" s="22"/>
      <c r="FK115" s="312">
        <f>IF(FI115=0,0,(FJ115-FI115)/FI115*100)</f>
        <v>0</v>
      </c>
      <c r="FL115" s="22"/>
      <c r="FM115" s="22"/>
      <c r="FN115" s="312">
        <f>IF(FL115=0,0,(FM115-FL115)/FL115*100)</f>
        <v>0</v>
      </c>
      <c r="FO115" s="22"/>
      <c r="FP115" s="22"/>
      <c r="FQ115" s="312">
        <f>IF(FO115=0,0,(FP115-FO115)/FO115*100)</f>
        <v>0</v>
      </c>
      <c r="FR115" s="22"/>
      <c r="FS115" s="22"/>
      <c r="FT115" s="312">
        <f>IF(FR115=0,0,(FS115-FR115)/FR115*100)</f>
        <v>0</v>
      </c>
      <c r="FU115" s="22"/>
      <c r="FV115" s="22"/>
      <c r="FW115" s="312">
        <f>IF(FU115=0,0,(FV115-FU115)/FU115*100)</f>
        <v>0</v>
      </c>
      <c r="FX115" s="425"/>
      <c r="FY115" s="425"/>
      <c r="FZ115" s="981" t="s">
        <v>2233</v>
      </c>
      <c r="GA115" s="981"/>
      <c r="GB115" s="981"/>
      <c r="GC115" s="981"/>
      <c r="GD115" s="981"/>
    </row>
    <row r="116" spans="1:186" s="1229" customFormat="1" ht="15" hidden="1" customHeight="1">
      <c r="A116" s="1153"/>
      <c r="B116" s="813" t="b" cm="1">
        <f t="array" ref="B116">B115</f>
        <v>0</v>
      </c>
      <c r="C116" s="1118" t="s">
        <v>1779</v>
      </c>
      <c r="D116" s="1087" t="s">
        <v>1780</v>
      </c>
      <c r="E116" s="676">
        <v>15.8</v>
      </c>
      <c r="F116" s="779" t="str" cm="1">
        <f t="array" aca="1" ref="F116" ca="1">OFFSET(G116,-1,-1)</f>
        <v>1</v>
      </c>
      <c r="G116" s="425"/>
      <c r="H116" s="163" t="s">
        <v>2205</v>
      </c>
      <c r="I116" s="163" t="s">
        <v>2175</v>
      </c>
      <c r="J116" s="1108"/>
      <c r="K116" s="1108" t="str" cm="1">
        <f t="array" aca="1" ref="K116" ca="1">OFFSET(J116,-1,1)</f>
        <v>ТЭ.42.26322895.0003</v>
      </c>
      <c r="L116" s="1108"/>
      <c r="M116" s="1108" t="s">
        <v>1791</v>
      </c>
      <c r="N116" s="1108" t="s">
        <v>2171</v>
      </c>
      <c r="O116" s="1109" t="s">
        <v>2172</v>
      </c>
      <c r="P116" s="1108" t="s">
        <v>2206</v>
      </c>
      <c r="Q116" s="1108"/>
      <c r="R116" s="784"/>
      <c r="S116" s="425"/>
      <c r="T116" s="687" t="b" cm="1">
        <f t="array" aca="1" ref="T116" ca="1">T115</f>
        <v>0</v>
      </c>
      <c r="U116" s="1153"/>
      <c r="V116" s="1153"/>
      <c r="W116" s="1153"/>
      <c r="X116" s="1726"/>
      <c r="Y116" s="1153"/>
      <c r="Z116" s="1726"/>
      <c r="AA116" s="425"/>
      <c r="AB116" s="223" t="s">
        <v>2207</v>
      </c>
      <c r="AC116" s="123" t="s">
        <v>634</v>
      </c>
      <c r="AD116" s="100"/>
      <c r="AE116" s="100"/>
      <c r="AF116" s="341">
        <f>IF(AD116=0,0,(AE116-AD116)/AD116*100)</f>
        <v>0</v>
      </c>
      <c r="AG116" s="354"/>
      <c r="AH116" s="354"/>
      <c r="AI116" s="341">
        <f>IF(AG116=0,0,(AH116-AG116)/AG116*100)</f>
        <v>0</v>
      </c>
      <c r="AJ116" s="354"/>
      <c r="AK116" s="354"/>
      <c r="AL116" s="341">
        <f>IF(AJ116=0,0,(AK116-AJ116)/AJ116*100)</f>
        <v>0</v>
      </c>
      <c r="AM116" s="354"/>
      <c r="AN116" s="354"/>
      <c r="AO116" s="341">
        <f>IF(AM116=0,0,(AN116-AM116)/AM116*100)</f>
        <v>0</v>
      </c>
      <c r="AP116" s="354"/>
      <c r="AQ116" s="354"/>
      <c r="AR116" s="341">
        <f>IF(AP116=0,0,(AQ116-AP116)/AP116*100)</f>
        <v>0</v>
      </c>
      <c r="AS116" s="100"/>
      <c r="AT116" s="100"/>
      <c r="AU116" s="341">
        <f>IF(AS116=0,0,(AT116-AS116)/AS116*100)</f>
        <v>0</v>
      </c>
      <c r="AV116" s="100"/>
      <c r="AW116" s="100"/>
      <c r="AX116" s="341">
        <f>IF(AV116=0,0,(AW116-AV116)/AV116*100)</f>
        <v>0</v>
      </c>
      <c r="AY116" s="100"/>
      <c r="AZ116" s="100"/>
      <c r="BA116" s="341">
        <f>IF(AY116=0,0,(AZ116-AY116)/AY116*100)</f>
        <v>0</v>
      </c>
      <c r="BB116" s="100"/>
      <c r="BC116" s="100"/>
      <c r="BD116" s="341">
        <f>IF(BB116=0,0,(BC116-BB116)/BB116*100)</f>
        <v>0</v>
      </c>
      <c r="BE116" s="100"/>
      <c r="BF116" s="100"/>
      <c r="BG116" s="341">
        <f>IF(BE116=0,0,(BF116-BE116)/BE116*100)</f>
        <v>0</v>
      </c>
      <c r="BH116" s="100"/>
      <c r="BI116" s="100"/>
      <c r="BJ116" s="341">
        <f>IF(BH116=0,0,(BI116-BH116)/BH116*100)</f>
        <v>0</v>
      </c>
      <c r="BK116" s="100"/>
      <c r="BL116" s="100"/>
      <c r="BM116" s="341">
        <f>IF(BK116=0,0,(BL116-BK116)/BK116*100)</f>
        <v>0</v>
      </c>
      <c r="BN116" s="100"/>
      <c r="BO116" s="100"/>
      <c r="BP116" s="341">
        <f>IF(BN116=0,0,(BO116-BN116)/BN116*100)</f>
        <v>0</v>
      </c>
      <c r="BQ116" s="100"/>
      <c r="BR116" s="100"/>
      <c r="BS116" s="341">
        <f>IF(BQ116=0,0,(BR116-BQ116)/BQ116*100)</f>
        <v>0</v>
      </c>
      <c r="BT116" s="100"/>
      <c r="BU116" s="100"/>
      <c r="BV116" s="341">
        <f>IF(BT116=0,0,(BU116-BT116)/BT116*100)</f>
        <v>0</v>
      </c>
      <c r="BW116" s="100"/>
      <c r="BX116" s="100"/>
      <c r="BY116" s="341">
        <f>IF(BW116=0,0,(BX116-BW116)/BW116*100)</f>
        <v>0</v>
      </c>
      <c r="BZ116" s="100"/>
      <c r="CA116" s="100"/>
      <c r="CB116" s="341">
        <f>IF(BZ116=0,0,(CA116-BZ116)/BZ116*100)</f>
        <v>0</v>
      </c>
      <c r="CC116" s="100"/>
      <c r="CD116" s="100"/>
      <c r="CE116" s="341">
        <f>IF(CC116=0,0,(CD116-CC116)/CC116*100)</f>
        <v>0</v>
      </c>
      <c r="CF116" s="100"/>
      <c r="CG116" s="100"/>
      <c r="CH116" s="341">
        <f>IF(CF116=0,0,(CG116-CF116)/CF116*100)</f>
        <v>0</v>
      </c>
      <c r="CI116" s="100"/>
      <c r="CJ116" s="100"/>
      <c r="CK116" s="341">
        <f>IF(CI116=0,0,(CJ116-CI116)/CI116*100)</f>
        <v>0</v>
      </c>
      <c r="CL116" s="100"/>
      <c r="CM116" s="100"/>
      <c r="CN116" s="341">
        <f>IF(CL116=0,0,(CM116-CL116)/CL116*100)</f>
        <v>0</v>
      </c>
      <c r="CO116" s="100"/>
      <c r="CP116" s="100"/>
      <c r="CQ116" s="341">
        <f>IF(CO116=0,0,(CP116-CO116)/CO116*100)</f>
        <v>0</v>
      </c>
      <c r="CR116" s="100"/>
      <c r="CS116" s="100"/>
      <c r="CT116" s="341">
        <f>IF(CR116=0,0,(CS116-CR116)/CR116*100)</f>
        <v>0</v>
      </c>
      <c r="CU116" s="100"/>
      <c r="CV116" s="100"/>
      <c r="CW116" s="341">
        <f>IF(CU116=0,0,(CV116-CU116)/CU116*100)</f>
        <v>0</v>
      </c>
      <c r="CX116" s="100"/>
      <c r="CY116" s="100"/>
      <c r="CZ116" s="341">
        <f>IF(CX116=0,0,(CY116-CX116)/CX116*100)</f>
        <v>0</v>
      </c>
      <c r="DA116" s="100"/>
      <c r="DB116" s="100"/>
      <c r="DC116" s="341">
        <f>IF(DA116=0,0,(DB116-DA116)/DA116*100)</f>
        <v>0</v>
      </c>
      <c r="DD116" s="100"/>
      <c r="DE116" s="100"/>
      <c r="DF116" s="341">
        <f>IF(DD116=0,0,(DE116-DD116)/DD116*100)</f>
        <v>0</v>
      </c>
      <c r="DG116" s="100"/>
      <c r="DH116" s="100"/>
      <c r="DI116" s="341">
        <f>IF(DG116=0,0,(DH116-DG116)/DG116*100)</f>
        <v>0</v>
      </c>
      <c r="DJ116" s="100"/>
      <c r="DK116" s="100"/>
      <c r="DL116" s="341">
        <f>IF(DJ116=0,0,(DK116-DJ116)/DJ116*100)</f>
        <v>0</v>
      </c>
      <c r="DM116" s="100"/>
      <c r="DN116" s="100"/>
      <c r="DO116" s="341">
        <f>IF(DM116=0,0,(DN116-DM116)/DM116*100)</f>
        <v>0</v>
      </c>
      <c r="DP116" s="100"/>
      <c r="DQ116" s="100"/>
      <c r="DR116" s="341">
        <f>IF(DP116=0,0,(DQ116-DP116)/DP116*100)</f>
        <v>0</v>
      </c>
      <c r="DS116" s="100"/>
      <c r="DT116" s="100"/>
      <c r="DU116" s="341">
        <f>IF(DS116=0,0,(DT116-DS116)/DS116*100)</f>
        <v>0</v>
      </c>
      <c r="DV116" s="100"/>
      <c r="DW116" s="100"/>
      <c r="DX116" s="341">
        <f>IF(DV116=0,0,(DW116-DV116)/DV116*100)</f>
        <v>0</v>
      </c>
      <c r="DY116" s="100"/>
      <c r="DZ116" s="100"/>
      <c r="EA116" s="341">
        <f>IF(DY116=0,0,(DZ116-DY116)/DY116*100)</f>
        <v>0</v>
      </c>
      <c r="EB116" s="100"/>
      <c r="EC116" s="100"/>
      <c r="ED116" s="341">
        <f>IF(EB116=0,0,(EC116-EB116)/EB116*100)</f>
        <v>0</v>
      </c>
      <c r="EE116" s="100"/>
      <c r="EF116" s="100"/>
      <c r="EG116" s="341">
        <f>IF(EE116=0,0,(EF116-EE116)/EE116*100)</f>
        <v>0</v>
      </c>
      <c r="EH116" s="100"/>
      <c r="EI116" s="100"/>
      <c r="EJ116" s="341">
        <f>IF(EH116=0,0,(EI116-EH116)/EH116*100)</f>
        <v>0</v>
      </c>
      <c r="EK116" s="100"/>
      <c r="EL116" s="100"/>
      <c r="EM116" s="341">
        <f>IF(EK116=0,0,(EL116-EK116)/EK116*100)</f>
        <v>0</v>
      </c>
      <c r="EN116" s="100"/>
      <c r="EO116" s="100"/>
      <c r="EP116" s="341">
        <f>IF(EN116=0,0,(EO116-EN116)/EN116*100)</f>
        <v>0</v>
      </c>
      <c r="EQ116" s="100"/>
      <c r="ER116" s="100"/>
      <c r="ES116" s="341">
        <f>IF(EQ116=0,0,(ER116-EQ116)/EQ116*100)</f>
        <v>0</v>
      </c>
      <c r="ET116" s="100"/>
      <c r="EU116" s="100"/>
      <c r="EV116" s="341">
        <f>IF(ET116=0,0,(EU116-ET116)/ET116*100)</f>
        <v>0</v>
      </c>
      <c r="EW116" s="100"/>
      <c r="EX116" s="100"/>
      <c r="EY116" s="341">
        <f>IF(EW116=0,0,(EX116-EW116)/EW116*100)</f>
        <v>0</v>
      </c>
      <c r="EZ116" s="100"/>
      <c r="FA116" s="100"/>
      <c r="FB116" s="341">
        <f>IF(EZ116=0,0,(FA116-EZ116)/EZ116*100)</f>
        <v>0</v>
      </c>
      <c r="FC116" s="100"/>
      <c r="FD116" s="100"/>
      <c r="FE116" s="341">
        <f>IF(FC116=0,0,(FD116-FC116)/FC116*100)</f>
        <v>0</v>
      </c>
      <c r="FF116" s="100"/>
      <c r="FG116" s="100"/>
      <c r="FH116" s="341">
        <f>IF(FF116=0,0,(FG116-FF116)/FF116*100)</f>
        <v>0</v>
      </c>
      <c r="FI116" s="100"/>
      <c r="FJ116" s="100"/>
      <c r="FK116" s="341">
        <f>IF(FI116=0,0,(FJ116-FI116)/FI116*100)</f>
        <v>0</v>
      </c>
      <c r="FL116" s="100"/>
      <c r="FM116" s="100"/>
      <c r="FN116" s="341">
        <f>IF(FL116=0,0,(FM116-FL116)/FL116*100)</f>
        <v>0</v>
      </c>
      <c r="FO116" s="100"/>
      <c r="FP116" s="100"/>
      <c r="FQ116" s="341">
        <f>IF(FO116=0,0,(FP116-FO116)/FO116*100)</f>
        <v>0</v>
      </c>
      <c r="FR116" s="100"/>
      <c r="FS116" s="100"/>
      <c r="FT116" s="341">
        <f>IF(FR116=0,0,(FS116-FR116)/FR116*100)</f>
        <v>0</v>
      </c>
      <c r="FU116" s="100"/>
      <c r="FV116" s="100"/>
      <c r="FW116" s="341">
        <f>IF(FU116=0,0,(FV116-FU116)/FU116*100)</f>
        <v>0</v>
      </c>
      <c r="FX116" s="425"/>
      <c r="FY116" s="425"/>
      <c r="FZ116" s="981" t="s">
        <v>2234</v>
      </c>
      <c r="GA116" s="981"/>
      <c r="GB116" s="981"/>
      <c r="GC116" s="981"/>
      <c r="GD116" s="981"/>
    </row>
    <row r="117" spans="1:186" s="1229" customFormat="1" ht="30" hidden="1" customHeight="1">
      <c r="A117" s="1153"/>
      <c r="B117" s="813" t="b" cm="1">
        <f t="array" ref="B117">B116</f>
        <v>0</v>
      </c>
      <c r="C117" s="1118" t="s">
        <v>1833</v>
      </c>
      <c r="D117" s="1087" t="s">
        <v>1834</v>
      </c>
      <c r="E117" s="676">
        <v>31.5</v>
      </c>
      <c r="F117" s="779" t="str" cm="1">
        <f t="array" aca="1" ref="F117" ca="1">OFFSET(G117,-1,-1)</f>
        <v>1</v>
      </c>
      <c r="G117" s="425"/>
      <c r="H117" s="163" t="s">
        <v>2209</v>
      </c>
      <c r="I117" s="163" t="s">
        <v>2175</v>
      </c>
      <c r="J117" s="1108"/>
      <c r="K117" s="1108" t="str" cm="1">
        <f t="array" aca="1" ref="K117" ca="1">OFFSET(J117,-1,1)</f>
        <v>ТЭ.42.26322895.0003</v>
      </c>
      <c r="L117" s="1108"/>
      <c r="M117" s="1108" t="s">
        <v>1791</v>
      </c>
      <c r="N117" s="1108" t="s">
        <v>2171</v>
      </c>
      <c r="O117" s="1109" t="s">
        <v>2172</v>
      </c>
      <c r="P117" s="1108" t="s">
        <v>2210</v>
      </c>
      <c r="Q117" s="1108"/>
      <c r="R117" s="784"/>
      <c r="S117" s="425"/>
      <c r="T117" s="687" t="b" cm="1">
        <f t="array" aca="1" ref="T117" ca="1">T116</f>
        <v>0</v>
      </c>
      <c r="U117" s="1153"/>
      <c r="V117" s="1153"/>
      <c r="W117" s="1153"/>
      <c r="X117" s="1726"/>
      <c r="Y117" s="1153"/>
      <c r="Z117" s="1726"/>
      <c r="AA117" s="425"/>
      <c r="AB117" s="223" t="s">
        <v>2211</v>
      </c>
      <c r="AC117" s="443" t="s">
        <v>1837</v>
      </c>
      <c r="AD117" s="22"/>
      <c r="AE117" s="22"/>
      <c r="AF117" s="312">
        <f>IF(AD117=0,0,(AE117-AD117)/AD117*100)</f>
        <v>0</v>
      </c>
      <c r="AG117" s="313"/>
      <c r="AH117" s="313"/>
      <c r="AI117" s="312">
        <f>IF(AG117=0,0,(AH117-AG117)/AG117*100)</f>
        <v>0</v>
      </c>
      <c r="AJ117" s="313"/>
      <c r="AK117" s="313"/>
      <c r="AL117" s="312">
        <f>IF(AJ117=0,0,(AK117-AJ117)/AJ117*100)</f>
        <v>0</v>
      </c>
      <c r="AM117" s="313"/>
      <c r="AN117" s="313"/>
      <c r="AO117" s="312">
        <f>IF(AM117=0,0,(AN117-AM117)/AM117*100)</f>
        <v>0</v>
      </c>
      <c r="AP117" s="313"/>
      <c r="AQ117" s="313"/>
      <c r="AR117" s="312">
        <f>IF(AP117=0,0,(AQ117-AP117)/AP117*100)</f>
        <v>0</v>
      </c>
      <c r="AS117" s="22"/>
      <c r="AT117" s="22"/>
      <c r="AU117" s="312">
        <f>IF(AS117=0,0,(AT117-AS117)/AS117*100)</f>
        <v>0</v>
      </c>
      <c r="AV117" s="22"/>
      <c r="AW117" s="22"/>
      <c r="AX117" s="312">
        <f>IF(AV117=0,0,(AW117-AV117)/AV117*100)</f>
        <v>0</v>
      </c>
      <c r="AY117" s="22"/>
      <c r="AZ117" s="22"/>
      <c r="BA117" s="312">
        <f>IF(AY117=0,0,(AZ117-AY117)/AY117*100)</f>
        <v>0</v>
      </c>
      <c r="BB117" s="22"/>
      <c r="BC117" s="22"/>
      <c r="BD117" s="312">
        <f>IF(BB117=0,0,(BC117-BB117)/BB117*100)</f>
        <v>0</v>
      </c>
      <c r="BE117" s="22"/>
      <c r="BF117" s="22"/>
      <c r="BG117" s="312">
        <f>IF(BE117=0,0,(BF117-BE117)/BE117*100)</f>
        <v>0</v>
      </c>
      <c r="BH117" s="22"/>
      <c r="BI117" s="22"/>
      <c r="BJ117" s="312">
        <f>IF(BH117=0,0,(BI117-BH117)/BH117*100)</f>
        <v>0</v>
      </c>
      <c r="BK117" s="22"/>
      <c r="BL117" s="22"/>
      <c r="BM117" s="312">
        <f>IF(BK117=0,0,(BL117-BK117)/BK117*100)</f>
        <v>0</v>
      </c>
      <c r="BN117" s="22"/>
      <c r="BO117" s="22"/>
      <c r="BP117" s="312">
        <f>IF(BN117=0,0,(BO117-BN117)/BN117*100)</f>
        <v>0</v>
      </c>
      <c r="BQ117" s="22"/>
      <c r="BR117" s="22"/>
      <c r="BS117" s="312">
        <f>IF(BQ117=0,0,(BR117-BQ117)/BQ117*100)</f>
        <v>0</v>
      </c>
      <c r="BT117" s="22"/>
      <c r="BU117" s="22"/>
      <c r="BV117" s="312">
        <f>IF(BT117=0,0,(BU117-BT117)/BT117*100)</f>
        <v>0</v>
      </c>
      <c r="BW117" s="22"/>
      <c r="BX117" s="22"/>
      <c r="BY117" s="312">
        <f>IF(BW117=0,0,(BX117-BW117)/BW117*100)</f>
        <v>0</v>
      </c>
      <c r="BZ117" s="22"/>
      <c r="CA117" s="22"/>
      <c r="CB117" s="312">
        <f>IF(BZ117=0,0,(CA117-BZ117)/BZ117*100)</f>
        <v>0</v>
      </c>
      <c r="CC117" s="22"/>
      <c r="CD117" s="22"/>
      <c r="CE117" s="312">
        <f>IF(CC117=0,0,(CD117-CC117)/CC117*100)</f>
        <v>0</v>
      </c>
      <c r="CF117" s="22"/>
      <c r="CG117" s="22"/>
      <c r="CH117" s="312">
        <f>IF(CF117=0,0,(CG117-CF117)/CF117*100)</f>
        <v>0</v>
      </c>
      <c r="CI117" s="22"/>
      <c r="CJ117" s="22"/>
      <c r="CK117" s="312">
        <f>IF(CI117=0,0,(CJ117-CI117)/CI117*100)</f>
        <v>0</v>
      </c>
      <c r="CL117" s="22"/>
      <c r="CM117" s="22"/>
      <c r="CN117" s="312">
        <f>IF(CL117=0,0,(CM117-CL117)/CL117*100)</f>
        <v>0</v>
      </c>
      <c r="CO117" s="22"/>
      <c r="CP117" s="22"/>
      <c r="CQ117" s="312">
        <f>IF(CO117=0,0,(CP117-CO117)/CO117*100)</f>
        <v>0</v>
      </c>
      <c r="CR117" s="22"/>
      <c r="CS117" s="22"/>
      <c r="CT117" s="312">
        <f>IF(CR117=0,0,(CS117-CR117)/CR117*100)</f>
        <v>0</v>
      </c>
      <c r="CU117" s="22"/>
      <c r="CV117" s="22"/>
      <c r="CW117" s="312">
        <f>IF(CU117=0,0,(CV117-CU117)/CU117*100)</f>
        <v>0</v>
      </c>
      <c r="CX117" s="22"/>
      <c r="CY117" s="22"/>
      <c r="CZ117" s="312">
        <f>IF(CX117=0,0,(CY117-CX117)/CX117*100)</f>
        <v>0</v>
      </c>
      <c r="DA117" s="22"/>
      <c r="DB117" s="22"/>
      <c r="DC117" s="312">
        <f>IF(DA117=0,0,(DB117-DA117)/DA117*100)</f>
        <v>0</v>
      </c>
      <c r="DD117" s="22"/>
      <c r="DE117" s="22"/>
      <c r="DF117" s="312">
        <f>IF(DD117=0,0,(DE117-DD117)/DD117*100)</f>
        <v>0</v>
      </c>
      <c r="DG117" s="22"/>
      <c r="DH117" s="22"/>
      <c r="DI117" s="312">
        <f>IF(DG117=0,0,(DH117-DG117)/DG117*100)</f>
        <v>0</v>
      </c>
      <c r="DJ117" s="22"/>
      <c r="DK117" s="22"/>
      <c r="DL117" s="312">
        <f>IF(DJ117=0,0,(DK117-DJ117)/DJ117*100)</f>
        <v>0</v>
      </c>
      <c r="DM117" s="22"/>
      <c r="DN117" s="22"/>
      <c r="DO117" s="312">
        <f>IF(DM117=0,0,(DN117-DM117)/DM117*100)</f>
        <v>0</v>
      </c>
      <c r="DP117" s="22"/>
      <c r="DQ117" s="22"/>
      <c r="DR117" s="312">
        <f>IF(DP117=0,0,(DQ117-DP117)/DP117*100)</f>
        <v>0</v>
      </c>
      <c r="DS117" s="22"/>
      <c r="DT117" s="22"/>
      <c r="DU117" s="312">
        <f>IF(DS117=0,0,(DT117-DS117)/DS117*100)</f>
        <v>0</v>
      </c>
      <c r="DV117" s="22"/>
      <c r="DW117" s="22"/>
      <c r="DX117" s="312">
        <f>IF(DV117=0,0,(DW117-DV117)/DV117*100)</f>
        <v>0</v>
      </c>
      <c r="DY117" s="22"/>
      <c r="DZ117" s="22"/>
      <c r="EA117" s="312">
        <f>IF(DY117=0,0,(DZ117-DY117)/DY117*100)</f>
        <v>0</v>
      </c>
      <c r="EB117" s="22"/>
      <c r="EC117" s="22"/>
      <c r="ED117" s="312">
        <f>IF(EB117=0,0,(EC117-EB117)/EB117*100)</f>
        <v>0</v>
      </c>
      <c r="EE117" s="22"/>
      <c r="EF117" s="22"/>
      <c r="EG117" s="312">
        <f>IF(EE117=0,0,(EF117-EE117)/EE117*100)</f>
        <v>0</v>
      </c>
      <c r="EH117" s="22"/>
      <c r="EI117" s="22"/>
      <c r="EJ117" s="312">
        <f>IF(EH117=0,0,(EI117-EH117)/EH117*100)</f>
        <v>0</v>
      </c>
      <c r="EK117" s="22"/>
      <c r="EL117" s="22"/>
      <c r="EM117" s="312">
        <f>IF(EK117=0,0,(EL117-EK117)/EK117*100)</f>
        <v>0</v>
      </c>
      <c r="EN117" s="22"/>
      <c r="EO117" s="22"/>
      <c r="EP117" s="312">
        <f>IF(EN117=0,0,(EO117-EN117)/EN117*100)</f>
        <v>0</v>
      </c>
      <c r="EQ117" s="22"/>
      <c r="ER117" s="22"/>
      <c r="ES117" s="312">
        <f>IF(EQ117=0,0,(ER117-EQ117)/EQ117*100)</f>
        <v>0</v>
      </c>
      <c r="ET117" s="22"/>
      <c r="EU117" s="22"/>
      <c r="EV117" s="312">
        <f>IF(ET117=0,0,(EU117-ET117)/ET117*100)</f>
        <v>0</v>
      </c>
      <c r="EW117" s="22"/>
      <c r="EX117" s="22"/>
      <c r="EY117" s="312">
        <f>IF(EW117=0,0,(EX117-EW117)/EW117*100)</f>
        <v>0</v>
      </c>
      <c r="EZ117" s="22"/>
      <c r="FA117" s="22"/>
      <c r="FB117" s="312">
        <f>IF(EZ117=0,0,(FA117-EZ117)/EZ117*100)</f>
        <v>0</v>
      </c>
      <c r="FC117" s="22"/>
      <c r="FD117" s="22"/>
      <c r="FE117" s="312">
        <f>IF(FC117=0,0,(FD117-FC117)/FC117*100)</f>
        <v>0</v>
      </c>
      <c r="FF117" s="22"/>
      <c r="FG117" s="22"/>
      <c r="FH117" s="312">
        <f>IF(FF117=0,0,(FG117-FF117)/FF117*100)</f>
        <v>0</v>
      </c>
      <c r="FI117" s="22"/>
      <c r="FJ117" s="22"/>
      <c r="FK117" s="312">
        <f>IF(FI117=0,0,(FJ117-FI117)/FI117*100)</f>
        <v>0</v>
      </c>
      <c r="FL117" s="22"/>
      <c r="FM117" s="22"/>
      <c r="FN117" s="312">
        <f>IF(FL117=0,0,(FM117-FL117)/FL117*100)</f>
        <v>0</v>
      </c>
      <c r="FO117" s="22"/>
      <c r="FP117" s="22"/>
      <c r="FQ117" s="312">
        <f>IF(FO117=0,0,(FP117-FO117)/FO117*100)</f>
        <v>0</v>
      </c>
      <c r="FR117" s="22"/>
      <c r="FS117" s="22"/>
      <c r="FT117" s="312">
        <f>IF(FR117=0,0,(FS117-FR117)/FR117*100)</f>
        <v>0</v>
      </c>
      <c r="FU117" s="22"/>
      <c r="FV117" s="22"/>
      <c r="FW117" s="312">
        <f>IF(FU117=0,0,(FV117-FU117)/FU117*100)</f>
        <v>0</v>
      </c>
      <c r="FX117" s="425"/>
      <c r="FY117" s="425"/>
      <c r="FZ117" s="981" t="s">
        <v>2235</v>
      </c>
      <c r="GA117" s="981"/>
      <c r="GB117" s="981"/>
      <c r="GC117" s="981"/>
      <c r="GD117" s="981"/>
    </row>
    <row r="118" spans="1:186" s="1229" customFormat="1" ht="15" hidden="1" customHeight="1">
      <c r="A118" s="1153"/>
      <c r="B118" s="813" t="b" cm="1">
        <f t="array" ref="B118">B117</f>
        <v>0</v>
      </c>
      <c r="C118" s="1118" t="s">
        <v>1805</v>
      </c>
      <c r="D118" s="1087" t="s">
        <v>1806</v>
      </c>
      <c r="E118" s="676">
        <v>15.8</v>
      </c>
      <c r="F118" s="779" t="str" cm="1">
        <f t="array" aca="1" ref="F118" ca="1">OFFSET(G118,-1,-1)</f>
        <v>1</v>
      </c>
      <c r="G118" s="425"/>
      <c r="H118" s="163" t="s">
        <v>2213</v>
      </c>
      <c r="I118" s="163" t="s">
        <v>2175</v>
      </c>
      <c r="J118" s="1108"/>
      <c r="K118" s="1108" t="str" cm="1">
        <f t="array" aca="1" ref="K118" ca="1">OFFSET(J118,-1,1)</f>
        <v>ТЭ.42.26322895.0003</v>
      </c>
      <c r="L118" s="1108"/>
      <c r="M118" s="1108" t="s">
        <v>1791</v>
      </c>
      <c r="N118" s="1108" t="s">
        <v>2171</v>
      </c>
      <c r="O118" s="1109" t="s">
        <v>2172</v>
      </c>
      <c r="P118" s="1108" t="s">
        <v>2214</v>
      </c>
      <c r="Q118" s="1108"/>
      <c r="R118" s="784"/>
      <c r="S118" s="425"/>
      <c r="T118" s="687" t="b" cm="1">
        <f t="array" aca="1" ref="T118" ca="1">T117</f>
        <v>0</v>
      </c>
      <c r="U118" s="1153"/>
      <c r="V118" s="1153"/>
      <c r="W118" s="1153"/>
      <c r="X118" s="1726"/>
      <c r="Y118" s="1153"/>
      <c r="Z118" s="1726"/>
      <c r="AA118" s="425"/>
      <c r="AB118" s="223" t="s">
        <v>2215</v>
      </c>
      <c r="AC118" s="557" t="s">
        <v>725</v>
      </c>
      <c r="AD118" s="22"/>
      <c r="AE118" s="22"/>
      <c r="AF118" s="312">
        <f>IF(AD118=0,0,(AE118-AD118)/AD118*100)</f>
        <v>0</v>
      </c>
      <c r="AG118" s="313"/>
      <c r="AH118" s="313"/>
      <c r="AI118" s="312">
        <f>IF(AG118=0,0,(AH118-AG118)/AG118*100)</f>
        <v>0</v>
      </c>
      <c r="AJ118" s="313"/>
      <c r="AK118" s="313"/>
      <c r="AL118" s="312">
        <f>IF(AJ118=0,0,(AK118-AJ118)/AJ118*100)</f>
        <v>0</v>
      </c>
      <c r="AM118" s="313"/>
      <c r="AN118" s="313"/>
      <c r="AO118" s="312">
        <f>IF(AM118=0,0,(AN118-AM118)/AM118*100)</f>
        <v>0</v>
      </c>
      <c r="AP118" s="313"/>
      <c r="AQ118" s="313"/>
      <c r="AR118" s="312">
        <f>IF(AP118=0,0,(AQ118-AP118)/AP118*100)</f>
        <v>0</v>
      </c>
      <c r="AS118" s="22"/>
      <c r="AT118" s="22"/>
      <c r="AU118" s="312">
        <f>IF(AS118=0,0,(AT118-AS118)/AS118*100)</f>
        <v>0</v>
      </c>
      <c r="AV118" s="22"/>
      <c r="AW118" s="22"/>
      <c r="AX118" s="312">
        <f>IF(AV118=0,0,(AW118-AV118)/AV118*100)</f>
        <v>0</v>
      </c>
      <c r="AY118" s="22"/>
      <c r="AZ118" s="22"/>
      <c r="BA118" s="312">
        <f>IF(AY118=0,0,(AZ118-AY118)/AY118*100)</f>
        <v>0</v>
      </c>
      <c r="BB118" s="22"/>
      <c r="BC118" s="22"/>
      <c r="BD118" s="312">
        <f>IF(BB118=0,0,(BC118-BB118)/BB118*100)</f>
        <v>0</v>
      </c>
      <c r="BE118" s="22"/>
      <c r="BF118" s="22"/>
      <c r="BG118" s="312">
        <f>IF(BE118=0,0,(BF118-BE118)/BE118*100)</f>
        <v>0</v>
      </c>
      <c r="BH118" s="22"/>
      <c r="BI118" s="22"/>
      <c r="BJ118" s="312">
        <f>IF(BH118=0,0,(BI118-BH118)/BH118*100)</f>
        <v>0</v>
      </c>
      <c r="BK118" s="22"/>
      <c r="BL118" s="22"/>
      <c r="BM118" s="312">
        <f>IF(BK118=0,0,(BL118-BK118)/BK118*100)</f>
        <v>0</v>
      </c>
      <c r="BN118" s="22"/>
      <c r="BO118" s="22"/>
      <c r="BP118" s="312">
        <f>IF(BN118=0,0,(BO118-BN118)/BN118*100)</f>
        <v>0</v>
      </c>
      <c r="BQ118" s="22"/>
      <c r="BR118" s="22"/>
      <c r="BS118" s="312">
        <f>IF(BQ118=0,0,(BR118-BQ118)/BQ118*100)</f>
        <v>0</v>
      </c>
      <c r="BT118" s="22"/>
      <c r="BU118" s="22"/>
      <c r="BV118" s="312">
        <f>IF(BT118=0,0,(BU118-BT118)/BT118*100)</f>
        <v>0</v>
      </c>
      <c r="BW118" s="22"/>
      <c r="BX118" s="22"/>
      <c r="BY118" s="312">
        <f>IF(BW118=0,0,(BX118-BW118)/BW118*100)</f>
        <v>0</v>
      </c>
      <c r="BZ118" s="22"/>
      <c r="CA118" s="22"/>
      <c r="CB118" s="312">
        <f>IF(BZ118=0,0,(CA118-BZ118)/BZ118*100)</f>
        <v>0</v>
      </c>
      <c r="CC118" s="22"/>
      <c r="CD118" s="22"/>
      <c r="CE118" s="312">
        <f>IF(CC118=0,0,(CD118-CC118)/CC118*100)</f>
        <v>0</v>
      </c>
      <c r="CF118" s="22"/>
      <c r="CG118" s="22"/>
      <c r="CH118" s="312">
        <f>IF(CF118=0,0,(CG118-CF118)/CF118*100)</f>
        <v>0</v>
      </c>
      <c r="CI118" s="22"/>
      <c r="CJ118" s="22"/>
      <c r="CK118" s="312">
        <f>IF(CI118=0,0,(CJ118-CI118)/CI118*100)</f>
        <v>0</v>
      </c>
      <c r="CL118" s="22"/>
      <c r="CM118" s="22"/>
      <c r="CN118" s="312">
        <f>IF(CL118=0,0,(CM118-CL118)/CL118*100)</f>
        <v>0</v>
      </c>
      <c r="CO118" s="22"/>
      <c r="CP118" s="22"/>
      <c r="CQ118" s="312">
        <f>IF(CO118=0,0,(CP118-CO118)/CO118*100)</f>
        <v>0</v>
      </c>
      <c r="CR118" s="22"/>
      <c r="CS118" s="22"/>
      <c r="CT118" s="312">
        <f>IF(CR118=0,0,(CS118-CR118)/CR118*100)</f>
        <v>0</v>
      </c>
      <c r="CU118" s="22"/>
      <c r="CV118" s="22"/>
      <c r="CW118" s="312">
        <f>IF(CU118=0,0,(CV118-CU118)/CU118*100)</f>
        <v>0</v>
      </c>
      <c r="CX118" s="22"/>
      <c r="CY118" s="22"/>
      <c r="CZ118" s="312">
        <f>IF(CX118=0,0,(CY118-CX118)/CX118*100)</f>
        <v>0</v>
      </c>
      <c r="DA118" s="22"/>
      <c r="DB118" s="22"/>
      <c r="DC118" s="312">
        <f>IF(DA118=0,0,(DB118-DA118)/DA118*100)</f>
        <v>0</v>
      </c>
      <c r="DD118" s="22"/>
      <c r="DE118" s="22"/>
      <c r="DF118" s="312">
        <f>IF(DD118=0,0,(DE118-DD118)/DD118*100)</f>
        <v>0</v>
      </c>
      <c r="DG118" s="22"/>
      <c r="DH118" s="22"/>
      <c r="DI118" s="312">
        <f>IF(DG118=0,0,(DH118-DG118)/DG118*100)</f>
        <v>0</v>
      </c>
      <c r="DJ118" s="22"/>
      <c r="DK118" s="22"/>
      <c r="DL118" s="312">
        <f>IF(DJ118=0,0,(DK118-DJ118)/DJ118*100)</f>
        <v>0</v>
      </c>
      <c r="DM118" s="22"/>
      <c r="DN118" s="22"/>
      <c r="DO118" s="312">
        <f>IF(DM118=0,0,(DN118-DM118)/DM118*100)</f>
        <v>0</v>
      </c>
      <c r="DP118" s="22"/>
      <c r="DQ118" s="22"/>
      <c r="DR118" s="312">
        <f>IF(DP118=0,0,(DQ118-DP118)/DP118*100)</f>
        <v>0</v>
      </c>
      <c r="DS118" s="22"/>
      <c r="DT118" s="22"/>
      <c r="DU118" s="312">
        <f>IF(DS118=0,0,(DT118-DS118)/DS118*100)</f>
        <v>0</v>
      </c>
      <c r="DV118" s="22"/>
      <c r="DW118" s="22"/>
      <c r="DX118" s="312">
        <f>IF(DV118=0,0,(DW118-DV118)/DV118*100)</f>
        <v>0</v>
      </c>
      <c r="DY118" s="22"/>
      <c r="DZ118" s="22"/>
      <c r="EA118" s="312">
        <f>IF(DY118=0,0,(DZ118-DY118)/DY118*100)</f>
        <v>0</v>
      </c>
      <c r="EB118" s="22"/>
      <c r="EC118" s="22"/>
      <c r="ED118" s="312">
        <f>IF(EB118=0,0,(EC118-EB118)/EB118*100)</f>
        <v>0</v>
      </c>
      <c r="EE118" s="22"/>
      <c r="EF118" s="22"/>
      <c r="EG118" s="312">
        <f>IF(EE118=0,0,(EF118-EE118)/EE118*100)</f>
        <v>0</v>
      </c>
      <c r="EH118" s="22"/>
      <c r="EI118" s="22"/>
      <c r="EJ118" s="312">
        <f>IF(EH118=0,0,(EI118-EH118)/EH118*100)</f>
        <v>0</v>
      </c>
      <c r="EK118" s="22"/>
      <c r="EL118" s="22"/>
      <c r="EM118" s="312">
        <f>IF(EK118=0,0,(EL118-EK118)/EK118*100)</f>
        <v>0</v>
      </c>
      <c r="EN118" s="22"/>
      <c r="EO118" s="22"/>
      <c r="EP118" s="312">
        <f>IF(EN118=0,0,(EO118-EN118)/EN118*100)</f>
        <v>0</v>
      </c>
      <c r="EQ118" s="22"/>
      <c r="ER118" s="22"/>
      <c r="ES118" s="312">
        <f>IF(EQ118=0,0,(ER118-EQ118)/EQ118*100)</f>
        <v>0</v>
      </c>
      <c r="ET118" s="22"/>
      <c r="EU118" s="22"/>
      <c r="EV118" s="312">
        <f>IF(ET118=0,0,(EU118-ET118)/ET118*100)</f>
        <v>0</v>
      </c>
      <c r="EW118" s="22"/>
      <c r="EX118" s="22"/>
      <c r="EY118" s="312">
        <f>IF(EW118=0,0,(EX118-EW118)/EW118*100)</f>
        <v>0</v>
      </c>
      <c r="EZ118" s="22"/>
      <c r="FA118" s="22"/>
      <c r="FB118" s="312">
        <f>IF(EZ118=0,0,(FA118-EZ118)/EZ118*100)</f>
        <v>0</v>
      </c>
      <c r="FC118" s="22"/>
      <c r="FD118" s="22"/>
      <c r="FE118" s="312">
        <f>IF(FC118=0,0,(FD118-FC118)/FC118*100)</f>
        <v>0</v>
      </c>
      <c r="FF118" s="22"/>
      <c r="FG118" s="22"/>
      <c r="FH118" s="312">
        <f>IF(FF118=0,0,(FG118-FF118)/FF118*100)</f>
        <v>0</v>
      </c>
      <c r="FI118" s="22"/>
      <c r="FJ118" s="22"/>
      <c r="FK118" s="312">
        <f>IF(FI118=0,0,(FJ118-FI118)/FI118*100)</f>
        <v>0</v>
      </c>
      <c r="FL118" s="22"/>
      <c r="FM118" s="22"/>
      <c r="FN118" s="312">
        <f>IF(FL118=0,0,(FM118-FL118)/FL118*100)</f>
        <v>0</v>
      </c>
      <c r="FO118" s="22"/>
      <c r="FP118" s="22"/>
      <c r="FQ118" s="312">
        <f>IF(FO118=0,0,(FP118-FO118)/FO118*100)</f>
        <v>0</v>
      </c>
      <c r="FR118" s="22"/>
      <c r="FS118" s="22"/>
      <c r="FT118" s="312">
        <f>IF(FR118=0,0,(FS118-FR118)/FR118*100)</f>
        <v>0</v>
      </c>
      <c r="FU118" s="22"/>
      <c r="FV118" s="22"/>
      <c r="FW118" s="312">
        <f>IF(FU118=0,0,(FV118-FU118)/FU118*100)</f>
        <v>0</v>
      </c>
      <c r="FX118" s="425"/>
      <c r="FY118" s="425"/>
      <c r="FZ118" s="981" t="s">
        <v>2236</v>
      </c>
      <c r="GA118" s="981"/>
      <c r="GB118" s="981"/>
      <c r="GC118" s="981"/>
      <c r="GD118" s="981"/>
    </row>
    <row r="119" spans="1:186" s="1229" customFormat="1" ht="15.75" hidden="1" customHeight="1">
      <c r="A119" s="1153"/>
      <c r="B119" s="813" t="b">
        <v>0</v>
      </c>
      <c r="C119" s="1118"/>
      <c r="D119" s="1087"/>
      <c r="E119" s="676">
        <v>0</v>
      </c>
      <c r="F119" s="779" t="str" cm="1">
        <f t="array" aca="1" ref="F119" ca="1">OFFSET(G119,-1,-1)</f>
        <v>1</v>
      </c>
      <c r="G119" s="425"/>
      <c r="H119" s="163" t="str">
        <f ca="1">F119&amp;"pIns2"</f>
        <v>1pIns2</v>
      </c>
      <c r="I119" s="425"/>
      <c r="J119" s="1110"/>
      <c r="K119" s="1110"/>
      <c r="L119" s="1110"/>
      <c r="M119" s="1110"/>
      <c r="N119" s="1110"/>
      <c r="O119" s="1110"/>
      <c r="P119" s="1110"/>
      <c r="Q119" s="1092"/>
      <c r="R119" s="784"/>
      <c r="S119" s="425"/>
      <c r="T119" s="687" t="b">
        <v>0</v>
      </c>
      <c r="U119" s="1153"/>
      <c r="V119" s="1153"/>
      <c r="W119" s="1153"/>
      <c r="X119" s="1726"/>
      <c r="Y119" s="1153"/>
      <c r="Z119" s="1726"/>
      <c r="AA119" s="425"/>
      <c r="AB119" s="760" t="s">
        <v>238</v>
      </c>
      <c r="AC119" s="285"/>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83"/>
      <c r="CN119" s="283"/>
      <c r="CO119" s="283"/>
      <c r="CP119" s="283"/>
      <c r="CQ119" s="283"/>
      <c r="CR119" s="283"/>
      <c r="CS119" s="283"/>
      <c r="CT119" s="283"/>
      <c r="CU119" s="283"/>
      <c r="CV119" s="283"/>
      <c r="CW119" s="283"/>
      <c r="CX119" s="283"/>
      <c r="CY119" s="283"/>
      <c r="CZ119" s="283"/>
      <c r="DA119" s="283"/>
      <c r="DB119" s="283"/>
      <c r="DC119" s="283"/>
      <c r="DD119" s="283"/>
      <c r="DE119" s="283"/>
      <c r="DF119" s="283"/>
      <c r="DG119" s="283"/>
      <c r="DH119" s="283"/>
      <c r="DI119" s="283"/>
      <c r="DJ119" s="283"/>
      <c r="DK119" s="283"/>
      <c r="DL119" s="283"/>
      <c r="DM119" s="283"/>
      <c r="DN119" s="283"/>
      <c r="DO119" s="283"/>
      <c r="DP119" s="283"/>
      <c r="DQ119" s="283"/>
      <c r="DR119" s="283"/>
      <c r="DS119" s="283"/>
      <c r="DT119" s="283"/>
      <c r="DU119" s="283"/>
      <c r="DV119" s="283"/>
      <c r="DW119" s="283"/>
      <c r="DX119" s="283"/>
      <c r="DY119" s="283"/>
      <c r="DZ119" s="283"/>
      <c r="EA119" s="283"/>
      <c r="EB119" s="283"/>
      <c r="EC119" s="283"/>
      <c r="ED119" s="283"/>
      <c r="EE119" s="283"/>
      <c r="EF119" s="283"/>
      <c r="EG119" s="283"/>
      <c r="EH119" s="283"/>
      <c r="EI119" s="283"/>
      <c r="EJ119" s="283"/>
      <c r="EK119" s="283"/>
      <c r="EL119" s="283"/>
      <c r="EM119" s="283"/>
      <c r="EN119" s="283"/>
      <c r="EO119" s="283"/>
      <c r="EP119" s="283"/>
      <c r="EQ119" s="283"/>
      <c r="ER119" s="283"/>
      <c r="ES119" s="283"/>
      <c r="ET119" s="283"/>
      <c r="EU119" s="283"/>
      <c r="EV119" s="283"/>
      <c r="EW119" s="283"/>
      <c r="EX119" s="283"/>
      <c r="EY119" s="283"/>
      <c r="EZ119" s="283"/>
      <c r="FA119" s="283"/>
      <c r="FB119" s="283"/>
      <c r="FC119" s="283"/>
      <c r="FD119" s="283"/>
      <c r="FE119" s="283"/>
      <c r="FF119" s="283"/>
      <c r="FG119" s="283"/>
      <c r="FH119" s="283"/>
      <c r="FI119" s="283"/>
      <c r="FJ119" s="283"/>
      <c r="FK119" s="283"/>
      <c r="FL119" s="283"/>
      <c r="FM119" s="283"/>
      <c r="FN119" s="283"/>
      <c r="FO119" s="283"/>
      <c r="FP119" s="283"/>
      <c r="FQ119" s="283"/>
      <c r="FR119" s="283"/>
      <c r="FS119" s="283"/>
      <c r="FT119" s="283"/>
      <c r="FU119" s="283"/>
      <c r="FV119" s="283"/>
      <c r="FW119" s="284"/>
      <c r="FX119" s="425"/>
      <c r="FY119" s="425"/>
      <c r="FZ119" s="1015"/>
      <c r="GA119" s="981"/>
      <c r="GB119" s="981"/>
      <c r="GC119" s="981"/>
      <c r="GD119" s="981"/>
    </row>
    <row r="120" spans="1:186" s="1229" customFormat="1" ht="21.75" customHeight="1">
      <c r="A120" s="1153"/>
      <c r="B120" s="783"/>
      <c r="C120" s="1118"/>
      <c r="D120" s="1087"/>
      <c r="E120" s="676">
        <v>22.5</v>
      </c>
      <c r="F120" s="779" t="str" cm="1">
        <f t="array" ref="F120">X120</f>
        <v>2</v>
      </c>
      <c r="G120" s="620" t="str" cm="1">
        <f t="array" ref="G120">INDEX('Общие сведения'!$AK$187:$AK$236,MATCH($F120,'Общие сведения'!$Z$187:$Z$236,0))</f>
        <v>одноставочный</v>
      </c>
      <c r="H120" s="425"/>
      <c r="I120" s="425"/>
      <c r="J120" s="1110"/>
      <c r="K120" s="1110"/>
      <c r="L120" s="1110"/>
      <c r="M120" s="1110"/>
      <c r="N120" s="1110"/>
      <c r="O120" s="1110"/>
      <c r="P120" s="1110"/>
      <c r="Q120" s="1092"/>
      <c r="R120" s="163" t="str" cm="1">
        <f t="array" ref="R120">INDEX('Общие сведения'!$AK$187:$AK$236,MATCH($F120,'Общие сведения'!$Z$187:$Z$236,0))</f>
        <v>одноставочный</v>
      </c>
      <c r="S120" s="425"/>
      <c r="T120" s="687" t="b">
        <f>X120&gt;0</f>
        <v>1</v>
      </c>
      <c r="U120" s="1153"/>
      <c r="V120" s="126" t="str" cm="1">
        <f t="array" ref="V120">'ИП источники'!$AB$69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0" s="1153"/>
      <c r="X120" s="1726" t="s">
        <v>348</v>
      </c>
      <c r="Y120" s="1153"/>
      <c r="Z120" s="1726"/>
      <c r="AA120" s="425"/>
      <c r="AB120" s="1854" t="str" cm="1">
        <f t="array" ref="AB120">IF(ISBLANK('ИП источники'!$AB$69),"",'ИП источники'!$AB$69)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0" s="1855"/>
      <c r="AD120" s="298" t="str">
        <f>"Тариф "&amp;F120</f>
        <v>Тариф 2</v>
      </c>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AY120" s="299"/>
      <c r="AZ120" s="299"/>
      <c r="BA120" s="299"/>
      <c r="BB120" s="299"/>
      <c r="BC120" s="299"/>
      <c r="BD120" s="299"/>
      <c r="BE120" s="299"/>
      <c r="BF120" s="299"/>
      <c r="BG120" s="299"/>
      <c r="BH120" s="299"/>
      <c r="BI120" s="299"/>
      <c r="BJ120" s="299"/>
      <c r="BK120" s="299"/>
      <c r="BL120" s="299"/>
      <c r="BM120" s="299"/>
      <c r="BN120" s="299"/>
      <c r="BO120" s="299"/>
      <c r="BP120" s="299"/>
      <c r="BQ120" s="299"/>
      <c r="BR120" s="299"/>
      <c r="BS120" s="299"/>
      <c r="BT120" s="299"/>
      <c r="BU120" s="299"/>
      <c r="BV120" s="299"/>
      <c r="BW120" s="299"/>
      <c r="BX120" s="299"/>
      <c r="BY120" s="299"/>
      <c r="BZ120" s="299"/>
      <c r="CA120" s="299"/>
      <c r="CB120" s="299"/>
      <c r="CC120" s="299"/>
      <c r="CD120" s="299"/>
      <c r="CE120" s="299"/>
      <c r="CF120" s="299"/>
      <c r="CG120" s="299"/>
      <c r="CH120" s="299"/>
      <c r="CI120" s="299"/>
      <c r="CJ120" s="299"/>
      <c r="CK120" s="299"/>
      <c r="CL120" s="299"/>
      <c r="CM120" s="299"/>
      <c r="CN120" s="299"/>
      <c r="CO120" s="299"/>
      <c r="CP120" s="299"/>
      <c r="CQ120" s="299"/>
      <c r="CR120" s="299"/>
      <c r="CS120" s="299"/>
      <c r="CT120" s="299"/>
      <c r="CU120" s="299"/>
      <c r="CV120" s="299"/>
      <c r="CW120" s="299"/>
      <c r="CX120" s="299"/>
      <c r="CY120" s="299"/>
      <c r="CZ120" s="299"/>
      <c r="DA120" s="299"/>
      <c r="DB120" s="299"/>
      <c r="DC120" s="299"/>
      <c r="DD120" s="299"/>
      <c r="DE120" s="299"/>
      <c r="DF120" s="299"/>
      <c r="DG120" s="299"/>
      <c r="DH120" s="299"/>
      <c r="DI120" s="299"/>
      <c r="DJ120" s="299"/>
      <c r="DK120" s="299"/>
      <c r="DL120" s="299"/>
      <c r="DM120" s="299"/>
      <c r="DN120" s="299"/>
      <c r="DO120" s="299"/>
      <c r="DP120" s="299"/>
      <c r="DQ120" s="299"/>
      <c r="DR120" s="299"/>
      <c r="DS120" s="299"/>
      <c r="DT120" s="299"/>
      <c r="DU120" s="299"/>
      <c r="DV120" s="299"/>
      <c r="DW120" s="299"/>
      <c r="DX120" s="299"/>
      <c r="DY120" s="299"/>
      <c r="DZ120" s="299"/>
      <c r="EA120" s="299"/>
      <c r="EB120" s="299"/>
      <c r="EC120" s="299"/>
      <c r="ED120" s="299"/>
      <c r="EE120" s="299"/>
      <c r="EF120" s="299"/>
      <c r="EG120" s="299"/>
      <c r="EH120" s="299"/>
      <c r="EI120" s="299"/>
      <c r="EJ120" s="299"/>
      <c r="EK120" s="299"/>
      <c r="EL120" s="299"/>
      <c r="EM120" s="299"/>
      <c r="EN120" s="299"/>
      <c r="EO120" s="299"/>
      <c r="EP120" s="299"/>
      <c r="EQ120" s="299"/>
      <c r="ER120" s="299"/>
      <c r="ES120" s="299"/>
      <c r="ET120" s="299"/>
      <c r="EU120" s="299"/>
      <c r="EV120" s="299"/>
      <c r="EW120" s="299"/>
      <c r="EX120" s="299"/>
      <c r="EY120" s="299"/>
      <c r="EZ120" s="299"/>
      <c r="FA120" s="299"/>
      <c r="FB120" s="299"/>
      <c r="FC120" s="299"/>
      <c r="FD120" s="299"/>
      <c r="FE120" s="299"/>
      <c r="FF120" s="299"/>
      <c r="FG120" s="299"/>
      <c r="FH120" s="299"/>
      <c r="FI120" s="299"/>
      <c r="FJ120" s="299"/>
      <c r="FK120" s="299"/>
      <c r="FL120" s="299"/>
      <c r="FM120" s="299"/>
      <c r="FN120" s="299"/>
      <c r="FO120" s="299"/>
      <c r="FP120" s="299"/>
      <c r="FQ120" s="299"/>
      <c r="FR120" s="299"/>
      <c r="FS120" s="299"/>
      <c r="FT120" s="299"/>
      <c r="FU120" s="299"/>
      <c r="FV120" s="299"/>
      <c r="FW120" s="300"/>
      <c r="FX120" s="425"/>
      <c r="FY120" s="425"/>
      <c r="FZ120" s="1015"/>
      <c r="GA120" s="981"/>
      <c r="GB120" s="981"/>
      <c r="GC120" s="981"/>
      <c r="GD120" s="981"/>
    </row>
    <row r="121" spans="1:186" s="1229" customFormat="1" ht="15" hidden="1" customHeight="1">
      <c r="A121" s="1153"/>
      <c r="B121" s="783"/>
      <c r="C121" s="1118"/>
      <c r="D121" s="1087"/>
      <c r="E121" s="676">
        <v>0</v>
      </c>
      <c r="F121" s="779" t="str" cm="1">
        <f t="array" aca="1" ref="F121" ca="1">OFFSET(G121,-1,-1)</f>
        <v>2</v>
      </c>
      <c r="G121" s="425"/>
      <c r="H121" s="425"/>
      <c r="I121" s="425"/>
      <c r="J121" s="1110"/>
      <c r="K121" s="1110"/>
      <c r="L121" s="1110"/>
      <c r="M121" s="1110"/>
      <c r="N121" s="1110"/>
      <c r="O121" s="1110"/>
      <c r="P121" s="1110"/>
      <c r="Q121" s="1092"/>
      <c r="R121" s="784"/>
      <c r="S121" s="425"/>
      <c r="T121" s="687" t="b">
        <v>0</v>
      </c>
      <c r="U121" s="1153"/>
      <c r="V121" s="1153"/>
      <c r="W121" s="1153"/>
      <c r="X121" s="1726"/>
      <c r="Y121" s="1153"/>
      <c r="Z121" s="1726"/>
      <c r="AA121" s="425"/>
      <c r="AB121" s="1682"/>
      <c r="AC121" s="1684"/>
      <c r="AD121" s="298"/>
      <c r="AE121" s="301"/>
      <c r="AF121" s="301"/>
      <c r="AG121" s="301"/>
      <c r="AH121" s="301"/>
      <c r="AI121" s="301"/>
      <c r="AJ121" s="301"/>
      <c r="AK121" s="301"/>
      <c r="AL121" s="301"/>
      <c r="AM121" s="301"/>
      <c r="AN121" s="301"/>
      <c r="AO121" s="301"/>
      <c r="AP121" s="301"/>
      <c r="AQ121" s="301"/>
      <c r="AR121" s="301"/>
      <c r="AS121" s="301"/>
      <c r="AT121" s="301"/>
      <c r="AU121" s="301"/>
      <c r="AV121" s="301"/>
      <c r="AW121" s="301"/>
      <c r="AX121" s="301"/>
      <c r="AY121" s="301"/>
      <c r="AZ121" s="301"/>
      <c r="BA121" s="301"/>
      <c r="BB121" s="301"/>
      <c r="BC121" s="301"/>
      <c r="BD121" s="301"/>
      <c r="BE121" s="301"/>
      <c r="BF121" s="301"/>
      <c r="BG121" s="301"/>
      <c r="BH121" s="301"/>
      <c r="BI121" s="301"/>
      <c r="BJ121" s="301"/>
      <c r="BK121" s="301"/>
      <c r="BL121" s="301"/>
      <c r="BM121" s="301"/>
      <c r="BN121" s="301"/>
      <c r="BO121" s="301"/>
      <c r="BP121" s="301"/>
      <c r="BQ121" s="301"/>
      <c r="BR121" s="301"/>
      <c r="BS121" s="301"/>
      <c r="BT121" s="301"/>
      <c r="BU121" s="301"/>
      <c r="BV121" s="301"/>
      <c r="BW121" s="301"/>
      <c r="BX121" s="301"/>
      <c r="BY121" s="301"/>
      <c r="BZ121" s="301"/>
      <c r="CA121" s="301"/>
      <c r="CB121" s="301"/>
      <c r="CC121" s="301"/>
      <c r="CD121" s="301"/>
      <c r="CE121" s="301"/>
      <c r="CF121" s="301"/>
      <c r="CG121" s="301"/>
      <c r="CH121" s="301"/>
      <c r="CI121" s="301"/>
      <c r="CJ121" s="301"/>
      <c r="CK121" s="301"/>
      <c r="CL121" s="301"/>
      <c r="CM121" s="301"/>
      <c r="CN121" s="301"/>
      <c r="CO121" s="301"/>
      <c r="CP121" s="301"/>
      <c r="CQ121" s="301"/>
      <c r="CR121" s="301"/>
      <c r="CS121" s="301"/>
      <c r="CT121" s="301"/>
      <c r="CU121" s="301"/>
      <c r="CV121" s="301"/>
      <c r="CW121" s="301"/>
      <c r="CX121" s="301"/>
      <c r="CY121" s="301"/>
      <c r="CZ121" s="301"/>
      <c r="DA121" s="301"/>
      <c r="DB121" s="301"/>
      <c r="DC121" s="301"/>
      <c r="DD121" s="301"/>
      <c r="DE121" s="301"/>
      <c r="DF121" s="301"/>
      <c r="DG121" s="301"/>
      <c r="DH121" s="301"/>
      <c r="DI121" s="301"/>
      <c r="DJ121" s="301"/>
      <c r="DK121" s="301"/>
      <c r="DL121" s="301"/>
      <c r="DM121" s="301"/>
      <c r="DN121" s="301"/>
      <c r="DO121" s="301"/>
      <c r="DP121" s="301"/>
      <c r="DQ121" s="301"/>
      <c r="DR121" s="301"/>
      <c r="DS121" s="301"/>
      <c r="DT121" s="301"/>
      <c r="DU121" s="301"/>
      <c r="DV121" s="301"/>
      <c r="DW121" s="301"/>
      <c r="DX121" s="301"/>
      <c r="DY121" s="301"/>
      <c r="DZ121" s="301"/>
      <c r="EA121" s="301"/>
      <c r="EB121" s="301"/>
      <c r="EC121" s="301"/>
      <c r="ED121" s="301"/>
      <c r="EE121" s="301"/>
      <c r="EF121" s="301"/>
      <c r="EG121" s="301"/>
      <c r="EH121" s="301"/>
      <c r="EI121" s="301"/>
      <c r="EJ121" s="301"/>
      <c r="EK121" s="301"/>
      <c r="EL121" s="301"/>
      <c r="EM121" s="301"/>
      <c r="EN121" s="301"/>
      <c r="EO121" s="301"/>
      <c r="EP121" s="301"/>
      <c r="EQ121" s="301"/>
      <c r="ER121" s="301"/>
      <c r="ES121" s="301"/>
      <c r="ET121" s="301"/>
      <c r="EU121" s="301"/>
      <c r="EV121" s="301"/>
      <c r="EW121" s="301"/>
      <c r="EX121" s="301"/>
      <c r="EY121" s="301"/>
      <c r="EZ121" s="301"/>
      <c r="FA121" s="301"/>
      <c r="FB121" s="301"/>
      <c r="FC121" s="301"/>
      <c r="FD121" s="301"/>
      <c r="FE121" s="301"/>
      <c r="FF121" s="301"/>
      <c r="FG121" s="301"/>
      <c r="FH121" s="301"/>
      <c r="FI121" s="301"/>
      <c r="FJ121" s="301"/>
      <c r="FK121" s="301"/>
      <c r="FL121" s="301"/>
      <c r="FM121" s="301"/>
      <c r="FN121" s="301"/>
      <c r="FO121" s="301"/>
      <c r="FP121" s="301"/>
      <c r="FQ121" s="301"/>
      <c r="FR121" s="301"/>
      <c r="FS121" s="301"/>
      <c r="FT121" s="301"/>
      <c r="FU121" s="301"/>
      <c r="FV121" s="301"/>
      <c r="FW121" s="302"/>
      <c r="FX121" s="425"/>
      <c r="FY121" s="425"/>
      <c r="FZ121" s="1015"/>
      <c r="GA121" s="981"/>
      <c r="GB121" s="981"/>
      <c r="GC121" s="981"/>
      <c r="GD121" s="981"/>
    </row>
    <row r="122" spans="1:186" s="1229" customFormat="1" ht="16.5" customHeight="1">
      <c r="A122" s="1153"/>
      <c r="B122" s="783"/>
      <c r="C122" s="1118"/>
      <c r="D122" s="1087"/>
      <c r="E122" s="676">
        <v>17.100000000000001</v>
      </c>
      <c r="F122" s="779" t="str" cm="1">
        <f t="array" aca="1" ref="F122" ca="1">OFFSET(G122,-1,-1)</f>
        <v>2</v>
      </c>
      <c r="G122" s="425"/>
      <c r="H122" s="425"/>
      <c r="I122" s="425"/>
      <c r="J122" s="1110"/>
      <c r="K122" s="1110"/>
      <c r="L122" s="1110"/>
      <c r="M122" s="1110"/>
      <c r="N122" s="1110"/>
      <c r="O122" s="1110"/>
      <c r="P122" s="1110"/>
      <c r="Q122" s="1092"/>
      <c r="R122" s="784"/>
      <c r="S122" s="425"/>
      <c r="T122" s="687" t="b" cm="1">
        <f t="array" ref="T122">T120</f>
        <v>1</v>
      </c>
      <c r="U122" s="1153"/>
      <c r="V122" s="1153"/>
      <c r="W122" s="1153"/>
      <c r="X122" s="1726"/>
      <c r="Y122" s="1153"/>
      <c r="Z122" s="1726"/>
      <c r="AA122" s="425"/>
      <c r="AB122" s="1682" t="s">
        <v>2143</v>
      </c>
      <c r="AC122" s="1684"/>
      <c r="AD122" s="298" t="str" cm="1">
        <f t="array" aca="1" ref="AD122" ca="1">INDEX('Общие сведения'!$AM$187:$AM$236,MATCH($F122,'Общие сведения'!$Z$187:$Z$236,0))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122" s="301"/>
      <c r="AF122" s="301"/>
      <c r="AG122" s="301"/>
      <c r="AH122" s="301"/>
      <c r="AI122" s="301"/>
      <c r="AJ122" s="301"/>
      <c r="AK122" s="301"/>
      <c r="AL122" s="301"/>
      <c r="AM122" s="301"/>
      <c r="AN122" s="301"/>
      <c r="AO122" s="301"/>
      <c r="AP122" s="301"/>
      <c r="AQ122" s="301"/>
      <c r="AR122" s="301"/>
      <c r="AS122" s="301"/>
      <c r="AT122" s="301"/>
      <c r="AU122" s="301"/>
      <c r="AV122" s="301"/>
      <c r="AW122" s="301"/>
      <c r="AX122" s="301"/>
      <c r="AY122" s="301"/>
      <c r="AZ122" s="301"/>
      <c r="BA122" s="301"/>
      <c r="BB122" s="301"/>
      <c r="BC122" s="301"/>
      <c r="BD122" s="301"/>
      <c r="BE122" s="301"/>
      <c r="BF122" s="301"/>
      <c r="BG122" s="301"/>
      <c r="BH122" s="301"/>
      <c r="BI122" s="301"/>
      <c r="BJ122" s="301"/>
      <c r="BK122" s="301"/>
      <c r="BL122" s="301"/>
      <c r="BM122" s="301"/>
      <c r="BN122" s="301"/>
      <c r="BO122" s="301"/>
      <c r="BP122" s="301"/>
      <c r="BQ122" s="301"/>
      <c r="BR122" s="301"/>
      <c r="BS122" s="301"/>
      <c r="BT122" s="301"/>
      <c r="BU122" s="301"/>
      <c r="BV122" s="301"/>
      <c r="BW122" s="301"/>
      <c r="BX122" s="301"/>
      <c r="BY122" s="301"/>
      <c r="BZ122" s="301"/>
      <c r="CA122" s="301"/>
      <c r="CB122" s="301"/>
      <c r="CC122" s="301"/>
      <c r="CD122" s="301"/>
      <c r="CE122" s="301"/>
      <c r="CF122" s="301"/>
      <c r="CG122" s="301"/>
      <c r="CH122" s="301"/>
      <c r="CI122" s="301"/>
      <c r="CJ122" s="301"/>
      <c r="CK122" s="301"/>
      <c r="CL122" s="301"/>
      <c r="CM122" s="301"/>
      <c r="CN122" s="301"/>
      <c r="CO122" s="301"/>
      <c r="CP122" s="301"/>
      <c r="CQ122" s="301"/>
      <c r="CR122" s="301"/>
      <c r="CS122" s="301"/>
      <c r="CT122" s="301"/>
      <c r="CU122" s="301"/>
      <c r="CV122" s="301"/>
      <c r="CW122" s="301"/>
      <c r="CX122" s="301"/>
      <c r="CY122" s="301"/>
      <c r="CZ122" s="301"/>
      <c r="DA122" s="301"/>
      <c r="DB122" s="301"/>
      <c r="DC122" s="301"/>
      <c r="DD122" s="301"/>
      <c r="DE122" s="301"/>
      <c r="DF122" s="301"/>
      <c r="DG122" s="301"/>
      <c r="DH122" s="301"/>
      <c r="DI122" s="301"/>
      <c r="DJ122" s="301"/>
      <c r="DK122" s="301"/>
      <c r="DL122" s="301"/>
      <c r="DM122" s="301"/>
      <c r="DN122" s="301"/>
      <c r="DO122" s="301"/>
      <c r="DP122" s="301"/>
      <c r="DQ122" s="301"/>
      <c r="DR122" s="301"/>
      <c r="DS122" s="301"/>
      <c r="DT122" s="301"/>
      <c r="DU122" s="301"/>
      <c r="DV122" s="301"/>
      <c r="DW122" s="301"/>
      <c r="DX122" s="301"/>
      <c r="DY122" s="301"/>
      <c r="DZ122" s="301"/>
      <c r="EA122" s="301"/>
      <c r="EB122" s="301"/>
      <c r="EC122" s="301"/>
      <c r="ED122" s="301"/>
      <c r="EE122" s="301"/>
      <c r="EF122" s="301"/>
      <c r="EG122" s="301"/>
      <c r="EH122" s="301"/>
      <c r="EI122" s="301"/>
      <c r="EJ122" s="301"/>
      <c r="EK122" s="301"/>
      <c r="EL122" s="301"/>
      <c r="EM122" s="301"/>
      <c r="EN122" s="301"/>
      <c r="EO122" s="301"/>
      <c r="EP122" s="301"/>
      <c r="EQ122" s="301"/>
      <c r="ER122" s="301"/>
      <c r="ES122" s="301"/>
      <c r="ET122" s="301"/>
      <c r="EU122" s="301"/>
      <c r="EV122" s="301"/>
      <c r="EW122" s="301"/>
      <c r="EX122" s="301"/>
      <c r="EY122" s="301"/>
      <c r="EZ122" s="301"/>
      <c r="FA122" s="301"/>
      <c r="FB122" s="301"/>
      <c r="FC122" s="301"/>
      <c r="FD122" s="301"/>
      <c r="FE122" s="301"/>
      <c r="FF122" s="301"/>
      <c r="FG122" s="301"/>
      <c r="FH122" s="301"/>
      <c r="FI122" s="301"/>
      <c r="FJ122" s="301"/>
      <c r="FK122" s="301"/>
      <c r="FL122" s="301"/>
      <c r="FM122" s="301"/>
      <c r="FN122" s="301"/>
      <c r="FO122" s="301"/>
      <c r="FP122" s="301"/>
      <c r="FQ122" s="301"/>
      <c r="FR122" s="301"/>
      <c r="FS122" s="301"/>
      <c r="FT122" s="301"/>
      <c r="FU122" s="301"/>
      <c r="FV122" s="301"/>
      <c r="FW122" s="302"/>
      <c r="FX122" s="425"/>
      <c r="FY122" s="425"/>
      <c r="FZ122" s="1015"/>
      <c r="GA122" s="981"/>
      <c r="GB122" s="981"/>
      <c r="GC122" s="981"/>
      <c r="GD122" s="981"/>
    </row>
    <row r="123" spans="1:186" s="1229" customFormat="1" ht="16.5" customHeight="1">
      <c r="A123" s="1153"/>
      <c r="B123" s="783"/>
      <c r="C123" s="1118"/>
      <c r="D123" s="1087"/>
      <c r="E123" s="676">
        <v>17.100000000000001</v>
      </c>
      <c r="F123" s="779" t="str" cm="1">
        <f t="array" aca="1" ref="F123" ca="1">OFFSET(G123,-1,-1)</f>
        <v>2</v>
      </c>
      <c r="G123" s="425"/>
      <c r="H123" s="425"/>
      <c r="I123" s="425"/>
      <c r="J123" s="1110"/>
      <c r="K123" s="1110"/>
      <c r="L123" s="1110"/>
      <c r="M123" s="1110"/>
      <c r="N123" s="1110"/>
      <c r="O123" s="1110"/>
      <c r="P123" s="1110"/>
      <c r="Q123" s="1092"/>
      <c r="R123" s="784"/>
      <c r="S123" s="425"/>
      <c r="T123" s="687" t="b" cm="1">
        <f t="array" ref="T123">T122</f>
        <v>1</v>
      </c>
      <c r="U123" s="1153"/>
      <c r="V123" s="1153"/>
      <c r="W123" s="1153"/>
      <c r="X123" s="1726"/>
      <c r="Y123" s="1153"/>
      <c r="Z123" s="1726"/>
      <c r="AA123" s="425"/>
      <c r="AB123" s="1682" t="s">
        <v>2144</v>
      </c>
      <c r="AC123" s="1684"/>
      <c r="AD123" s="298" t="str" cm="1">
        <f t="array" aca="1" ref="AD123" ca="1">INDEX('Общие сведения'!$AJ$187:$AJ$236,MATCH($F123,'Общие сведения'!$Z$187:$Z$236,0))</f>
        <v>Не определено</v>
      </c>
      <c r="AE123" s="301"/>
      <c r="AF123" s="301"/>
      <c r="AG123" s="301"/>
      <c r="AH123" s="301"/>
      <c r="AI123" s="301"/>
      <c r="AJ123" s="301"/>
      <c r="AK123" s="301"/>
      <c r="AL123" s="301"/>
      <c r="AM123" s="301"/>
      <c r="AN123" s="301"/>
      <c r="AO123" s="301"/>
      <c r="AP123" s="301"/>
      <c r="AQ123" s="301"/>
      <c r="AR123" s="301"/>
      <c r="AS123" s="301"/>
      <c r="AT123" s="301"/>
      <c r="AU123" s="301"/>
      <c r="AV123" s="301"/>
      <c r="AW123" s="301"/>
      <c r="AX123" s="301"/>
      <c r="AY123" s="301"/>
      <c r="AZ123" s="301"/>
      <c r="BA123" s="301"/>
      <c r="BB123" s="301"/>
      <c r="BC123" s="301"/>
      <c r="BD123" s="301"/>
      <c r="BE123" s="301"/>
      <c r="BF123" s="301"/>
      <c r="BG123" s="301"/>
      <c r="BH123" s="301"/>
      <c r="BI123" s="301"/>
      <c r="BJ123" s="301"/>
      <c r="BK123" s="301"/>
      <c r="BL123" s="301"/>
      <c r="BM123" s="301"/>
      <c r="BN123" s="301"/>
      <c r="BO123" s="301"/>
      <c r="BP123" s="301"/>
      <c r="BQ123" s="301"/>
      <c r="BR123" s="301"/>
      <c r="BS123" s="301"/>
      <c r="BT123" s="301"/>
      <c r="BU123" s="301"/>
      <c r="BV123" s="301"/>
      <c r="BW123" s="301"/>
      <c r="BX123" s="301"/>
      <c r="BY123" s="301"/>
      <c r="BZ123" s="301"/>
      <c r="CA123" s="301"/>
      <c r="CB123" s="301"/>
      <c r="CC123" s="301"/>
      <c r="CD123" s="301"/>
      <c r="CE123" s="301"/>
      <c r="CF123" s="301"/>
      <c r="CG123" s="301"/>
      <c r="CH123" s="301"/>
      <c r="CI123" s="301"/>
      <c r="CJ123" s="301"/>
      <c r="CK123" s="301"/>
      <c r="CL123" s="301"/>
      <c r="CM123" s="301"/>
      <c r="CN123" s="301"/>
      <c r="CO123" s="301"/>
      <c r="CP123" s="301"/>
      <c r="CQ123" s="301"/>
      <c r="CR123" s="301"/>
      <c r="CS123" s="301"/>
      <c r="CT123" s="301"/>
      <c r="CU123" s="301"/>
      <c r="CV123" s="301"/>
      <c r="CW123" s="301"/>
      <c r="CX123" s="301"/>
      <c r="CY123" s="301"/>
      <c r="CZ123" s="301"/>
      <c r="DA123" s="301"/>
      <c r="DB123" s="301"/>
      <c r="DC123" s="301"/>
      <c r="DD123" s="301"/>
      <c r="DE123" s="301"/>
      <c r="DF123" s="301"/>
      <c r="DG123" s="301"/>
      <c r="DH123" s="301"/>
      <c r="DI123" s="301"/>
      <c r="DJ123" s="301"/>
      <c r="DK123" s="301"/>
      <c r="DL123" s="301"/>
      <c r="DM123" s="301"/>
      <c r="DN123" s="301"/>
      <c r="DO123" s="301"/>
      <c r="DP123" s="301"/>
      <c r="DQ123" s="301"/>
      <c r="DR123" s="301"/>
      <c r="DS123" s="301"/>
      <c r="DT123" s="301"/>
      <c r="DU123" s="301"/>
      <c r="DV123" s="301"/>
      <c r="DW123" s="301"/>
      <c r="DX123" s="301"/>
      <c r="DY123" s="301"/>
      <c r="DZ123" s="301"/>
      <c r="EA123" s="301"/>
      <c r="EB123" s="301"/>
      <c r="EC123" s="301"/>
      <c r="ED123" s="301"/>
      <c r="EE123" s="301"/>
      <c r="EF123" s="301"/>
      <c r="EG123" s="301"/>
      <c r="EH123" s="301"/>
      <c r="EI123" s="301"/>
      <c r="EJ123" s="301"/>
      <c r="EK123" s="301"/>
      <c r="EL123" s="301"/>
      <c r="EM123" s="301"/>
      <c r="EN123" s="301"/>
      <c r="EO123" s="301"/>
      <c r="EP123" s="301"/>
      <c r="EQ123" s="301"/>
      <c r="ER123" s="301"/>
      <c r="ES123" s="301"/>
      <c r="ET123" s="301"/>
      <c r="EU123" s="301"/>
      <c r="EV123" s="301"/>
      <c r="EW123" s="301"/>
      <c r="EX123" s="301"/>
      <c r="EY123" s="301"/>
      <c r="EZ123" s="301"/>
      <c r="FA123" s="301"/>
      <c r="FB123" s="301"/>
      <c r="FC123" s="301"/>
      <c r="FD123" s="301"/>
      <c r="FE123" s="301"/>
      <c r="FF123" s="301"/>
      <c r="FG123" s="301"/>
      <c r="FH123" s="301"/>
      <c r="FI123" s="301"/>
      <c r="FJ123" s="301"/>
      <c r="FK123" s="301"/>
      <c r="FL123" s="301"/>
      <c r="FM123" s="301"/>
      <c r="FN123" s="301"/>
      <c r="FO123" s="301"/>
      <c r="FP123" s="301"/>
      <c r="FQ123" s="301"/>
      <c r="FR123" s="301"/>
      <c r="FS123" s="301"/>
      <c r="FT123" s="301"/>
      <c r="FU123" s="301"/>
      <c r="FV123" s="301"/>
      <c r="FW123" s="302"/>
      <c r="FX123" s="425"/>
      <c r="FY123" s="425"/>
      <c r="FZ123" s="1015"/>
      <c r="GA123" s="981"/>
      <c r="GB123" s="981"/>
      <c r="GC123" s="981"/>
      <c r="GD123" s="981"/>
    </row>
    <row r="124" spans="1:186" s="1229" customFormat="1" ht="16.5" customHeight="1">
      <c r="A124" s="1153"/>
      <c r="B124" s="813" t="b">
        <f>R120="одноставочный"</f>
        <v>1</v>
      </c>
      <c r="C124" s="1118"/>
      <c r="D124" s="1087"/>
      <c r="E124" s="676">
        <v>17.100000000000001</v>
      </c>
      <c r="F124" s="779" t="str" cm="1">
        <f t="array" aca="1" ref="F124" ca="1">OFFSET(G124,-1,-1)</f>
        <v>2</v>
      </c>
      <c r="G124" s="425"/>
      <c r="H124" s="425"/>
      <c r="I124" s="425"/>
      <c r="J124" s="1110"/>
      <c r="K124" s="1110"/>
      <c r="L124" s="1110"/>
      <c r="M124" s="1110"/>
      <c r="N124" s="1110"/>
      <c r="O124" s="1110"/>
      <c r="P124" s="1110"/>
      <c r="Q124" s="1092"/>
      <c r="R124" s="784"/>
      <c r="S124" s="425"/>
      <c r="T124" s="687" t="b">
        <f ca="1">AND(F124&gt;0,G120="одноставочный")</f>
        <v>1</v>
      </c>
      <c r="U124" s="1153"/>
      <c r="V124" s="1153"/>
      <c r="W124" s="1153"/>
      <c r="X124" s="1726"/>
      <c r="Y124" s="1153"/>
      <c r="Z124" s="1726"/>
      <c r="AA124" s="425"/>
      <c r="AB124" s="303" t="s">
        <v>2145</v>
      </c>
      <c r="AC124" s="304"/>
      <c r="AD124" s="305"/>
      <c r="AE124" s="305"/>
      <c r="AF124" s="305"/>
      <c r="AG124" s="305"/>
      <c r="AH124" s="305"/>
      <c r="AI124" s="305"/>
      <c r="AJ124" s="305"/>
      <c r="AK124" s="305"/>
      <c r="AL124" s="305"/>
      <c r="AM124" s="305"/>
      <c r="AN124" s="305"/>
      <c r="AO124" s="305"/>
      <c r="AP124" s="305"/>
      <c r="AQ124" s="305"/>
      <c r="AR124" s="305"/>
      <c r="AS124" s="305"/>
      <c r="AT124" s="305"/>
      <c r="AU124" s="305"/>
      <c r="AV124" s="305"/>
      <c r="AW124" s="305"/>
      <c r="AX124" s="305"/>
      <c r="AY124" s="305"/>
      <c r="AZ124" s="305"/>
      <c r="BA124" s="305"/>
      <c r="BB124" s="305"/>
      <c r="BC124" s="305"/>
      <c r="BD124" s="305"/>
      <c r="BE124" s="305"/>
      <c r="BF124" s="305"/>
      <c r="BG124" s="305"/>
      <c r="BH124" s="305"/>
      <c r="BI124" s="305"/>
      <c r="BJ124" s="306"/>
      <c r="BK124" s="305"/>
      <c r="BL124" s="305"/>
      <c r="BM124" s="306"/>
      <c r="BN124" s="305"/>
      <c r="BO124" s="305"/>
      <c r="BP124" s="306"/>
      <c r="BQ124" s="305"/>
      <c r="BR124" s="305"/>
      <c r="BS124" s="306"/>
      <c r="BT124" s="305"/>
      <c r="BU124" s="305"/>
      <c r="BV124" s="306"/>
      <c r="BW124" s="305"/>
      <c r="BX124" s="305"/>
      <c r="BY124" s="306"/>
      <c r="BZ124" s="305"/>
      <c r="CA124" s="305"/>
      <c r="CB124" s="306"/>
      <c r="CC124" s="305"/>
      <c r="CD124" s="305"/>
      <c r="CE124" s="306"/>
      <c r="CF124" s="305"/>
      <c r="CG124" s="305"/>
      <c r="CH124" s="306"/>
      <c r="CI124" s="305"/>
      <c r="CJ124" s="305"/>
      <c r="CK124" s="306"/>
      <c r="CL124" s="305"/>
      <c r="CM124" s="305"/>
      <c r="CN124" s="306"/>
      <c r="CO124" s="305"/>
      <c r="CP124" s="305"/>
      <c r="CQ124" s="306"/>
      <c r="CR124" s="305"/>
      <c r="CS124" s="305"/>
      <c r="CT124" s="306"/>
      <c r="CU124" s="305"/>
      <c r="CV124" s="305"/>
      <c r="CW124" s="306"/>
      <c r="CX124" s="305"/>
      <c r="CY124" s="305"/>
      <c r="CZ124" s="306"/>
      <c r="DA124" s="305"/>
      <c r="DB124" s="305"/>
      <c r="DC124" s="306"/>
      <c r="DD124" s="305"/>
      <c r="DE124" s="305"/>
      <c r="DF124" s="306"/>
      <c r="DG124" s="305"/>
      <c r="DH124" s="305"/>
      <c r="DI124" s="306"/>
      <c r="DJ124" s="305"/>
      <c r="DK124" s="305"/>
      <c r="DL124" s="306"/>
      <c r="DM124" s="305"/>
      <c r="DN124" s="305"/>
      <c r="DO124" s="306"/>
      <c r="DP124" s="305"/>
      <c r="DQ124" s="305"/>
      <c r="DR124" s="306"/>
      <c r="DS124" s="305"/>
      <c r="DT124" s="305"/>
      <c r="DU124" s="306"/>
      <c r="DV124" s="305"/>
      <c r="DW124" s="305"/>
      <c r="DX124" s="306"/>
      <c r="DY124" s="305"/>
      <c r="DZ124" s="305"/>
      <c r="EA124" s="306"/>
      <c r="EB124" s="305"/>
      <c r="EC124" s="305"/>
      <c r="ED124" s="306"/>
      <c r="EE124" s="305"/>
      <c r="EF124" s="305"/>
      <c r="EG124" s="306"/>
      <c r="EH124" s="305"/>
      <c r="EI124" s="305"/>
      <c r="EJ124" s="306"/>
      <c r="EK124" s="305"/>
      <c r="EL124" s="305"/>
      <c r="EM124" s="306"/>
      <c r="EN124" s="305"/>
      <c r="EO124" s="305"/>
      <c r="EP124" s="306"/>
      <c r="EQ124" s="305"/>
      <c r="ER124" s="305"/>
      <c r="ES124" s="306"/>
      <c r="ET124" s="305"/>
      <c r="EU124" s="305"/>
      <c r="EV124" s="306"/>
      <c r="EW124" s="305"/>
      <c r="EX124" s="305"/>
      <c r="EY124" s="306"/>
      <c r="EZ124" s="305"/>
      <c r="FA124" s="305"/>
      <c r="FB124" s="306"/>
      <c r="FC124" s="305"/>
      <c r="FD124" s="305"/>
      <c r="FE124" s="306"/>
      <c r="FF124" s="305"/>
      <c r="FG124" s="305"/>
      <c r="FH124" s="306"/>
      <c r="FI124" s="305"/>
      <c r="FJ124" s="305"/>
      <c r="FK124" s="306"/>
      <c r="FL124" s="305"/>
      <c r="FM124" s="305"/>
      <c r="FN124" s="306"/>
      <c r="FO124" s="305"/>
      <c r="FP124" s="305"/>
      <c r="FQ124" s="306"/>
      <c r="FR124" s="305"/>
      <c r="FS124" s="305"/>
      <c r="FT124" s="306"/>
      <c r="FU124" s="305"/>
      <c r="FV124" s="305"/>
      <c r="FW124" s="306"/>
      <c r="FX124" s="425"/>
      <c r="FY124" s="425"/>
      <c r="FZ124" s="1015"/>
      <c r="GA124" s="981"/>
      <c r="GB124" s="981"/>
      <c r="GC124" s="981"/>
      <c r="GD124" s="981"/>
    </row>
    <row r="125" spans="1:186" s="1538" customFormat="1" ht="16.5" customHeight="1">
      <c r="A125" s="307"/>
      <c r="B125" s="813" t="b" cm="1">
        <f t="array" ref="B125">B124</f>
        <v>1</v>
      </c>
      <c r="C125" s="1118" t="s">
        <v>2146</v>
      </c>
      <c r="D125" s="1087" t="s">
        <v>2147</v>
      </c>
      <c r="E125" s="676">
        <v>17.100000000000001</v>
      </c>
      <c r="F125" s="779" t="str" cm="1">
        <f t="array" aca="1" ref="F125" ca="1">OFFSET(G125,-1,-1)</f>
        <v>2</v>
      </c>
      <c r="G125" s="620" t="s">
        <v>1787</v>
      </c>
      <c r="H125" s="163" t="s">
        <v>536</v>
      </c>
      <c r="I125" s="163" t="s">
        <v>2148</v>
      </c>
      <c r="J125" s="1108" t="s">
        <v>2149</v>
      </c>
      <c r="K125" s="1108" t="str" cm="1">
        <f t="array" aca="1" ref="K125" ca="1">INDEX('Общие сведения'!$N$187:$N$236,MATCH($F125,'Общие сведения'!$Z$187:$Z$236,0)+1)</f>
        <v>ТЭ.42.26322895.0004</v>
      </c>
      <c r="L125" s="1108" t="s">
        <v>2150</v>
      </c>
      <c r="M125" s="1108" t="s">
        <v>1782</v>
      </c>
      <c r="N125" s="1108" t="s">
        <v>2151</v>
      </c>
      <c r="O125" s="1109" t="s">
        <v>2152</v>
      </c>
      <c r="P125" s="1108"/>
      <c r="Q125" s="1108"/>
      <c r="R125" s="307"/>
      <c r="S125" s="307"/>
      <c r="T125" s="687" t="b" cm="1">
        <f t="array" aca="1" ref="T125" ca="1">T124</f>
        <v>1</v>
      </c>
      <c r="U125" s="307"/>
      <c r="V125" s="307"/>
      <c r="W125" s="307"/>
      <c r="X125" s="1853"/>
      <c r="Y125" s="307"/>
      <c r="Z125" s="1853"/>
      <c r="AA125" s="307"/>
      <c r="AB125" s="1140" t="s">
        <v>2153</v>
      </c>
      <c r="AC125" s="308" t="s">
        <v>929</v>
      </c>
      <c r="AD125" s="1532">
        <f ca="1">IF(method_reg="Метод экономически обоснованных расходов",SUMIFS('Калькуляция (4.6)'!AJ$25:AJ$229,'Калькуляция (4.6)'!$F$25:$F$229,$F125,'Калькуляция (4.6)'!$G$25:$G$229,$G125),IF(method_reg="Метод сравнения аналогов",SUMIFS(INDEX('Калькуляция (МСА)'!$AE$25:$BC$109,,MATCH(AD$8,'Калькуляция (МСА)'!$AE$8:$BC$8,0)),'Калькуляция (МСА)'!$F$25:$F$109,$F125,'Калькуляция (МСА)'!$G$25:$G$109,$G125),SUMIFS(INDEX('Калькуляция (5.9)'!$AJ$25:$BC$194,,MATCH(AD$8,'Калькуляция (5.9)'!$AJ$8:$BC$8,0)),'Калькуляция (5.9)'!$F$25:$F$194,$F125,'Калькуляция (5.9)'!$G$25:$G$194,$G125)))</f>
        <v>0</v>
      </c>
      <c r="AE125" s="1532">
        <f ca="1">IF(method_reg="Метод экономически обоснованных расходов",SUMIFS('Калькуляция (4.6)'!AK$25:AK$229,'Калькуляция (4.6)'!$F$25:$F$229,$F125,'Калькуляция (4.6)'!$G$25:$G$229,$G125),IF(method_reg="Метод сравнения аналогов",SUMIFS(INDEX('Калькуляция (МСА)'!$AE$25:$BC$109,,MATCH(AE$8,'Калькуляция (МСА)'!$AE$8:$BC$8,0)),'Калькуляция (МСА)'!$F$25:$F$109,$F125,'Калькуляция (МСА)'!$G$25:$G$109,$G125),SUMIFS(INDEX('Калькуляция (5.9)'!$AJ$25:$BC$194,,MATCH(AE$8,'Калькуляция (5.9)'!$AJ$8:$BC$8,0)),'Калькуляция (5.9)'!$F$25:$F$194,$F125,'Калькуляция (5.9)'!$G$25:$G$194,$G125)))</f>
        <v>3062.82</v>
      </c>
      <c r="AF125" s="310">
        <f ca="1">IF(AD125=0,0,(AE125-AD125)/AD125*100)</f>
        <v>0</v>
      </c>
      <c r="AG125" s="309">
        <f ca="1">IF(method_reg="Метод сравнения аналогов",SUMIFS(INDEX('Калькуляция (МСА)'!$AE$25:$BC$109,,MATCH(AG$8,'Калькуляция (МСА)'!$AE$8:$BC$8,0)),'Калькуляция (МСА)'!$F$25:$F$109,$F125,'Калькуляция (МСА)'!$G$25:$G$109,$G125),SUMIFS(INDEX('Калькуляция (5.9)'!$AJ$25:$BC$194,,MATCH(AG$8,'Калькуляция (5.9)'!$AJ$8:$BC$8,0)),'Калькуляция (5.9)'!$F$25:$F$194,$F125,'Калькуляция (5.9)'!$G$25:$G$194,$G125))</f>
        <v>0</v>
      </c>
      <c r="AH125" s="309">
        <f ca="1">IF(method_reg="Метод сравнения аналогов",SUMIFS(INDEX('Калькуляция (МСА)'!$AE$25:$BC$109,,MATCH(AH$8,'Калькуляция (МСА)'!$AE$8:$BC$8,0)),'Калькуляция (МСА)'!$F$25:$F$109,$F125,'Калькуляция (МСА)'!$G$25:$G$109,$G125),SUMIFS(INDEX('Калькуляция (5.9)'!$AJ$25:$BC$194,,MATCH(AH$8,'Калькуляция (5.9)'!$AJ$8:$BC$8,0)),'Калькуляция (5.9)'!$F$25:$F$194,$F125,'Калькуляция (5.9)'!$G$25:$G$194,$G125))</f>
        <v>0</v>
      </c>
      <c r="AI125" s="310">
        <f ca="1">IF(AG125=0,0,(AH125-AG125)/AG125*100)</f>
        <v>0</v>
      </c>
      <c r="AJ125" s="309">
        <f ca="1">IF(method_reg="Метод сравнения аналогов",SUMIFS(INDEX('Калькуляция (МСА)'!$AE$25:$BC$109,,MATCH(AJ$8,'Калькуляция (МСА)'!$AE$8:$BC$8,0)),'Калькуляция (МСА)'!$F$25:$F$109,$F125,'Калькуляция (МСА)'!$G$25:$G$109,$G125),SUMIFS(INDEX('Калькуляция (5.9)'!$AJ$25:$BC$194,,MATCH(AJ$8,'Калькуляция (5.9)'!$AJ$8:$BC$8,0)),'Калькуляция (5.9)'!$F$25:$F$194,$F125,'Калькуляция (5.9)'!$G$25:$G$194,$G125))</f>
        <v>0</v>
      </c>
      <c r="AK125" s="309">
        <f ca="1">IF(method_reg="Метод сравнения аналогов",SUMIFS(INDEX('Калькуляция (МСА)'!$AE$25:$BC$109,,MATCH(AK$8,'Калькуляция (МСА)'!$AE$8:$BC$8,0)),'Калькуляция (МСА)'!$F$25:$F$109,$F125,'Калькуляция (МСА)'!$G$25:$G$109,$G125),SUMIFS(INDEX('Калькуляция (5.9)'!$AJ$25:$BC$194,,MATCH(AK$8,'Калькуляция (5.9)'!$AJ$8:$BC$8,0)),'Калькуляция (5.9)'!$F$25:$F$194,$F125,'Калькуляция (5.9)'!$G$25:$G$194,$G125))</f>
        <v>0</v>
      </c>
      <c r="AL125" s="310">
        <f ca="1">IF(AJ125=0,0,(AK125-AJ125)/AJ125*100)</f>
        <v>0</v>
      </c>
      <c r="AM125" s="309">
        <f ca="1">IF(method_reg="Метод сравнения аналогов",SUMIFS(INDEX('Калькуляция (МСА)'!$AE$25:$BC$109,,MATCH(AM$8,'Калькуляция (МСА)'!$AE$8:$BC$8,0)),'Калькуляция (МСА)'!$F$25:$F$109,$F125,'Калькуляция (МСА)'!$G$25:$G$109,$G125),SUMIFS(INDEX('Калькуляция (5.9)'!$AJ$25:$BC$194,,MATCH(AM$8,'Калькуляция (5.9)'!$AJ$8:$BC$8,0)),'Калькуляция (5.9)'!$F$25:$F$194,$F125,'Калькуляция (5.9)'!$G$25:$G$194,$G125))</f>
        <v>0</v>
      </c>
      <c r="AN125" s="309">
        <f ca="1">IF(method_reg="Метод сравнения аналогов",SUMIFS(INDEX('Калькуляция (МСА)'!$AE$25:$BC$109,,MATCH(AN$8,'Калькуляция (МСА)'!$AE$8:$BC$8,0)),'Калькуляция (МСА)'!$F$25:$F$109,$F125,'Калькуляция (МСА)'!$G$25:$G$109,$G125),SUMIFS(INDEX('Калькуляция (5.9)'!$AJ$25:$BC$194,,MATCH(AN$8,'Калькуляция (5.9)'!$AJ$8:$BC$8,0)),'Калькуляция (5.9)'!$F$25:$F$194,$F125,'Калькуляция (5.9)'!$G$25:$G$194,$G125))</f>
        <v>0</v>
      </c>
      <c r="AO125" s="310">
        <f ca="1">IF(AM125=0,0,(AN125-AM125)/AM125*100)</f>
        <v>0</v>
      </c>
      <c r="AP125" s="309">
        <f ca="1">IF(method_reg="Метод сравнения аналогов",SUMIFS(INDEX('Калькуляция (МСА)'!$AE$25:$BC$109,,MATCH(AP$8,'Калькуляция (МСА)'!$AE$8:$BC$8,0)),'Калькуляция (МСА)'!$F$25:$F$109,$F125,'Калькуляция (МСА)'!$G$25:$G$109,$G125),SUMIFS(INDEX('Калькуляция (5.9)'!$AJ$25:$BC$194,,MATCH(AP$8,'Калькуляция (5.9)'!$AJ$8:$BC$8,0)),'Калькуляция (5.9)'!$F$25:$F$194,$F125,'Калькуляция (5.9)'!$G$25:$G$194,$G125))</f>
        <v>0</v>
      </c>
      <c r="AQ125" s="309">
        <f ca="1">IF(method_reg="Метод сравнения аналогов",SUMIFS(INDEX('Калькуляция (МСА)'!$AE$25:$BC$109,,MATCH(AQ$8,'Калькуляция (МСА)'!$AE$8:$BC$8,0)),'Калькуляция (МСА)'!$F$25:$F$109,$F125,'Калькуляция (МСА)'!$G$25:$G$109,$G125),SUMIFS(INDEX('Калькуляция (5.9)'!$AJ$25:$BC$194,,MATCH(AQ$8,'Калькуляция (5.9)'!$AJ$8:$BC$8,0)),'Калькуляция (5.9)'!$F$25:$F$194,$F125,'Калькуляция (5.9)'!$G$25:$G$194,$G125))</f>
        <v>0</v>
      </c>
      <c r="AR125" s="310">
        <f ca="1">IF(AP125=0,0,(AQ125-AP125)/AP125*100)</f>
        <v>0</v>
      </c>
      <c r="AS125" s="1532">
        <f ca="1">IF(method_reg="Метод сравнения аналогов",SUMIFS(INDEX('Калькуляция (МСА)'!$AE$25:$BC$109,,MATCH(AS$8,'Калькуляция (МСА)'!$AE$8:$BC$8,0)),'Калькуляция (МСА)'!$F$25:$F$109,$F125,'Калькуляция (МСА)'!$G$25:$G$109,$G125),SUMIFS(INDEX('Калькуляция (5.9)'!$AJ$25:$BC$194,,MATCH(AS$8,'Калькуляция (5.9)'!$AJ$8:$BC$8,0)),'Калькуляция (5.9)'!$F$25:$F$194,$F125,'Калькуляция (5.9)'!$G$25:$G$194,$G125))</f>
        <v>0</v>
      </c>
      <c r="AT125" s="1532">
        <f ca="1">IF(method_reg="Метод сравнения аналогов",SUMIFS(INDEX('Калькуляция (МСА)'!$AE$25:$BC$109,,MATCH(AT$8,'Калькуляция (МСА)'!$AE$8:$BC$8,0)),'Калькуляция (МСА)'!$F$25:$F$109,$F125,'Калькуляция (МСА)'!$G$25:$G$109,$G125),SUMIFS(INDEX('Калькуляция (5.9)'!$AJ$25:$BC$194,,MATCH(AT$8,'Калькуляция (5.9)'!$AJ$8:$BC$8,0)),'Калькуляция (5.9)'!$F$25:$F$194,$F125,'Калькуляция (5.9)'!$G$25:$G$194,$G125))</f>
        <v>0</v>
      </c>
      <c r="AU125" s="310">
        <f ca="1">IF(AS125=0,0,(AT125-AS125)/AS125*100)</f>
        <v>0</v>
      </c>
      <c r="AV125" s="1532">
        <f ca="1">IF(method_reg="Метод сравнения аналогов",SUMIFS(INDEX('Калькуляция (МСА)'!$AE$25:$BC$109,,MATCH(AV$8,'Калькуляция (МСА)'!$AE$8:$BC$8,0)),'Калькуляция (МСА)'!$F$25:$F$109,$F125,'Калькуляция (МСА)'!$G$25:$G$109,$G125),SUMIFS(INDEX('Калькуляция (5.9)'!$AJ$25:$BC$194,,MATCH(AV$8,'Калькуляция (5.9)'!$AJ$8:$BC$8,0)),'Калькуляция (5.9)'!$F$25:$F$194,$F125,'Калькуляция (5.9)'!$G$25:$G$194,$G125))</f>
        <v>0</v>
      </c>
      <c r="AW125" s="1532">
        <f ca="1">IF(method_reg="Метод сравнения аналогов",SUMIFS(INDEX('Калькуляция (МСА)'!$AE$25:$BC$109,,MATCH(AW$8,'Калькуляция (МСА)'!$AE$8:$BC$8,0)),'Калькуляция (МСА)'!$F$25:$F$109,$F125,'Калькуляция (МСА)'!$G$25:$G$109,$G125),SUMIFS(INDEX('Калькуляция (5.9)'!$AJ$25:$BC$194,,MATCH(AW$8,'Калькуляция (5.9)'!$AJ$8:$BC$8,0)),'Калькуляция (5.9)'!$F$25:$F$194,$F125,'Калькуляция (5.9)'!$G$25:$G$194,$G125))</f>
        <v>0</v>
      </c>
      <c r="AX125" s="310">
        <f ca="1">IF(AV125=0,0,(AW125-AV125)/AV125*100)</f>
        <v>0</v>
      </c>
      <c r="AY125" s="1532">
        <f ca="1">IF(method_reg="Метод сравнения аналогов",SUMIFS(INDEX('Калькуляция (МСА)'!$AE$25:$BC$109,,MATCH(AY$8,'Калькуляция (МСА)'!$AE$8:$BC$8,0)),'Калькуляция (МСА)'!$F$25:$F$109,$F125,'Калькуляция (МСА)'!$G$25:$G$109,$G125),SUMIFS(INDEX('Калькуляция (5.9)'!$AJ$25:$BC$194,,MATCH(AY$8,'Калькуляция (5.9)'!$AJ$8:$BC$8,0)),'Калькуляция (5.9)'!$F$25:$F$194,$F125,'Калькуляция (5.9)'!$G$25:$G$194,$G125))</f>
        <v>0</v>
      </c>
      <c r="AZ125" s="1532">
        <f ca="1">IF(method_reg="Метод сравнения аналогов",SUMIFS(INDEX('Калькуляция (МСА)'!$AE$25:$BC$109,,MATCH(AZ$8,'Калькуляция (МСА)'!$AE$8:$BC$8,0)),'Калькуляция (МСА)'!$F$25:$F$109,$F125,'Калькуляция (МСА)'!$G$25:$G$109,$G125),SUMIFS(INDEX('Калькуляция (5.9)'!$AJ$25:$BC$194,,MATCH(AZ$8,'Калькуляция (5.9)'!$AJ$8:$BC$8,0)),'Калькуляция (5.9)'!$F$25:$F$194,$F125,'Калькуляция (5.9)'!$G$25:$G$194,$G125))</f>
        <v>0</v>
      </c>
      <c r="BA125" s="310">
        <f ca="1">IF(AY125=0,0,(AZ125-AY125)/AY125*100)</f>
        <v>0</v>
      </c>
      <c r="BB125" s="1532">
        <f ca="1">IF(method_reg="Метод сравнения аналогов",SUMIFS(INDEX('Калькуляция (МСА)'!$AE$25:$BC$109,,MATCH(BB$8,'Калькуляция (МСА)'!$AE$8:$BC$8,0)),'Калькуляция (МСА)'!$F$25:$F$109,$F125,'Калькуляция (МСА)'!$G$25:$G$109,$G125),SUMIFS(INDEX('Калькуляция (5.9)'!$AJ$25:$BC$194,,MATCH(BB$8,'Калькуляция (5.9)'!$AJ$8:$BC$8,0)),'Калькуляция (5.9)'!$F$25:$F$194,$F125,'Калькуляция (5.9)'!$G$25:$G$194,$G125))</f>
        <v>0</v>
      </c>
      <c r="BC125" s="1532">
        <f ca="1">IF(method_reg="Метод сравнения аналогов",SUMIFS(INDEX('Калькуляция (МСА)'!$AE$25:$BC$109,,MATCH(BC$8,'Калькуляция (МСА)'!$AE$8:$BC$8,0)),'Калькуляция (МСА)'!$F$25:$F$109,$F125,'Калькуляция (МСА)'!$G$25:$G$109,$G125),SUMIFS(INDEX('Калькуляция (5.9)'!$AJ$25:$BC$194,,MATCH(BC$8,'Калькуляция (5.9)'!$AJ$8:$BC$8,0)),'Калькуляция (5.9)'!$F$25:$F$194,$F125,'Калькуляция (5.9)'!$G$25:$G$194,$G125))</f>
        <v>0</v>
      </c>
      <c r="BD125" s="310">
        <f ca="1">IF(BB125=0,0,(BC125-BB125)/BB125*100)</f>
        <v>0</v>
      </c>
      <c r="BE125" s="1532">
        <f ca="1">IF(method_reg="Метод сравнения аналогов",SUMIFS(INDEX('Калькуляция (МСА)'!$AE$25:$BC$109,,MATCH(BE$8,'Калькуляция (МСА)'!$AE$8:$BC$8,0)),'Калькуляция (МСА)'!$F$25:$F$109,$F125,'Калькуляция (МСА)'!$G$25:$G$109,$G125),SUMIFS(INDEX('Калькуляция (5.9)'!$AJ$25:$BC$194,,MATCH(BE$8,'Калькуляция (5.9)'!$AJ$8:$BC$8,0)),'Калькуляция (5.9)'!$F$25:$F$194,$F125,'Калькуляция (5.9)'!$G$25:$G$194,$G125))</f>
        <v>0</v>
      </c>
      <c r="BF125" s="1532">
        <f ca="1">IF(method_reg="Метод сравнения аналогов",SUMIFS(INDEX('Калькуляция (МСА)'!$AE$25:$BC$109,,MATCH(BF$8,'Калькуляция (МСА)'!$AE$8:$BC$8,0)),'Калькуляция (МСА)'!$F$25:$F$109,$F125,'Калькуляция (МСА)'!$G$25:$G$109,$G125),SUMIFS(INDEX('Калькуляция (5.9)'!$AJ$25:$BC$194,,MATCH(BF$8,'Калькуляция (5.9)'!$AJ$8:$BC$8,0)),'Калькуляция (5.9)'!$F$25:$F$194,$F125,'Калькуляция (5.9)'!$G$25:$G$194,$G125))</f>
        <v>0</v>
      </c>
      <c r="BG125" s="310">
        <f ca="1">IF(BE125=0,0,(BF125-BE125)/BE125*100)</f>
        <v>0</v>
      </c>
      <c r="BH125" s="1532"/>
      <c r="BI125" s="1532"/>
      <c r="BJ125" s="310">
        <f>IF(BH125=0,0,(BI125-BH125)/BH125*100)</f>
        <v>0</v>
      </c>
      <c r="BK125" s="1532"/>
      <c r="BL125" s="1532"/>
      <c r="BM125" s="310">
        <f>IF(BK125=0,0,(BL125-BK125)/BK125*100)</f>
        <v>0</v>
      </c>
      <c r="BN125" s="1532"/>
      <c r="BO125" s="1532"/>
      <c r="BP125" s="310">
        <f>IF(BN125=0,0,(BO125-BN125)/BN125*100)</f>
        <v>0</v>
      </c>
      <c r="BQ125" s="1532"/>
      <c r="BR125" s="1532"/>
      <c r="BS125" s="310">
        <f>IF(BQ125=0,0,(BR125-BQ125)/BQ125*100)</f>
        <v>0</v>
      </c>
      <c r="BT125" s="1532"/>
      <c r="BU125" s="1532"/>
      <c r="BV125" s="310">
        <f>IF(BT125=0,0,(BU125-BT125)/BT125*100)</f>
        <v>0</v>
      </c>
      <c r="BW125" s="1532"/>
      <c r="BX125" s="1532"/>
      <c r="BY125" s="310">
        <f>IF(BW125=0,0,(BX125-BW125)/BW125*100)</f>
        <v>0</v>
      </c>
      <c r="BZ125" s="1532"/>
      <c r="CA125" s="1532"/>
      <c r="CB125" s="310">
        <f>IF(BZ125=0,0,(CA125-BZ125)/BZ125*100)</f>
        <v>0</v>
      </c>
      <c r="CC125" s="1532"/>
      <c r="CD125" s="1532"/>
      <c r="CE125" s="310">
        <f>IF(CC125=0,0,(CD125-CC125)/CC125*100)</f>
        <v>0</v>
      </c>
      <c r="CF125" s="1532"/>
      <c r="CG125" s="1532"/>
      <c r="CH125" s="310">
        <f>IF(CF125=0,0,(CG125-CF125)/CF125*100)</f>
        <v>0</v>
      </c>
      <c r="CI125" s="1532"/>
      <c r="CJ125" s="1532"/>
      <c r="CK125" s="310">
        <f>IF(CI125=0,0,(CJ125-CI125)/CI125*100)</f>
        <v>0</v>
      </c>
      <c r="CL125" s="1532"/>
      <c r="CM125" s="1532"/>
      <c r="CN125" s="310">
        <f>IF(CL125=0,0,(CM125-CL125)/CL125*100)</f>
        <v>0</v>
      </c>
      <c r="CO125" s="1532"/>
      <c r="CP125" s="1532"/>
      <c r="CQ125" s="310">
        <f>IF(CO125=0,0,(CP125-CO125)/CO125*100)</f>
        <v>0</v>
      </c>
      <c r="CR125" s="1532"/>
      <c r="CS125" s="1532"/>
      <c r="CT125" s="310">
        <f>IF(CR125=0,0,(CS125-CR125)/CR125*100)</f>
        <v>0</v>
      </c>
      <c r="CU125" s="1532"/>
      <c r="CV125" s="1532"/>
      <c r="CW125" s="310">
        <f>IF(CU125=0,0,(CV125-CU125)/CU125*100)</f>
        <v>0</v>
      </c>
      <c r="CX125" s="1532"/>
      <c r="CY125" s="1532"/>
      <c r="CZ125" s="310">
        <f>IF(CX125=0,0,(CY125-CX125)/CX125*100)</f>
        <v>0</v>
      </c>
      <c r="DA125" s="1532"/>
      <c r="DB125" s="1532"/>
      <c r="DC125" s="310">
        <f>IF(DA125=0,0,(DB125-DA125)/DA125*100)</f>
        <v>0</v>
      </c>
      <c r="DD125" s="1532"/>
      <c r="DE125" s="1532"/>
      <c r="DF125" s="310">
        <f>IF(DD125=0,0,(DE125-DD125)/DD125*100)</f>
        <v>0</v>
      </c>
      <c r="DG125" s="1532"/>
      <c r="DH125" s="1532"/>
      <c r="DI125" s="310">
        <f>IF(DG125=0,0,(DH125-DG125)/DG125*100)</f>
        <v>0</v>
      </c>
      <c r="DJ125" s="1532"/>
      <c r="DK125" s="1532"/>
      <c r="DL125" s="310">
        <f>IF(DJ125=0,0,(DK125-DJ125)/DJ125*100)</f>
        <v>0</v>
      </c>
      <c r="DM125" s="1532"/>
      <c r="DN125" s="1532"/>
      <c r="DO125" s="310">
        <f>IF(DM125=0,0,(DN125-DM125)/DM125*100)</f>
        <v>0</v>
      </c>
      <c r="DP125" s="1532"/>
      <c r="DQ125" s="1532"/>
      <c r="DR125" s="310">
        <f>IF(DP125=0,0,(DQ125-DP125)/DP125*100)</f>
        <v>0</v>
      </c>
      <c r="DS125" s="1532"/>
      <c r="DT125" s="1532"/>
      <c r="DU125" s="310">
        <f>IF(DS125=0,0,(DT125-DS125)/DS125*100)</f>
        <v>0</v>
      </c>
      <c r="DV125" s="1532"/>
      <c r="DW125" s="1532"/>
      <c r="DX125" s="310">
        <f>IF(DV125=0,0,(DW125-DV125)/DV125*100)</f>
        <v>0</v>
      </c>
      <c r="DY125" s="1532"/>
      <c r="DZ125" s="1532"/>
      <c r="EA125" s="310">
        <f>IF(DY125=0,0,(DZ125-DY125)/DY125*100)</f>
        <v>0</v>
      </c>
      <c r="EB125" s="1532"/>
      <c r="EC125" s="1532"/>
      <c r="ED125" s="310">
        <f>IF(EB125=0,0,(EC125-EB125)/EB125*100)</f>
        <v>0</v>
      </c>
      <c r="EE125" s="1532"/>
      <c r="EF125" s="1532"/>
      <c r="EG125" s="310">
        <f>IF(EE125=0,0,(EF125-EE125)/EE125*100)</f>
        <v>0</v>
      </c>
      <c r="EH125" s="1532"/>
      <c r="EI125" s="1532"/>
      <c r="EJ125" s="310">
        <f>IF(EH125=0,0,(EI125-EH125)/EH125*100)</f>
        <v>0</v>
      </c>
      <c r="EK125" s="1532"/>
      <c r="EL125" s="1532"/>
      <c r="EM125" s="310">
        <f>IF(EK125=0,0,(EL125-EK125)/EK125*100)</f>
        <v>0</v>
      </c>
      <c r="EN125" s="1532"/>
      <c r="EO125" s="1532"/>
      <c r="EP125" s="310">
        <f>IF(EN125=0,0,(EO125-EN125)/EN125*100)</f>
        <v>0</v>
      </c>
      <c r="EQ125" s="1532"/>
      <c r="ER125" s="1532"/>
      <c r="ES125" s="310">
        <f>IF(EQ125=0,0,(ER125-EQ125)/EQ125*100)</f>
        <v>0</v>
      </c>
      <c r="ET125" s="1532"/>
      <c r="EU125" s="1532"/>
      <c r="EV125" s="310">
        <f>IF(ET125=0,0,(EU125-ET125)/ET125*100)</f>
        <v>0</v>
      </c>
      <c r="EW125" s="1532"/>
      <c r="EX125" s="1532"/>
      <c r="EY125" s="310">
        <f>IF(EW125=0,0,(EX125-EW125)/EW125*100)</f>
        <v>0</v>
      </c>
      <c r="EZ125" s="1532"/>
      <c r="FA125" s="1532"/>
      <c r="FB125" s="310">
        <f>IF(EZ125=0,0,(FA125-EZ125)/EZ125*100)</f>
        <v>0</v>
      </c>
      <c r="FC125" s="1532"/>
      <c r="FD125" s="1532"/>
      <c r="FE125" s="310">
        <f>IF(FC125=0,0,(FD125-FC125)/FC125*100)</f>
        <v>0</v>
      </c>
      <c r="FF125" s="1532"/>
      <c r="FG125" s="1532"/>
      <c r="FH125" s="310">
        <f>IF(FF125=0,0,(FG125-FF125)/FF125*100)</f>
        <v>0</v>
      </c>
      <c r="FI125" s="1532"/>
      <c r="FJ125" s="1532"/>
      <c r="FK125" s="310">
        <f>IF(FI125=0,0,(FJ125-FI125)/FI125*100)</f>
        <v>0</v>
      </c>
      <c r="FL125" s="1532"/>
      <c r="FM125" s="1532"/>
      <c r="FN125" s="310">
        <f>IF(FL125=0,0,(FM125-FL125)/FL125*100)</f>
        <v>0</v>
      </c>
      <c r="FO125" s="1532"/>
      <c r="FP125" s="1532"/>
      <c r="FQ125" s="310">
        <f>IF(FO125=0,0,(FP125-FO125)/FO125*100)</f>
        <v>0</v>
      </c>
      <c r="FR125" s="1532"/>
      <c r="FS125" s="1532"/>
      <c r="FT125" s="310">
        <f>IF(FR125=0,0,(FS125-FR125)/FR125*100)</f>
        <v>0</v>
      </c>
      <c r="FU125" s="1532"/>
      <c r="FV125" s="1532"/>
      <c r="FW125" s="310">
        <f>IF(FU125=0,0,(FV125-FU125)/FU125*100)</f>
        <v>0</v>
      </c>
      <c r="FX125" s="307"/>
      <c r="FY125" s="307"/>
      <c r="FZ125" s="981" t="s">
        <v>2154</v>
      </c>
      <c r="GA125" s="981"/>
      <c r="GB125" s="981"/>
      <c r="GC125" s="981"/>
      <c r="GD125" s="981"/>
    </row>
    <row r="126" spans="1:186" s="1539" customFormat="1" ht="16.5" customHeight="1">
      <c r="A126" s="307"/>
      <c r="B126" s="813" t="b" cm="1">
        <f t="array" ref="B126">B125</f>
        <v>1</v>
      </c>
      <c r="C126" s="1118" t="s">
        <v>2146</v>
      </c>
      <c r="D126" s="1087" t="s">
        <v>2147</v>
      </c>
      <c r="E126" s="676">
        <v>17.100000000000001</v>
      </c>
      <c r="F126" s="779" t="str" cm="1">
        <f t="array" aca="1" ref="F126" ca="1">OFFSET(G126,-1,-1)</f>
        <v>2</v>
      </c>
      <c r="G126" s="620" t="s">
        <v>1794</v>
      </c>
      <c r="H126" s="163" t="s">
        <v>536</v>
      </c>
      <c r="I126" s="163" t="s">
        <v>2155</v>
      </c>
      <c r="J126" s="1108" t="s">
        <v>2149</v>
      </c>
      <c r="K126" s="1108" t="str" cm="1">
        <f t="array" aca="1" ref="K126" ca="1">OFFSET(J126,-1,1)</f>
        <v>ТЭ.42.26322895.0004</v>
      </c>
      <c r="L126" s="1108" t="s">
        <v>2150</v>
      </c>
      <c r="M126" s="1108" t="s">
        <v>1791</v>
      </c>
      <c r="N126" s="1108" t="s">
        <v>2151</v>
      </c>
      <c r="O126" s="1109" t="s">
        <v>2152</v>
      </c>
      <c r="P126" s="1108"/>
      <c r="Q126" s="1108"/>
      <c r="R126" s="307"/>
      <c r="S126" s="307"/>
      <c r="T126" s="687" t="b" cm="1">
        <f t="array" aca="1" ref="T126" ca="1">T125</f>
        <v>1</v>
      </c>
      <c r="U126" s="307"/>
      <c r="V126" s="307"/>
      <c r="W126" s="307"/>
      <c r="X126" s="1853"/>
      <c r="Y126" s="307"/>
      <c r="Z126" s="1853"/>
      <c r="AA126" s="307"/>
      <c r="AB126" s="1140" t="s">
        <v>2156</v>
      </c>
      <c r="AC126" s="308" t="s">
        <v>929</v>
      </c>
      <c r="AD126" s="1532">
        <f ca="1">IF(method_reg="Метод экономически обоснованных расходов",SUMIFS('Калькуляция (4.6)'!AJ$25:AJ$229,'Калькуляция (4.6)'!$F$25:$F$229,$F126,'Калькуляция (4.6)'!$G$25:$G$229,$G126),IF(method_reg="Метод сравнения аналогов",SUMIFS(INDEX('Калькуляция (МСА)'!$AE$25:$BC$109,,MATCH(AD$8,'Калькуляция (МСА)'!$AE$8:$BC$8,0)),'Калькуляция (МСА)'!$F$25:$F$109,$F126,'Калькуляция (МСА)'!$G$25:$G$109,$G126),SUMIFS(INDEX('Калькуляция (5.9)'!$AJ$25:$BC$194,,MATCH(AD$8,'Калькуляция (5.9)'!$AJ$8:$BC$8,0)),'Калькуляция (5.9)'!$F$25:$F$194,$F126,'Калькуляция (5.9)'!$G$25:$G$194,$G126)))</f>
        <v>0</v>
      </c>
      <c r="AE126" s="1532">
        <f ca="1">IF(method_reg="Метод экономически обоснованных расходов",SUMIFS('Калькуляция (4.6)'!AK$25:AK$229,'Калькуляция (4.6)'!$F$25:$F$229,$F126,'Калькуляция (4.6)'!$G$25:$G$229,$G126),IF(method_reg="Метод сравнения аналогов",SUMIFS(INDEX('Калькуляция (МСА)'!$AE$25:$BC$109,,MATCH(AE$8,'Калькуляция (МСА)'!$AE$8:$BC$8,0)),'Калькуляция (МСА)'!$F$25:$F$109,$F126,'Калькуляция (МСА)'!$G$25:$G$109,$G126),SUMIFS(INDEX('Калькуляция (5.9)'!$AJ$25:$BC$194,,MATCH(AE$8,'Калькуляция (5.9)'!$AJ$8:$BC$8,0)),'Калькуляция (5.9)'!$F$25:$F$194,$F126,'Калькуляция (5.9)'!$G$25:$G$194,$G126)))</f>
        <v>3870</v>
      </c>
      <c r="AF126" s="310">
        <f ca="1">IF(AD126=0,0,(AE126-AD126)/AD126*100)</f>
        <v>0</v>
      </c>
      <c r="AG126" s="309">
        <f ca="1">IF(method_reg="Метод сравнения аналогов",SUMIFS(INDEX('Калькуляция (МСА)'!$AE$25:$BC$109,,MATCH(AG$8,'Калькуляция (МСА)'!$AE$8:$BC$8,0)),'Калькуляция (МСА)'!$F$25:$F$109,$F126,'Калькуляция (МСА)'!$G$25:$G$109,$G126),SUMIFS(INDEX('Калькуляция (5.9)'!$AJ$25:$BC$194,,MATCH(AG$8,'Калькуляция (5.9)'!$AJ$8:$BC$8,0)),'Калькуляция (5.9)'!$F$25:$F$194,$F126,'Калькуляция (5.9)'!$G$25:$G$194,$G126))</f>
        <v>0</v>
      </c>
      <c r="AH126" s="309">
        <f ca="1">IF(method_reg="Метод сравнения аналогов",SUMIFS(INDEX('Калькуляция (МСА)'!$AE$25:$BC$109,,MATCH(AH$8,'Калькуляция (МСА)'!$AE$8:$BC$8,0)),'Калькуляция (МСА)'!$F$25:$F$109,$F126,'Калькуляция (МСА)'!$G$25:$G$109,$G126),SUMIFS(INDEX('Калькуляция (5.9)'!$AJ$25:$BC$194,,MATCH(AH$8,'Калькуляция (5.9)'!$AJ$8:$BC$8,0)),'Калькуляция (5.9)'!$F$25:$F$194,$F126,'Калькуляция (5.9)'!$G$25:$G$194,$G126))</f>
        <v>0</v>
      </c>
      <c r="AI126" s="310">
        <f ca="1">IF(AG126=0,0,(AH126-AG126)/AG126*100)</f>
        <v>0</v>
      </c>
      <c r="AJ126" s="309">
        <f ca="1">IF(method_reg="Метод сравнения аналогов",SUMIFS(INDEX('Калькуляция (МСА)'!$AE$25:$BC$109,,MATCH(AJ$8,'Калькуляция (МСА)'!$AE$8:$BC$8,0)),'Калькуляция (МСА)'!$F$25:$F$109,$F126,'Калькуляция (МСА)'!$G$25:$G$109,$G126),SUMIFS(INDEX('Калькуляция (5.9)'!$AJ$25:$BC$194,,MATCH(AJ$8,'Калькуляция (5.9)'!$AJ$8:$BC$8,0)),'Калькуляция (5.9)'!$F$25:$F$194,$F126,'Калькуляция (5.9)'!$G$25:$G$194,$G126))</f>
        <v>0</v>
      </c>
      <c r="AK126" s="309">
        <f ca="1">IF(method_reg="Метод сравнения аналогов",SUMIFS(INDEX('Калькуляция (МСА)'!$AE$25:$BC$109,,MATCH(AK$8,'Калькуляция (МСА)'!$AE$8:$BC$8,0)),'Калькуляция (МСА)'!$F$25:$F$109,$F126,'Калькуляция (МСА)'!$G$25:$G$109,$G126),SUMIFS(INDEX('Калькуляция (5.9)'!$AJ$25:$BC$194,,MATCH(AK$8,'Калькуляция (5.9)'!$AJ$8:$BC$8,0)),'Калькуляция (5.9)'!$F$25:$F$194,$F126,'Калькуляция (5.9)'!$G$25:$G$194,$G126))</f>
        <v>0</v>
      </c>
      <c r="AL126" s="310">
        <f ca="1">IF(AJ126=0,0,(AK126-AJ126)/AJ126*100)</f>
        <v>0</v>
      </c>
      <c r="AM126" s="309">
        <f ca="1">IF(method_reg="Метод сравнения аналогов",SUMIFS(INDEX('Калькуляция (МСА)'!$AE$25:$BC$109,,MATCH(AM$8,'Калькуляция (МСА)'!$AE$8:$BC$8,0)),'Калькуляция (МСА)'!$F$25:$F$109,$F126,'Калькуляция (МСА)'!$G$25:$G$109,$G126),SUMIFS(INDEX('Калькуляция (5.9)'!$AJ$25:$BC$194,,MATCH(AM$8,'Калькуляция (5.9)'!$AJ$8:$BC$8,0)),'Калькуляция (5.9)'!$F$25:$F$194,$F126,'Калькуляция (5.9)'!$G$25:$G$194,$G126))</f>
        <v>0</v>
      </c>
      <c r="AN126" s="309">
        <f ca="1">IF(method_reg="Метод сравнения аналогов",SUMIFS(INDEX('Калькуляция (МСА)'!$AE$25:$BC$109,,MATCH(AN$8,'Калькуляция (МСА)'!$AE$8:$BC$8,0)),'Калькуляция (МСА)'!$F$25:$F$109,$F126,'Калькуляция (МСА)'!$G$25:$G$109,$G126),SUMIFS(INDEX('Калькуляция (5.9)'!$AJ$25:$BC$194,,MATCH(AN$8,'Калькуляция (5.9)'!$AJ$8:$BC$8,0)),'Калькуляция (5.9)'!$F$25:$F$194,$F126,'Калькуляция (5.9)'!$G$25:$G$194,$G126))</f>
        <v>0</v>
      </c>
      <c r="AO126" s="310">
        <f ca="1">IF(AM126=0,0,(AN126-AM126)/AM126*100)</f>
        <v>0</v>
      </c>
      <c r="AP126" s="309">
        <f ca="1">IF(method_reg="Метод сравнения аналогов",SUMIFS(INDEX('Калькуляция (МСА)'!$AE$25:$BC$109,,MATCH(AP$8,'Калькуляция (МСА)'!$AE$8:$BC$8,0)),'Калькуляция (МСА)'!$F$25:$F$109,$F126,'Калькуляция (МСА)'!$G$25:$G$109,$G126),SUMIFS(INDEX('Калькуляция (5.9)'!$AJ$25:$BC$194,,MATCH(AP$8,'Калькуляция (5.9)'!$AJ$8:$BC$8,0)),'Калькуляция (5.9)'!$F$25:$F$194,$F126,'Калькуляция (5.9)'!$G$25:$G$194,$G126))</f>
        <v>0</v>
      </c>
      <c r="AQ126" s="309">
        <f ca="1">IF(method_reg="Метод сравнения аналогов",SUMIFS(INDEX('Калькуляция (МСА)'!$AE$25:$BC$109,,MATCH(AQ$8,'Калькуляция (МСА)'!$AE$8:$BC$8,0)),'Калькуляция (МСА)'!$F$25:$F$109,$F126,'Калькуляция (МСА)'!$G$25:$G$109,$G126),SUMIFS(INDEX('Калькуляция (5.9)'!$AJ$25:$BC$194,,MATCH(AQ$8,'Калькуляция (5.9)'!$AJ$8:$BC$8,0)),'Калькуляция (5.9)'!$F$25:$F$194,$F126,'Калькуляция (5.9)'!$G$25:$G$194,$G126))</f>
        <v>0</v>
      </c>
      <c r="AR126" s="310">
        <f ca="1">IF(AP126=0,0,(AQ126-AP126)/AP126*100)</f>
        <v>0</v>
      </c>
      <c r="AS126" s="1532">
        <f ca="1">IF(method_reg="Метод сравнения аналогов",SUMIFS(INDEX('Калькуляция (МСА)'!$AE$25:$BC$109,,MATCH(AS$8,'Калькуляция (МСА)'!$AE$8:$BC$8,0)),'Калькуляция (МСА)'!$F$25:$F$109,$F126,'Калькуляция (МСА)'!$G$25:$G$109,$G126),SUMIFS(INDEX('Калькуляция (5.9)'!$AJ$25:$BC$194,,MATCH(AS$8,'Калькуляция (5.9)'!$AJ$8:$BC$8,0)),'Калькуляция (5.9)'!$F$25:$F$194,$F126,'Калькуляция (5.9)'!$G$25:$G$194,$G126))</f>
        <v>0</v>
      </c>
      <c r="AT126" s="1532">
        <f ca="1">IF(method_reg="Метод сравнения аналогов",SUMIFS(INDEX('Калькуляция (МСА)'!$AE$25:$BC$109,,MATCH(AT$8,'Калькуляция (МСА)'!$AE$8:$BC$8,0)),'Калькуляция (МСА)'!$F$25:$F$109,$F126,'Калькуляция (МСА)'!$G$25:$G$109,$G126),SUMIFS(INDEX('Калькуляция (5.9)'!$AJ$25:$BC$194,,MATCH(AT$8,'Калькуляция (5.9)'!$AJ$8:$BC$8,0)),'Калькуляция (5.9)'!$F$25:$F$194,$F126,'Калькуляция (5.9)'!$G$25:$G$194,$G126))</f>
        <v>0</v>
      </c>
      <c r="AU126" s="310">
        <f ca="1">IF(AS126=0,0,(AT126-AS126)/AS126*100)</f>
        <v>0</v>
      </c>
      <c r="AV126" s="1532">
        <f ca="1">IF(method_reg="Метод сравнения аналогов",SUMIFS(INDEX('Калькуляция (МСА)'!$AE$25:$BC$109,,MATCH(AV$8,'Калькуляция (МСА)'!$AE$8:$BC$8,0)),'Калькуляция (МСА)'!$F$25:$F$109,$F126,'Калькуляция (МСА)'!$G$25:$G$109,$G126),SUMIFS(INDEX('Калькуляция (5.9)'!$AJ$25:$BC$194,,MATCH(AV$8,'Калькуляция (5.9)'!$AJ$8:$BC$8,0)),'Калькуляция (5.9)'!$F$25:$F$194,$F126,'Калькуляция (5.9)'!$G$25:$G$194,$G126))</f>
        <v>0</v>
      </c>
      <c r="AW126" s="1532">
        <f ca="1">IF(method_reg="Метод сравнения аналогов",SUMIFS(INDEX('Калькуляция (МСА)'!$AE$25:$BC$109,,MATCH(AW$8,'Калькуляция (МСА)'!$AE$8:$BC$8,0)),'Калькуляция (МСА)'!$F$25:$F$109,$F126,'Калькуляция (МСА)'!$G$25:$G$109,$G126),SUMIFS(INDEX('Калькуляция (5.9)'!$AJ$25:$BC$194,,MATCH(AW$8,'Калькуляция (5.9)'!$AJ$8:$BC$8,0)),'Калькуляция (5.9)'!$F$25:$F$194,$F126,'Калькуляция (5.9)'!$G$25:$G$194,$G126))</f>
        <v>0</v>
      </c>
      <c r="AX126" s="310">
        <f ca="1">IF(AV126=0,0,(AW126-AV126)/AV126*100)</f>
        <v>0</v>
      </c>
      <c r="AY126" s="1532">
        <f ca="1">IF(method_reg="Метод сравнения аналогов",SUMIFS(INDEX('Калькуляция (МСА)'!$AE$25:$BC$109,,MATCH(AY$8,'Калькуляция (МСА)'!$AE$8:$BC$8,0)),'Калькуляция (МСА)'!$F$25:$F$109,$F126,'Калькуляция (МСА)'!$G$25:$G$109,$G126),SUMIFS(INDEX('Калькуляция (5.9)'!$AJ$25:$BC$194,,MATCH(AY$8,'Калькуляция (5.9)'!$AJ$8:$BC$8,0)),'Калькуляция (5.9)'!$F$25:$F$194,$F126,'Калькуляция (5.9)'!$G$25:$G$194,$G126))</f>
        <v>0</v>
      </c>
      <c r="AZ126" s="1532">
        <f ca="1">IF(method_reg="Метод сравнения аналогов",SUMIFS(INDEX('Калькуляция (МСА)'!$AE$25:$BC$109,,MATCH(AZ$8,'Калькуляция (МСА)'!$AE$8:$BC$8,0)),'Калькуляция (МСА)'!$F$25:$F$109,$F126,'Калькуляция (МСА)'!$G$25:$G$109,$G126),SUMIFS(INDEX('Калькуляция (5.9)'!$AJ$25:$BC$194,,MATCH(AZ$8,'Калькуляция (5.9)'!$AJ$8:$BC$8,0)),'Калькуляция (5.9)'!$F$25:$F$194,$F126,'Калькуляция (5.9)'!$G$25:$G$194,$G126))</f>
        <v>0</v>
      </c>
      <c r="BA126" s="310">
        <f ca="1">IF(AY126=0,0,(AZ126-AY126)/AY126*100)</f>
        <v>0</v>
      </c>
      <c r="BB126" s="1532">
        <f ca="1">IF(method_reg="Метод сравнения аналогов",SUMIFS(INDEX('Калькуляция (МСА)'!$AE$25:$BC$109,,MATCH(BB$8,'Калькуляция (МСА)'!$AE$8:$BC$8,0)),'Калькуляция (МСА)'!$F$25:$F$109,$F126,'Калькуляция (МСА)'!$G$25:$G$109,$G126),SUMIFS(INDEX('Калькуляция (5.9)'!$AJ$25:$BC$194,,MATCH(BB$8,'Калькуляция (5.9)'!$AJ$8:$BC$8,0)),'Калькуляция (5.9)'!$F$25:$F$194,$F126,'Калькуляция (5.9)'!$G$25:$G$194,$G126))</f>
        <v>0</v>
      </c>
      <c r="BC126" s="1532">
        <f ca="1">IF(method_reg="Метод сравнения аналогов",SUMIFS(INDEX('Калькуляция (МСА)'!$AE$25:$BC$109,,MATCH(BC$8,'Калькуляция (МСА)'!$AE$8:$BC$8,0)),'Калькуляция (МСА)'!$F$25:$F$109,$F126,'Калькуляция (МСА)'!$G$25:$G$109,$G126),SUMIFS(INDEX('Калькуляция (5.9)'!$AJ$25:$BC$194,,MATCH(BC$8,'Калькуляция (5.9)'!$AJ$8:$BC$8,0)),'Калькуляция (5.9)'!$F$25:$F$194,$F126,'Калькуляция (5.9)'!$G$25:$G$194,$G126))</f>
        <v>0</v>
      </c>
      <c r="BD126" s="310">
        <f ca="1">IF(BB126=0,0,(BC126-BB126)/BB126*100)</f>
        <v>0</v>
      </c>
      <c r="BE126" s="1532">
        <f ca="1">IF(method_reg="Метод сравнения аналогов",SUMIFS(INDEX('Калькуляция (МСА)'!$AE$25:$BC$109,,MATCH(BE$8,'Калькуляция (МСА)'!$AE$8:$BC$8,0)),'Калькуляция (МСА)'!$F$25:$F$109,$F126,'Калькуляция (МСА)'!$G$25:$G$109,$G126),SUMIFS(INDEX('Калькуляция (5.9)'!$AJ$25:$BC$194,,MATCH(BE$8,'Калькуляция (5.9)'!$AJ$8:$BC$8,0)),'Калькуляция (5.9)'!$F$25:$F$194,$F126,'Калькуляция (5.9)'!$G$25:$G$194,$G126))</f>
        <v>0</v>
      </c>
      <c r="BF126" s="1532">
        <f ca="1">IF(method_reg="Метод сравнения аналогов",SUMIFS(INDEX('Калькуляция (МСА)'!$AE$25:$BC$109,,MATCH(BF$8,'Калькуляция (МСА)'!$AE$8:$BC$8,0)),'Калькуляция (МСА)'!$F$25:$F$109,$F126,'Калькуляция (МСА)'!$G$25:$G$109,$G126),SUMIFS(INDEX('Калькуляция (5.9)'!$AJ$25:$BC$194,,MATCH(BF$8,'Калькуляция (5.9)'!$AJ$8:$BC$8,0)),'Калькуляция (5.9)'!$F$25:$F$194,$F126,'Калькуляция (5.9)'!$G$25:$G$194,$G126))</f>
        <v>0</v>
      </c>
      <c r="BG126" s="310">
        <f ca="1">IF(BE126=0,0,(BF126-BE126)/BE126*100)</f>
        <v>0</v>
      </c>
      <c r="BH126" s="1532"/>
      <c r="BI126" s="1532"/>
      <c r="BJ126" s="310">
        <f>IF(BH126=0,0,(BI126-BH126)/BH126*100)</f>
        <v>0</v>
      </c>
      <c r="BK126" s="1532"/>
      <c r="BL126" s="1532"/>
      <c r="BM126" s="310">
        <f>IF(BK126=0,0,(BL126-BK126)/BK126*100)</f>
        <v>0</v>
      </c>
      <c r="BN126" s="1532"/>
      <c r="BO126" s="1532"/>
      <c r="BP126" s="310">
        <f>IF(BN126=0,0,(BO126-BN126)/BN126*100)</f>
        <v>0</v>
      </c>
      <c r="BQ126" s="1532"/>
      <c r="BR126" s="1532"/>
      <c r="BS126" s="310">
        <f>IF(BQ126=0,0,(BR126-BQ126)/BQ126*100)</f>
        <v>0</v>
      </c>
      <c r="BT126" s="1532"/>
      <c r="BU126" s="1532"/>
      <c r="BV126" s="310">
        <f>IF(BT126=0,0,(BU126-BT126)/BT126*100)</f>
        <v>0</v>
      </c>
      <c r="BW126" s="1532"/>
      <c r="BX126" s="1532"/>
      <c r="BY126" s="310">
        <f>IF(BW126=0,0,(BX126-BW126)/BW126*100)</f>
        <v>0</v>
      </c>
      <c r="BZ126" s="1532"/>
      <c r="CA126" s="1532"/>
      <c r="CB126" s="310">
        <f>IF(BZ126=0,0,(CA126-BZ126)/BZ126*100)</f>
        <v>0</v>
      </c>
      <c r="CC126" s="1532"/>
      <c r="CD126" s="1532"/>
      <c r="CE126" s="310">
        <f>IF(CC126=0,0,(CD126-CC126)/CC126*100)</f>
        <v>0</v>
      </c>
      <c r="CF126" s="1532"/>
      <c r="CG126" s="1532"/>
      <c r="CH126" s="310">
        <f>IF(CF126=0,0,(CG126-CF126)/CF126*100)</f>
        <v>0</v>
      </c>
      <c r="CI126" s="1532"/>
      <c r="CJ126" s="1532"/>
      <c r="CK126" s="310">
        <f>IF(CI126=0,0,(CJ126-CI126)/CI126*100)</f>
        <v>0</v>
      </c>
      <c r="CL126" s="1532"/>
      <c r="CM126" s="1532"/>
      <c r="CN126" s="310">
        <f>IF(CL126=0,0,(CM126-CL126)/CL126*100)</f>
        <v>0</v>
      </c>
      <c r="CO126" s="1532"/>
      <c r="CP126" s="1532"/>
      <c r="CQ126" s="310">
        <f>IF(CO126=0,0,(CP126-CO126)/CO126*100)</f>
        <v>0</v>
      </c>
      <c r="CR126" s="1532"/>
      <c r="CS126" s="1532"/>
      <c r="CT126" s="310">
        <f>IF(CR126=0,0,(CS126-CR126)/CR126*100)</f>
        <v>0</v>
      </c>
      <c r="CU126" s="1532"/>
      <c r="CV126" s="1532"/>
      <c r="CW126" s="310">
        <f>IF(CU126=0,0,(CV126-CU126)/CU126*100)</f>
        <v>0</v>
      </c>
      <c r="CX126" s="1532"/>
      <c r="CY126" s="1532"/>
      <c r="CZ126" s="310">
        <f>IF(CX126=0,0,(CY126-CX126)/CX126*100)</f>
        <v>0</v>
      </c>
      <c r="DA126" s="1532"/>
      <c r="DB126" s="1532"/>
      <c r="DC126" s="310">
        <f>IF(DA126=0,0,(DB126-DA126)/DA126*100)</f>
        <v>0</v>
      </c>
      <c r="DD126" s="1532"/>
      <c r="DE126" s="1532"/>
      <c r="DF126" s="310">
        <f>IF(DD126=0,0,(DE126-DD126)/DD126*100)</f>
        <v>0</v>
      </c>
      <c r="DG126" s="1532"/>
      <c r="DH126" s="1532"/>
      <c r="DI126" s="310">
        <f>IF(DG126=0,0,(DH126-DG126)/DG126*100)</f>
        <v>0</v>
      </c>
      <c r="DJ126" s="1532"/>
      <c r="DK126" s="1532"/>
      <c r="DL126" s="310">
        <f>IF(DJ126=0,0,(DK126-DJ126)/DJ126*100)</f>
        <v>0</v>
      </c>
      <c r="DM126" s="1532"/>
      <c r="DN126" s="1532"/>
      <c r="DO126" s="310">
        <f>IF(DM126=0,0,(DN126-DM126)/DM126*100)</f>
        <v>0</v>
      </c>
      <c r="DP126" s="1532"/>
      <c r="DQ126" s="1532"/>
      <c r="DR126" s="310">
        <f>IF(DP126=0,0,(DQ126-DP126)/DP126*100)</f>
        <v>0</v>
      </c>
      <c r="DS126" s="1532"/>
      <c r="DT126" s="1532"/>
      <c r="DU126" s="310">
        <f>IF(DS126=0,0,(DT126-DS126)/DS126*100)</f>
        <v>0</v>
      </c>
      <c r="DV126" s="1532"/>
      <c r="DW126" s="1532"/>
      <c r="DX126" s="310">
        <f>IF(DV126=0,0,(DW126-DV126)/DV126*100)</f>
        <v>0</v>
      </c>
      <c r="DY126" s="1532"/>
      <c r="DZ126" s="1532"/>
      <c r="EA126" s="310">
        <f>IF(DY126=0,0,(DZ126-DY126)/DY126*100)</f>
        <v>0</v>
      </c>
      <c r="EB126" s="1532"/>
      <c r="EC126" s="1532"/>
      <c r="ED126" s="310">
        <f>IF(EB126=0,0,(EC126-EB126)/EB126*100)</f>
        <v>0</v>
      </c>
      <c r="EE126" s="1532"/>
      <c r="EF126" s="1532"/>
      <c r="EG126" s="310">
        <f>IF(EE126=0,0,(EF126-EE126)/EE126*100)</f>
        <v>0</v>
      </c>
      <c r="EH126" s="1532"/>
      <c r="EI126" s="1532"/>
      <c r="EJ126" s="310">
        <f>IF(EH126=0,0,(EI126-EH126)/EH126*100)</f>
        <v>0</v>
      </c>
      <c r="EK126" s="1532"/>
      <c r="EL126" s="1532"/>
      <c r="EM126" s="310">
        <f>IF(EK126=0,0,(EL126-EK126)/EK126*100)</f>
        <v>0</v>
      </c>
      <c r="EN126" s="1532"/>
      <c r="EO126" s="1532"/>
      <c r="EP126" s="310">
        <f>IF(EN126=0,0,(EO126-EN126)/EN126*100)</f>
        <v>0</v>
      </c>
      <c r="EQ126" s="1532"/>
      <c r="ER126" s="1532"/>
      <c r="ES126" s="310">
        <f>IF(EQ126=0,0,(ER126-EQ126)/EQ126*100)</f>
        <v>0</v>
      </c>
      <c r="ET126" s="1532"/>
      <c r="EU126" s="1532"/>
      <c r="EV126" s="310">
        <f>IF(ET126=0,0,(EU126-ET126)/ET126*100)</f>
        <v>0</v>
      </c>
      <c r="EW126" s="1532"/>
      <c r="EX126" s="1532"/>
      <c r="EY126" s="310">
        <f>IF(EW126=0,0,(EX126-EW126)/EW126*100)</f>
        <v>0</v>
      </c>
      <c r="EZ126" s="1532"/>
      <c r="FA126" s="1532"/>
      <c r="FB126" s="310">
        <f>IF(EZ126=0,0,(FA126-EZ126)/EZ126*100)</f>
        <v>0</v>
      </c>
      <c r="FC126" s="1532"/>
      <c r="FD126" s="1532"/>
      <c r="FE126" s="310">
        <f>IF(FC126=0,0,(FD126-FC126)/FC126*100)</f>
        <v>0</v>
      </c>
      <c r="FF126" s="1532"/>
      <c r="FG126" s="1532"/>
      <c r="FH126" s="310">
        <f>IF(FF126=0,0,(FG126-FF126)/FF126*100)</f>
        <v>0</v>
      </c>
      <c r="FI126" s="1532"/>
      <c r="FJ126" s="1532"/>
      <c r="FK126" s="310">
        <f>IF(FI126=0,0,(FJ126-FI126)/FI126*100)</f>
        <v>0</v>
      </c>
      <c r="FL126" s="1532"/>
      <c r="FM126" s="1532"/>
      <c r="FN126" s="310">
        <f>IF(FL126=0,0,(FM126-FL126)/FL126*100)</f>
        <v>0</v>
      </c>
      <c r="FO126" s="1532"/>
      <c r="FP126" s="1532"/>
      <c r="FQ126" s="310">
        <f>IF(FO126=0,0,(FP126-FO126)/FO126*100)</f>
        <v>0</v>
      </c>
      <c r="FR126" s="1532"/>
      <c r="FS126" s="1532"/>
      <c r="FT126" s="310">
        <f>IF(FR126=0,0,(FS126-FR126)/FR126*100)</f>
        <v>0</v>
      </c>
      <c r="FU126" s="1532"/>
      <c r="FV126" s="1532"/>
      <c r="FW126" s="310">
        <f>IF(FU126=0,0,(FV126-FU126)/FU126*100)</f>
        <v>0</v>
      </c>
      <c r="FX126" s="307"/>
      <c r="FY126" s="307"/>
      <c r="FZ126" s="981" t="s">
        <v>2157</v>
      </c>
      <c r="GA126" s="981"/>
      <c r="GB126" s="981"/>
      <c r="GC126" s="981"/>
      <c r="GD126" s="981"/>
    </row>
    <row r="127" spans="1:186" s="1229" customFormat="1" ht="16.5" customHeight="1">
      <c r="A127" s="1153"/>
      <c r="B127" s="813" t="b" cm="1">
        <f t="array" ref="B127">B126</f>
        <v>1</v>
      </c>
      <c r="C127" s="1118" t="s">
        <v>1797</v>
      </c>
      <c r="D127" s="1087" t="s">
        <v>1798</v>
      </c>
      <c r="E127" s="676">
        <v>17.100000000000001</v>
      </c>
      <c r="F127" s="779" t="str" cm="1">
        <f t="array" aca="1" ref="F127" ca="1">OFFSET(G127,-1,-1)</f>
        <v>2</v>
      </c>
      <c r="G127" s="425"/>
      <c r="H127" s="163" t="s">
        <v>539</v>
      </c>
      <c r="I127" s="163" t="s">
        <v>2158</v>
      </c>
      <c r="J127" s="1108" t="s">
        <v>2149</v>
      </c>
      <c r="K127" s="1108" t="str" cm="1">
        <f t="array" aca="1" ref="K127" ca="1">OFFSET(J127,-1,1)</f>
        <v>ТЭ.42.26322895.0004</v>
      </c>
      <c r="L127" s="1108" t="s">
        <v>2159</v>
      </c>
      <c r="M127" s="1108"/>
      <c r="N127" s="1108" t="s">
        <v>2151</v>
      </c>
      <c r="O127" s="1109" t="s">
        <v>2152</v>
      </c>
      <c r="P127" s="1108"/>
      <c r="Q127" s="1108"/>
      <c r="R127" s="784"/>
      <c r="S127" s="425"/>
      <c r="T127" s="687" t="b" cm="1">
        <f t="array" aca="1" ref="T127" ca="1">T126</f>
        <v>1</v>
      </c>
      <c r="U127" s="1153"/>
      <c r="V127" s="1153"/>
      <c r="W127" s="1153"/>
      <c r="X127" s="1726"/>
      <c r="Y127" s="1153"/>
      <c r="Z127" s="1726"/>
      <c r="AA127" s="425"/>
      <c r="AB127" s="887" t="s">
        <v>2160</v>
      </c>
      <c r="AC127" s="123" t="s">
        <v>533</v>
      </c>
      <c r="AD127" s="876">
        <f ca="1">IF(AD125=0,0,AD126/AD125)</f>
        <v>0</v>
      </c>
      <c r="AE127" s="876">
        <f ca="1">IF(AE125=0,0,AE126/AE125)</f>
        <v>1.263541442200325</v>
      </c>
      <c r="AF127" s="893"/>
      <c r="AG127" s="876">
        <f ca="1">IF(AG125=0,0,AG126/AG125)</f>
        <v>0</v>
      </c>
      <c r="AH127" s="876">
        <f ca="1">IF(AH125=0,0,AH126/AH125)</f>
        <v>0</v>
      </c>
      <c r="AI127" s="893"/>
      <c r="AJ127" s="876">
        <f ca="1">IF(AJ125=0,0,AJ126/AJ125)</f>
        <v>0</v>
      </c>
      <c r="AK127" s="876">
        <f ca="1">IF(AK125=0,0,AK126/AK125)</f>
        <v>0</v>
      </c>
      <c r="AL127" s="893"/>
      <c r="AM127" s="876">
        <f ca="1">IF(AM125=0,0,AM126/AM125)</f>
        <v>0</v>
      </c>
      <c r="AN127" s="876">
        <f ca="1">IF(AN125=0,0,AN126/AN125)</f>
        <v>0</v>
      </c>
      <c r="AO127" s="893"/>
      <c r="AP127" s="876">
        <f ca="1">IF(AP125=0,0,AP126/AP125)</f>
        <v>0</v>
      </c>
      <c r="AQ127" s="876">
        <f ca="1">IF(AQ125=0,0,AQ126/AQ125)</f>
        <v>0</v>
      </c>
      <c r="AR127" s="893"/>
      <c r="AS127" s="876">
        <f ca="1">IF(AS125=0,0,AS126/AS125)</f>
        <v>0</v>
      </c>
      <c r="AT127" s="876">
        <f ca="1">IF(AT125=0,0,AT126/AT125)</f>
        <v>0</v>
      </c>
      <c r="AU127" s="893"/>
      <c r="AV127" s="876">
        <f ca="1">IF(AV125=0,0,AV126/AV125)</f>
        <v>0</v>
      </c>
      <c r="AW127" s="876">
        <f ca="1">IF(AW125=0,0,AW126/AW125)</f>
        <v>0</v>
      </c>
      <c r="AX127" s="893"/>
      <c r="AY127" s="876">
        <f ca="1">IF(AY125=0,0,AY126/AY125)</f>
        <v>0</v>
      </c>
      <c r="AZ127" s="876">
        <f ca="1">IF(AZ125=0,0,AZ126/AZ125)</f>
        <v>0</v>
      </c>
      <c r="BA127" s="893"/>
      <c r="BB127" s="876">
        <f ca="1">IF(BB125=0,0,BB126/BB125)</f>
        <v>0</v>
      </c>
      <c r="BC127" s="876">
        <f ca="1">IF(BC125=0,0,BC126/BC125)</f>
        <v>0</v>
      </c>
      <c r="BD127" s="893"/>
      <c r="BE127" s="876">
        <f ca="1">IF(BE125=0,0,BE126/BE125)</f>
        <v>0</v>
      </c>
      <c r="BF127" s="876">
        <f ca="1">IF(BF125=0,0,BF126/BF125)</f>
        <v>0</v>
      </c>
      <c r="BG127" s="893"/>
      <c r="BH127" s="876">
        <f>IF(BH125=0,0,BH126/BH125)</f>
        <v>0</v>
      </c>
      <c r="BI127" s="876">
        <f>IF(BI125=0,0,BI126/BI125)</f>
        <v>0</v>
      </c>
      <c r="BJ127" s="312"/>
      <c r="BK127" s="876">
        <f>IF(BK125=0,0,BK126/BK125)</f>
        <v>0</v>
      </c>
      <c r="BL127" s="876">
        <f>IF(BL125=0,0,BL126/BL125)</f>
        <v>0</v>
      </c>
      <c r="BM127" s="312"/>
      <c r="BN127" s="876">
        <f>IF(BN125=0,0,BN126/BN125)</f>
        <v>0</v>
      </c>
      <c r="BO127" s="876">
        <f>IF(BO125=0,0,BO126/BO125)</f>
        <v>0</v>
      </c>
      <c r="BP127" s="312"/>
      <c r="BQ127" s="876">
        <f>IF(BQ125=0,0,BQ126/BQ125)</f>
        <v>0</v>
      </c>
      <c r="BR127" s="876">
        <f>IF(BR125=0,0,BR126/BR125)</f>
        <v>0</v>
      </c>
      <c r="BS127" s="312"/>
      <c r="BT127" s="876">
        <f>IF(BT125=0,0,BT126/BT125)</f>
        <v>0</v>
      </c>
      <c r="BU127" s="876">
        <f>IF(BU125=0,0,BU126/BU125)</f>
        <v>0</v>
      </c>
      <c r="BV127" s="312"/>
      <c r="BW127" s="876">
        <f>IF(BW125=0,0,BW126/BW125)</f>
        <v>0</v>
      </c>
      <c r="BX127" s="876">
        <f>IF(BX125=0,0,BX126/BX125)</f>
        <v>0</v>
      </c>
      <c r="BY127" s="312"/>
      <c r="BZ127" s="876">
        <f>IF(BZ125=0,0,BZ126/BZ125)</f>
        <v>0</v>
      </c>
      <c r="CA127" s="876">
        <f>IF(CA125=0,0,CA126/CA125)</f>
        <v>0</v>
      </c>
      <c r="CB127" s="312"/>
      <c r="CC127" s="876">
        <f>IF(CC125=0,0,CC126/CC125)</f>
        <v>0</v>
      </c>
      <c r="CD127" s="876">
        <f>IF(CD125=0,0,CD126/CD125)</f>
        <v>0</v>
      </c>
      <c r="CE127" s="312"/>
      <c r="CF127" s="876">
        <f>IF(CF125=0,0,CF126/CF125)</f>
        <v>0</v>
      </c>
      <c r="CG127" s="876">
        <f>IF(CG125=0,0,CG126/CG125)</f>
        <v>0</v>
      </c>
      <c r="CH127" s="312"/>
      <c r="CI127" s="876">
        <f>IF(CI125=0,0,CI126/CI125)</f>
        <v>0</v>
      </c>
      <c r="CJ127" s="876">
        <f>IF(CJ125=0,0,CJ126/CJ125)</f>
        <v>0</v>
      </c>
      <c r="CK127" s="312"/>
      <c r="CL127" s="876">
        <f>IF(CL125=0,0,CL126/CL125)</f>
        <v>0</v>
      </c>
      <c r="CM127" s="876">
        <f>IF(CM125=0,0,CM126/CM125)</f>
        <v>0</v>
      </c>
      <c r="CN127" s="312"/>
      <c r="CO127" s="876">
        <f>IF(CO125=0,0,CO126/CO125)</f>
        <v>0</v>
      </c>
      <c r="CP127" s="876">
        <f>IF(CP125=0,0,CP126/CP125)</f>
        <v>0</v>
      </c>
      <c r="CQ127" s="312"/>
      <c r="CR127" s="876">
        <f>IF(CR125=0,0,CR126/CR125)</f>
        <v>0</v>
      </c>
      <c r="CS127" s="876">
        <f>IF(CS125=0,0,CS126/CS125)</f>
        <v>0</v>
      </c>
      <c r="CT127" s="312"/>
      <c r="CU127" s="876">
        <f>IF(CU125=0,0,CU126/CU125)</f>
        <v>0</v>
      </c>
      <c r="CV127" s="876">
        <f>IF(CV125=0,0,CV126/CV125)</f>
        <v>0</v>
      </c>
      <c r="CW127" s="312"/>
      <c r="CX127" s="876">
        <f>IF(CX125=0,0,CX126/CX125)</f>
        <v>0</v>
      </c>
      <c r="CY127" s="876">
        <f>IF(CY125=0,0,CY126/CY125)</f>
        <v>0</v>
      </c>
      <c r="CZ127" s="312"/>
      <c r="DA127" s="876">
        <f>IF(DA125=0,0,DA126/DA125)</f>
        <v>0</v>
      </c>
      <c r="DB127" s="876">
        <f>IF(DB125=0,0,DB126/DB125)</f>
        <v>0</v>
      </c>
      <c r="DC127" s="312"/>
      <c r="DD127" s="876">
        <f>IF(DD125=0,0,DD126/DD125)</f>
        <v>0</v>
      </c>
      <c r="DE127" s="876">
        <f>IF(DE125=0,0,DE126/DE125)</f>
        <v>0</v>
      </c>
      <c r="DF127" s="312"/>
      <c r="DG127" s="876">
        <f>IF(DG125=0,0,DG126/DG125)</f>
        <v>0</v>
      </c>
      <c r="DH127" s="876">
        <f>IF(DH125=0,0,DH126/DH125)</f>
        <v>0</v>
      </c>
      <c r="DI127" s="312"/>
      <c r="DJ127" s="876">
        <f>IF(DJ125=0,0,DJ126/DJ125)</f>
        <v>0</v>
      </c>
      <c r="DK127" s="876">
        <f>IF(DK125=0,0,DK126/DK125)</f>
        <v>0</v>
      </c>
      <c r="DL127" s="312"/>
      <c r="DM127" s="876">
        <f>IF(DM125=0,0,DM126/DM125)</f>
        <v>0</v>
      </c>
      <c r="DN127" s="876">
        <f>IF(DN125=0,0,DN126/DN125)</f>
        <v>0</v>
      </c>
      <c r="DO127" s="312"/>
      <c r="DP127" s="876">
        <f>IF(DP125=0,0,DP126/DP125)</f>
        <v>0</v>
      </c>
      <c r="DQ127" s="876">
        <f>IF(DQ125=0,0,DQ126/DQ125)</f>
        <v>0</v>
      </c>
      <c r="DR127" s="312"/>
      <c r="DS127" s="876">
        <f>IF(DS125=0,0,DS126/DS125)</f>
        <v>0</v>
      </c>
      <c r="DT127" s="876">
        <f>IF(DT125=0,0,DT126/DT125)</f>
        <v>0</v>
      </c>
      <c r="DU127" s="312"/>
      <c r="DV127" s="876">
        <f>IF(DV125=0,0,DV126/DV125)</f>
        <v>0</v>
      </c>
      <c r="DW127" s="876">
        <f>IF(DW125=0,0,DW126/DW125)</f>
        <v>0</v>
      </c>
      <c r="DX127" s="312"/>
      <c r="DY127" s="876">
        <f>IF(DY125=0,0,DY126/DY125)</f>
        <v>0</v>
      </c>
      <c r="DZ127" s="876">
        <f>IF(DZ125=0,0,DZ126/DZ125)</f>
        <v>0</v>
      </c>
      <c r="EA127" s="312"/>
      <c r="EB127" s="876">
        <f>IF(EB125=0,0,EB126/EB125)</f>
        <v>0</v>
      </c>
      <c r="EC127" s="876">
        <f>IF(EC125=0,0,EC126/EC125)</f>
        <v>0</v>
      </c>
      <c r="ED127" s="312"/>
      <c r="EE127" s="876">
        <f>IF(EE125=0,0,EE126/EE125)</f>
        <v>0</v>
      </c>
      <c r="EF127" s="876">
        <f>IF(EF125=0,0,EF126/EF125)</f>
        <v>0</v>
      </c>
      <c r="EG127" s="312"/>
      <c r="EH127" s="876">
        <f>IF(EH125=0,0,EH126/EH125)</f>
        <v>0</v>
      </c>
      <c r="EI127" s="876">
        <f>IF(EI125=0,0,EI126/EI125)</f>
        <v>0</v>
      </c>
      <c r="EJ127" s="312"/>
      <c r="EK127" s="876">
        <f>IF(EK125=0,0,EK126/EK125)</f>
        <v>0</v>
      </c>
      <c r="EL127" s="876">
        <f>IF(EL125=0,0,EL126/EL125)</f>
        <v>0</v>
      </c>
      <c r="EM127" s="312"/>
      <c r="EN127" s="876">
        <f>IF(EN125=0,0,EN126/EN125)</f>
        <v>0</v>
      </c>
      <c r="EO127" s="876">
        <f>IF(EO125=0,0,EO126/EO125)</f>
        <v>0</v>
      </c>
      <c r="EP127" s="312"/>
      <c r="EQ127" s="876">
        <f>IF(EQ125=0,0,EQ126/EQ125)</f>
        <v>0</v>
      </c>
      <c r="ER127" s="876">
        <f>IF(ER125=0,0,ER126/ER125)</f>
        <v>0</v>
      </c>
      <c r="ES127" s="312"/>
      <c r="ET127" s="876">
        <f>IF(ET125=0,0,ET126/ET125)</f>
        <v>0</v>
      </c>
      <c r="EU127" s="876">
        <f>IF(EU125=0,0,EU126/EU125)</f>
        <v>0</v>
      </c>
      <c r="EV127" s="312"/>
      <c r="EW127" s="876">
        <f>IF(EW125=0,0,EW126/EW125)</f>
        <v>0</v>
      </c>
      <c r="EX127" s="876">
        <f>IF(EX125=0,0,EX126/EX125)</f>
        <v>0</v>
      </c>
      <c r="EY127" s="312"/>
      <c r="EZ127" s="876">
        <f>IF(EZ125=0,0,EZ126/EZ125)</f>
        <v>0</v>
      </c>
      <c r="FA127" s="876">
        <f>IF(FA125=0,0,FA126/FA125)</f>
        <v>0</v>
      </c>
      <c r="FB127" s="312"/>
      <c r="FC127" s="876">
        <f>IF(FC125=0,0,FC126/FC125)</f>
        <v>0</v>
      </c>
      <c r="FD127" s="876">
        <f>IF(FD125=0,0,FD126/FD125)</f>
        <v>0</v>
      </c>
      <c r="FE127" s="312"/>
      <c r="FF127" s="876">
        <f>IF(FF125=0,0,FF126/FF125)</f>
        <v>0</v>
      </c>
      <c r="FG127" s="876">
        <f>IF(FG125=0,0,FG126/FG125)</f>
        <v>0</v>
      </c>
      <c r="FH127" s="312"/>
      <c r="FI127" s="876">
        <f>IF(FI125=0,0,FI126/FI125)</f>
        <v>0</v>
      </c>
      <c r="FJ127" s="876">
        <f>IF(FJ125=0,0,FJ126/FJ125)</f>
        <v>0</v>
      </c>
      <c r="FK127" s="312"/>
      <c r="FL127" s="876">
        <f>IF(FL125=0,0,FL126/FL125)</f>
        <v>0</v>
      </c>
      <c r="FM127" s="876">
        <f>IF(FM125=0,0,FM126/FM125)</f>
        <v>0</v>
      </c>
      <c r="FN127" s="312"/>
      <c r="FO127" s="876">
        <f>IF(FO125=0,0,FO126/FO125)</f>
        <v>0</v>
      </c>
      <c r="FP127" s="876">
        <f>IF(FP125=0,0,FP126/FP125)</f>
        <v>0</v>
      </c>
      <c r="FQ127" s="312"/>
      <c r="FR127" s="876">
        <f>IF(FR125=0,0,FR126/FR125)</f>
        <v>0</v>
      </c>
      <c r="FS127" s="876">
        <f>IF(FS125=0,0,FS126/FS125)</f>
        <v>0</v>
      </c>
      <c r="FT127" s="312"/>
      <c r="FU127" s="876">
        <f>IF(FU125=0,0,FU126/FU125)</f>
        <v>0</v>
      </c>
      <c r="FV127" s="876">
        <f>IF(FV125=0,0,FV126/FV125)</f>
        <v>0</v>
      </c>
      <c r="FW127" s="312"/>
      <c r="FX127" s="425"/>
      <c r="FY127" s="425"/>
      <c r="FZ127" s="981" t="s">
        <v>2161</v>
      </c>
      <c r="GA127" s="981"/>
      <c r="GB127" s="981"/>
      <c r="GC127" s="981"/>
      <c r="GD127" s="981"/>
    </row>
    <row r="128" spans="1:186" s="1229" customFormat="1" ht="16.5" customHeight="1">
      <c r="A128" s="1153"/>
      <c r="B128" s="813" t="b" cm="1">
        <f t="array" ref="B128">B127</f>
        <v>1</v>
      </c>
      <c r="C128" s="1118" t="s">
        <v>1779</v>
      </c>
      <c r="D128" s="1087" t="s">
        <v>1780</v>
      </c>
      <c r="E128" s="676">
        <v>17.100000000000001</v>
      </c>
      <c r="F128" s="779" t="str" cm="1">
        <f t="array" aca="1" ref="F128" ca="1">OFFSET(G128,-1,-1)</f>
        <v>2</v>
      </c>
      <c r="G128" s="143" t="s">
        <v>2162</v>
      </c>
      <c r="H128" s="163" t="s">
        <v>546</v>
      </c>
      <c r="I128" s="163" t="s">
        <v>2158</v>
      </c>
      <c r="J128" s="1108" t="s">
        <v>2149</v>
      </c>
      <c r="K128" s="1108" t="str" cm="1">
        <f t="array" aca="1" ref="K128" ca="1">OFFSET(J128,-1,1)</f>
        <v>ТЭ.42.26322895.0004</v>
      </c>
      <c r="L128" s="1108" t="s">
        <v>2163</v>
      </c>
      <c r="M128" s="1108"/>
      <c r="N128" s="1108" t="s">
        <v>2151</v>
      </c>
      <c r="O128" s="1109" t="s">
        <v>2152</v>
      </c>
      <c r="P128" s="1108"/>
      <c r="Q128" s="1108"/>
      <c r="R128" s="784"/>
      <c r="S128" s="425"/>
      <c r="T128" s="687" t="b" cm="1">
        <f t="array" aca="1" ref="T128" ca="1">T127</f>
        <v>1</v>
      </c>
      <c r="U128" s="1153"/>
      <c r="V128" s="1153"/>
      <c r="W128" s="1153"/>
      <c r="X128" s="1726"/>
      <c r="Y128" s="1153"/>
      <c r="Z128" s="1726"/>
      <c r="AA128" s="425"/>
      <c r="AB128" s="887" t="s">
        <v>2164</v>
      </c>
      <c r="AC128" s="123" t="s">
        <v>634</v>
      </c>
      <c r="AD128" s="1534">
        <f ca="1">SUM(AD129:AD130)</f>
        <v>0</v>
      </c>
      <c r="AE128" s="1534">
        <f ca="1">SUM(AE129:AE130)</f>
        <v>112183.11</v>
      </c>
      <c r="AF128" s="341">
        <f ca="1">IF(AD128=0,0,(AE128-AD128)/AD128*100)</f>
        <v>0</v>
      </c>
      <c r="AG128" s="354">
        <f ca="1">SUM(AG129:AG130)</f>
        <v>0</v>
      </c>
      <c r="AH128" s="354">
        <f ca="1">SUM(AH129:AH130)</f>
        <v>0</v>
      </c>
      <c r="AI128" s="341">
        <f ca="1">IF(AG128=0,0,(AH128-AG128)/AG128*100)</f>
        <v>0</v>
      </c>
      <c r="AJ128" s="354">
        <f ca="1">SUM(AJ129:AJ130)</f>
        <v>0</v>
      </c>
      <c r="AK128" s="354">
        <f ca="1">SUM(AK129:AK130)</f>
        <v>0</v>
      </c>
      <c r="AL128" s="341">
        <f ca="1">IF(AJ128=0,0,(AK128-AJ128)/AJ128*100)</f>
        <v>0</v>
      </c>
      <c r="AM128" s="354">
        <f ca="1">SUM(AM129:AM130)</f>
        <v>0</v>
      </c>
      <c r="AN128" s="354">
        <f ca="1">SUM(AN129:AN130)</f>
        <v>0</v>
      </c>
      <c r="AO128" s="341">
        <f ca="1">IF(AM128=0,0,(AN128-AM128)/AM128*100)</f>
        <v>0</v>
      </c>
      <c r="AP128" s="354">
        <f ca="1">SUM(AP129:AP130)</f>
        <v>0</v>
      </c>
      <c r="AQ128" s="354">
        <f ca="1">SUM(AQ129:AQ130)</f>
        <v>0</v>
      </c>
      <c r="AR128" s="341">
        <f ca="1">IF(AP128=0,0,(AQ128-AP128)/AP128*100)</f>
        <v>0</v>
      </c>
      <c r="AS128" s="1534">
        <f ca="1">SUM(AS129:AS130)</f>
        <v>0</v>
      </c>
      <c r="AT128" s="1534">
        <f ca="1">SUM(AT129:AT130)</f>
        <v>0</v>
      </c>
      <c r="AU128" s="341">
        <f ca="1">IF(AS128=0,0,(AT128-AS128)/AS128*100)</f>
        <v>0</v>
      </c>
      <c r="AV128" s="1534">
        <f ca="1">SUM(AV129:AV130)</f>
        <v>0</v>
      </c>
      <c r="AW128" s="1534">
        <f ca="1">SUM(AW129:AW130)</f>
        <v>0</v>
      </c>
      <c r="AX128" s="341">
        <f ca="1">IF(AV128=0,0,(AW128-AV128)/AV128*100)</f>
        <v>0</v>
      </c>
      <c r="AY128" s="1534">
        <f ca="1">SUM(AY129:AY130)</f>
        <v>0</v>
      </c>
      <c r="AZ128" s="1534">
        <f ca="1">SUM(AZ129:AZ130)</f>
        <v>0</v>
      </c>
      <c r="BA128" s="341">
        <f ca="1">IF(AY128=0,0,(AZ128-AY128)/AY128*100)</f>
        <v>0</v>
      </c>
      <c r="BB128" s="1534">
        <f ca="1">SUM(BB129:BB130)</f>
        <v>0</v>
      </c>
      <c r="BC128" s="1534">
        <f ca="1">SUM(BC129:BC130)</f>
        <v>0</v>
      </c>
      <c r="BD128" s="341">
        <f ca="1">IF(BB128=0,0,(BC128-BB128)/BB128*100)</f>
        <v>0</v>
      </c>
      <c r="BE128" s="1534">
        <f ca="1">SUM(BE129:BE130)</f>
        <v>0</v>
      </c>
      <c r="BF128" s="1534">
        <f ca="1">SUM(BF129:BF130)</f>
        <v>0</v>
      </c>
      <c r="BG128" s="341">
        <f ca="1">IF(BE128=0,0,(BF128-BE128)/BE128*100)</f>
        <v>0</v>
      </c>
      <c r="BH128" s="1534">
        <f>SUM(BH129:BH130)</f>
        <v>0</v>
      </c>
      <c r="BI128" s="1534">
        <f>SUM(BI129:BI130)</f>
        <v>0</v>
      </c>
      <c r="BJ128" s="341">
        <f>IF(BH128=0,0,(BI128-BH128)/BH128*100)</f>
        <v>0</v>
      </c>
      <c r="BK128" s="1534">
        <f>SUM(BK129:BK130)</f>
        <v>0</v>
      </c>
      <c r="BL128" s="1534">
        <f>SUM(BL129:BL130)</f>
        <v>0</v>
      </c>
      <c r="BM128" s="341">
        <f>IF(BK128=0,0,(BL128-BK128)/BK128*100)</f>
        <v>0</v>
      </c>
      <c r="BN128" s="1534">
        <f>SUM(BN129:BN130)</f>
        <v>0</v>
      </c>
      <c r="BO128" s="1534">
        <f>SUM(BO129:BO130)</f>
        <v>0</v>
      </c>
      <c r="BP128" s="341">
        <f>IF(BN128=0,0,(BO128-BN128)/BN128*100)</f>
        <v>0</v>
      </c>
      <c r="BQ128" s="1534">
        <f>SUM(BQ129:BQ130)</f>
        <v>0</v>
      </c>
      <c r="BR128" s="1534">
        <f>SUM(BR129:BR130)</f>
        <v>0</v>
      </c>
      <c r="BS128" s="341">
        <f>IF(BQ128=0,0,(BR128-BQ128)/BQ128*100)</f>
        <v>0</v>
      </c>
      <c r="BT128" s="1534">
        <f>SUM(BT129:BT130)</f>
        <v>0</v>
      </c>
      <c r="BU128" s="1534">
        <f>SUM(BU129:BU130)</f>
        <v>0</v>
      </c>
      <c r="BV128" s="341">
        <f>IF(BT128=0,0,(BU128-BT128)/BT128*100)</f>
        <v>0</v>
      </c>
      <c r="BW128" s="1534">
        <f>SUM(BW129:BW130)</f>
        <v>0</v>
      </c>
      <c r="BX128" s="1534">
        <f>SUM(BX129:BX130)</f>
        <v>0</v>
      </c>
      <c r="BY128" s="341">
        <f>IF(BW128=0,0,(BX128-BW128)/BW128*100)</f>
        <v>0</v>
      </c>
      <c r="BZ128" s="1534">
        <f>SUM(BZ129:BZ130)</f>
        <v>0</v>
      </c>
      <c r="CA128" s="1534">
        <f>SUM(CA129:CA130)</f>
        <v>0</v>
      </c>
      <c r="CB128" s="341">
        <f>IF(BZ128=0,0,(CA128-BZ128)/BZ128*100)</f>
        <v>0</v>
      </c>
      <c r="CC128" s="1534">
        <f>SUM(CC129:CC130)</f>
        <v>0</v>
      </c>
      <c r="CD128" s="1534">
        <f>SUM(CD129:CD130)</f>
        <v>0</v>
      </c>
      <c r="CE128" s="341">
        <f>IF(CC128=0,0,(CD128-CC128)/CC128*100)</f>
        <v>0</v>
      </c>
      <c r="CF128" s="1534">
        <f>SUM(CF129:CF130)</f>
        <v>0</v>
      </c>
      <c r="CG128" s="1534">
        <f>SUM(CG129:CG130)</f>
        <v>0</v>
      </c>
      <c r="CH128" s="341">
        <f>IF(CF128=0,0,(CG128-CF128)/CF128*100)</f>
        <v>0</v>
      </c>
      <c r="CI128" s="1534">
        <f>SUM(CI129:CI130)</f>
        <v>0</v>
      </c>
      <c r="CJ128" s="1534">
        <f>SUM(CJ129:CJ130)</f>
        <v>0</v>
      </c>
      <c r="CK128" s="341">
        <f>IF(CI128=0,0,(CJ128-CI128)/CI128*100)</f>
        <v>0</v>
      </c>
      <c r="CL128" s="1534">
        <f>SUM(CL129:CL130)</f>
        <v>0</v>
      </c>
      <c r="CM128" s="1534">
        <f>SUM(CM129:CM130)</f>
        <v>0</v>
      </c>
      <c r="CN128" s="341">
        <f>IF(CL128=0,0,(CM128-CL128)/CL128*100)</f>
        <v>0</v>
      </c>
      <c r="CO128" s="1534">
        <f>SUM(CO129:CO130)</f>
        <v>0</v>
      </c>
      <c r="CP128" s="1534">
        <f>SUM(CP129:CP130)</f>
        <v>0</v>
      </c>
      <c r="CQ128" s="341">
        <f>IF(CO128=0,0,(CP128-CO128)/CO128*100)</f>
        <v>0</v>
      </c>
      <c r="CR128" s="1534">
        <f>SUM(CR129:CR130)</f>
        <v>0</v>
      </c>
      <c r="CS128" s="1534">
        <f>SUM(CS129:CS130)</f>
        <v>0</v>
      </c>
      <c r="CT128" s="341">
        <f>IF(CR128=0,0,(CS128-CR128)/CR128*100)</f>
        <v>0</v>
      </c>
      <c r="CU128" s="1534">
        <f>SUM(CU129:CU130)</f>
        <v>0</v>
      </c>
      <c r="CV128" s="1534">
        <f>SUM(CV129:CV130)</f>
        <v>0</v>
      </c>
      <c r="CW128" s="341">
        <f>IF(CU128=0,0,(CV128-CU128)/CU128*100)</f>
        <v>0</v>
      </c>
      <c r="CX128" s="1534">
        <f>SUM(CX129:CX130)</f>
        <v>0</v>
      </c>
      <c r="CY128" s="1534">
        <f>SUM(CY129:CY130)</f>
        <v>0</v>
      </c>
      <c r="CZ128" s="341">
        <f>IF(CX128=0,0,(CY128-CX128)/CX128*100)</f>
        <v>0</v>
      </c>
      <c r="DA128" s="1534">
        <f>SUM(DA129:DA130)</f>
        <v>0</v>
      </c>
      <c r="DB128" s="1534">
        <f>SUM(DB129:DB130)</f>
        <v>0</v>
      </c>
      <c r="DC128" s="341">
        <f>IF(DA128=0,0,(DB128-DA128)/DA128*100)</f>
        <v>0</v>
      </c>
      <c r="DD128" s="1534">
        <f>SUM(DD129:DD130)</f>
        <v>0</v>
      </c>
      <c r="DE128" s="1534">
        <f>SUM(DE129:DE130)</f>
        <v>0</v>
      </c>
      <c r="DF128" s="341">
        <f>IF(DD128=0,0,(DE128-DD128)/DD128*100)</f>
        <v>0</v>
      </c>
      <c r="DG128" s="1534">
        <f>SUM(DG129:DG130)</f>
        <v>0</v>
      </c>
      <c r="DH128" s="1534">
        <f>SUM(DH129:DH130)</f>
        <v>0</v>
      </c>
      <c r="DI128" s="341">
        <f>IF(DG128=0,0,(DH128-DG128)/DG128*100)</f>
        <v>0</v>
      </c>
      <c r="DJ128" s="1534">
        <f>SUM(DJ129:DJ130)</f>
        <v>0</v>
      </c>
      <c r="DK128" s="1534">
        <f>SUM(DK129:DK130)</f>
        <v>0</v>
      </c>
      <c r="DL128" s="341">
        <f>IF(DJ128=0,0,(DK128-DJ128)/DJ128*100)</f>
        <v>0</v>
      </c>
      <c r="DM128" s="1534">
        <f>SUM(DM129:DM130)</f>
        <v>0</v>
      </c>
      <c r="DN128" s="1534">
        <f>SUM(DN129:DN130)</f>
        <v>0</v>
      </c>
      <c r="DO128" s="341">
        <f>IF(DM128=0,0,(DN128-DM128)/DM128*100)</f>
        <v>0</v>
      </c>
      <c r="DP128" s="1534">
        <f>SUM(DP129:DP130)</f>
        <v>0</v>
      </c>
      <c r="DQ128" s="1534">
        <f>SUM(DQ129:DQ130)</f>
        <v>0</v>
      </c>
      <c r="DR128" s="341">
        <f>IF(DP128=0,0,(DQ128-DP128)/DP128*100)</f>
        <v>0</v>
      </c>
      <c r="DS128" s="1534">
        <f>SUM(DS129:DS130)</f>
        <v>0</v>
      </c>
      <c r="DT128" s="1534">
        <f>SUM(DT129:DT130)</f>
        <v>0</v>
      </c>
      <c r="DU128" s="341">
        <f>IF(DS128=0,0,(DT128-DS128)/DS128*100)</f>
        <v>0</v>
      </c>
      <c r="DV128" s="1534">
        <f>SUM(DV129:DV130)</f>
        <v>0</v>
      </c>
      <c r="DW128" s="1534">
        <f>SUM(DW129:DW130)</f>
        <v>0</v>
      </c>
      <c r="DX128" s="341">
        <f>IF(DV128=0,0,(DW128-DV128)/DV128*100)</f>
        <v>0</v>
      </c>
      <c r="DY128" s="1534">
        <f>SUM(DY129:DY130)</f>
        <v>0</v>
      </c>
      <c r="DZ128" s="1534">
        <f>SUM(DZ129:DZ130)</f>
        <v>0</v>
      </c>
      <c r="EA128" s="341">
        <f>IF(DY128=0,0,(DZ128-DY128)/DY128*100)</f>
        <v>0</v>
      </c>
      <c r="EB128" s="1534">
        <f>SUM(EB129:EB130)</f>
        <v>0</v>
      </c>
      <c r="EC128" s="1534">
        <f>SUM(EC129:EC130)</f>
        <v>0</v>
      </c>
      <c r="ED128" s="341">
        <f>IF(EB128=0,0,(EC128-EB128)/EB128*100)</f>
        <v>0</v>
      </c>
      <c r="EE128" s="1534">
        <f>SUM(EE129:EE130)</f>
        <v>0</v>
      </c>
      <c r="EF128" s="1534">
        <f>SUM(EF129:EF130)</f>
        <v>0</v>
      </c>
      <c r="EG128" s="341">
        <f>IF(EE128=0,0,(EF128-EE128)/EE128*100)</f>
        <v>0</v>
      </c>
      <c r="EH128" s="1534">
        <f>SUM(EH129:EH130)</f>
        <v>0</v>
      </c>
      <c r="EI128" s="1534">
        <f>SUM(EI129:EI130)</f>
        <v>0</v>
      </c>
      <c r="EJ128" s="341">
        <f>IF(EH128=0,0,(EI128-EH128)/EH128*100)</f>
        <v>0</v>
      </c>
      <c r="EK128" s="1534">
        <f>SUM(EK129:EK130)</f>
        <v>0</v>
      </c>
      <c r="EL128" s="1534">
        <f>SUM(EL129:EL130)</f>
        <v>0</v>
      </c>
      <c r="EM128" s="341">
        <f>IF(EK128=0,0,(EL128-EK128)/EK128*100)</f>
        <v>0</v>
      </c>
      <c r="EN128" s="1534">
        <f>SUM(EN129:EN130)</f>
        <v>0</v>
      </c>
      <c r="EO128" s="1534">
        <f>SUM(EO129:EO130)</f>
        <v>0</v>
      </c>
      <c r="EP128" s="341">
        <f>IF(EN128=0,0,(EO128-EN128)/EN128*100)</f>
        <v>0</v>
      </c>
      <c r="EQ128" s="1534">
        <f>SUM(EQ129:EQ130)</f>
        <v>0</v>
      </c>
      <c r="ER128" s="1534">
        <f>SUM(ER129:ER130)</f>
        <v>0</v>
      </c>
      <c r="ES128" s="341">
        <f>IF(EQ128=0,0,(ER128-EQ128)/EQ128*100)</f>
        <v>0</v>
      </c>
      <c r="ET128" s="1534">
        <f>SUM(ET129:ET130)</f>
        <v>0</v>
      </c>
      <c r="EU128" s="1534">
        <f>SUM(EU129:EU130)</f>
        <v>0</v>
      </c>
      <c r="EV128" s="341">
        <f>IF(ET128=0,0,(EU128-ET128)/ET128*100)</f>
        <v>0</v>
      </c>
      <c r="EW128" s="1534">
        <f>SUM(EW129:EW130)</f>
        <v>0</v>
      </c>
      <c r="EX128" s="1534">
        <f>SUM(EX129:EX130)</f>
        <v>0</v>
      </c>
      <c r="EY128" s="341">
        <f>IF(EW128=0,0,(EX128-EW128)/EW128*100)</f>
        <v>0</v>
      </c>
      <c r="EZ128" s="1534">
        <f>SUM(EZ129:EZ130)</f>
        <v>0</v>
      </c>
      <c r="FA128" s="1534">
        <f>SUM(FA129:FA130)</f>
        <v>0</v>
      </c>
      <c r="FB128" s="341">
        <f>IF(EZ128=0,0,(FA128-EZ128)/EZ128*100)</f>
        <v>0</v>
      </c>
      <c r="FC128" s="1534">
        <f>SUM(FC129:FC130)</f>
        <v>0</v>
      </c>
      <c r="FD128" s="1534">
        <f>SUM(FD129:FD130)</f>
        <v>0</v>
      </c>
      <c r="FE128" s="341">
        <f>IF(FC128=0,0,(FD128-FC128)/FC128*100)</f>
        <v>0</v>
      </c>
      <c r="FF128" s="1534">
        <f>SUM(FF129:FF130)</f>
        <v>0</v>
      </c>
      <c r="FG128" s="1534">
        <f>SUM(FG129:FG130)</f>
        <v>0</v>
      </c>
      <c r="FH128" s="341">
        <f>IF(FF128=0,0,(FG128-FF128)/FF128*100)</f>
        <v>0</v>
      </c>
      <c r="FI128" s="1534">
        <f>SUM(FI129:FI130)</f>
        <v>0</v>
      </c>
      <c r="FJ128" s="1534">
        <f>SUM(FJ129:FJ130)</f>
        <v>0</v>
      </c>
      <c r="FK128" s="341">
        <f>IF(FI128=0,0,(FJ128-FI128)/FI128*100)</f>
        <v>0</v>
      </c>
      <c r="FL128" s="1534">
        <f>SUM(FL129:FL130)</f>
        <v>0</v>
      </c>
      <c r="FM128" s="1534">
        <f>SUM(FM129:FM130)</f>
        <v>0</v>
      </c>
      <c r="FN128" s="341">
        <f>IF(FL128=0,0,(FM128-FL128)/FL128*100)</f>
        <v>0</v>
      </c>
      <c r="FO128" s="1534">
        <f>SUM(FO129:FO130)</f>
        <v>0</v>
      </c>
      <c r="FP128" s="1534">
        <f>SUM(FP129:FP130)</f>
        <v>0</v>
      </c>
      <c r="FQ128" s="341">
        <f>IF(FO128=0,0,(FP128-FO128)/FO128*100)</f>
        <v>0</v>
      </c>
      <c r="FR128" s="1534">
        <f>SUM(FR129:FR130)</f>
        <v>0</v>
      </c>
      <c r="FS128" s="1534">
        <f>SUM(FS129:FS130)</f>
        <v>0</v>
      </c>
      <c r="FT128" s="341">
        <f>IF(FR128=0,0,(FS128-FR128)/FR128*100)</f>
        <v>0</v>
      </c>
      <c r="FU128" s="1534">
        <f>SUM(FU129:FU130)</f>
        <v>0</v>
      </c>
      <c r="FV128" s="1534">
        <f>SUM(FV129:FV130)</f>
        <v>0</v>
      </c>
      <c r="FW128" s="341">
        <f>IF(FU128=0,0,(FV128-FU128)/FU128*100)</f>
        <v>0</v>
      </c>
      <c r="FX128" s="425"/>
      <c r="FY128" s="425"/>
      <c r="FZ128" s="981" t="s">
        <v>2165</v>
      </c>
      <c r="GA128" s="981"/>
      <c r="GB128" s="981"/>
      <c r="GC128" s="981"/>
      <c r="GD128" s="981"/>
    </row>
    <row r="129" spans="1:186" s="1229" customFormat="1" ht="16.5" customHeight="1">
      <c r="A129" s="1153"/>
      <c r="B129" s="813" t="b" cm="1">
        <f t="array" ref="B129">B128</f>
        <v>1</v>
      </c>
      <c r="C129" s="1118" t="s">
        <v>1779</v>
      </c>
      <c r="D129" s="1087" t="s">
        <v>1780</v>
      </c>
      <c r="E129" s="676">
        <v>17.100000000000001</v>
      </c>
      <c r="F129" s="779" t="str" cm="1">
        <f t="array" aca="1" ref="F129" ca="1">OFFSET(G129,-1,-1)</f>
        <v>2</v>
      </c>
      <c r="G129" s="143" t="s">
        <v>1781</v>
      </c>
      <c r="H129" s="425"/>
      <c r="I129" s="425"/>
      <c r="J129" s="1108" t="s">
        <v>2149</v>
      </c>
      <c r="K129" s="1108" t="str" cm="1">
        <f t="array" aca="1" ref="K129" ca="1">OFFSET(J129,-1,1)</f>
        <v>ТЭ.42.26322895.0004</v>
      </c>
      <c r="L129" s="1108" t="s">
        <v>2163</v>
      </c>
      <c r="M129" s="1108" t="s">
        <v>1782</v>
      </c>
      <c r="N129" s="1108" t="s">
        <v>2151</v>
      </c>
      <c r="O129" s="1109" t="s">
        <v>2152</v>
      </c>
      <c r="P129" s="1108"/>
      <c r="Q129" s="1108"/>
      <c r="R129" s="784"/>
      <c r="S129" s="425"/>
      <c r="T129" s="687" t="b" cm="1">
        <f t="array" aca="1" ref="T129" ca="1">T128</f>
        <v>1</v>
      </c>
      <c r="U129" s="1153"/>
      <c r="V129" s="1153"/>
      <c r="W129" s="1153"/>
      <c r="X129" s="1726"/>
      <c r="Y129" s="1153"/>
      <c r="Z129" s="1726"/>
      <c r="AA129" s="425"/>
      <c r="AB129" s="236" t="s">
        <v>1783</v>
      </c>
      <c r="AC129" s="123" t="s">
        <v>634</v>
      </c>
      <c r="AD129" s="1534">
        <f ca="1">IF(method_reg="Метод экономически обоснованных расходов",SUMIFS('Калькуляция (4.6)'!AJ$25:AJ$229,'Калькуляция (4.6)'!$F$25:$F$229,$F129,'Калькуляция (4.6)'!$G$25:$G$229,$G129),IF(method_reg="Метод сравнения аналогов",SUMIFS(INDEX('Калькуляция (МСА)'!$AE$25:$BC$109,,MATCH(AD$8,'Калькуляция (МСА)'!$AE$8:$BC$8,0)),'Калькуляция (МСА)'!$F$25:$F$109,$F129,'Калькуляция (МСА)'!$G$25:$G$109,$G129),SUMIFS(INDEX('Калькуляция (5.9)'!$AJ$25:$BC$194,,MATCH(AD$8,'Калькуляция (5.9)'!$AJ$8:$BC$8,0)),'Калькуляция (5.9)'!$F$25:$F$194,$F129,'Калькуляция (5.9)'!$G$25:$G$194,$G129)))</f>
        <v>0</v>
      </c>
      <c r="AE129" s="1534">
        <f ca="1">IF(method_reg="Метод экономически обоснованных расходов",SUMIFS('Калькуляция (4.6)'!AK$25:AK$229,'Калькуляция (4.6)'!$F$25:$F$229,$F129,'Калькуляция (4.6)'!$G$25:$G$229,$G129),IF(method_reg="Метод сравнения аналогов",SUMIFS(INDEX('Калькуляция (МСА)'!$AE$25:$BC$109,,MATCH(AE$8,'Калькуляция (МСА)'!$AE$8:$BC$8,0)),'Калькуляция (МСА)'!$F$25:$F$109,$F129,'Калькуляция (МСА)'!$G$25:$G$109,$G129),SUMIFS(INDEX('Калькуляция (5.9)'!$AJ$25:$BC$194,,MATCH(AE$8,'Калькуляция (5.9)'!$AJ$8:$BC$8,0)),'Калькуляция (5.9)'!$F$25:$F$194,$F129,'Калькуляция (5.9)'!$G$25:$G$194,$G129)))</f>
        <v>80065.085607000001</v>
      </c>
      <c r="AF129" s="341">
        <f ca="1">IF(AD129=0,0,(AE129-AD129)/AD129*100)</f>
        <v>0</v>
      </c>
      <c r="AG129" s="354">
        <f ca="1">IF(method_reg="Метод сравнения аналогов",SUMIFS(INDEX('Калькуляция (МСА)'!$AE$25:$BC$109,,MATCH(AG$8,'Калькуляция (МСА)'!$AE$8:$BC$8,0)),'Калькуляция (МСА)'!$F$25:$F$109,$F129,'Калькуляция (МСА)'!$G$25:$G$109,$G129),SUMIFS(INDEX('Калькуляция (5.9)'!$AJ$25:$BC$194,,MATCH(AG$8,'Калькуляция (5.9)'!$AJ$8:$BC$8,0)),'Калькуляция (5.9)'!$F$25:$F$194,$F129,'Калькуляция (5.9)'!$G$25:$G$194,$G129))</f>
        <v>0</v>
      </c>
      <c r="AH129" s="354">
        <f ca="1">IF(method_reg="Метод сравнения аналогов",SUMIFS(INDEX('Калькуляция (МСА)'!$AE$25:$BC$109,,MATCH(AH$8,'Калькуляция (МСА)'!$AE$8:$BC$8,0)),'Калькуляция (МСА)'!$F$25:$F$109,$F129,'Калькуляция (МСА)'!$G$25:$G$109,$G129),SUMIFS(INDEX('Калькуляция (5.9)'!$AJ$25:$BC$194,,MATCH(AH$8,'Калькуляция (5.9)'!$AJ$8:$BC$8,0)),'Калькуляция (5.9)'!$F$25:$F$194,$F129,'Калькуляция (5.9)'!$G$25:$G$194,$G129))</f>
        <v>0</v>
      </c>
      <c r="AI129" s="341">
        <f ca="1">IF(AG129=0,0,(AH129-AG129)/AG129*100)</f>
        <v>0</v>
      </c>
      <c r="AJ129" s="354">
        <f ca="1">IF(method_reg="Метод сравнения аналогов",SUMIFS(INDEX('Калькуляция (МСА)'!$AE$25:$BC$109,,MATCH(AJ$8,'Калькуляция (МСА)'!$AE$8:$BC$8,0)),'Калькуляция (МСА)'!$F$25:$F$109,$F129,'Калькуляция (МСА)'!$G$25:$G$109,$G129),SUMIFS(INDEX('Калькуляция (5.9)'!$AJ$25:$BC$194,,MATCH(AJ$8,'Калькуляция (5.9)'!$AJ$8:$BC$8,0)),'Калькуляция (5.9)'!$F$25:$F$194,$F129,'Калькуляция (5.9)'!$G$25:$G$194,$G129))</f>
        <v>0</v>
      </c>
      <c r="AK129" s="354">
        <f ca="1">IF(method_reg="Метод сравнения аналогов",SUMIFS(INDEX('Калькуляция (МСА)'!$AE$25:$BC$109,,MATCH(AK$8,'Калькуляция (МСА)'!$AE$8:$BC$8,0)),'Калькуляция (МСА)'!$F$25:$F$109,$F129,'Калькуляция (МСА)'!$G$25:$G$109,$G129),SUMIFS(INDEX('Калькуляция (5.9)'!$AJ$25:$BC$194,,MATCH(AK$8,'Калькуляция (5.9)'!$AJ$8:$BC$8,0)),'Калькуляция (5.9)'!$F$25:$F$194,$F129,'Калькуляция (5.9)'!$G$25:$G$194,$G129))</f>
        <v>0</v>
      </c>
      <c r="AL129" s="341">
        <f ca="1">IF(AJ129=0,0,(AK129-AJ129)/AJ129*100)</f>
        <v>0</v>
      </c>
      <c r="AM129" s="354">
        <f ca="1">IF(method_reg="Метод сравнения аналогов",SUMIFS(INDEX('Калькуляция (МСА)'!$AE$25:$BC$109,,MATCH(AM$8,'Калькуляция (МСА)'!$AE$8:$BC$8,0)),'Калькуляция (МСА)'!$F$25:$F$109,$F129,'Калькуляция (МСА)'!$G$25:$G$109,$G129),SUMIFS(INDEX('Калькуляция (5.9)'!$AJ$25:$BC$194,,MATCH(AM$8,'Калькуляция (5.9)'!$AJ$8:$BC$8,0)),'Калькуляция (5.9)'!$F$25:$F$194,$F129,'Калькуляция (5.9)'!$G$25:$G$194,$G129))</f>
        <v>0</v>
      </c>
      <c r="AN129" s="354">
        <f ca="1">IF(method_reg="Метод сравнения аналогов",SUMIFS(INDEX('Калькуляция (МСА)'!$AE$25:$BC$109,,MATCH(AN$8,'Калькуляция (МСА)'!$AE$8:$BC$8,0)),'Калькуляция (МСА)'!$F$25:$F$109,$F129,'Калькуляция (МСА)'!$G$25:$G$109,$G129),SUMIFS(INDEX('Калькуляция (5.9)'!$AJ$25:$BC$194,,MATCH(AN$8,'Калькуляция (5.9)'!$AJ$8:$BC$8,0)),'Калькуляция (5.9)'!$F$25:$F$194,$F129,'Калькуляция (5.9)'!$G$25:$G$194,$G129))</f>
        <v>0</v>
      </c>
      <c r="AO129" s="341">
        <f ca="1">IF(AM129=0,0,(AN129-AM129)/AM129*100)</f>
        <v>0</v>
      </c>
      <c r="AP129" s="354">
        <f ca="1">IF(method_reg="Метод сравнения аналогов",SUMIFS(INDEX('Калькуляция (МСА)'!$AE$25:$BC$109,,MATCH(AP$8,'Калькуляция (МСА)'!$AE$8:$BC$8,0)),'Калькуляция (МСА)'!$F$25:$F$109,$F129,'Калькуляция (МСА)'!$G$25:$G$109,$G129),SUMIFS(INDEX('Калькуляция (5.9)'!$AJ$25:$BC$194,,MATCH(AP$8,'Калькуляция (5.9)'!$AJ$8:$BC$8,0)),'Калькуляция (5.9)'!$F$25:$F$194,$F129,'Калькуляция (5.9)'!$G$25:$G$194,$G129))</f>
        <v>0</v>
      </c>
      <c r="AQ129" s="354">
        <f ca="1">IF(method_reg="Метод сравнения аналогов",SUMIFS(INDEX('Калькуляция (МСА)'!$AE$25:$BC$109,,MATCH(AQ$8,'Калькуляция (МСА)'!$AE$8:$BC$8,0)),'Калькуляция (МСА)'!$F$25:$F$109,$F129,'Калькуляция (МСА)'!$G$25:$G$109,$G129),SUMIFS(INDEX('Калькуляция (5.9)'!$AJ$25:$BC$194,,MATCH(AQ$8,'Калькуляция (5.9)'!$AJ$8:$BC$8,0)),'Калькуляция (5.9)'!$F$25:$F$194,$F129,'Калькуляция (5.9)'!$G$25:$G$194,$G129))</f>
        <v>0</v>
      </c>
      <c r="AR129" s="341">
        <f ca="1">IF(AP129=0,0,(AQ129-AP129)/AP129*100)</f>
        <v>0</v>
      </c>
      <c r="AS129" s="1534">
        <f ca="1">IF(method_reg="Метод сравнения аналогов",SUMIFS(INDEX('Калькуляция (МСА)'!$AE$25:$BC$109,,MATCH(AS$8,'Калькуляция (МСА)'!$AE$8:$BC$8,0)),'Калькуляция (МСА)'!$F$25:$F$109,$F129,'Калькуляция (МСА)'!$G$25:$G$109,$G129),SUMIFS(INDEX('Калькуляция (5.9)'!$AJ$25:$BC$194,,MATCH(AS$8,'Калькуляция (5.9)'!$AJ$8:$BC$8,0)),'Калькуляция (5.9)'!$F$25:$F$194,$F129,'Калькуляция (5.9)'!$G$25:$G$194,$G129))</f>
        <v>0</v>
      </c>
      <c r="AT129" s="1534">
        <f ca="1">IF(method_reg="Метод сравнения аналогов",SUMIFS(INDEX('Калькуляция (МСА)'!$AE$25:$BC$109,,MATCH(AT$8,'Калькуляция (МСА)'!$AE$8:$BC$8,0)),'Калькуляция (МСА)'!$F$25:$F$109,$F129,'Калькуляция (МСА)'!$G$25:$G$109,$G129),SUMIFS(INDEX('Калькуляция (5.9)'!$AJ$25:$BC$194,,MATCH(AT$8,'Калькуляция (5.9)'!$AJ$8:$BC$8,0)),'Калькуляция (5.9)'!$F$25:$F$194,$F129,'Калькуляция (5.9)'!$G$25:$G$194,$G129))</f>
        <v>0</v>
      </c>
      <c r="AU129" s="341">
        <f ca="1">IF(AS129=0,0,(AT129-AS129)/AS129*100)</f>
        <v>0</v>
      </c>
      <c r="AV129" s="1534">
        <f ca="1">IF(method_reg="Метод сравнения аналогов",SUMIFS(INDEX('Калькуляция (МСА)'!$AE$25:$BC$109,,MATCH(AV$8,'Калькуляция (МСА)'!$AE$8:$BC$8,0)),'Калькуляция (МСА)'!$F$25:$F$109,$F129,'Калькуляция (МСА)'!$G$25:$G$109,$G129),SUMIFS(INDEX('Калькуляция (5.9)'!$AJ$25:$BC$194,,MATCH(AV$8,'Калькуляция (5.9)'!$AJ$8:$BC$8,0)),'Калькуляция (5.9)'!$F$25:$F$194,$F129,'Калькуляция (5.9)'!$G$25:$G$194,$G129))</f>
        <v>0</v>
      </c>
      <c r="AW129" s="1534">
        <f ca="1">IF(method_reg="Метод сравнения аналогов",SUMIFS(INDEX('Калькуляция (МСА)'!$AE$25:$BC$109,,MATCH(AW$8,'Калькуляция (МСА)'!$AE$8:$BC$8,0)),'Калькуляция (МСА)'!$F$25:$F$109,$F129,'Калькуляция (МСА)'!$G$25:$G$109,$G129),SUMIFS(INDEX('Калькуляция (5.9)'!$AJ$25:$BC$194,,MATCH(AW$8,'Калькуляция (5.9)'!$AJ$8:$BC$8,0)),'Калькуляция (5.9)'!$F$25:$F$194,$F129,'Калькуляция (5.9)'!$G$25:$G$194,$G129))</f>
        <v>0</v>
      </c>
      <c r="AX129" s="341">
        <f ca="1">IF(AV129=0,0,(AW129-AV129)/AV129*100)</f>
        <v>0</v>
      </c>
      <c r="AY129" s="1534">
        <f ca="1">IF(method_reg="Метод сравнения аналогов",SUMIFS(INDEX('Калькуляция (МСА)'!$AE$25:$BC$109,,MATCH(AY$8,'Калькуляция (МСА)'!$AE$8:$BC$8,0)),'Калькуляция (МСА)'!$F$25:$F$109,$F129,'Калькуляция (МСА)'!$G$25:$G$109,$G129),SUMIFS(INDEX('Калькуляция (5.9)'!$AJ$25:$BC$194,,MATCH(AY$8,'Калькуляция (5.9)'!$AJ$8:$BC$8,0)),'Калькуляция (5.9)'!$F$25:$F$194,$F129,'Калькуляция (5.9)'!$G$25:$G$194,$G129))</f>
        <v>0</v>
      </c>
      <c r="AZ129" s="1534">
        <f ca="1">IF(method_reg="Метод сравнения аналогов",SUMIFS(INDEX('Калькуляция (МСА)'!$AE$25:$BC$109,,MATCH(AZ$8,'Калькуляция (МСА)'!$AE$8:$BC$8,0)),'Калькуляция (МСА)'!$F$25:$F$109,$F129,'Калькуляция (МСА)'!$G$25:$G$109,$G129),SUMIFS(INDEX('Калькуляция (5.9)'!$AJ$25:$BC$194,,MATCH(AZ$8,'Калькуляция (5.9)'!$AJ$8:$BC$8,0)),'Калькуляция (5.9)'!$F$25:$F$194,$F129,'Калькуляция (5.9)'!$G$25:$G$194,$G129))</f>
        <v>0</v>
      </c>
      <c r="BA129" s="341">
        <f ca="1">IF(AY129=0,0,(AZ129-AY129)/AY129*100)</f>
        <v>0</v>
      </c>
      <c r="BB129" s="1534">
        <f ca="1">IF(method_reg="Метод сравнения аналогов",SUMIFS(INDEX('Калькуляция (МСА)'!$AE$25:$BC$109,,MATCH(BB$8,'Калькуляция (МСА)'!$AE$8:$BC$8,0)),'Калькуляция (МСА)'!$F$25:$F$109,$F129,'Калькуляция (МСА)'!$G$25:$G$109,$G129),SUMIFS(INDEX('Калькуляция (5.9)'!$AJ$25:$BC$194,,MATCH(BB$8,'Калькуляция (5.9)'!$AJ$8:$BC$8,0)),'Калькуляция (5.9)'!$F$25:$F$194,$F129,'Калькуляция (5.9)'!$G$25:$G$194,$G129))</f>
        <v>0</v>
      </c>
      <c r="BC129" s="1534">
        <f ca="1">IF(method_reg="Метод сравнения аналогов",SUMIFS(INDEX('Калькуляция (МСА)'!$AE$25:$BC$109,,MATCH(BC$8,'Калькуляция (МСА)'!$AE$8:$BC$8,0)),'Калькуляция (МСА)'!$F$25:$F$109,$F129,'Калькуляция (МСА)'!$G$25:$G$109,$G129),SUMIFS(INDEX('Калькуляция (5.9)'!$AJ$25:$BC$194,,MATCH(BC$8,'Калькуляция (5.9)'!$AJ$8:$BC$8,0)),'Калькуляция (5.9)'!$F$25:$F$194,$F129,'Калькуляция (5.9)'!$G$25:$G$194,$G129))</f>
        <v>0</v>
      </c>
      <c r="BD129" s="341">
        <f ca="1">IF(BB129=0,0,(BC129-BB129)/BB129*100)</f>
        <v>0</v>
      </c>
      <c r="BE129" s="1534">
        <f ca="1">IF(method_reg="Метод сравнения аналогов",SUMIFS(INDEX('Калькуляция (МСА)'!$AE$25:$BC$109,,MATCH(BE$8,'Калькуляция (МСА)'!$AE$8:$BC$8,0)),'Калькуляция (МСА)'!$F$25:$F$109,$F129,'Калькуляция (МСА)'!$G$25:$G$109,$G129),SUMIFS(INDEX('Калькуляция (5.9)'!$AJ$25:$BC$194,,MATCH(BE$8,'Калькуляция (5.9)'!$AJ$8:$BC$8,0)),'Калькуляция (5.9)'!$F$25:$F$194,$F129,'Калькуляция (5.9)'!$G$25:$G$194,$G129))</f>
        <v>0</v>
      </c>
      <c r="BF129" s="1534">
        <f ca="1">IF(method_reg="Метод сравнения аналогов",SUMIFS(INDEX('Калькуляция (МСА)'!$AE$25:$BC$109,,MATCH(BF$8,'Калькуляция (МСА)'!$AE$8:$BC$8,0)),'Калькуляция (МСА)'!$F$25:$F$109,$F129,'Калькуляция (МСА)'!$G$25:$G$109,$G129),SUMIFS(INDEX('Калькуляция (5.9)'!$AJ$25:$BC$194,,MATCH(BF$8,'Калькуляция (5.9)'!$AJ$8:$BC$8,0)),'Калькуляция (5.9)'!$F$25:$F$194,$F129,'Калькуляция (5.9)'!$G$25:$G$194,$G129))</f>
        <v>0</v>
      </c>
      <c r="BG129" s="341">
        <f ca="1">IF(BE129=0,0,(BF129-BE129)/BE129*100)</f>
        <v>0</v>
      </c>
      <c r="BH129" s="1534"/>
      <c r="BI129" s="1534"/>
      <c r="BJ129" s="341">
        <f>IF(BH129=0,0,(BI129-BH129)/BH129*100)</f>
        <v>0</v>
      </c>
      <c r="BK129" s="1534"/>
      <c r="BL129" s="1534"/>
      <c r="BM129" s="341">
        <f>IF(BK129=0,0,(BL129-BK129)/BK129*100)</f>
        <v>0</v>
      </c>
      <c r="BN129" s="1534"/>
      <c r="BO129" s="1534"/>
      <c r="BP129" s="341">
        <f>IF(BN129=0,0,(BO129-BN129)/BN129*100)</f>
        <v>0</v>
      </c>
      <c r="BQ129" s="1534"/>
      <c r="BR129" s="1534"/>
      <c r="BS129" s="341">
        <f>IF(BQ129=0,0,(BR129-BQ129)/BQ129*100)</f>
        <v>0</v>
      </c>
      <c r="BT129" s="1534"/>
      <c r="BU129" s="1534"/>
      <c r="BV129" s="341">
        <f>IF(BT129=0,0,(BU129-BT129)/BT129*100)</f>
        <v>0</v>
      </c>
      <c r="BW129" s="1534"/>
      <c r="BX129" s="1534"/>
      <c r="BY129" s="341">
        <f>IF(BW129=0,0,(BX129-BW129)/BW129*100)</f>
        <v>0</v>
      </c>
      <c r="BZ129" s="1534"/>
      <c r="CA129" s="1534"/>
      <c r="CB129" s="341">
        <f>IF(BZ129=0,0,(CA129-BZ129)/BZ129*100)</f>
        <v>0</v>
      </c>
      <c r="CC129" s="1534"/>
      <c r="CD129" s="1534"/>
      <c r="CE129" s="341">
        <f>IF(CC129=0,0,(CD129-CC129)/CC129*100)</f>
        <v>0</v>
      </c>
      <c r="CF129" s="1534"/>
      <c r="CG129" s="1534"/>
      <c r="CH129" s="341">
        <f>IF(CF129=0,0,(CG129-CF129)/CF129*100)</f>
        <v>0</v>
      </c>
      <c r="CI129" s="1534"/>
      <c r="CJ129" s="1534"/>
      <c r="CK129" s="341">
        <f>IF(CI129=0,0,(CJ129-CI129)/CI129*100)</f>
        <v>0</v>
      </c>
      <c r="CL129" s="1534"/>
      <c r="CM129" s="1534"/>
      <c r="CN129" s="341">
        <f>IF(CL129=0,0,(CM129-CL129)/CL129*100)</f>
        <v>0</v>
      </c>
      <c r="CO129" s="1534"/>
      <c r="CP129" s="1534"/>
      <c r="CQ129" s="341">
        <f>IF(CO129=0,0,(CP129-CO129)/CO129*100)</f>
        <v>0</v>
      </c>
      <c r="CR129" s="1534"/>
      <c r="CS129" s="1534"/>
      <c r="CT129" s="341">
        <f>IF(CR129=0,0,(CS129-CR129)/CR129*100)</f>
        <v>0</v>
      </c>
      <c r="CU129" s="1534"/>
      <c r="CV129" s="1534"/>
      <c r="CW129" s="341">
        <f>IF(CU129=0,0,(CV129-CU129)/CU129*100)</f>
        <v>0</v>
      </c>
      <c r="CX129" s="1534"/>
      <c r="CY129" s="1534"/>
      <c r="CZ129" s="341">
        <f>IF(CX129=0,0,(CY129-CX129)/CX129*100)</f>
        <v>0</v>
      </c>
      <c r="DA129" s="1534"/>
      <c r="DB129" s="1534"/>
      <c r="DC129" s="341">
        <f>IF(DA129=0,0,(DB129-DA129)/DA129*100)</f>
        <v>0</v>
      </c>
      <c r="DD129" s="1534"/>
      <c r="DE129" s="1534"/>
      <c r="DF129" s="341">
        <f>IF(DD129=0,0,(DE129-DD129)/DD129*100)</f>
        <v>0</v>
      </c>
      <c r="DG129" s="1534"/>
      <c r="DH129" s="1534"/>
      <c r="DI129" s="341">
        <f>IF(DG129=0,0,(DH129-DG129)/DG129*100)</f>
        <v>0</v>
      </c>
      <c r="DJ129" s="1534"/>
      <c r="DK129" s="1534"/>
      <c r="DL129" s="341">
        <f>IF(DJ129=0,0,(DK129-DJ129)/DJ129*100)</f>
        <v>0</v>
      </c>
      <c r="DM129" s="1534"/>
      <c r="DN129" s="1534"/>
      <c r="DO129" s="341">
        <f>IF(DM129=0,0,(DN129-DM129)/DM129*100)</f>
        <v>0</v>
      </c>
      <c r="DP129" s="1534"/>
      <c r="DQ129" s="1534"/>
      <c r="DR129" s="341">
        <f>IF(DP129=0,0,(DQ129-DP129)/DP129*100)</f>
        <v>0</v>
      </c>
      <c r="DS129" s="1534"/>
      <c r="DT129" s="1534"/>
      <c r="DU129" s="341">
        <f>IF(DS129=0,0,(DT129-DS129)/DS129*100)</f>
        <v>0</v>
      </c>
      <c r="DV129" s="1534"/>
      <c r="DW129" s="1534"/>
      <c r="DX129" s="341">
        <f>IF(DV129=0,0,(DW129-DV129)/DV129*100)</f>
        <v>0</v>
      </c>
      <c r="DY129" s="1534"/>
      <c r="DZ129" s="1534"/>
      <c r="EA129" s="341">
        <f>IF(DY129=0,0,(DZ129-DY129)/DY129*100)</f>
        <v>0</v>
      </c>
      <c r="EB129" s="1534"/>
      <c r="EC129" s="1534"/>
      <c r="ED129" s="341">
        <f>IF(EB129=0,0,(EC129-EB129)/EB129*100)</f>
        <v>0</v>
      </c>
      <c r="EE129" s="1534"/>
      <c r="EF129" s="1534"/>
      <c r="EG129" s="341">
        <f>IF(EE129=0,0,(EF129-EE129)/EE129*100)</f>
        <v>0</v>
      </c>
      <c r="EH129" s="1534"/>
      <c r="EI129" s="1534"/>
      <c r="EJ129" s="341">
        <f>IF(EH129=0,0,(EI129-EH129)/EH129*100)</f>
        <v>0</v>
      </c>
      <c r="EK129" s="1534"/>
      <c r="EL129" s="1534"/>
      <c r="EM129" s="341">
        <f>IF(EK129=0,0,(EL129-EK129)/EK129*100)</f>
        <v>0</v>
      </c>
      <c r="EN129" s="1534"/>
      <c r="EO129" s="1534"/>
      <c r="EP129" s="341">
        <f>IF(EN129=0,0,(EO129-EN129)/EN129*100)</f>
        <v>0</v>
      </c>
      <c r="EQ129" s="1534"/>
      <c r="ER129" s="1534"/>
      <c r="ES129" s="341">
        <f>IF(EQ129=0,0,(ER129-EQ129)/EQ129*100)</f>
        <v>0</v>
      </c>
      <c r="ET129" s="1534"/>
      <c r="EU129" s="1534"/>
      <c r="EV129" s="341">
        <f>IF(ET129=0,0,(EU129-ET129)/ET129*100)</f>
        <v>0</v>
      </c>
      <c r="EW129" s="1534"/>
      <c r="EX129" s="1534"/>
      <c r="EY129" s="341">
        <f>IF(EW129=0,0,(EX129-EW129)/EW129*100)</f>
        <v>0</v>
      </c>
      <c r="EZ129" s="1534"/>
      <c r="FA129" s="1534"/>
      <c r="FB129" s="341">
        <f>IF(EZ129=0,0,(FA129-EZ129)/EZ129*100)</f>
        <v>0</v>
      </c>
      <c r="FC129" s="1534"/>
      <c r="FD129" s="1534"/>
      <c r="FE129" s="341">
        <f>IF(FC129=0,0,(FD129-FC129)/FC129*100)</f>
        <v>0</v>
      </c>
      <c r="FF129" s="1534"/>
      <c r="FG129" s="1534"/>
      <c r="FH129" s="341">
        <f>IF(FF129=0,0,(FG129-FF129)/FF129*100)</f>
        <v>0</v>
      </c>
      <c r="FI129" s="1534"/>
      <c r="FJ129" s="1534"/>
      <c r="FK129" s="341">
        <f>IF(FI129=0,0,(FJ129-FI129)/FI129*100)</f>
        <v>0</v>
      </c>
      <c r="FL129" s="1534"/>
      <c r="FM129" s="1534"/>
      <c r="FN129" s="341">
        <f>IF(FL129=0,0,(FM129-FL129)/FL129*100)</f>
        <v>0</v>
      </c>
      <c r="FO129" s="1534"/>
      <c r="FP129" s="1534"/>
      <c r="FQ129" s="341">
        <f>IF(FO129=0,0,(FP129-FO129)/FO129*100)</f>
        <v>0</v>
      </c>
      <c r="FR129" s="1534"/>
      <c r="FS129" s="1534"/>
      <c r="FT129" s="341">
        <f>IF(FR129=0,0,(FS129-FR129)/FR129*100)</f>
        <v>0</v>
      </c>
      <c r="FU129" s="1534"/>
      <c r="FV129" s="1534"/>
      <c r="FW129" s="341">
        <f>IF(FU129=0,0,(FV129-FU129)/FU129*100)</f>
        <v>0</v>
      </c>
      <c r="FX129" s="425"/>
      <c r="FY129" s="425"/>
      <c r="FZ129" s="981" t="s">
        <v>2166</v>
      </c>
      <c r="GA129" s="981"/>
      <c r="GB129" s="981"/>
      <c r="GC129" s="981"/>
      <c r="GD129" s="981"/>
    </row>
    <row r="130" spans="1:186" s="1229" customFormat="1" ht="16.5" customHeight="1">
      <c r="A130" s="1153"/>
      <c r="B130" s="813" t="b" cm="1">
        <f t="array" ref="B130">B129</f>
        <v>1</v>
      </c>
      <c r="C130" s="1118" t="s">
        <v>1779</v>
      </c>
      <c r="D130" s="1087" t="s">
        <v>1780</v>
      </c>
      <c r="E130" s="676">
        <v>17.100000000000001</v>
      </c>
      <c r="F130" s="779" t="str" cm="1">
        <f t="array" aca="1" ref="F130" ca="1">OFFSET(G130,-1,-1)</f>
        <v>2</v>
      </c>
      <c r="G130" s="143" t="s">
        <v>1790</v>
      </c>
      <c r="H130" s="425"/>
      <c r="I130" s="425"/>
      <c r="J130" s="1108" t="s">
        <v>2149</v>
      </c>
      <c r="K130" s="1108" t="str" cm="1">
        <f t="array" aca="1" ref="K130" ca="1">OFFSET(J130,-1,1)</f>
        <v>ТЭ.42.26322895.0004</v>
      </c>
      <c r="L130" s="1108" t="s">
        <v>2163</v>
      </c>
      <c r="M130" s="1108" t="s">
        <v>1791</v>
      </c>
      <c r="N130" s="1108" t="s">
        <v>2151</v>
      </c>
      <c r="O130" s="1109" t="s">
        <v>2152</v>
      </c>
      <c r="P130" s="1108"/>
      <c r="Q130" s="1108"/>
      <c r="R130" s="784"/>
      <c r="S130" s="425"/>
      <c r="T130" s="687" t="b" cm="1">
        <f t="array" aca="1" ref="T130" ca="1">T129</f>
        <v>1</v>
      </c>
      <c r="U130" s="1153"/>
      <c r="V130" s="1153"/>
      <c r="W130" s="1153"/>
      <c r="X130" s="1726"/>
      <c r="Y130" s="1153"/>
      <c r="Z130" s="1726"/>
      <c r="AA130" s="425"/>
      <c r="AB130" s="236" t="s">
        <v>1792</v>
      </c>
      <c r="AC130" s="123" t="s">
        <v>634</v>
      </c>
      <c r="AD130" s="1534">
        <f ca="1">IF(method_reg="Метод экономически обоснованных расходов",SUMIFS('Калькуляция (4.6)'!AJ$25:AJ$229,'Калькуляция (4.6)'!$F$25:$F$229,$F130,'Калькуляция (4.6)'!$G$25:$G$229,$G130),IF(method_reg="Метод сравнения аналогов",SUMIFS(INDEX('Калькуляция (МСА)'!$AE$25:$BC$109,,MATCH(AD$8,'Калькуляция (МСА)'!$AE$8:$BC$8,0)),'Калькуляция (МСА)'!$F$25:$F$109,$F130,'Калькуляция (МСА)'!$G$25:$G$109,$G130),SUMIFS(INDEX('Калькуляция (5.9)'!$AJ$25:$BC$194,,MATCH(AD$8,'Калькуляция (5.9)'!$AJ$8:$BC$8,0)),'Калькуляция (5.9)'!$F$25:$F$194,$F130,'Калькуляция (5.9)'!$G$25:$G$194,$G130)))</f>
        <v>0</v>
      </c>
      <c r="AE130" s="1534">
        <f ca="1">IF(method_reg="Метод экономически обоснованных расходов",SUMIFS('Калькуляция (4.6)'!AK$25:AK$229,'Калькуляция (4.6)'!$F$25:$F$229,$F130,'Калькуляция (4.6)'!$G$25:$G$229,$G130),IF(method_reg="Метод сравнения аналогов",SUMIFS(INDEX('Калькуляция (МСА)'!$AE$25:$BC$109,,MATCH(AE$8,'Калькуляция (МСА)'!$AE$8:$BC$8,0)),'Калькуляция (МСА)'!$F$25:$F$109,$F130,'Калькуляция (МСА)'!$G$25:$G$109,$G130),SUMIFS(INDEX('Калькуляция (5.9)'!$AJ$25:$BC$194,,MATCH(AE$8,'Калькуляция (5.9)'!$AJ$8:$BC$8,0)),'Калькуляция (5.9)'!$F$25:$F$194,$F130,'Калькуляция (5.9)'!$G$25:$G$194,$G130)))</f>
        <v>32118.024393</v>
      </c>
      <c r="AF130" s="341">
        <f ca="1">IF(AD130=0,0,(AE130-AD130)/AD130*100)</f>
        <v>0</v>
      </c>
      <c r="AG130" s="354">
        <f ca="1">IF(method_reg="Метод сравнения аналогов",SUMIFS(INDEX('Калькуляция (МСА)'!$AE$25:$BC$109,,MATCH(AG$8,'Калькуляция (МСА)'!$AE$8:$BC$8,0)),'Калькуляция (МСА)'!$F$25:$F$109,$F130,'Калькуляция (МСА)'!$G$25:$G$109,$G130),SUMIFS(INDEX('Калькуляция (5.9)'!$AJ$25:$BC$194,,MATCH(AG$8,'Калькуляция (5.9)'!$AJ$8:$BC$8,0)),'Калькуляция (5.9)'!$F$25:$F$194,$F130,'Калькуляция (5.9)'!$G$25:$G$194,$G130))</f>
        <v>0</v>
      </c>
      <c r="AH130" s="354">
        <f ca="1">IF(method_reg="Метод сравнения аналогов",SUMIFS(INDEX('Калькуляция (МСА)'!$AE$25:$BC$109,,MATCH(AH$8,'Калькуляция (МСА)'!$AE$8:$BC$8,0)),'Калькуляция (МСА)'!$F$25:$F$109,$F130,'Калькуляция (МСА)'!$G$25:$G$109,$G130),SUMIFS(INDEX('Калькуляция (5.9)'!$AJ$25:$BC$194,,MATCH(AH$8,'Калькуляция (5.9)'!$AJ$8:$BC$8,0)),'Калькуляция (5.9)'!$F$25:$F$194,$F130,'Калькуляция (5.9)'!$G$25:$G$194,$G130))</f>
        <v>0</v>
      </c>
      <c r="AI130" s="341">
        <f ca="1">IF(AG130=0,0,(AH130-AG130)/AG130*100)</f>
        <v>0</v>
      </c>
      <c r="AJ130" s="354">
        <f ca="1">IF(method_reg="Метод сравнения аналогов",SUMIFS(INDEX('Калькуляция (МСА)'!$AE$25:$BC$109,,MATCH(AJ$8,'Калькуляция (МСА)'!$AE$8:$BC$8,0)),'Калькуляция (МСА)'!$F$25:$F$109,$F130,'Калькуляция (МСА)'!$G$25:$G$109,$G130),SUMIFS(INDEX('Калькуляция (5.9)'!$AJ$25:$BC$194,,MATCH(AJ$8,'Калькуляция (5.9)'!$AJ$8:$BC$8,0)),'Калькуляция (5.9)'!$F$25:$F$194,$F130,'Калькуляция (5.9)'!$G$25:$G$194,$G130))</f>
        <v>0</v>
      </c>
      <c r="AK130" s="354">
        <f ca="1">IF(method_reg="Метод сравнения аналогов",SUMIFS(INDEX('Калькуляция (МСА)'!$AE$25:$BC$109,,MATCH(AK$8,'Калькуляция (МСА)'!$AE$8:$BC$8,0)),'Калькуляция (МСА)'!$F$25:$F$109,$F130,'Калькуляция (МСА)'!$G$25:$G$109,$G130),SUMIFS(INDEX('Калькуляция (5.9)'!$AJ$25:$BC$194,,MATCH(AK$8,'Калькуляция (5.9)'!$AJ$8:$BC$8,0)),'Калькуляция (5.9)'!$F$25:$F$194,$F130,'Калькуляция (5.9)'!$G$25:$G$194,$G130))</f>
        <v>0</v>
      </c>
      <c r="AL130" s="341">
        <f ca="1">IF(AJ130=0,0,(AK130-AJ130)/AJ130*100)</f>
        <v>0</v>
      </c>
      <c r="AM130" s="354">
        <f ca="1">IF(method_reg="Метод сравнения аналогов",SUMIFS(INDEX('Калькуляция (МСА)'!$AE$25:$BC$109,,MATCH(AM$8,'Калькуляция (МСА)'!$AE$8:$BC$8,0)),'Калькуляция (МСА)'!$F$25:$F$109,$F130,'Калькуляция (МСА)'!$G$25:$G$109,$G130),SUMIFS(INDEX('Калькуляция (5.9)'!$AJ$25:$BC$194,,MATCH(AM$8,'Калькуляция (5.9)'!$AJ$8:$BC$8,0)),'Калькуляция (5.9)'!$F$25:$F$194,$F130,'Калькуляция (5.9)'!$G$25:$G$194,$G130))</f>
        <v>0</v>
      </c>
      <c r="AN130" s="354">
        <f ca="1">IF(method_reg="Метод сравнения аналогов",SUMIFS(INDEX('Калькуляция (МСА)'!$AE$25:$BC$109,,MATCH(AN$8,'Калькуляция (МСА)'!$AE$8:$BC$8,0)),'Калькуляция (МСА)'!$F$25:$F$109,$F130,'Калькуляция (МСА)'!$G$25:$G$109,$G130),SUMIFS(INDEX('Калькуляция (5.9)'!$AJ$25:$BC$194,,MATCH(AN$8,'Калькуляция (5.9)'!$AJ$8:$BC$8,0)),'Калькуляция (5.9)'!$F$25:$F$194,$F130,'Калькуляция (5.9)'!$G$25:$G$194,$G130))</f>
        <v>0</v>
      </c>
      <c r="AO130" s="341">
        <f ca="1">IF(AM130=0,0,(AN130-AM130)/AM130*100)</f>
        <v>0</v>
      </c>
      <c r="AP130" s="354">
        <f ca="1">IF(method_reg="Метод сравнения аналогов",SUMIFS(INDEX('Калькуляция (МСА)'!$AE$25:$BC$109,,MATCH(AP$8,'Калькуляция (МСА)'!$AE$8:$BC$8,0)),'Калькуляция (МСА)'!$F$25:$F$109,$F130,'Калькуляция (МСА)'!$G$25:$G$109,$G130),SUMIFS(INDEX('Калькуляция (5.9)'!$AJ$25:$BC$194,,MATCH(AP$8,'Калькуляция (5.9)'!$AJ$8:$BC$8,0)),'Калькуляция (5.9)'!$F$25:$F$194,$F130,'Калькуляция (5.9)'!$G$25:$G$194,$G130))</f>
        <v>0</v>
      </c>
      <c r="AQ130" s="354">
        <f ca="1">IF(method_reg="Метод сравнения аналогов",SUMIFS(INDEX('Калькуляция (МСА)'!$AE$25:$BC$109,,MATCH(AQ$8,'Калькуляция (МСА)'!$AE$8:$BC$8,0)),'Калькуляция (МСА)'!$F$25:$F$109,$F130,'Калькуляция (МСА)'!$G$25:$G$109,$G130),SUMIFS(INDEX('Калькуляция (5.9)'!$AJ$25:$BC$194,,MATCH(AQ$8,'Калькуляция (5.9)'!$AJ$8:$BC$8,0)),'Калькуляция (5.9)'!$F$25:$F$194,$F130,'Калькуляция (5.9)'!$G$25:$G$194,$G130))</f>
        <v>0</v>
      </c>
      <c r="AR130" s="341">
        <f ca="1">IF(AP130=0,0,(AQ130-AP130)/AP130*100)</f>
        <v>0</v>
      </c>
      <c r="AS130" s="1534">
        <f ca="1">IF(method_reg="Метод сравнения аналогов",SUMIFS(INDEX('Калькуляция (МСА)'!$AE$25:$BC$109,,MATCH(AS$8,'Калькуляция (МСА)'!$AE$8:$BC$8,0)),'Калькуляция (МСА)'!$F$25:$F$109,$F130,'Калькуляция (МСА)'!$G$25:$G$109,$G130),SUMIFS(INDEX('Калькуляция (5.9)'!$AJ$25:$BC$194,,MATCH(AS$8,'Калькуляция (5.9)'!$AJ$8:$BC$8,0)),'Калькуляция (5.9)'!$F$25:$F$194,$F130,'Калькуляция (5.9)'!$G$25:$G$194,$G130))</f>
        <v>0</v>
      </c>
      <c r="AT130" s="1534">
        <f ca="1">IF(method_reg="Метод сравнения аналогов",SUMIFS(INDEX('Калькуляция (МСА)'!$AE$25:$BC$109,,MATCH(AT$8,'Калькуляция (МСА)'!$AE$8:$BC$8,0)),'Калькуляция (МСА)'!$F$25:$F$109,$F130,'Калькуляция (МСА)'!$G$25:$G$109,$G130),SUMIFS(INDEX('Калькуляция (5.9)'!$AJ$25:$BC$194,,MATCH(AT$8,'Калькуляция (5.9)'!$AJ$8:$BC$8,0)),'Калькуляция (5.9)'!$F$25:$F$194,$F130,'Калькуляция (5.9)'!$G$25:$G$194,$G130))</f>
        <v>0</v>
      </c>
      <c r="AU130" s="341">
        <f ca="1">IF(AS130=0,0,(AT130-AS130)/AS130*100)</f>
        <v>0</v>
      </c>
      <c r="AV130" s="1534">
        <f ca="1">IF(method_reg="Метод сравнения аналогов",SUMIFS(INDEX('Калькуляция (МСА)'!$AE$25:$BC$109,,MATCH(AV$8,'Калькуляция (МСА)'!$AE$8:$BC$8,0)),'Калькуляция (МСА)'!$F$25:$F$109,$F130,'Калькуляция (МСА)'!$G$25:$G$109,$G130),SUMIFS(INDEX('Калькуляция (5.9)'!$AJ$25:$BC$194,,MATCH(AV$8,'Калькуляция (5.9)'!$AJ$8:$BC$8,0)),'Калькуляция (5.9)'!$F$25:$F$194,$F130,'Калькуляция (5.9)'!$G$25:$G$194,$G130))</f>
        <v>0</v>
      </c>
      <c r="AW130" s="1534">
        <f ca="1">IF(method_reg="Метод сравнения аналогов",SUMIFS(INDEX('Калькуляция (МСА)'!$AE$25:$BC$109,,MATCH(AW$8,'Калькуляция (МСА)'!$AE$8:$BC$8,0)),'Калькуляция (МСА)'!$F$25:$F$109,$F130,'Калькуляция (МСА)'!$G$25:$G$109,$G130),SUMIFS(INDEX('Калькуляция (5.9)'!$AJ$25:$BC$194,,MATCH(AW$8,'Калькуляция (5.9)'!$AJ$8:$BC$8,0)),'Калькуляция (5.9)'!$F$25:$F$194,$F130,'Калькуляция (5.9)'!$G$25:$G$194,$G130))</f>
        <v>0</v>
      </c>
      <c r="AX130" s="341">
        <f ca="1">IF(AV130=0,0,(AW130-AV130)/AV130*100)</f>
        <v>0</v>
      </c>
      <c r="AY130" s="1534">
        <f ca="1">IF(method_reg="Метод сравнения аналогов",SUMIFS(INDEX('Калькуляция (МСА)'!$AE$25:$BC$109,,MATCH(AY$8,'Калькуляция (МСА)'!$AE$8:$BC$8,0)),'Калькуляция (МСА)'!$F$25:$F$109,$F130,'Калькуляция (МСА)'!$G$25:$G$109,$G130),SUMIFS(INDEX('Калькуляция (5.9)'!$AJ$25:$BC$194,,MATCH(AY$8,'Калькуляция (5.9)'!$AJ$8:$BC$8,0)),'Калькуляция (5.9)'!$F$25:$F$194,$F130,'Калькуляция (5.9)'!$G$25:$G$194,$G130))</f>
        <v>0</v>
      </c>
      <c r="AZ130" s="1534">
        <f ca="1">IF(method_reg="Метод сравнения аналогов",SUMIFS(INDEX('Калькуляция (МСА)'!$AE$25:$BC$109,,MATCH(AZ$8,'Калькуляция (МСА)'!$AE$8:$BC$8,0)),'Калькуляция (МСА)'!$F$25:$F$109,$F130,'Калькуляция (МСА)'!$G$25:$G$109,$G130),SUMIFS(INDEX('Калькуляция (5.9)'!$AJ$25:$BC$194,,MATCH(AZ$8,'Калькуляция (5.9)'!$AJ$8:$BC$8,0)),'Калькуляция (5.9)'!$F$25:$F$194,$F130,'Калькуляция (5.9)'!$G$25:$G$194,$G130))</f>
        <v>0</v>
      </c>
      <c r="BA130" s="341">
        <f ca="1">IF(AY130=0,0,(AZ130-AY130)/AY130*100)</f>
        <v>0</v>
      </c>
      <c r="BB130" s="1534">
        <f ca="1">IF(method_reg="Метод сравнения аналогов",SUMIFS(INDEX('Калькуляция (МСА)'!$AE$25:$BC$109,,MATCH(BB$8,'Калькуляция (МСА)'!$AE$8:$BC$8,0)),'Калькуляция (МСА)'!$F$25:$F$109,$F130,'Калькуляция (МСА)'!$G$25:$G$109,$G130),SUMIFS(INDEX('Калькуляция (5.9)'!$AJ$25:$BC$194,,MATCH(BB$8,'Калькуляция (5.9)'!$AJ$8:$BC$8,0)),'Калькуляция (5.9)'!$F$25:$F$194,$F130,'Калькуляция (5.9)'!$G$25:$G$194,$G130))</f>
        <v>0</v>
      </c>
      <c r="BC130" s="1534">
        <f ca="1">IF(method_reg="Метод сравнения аналогов",SUMIFS(INDEX('Калькуляция (МСА)'!$AE$25:$BC$109,,MATCH(BC$8,'Калькуляция (МСА)'!$AE$8:$BC$8,0)),'Калькуляция (МСА)'!$F$25:$F$109,$F130,'Калькуляция (МСА)'!$G$25:$G$109,$G130),SUMIFS(INDEX('Калькуляция (5.9)'!$AJ$25:$BC$194,,MATCH(BC$8,'Калькуляция (5.9)'!$AJ$8:$BC$8,0)),'Калькуляция (5.9)'!$F$25:$F$194,$F130,'Калькуляция (5.9)'!$G$25:$G$194,$G130))</f>
        <v>0</v>
      </c>
      <c r="BD130" s="341">
        <f ca="1">IF(BB130=0,0,(BC130-BB130)/BB130*100)</f>
        <v>0</v>
      </c>
      <c r="BE130" s="1534">
        <f ca="1">IF(method_reg="Метод сравнения аналогов",SUMIFS(INDEX('Калькуляция (МСА)'!$AE$25:$BC$109,,MATCH(BE$8,'Калькуляция (МСА)'!$AE$8:$BC$8,0)),'Калькуляция (МСА)'!$F$25:$F$109,$F130,'Калькуляция (МСА)'!$G$25:$G$109,$G130),SUMIFS(INDEX('Калькуляция (5.9)'!$AJ$25:$BC$194,,MATCH(BE$8,'Калькуляция (5.9)'!$AJ$8:$BC$8,0)),'Калькуляция (5.9)'!$F$25:$F$194,$F130,'Калькуляция (5.9)'!$G$25:$G$194,$G130))</f>
        <v>0</v>
      </c>
      <c r="BF130" s="1534">
        <f ca="1">IF(method_reg="Метод сравнения аналогов",SUMIFS(INDEX('Калькуляция (МСА)'!$AE$25:$BC$109,,MATCH(BF$8,'Калькуляция (МСА)'!$AE$8:$BC$8,0)),'Калькуляция (МСА)'!$F$25:$F$109,$F130,'Калькуляция (МСА)'!$G$25:$G$109,$G130),SUMIFS(INDEX('Калькуляция (5.9)'!$AJ$25:$BC$194,,MATCH(BF$8,'Калькуляция (5.9)'!$AJ$8:$BC$8,0)),'Калькуляция (5.9)'!$F$25:$F$194,$F130,'Калькуляция (5.9)'!$G$25:$G$194,$G130))</f>
        <v>0</v>
      </c>
      <c r="BG130" s="341">
        <f ca="1">IF(BE130=0,0,(BF130-BE130)/BE130*100)</f>
        <v>0</v>
      </c>
      <c r="BH130" s="1534"/>
      <c r="BI130" s="1534"/>
      <c r="BJ130" s="341">
        <f>IF(BH130=0,0,(BI130-BH130)/BH130*100)</f>
        <v>0</v>
      </c>
      <c r="BK130" s="1534"/>
      <c r="BL130" s="1534"/>
      <c r="BM130" s="341">
        <f>IF(BK130=0,0,(BL130-BK130)/BK130*100)</f>
        <v>0</v>
      </c>
      <c r="BN130" s="1534"/>
      <c r="BO130" s="1534"/>
      <c r="BP130" s="341">
        <f>IF(BN130=0,0,(BO130-BN130)/BN130*100)</f>
        <v>0</v>
      </c>
      <c r="BQ130" s="1534"/>
      <c r="BR130" s="1534"/>
      <c r="BS130" s="341">
        <f>IF(BQ130=0,0,(BR130-BQ130)/BQ130*100)</f>
        <v>0</v>
      </c>
      <c r="BT130" s="1534"/>
      <c r="BU130" s="1534"/>
      <c r="BV130" s="341">
        <f>IF(BT130=0,0,(BU130-BT130)/BT130*100)</f>
        <v>0</v>
      </c>
      <c r="BW130" s="1534"/>
      <c r="BX130" s="1534"/>
      <c r="BY130" s="341">
        <f>IF(BW130=0,0,(BX130-BW130)/BW130*100)</f>
        <v>0</v>
      </c>
      <c r="BZ130" s="1534"/>
      <c r="CA130" s="1534"/>
      <c r="CB130" s="341">
        <f>IF(BZ130=0,0,(CA130-BZ130)/BZ130*100)</f>
        <v>0</v>
      </c>
      <c r="CC130" s="1534"/>
      <c r="CD130" s="1534"/>
      <c r="CE130" s="341">
        <f>IF(CC130=0,0,(CD130-CC130)/CC130*100)</f>
        <v>0</v>
      </c>
      <c r="CF130" s="1534"/>
      <c r="CG130" s="1534"/>
      <c r="CH130" s="341">
        <f>IF(CF130=0,0,(CG130-CF130)/CF130*100)</f>
        <v>0</v>
      </c>
      <c r="CI130" s="1534"/>
      <c r="CJ130" s="1534"/>
      <c r="CK130" s="341">
        <f>IF(CI130=0,0,(CJ130-CI130)/CI130*100)</f>
        <v>0</v>
      </c>
      <c r="CL130" s="1534"/>
      <c r="CM130" s="1534"/>
      <c r="CN130" s="341">
        <f>IF(CL130=0,0,(CM130-CL130)/CL130*100)</f>
        <v>0</v>
      </c>
      <c r="CO130" s="1534"/>
      <c r="CP130" s="1534"/>
      <c r="CQ130" s="341">
        <f>IF(CO130=0,0,(CP130-CO130)/CO130*100)</f>
        <v>0</v>
      </c>
      <c r="CR130" s="1534"/>
      <c r="CS130" s="1534"/>
      <c r="CT130" s="341">
        <f>IF(CR130=0,0,(CS130-CR130)/CR130*100)</f>
        <v>0</v>
      </c>
      <c r="CU130" s="1534"/>
      <c r="CV130" s="1534"/>
      <c r="CW130" s="341">
        <f>IF(CU130=0,0,(CV130-CU130)/CU130*100)</f>
        <v>0</v>
      </c>
      <c r="CX130" s="1534"/>
      <c r="CY130" s="1534"/>
      <c r="CZ130" s="341">
        <f>IF(CX130=0,0,(CY130-CX130)/CX130*100)</f>
        <v>0</v>
      </c>
      <c r="DA130" s="1534"/>
      <c r="DB130" s="1534"/>
      <c r="DC130" s="341">
        <f>IF(DA130=0,0,(DB130-DA130)/DA130*100)</f>
        <v>0</v>
      </c>
      <c r="DD130" s="1534"/>
      <c r="DE130" s="1534"/>
      <c r="DF130" s="341">
        <f>IF(DD130=0,0,(DE130-DD130)/DD130*100)</f>
        <v>0</v>
      </c>
      <c r="DG130" s="1534"/>
      <c r="DH130" s="1534"/>
      <c r="DI130" s="341">
        <f>IF(DG130=0,0,(DH130-DG130)/DG130*100)</f>
        <v>0</v>
      </c>
      <c r="DJ130" s="1534"/>
      <c r="DK130" s="1534"/>
      <c r="DL130" s="341">
        <f>IF(DJ130=0,0,(DK130-DJ130)/DJ130*100)</f>
        <v>0</v>
      </c>
      <c r="DM130" s="1534"/>
      <c r="DN130" s="1534"/>
      <c r="DO130" s="341">
        <f>IF(DM130=0,0,(DN130-DM130)/DM130*100)</f>
        <v>0</v>
      </c>
      <c r="DP130" s="1534"/>
      <c r="DQ130" s="1534"/>
      <c r="DR130" s="341">
        <f>IF(DP130=0,0,(DQ130-DP130)/DP130*100)</f>
        <v>0</v>
      </c>
      <c r="DS130" s="1534"/>
      <c r="DT130" s="1534"/>
      <c r="DU130" s="341">
        <f>IF(DS130=0,0,(DT130-DS130)/DS130*100)</f>
        <v>0</v>
      </c>
      <c r="DV130" s="1534"/>
      <c r="DW130" s="1534"/>
      <c r="DX130" s="341">
        <f>IF(DV130=0,0,(DW130-DV130)/DV130*100)</f>
        <v>0</v>
      </c>
      <c r="DY130" s="1534"/>
      <c r="DZ130" s="1534"/>
      <c r="EA130" s="341">
        <f>IF(DY130=0,0,(DZ130-DY130)/DY130*100)</f>
        <v>0</v>
      </c>
      <c r="EB130" s="1534"/>
      <c r="EC130" s="1534"/>
      <c r="ED130" s="341">
        <f>IF(EB130=0,0,(EC130-EB130)/EB130*100)</f>
        <v>0</v>
      </c>
      <c r="EE130" s="1534"/>
      <c r="EF130" s="1534"/>
      <c r="EG130" s="341">
        <f>IF(EE130=0,0,(EF130-EE130)/EE130*100)</f>
        <v>0</v>
      </c>
      <c r="EH130" s="1534"/>
      <c r="EI130" s="1534"/>
      <c r="EJ130" s="341">
        <f>IF(EH130=0,0,(EI130-EH130)/EH130*100)</f>
        <v>0</v>
      </c>
      <c r="EK130" s="1534"/>
      <c r="EL130" s="1534"/>
      <c r="EM130" s="341">
        <f>IF(EK130=0,0,(EL130-EK130)/EK130*100)</f>
        <v>0</v>
      </c>
      <c r="EN130" s="1534"/>
      <c r="EO130" s="1534"/>
      <c r="EP130" s="341">
        <f>IF(EN130=0,0,(EO130-EN130)/EN130*100)</f>
        <v>0</v>
      </c>
      <c r="EQ130" s="1534"/>
      <c r="ER130" s="1534"/>
      <c r="ES130" s="341">
        <f>IF(EQ130=0,0,(ER130-EQ130)/EQ130*100)</f>
        <v>0</v>
      </c>
      <c r="ET130" s="1534"/>
      <c r="EU130" s="1534"/>
      <c r="EV130" s="341">
        <f>IF(ET130=0,0,(EU130-ET130)/ET130*100)</f>
        <v>0</v>
      </c>
      <c r="EW130" s="1534"/>
      <c r="EX130" s="1534"/>
      <c r="EY130" s="341">
        <f>IF(EW130=0,0,(EX130-EW130)/EW130*100)</f>
        <v>0</v>
      </c>
      <c r="EZ130" s="1534"/>
      <c r="FA130" s="1534"/>
      <c r="FB130" s="341">
        <f>IF(EZ130=0,0,(FA130-EZ130)/EZ130*100)</f>
        <v>0</v>
      </c>
      <c r="FC130" s="1534"/>
      <c r="FD130" s="1534"/>
      <c r="FE130" s="341">
        <f>IF(FC130=0,0,(FD130-FC130)/FC130*100)</f>
        <v>0</v>
      </c>
      <c r="FF130" s="1534"/>
      <c r="FG130" s="1534"/>
      <c r="FH130" s="341">
        <f>IF(FF130=0,0,(FG130-FF130)/FF130*100)</f>
        <v>0</v>
      </c>
      <c r="FI130" s="1534"/>
      <c r="FJ130" s="1534"/>
      <c r="FK130" s="341">
        <f>IF(FI130=0,0,(FJ130-FI130)/FI130*100)</f>
        <v>0</v>
      </c>
      <c r="FL130" s="1534"/>
      <c r="FM130" s="1534"/>
      <c r="FN130" s="341">
        <f>IF(FL130=0,0,(FM130-FL130)/FL130*100)</f>
        <v>0</v>
      </c>
      <c r="FO130" s="1534"/>
      <c r="FP130" s="1534"/>
      <c r="FQ130" s="341">
        <f>IF(FO130=0,0,(FP130-FO130)/FO130*100)</f>
        <v>0</v>
      </c>
      <c r="FR130" s="1534"/>
      <c r="FS130" s="1534"/>
      <c r="FT130" s="341">
        <f>IF(FR130=0,0,(FS130-FR130)/FR130*100)</f>
        <v>0</v>
      </c>
      <c r="FU130" s="1534"/>
      <c r="FV130" s="1534"/>
      <c r="FW130" s="341">
        <f>IF(FU130=0,0,(FV130-FU130)/FU130*100)</f>
        <v>0</v>
      </c>
      <c r="FX130" s="425"/>
      <c r="FY130" s="425"/>
      <c r="FZ130" s="981" t="s">
        <v>2167</v>
      </c>
      <c r="GA130" s="981"/>
      <c r="GB130" s="981"/>
      <c r="GC130" s="981"/>
      <c r="GD130" s="981"/>
    </row>
    <row r="131" spans="1:186" s="1540" customFormat="1" ht="16.5" customHeight="1">
      <c r="A131" s="307"/>
      <c r="B131" s="813" t="b" cm="1">
        <f t="array" ref="B131">B130</f>
        <v>1</v>
      </c>
      <c r="C131" s="1118" t="s">
        <v>2168</v>
      </c>
      <c r="D131" s="1087" t="s">
        <v>2169</v>
      </c>
      <c r="E131" s="676">
        <v>17.100000000000001</v>
      </c>
      <c r="F131" s="779" t="str" cm="1">
        <f t="array" aca="1" ref="F131" ca="1">OFFSET(G131,-1,-1)</f>
        <v>2</v>
      </c>
      <c r="G131" s="307"/>
      <c r="H131" s="163" t="s">
        <v>536</v>
      </c>
      <c r="I131" s="163" t="s">
        <v>2170</v>
      </c>
      <c r="J131" s="1108" t="s">
        <v>2149</v>
      </c>
      <c r="K131" s="1108" t="str" cm="1">
        <f t="array" aca="1" ref="K131" ca="1">OFFSET(J131,-1,1)</f>
        <v>ТЭ.42.26322895.0004</v>
      </c>
      <c r="L131" s="1108"/>
      <c r="M131" s="1108" t="s">
        <v>1782</v>
      </c>
      <c r="N131" s="1108" t="s">
        <v>2171</v>
      </c>
      <c r="O131" s="1109" t="s">
        <v>2172</v>
      </c>
      <c r="P131" s="1108"/>
      <c r="Q131" s="1108"/>
      <c r="R131" s="307"/>
      <c r="S131" s="307"/>
      <c r="T131" s="687" t="b" cm="1">
        <f t="array" aca="1" ref="T131" ca="1">T130</f>
        <v>1</v>
      </c>
      <c r="U131" s="307"/>
      <c r="V131" s="307"/>
      <c r="W131" s="307"/>
      <c r="X131" s="1853"/>
      <c r="Y131" s="307"/>
      <c r="Z131" s="1853"/>
      <c r="AA131" s="307"/>
      <c r="AB131" s="1140" t="s">
        <v>2173</v>
      </c>
      <c r="AC131" s="308" t="s">
        <v>929</v>
      </c>
      <c r="AD131" s="1532">
        <f ca="1">IF(tax_system="ОСНО",AD125*(1+Сценарии!AE$26%),AD125)</f>
        <v>0</v>
      </c>
      <c r="AE131" s="1532"/>
      <c r="AF131" s="310">
        <f ca="1">IF(AD131=0,0,(AE131-AD131)/AD131*100)</f>
        <v>0</v>
      </c>
      <c r="AG131" s="309">
        <f ca="1">IF(tax_system="ОСНО",AG125*(1+Сценарии!AF$26%),AG125)</f>
        <v>0</v>
      </c>
      <c r="AH131" s="309">
        <f ca="1">IF(tax_system="ОСНО",AH125*(1+Сценарии!AP$26%),AH125)</f>
        <v>0</v>
      </c>
      <c r="AI131" s="310">
        <f ca="1">IF(AG131=0,0,(AH131-AG131)/AG131*100)</f>
        <v>0</v>
      </c>
      <c r="AJ131" s="309">
        <f ca="1">IF(tax_system="ОСНО",AJ125*(1+Сценарии!AG$26%),AJ125)</f>
        <v>0</v>
      </c>
      <c r="AK131" s="309">
        <f ca="1">IF(tax_system="ОСНО",AK125*(1+Сценарии!AQ$26%),AK125)</f>
        <v>0</v>
      </c>
      <c r="AL131" s="310">
        <f ca="1">IF(AJ131=0,0,(AK131-AJ131)/AJ131*100)</f>
        <v>0</v>
      </c>
      <c r="AM131" s="309">
        <f ca="1">IF(tax_system="ОСНО",AM125*(1+Сценарии!AH$26%),AM125)</f>
        <v>0</v>
      </c>
      <c r="AN131" s="309">
        <f ca="1">IF(tax_system="ОСНО",AN125*(1+Сценарии!AR$26%),AN125)</f>
        <v>0</v>
      </c>
      <c r="AO131" s="310">
        <f ca="1">IF(AM131=0,0,(AN131-AM131)/AM131*100)</f>
        <v>0</v>
      </c>
      <c r="AP131" s="309">
        <f ca="1">IF(tax_system="ОСНО",AP125*(1+Сценарии!AI$26%),AP125)</f>
        <v>0</v>
      </c>
      <c r="AQ131" s="309">
        <f ca="1">IF(tax_system="ОСНО",AQ125*(1+Сценарии!AS$26%),AQ125)</f>
        <v>0</v>
      </c>
      <c r="AR131" s="310">
        <f ca="1">IF(AP131=0,0,(AQ131-AP131)/AP131*100)</f>
        <v>0</v>
      </c>
      <c r="AS131" s="1532">
        <f ca="1">IF(tax_system="ОСНО",AS125*(1+Сценарии!AJ$26%),AS125)</f>
        <v>0</v>
      </c>
      <c r="AT131" s="1532">
        <f ca="1">IF(tax_system="ОСНО",AT125*(1+Сценарии!AT$26%),AT125)</f>
        <v>0</v>
      </c>
      <c r="AU131" s="310">
        <f ca="1">IF(AS131=0,0,(AT131-AS131)/AS131*100)</f>
        <v>0</v>
      </c>
      <c r="AV131" s="1532">
        <f ca="1">IF(tax_system="ОСНО",AV125*(1+Сценарии!AK$26%),AV125)</f>
        <v>0</v>
      </c>
      <c r="AW131" s="1532">
        <f ca="1">IF(tax_system="ОСНО",AW125*(1+Сценарии!AU$26%),AW125)</f>
        <v>0</v>
      </c>
      <c r="AX131" s="310">
        <f ca="1">IF(AV131=0,0,(AW131-AV131)/AV131*100)</f>
        <v>0</v>
      </c>
      <c r="AY131" s="1532">
        <f ca="1">IF(tax_system="ОСНО",AY125*(1+Сценарии!AL$26%),AY125)</f>
        <v>0</v>
      </c>
      <c r="AZ131" s="1532">
        <f ca="1">IF(tax_system="ОСНО",AZ125*(1+Сценарии!AV$26%),AZ125)</f>
        <v>0</v>
      </c>
      <c r="BA131" s="310">
        <f ca="1">IF(AY131=0,0,(AZ131-AY131)/AY131*100)</f>
        <v>0</v>
      </c>
      <c r="BB131" s="1532">
        <f ca="1">IF(tax_system="ОСНО",BB125*(1+Сценарии!AM$26%),BB125)</f>
        <v>0</v>
      </c>
      <c r="BC131" s="1532">
        <f ca="1">IF(tax_system="ОСНО",BC125*(1+Сценарии!AW$26%),BC125)</f>
        <v>0</v>
      </c>
      <c r="BD131" s="310">
        <f ca="1">IF(BB131=0,0,(BC131-BB131)/BB131*100)</f>
        <v>0</v>
      </c>
      <c r="BE131" s="1532">
        <f ca="1">IF(tax_system="ОСНО",BE125*(1+Сценарии!AN$26%),BE125)</f>
        <v>0</v>
      </c>
      <c r="BF131" s="1532">
        <f ca="1">IF(tax_system="ОСНО",BF125*(1+Сценарии!AX$26%),BF125)</f>
        <v>0</v>
      </c>
      <c r="BG131" s="310">
        <f ca="1">IF(BE131=0,0,(BF131-BE131)/BE131*100)</f>
        <v>0</v>
      </c>
      <c r="BH131" s="1532"/>
      <c r="BI131" s="1532"/>
      <c r="BJ131" s="310">
        <f>IF(BH131=0,0,(BI131-BH131)/BH131*100)</f>
        <v>0</v>
      </c>
      <c r="BK131" s="1532"/>
      <c r="BL131" s="1532"/>
      <c r="BM131" s="310">
        <f>IF(BK131=0,0,(BL131-BK131)/BK131*100)</f>
        <v>0</v>
      </c>
      <c r="BN131" s="1532"/>
      <c r="BO131" s="1532"/>
      <c r="BP131" s="310">
        <f>IF(BN131=0,0,(BO131-BN131)/BN131*100)</f>
        <v>0</v>
      </c>
      <c r="BQ131" s="1532"/>
      <c r="BR131" s="1532"/>
      <c r="BS131" s="310">
        <f>IF(BQ131=0,0,(BR131-BQ131)/BQ131*100)</f>
        <v>0</v>
      </c>
      <c r="BT131" s="1532"/>
      <c r="BU131" s="1532"/>
      <c r="BV131" s="310">
        <f>IF(BT131=0,0,(BU131-BT131)/BT131*100)</f>
        <v>0</v>
      </c>
      <c r="BW131" s="1532"/>
      <c r="BX131" s="1532"/>
      <c r="BY131" s="310">
        <f>IF(BW131=0,0,(BX131-BW131)/BW131*100)</f>
        <v>0</v>
      </c>
      <c r="BZ131" s="1532"/>
      <c r="CA131" s="1532"/>
      <c r="CB131" s="310">
        <f>IF(BZ131=0,0,(CA131-BZ131)/BZ131*100)</f>
        <v>0</v>
      </c>
      <c r="CC131" s="1532"/>
      <c r="CD131" s="1532"/>
      <c r="CE131" s="310">
        <f>IF(CC131=0,0,(CD131-CC131)/CC131*100)</f>
        <v>0</v>
      </c>
      <c r="CF131" s="1532"/>
      <c r="CG131" s="1532"/>
      <c r="CH131" s="310">
        <f>IF(CF131=0,0,(CG131-CF131)/CF131*100)</f>
        <v>0</v>
      </c>
      <c r="CI131" s="1532"/>
      <c r="CJ131" s="1532"/>
      <c r="CK131" s="310">
        <f>IF(CI131=0,0,(CJ131-CI131)/CI131*100)</f>
        <v>0</v>
      </c>
      <c r="CL131" s="1532"/>
      <c r="CM131" s="1532"/>
      <c r="CN131" s="310">
        <f>IF(CL131=0,0,(CM131-CL131)/CL131*100)</f>
        <v>0</v>
      </c>
      <c r="CO131" s="1532"/>
      <c r="CP131" s="1532"/>
      <c r="CQ131" s="310">
        <f>IF(CO131=0,0,(CP131-CO131)/CO131*100)</f>
        <v>0</v>
      </c>
      <c r="CR131" s="1532"/>
      <c r="CS131" s="1532"/>
      <c r="CT131" s="310">
        <f>IF(CR131=0,0,(CS131-CR131)/CR131*100)</f>
        <v>0</v>
      </c>
      <c r="CU131" s="1532"/>
      <c r="CV131" s="1532"/>
      <c r="CW131" s="310">
        <f>IF(CU131=0,0,(CV131-CU131)/CU131*100)</f>
        <v>0</v>
      </c>
      <c r="CX131" s="1532"/>
      <c r="CY131" s="1532"/>
      <c r="CZ131" s="310">
        <f>IF(CX131=0,0,(CY131-CX131)/CX131*100)</f>
        <v>0</v>
      </c>
      <c r="DA131" s="1532"/>
      <c r="DB131" s="1532"/>
      <c r="DC131" s="310">
        <f>IF(DA131=0,0,(DB131-DA131)/DA131*100)</f>
        <v>0</v>
      </c>
      <c r="DD131" s="1532"/>
      <c r="DE131" s="1532"/>
      <c r="DF131" s="310">
        <f>IF(DD131=0,0,(DE131-DD131)/DD131*100)</f>
        <v>0</v>
      </c>
      <c r="DG131" s="1532"/>
      <c r="DH131" s="1532"/>
      <c r="DI131" s="310">
        <f>IF(DG131=0,0,(DH131-DG131)/DG131*100)</f>
        <v>0</v>
      </c>
      <c r="DJ131" s="1532"/>
      <c r="DK131" s="1532"/>
      <c r="DL131" s="310">
        <f>IF(DJ131=0,0,(DK131-DJ131)/DJ131*100)</f>
        <v>0</v>
      </c>
      <c r="DM131" s="1532"/>
      <c r="DN131" s="1532"/>
      <c r="DO131" s="310">
        <f>IF(DM131=0,0,(DN131-DM131)/DM131*100)</f>
        <v>0</v>
      </c>
      <c r="DP131" s="1532"/>
      <c r="DQ131" s="1532"/>
      <c r="DR131" s="310">
        <f>IF(DP131=0,0,(DQ131-DP131)/DP131*100)</f>
        <v>0</v>
      </c>
      <c r="DS131" s="1532"/>
      <c r="DT131" s="1532"/>
      <c r="DU131" s="310">
        <f>IF(DS131=0,0,(DT131-DS131)/DS131*100)</f>
        <v>0</v>
      </c>
      <c r="DV131" s="1532"/>
      <c r="DW131" s="1532"/>
      <c r="DX131" s="310">
        <f>IF(DV131=0,0,(DW131-DV131)/DV131*100)</f>
        <v>0</v>
      </c>
      <c r="DY131" s="1532"/>
      <c r="DZ131" s="1532"/>
      <c r="EA131" s="310">
        <f>IF(DY131=0,0,(DZ131-DY131)/DY131*100)</f>
        <v>0</v>
      </c>
      <c r="EB131" s="1532"/>
      <c r="EC131" s="1532"/>
      <c r="ED131" s="310">
        <f>IF(EB131=0,0,(EC131-EB131)/EB131*100)</f>
        <v>0</v>
      </c>
      <c r="EE131" s="1532"/>
      <c r="EF131" s="1532"/>
      <c r="EG131" s="310">
        <f>IF(EE131=0,0,(EF131-EE131)/EE131*100)</f>
        <v>0</v>
      </c>
      <c r="EH131" s="1532"/>
      <c r="EI131" s="1532"/>
      <c r="EJ131" s="310">
        <f>IF(EH131=0,0,(EI131-EH131)/EH131*100)</f>
        <v>0</v>
      </c>
      <c r="EK131" s="1532"/>
      <c r="EL131" s="1532"/>
      <c r="EM131" s="310">
        <f>IF(EK131=0,0,(EL131-EK131)/EK131*100)</f>
        <v>0</v>
      </c>
      <c r="EN131" s="1532"/>
      <c r="EO131" s="1532"/>
      <c r="EP131" s="310">
        <f>IF(EN131=0,0,(EO131-EN131)/EN131*100)</f>
        <v>0</v>
      </c>
      <c r="EQ131" s="1532"/>
      <c r="ER131" s="1532"/>
      <c r="ES131" s="310">
        <f>IF(EQ131=0,0,(ER131-EQ131)/EQ131*100)</f>
        <v>0</v>
      </c>
      <c r="ET131" s="1532"/>
      <c r="EU131" s="1532"/>
      <c r="EV131" s="310">
        <f>IF(ET131=0,0,(EU131-ET131)/ET131*100)</f>
        <v>0</v>
      </c>
      <c r="EW131" s="1532"/>
      <c r="EX131" s="1532"/>
      <c r="EY131" s="310">
        <f>IF(EW131=0,0,(EX131-EW131)/EW131*100)</f>
        <v>0</v>
      </c>
      <c r="EZ131" s="1532"/>
      <c r="FA131" s="1532"/>
      <c r="FB131" s="310">
        <f>IF(EZ131=0,0,(FA131-EZ131)/EZ131*100)</f>
        <v>0</v>
      </c>
      <c r="FC131" s="1532"/>
      <c r="FD131" s="1532"/>
      <c r="FE131" s="310">
        <f>IF(FC131=0,0,(FD131-FC131)/FC131*100)</f>
        <v>0</v>
      </c>
      <c r="FF131" s="1532"/>
      <c r="FG131" s="1532"/>
      <c r="FH131" s="310">
        <f>IF(FF131=0,0,(FG131-FF131)/FF131*100)</f>
        <v>0</v>
      </c>
      <c r="FI131" s="1532"/>
      <c r="FJ131" s="1532"/>
      <c r="FK131" s="310">
        <f>IF(FI131=0,0,(FJ131-FI131)/FI131*100)</f>
        <v>0</v>
      </c>
      <c r="FL131" s="1532"/>
      <c r="FM131" s="1532"/>
      <c r="FN131" s="310">
        <f>IF(FL131=0,0,(FM131-FL131)/FL131*100)</f>
        <v>0</v>
      </c>
      <c r="FO131" s="1532"/>
      <c r="FP131" s="1532"/>
      <c r="FQ131" s="310">
        <f>IF(FO131=0,0,(FP131-FO131)/FO131*100)</f>
        <v>0</v>
      </c>
      <c r="FR131" s="1532"/>
      <c r="FS131" s="1532"/>
      <c r="FT131" s="310">
        <f>IF(FR131=0,0,(FS131-FR131)/FR131*100)</f>
        <v>0</v>
      </c>
      <c r="FU131" s="1532"/>
      <c r="FV131" s="1532"/>
      <c r="FW131" s="310">
        <f>IF(FU131=0,0,(FV131-FU131)/FU131*100)</f>
        <v>0</v>
      </c>
      <c r="FX131" s="307"/>
      <c r="FY131" s="307"/>
      <c r="FZ131" s="981" t="s">
        <v>2174</v>
      </c>
      <c r="GA131" s="981"/>
      <c r="GB131" s="981"/>
      <c r="GC131" s="981"/>
      <c r="GD131" s="981"/>
    </row>
    <row r="132" spans="1:186" s="1541" customFormat="1" ht="16.5" customHeight="1">
      <c r="A132" s="307"/>
      <c r="B132" s="813" t="b" cm="1">
        <f t="array" ref="B132">B131</f>
        <v>1</v>
      </c>
      <c r="C132" s="1118" t="s">
        <v>2168</v>
      </c>
      <c r="D132" s="1087" t="s">
        <v>2169</v>
      </c>
      <c r="E132" s="676">
        <v>17.100000000000001</v>
      </c>
      <c r="F132" s="779" t="str" cm="1">
        <f t="array" aca="1" ref="F132" ca="1">OFFSET(G132,-1,-1)</f>
        <v>2</v>
      </c>
      <c r="G132" s="307"/>
      <c r="H132" s="163" t="s">
        <v>536</v>
      </c>
      <c r="I132" s="163" t="s">
        <v>2175</v>
      </c>
      <c r="J132" s="1108" t="s">
        <v>2149</v>
      </c>
      <c r="K132" s="1108" t="str" cm="1">
        <f t="array" aca="1" ref="K132" ca="1">OFFSET(J132,-1,1)</f>
        <v>ТЭ.42.26322895.0004</v>
      </c>
      <c r="L132" s="1108"/>
      <c r="M132" s="1108" t="s">
        <v>1791</v>
      </c>
      <c r="N132" s="1108" t="s">
        <v>2171</v>
      </c>
      <c r="O132" s="1109" t="s">
        <v>2172</v>
      </c>
      <c r="P132" s="1108"/>
      <c r="Q132" s="1108"/>
      <c r="R132" s="307"/>
      <c r="S132" s="307"/>
      <c r="T132" s="687" t="b" cm="1">
        <f t="array" aca="1" ref="T132" ca="1">T131</f>
        <v>1</v>
      </c>
      <c r="U132" s="307"/>
      <c r="V132" s="307"/>
      <c r="W132" s="307"/>
      <c r="X132" s="1853"/>
      <c r="Y132" s="307"/>
      <c r="Z132" s="1853"/>
      <c r="AA132" s="307"/>
      <c r="AB132" s="1140" t="s">
        <v>2176</v>
      </c>
      <c r="AC132" s="308" t="s">
        <v>929</v>
      </c>
      <c r="AD132" s="1532">
        <f ca="1">IF(tax_system="ОСНО",AD126*(1+Сценарии!AE$26%),AD126)</f>
        <v>0</v>
      </c>
      <c r="AE132" s="1532"/>
      <c r="AF132" s="310">
        <f ca="1">IF(AD132=0,0,(AE132-AD132)/AD132*100)</f>
        <v>0</v>
      </c>
      <c r="AG132" s="309">
        <f ca="1">IF(tax_system="ОСНО",AG126*(1+Сценарии!AF$26%),AG126)</f>
        <v>0</v>
      </c>
      <c r="AH132" s="309">
        <f ca="1">IF(tax_system="ОСНО",AH126*(1+Сценарии!AP$26%),AH126)</f>
        <v>0</v>
      </c>
      <c r="AI132" s="310">
        <f ca="1">IF(AG132=0,0,(AH132-AG132)/AG132*100)</f>
        <v>0</v>
      </c>
      <c r="AJ132" s="309">
        <f ca="1">IF(tax_system="ОСНО",AJ126*(1+Сценарии!AG$26%),AJ126)</f>
        <v>0</v>
      </c>
      <c r="AK132" s="309">
        <f ca="1">IF(tax_system="ОСНО",AK126*(1+Сценарии!AQ$26%),AK126)</f>
        <v>0</v>
      </c>
      <c r="AL132" s="310">
        <f ca="1">IF(AJ132=0,0,(AK132-AJ132)/AJ132*100)</f>
        <v>0</v>
      </c>
      <c r="AM132" s="309">
        <f ca="1">IF(tax_system="ОСНО",AM126*(1+Сценарии!AH$26%),AM126)</f>
        <v>0</v>
      </c>
      <c r="AN132" s="309">
        <f ca="1">IF(tax_system="ОСНО",AN126*(1+Сценарии!AR$26%),AN126)</f>
        <v>0</v>
      </c>
      <c r="AO132" s="310">
        <f ca="1">IF(AM132=0,0,(AN132-AM132)/AM132*100)</f>
        <v>0</v>
      </c>
      <c r="AP132" s="309">
        <f ca="1">IF(tax_system="ОСНО",AP126*(1+Сценарии!AI$26%),AP126)</f>
        <v>0</v>
      </c>
      <c r="AQ132" s="309">
        <f ca="1">IF(tax_system="ОСНО",AQ126*(1+Сценарии!AS$26%),AQ126)</f>
        <v>0</v>
      </c>
      <c r="AR132" s="310">
        <f ca="1">IF(AP132=0,0,(AQ132-AP132)/AP132*100)</f>
        <v>0</v>
      </c>
      <c r="AS132" s="1532">
        <f ca="1">IF(tax_system="ОСНО",AS126*(1+Сценарии!AJ$26%),AS126)</f>
        <v>0</v>
      </c>
      <c r="AT132" s="1532">
        <f ca="1">IF(tax_system="ОСНО",AT126*(1+Сценарии!AT$26%),AT126)</f>
        <v>0</v>
      </c>
      <c r="AU132" s="310">
        <f ca="1">IF(AS132=0,0,(AT132-AS132)/AS132*100)</f>
        <v>0</v>
      </c>
      <c r="AV132" s="1532">
        <f ca="1">IF(tax_system="ОСНО",AV126*(1+Сценарии!AK$26%),AV126)</f>
        <v>0</v>
      </c>
      <c r="AW132" s="1532">
        <f ca="1">IF(tax_system="ОСНО",AW126*(1+Сценарии!AU$26%),AW126)</f>
        <v>0</v>
      </c>
      <c r="AX132" s="310">
        <f ca="1">IF(AV132=0,0,(AW132-AV132)/AV132*100)</f>
        <v>0</v>
      </c>
      <c r="AY132" s="1532">
        <f ca="1">IF(tax_system="ОСНО",AY126*(1+Сценарии!AL$26%),AY126)</f>
        <v>0</v>
      </c>
      <c r="AZ132" s="1532">
        <f ca="1">IF(tax_system="ОСНО",AZ126*(1+Сценарии!AV$26%),AZ126)</f>
        <v>0</v>
      </c>
      <c r="BA132" s="310">
        <f ca="1">IF(AY132=0,0,(AZ132-AY132)/AY132*100)</f>
        <v>0</v>
      </c>
      <c r="BB132" s="1532">
        <f ca="1">IF(tax_system="ОСНО",BB126*(1+Сценарии!AM$26%),BB126)</f>
        <v>0</v>
      </c>
      <c r="BC132" s="1532">
        <f ca="1">IF(tax_system="ОСНО",BC126*(1+Сценарии!AW$26%),BC126)</f>
        <v>0</v>
      </c>
      <c r="BD132" s="310">
        <f ca="1">IF(BB132=0,0,(BC132-BB132)/BB132*100)</f>
        <v>0</v>
      </c>
      <c r="BE132" s="1532">
        <f ca="1">IF(tax_system="ОСНО",BE126*(1+Сценарии!AN$26%),BE126)</f>
        <v>0</v>
      </c>
      <c r="BF132" s="1532">
        <f ca="1">IF(tax_system="ОСНО",BF126*(1+Сценарии!AX$26%),BF126)</f>
        <v>0</v>
      </c>
      <c r="BG132" s="310">
        <f ca="1">IF(BE132=0,0,(BF132-BE132)/BE132*100)</f>
        <v>0</v>
      </c>
      <c r="BH132" s="1532"/>
      <c r="BI132" s="1532"/>
      <c r="BJ132" s="310">
        <f>IF(BH132=0,0,(BI132-BH132)/BH132*100)</f>
        <v>0</v>
      </c>
      <c r="BK132" s="1532"/>
      <c r="BL132" s="1532"/>
      <c r="BM132" s="310">
        <f>IF(BK132=0,0,(BL132-BK132)/BK132*100)</f>
        <v>0</v>
      </c>
      <c r="BN132" s="1532"/>
      <c r="BO132" s="1532"/>
      <c r="BP132" s="310">
        <f>IF(BN132=0,0,(BO132-BN132)/BN132*100)</f>
        <v>0</v>
      </c>
      <c r="BQ132" s="1532"/>
      <c r="BR132" s="1532"/>
      <c r="BS132" s="310">
        <f>IF(BQ132=0,0,(BR132-BQ132)/BQ132*100)</f>
        <v>0</v>
      </c>
      <c r="BT132" s="1532"/>
      <c r="BU132" s="1532"/>
      <c r="BV132" s="310">
        <f>IF(BT132=0,0,(BU132-BT132)/BT132*100)</f>
        <v>0</v>
      </c>
      <c r="BW132" s="1532"/>
      <c r="BX132" s="1532"/>
      <c r="BY132" s="310">
        <f>IF(BW132=0,0,(BX132-BW132)/BW132*100)</f>
        <v>0</v>
      </c>
      <c r="BZ132" s="1532"/>
      <c r="CA132" s="1532"/>
      <c r="CB132" s="310">
        <f>IF(BZ132=0,0,(CA132-BZ132)/BZ132*100)</f>
        <v>0</v>
      </c>
      <c r="CC132" s="1532"/>
      <c r="CD132" s="1532"/>
      <c r="CE132" s="310">
        <f>IF(CC132=0,0,(CD132-CC132)/CC132*100)</f>
        <v>0</v>
      </c>
      <c r="CF132" s="1532"/>
      <c r="CG132" s="1532"/>
      <c r="CH132" s="310">
        <f>IF(CF132=0,0,(CG132-CF132)/CF132*100)</f>
        <v>0</v>
      </c>
      <c r="CI132" s="1532"/>
      <c r="CJ132" s="1532"/>
      <c r="CK132" s="310">
        <f>IF(CI132=0,0,(CJ132-CI132)/CI132*100)</f>
        <v>0</v>
      </c>
      <c r="CL132" s="1532"/>
      <c r="CM132" s="1532"/>
      <c r="CN132" s="310">
        <f>IF(CL132=0,0,(CM132-CL132)/CL132*100)</f>
        <v>0</v>
      </c>
      <c r="CO132" s="1532"/>
      <c r="CP132" s="1532"/>
      <c r="CQ132" s="310">
        <f>IF(CO132=0,0,(CP132-CO132)/CO132*100)</f>
        <v>0</v>
      </c>
      <c r="CR132" s="1532"/>
      <c r="CS132" s="1532"/>
      <c r="CT132" s="310">
        <f>IF(CR132=0,0,(CS132-CR132)/CR132*100)</f>
        <v>0</v>
      </c>
      <c r="CU132" s="1532"/>
      <c r="CV132" s="1532"/>
      <c r="CW132" s="310">
        <f>IF(CU132=0,0,(CV132-CU132)/CU132*100)</f>
        <v>0</v>
      </c>
      <c r="CX132" s="1532"/>
      <c r="CY132" s="1532"/>
      <c r="CZ132" s="310">
        <f>IF(CX132=0,0,(CY132-CX132)/CX132*100)</f>
        <v>0</v>
      </c>
      <c r="DA132" s="1532"/>
      <c r="DB132" s="1532"/>
      <c r="DC132" s="310">
        <f>IF(DA132=0,0,(DB132-DA132)/DA132*100)</f>
        <v>0</v>
      </c>
      <c r="DD132" s="1532"/>
      <c r="DE132" s="1532"/>
      <c r="DF132" s="310">
        <f>IF(DD132=0,0,(DE132-DD132)/DD132*100)</f>
        <v>0</v>
      </c>
      <c r="DG132" s="1532"/>
      <c r="DH132" s="1532"/>
      <c r="DI132" s="310">
        <f>IF(DG132=0,0,(DH132-DG132)/DG132*100)</f>
        <v>0</v>
      </c>
      <c r="DJ132" s="1532"/>
      <c r="DK132" s="1532"/>
      <c r="DL132" s="310">
        <f>IF(DJ132=0,0,(DK132-DJ132)/DJ132*100)</f>
        <v>0</v>
      </c>
      <c r="DM132" s="1532"/>
      <c r="DN132" s="1532"/>
      <c r="DO132" s="310">
        <f>IF(DM132=0,0,(DN132-DM132)/DM132*100)</f>
        <v>0</v>
      </c>
      <c r="DP132" s="1532"/>
      <c r="DQ132" s="1532"/>
      <c r="DR132" s="310">
        <f>IF(DP132=0,0,(DQ132-DP132)/DP132*100)</f>
        <v>0</v>
      </c>
      <c r="DS132" s="1532"/>
      <c r="DT132" s="1532"/>
      <c r="DU132" s="310">
        <f>IF(DS132=0,0,(DT132-DS132)/DS132*100)</f>
        <v>0</v>
      </c>
      <c r="DV132" s="1532"/>
      <c r="DW132" s="1532"/>
      <c r="DX132" s="310">
        <f>IF(DV132=0,0,(DW132-DV132)/DV132*100)</f>
        <v>0</v>
      </c>
      <c r="DY132" s="1532"/>
      <c r="DZ132" s="1532"/>
      <c r="EA132" s="310">
        <f>IF(DY132=0,0,(DZ132-DY132)/DY132*100)</f>
        <v>0</v>
      </c>
      <c r="EB132" s="1532"/>
      <c r="EC132" s="1532"/>
      <c r="ED132" s="310">
        <f>IF(EB132=0,0,(EC132-EB132)/EB132*100)</f>
        <v>0</v>
      </c>
      <c r="EE132" s="1532"/>
      <c r="EF132" s="1532"/>
      <c r="EG132" s="310">
        <f>IF(EE132=0,0,(EF132-EE132)/EE132*100)</f>
        <v>0</v>
      </c>
      <c r="EH132" s="1532"/>
      <c r="EI132" s="1532"/>
      <c r="EJ132" s="310">
        <f>IF(EH132=0,0,(EI132-EH132)/EH132*100)</f>
        <v>0</v>
      </c>
      <c r="EK132" s="1532"/>
      <c r="EL132" s="1532"/>
      <c r="EM132" s="310">
        <f>IF(EK132=0,0,(EL132-EK132)/EK132*100)</f>
        <v>0</v>
      </c>
      <c r="EN132" s="1532"/>
      <c r="EO132" s="1532"/>
      <c r="EP132" s="310">
        <f>IF(EN132=0,0,(EO132-EN132)/EN132*100)</f>
        <v>0</v>
      </c>
      <c r="EQ132" s="1532"/>
      <c r="ER132" s="1532"/>
      <c r="ES132" s="310">
        <f>IF(EQ132=0,0,(ER132-EQ132)/EQ132*100)</f>
        <v>0</v>
      </c>
      <c r="ET132" s="1532"/>
      <c r="EU132" s="1532"/>
      <c r="EV132" s="310">
        <f>IF(ET132=0,0,(EU132-ET132)/ET132*100)</f>
        <v>0</v>
      </c>
      <c r="EW132" s="1532"/>
      <c r="EX132" s="1532"/>
      <c r="EY132" s="310">
        <f>IF(EW132=0,0,(EX132-EW132)/EW132*100)</f>
        <v>0</v>
      </c>
      <c r="EZ132" s="1532"/>
      <c r="FA132" s="1532"/>
      <c r="FB132" s="310">
        <f>IF(EZ132=0,0,(FA132-EZ132)/EZ132*100)</f>
        <v>0</v>
      </c>
      <c r="FC132" s="1532"/>
      <c r="FD132" s="1532"/>
      <c r="FE132" s="310">
        <f>IF(FC132=0,0,(FD132-FC132)/FC132*100)</f>
        <v>0</v>
      </c>
      <c r="FF132" s="1532"/>
      <c r="FG132" s="1532"/>
      <c r="FH132" s="310">
        <f>IF(FF132=0,0,(FG132-FF132)/FF132*100)</f>
        <v>0</v>
      </c>
      <c r="FI132" s="1532"/>
      <c r="FJ132" s="1532"/>
      <c r="FK132" s="310">
        <f>IF(FI132=0,0,(FJ132-FI132)/FI132*100)</f>
        <v>0</v>
      </c>
      <c r="FL132" s="1532"/>
      <c r="FM132" s="1532"/>
      <c r="FN132" s="310">
        <f>IF(FL132=0,0,(FM132-FL132)/FL132*100)</f>
        <v>0</v>
      </c>
      <c r="FO132" s="1532"/>
      <c r="FP132" s="1532"/>
      <c r="FQ132" s="310">
        <f>IF(FO132=0,0,(FP132-FO132)/FO132*100)</f>
        <v>0</v>
      </c>
      <c r="FR132" s="1532"/>
      <c r="FS132" s="1532"/>
      <c r="FT132" s="310">
        <f>IF(FR132=0,0,(FS132-FR132)/FR132*100)</f>
        <v>0</v>
      </c>
      <c r="FU132" s="1532"/>
      <c r="FV132" s="1532"/>
      <c r="FW132" s="310">
        <f>IF(FU132=0,0,(FV132-FU132)/FU132*100)</f>
        <v>0</v>
      </c>
      <c r="FX132" s="307"/>
      <c r="FY132" s="307"/>
      <c r="FZ132" s="981" t="s">
        <v>2177</v>
      </c>
      <c r="GA132" s="981"/>
      <c r="GB132" s="981"/>
      <c r="GC132" s="981"/>
      <c r="GD132" s="981"/>
    </row>
    <row r="133" spans="1:186" s="1229" customFormat="1" ht="16.5" customHeight="1">
      <c r="A133" s="1153"/>
      <c r="B133" s="813" t="b" cm="1">
        <f t="array" ref="B133">B132</f>
        <v>1</v>
      </c>
      <c r="C133" s="1118" t="s">
        <v>1797</v>
      </c>
      <c r="D133" s="1087" t="s">
        <v>1798</v>
      </c>
      <c r="E133" s="676">
        <v>17.100000000000001</v>
      </c>
      <c r="F133" s="779" t="str" cm="1">
        <f t="array" aca="1" ref="F133" ca="1">OFFSET(G133,-1,-1)</f>
        <v>2</v>
      </c>
      <c r="G133" s="425"/>
      <c r="H133" s="163" t="s">
        <v>539</v>
      </c>
      <c r="I133" s="163" t="s">
        <v>2178</v>
      </c>
      <c r="J133" s="1108" t="s">
        <v>2149</v>
      </c>
      <c r="K133" s="1108" t="str" cm="1">
        <f t="array" aca="1" ref="K133" ca="1">OFFSET(J133,-1,1)</f>
        <v>ТЭ.42.26322895.0004</v>
      </c>
      <c r="L133" s="1108" t="s">
        <v>2159</v>
      </c>
      <c r="M133" s="1108"/>
      <c r="N133" s="1108" t="s">
        <v>2171</v>
      </c>
      <c r="O133" s="1109" t="s">
        <v>2172</v>
      </c>
      <c r="P133" s="1108"/>
      <c r="Q133" s="1108"/>
      <c r="R133" s="784"/>
      <c r="S133" s="425"/>
      <c r="T133" s="687" t="b" cm="1">
        <f t="array" aca="1" ref="T133" ca="1">T132</f>
        <v>1</v>
      </c>
      <c r="U133" s="1153"/>
      <c r="V133" s="1153"/>
      <c r="W133" s="1153"/>
      <c r="X133" s="1726"/>
      <c r="Y133" s="1153"/>
      <c r="Z133" s="1726"/>
      <c r="AA133" s="425"/>
      <c r="AB133" s="887" t="s">
        <v>2160</v>
      </c>
      <c r="AC133" s="123" t="s">
        <v>533</v>
      </c>
      <c r="AD133" s="876">
        <f ca="1">IF(AD131=0,0,AD132/AD131)</f>
        <v>0</v>
      </c>
      <c r="AE133" s="876">
        <f>IF(AE131=0,0,AE132/AE131)</f>
        <v>0</v>
      </c>
      <c r="AF133" s="341"/>
      <c r="AG133" s="876">
        <f ca="1">IF(AG131=0,0,AG132/AG131)</f>
        <v>0</v>
      </c>
      <c r="AH133" s="876">
        <f ca="1">IF(AH131=0,0,AH132/AH131)</f>
        <v>0</v>
      </c>
      <c r="AI133" s="341"/>
      <c r="AJ133" s="876">
        <f ca="1">IF(AJ131=0,0,AJ132/AJ131)</f>
        <v>0</v>
      </c>
      <c r="AK133" s="876">
        <f ca="1">IF(AK131=0,0,AK132/AK131)</f>
        <v>0</v>
      </c>
      <c r="AL133" s="341"/>
      <c r="AM133" s="876">
        <f ca="1">IF(AM131=0,0,AM132/AM131)</f>
        <v>0</v>
      </c>
      <c r="AN133" s="876">
        <f ca="1">IF(AN131=0,0,AN132/AN131)</f>
        <v>0</v>
      </c>
      <c r="AO133" s="341"/>
      <c r="AP133" s="876">
        <f ca="1">IF(AP131=0,0,AP132/AP131)</f>
        <v>0</v>
      </c>
      <c r="AQ133" s="876">
        <f ca="1">IF(AQ131=0,0,AQ132/AQ131)</f>
        <v>0</v>
      </c>
      <c r="AR133" s="341"/>
      <c r="AS133" s="876">
        <f ca="1">IF(AS131=0,0,AS132/AS131)</f>
        <v>0</v>
      </c>
      <c r="AT133" s="876">
        <f ca="1">IF(AT131=0,0,AT132/AT131)</f>
        <v>0</v>
      </c>
      <c r="AU133" s="341"/>
      <c r="AV133" s="876">
        <f ca="1">IF(AV131=0,0,AV132/AV131)</f>
        <v>0</v>
      </c>
      <c r="AW133" s="876">
        <f ca="1">IF(AW131=0,0,AW132/AW131)</f>
        <v>0</v>
      </c>
      <c r="AX133" s="341"/>
      <c r="AY133" s="876">
        <f ca="1">IF(AY131=0,0,AY132/AY131)</f>
        <v>0</v>
      </c>
      <c r="AZ133" s="876">
        <f ca="1">IF(AZ131=0,0,AZ132/AZ131)</f>
        <v>0</v>
      </c>
      <c r="BA133" s="341"/>
      <c r="BB133" s="876">
        <f ca="1">IF(BB131=0,0,BB132/BB131)</f>
        <v>0</v>
      </c>
      <c r="BC133" s="876">
        <f ca="1">IF(BC131=0,0,BC132/BC131)</f>
        <v>0</v>
      </c>
      <c r="BD133" s="341"/>
      <c r="BE133" s="876">
        <f ca="1">IF(BE131=0,0,BE132/BE131)</f>
        <v>0</v>
      </c>
      <c r="BF133" s="876">
        <f ca="1">IF(BF131=0,0,BF132/BF131)</f>
        <v>0</v>
      </c>
      <c r="BG133" s="341"/>
      <c r="BH133" s="876">
        <f>IF(BH131=0,0,BH132/BH131)</f>
        <v>0</v>
      </c>
      <c r="BI133" s="876">
        <f>IF(BI131=0,0,BI132/BI131)</f>
        <v>0</v>
      </c>
      <c r="BJ133" s="312"/>
      <c r="BK133" s="876">
        <f>IF(BK131=0,0,BK132/BK131)</f>
        <v>0</v>
      </c>
      <c r="BL133" s="876">
        <f>IF(BL131=0,0,BL132/BL131)</f>
        <v>0</v>
      </c>
      <c r="BM133" s="312"/>
      <c r="BN133" s="876">
        <f>IF(BN131=0,0,BN132/BN131)</f>
        <v>0</v>
      </c>
      <c r="BO133" s="876">
        <f>IF(BO131=0,0,BO132/BO131)</f>
        <v>0</v>
      </c>
      <c r="BP133" s="312"/>
      <c r="BQ133" s="876">
        <f>IF(BQ131=0,0,BQ132/BQ131)</f>
        <v>0</v>
      </c>
      <c r="BR133" s="876">
        <f>IF(BR131=0,0,BR132/BR131)</f>
        <v>0</v>
      </c>
      <c r="BS133" s="312"/>
      <c r="BT133" s="876">
        <f>IF(BT131=0,0,BT132/BT131)</f>
        <v>0</v>
      </c>
      <c r="BU133" s="876">
        <f>IF(BU131=0,0,BU132/BU131)</f>
        <v>0</v>
      </c>
      <c r="BV133" s="312"/>
      <c r="BW133" s="876">
        <f>IF(BW131=0,0,BW132/BW131)</f>
        <v>0</v>
      </c>
      <c r="BX133" s="876">
        <f>IF(BX131=0,0,BX132/BX131)</f>
        <v>0</v>
      </c>
      <c r="BY133" s="312"/>
      <c r="BZ133" s="876">
        <f>IF(BZ131=0,0,BZ132/BZ131)</f>
        <v>0</v>
      </c>
      <c r="CA133" s="876">
        <f>IF(CA131=0,0,CA132/CA131)</f>
        <v>0</v>
      </c>
      <c r="CB133" s="312"/>
      <c r="CC133" s="876">
        <f>IF(CC131=0,0,CC132/CC131)</f>
        <v>0</v>
      </c>
      <c r="CD133" s="876">
        <f>IF(CD131=0,0,CD132/CD131)</f>
        <v>0</v>
      </c>
      <c r="CE133" s="312"/>
      <c r="CF133" s="876">
        <f>IF(CF131=0,0,CF132/CF131)</f>
        <v>0</v>
      </c>
      <c r="CG133" s="876">
        <f>IF(CG131=0,0,CG132/CG131)</f>
        <v>0</v>
      </c>
      <c r="CH133" s="312"/>
      <c r="CI133" s="876">
        <f>IF(CI131=0,0,CI132/CI131)</f>
        <v>0</v>
      </c>
      <c r="CJ133" s="876">
        <f>IF(CJ131=0,0,CJ132/CJ131)</f>
        <v>0</v>
      </c>
      <c r="CK133" s="312"/>
      <c r="CL133" s="876">
        <f>IF(CL131=0,0,CL132/CL131)</f>
        <v>0</v>
      </c>
      <c r="CM133" s="876">
        <f>IF(CM131=0,0,CM132/CM131)</f>
        <v>0</v>
      </c>
      <c r="CN133" s="312"/>
      <c r="CO133" s="876">
        <f>IF(CO131=0,0,CO132/CO131)</f>
        <v>0</v>
      </c>
      <c r="CP133" s="876">
        <f>IF(CP131=0,0,CP132/CP131)</f>
        <v>0</v>
      </c>
      <c r="CQ133" s="312"/>
      <c r="CR133" s="876">
        <f>IF(CR131=0,0,CR132/CR131)</f>
        <v>0</v>
      </c>
      <c r="CS133" s="876">
        <f>IF(CS131=0,0,CS132/CS131)</f>
        <v>0</v>
      </c>
      <c r="CT133" s="312"/>
      <c r="CU133" s="876">
        <f>IF(CU131=0,0,CU132/CU131)</f>
        <v>0</v>
      </c>
      <c r="CV133" s="876">
        <f>IF(CV131=0,0,CV132/CV131)</f>
        <v>0</v>
      </c>
      <c r="CW133" s="312"/>
      <c r="CX133" s="876">
        <f>IF(CX131=0,0,CX132/CX131)</f>
        <v>0</v>
      </c>
      <c r="CY133" s="876">
        <f>IF(CY131=0,0,CY132/CY131)</f>
        <v>0</v>
      </c>
      <c r="CZ133" s="312"/>
      <c r="DA133" s="876">
        <f>IF(DA131=0,0,DA132/DA131)</f>
        <v>0</v>
      </c>
      <c r="DB133" s="876">
        <f>IF(DB131=0,0,DB132/DB131)</f>
        <v>0</v>
      </c>
      <c r="DC133" s="312"/>
      <c r="DD133" s="876">
        <f>IF(DD131=0,0,DD132/DD131)</f>
        <v>0</v>
      </c>
      <c r="DE133" s="876">
        <f>IF(DE131=0,0,DE132/DE131)</f>
        <v>0</v>
      </c>
      <c r="DF133" s="312"/>
      <c r="DG133" s="876">
        <f>IF(DG131=0,0,DG132/DG131)</f>
        <v>0</v>
      </c>
      <c r="DH133" s="876">
        <f>IF(DH131=0,0,DH132/DH131)</f>
        <v>0</v>
      </c>
      <c r="DI133" s="312"/>
      <c r="DJ133" s="876">
        <f>IF(DJ131=0,0,DJ132/DJ131)</f>
        <v>0</v>
      </c>
      <c r="DK133" s="876">
        <f>IF(DK131=0,0,DK132/DK131)</f>
        <v>0</v>
      </c>
      <c r="DL133" s="312"/>
      <c r="DM133" s="876">
        <f>IF(DM131=0,0,DM132/DM131)</f>
        <v>0</v>
      </c>
      <c r="DN133" s="876">
        <f>IF(DN131=0,0,DN132/DN131)</f>
        <v>0</v>
      </c>
      <c r="DO133" s="312"/>
      <c r="DP133" s="876">
        <f>IF(DP131=0,0,DP132/DP131)</f>
        <v>0</v>
      </c>
      <c r="DQ133" s="876">
        <f>IF(DQ131=0,0,DQ132/DQ131)</f>
        <v>0</v>
      </c>
      <c r="DR133" s="312"/>
      <c r="DS133" s="876">
        <f>IF(DS131=0,0,DS132/DS131)</f>
        <v>0</v>
      </c>
      <c r="DT133" s="876">
        <f>IF(DT131=0,0,DT132/DT131)</f>
        <v>0</v>
      </c>
      <c r="DU133" s="312"/>
      <c r="DV133" s="876">
        <f>IF(DV131=0,0,DV132/DV131)</f>
        <v>0</v>
      </c>
      <c r="DW133" s="876">
        <f>IF(DW131=0,0,DW132/DW131)</f>
        <v>0</v>
      </c>
      <c r="DX133" s="312"/>
      <c r="DY133" s="876">
        <f>IF(DY131=0,0,DY132/DY131)</f>
        <v>0</v>
      </c>
      <c r="DZ133" s="876">
        <f>IF(DZ131=0,0,DZ132/DZ131)</f>
        <v>0</v>
      </c>
      <c r="EA133" s="312"/>
      <c r="EB133" s="876">
        <f>IF(EB131=0,0,EB132/EB131)</f>
        <v>0</v>
      </c>
      <c r="EC133" s="876">
        <f>IF(EC131=0,0,EC132/EC131)</f>
        <v>0</v>
      </c>
      <c r="ED133" s="312"/>
      <c r="EE133" s="876">
        <f>IF(EE131=0,0,EE132/EE131)</f>
        <v>0</v>
      </c>
      <c r="EF133" s="876">
        <f>IF(EF131=0,0,EF132/EF131)</f>
        <v>0</v>
      </c>
      <c r="EG133" s="312"/>
      <c r="EH133" s="876">
        <f>IF(EH131=0,0,EH132/EH131)</f>
        <v>0</v>
      </c>
      <c r="EI133" s="876">
        <f>IF(EI131=0,0,EI132/EI131)</f>
        <v>0</v>
      </c>
      <c r="EJ133" s="312"/>
      <c r="EK133" s="876">
        <f>IF(EK131=0,0,EK132/EK131)</f>
        <v>0</v>
      </c>
      <c r="EL133" s="876">
        <f>IF(EL131=0,0,EL132/EL131)</f>
        <v>0</v>
      </c>
      <c r="EM133" s="312"/>
      <c r="EN133" s="876">
        <f>IF(EN131=0,0,EN132/EN131)</f>
        <v>0</v>
      </c>
      <c r="EO133" s="876">
        <f>IF(EO131=0,0,EO132/EO131)</f>
        <v>0</v>
      </c>
      <c r="EP133" s="312"/>
      <c r="EQ133" s="876">
        <f>IF(EQ131=0,0,EQ132/EQ131)</f>
        <v>0</v>
      </c>
      <c r="ER133" s="876">
        <f>IF(ER131=0,0,ER132/ER131)</f>
        <v>0</v>
      </c>
      <c r="ES133" s="312"/>
      <c r="ET133" s="876">
        <f>IF(ET131=0,0,ET132/ET131)</f>
        <v>0</v>
      </c>
      <c r="EU133" s="876">
        <f>IF(EU131=0,0,EU132/EU131)</f>
        <v>0</v>
      </c>
      <c r="EV133" s="312"/>
      <c r="EW133" s="876">
        <f>IF(EW131=0,0,EW132/EW131)</f>
        <v>0</v>
      </c>
      <c r="EX133" s="876">
        <f>IF(EX131=0,0,EX132/EX131)</f>
        <v>0</v>
      </c>
      <c r="EY133" s="312"/>
      <c r="EZ133" s="876">
        <f>IF(EZ131=0,0,EZ132/EZ131)</f>
        <v>0</v>
      </c>
      <c r="FA133" s="876">
        <f>IF(FA131=0,0,FA132/FA131)</f>
        <v>0</v>
      </c>
      <c r="FB133" s="312"/>
      <c r="FC133" s="876">
        <f>IF(FC131=0,0,FC132/FC131)</f>
        <v>0</v>
      </c>
      <c r="FD133" s="876">
        <f>IF(FD131=0,0,FD132/FD131)</f>
        <v>0</v>
      </c>
      <c r="FE133" s="312"/>
      <c r="FF133" s="876">
        <f>IF(FF131=0,0,FF132/FF131)</f>
        <v>0</v>
      </c>
      <c r="FG133" s="876">
        <f>IF(FG131=0,0,FG132/FG131)</f>
        <v>0</v>
      </c>
      <c r="FH133" s="312"/>
      <c r="FI133" s="876">
        <f>IF(FI131=0,0,FI132/FI131)</f>
        <v>0</v>
      </c>
      <c r="FJ133" s="876">
        <f>IF(FJ131=0,0,FJ132/FJ131)</f>
        <v>0</v>
      </c>
      <c r="FK133" s="312"/>
      <c r="FL133" s="876">
        <f>IF(FL131=0,0,FL132/FL131)</f>
        <v>0</v>
      </c>
      <c r="FM133" s="876">
        <f>IF(FM131=0,0,FM132/FM131)</f>
        <v>0</v>
      </c>
      <c r="FN133" s="312"/>
      <c r="FO133" s="876">
        <f>IF(FO131=0,0,FO132/FO131)</f>
        <v>0</v>
      </c>
      <c r="FP133" s="876">
        <f>IF(FP131=0,0,FP132/FP131)</f>
        <v>0</v>
      </c>
      <c r="FQ133" s="312"/>
      <c r="FR133" s="876">
        <f>IF(FR131=0,0,FR132/FR131)</f>
        <v>0</v>
      </c>
      <c r="FS133" s="876">
        <f>IF(FS131=0,0,FS132/FS131)</f>
        <v>0</v>
      </c>
      <c r="FT133" s="312"/>
      <c r="FU133" s="876">
        <f>IF(FU131=0,0,FU132/FU131)</f>
        <v>0</v>
      </c>
      <c r="FV133" s="876">
        <f>IF(FV131=0,0,FV132/FV131)</f>
        <v>0</v>
      </c>
      <c r="FW133" s="312"/>
      <c r="FX133" s="425"/>
      <c r="FY133" s="425"/>
      <c r="FZ133" s="981" t="s">
        <v>2179</v>
      </c>
      <c r="GA133" s="981"/>
      <c r="GB133" s="981"/>
      <c r="GC133" s="981"/>
      <c r="GD133" s="981"/>
    </row>
    <row r="134" spans="1:186" s="1229" customFormat="1" ht="16.5" customHeight="1">
      <c r="A134" s="1153"/>
      <c r="B134" s="813" t="b" cm="1">
        <f t="array" ref="B134">B133</f>
        <v>1</v>
      </c>
      <c r="C134" s="1118" t="s">
        <v>1779</v>
      </c>
      <c r="D134" s="1087" t="s">
        <v>1780</v>
      </c>
      <c r="E134" s="676">
        <v>17.100000000000001</v>
      </c>
      <c r="F134" s="779" t="str" cm="1">
        <f t="array" aca="1" ref="F134" ca="1">OFFSET(G134,-1,-1)</f>
        <v>2</v>
      </c>
      <c r="G134" s="143" t="s">
        <v>2180</v>
      </c>
      <c r="H134" s="163" t="s">
        <v>546</v>
      </c>
      <c r="I134" s="163" t="s">
        <v>2178</v>
      </c>
      <c r="J134" s="1108" t="s">
        <v>2149</v>
      </c>
      <c r="K134" s="1108" t="str" cm="1">
        <f t="array" aca="1" ref="K134" ca="1">OFFSET(J134,-1,1)</f>
        <v>ТЭ.42.26322895.0004</v>
      </c>
      <c r="L134" s="1108" t="s">
        <v>2163</v>
      </c>
      <c r="M134" s="1108"/>
      <c r="N134" s="1108" t="s">
        <v>2171</v>
      </c>
      <c r="O134" s="1109" t="s">
        <v>2172</v>
      </c>
      <c r="P134" s="1108"/>
      <c r="Q134" s="1108"/>
      <c r="R134" s="784"/>
      <c r="S134" s="425"/>
      <c r="T134" s="687" t="b" cm="1">
        <f t="array" aca="1" ref="T134" ca="1">T133</f>
        <v>1</v>
      </c>
      <c r="U134" s="1153"/>
      <c r="V134" s="1153"/>
      <c r="W134" s="1153"/>
      <c r="X134" s="1726"/>
      <c r="Y134" s="1153"/>
      <c r="Z134" s="1726"/>
      <c r="AA134" s="425"/>
      <c r="AB134" s="887" t="s">
        <v>2181</v>
      </c>
      <c r="AC134" s="123" t="s">
        <v>634</v>
      </c>
      <c r="AD134" s="1314">
        <f ca="1">SUMIFS('Баланс Пр'!AI$27:AI$233,'Баланс Пр'!$F$27:$F$233,$F134,'Баланс Пр'!$AB$27:$AB$233,"9.1.2.3")</f>
        <v>0</v>
      </c>
      <c r="AE134" s="1314">
        <f ca="1">SUMIFS('Баланс Пр'!AS$27:AS$233,'Баланс Пр'!$F$27:$F$233,$F134,'Баланс Пр'!$AB$27:$AB$233,"9.1.2.3")</f>
        <v>0</v>
      </c>
      <c r="AF134" s="341">
        <f ca="1">IF(AD134=0,0,(AE134-AD134)/AD134*100)</f>
        <v>0</v>
      </c>
      <c r="AG134" s="257">
        <f ca="1">SUMIFS('Баланс Пр'!AJ$27:AJ$233,'Баланс Пр'!$F$27:$F$233,$F134,'Баланс Пр'!$AB$27:$AB$233,"9.1.2.3")</f>
        <v>0</v>
      </c>
      <c r="AH134" s="257">
        <f ca="1">SUMIFS('Баланс Пр'!AT$27:AT$233,'Баланс Пр'!$F$27:$F$233,$F134,'Баланс Пр'!$AB$27:$AB$233,"9.1.2.3")</f>
        <v>0</v>
      </c>
      <c r="AI134" s="341">
        <f ca="1">IF(AG134=0,0,(AH134-AG134)/AG134*100)</f>
        <v>0</v>
      </c>
      <c r="AJ134" s="257">
        <f ca="1">SUMIFS('Баланс Пр'!AK$27:AK$233,'Баланс Пр'!$F$27:$F$233,$F134,'Баланс Пр'!$AB$27:$AB$233,"9.1.2.3")</f>
        <v>0</v>
      </c>
      <c r="AK134" s="257">
        <f ca="1">SUMIFS('Баланс Пр'!AU$27:AU$233,'Баланс Пр'!$F$27:$F$233,$F134,'Баланс Пр'!$AB$27:$AB$233,"9.1.2.3")</f>
        <v>0</v>
      </c>
      <c r="AL134" s="341">
        <f ca="1">IF(AJ134=0,0,(AK134-AJ134)/AJ134*100)</f>
        <v>0</v>
      </c>
      <c r="AM134" s="257">
        <f ca="1">SUMIFS('Баланс Пр'!AL$27:AL$233,'Баланс Пр'!$F$27:$F$233,$F134,'Баланс Пр'!$AB$27:$AB$233,"9.1.2.3")</f>
        <v>0</v>
      </c>
      <c r="AN134" s="257">
        <f ca="1">SUMIFS('Баланс Пр'!AV$27:AV$233,'Баланс Пр'!$F$27:$F$233,$F134,'Баланс Пр'!$AB$27:$AB$233,"9.1.2.3")</f>
        <v>0</v>
      </c>
      <c r="AO134" s="341">
        <f ca="1">IF(AM134=0,0,(AN134-AM134)/AM134*100)</f>
        <v>0</v>
      </c>
      <c r="AP134" s="257">
        <f ca="1">SUMIFS('Баланс Пр'!AM$27:AM$233,'Баланс Пр'!$F$27:$F$233,$F134,'Баланс Пр'!$AB$27:$AB$233,"9.1.2.3")</f>
        <v>0</v>
      </c>
      <c r="AQ134" s="257">
        <f ca="1">SUMIFS('Баланс Пр'!AW$27:AW$233,'Баланс Пр'!$F$27:$F$233,$F134,'Баланс Пр'!$AB$27:$AB$233,"9.1.2.3")</f>
        <v>0</v>
      </c>
      <c r="AR134" s="341">
        <f ca="1">IF(AP134=0,0,(AQ134-AP134)/AP134*100)</f>
        <v>0</v>
      </c>
      <c r="AS134" s="1314">
        <f ca="1">SUMIFS('Баланс Пр'!AN$27:AN$233,'Баланс Пр'!$F$27:$F$233,$F134,'Баланс Пр'!$AB$27:$AB$233,"9.1.2.3")</f>
        <v>0</v>
      </c>
      <c r="AT134" s="1314">
        <f ca="1">SUMIFS('Баланс Пр'!AX$27:AX$233,'Баланс Пр'!$F$27:$F$233,$F134,'Баланс Пр'!$AB$27:$AB$233,"9.1.2.3")</f>
        <v>0</v>
      </c>
      <c r="AU134" s="341">
        <f ca="1">IF(AS134=0,0,(AT134-AS134)/AS134*100)</f>
        <v>0</v>
      </c>
      <c r="AV134" s="1314">
        <f ca="1">SUMIFS('Баланс Пр'!AO$27:AO$233,'Баланс Пр'!$F$27:$F$233,$F134,'Баланс Пр'!$AB$27:$AB$233,"9.1.2.3")</f>
        <v>0</v>
      </c>
      <c r="AW134" s="1314">
        <f ca="1">SUMIFS('Баланс Пр'!AY$27:AY$233,'Баланс Пр'!$F$27:$F$233,$F134,'Баланс Пр'!$AB$27:$AB$233,"9.1.2.3")</f>
        <v>0</v>
      </c>
      <c r="AX134" s="341">
        <f ca="1">IF(AV134=0,0,(AW134-AV134)/AV134*100)</f>
        <v>0</v>
      </c>
      <c r="AY134" s="1314">
        <f ca="1">SUMIFS('Баланс Пр'!AP$27:AP$233,'Баланс Пр'!$F$27:$F$233,$F134,'Баланс Пр'!$AB$27:$AB$233,"9.1.2.3")</f>
        <v>0</v>
      </c>
      <c r="AZ134" s="1314">
        <f ca="1">SUMIFS('Баланс Пр'!AZ$27:AZ$233,'Баланс Пр'!$F$27:$F$233,$F134,'Баланс Пр'!$AB$27:$AB$233,"9.1.2.3")</f>
        <v>0</v>
      </c>
      <c r="BA134" s="341">
        <f ca="1">IF(AY134=0,0,(AZ134-AY134)/AY134*100)</f>
        <v>0</v>
      </c>
      <c r="BB134" s="1314">
        <f ca="1">SUMIFS('Баланс Пр'!AQ$27:AQ$233,'Баланс Пр'!$F$27:$F$233,$F134,'Баланс Пр'!$AB$27:$AB$233,"9.1.2.3")</f>
        <v>0</v>
      </c>
      <c r="BC134" s="1314">
        <f ca="1">SUMIFS('Баланс Пр'!BA$27:BA$233,'Баланс Пр'!$F$27:$F$233,$F134,'Баланс Пр'!$AB$27:$AB$233,"9.1.2.3")</f>
        <v>0</v>
      </c>
      <c r="BD134" s="341">
        <f ca="1">IF(BB134=0,0,(BC134-BB134)/BB134*100)</f>
        <v>0</v>
      </c>
      <c r="BE134" s="1314">
        <f ca="1">SUMIFS('Баланс Пр'!AR$27:AR$233,'Баланс Пр'!$F$27:$F$233,$F134,'Баланс Пр'!$AB$27:$AB$233,"9.1.2.3")</f>
        <v>0</v>
      </c>
      <c r="BF134" s="1314">
        <f ca="1">SUMIFS('Баланс Пр'!BB$27:BB$233,'Баланс Пр'!$F$27:$F$233,$F134,'Баланс Пр'!$AB$27:$AB$233,"9.1.2.3")</f>
        <v>0</v>
      </c>
      <c r="BG134" s="341">
        <f ca="1">IF(BE134=0,0,(BF134-BE134)/BE134*100)</f>
        <v>0</v>
      </c>
      <c r="BH134" s="1534">
        <f>SUM(BH135:BH136)</f>
        <v>0</v>
      </c>
      <c r="BI134" s="1534">
        <f>SUM(BI135:BI136)</f>
        <v>0</v>
      </c>
      <c r="BJ134" s="341">
        <f>IF(BH134=0,0,(BI134-BH134)/BH134*100)</f>
        <v>0</v>
      </c>
      <c r="BK134" s="1534">
        <f>SUM(BK135:BK136)</f>
        <v>0</v>
      </c>
      <c r="BL134" s="1534">
        <f>SUM(BL135:BL136)</f>
        <v>0</v>
      </c>
      <c r="BM134" s="341">
        <f>IF(BK134=0,0,(BL134-BK134)/BK134*100)</f>
        <v>0</v>
      </c>
      <c r="BN134" s="1534">
        <f>SUM(BN135:BN136)</f>
        <v>0</v>
      </c>
      <c r="BO134" s="1534">
        <f>SUM(BO135:BO136)</f>
        <v>0</v>
      </c>
      <c r="BP134" s="341">
        <f>IF(BN134=0,0,(BO134-BN134)/BN134*100)</f>
        <v>0</v>
      </c>
      <c r="BQ134" s="1534">
        <f>SUM(BQ135:BQ136)</f>
        <v>0</v>
      </c>
      <c r="BR134" s="1534">
        <f>SUM(BR135:BR136)</f>
        <v>0</v>
      </c>
      <c r="BS134" s="341">
        <f>IF(BQ134=0,0,(BR134-BQ134)/BQ134*100)</f>
        <v>0</v>
      </c>
      <c r="BT134" s="1534">
        <f>SUM(BT135:BT136)</f>
        <v>0</v>
      </c>
      <c r="BU134" s="1534">
        <f>SUM(BU135:BU136)</f>
        <v>0</v>
      </c>
      <c r="BV134" s="341">
        <f>IF(BT134=0,0,(BU134-BT134)/BT134*100)</f>
        <v>0</v>
      </c>
      <c r="BW134" s="1534">
        <f>SUM(BW135:BW136)</f>
        <v>0</v>
      </c>
      <c r="BX134" s="1534">
        <f>SUM(BX135:BX136)</f>
        <v>0</v>
      </c>
      <c r="BY134" s="341">
        <f>IF(BW134=0,0,(BX134-BW134)/BW134*100)</f>
        <v>0</v>
      </c>
      <c r="BZ134" s="1534">
        <f>SUM(BZ135:BZ136)</f>
        <v>0</v>
      </c>
      <c r="CA134" s="1534">
        <f>SUM(CA135:CA136)</f>
        <v>0</v>
      </c>
      <c r="CB134" s="341">
        <f>IF(BZ134=0,0,(CA134-BZ134)/BZ134*100)</f>
        <v>0</v>
      </c>
      <c r="CC134" s="1534">
        <f>SUM(CC135:CC136)</f>
        <v>0</v>
      </c>
      <c r="CD134" s="1534">
        <f>SUM(CD135:CD136)</f>
        <v>0</v>
      </c>
      <c r="CE134" s="341">
        <f>IF(CC134=0,0,(CD134-CC134)/CC134*100)</f>
        <v>0</v>
      </c>
      <c r="CF134" s="1534">
        <f>SUM(CF135:CF136)</f>
        <v>0</v>
      </c>
      <c r="CG134" s="1534">
        <f>SUM(CG135:CG136)</f>
        <v>0</v>
      </c>
      <c r="CH134" s="341">
        <f>IF(CF134=0,0,(CG134-CF134)/CF134*100)</f>
        <v>0</v>
      </c>
      <c r="CI134" s="1534">
        <f>SUM(CI135:CI136)</f>
        <v>0</v>
      </c>
      <c r="CJ134" s="1534">
        <f>SUM(CJ135:CJ136)</f>
        <v>0</v>
      </c>
      <c r="CK134" s="341">
        <f>IF(CI134=0,0,(CJ134-CI134)/CI134*100)</f>
        <v>0</v>
      </c>
      <c r="CL134" s="1534">
        <f>SUM(CL135:CL136)</f>
        <v>0</v>
      </c>
      <c r="CM134" s="1534">
        <f>SUM(CM135:CM136)</f>
        <v>0</v>
      </c>
      <c r="CN134" s="341">
        <f>IF(CL134=0,0,(CM134-CL134)/CL134*100)</f>
        <v>0</v>
      </c>
      <c r="CO134" s="1534">
        <f>SUM(CO135:CO136)</f>
        <v>0</v>
      </c>
      <c r="CP134" s="1534">
        <f>SUM(CP135:CP136)</f>
        <v>0</v>
      </c>
      <c r="CQ134" s="341">
        <f>IF(CO134=0,0,(CP134-CO134)/CO134*100)</f>
        <v>0</v>
      </c>
      <c r="CR134" s="1534">
        <f>SUM(CR135:CR136)</f>
        <v>0</v>
      </c>
      <c r="CS134" s="1534">
        <f>SUM(CS135:CS136)</f>
        <v>0</v>
      </c>
      <c r="CT134" s="341">
        <f>IF(CR134=0,0,(CS134-CR134)/CR134*100)</f>
        <v>0</v>
      </c>
      <c r="CU134" s="1534">
        <f>SUM(CU135:CU136)</f>
        <v>0</v>
      </c>
      <c r="CV134" s="1534">
        <f>SUM(CV135:CV136)</f>
        <v>0</v>
      </c>
      <c r="CW134" s="341">
        <f>IF(CU134=0,0,(CV134-CU134)/CU134*100)</f>
        <v>0</v>
      </c>
      <c r="CX134" s="1534">
        <f>SUM(CX135:CX136)</f>
        <v>0</v>
      </c>
      <c r="CY134" s="1534">
        <f>SUM(CY135:CY136)</f>
        <v>0</v>
      </c>
      <c r="CZ134" s="341">
        <f>IF(CX134=0,0,(CY134-CX134)/CX134*100)</f>
        <v>0</v>
      </c>
      <c r="DA134" s="1534">
        <f>SUM(DA135:DA136)</f>
        <v>0</v>
      </c>
      <c r="DB134" s="1534">
        <f>SUM(DB135:DB136)</f>
        <v>0</v>
      </c>
      <c r="DC134" s="341">
        <f>IF(DA134=0,0,(DB134-DA134)/DA134*100)</f>
        <v>0</v>
      </c>
      <c r="DD134" s="1534">
        <f>SUM(DD135:DD136)</f>
        <v>0</v>
      </c>
      <c r="DE134" s="1534">
        <f>SUM(DE135:DE136)</f>
        <v>0</v>
      </c>
      <c r="DF134" s="341">
        <f>IF(DD134=0,0,(DE134-DD134)/DD134*100)</f>
        <v>0</v>
      </c>
      <c r="DG134" s="1534">
        <f>SUM(DG135:DG136)</f>
        <v>0</v>
      </c>
      <c r="DH134" s="1534">
        <f>SUM(DH135:DH136)</f>
        <v>0</v>
      </c>
      <c r="DI134" s="341">
        <f>IF(DG134=0,0,(DH134-DG134)/DG134*100)</f>
        <v>0</v>
      </c>
      <c r="DJ134" s="1534">
        <f>SUM(DJ135:DJ136)</f>
        <v>0</v>
      </c>
      <c r="DK134" s="1534">
        <f>SUM(DK135:DK136)</f>
        <v>0</v>
      </c>
      <c r="DL134" s="341">
        <f>IF(DJ134=0,0,(DK134-DJ134)/DJ134*100)</f>
        <v>0</v>
      </c>
      <c r="DM134" s="1534">
        <f>SUM(DM135:DM136)</f>
        <v>0</v>
      </c>
      <c r="DN134" s="1534">
        <f>SUM(DN135:DN136)</f>
        <v>0</v>
      </c>
      <c r="DO134" s="341">
        <f>IF(DM134=0,0,(DN134-DM134)/DM134*100)</f>
        <v>0</v>
      </c>
      <c r="DP134" s="1534">
        <f>SUM(DP135:DP136)</f>
        <v>0</v>
      </c>
      <c r="DQ134" s="1534">
        <f>SUM(DQ135:DQ136)</f>
        <v>0</v>
      </c>
      <c r="DR134" s="341">
        <f>IF(DP134=0,0,(DQ134-DP134)/DP134*100)</f>
        <v>0</v>
      </c>
      <c r="DS134" s="1534">
        <f>SUM(DS135:DS136)</f>
        <v>0</v>
      </c>
      <c r="DT134" s="1534">
        <f>SUM(DT135:DT136)</f>
        <v>0</v>
      </c>
      <c r="DU134" s="341">
        <f>IF(DS134=0,0,(DT134-DS134)/DS134*100)</f>
        <v>0</v>
      </c>
      <c r="DV134" s="1534">
        <f>SUM(DV135:DV136)</f>
        <v>0</v>
      </c>
      <c r="DW134" s="1534">
        <f>SUM(DW135:DW136)</f>
        <v>0</v>
      </c>
      <c r="DX134" s="341">
        <f>IF(DV134=0,0,(DW134-DV134)/DV134*100)</f>
        <v>0</v>
      </c>
      <c r="DY134" s="1534">
        <f>SUM(DY135:DY136)</f>
        <v>0</v>
      </c>
      <c r="DZ134" s="1534">
        <f>SUM(DZ135:DZ136)</f>
        <v>0</v>
      </c>
      <c r="EA134" s="341">
        <f>IF(DY134=0,0,(DZ134-DY134)/DY134*100)</f>
        <v>0</v>
      </c>
      <c r="EB134" s="1534">
        <f>SUM(EB135:EB136)</f>
        <v>0</v>
      </c>
      <c r="EC134" s="1534">
        <f>SUM(EC135:EC136)</f>
        <v>0</v>
      </c>
      <c r="ED134" s="341">
        <f>IF(EB134=0,0,(EC134-EB134)/EB134*100)</f>
        <v>0</v>
      </c>
      <c r="EE134" s="1534">
        <f>SUM(EE135:EE136)</f>
        <v>0</v>
      </c>
      <c r="EF134" s="1534">
        <f>SUM(EF135:EF136)</f>
        <v>0</v>
      </c>
      <c r="EG134" s="341">
        <f>IF(EE134=0,0,(EF134-EE134)/EE134*100)</f>
        <v>0</v>
      </c>
      <c r="EH134" s="1534">
        <f>SUM(EH135:EH136)</f>
        <v>0</v>
      </c>
      <c r="EI134" s="1534">
        <f>SUM(EI135:EI136)</f>
        <v>0</v>
      </c>
      <c r="EJ134" s="341">
        <f>IF(EH134=0,0,(EI134-EH134)/EH134*100)</f>
        <v>0</v>
      </c>
      <c r="EK134" s="1534">
        <f>SUM(EK135:EK136)</f>
        <v>0</v>
      </c>
      <c r="EL134" s="1534">
        <f>SUM(EL135:EL136)</f>
        <v>0</v>
      </c>
      <c r="EM134" s="341">
        <f>IF(EK134=0,0,(EL134-EK134)/EK134*100)</f>
        <v>0</v>
      </c>
      <c r="EN134" s="1534">
        <f>SUM(EN135:EN136)</f>
        <v>0</v>
      </c>
      <c r="EO134" s="1534">
        <f>SUM(EO135:EO136)</f>
        <v>0</v>
      </c>
      <c r="EP134" s="341">
        <f>IF(EN134=0,0,(EO134-EN134)/EN134*100)</f>
        <v>0</v>
      </c>
      <c r="EQ134" s="1534">
        <f>SUM(EQ135:EQ136)</f>
        <v>0</v>
      </c>
      <c r="ER134" s="1534">
        <f>SUM(ER135:ER136)</f>
        <v>0</v>
      </c>
      <c r="ES134" s="341">
        <f>IF(EQ134=0,0,(ER134-EQ134)/EQ134*100)</f>
        <v>0</v>
      </c>
      <c r="ET134" s="1534">
        <f>SUM(ET135:ET136)</f>
        <v>0</v>
      </c>
      <c r="EU134" s="1534">
        <f>SUM(EU135:EU136)</f>
        <v>0</v>
      </c>
      <c r="EV134" s="341">
        <f>IF(ET134=0,0,(EU134-ET134)/ET134*100)</f>
        <v>0</v>
      </c>
      <c r="EW134" s="1534">
        <f>SUM(EW135:EW136)</f>
        <v>0</v>
      </c>
      <c r="EX134" s="1534">
        <f>SUM(EX135:EX136)</f>
        <v>0</v>
      </c>
      <c r="EY134" s="341">
        <f>IF(EW134=0,0,(EX134-EW134)/EW134*100)</f>
        <v>0</v>
      </c>
      <c r="EZ134" s="1534">
        <f>SUM(EZ135:EZ136)</f>
        <v>0</v>
      </c>
      <c r="FA134" s="1534">
        <f>SUM(FA135:FA136)</f>
        <v>0</v>
      </c>
      <c r="FB134" s="341">
        <f>IF(EZ134=0,0,(FA134-EZ134)/EZ134*100)</f>
        <v>0</v>
      </c>
      <c r="FC134" s="1534">
        <f>SUM(FC135:FC136)</f>
        <v>0</v>
      </c>
      <c r="FD134" s="1534">
        <f>SUM(FD135:FD136)</f>
        <v>0</v>
      </c>
      <c r="FE134" s="341">
        <f>IF(FC134=0,0,(FD134-FC134)/FC134*100)</f>
        <v>0</v>
      </c>
      <c r="FF134" s="1534">
        <f>SUM(FF135:FF136)</f>
        <v>0</v>
      </c>
      <c r="FG134" s="1534">
        <f>SUM(FG135:FG136)</f>
        <v>0</v>
      </c>
      <c r="FH134" s="341">
        <f>IF(FF134=0,0,(FG134-FF134)/FF134*100)</f>
        <v>0</v>
      </c>
      <c r="FI134" s="1534">
        <f>SUM(FI135:FI136)</f>
        <v>0</v>
      </c>
      <c r="FJ134" s="1534">
        <f>SUM(FJ135:FJ136)</f>
        <v>0</v>
      </c>
      <c r="FK134" s="341">
        <f>IF(FI134=0,0,(FJ134-FI134)/FI134*100)</f>
        <v>0</v>
      </c>
      <c r="FL134" s="1534">
        <f>SUM(FL135:FL136)</f>
        <v>0</v>
      </c>
      <c r="FM134" s="1534">
        <f>SUM(FM135:FM136)</f>
        <v>0</v>
      </c>
      <c r="FN134" s="341">
        <f>IF(FL134=0,0,(FM134-FL134)/FL134*100)</f>
        <v>0</v>
      </c>
      <c r="FO134" s="1534">
        <f>SUM(FO135:FO136)</f>
        <v>0</v>
      </c>
      <c r="FP134" s="1534">
        <f>SUM(FP135:FP136)</f>
        <v>0</v>
      </c>
      <c r="FQ134" s="341">
        <f>IF(FO134=0,0,(FP134-FO134)/FO134*100)</f>
        <v>0</v>
      </c>
      <c r="FR134" s="1534">
        <f>SUM(FR135:FR136)</f>
        <v>0</v>
      </c>
      <c r="FS134" s="1534">
        <f>SUM(FS135:FS136)</f>
        <v>0</v>
      </c>
      <c r="FT134" s="341">
        <f>IF(FR134=0,0,(FS134-FR134)/FR134*100)</f>
        <v>0</v>
      </c>
      <c r="FU134" s="1534">
        <f>SUM(FU135:FU136)</f>
        <v>0</v>
      </c>
      <c r="FV134" s="1534">
        <f>SUM(FV135:FV136)</f>
        <v>0</v>
      </c>
      <c r="FW134" s="341">
        <f>IF(FU134=0,0,(FV134-FU134)/FU134*100)</f>
        <v>0</v>
      </c>
      <c r="FX134" s="425"/>
      <c r="FY134" s="425"/>
      <c r="FZ134" s="981" t="s">
        <v>2182</v>
      </c>
      <c r="GA134" s="981"/>
      <c r="GB134" s="981"/>
      <c r="GC134" s="981"/>
      <c r="GD134" s="981"/>
    </row>
    <row r="135" spans="1:186" s="1229" customFormat="1" ht="16.5" customHeight="1">
      <c r="A135" s="1153"/>
      <c r="B135" s="813" t="b" cm="1">
        <f t="array" ref="B135">B134</f>
        <v>1</v>
      </c>
      <c r="C135" s="1118" t="s">
        <v>1779</v>
      </c>
      <c r="D135" s="1087" t="s">
        <v>1780</v>
      </c>
      <c r="E135" s="676">
        <v>17.100000000000001</v>
      </c>
      <c r="F135" s="779" t="str" cm="1">
        <f t="array" aca="1" ref="F135" ca="1">OFFSET(G135,-1,-1)</f>
        <v>2</v>
      </c>
      <c r="G135" s="425"/>
      <c r="H135" s="425"/>
      <c r="I135" s="425"/>
      <c r="J135" s="1108" t="s">
        <v>2149</v>
      </c>
      <c r="K135" s="1108" t="str" cm="1">
        <f t="array" aca="1" ref="K135" ca="1">OFFSET(J135,-1,1)</f>
        <v>ТЭ.42.26322895.0004</v>
      </c>
      <c r="L135" s="1108" t="s">
        <v>2163</v>
      </c>
      <c r="M135" s="1108" t="s">
        <v>1782</v>
      </c>
      <c r="N135" s="1108" t="s">
        <v>2171</v>
      </c>
      <c r="O135" s="1109" t="s">
        <v>2172</v>
      </c>
      <c r="P135" s="1108"/>
      <c r="Q135" s="1108"/>
      <c r="R135" s="784"/>
      <c r="S135" s="425"/>
      <c r="T135" s="687" t="b" cm="1">
        <f t="array" aca="1" ref="T135" ca="1">T134</f>
        <v>1</v>
      </c>
      <c r="U135" s="1153"/>
      <c r="V135" s="1153"/>
      <c r="W135" s="1153"/>
      <c r="X135" s="1726"/>
      <c r="Y135" s="1153"/>
      <c r="Z135" s="1726"/>
      <c r="AA135" s="425"/>
      <c r="AB135" s="223" t="s">
        <v>2183</v>
      </c>
      <c r="AC135" s="566" t="s">
        <v>634</v>
      </c>
      <c r="AD135" s="1375"/>
      <c r="AE135" s="1375"/>
      <c r="AF135" s="578">
        <f>IF(AD135=0,0,(AE135-AD135)/AD135*100)</f>
        <v>0</v>
      </c>
      <c r="AG135" s="322"/>
      <c r="AH135" s="322"/>
      <c r="AI135" s="578">
        <f>IF(AG135=0,0,(AH135-AG135)/AG135*100)</f>
        <v>0</v>
      </c>
      <c r="AJ135" s="322"/>
      <c r="AK135" s="322"/>
      <c r="AL135" s="578">
        <f>IF(AJ135=0,0,(AK135-AJ135)/AJ135*100)</f>
        <v>0</v>
      </c>
      <c r="AM135" s="322"/>
      <c r="AN135" s="322"/>
      <c r="AO135" s="578">
        <f>IF(AM135=0,0,(AN135-AM135)/AM135*100)</f>
        <v>0</v>
      </c>
      <c r="AP135" s="322"/>
      <c r="AQ135" s="322"/>
      <c r="AR135" s="578">
        <f>IF(AP135=0,0,(AQ135-AP135)/AP135*100)</f>
        <v>0</v>
      </c>
      <c r="AS135" s="1375"/>
      <c r="AT135" s="1375"/>
      <c r="AU135" s="578">
        <f>IF(AS135=0,0,(AT135-AS135)/AS135*100)</f>
        <v>0</v>
      </c>
      <c r="AV135" s="1375"/>
      <c r="AW135" s="1375"/>
      <c r="AX135" s="578">
        <f>IF(AV135=0,0,(AW135-AV135)/AV135*100)</f>
        <v>0</v>
      </c>
      <c r="AY135" s="1375"/>
      <c r="AZ135" s="1375"/>
      <c r="BA135" s="578">
        <f>IF(AY135=0,0,(AZ135-AY135)/AY135*100)</f>
        <v>0</v>
      </c>
      <c r="BB135" s="1375"/>
      <c r="BC135" s="1375"/>
      <c r="BD135" s="578">
        <f>IF(BB135=0,0,(BC135-BB135)/BB135*100)</f>
        <v>0</v>
      </c>
      <c r="BE135" s="1375"/>
      <c r="BF135" s="1375"/>
      <c r="BG135" s="578">
        <f>IF(BE135=0,0,(BF135-BE135)/BE135*100)</f>
        <v>0</v>
      </c>
      <c r="BH135" s="1375"/>
      <c r="BI135" s="1375"/>
      <c r="BJ135" s="578">
        <f>IF(BH135=0,0,(BI135-BH135)/BH135*100)</f>
        <v>0</v>
      </c>
      <c r="BK135" s="1375"/>
      <c r="BL135" s="1375"/>
      <c r="BM135" s="578">
        <f>IF(BK135=0,0,(BL135-BK135)/BK135*100)</f>
        <v>0</v>
      </c>
      <c r="BN135" s="1375"/>
      <c r="BO135" s="1375"/>
      <c r="BP135" s="578">
        <f>IF(BN135=0,0,(BO135-BN135)/BN135*100)</f>
        <v>0</v>
      </c>
      <c r="BQ135" s="1375"/>
      <c r="BR135" s="1375"/>
      <c r="BS135" s="578">
        <f>IF(BQ135=0,0,(BR135-BQ135)/BQ135*100)</f>
        <v>0</v>
      </c>
      <c r="BT135" s="1375"/>
      <c r="BU135" s="1375"/>
      <c r="BV135" s="578">
        <f>IF(BT135=0,0,(BU135-BT135)/BT135*100)</f>
        <v>0</v>
      </c>
      <c r="BW135" s="1375"/>
      <c r="BX135" s="1375"/>
      <c r="BY135" s="578">
        <f>IF(BW135=0,0,(BX135-BW135)/BW135*100)</f>
        <v>0</v>
      </c>
      <c r="BZ135" s="1375"/>
      <c r="CA135" s="1375"/>
      <c r="CB135" s="578">
        <f>IF(BZ135=0,0,(CA135-BZ135)/BZ135*100)</f>
        <v>0</v>
      </c>
      <c r="CC135" s="1375"/>
      <c r="CD135" s="1375"/>
      <c r="CE135" s="578">
        <f>IF(CC135=0,0,(CD135-CC135)/CC135*100)</f>
        <v>0</v>
      </c>
      <c r="CF135" s="1375"/>
      <c r="CG135" s="1375"/>
      <c r="CH135" s="578">
        <f>IF(CF135=0,0,(CG135-CF135)/CF135*100)</f>
        <v>0</v>
      </c>
      <c r="CI135" s="1375"/>
      <c r="CJ135" s="1375"/>
      <c r="CK135" s="578">
        <f>IF(CI135=0,0,(CJ135-CI135)/CI135*100)</f>
        <v>0</v>
      </c>
      <c r="CL135" s="1375"/>
      <c r="CM135" s="1375"/>
      <c r="CN135" s="578">
        <f>IF(CL135=0,0,(CM135-CL135)/CL135*100)</f>
        <v>0</v>
      </c>
      <c r="CO135" s="1375"/>
      <c r="CP135" s="1375"/>
      <c r="CQ135" s="578">
        <f>IF(CO135=0,0,(CP135-CO135)/CO135*100)</f>
        <v>0</v>
      </c>
      <c r="CR135" s="1375"/>
      <c r="CS135" s="1375"/>
      <c r="CT135" s="578">
        <f>IF(CR135=0,0,(CS135-CR135)/CR135*100)</f>
        <v>0</v>
      </c>
      <c r="CU135" s="1375"/>
      <c r="CV135" s="1375"/>
      <c r="CW135" s="578">
        <f>IF(CU135=0,0,(CV135-CU135)/CU135*100)</f>
        <v>0</v>
      </c>
      <c r="CX135" s="1375"/>
      <c r="CY135" s="1375"/>
      <c r="CZ135" s="578">
        <f>IF(CX135=0,0,(CY135-CX135)/CX135*100)</f>
        <v>0</v>
      </c>
      <c r="DA135" s="1375"/>
      <c r="DB135" s="1375"/>
      <c r="DC135" s="578">
        <f>IF(DA135=0,0,(DB135-DA135)/DA135*100)</f>
        <v>0</v>
      </c>
      <c r="DD135" s="1375"/>
      <c r="DE135" s="1375"/>
      <c r="DF135" s="578">
        <f>IF(DD135=0,0,(DE135-DD135)/DD135*100)</f>
        <v>0</v>
      </c>
      <c r="DG135" s="1375"/>
      <c r="DH135" s="1375"/>
      <c r="DI135" s="578">
        <f>IF(DG135=0,0,(DH135-DG135)/DG135*100)</f>
        <v>0</v>
      </c>
      <c r="DJ135" s="1375"/>
      <c r="DK135" s="1375"/>
      <c r="DL135" s="578">
        <f>IF(DJ135=0,0,(DK135-DJ135)/DJ135*100)</f>
        <v>0</v>
      </c>
      <c r="DM135" s="1375"/>
      <c r="DN135" s="1375"/>
      <c r="DO135" s="578">
        <f>IF(DM135=0,0,(DN135-DM135)/DM135*100)</f>
        <v>0</v>
      </c>
      <c r="DP135" s="1375"/>
      <c r="DQ135" s="1375"/>
      <c r="DR135" s="578">
        <f>IF(DP135=0,0,(DQ135-DP135)/DP135*100)</f>
        <v>0</v>
      </c>
      <c r="DS135" s="1375"/>
      <c r="DT135" s="1375"/>
      <c r="DU135" s="578">
        <f>IF(DS135=0,0,(DT135-DS135)/DS135*100)</f>
        <v>0</v>
      </c>
      <c r="DV135" s="1375"/>
      <c r="DW135" s="1375"/>
      <c r="DX135" s="578">
        <f>IF(DV135=0,0,(DW135-DV135)/DV135*100)</f>
        <v>0</v>
      </c>
      <c r="DY135" s="1375"/>
      <c r="DZ135" s="1375"/>
      <c r="EA135" s="578">
        <f>IF(DY135=0,0,(DZ135-DY135)/DY135*100)</f>
        <v>0</v>
      </c>
      <c r="EB135" s="1375"/>
      <c r="EC135" s="1375"/>
      <c r="ED135" s="578">
        <f>IF(EB135=0,0,(EC135-EB135)/EB135*100)</f>
        <v>0</v>
      </c>
      <c r="EE135" s="1375"/>
      <c r="EF135" s="1375"/>
      <c r="EG135" s="578">
        <f>IF(EE135=0,0,(EF135-EE135)/EE135*100)</f>
        <v>0</v>
      </c>
      <c r="EH135" s="1375"/>
      <c r="EI135" s="1375"/>
      <c r="EJ135" s="578">
        <f>IF(EH135=0,0,(EI135-EH135)/EH135*100)</f>
        <v>0</v>
      </c>
      <c r="EK135" s="1375"/>
      <c r="EL135" s="1375"/>
      <c r="EM135" s="578">
        <f>IF(EK135=0,0,(EL135-EK135)/EK135*100)</f>
        <v>0</v>
      </c>
      <c r="EN135" s="1375"/>
      <c r="EO135" s="1375"/>
      <c r="EP135" s="578">
        <f>IF(EN135=0,0,(EO135-EN135)/EN135*100)</f>
        <v>0</v>
      </c>
      <c r="EQ135" s="1375"/>
      <c r="ER135" s="1375"/>
      <c r="ES135" s="578">
        <f>IF(EQ135=0,0,(ER135-EQ135)/EQ135*100)</f>
        <v>0</v>
      </c>
      <c r="ET135" s="1375"/>
      <c r="EU135" s="1375"/>
      <c r="EV135" s="578">
        <f>IF(ET135=0,0,(EU135-ET135)/ET135*100)</f>
        <v>0</v>
      </c>
      <c r="EW135" s="1375"/>
      <c r="EX135" s="1375"/>
      <c r="EY135" s="578">
        <f>IF(EW135=0,0,(EX135-EW135)/EW135*100)</f>
        <v>0</v>
      </c>
      <c r="EZ135" s="1375"/>
      <c r="FA135" s="1375"/>
      <c r="FB135" s="578">
        <f>IF(EZ135=0,0,(FA135-EZ135)/EZ135*100)</f>
        <v>0</v>
      </c>
      <c r="FC135" s="1375"/>
      <c r="FD135" s="1375"/>
      <c r="FE135" s="578">
        <f>IF(FC135=0,0,(FD135-FC135)/FC135*100)</f>
        <v>0</v>
      </c>
      <c r="FF135" s="1375"/>
      <c r="FG135" s="1375"/>
      <c r="FH135" s="578">
        <f>IF(FF135=0,0,(FG135-FF135)/FF135*100)</f>
        <v>0</v>
      </c>
      <c r="FI135" s="1375"/>
      <c r="FJ135" s="1375"/>
      <c r="FK135" s="578">
        <f>IF(FI135=0,0,(FJ135-FI135)/FI135*100)</f>
        <v>0</v>
      </c>
      <c r="FL135" s="1375"/>
      <c r="FM135" s="1375"/>
      <c r="FN135" s="578">
        <f>IF(FL135=0,0,(FM135-FL135)/FL135*100)</f>
        <v>0</v>
      </c>
      <c r="FO135" s="1375"/>
      <c r="FP135" s="1375"/>
      <c r="FQ135" s="578">
        <f>IF(FO135=0,0,(FP135-FO135)/FO135*100)</f>
        <v>0</v>
      </c>
      <c r="FR135" s="1375"/>
      <c r="FS135" s="1375"/>
      <c r="FT135" s="578">
        <f>IF(FR135=0,0,(FS135-FR135)/FR135*100)</f>
        <v>0</v>
      </c>
      <c r="FU135" s="1375"/>
      <c r="FV135" s="1375"/>
      <c r="FW135" s="578">
        <f>IF(FU135=0,0,(FV135-FU135)/FU135*100)</f>
        <v>0</v>
      </c>
      <c r="FX135" s="425"/>
      <c r="FY135" s="425"/>
      <c r="FZ135" s="981" t="s">
        <v>2184</v>
      </c>
      <c r="GA135" s="981"/>
      <c r="GB135" s="981"/>
      <c r="GC135" s="981"/>
      <c r="GD135" s="981"/>
    </row>
    <row r="136" spans="1:186" s="1229" customFormat="1" ht="16.5" customHeight="1">
      <c r="A136" s="1153"/>
      <c r="B136" s="813" t="b" cm="1">
        <f t="array" ref="B136">B135</f>
        <v>1</v>
      </c>
      <c r="C136" s="1118" t="s">
        <v>1779</v>
      </c>
      <c r="D136" s="1087" t="s">
        <v>1780</v>
      </c>
      <c r="E136" s="676">
        <v>17.100000000000001</v>
      </c>
      <c r="F136" s="779" t="str" cm="1">
        <f t="array" aca="1" ref="F136" ca="1">OFFSET(G136,-1,-1)</f>
        <v>2</v>
      </c>
      <c r="G136" s="425"/>
      <c r="H136" s="425"/>
      <c r="I136" s="425"/>
      <c r="J136" s="1108" t="s">
        <v>2149</v>
      </c>
      <c r="K136" s="1108" t="str" cm="1">
        <f t="array" aca="1" ref="K136" ca="1">OFFSET(J136,-1,1)</f>
        <v>ТЭ.42.26322895.0004</v>
      </c>
      <c r="L136" s="1108" t="s">
        <v>2163</v>
      </c>
      <c r="M136" s="1108" t="s">
        <v>1791</v>
      </c>
      <c r="N136" s="1108" t="s">
        <v>2171</v>
      </c>
      <c r="O136" s="1109" t="s">
        <v>2172</v>
      </c>
      <c r="P136" s="1108"/>
      <c r="Q136" s="1108"/>
      <c r="R136" s="784"/>
      <c r="S136" s="425"/>
      <c r="T136" s="687" t="b" cm="1">
        <f t="array" aca="1" ref="T136" ca="1">T135</f>
        <v>1</v>
      </c>
      <c r="U136" s="1153"/>
      <c r="V136" s="1153"/>
      <c r="W136" s="1153"/>
      <c r="X136" s="1726"/>
      <c r="Y136" s="1153"/>
      <c r="Z136" s="1726"/>
      <c r="AA136" s="425"/>
      <c r="AB136" s="223" t="s">
        <v>2185</v>
      </c>
      <c r="AC136" s="566" t="s">
        <v>634</v>
      </c>
      <c r="AD136" s="1375"/>
      <c r="AE136" s="1375"/>
      <c r="AF136" s="578">
        <f>IF(AD136=0,0,(AE136-AD136)/AD136*100)</f>
        <v>0</v>
      </c>
      <c r="AG136" s="322"/>
      <c r="AH136" s="322"/>
      <c r="AI136" s="578">
        <f>IF(AG136=0,0,(AH136-AG136)/AG136*100)</f>
        <v>0</v>
      </c>
      <c r="AJ136" s="322"/>
      <c r="AK136" s="322"/>
      <c r="AL136" s="578">
        <f>IF(AJ136=0,0,(AK136-AJ136)/AJ136*100)</f>
        <v>0</v>
      </c>
      <c r="AM136" s="322"/>
      <c r="AN136" s="322"/>
      <c r="AO136" s="578">
        <f>IF(AM136=0,0,(AN136-AM136)/AM136*100)</f>
        <v>0</v>
      </c>
      <c r="AP136" s="322"/>
      <c r="AQ136" s="322"/>
      <c r="AR136" s="578">
        <f>IF(AP136=0,0,(AQ136-AP136)/AP136*100)</f>
        <v>0</v>
      </c>
      <c r="AS136" s="1375"/>
      <c r="AT136" s="1375"/>
      <c r="AU136" s="578">
        <f>IF(AS136=0,0,(AT136-AS136)/AS136*100)</f>
        <v>0</v>
      </c>
      <c r="AV136" s="1375"/>
      <c r="AW136" s="1375"/>
      <c r="AX136" s="578">
        <f>IF(AV136=0,0,(AW136-AV136)/AV136*100)</f>
        <v>0</v>
      </c>
      <c r="AY136" s="1375"/>
      <c r="AZ136" s="1375"/>
      <c r="BA136" s="578">
        <f>IF(AY136=0,0,(AZ136-AY136)/AY136*100)</f>
        <v>0</v>
      </c>
      <c r="BB136" s="1375"/>
      <c r="BC136" s="1375"/>
      <c r="BD136" s="578">
        <f>IF(BB136=0,0,(BC136-BB136)/BB136*100)</f>
        <v>0</v>
      </c>
      <c r="BE136" s="1375"/>
      <c r="BF136" s="1375"/>
      <c r="BG136" s="578">
        <f>IF(BE136=0,0,(BF136-BE136)/BE136*100)</f>
        <v>0</v>
      </c>
      <c r="BH136" s="1375"/>
      <c r="BI136" s="1375"/>
      <c r="BJ136" s="578">
        <f>IF(BH136=0,0,(BI136-BH136)/BH136*100)</f>
        <v>0</v>
      </c>
      <c r="BK136" s="1375"/>
      <c r="BL136" s="1375"/>
      <c r="BM136" s="578">
        <f>IF(BK136=0,0,(BL136-BK136)/BK136*100)</f>
        <v>0</v>
      </c>
      <c r="BN136" s="1375"/>
      <c r="BO136" s="1375"/>
      <c r="BP136" s="578">
        <f>IF(BN136=0,0,(BO136-BN136)/BN136*100)</f>
        <v>0</v>
      </c>
      <c r="BQ136" s="1375"/>
      <c r="BR136" s="1375"/>
      <c r="BS136" s="578">
        <f>IF(BQ136=0,0,(BR136-BQ136)/BQ136*100)</f>
        <v>0</v>
      </c>
      <c r="BT136" s="1375"/>
      <c r="BU136" s="1375"/>
      <c r="BV136" s="578">
        <f>IF(BT136=0,0,(BU136-BT136)/BT136*100)</f>
        <v>0</v>
      </c>
      <c r="BW136" s="1375"/>
      <c r="BX136" s="1375"/>
      <c r="BY136" s="578">
        <f>IF(BW136=0,0,(BX136-BW136)/BW136*100)</f>
        <v>0</v>
      </c>
      <c r="BZ136" s="1375"/>
      <c r="CA136" s="1375"/>
      <c r="CB136" s="578">
        <f>IF(BZ136=0,0,(CA136-BZ136)/BZ136*100)</f>
        <v>0</v>
      </c>
      <c r="CC136" s="1375"/>
      <c r="CD136" s="1375"/>
      <c r="CE136" s="578">
        <f>IF(CC136=0,0,(CD136-CC136)/CC136*100)</f>
        <v>0</v>
      </c>
      <c r="CF136" s="1375"/>
      <c r="CG136" s="1375"/>
      <c r="CH136" s="578">
        <f>IF(CF136=0,0,(CG136-CF136)/CF136*100)</f>
        <v>0</v>
      </c>
      <c r="CI136" s="1375"/>
      <c r="CJ136" s="1375"/>
      <c r="CK136" s="578">
        <f>IF(CI136=0,0,(CJ136-CI136)/CI136*100)</f>
        <v>0</v>
      </c>
      <c r="CL136" s="1375"/>
      <c r="CM136" s="1375"/>
      <c r="CN136" s="578">
        <f>IF(CL136=0,0,(CM136-CL136)/CL136*100)</f>
        <v>0</v>
      </c>
      <c r="CO136" s="1375"/>
      <c r="CP136" s="1375"/>
      <c r="CQ136" s="578">
        <f>IF(CO136=0,0,(CP136-CO136)/CO136*100)</f>
        <v>0</v>
      </c>
      <c r="CR136" s="1375"/>
      <c r="CS136" s="1375"/>
      <c r="CT136" s="578">
        <f>IF(CR136=0,0,(CS136-CR136)/CR136*100)</f>
        <v>0</v>
      </c>
      <c r="CU136" s="1375"/>
      <c r="CV136" s="1375"/>
      <c r="CW136" s="578">
        <f>IF(CU136=0,0,(CV136-CU136)/CU136*100)</f>
        <v>0</v>
      </c>
      <c r="CX136" s="1375"/>
      <c r="CY136" s="1375"/>
      <c r="CZ136" s="578">
        <f>IF(CX136=0,0,(CY136-CX136)/CX136*100)</f>
        <v>0</v>
      </c>
      <c r="DA136" s="1375"/>
      <c r="DB136" s="1375"/>
      <c r="DC136" s="578">
        <f>IF(DA136=0,0,(DB136-DA136)/DA136*100)</f>
        <v>0</v>
      </c>
      <c r="DD136" s="1375"/>
      <c r="DE136" s="1375"/>
      <c r="DF136" s="578">
        <f>IF(DD136=0,0,(DE136-DD136)/DD136*100)</f>
        <v>0</v>
      </c>
      <c r="DG136" s="1375"/>
      <c r="DH136" s="1375"/>
      <c r="DI136" s="578">
        <f>IF(DG136=0,0,(DH136-DG136)/DG136*100)</f>
        <v>0</v>
      </c>
      <c r="DJ136" s="1375"/>
      <c r="DK136" s="1375"/>
      <c r="DL136" s="578">
        <f>IF(DJ136=0,0,(DK136-DJ136)/DJ136*100)</f>
        <v>0</v>
      </c>
      <c r="DM136" s="1375"/>
      <c r="DN136" s="1375"/>
      <c r="DO136" s="578">
        <f>IF(DM136=0,0,(DN136-DM136)/DM136*100)</f>
        <v>0</v>
      </c>
      <c r="DP136" s="1375"/>
      <c r="DQ136" s="1375"/>
      <c r="DR136" s="578">
        <f>IF(DP136=0,0,(DQ136-DP136)/DP136*100)</f>
        <v>0</v>
      </c>
      <c r="DS136" s="1375"/>
      <c r="DT136" s="1375"/>
      <c r="DU136" s="578">
        <f>IF(DS136=0,0,(DT136-DS136)/DS136*100)</f>
        <v>0</v>
      </c>
      <c r="DV136" s="1375"/>
      <c r="DW136" s="1375"/>
      <c r="DX136" s="578">
        <f>IF(DV136=0,0,(DW136-DV136)/DV136*100)</f>
        <v>0</v>
      </c>
      <c r="DY136" s="1375"/>
      <c r="DZ136" s="1375"/>
      <c r="EA136" s="578">
        <f>IF(DY136=0,0,(DZ136-DY136)/DY136*100)</f>
        <v>0</v>
      </c>
      <c r="EB136" s="1375"/>
      <c r="EC136" s="1375"/>
      <c r="ED136" s="578">
        <f>IF(EB136=0,0,(EC136-EB136)/EB136*100)</f>
        <v>0</v>
      </c>
      <c r="EE136" s="1375"/>
      <c r="EF136" s="1375"/>
      <c r="EG136" s="578">
        <f>IF(EE136=0,0,(EF136-EE136)/EE136*100)</f>
        <v>0</v>
      </c>
      <c r="EH136" s="1375"/>
      <c r="EI136" s="1375"/>
      <c r="EJ136" s="578">
        <f>IF(EH136=0,0,(EI136-EH136)/EH136*100)</f>
        <v>0</v>
      </c>
      <c r="EK136" s="1375"/>
      <c r="EL136" s="1375"/>
      <c r="EM136" s="578">
        <f>IF(EK136=0,0,(EL136-EK136)/EK136*100)</f>
        <v>0</v>
      </c>
      <c r="EN136" s="1375"/>
      <c r="EO136" s="1375"/>
      <c r="EP136" s="578">
        <f>IF(EN136=0,0,(EO136-EN136)/EN136*100)</f>
        <v>0</v>
      </c>
      <c r="EQ136" s="1375"/>
      <c r="ER136" s="1375"/>
      <c r="ES136" s="578">
        <f>IF(EQ136=0,0,(ER136-EQ136)/EQ136*100)</f>
        <v>0</v>
      </c>
      <c r="ET136" s="1375"/>
      <c r="EU136" s="1375"/>
      <c r="EV136" s="578">
        <f>IF(ET136=0,0,(EU136-ET136)/ET136*100)</f>
        <v>0</v>
      </c>
      <c r="EW136" s="1375"/>
      <c r="EX136" s="1375"/>
      <c r="EY136" s="578">
        <f>IF(EW136=0,0,(EX136-EW136)/EW136*100)</f>
        <v>0</v>
      </c>
      <c r="EZ136" s="1375"/>
      <c r="FA136" s="1375"/>
      <c r="FB136" s="578">
        <f>IF(EZ136=0,0,(FA136-EZ136)/EZ136*100)</f>
        <v>0</v>
      </c>
      <c r="FC136" s="1375"/>
      <c r="FD136" s="1375"/>
      <c r="FE136" s="578">
        <f>IF(FC136=0,0,(FD136-FC136)/FC136*100)</f>
        <v>0</v>
      </c>
      <c r="FF136" s="1375"/>
      <c r="FG136" s="1375"/>
      <c r="FH136" s="578">
        <f>IF(FF136=0,0,(FG136-FF136)/FF136*100)</f>
        <v>0</v>
      </c>
      <c r="FI136" s="1375"/>
      <c r="FJ136" s="1375"/>
      <c r="FK136" s="578">
        <f>IF(FI136=0,0,(FJ136-FI136)/FI136*100)</f>
        <v>0</v>
      </c>
      <c r="FL136" s="1375"/>
      <c r="FM136" s="1375"/>
      <c r="FN136" s="578">
        <f>IF(FL136=0,0,(FM136-FL136)/FL136*100)</f>
        <v>0</v>
      </c>
      <c r="FO136" s="1375"/>
      <c r="FP136" s="1375"/>
      <c r="FQ136" s="578">
        <f>IF(FO136=0,0,(FP136-FO136)/FO136*100)</f>
        <v>0</v>
      </c>
      <c r="FR136" s="1375"/>
      <c r="FS136" s="1375"/>
      <c r="FT136" s="578">
        <f>IF(FR136=0,0,(FS136-FR136)/FR136*100)</f>
        <v>0</v>
      </c>
      <c r="FU136" s="1375"/>
      <c r="FV136" s="1375"/>
      <c r="FW136" s="578">
        <f>IF(FU136=0,0,(FV136-FU136)/FU136*100)</f>
        <v>0</v>
      </c>
      <c r="FX136" s="425"/>
      <c r="FY136" s="425"/>
      <c r="FZ136" s="981" t="s">
        <v>2186</v>
      </c>
      <c r="GA136" s="981"/>
      <c r="GB136" s="981"/>
      <c r="GC136" s="981"/>
      <c r="GD136" s="981"/>
    </row>
    <row r="137" spans="1:186" s="1229" customFormat="1" ht="16.5" hidden="1" customHeight="1">
      <c r="B137" s="813" t="b" cm="1">
        <f t="array" aca="1" ref="B137" ca="1">OFFSET(A137,-1,1)</f>
        <v>1</v>
      </c>
      <c r="C137" s="1118" t="s">
        <v>2168</v>
      </c>
      <c r="D137" s="1087" t="s">
        <v>2169</v>
      </c>
      <c r="E137" s="676">
        <v>17.100000000000001</v>
      </c>
      <c r="F137" s="779" t="str" cm="1">
        <f t="array" aca="1" ref="F137" ca="1">OFFSET(G137,-1,-1)</f>
        <v>2</v>
      </c>
      <c r="J137" s="1108" t="s">
        <v>2149</v>
      </c>
      <c r="K137" s="1108" t="str" cm="1">
        <f t="array" aca="1" ref="K137" ca="1">OFFSET(J137,-1,1)</f>
        <v>ТЭ.42.26322895.0004</v>
      </c>
      <c r="L137" s="1108"/>
      <c r="M137" s="1108"/>
      <c r="N137" s="1108" t="s">
        <v>2171</v>
      </c>
      <c r="O137" s="1109" t="s">
        <v>2172</v>
      </c>
      <c r="P137" s="1108"/>
      <c r="Q137" s="1108" cm="1">
        <f t="array" ref="Q137">AB137</f>
        <v>0</v>
      </c>
      <c r="T137" s="687" t="b">
        <f ca="1">AND(OFFSET(S137,1,1),Y137&gt;0)</f>
        <v>0</v>
      </c>
      <c r="W137" s="126" t="s">
        <v>236</v>
      </c>
      <c r="X137" s="1722"/>
      <c r="Y137" s="1726">
        <v>0</v>
      </c>
      <c r="Z137" s="1722"/>
      <c r="AA137" s="1808" t="s">
        <v>218</v>
      </c>
      <c r="AB137" s="1529"/>
      <c r="AC137" s="566" t="s">
        <v>929</v>
      </c>
      <c r="AD137" s="68"/>
      <c r="AE137" s="68"/>
      <c r="AF137" s="578">
        <f>IF(AD137=0,0,(AE137-AD137)/AD137*100)</f>
        <v>0</v>
      </c>
      <c r="AG137" s="322"/>
      <c r="AH137" s="322"/>
      <c r="AI137" s="578">
        <f>IF(AG137=0,0,(AH137-AG137)/AG137*100)</f>
        <v>0</v>
      </c>
      <c r="AJ137" s="322"/>
      <c r="AK137" s="322"/>
      <c r="AL137" s="578">
        <f>IF(AJ137=0,0,(AK137-AJ137)/AJ137*100)</f>
        <v>0</v>
      </c>
      <c r="AM137" s="322"/>
      <c r="AN137" s="322"/>
      <c r="AO137" s="578">
        <f>IF(AM137=0,0,(AN137-AM137)/AM137*100)</f>
        <v>0</v>
      </c>
      <c r="AP137" s="322"/>
      <c r="AQ137" s="322"/>
      <c r="AR137" s="578">
        <f>IF(AP137=0,0,(AQ137-AP137)/AP137*100)</f>
        <v>0</v>
      </c>
      <c r="AS137" s="68"/>
      <c r="AT137" s="68"/>
      <c r="AU137" s="578">
        <f>IF(AS137=0,0,(AT137-AS137)/AS137*100)</f>
        <v>0</v>
      </c>
      <c r="AV137" s="68"/>
      <c r="AW137" s="68"/>
      <c r="AX137" s="578">
        <f>IF(AV137=0,0,(AW137-AV137)/AV137*100)</f>
        <v>0</v>
      </c>
      <c r="AY137" s="68"/>
      <c r="AZ137" s="68"/>
      <c r="BA137" s="578">
        <f>IF(AY137=0,0,(AZ137-AY137)/AY137*100)</f>
        <v>0</v>
      </c>
      <c r="BB137" s="68"/>
      <c r="BC137" s="68"/>
      <c r="BD137" s="578">
        <f>IF(BB137=0,0,(BC137-BB137)/BB137*100)</f>
        <v>0</v>
      </c>
      <c r="BE137" s="68"/>
      <c r="BF137" s="68"/>
      <c r="BG137" s="578">
        <f>IF(BE137=0,0,(BF137-BE137)/BE137*100)</f>
        <v>0</v>
      </c>
      <c r="BH137" s="68"/>
      <c r="BI137" s="68"/>
      <c r="BJ137" s="578">
        <f>IF(BH137=0,0,(BI137-BH137)/BH137*100)</f>
        <v>0</v>
      </c>
      <c r="BK137" s="68"/>
      <c r="BL137" s="68"/>
      <c r="BM137" s="578">
        <f>IF(BK137=0,0,(BL137-BK137)/BK137*100)</f>
        <v>0</v>
      </c>
      <c r="BN137" s="68"/>
      <c r="BO137" s="68"/>
      <c r="BP137" s="578">
        <f>IF(BN137=0,0,(BO137-BN137)/BN137*100)</f>
        <v>0</v>
      </c>
      <c r="BQ137" s="68"/>
      <c r="BR137" s="68"/>
      <c r="BS137" s="578">
        <f>IF(BQ137=0,0,(BR137-BQ137)/BQ137*100)</f>
        <v>0</v>
      </c>
      <c r="BT137" s="68"/>
      <c r="BU137" s="68"/>
      <c r="BV137" s="578">
        <f>IF(BT137=0,0,(BU137-BT137)/BT137*100)</f>
        <v>0</v>
      </c>
      <c r="BW137" s="68"/>
      <c r="BX137" s="68"/>
      <c r="BY137" s="578">
        <f>IF(BW137=0,0,(BX137-BW137)/BW137*100)</f>
        <v>0</v>
      </c>
      <c r="BZ137" s="68"/>
      <c r="CA137" s="68"/>
      <c r="CB137" s="578">
        <f>IF(BZ137=0,0,(CA137-BZ137)/BZ137*100)</f>
        <v>0</v>
      </c>
      <c r="CC137" s="68"/>
      <c r="CD137" s="68"/>
      <c r="CE137" s="578">
        <f>IF(CC137=0,0,(CD137-CC137)/CC137*100)</f>
        <v>0</v>
      </c>
      <c r="CF137" s="68"/>
      <c r="CG137" s="68"/>
      <c r="CH137" s="578">
        <f>IF(CF137=0,0,(CG137-CF137)/CF137*100)</f>
        <v>0</v>
      </c>
      <c r="CI137" s="68"/>
      <c r="CJ137" s="68"/>
      <c r="CK137" s="578">
        <f>IF(CI137=0,0,(CJ137-CI137)/CI137*100)</f>
        <v>0</v>
      </c>
      <c r="CL137" s="68"/>
      <c r="CM137" s="68"/>
      <c r="CN137" s="578">
        <f>IF(CL137=0,0,(CM137-CL137)/CL137*100)</f>
        <v>0</v>
      </c>
      <c r="CO137" s="68"/>
      <c r="CP137" s="68"/>
      <c r="CQ137" s="578">
        <f>IF(CO137=0,0,(CP137-CO137)/CO137*100)</f>
        <v>0</v>
      </c>
      <c r="CR137" s="68"/>
      <c r="CS137" s="68"/>
      <c r="CT137" s="578">
        <f>IF(CR137=0,0,(CS137-CR137)/CR137*100)</f>
        <v>0</v>
      </c>
      <c r="CU137" s="68"/>
      <c r="CV137" s="68"/>
      <c r="CW137" s="578">
        <f>IF(CU137=0,0,(CV137-CU137)/CU137*100)</f>
        <v>0</v>
      </c>
      <c r="CX137" s="68"/>
      <c r="CY137" s="68"/>
      <c r="CZ137" s="578">
        <f>IF(CX137=0,0,(CY137-CX137)/CX137*100)</f>
        <v>0</v>
      </c>
      <c r="DA137" s="68"/>
      <c r="DB137" s="68"/>
      <c r="DC137" s="578">
        <f>IF(DA137=0,0,(DB137-DA137)/DA137*100)</f>
        <v>0</v>
      </c>
      <c r="DD137" s="68"/>
      <c r="DE137" s="68"/>
      <c r="DF137" s="578">
        <f>IF(DD137=0,0,(DE137-DD137)/DD137*100)</f>
        <v>0</v>
      </c>
      <c r="DG137" s="68"/>
      <c r="DH137" s="68"/>
      <c r="DI137" s="578">
        <f>IF(DG137=0,0,(DH137-DG137)/DG137*100)</f>
        <v>0</v>
      </c>
      <c r="DJ137" s="68"/>
      <c r="DK137" s="68"/>
      <c r="DL137" s="578">
        <f>IF(DJ137=0,0,(DK137-DJ137)/DJ137*100)</f>
        <v>0</v>
      </c>
      <c r="DM137" s="68"/>
      <c r="DN137" s="68"/>
      <c r="DO137" s="578">
        <f>IF(DM137=0,0,(DN137-DM137)/DM137*100)</f>
        <v>0</v>
      </c>
      <c r="DP137" s="68"/>
      <c r="DQ137" s="68"/>
      <c r="DR137" s="578">
        <f>IF(DP137=0,0,(DQ137-DP137)/DP137*100)</f>
        <v>0</v>
      </c>
      <c r="DS137" s="68"/>
      <c r="DT137" s="68"/>
      <c r="DU137" s="578">
        <f>IF(DS137=0,0,(DT137-DS137)/DS137*100)</f>
        <v>0</v>
      </c>
      <c r="DV137" s="68"/>
      <c r="DW137" s="68"/>
      <c r="DX137" s="578">
        <f>IF(DV137=0,0,(DW137-DV137)/DV137*100)</f>
        <v>0</v>
      </c>
      <c r="DY137" s="68"/>
      <c r="DZ137" s="68"/>
      <c r="EA137" s="578">
        <f>IF(DY137=0,0,(DZ137-DY137)/DY137*100)</f>
        <v>0</v>
      </c>
      <c r="EB137" s="68"/>
      <c r="EC137" s="68"/>
      <c r="ED137" s="578">
        <f>IF(EB137=0,0,(EC137-EB137)/EB137*100)</f>
        <v>0</v>
      </c>
      <c r="EE137" s="68"/>
      <c r="EF137" s="68"/>
      <c r="EG137" s="578">
        <f>IF(EE137=0,0,(EF137-EE137)/EE137*100)</f>
        <v>0</v>
      </c>
      <c r="EH137" s="68"/>
      <c r="EI137" s="68"/>
      <c r="EJ137" s="578">
        <f>IF(EH137=0,0,(EI137-EH137)/EH137*100)</f>
        <v>0</v>
      </c>
      <c r="EK137" s="68"/>
      <c r="EL137" s="68"/>
      <c r="EM137" s="578">
        <f>IF(EK137=0,0,(EL137-EK137)/EK137*100)</f>
        <v>0</v>
      </c>
      <c r="EN137" s="68"/>
      <c r="EO137" s="68"/>
      <c r="EP137" s="578">
        <f>IF(EN137=0,0,(EO137-EN137)/EN137*100)</f>
        <v>0</v>
      </c>
      <c r="EQ137" s="68"/>
      <c r="ER137" s="68"/>
      <c r="ES137" s="578">
        <f>IF(EQ137=0,0,(ER137-EQ137)/EQ137*100)</f>
        <v>0</v>
      </c>
      <c r="ET137" s="68"/>
      <c r="EU137" s="68"/>
      <c r="EV137" s="578">
        <f>IF(ET137=0,0,(EU137-ET137)/ET137*100)</f>
        <v>0</v>
      </c>
      <c r="EW137" s="68"/>
      <c r="EX137" s="68"/>
      <c r="EY137" s="578">
        <f>IF(EW137=0,0,(EX137-EW137)/EW137*100)</f>
        <v>0</v>
      </c>
      <c r="EZ137" s="68"/>
      <c r="FA137" s="68"/>
      <c r="FB137" s="578">
        <f>IF(EZ137=0,0,(FA137-EZ137)/EZ137*100)</f>
        <v>0</v>
      </c>
      <c r="FC137" s="68"/>
      <c r="FD137" s="68"/>
      <c r="FE137" s="578">
        <f>IF(FC137=0,0,(FD137-FC137)/FC137*100)</f>
        <v>0</v>
      </c>
      <c r="FF137" s="68"/>
      <c r="FG137" s="68"/>
      <c r="FH137" s="578">
        <f>IF(FF137=0,0,(FG137-FF137)/FF137*100)</f>
        <v>0</v>
      </c>
      <c r="FI137" s="68"/>
      <c r="FJ137" s="68"/>
      <c r="FK137" s="578">
        <f>IF(FI137=0,0,(FJ137-FI137)/FI137*100)</f>
        <v>0</v>
      </c>
      <c r="FL137" s="68"/>
      <c r="FM137" s="68"/>
      <c r="FN137" s="578">
        <f>IF(FL137=0,0,(FM137-FL137)/FL137*100)</f>
        <v>0</v>
      </c>
      <c r="FO137" s="68"/>
      <c r="FP137" s="68"/>
      <c r="FQ137" s="578">
        <f>IF(FO137=0,0,(FP137-FO137)/FO137*100)</f>
        <v>0</v>
      </c>
      <c r="FR137" s="68"/>
      <c r="FS137" s="68"/>
      <c r="FT137" s="578">
        <f>IF(FR137=0,0,(FS137-FR137)/FR137*100)</f>
        <v>0</v>
      </c>
      <c r="FU137" s="68"/>
      <c r="FV137" s="68"/>
      <c r="FW137" s="578">
        <f>IF(FU137=0,0,(FV137-FU137)/FU137*100)</f>
        <v>0</v>
      </c>
      <c r="FZ137" s="981" t="s">
        <v>2187</v>
      </c>
      <c r="GA137" s="981" t="s">
        <v>2188</v>
      </c>
      <c r="GB137" s="981" cm="1">
        <f t="array" ref="GB137">AB137</f>
        <v>0</v>
      </c>
      <c r="GC137" s="981"/>
      <c r="GD137" s="981" t="b">
        <v>1</v>
      </c>
    </row>
    <row r="138" spans="1:186" s="1229" customFormat="1" ht="16.5" hidden="1" customHeight="1">
      <c r="B138" s="813" t="b" cm="1">
        <f t="array" aca="1" ref="B138" ca="1">OFFSET(A138,-1,1)</f>
        <v>1</v>
      </c>
      <c r="C138" s="1118" t="s">
        <v>1779</v>
      </c>
      <c r="D138" s="1087" t="s">
        <v>1780</v>
      </c>
      <c r="E138" s="676">
        <v>17.100000000000001</v>
      </c>
      <c r="F138" s="779" t="str" cm="1">
        <f t="array" aca="1" ref="F138" ca="1">OFFSET(G138,-1,-1)</f>
        <v>2</v>
      </c>
      <c r="J138" s="1108" t="s">
        <v>2149</v>
      </c>
      <c r="K138" s="1108" t="str" cm="1">
        <f t="array" aca="1" ref="K138" ca="1">OFFSET(J138,-1,1)</f>
        <v>ТЭ.42.26322895.0004</v>
      </c>
      <c r="L138" s="1108" t="s">
        <v>2163</v>
      </c>
      <c r="M138" s="1108"/>
      <c r="N138" s="1108" t="s">
        <v>2171</v>
      </c>
      <c r="O138" s="1109" t="s">
        <v>2172</v>
      </c>
      <c r="P138" s="1108"/>
      <c r="Q138" s="1108" cm="1">
        <f t="array" ref="Q138">AB137</f>
        <v>0</v>
      </c>
      <c r="T138" s="687" t="b">
        <f ca="1">AND(OFFSET(S138,1,1),Y137&gt;0)</f>
        <v>0</v>
      </c>
      <c r="X138" s="1722"/>
      <c r="Y138" s="1722"/>
      <c r="Z138" s="1722"/>
      <c r="AA138" s="1808"/>
      <c r="AB138" s="887" t="s">
        <v>2189</v>
      </c>
      <c r="AC138" s="566" t="s">
        <v>634</v>
      </c>
      <c r="AD138" s="68"/>
      <c r="AE138" s="68"/>
      <c r="AF138" s="578">
        <f>IF(AD138=0,0,(AE138-AD138)/AD138*100)</f>
        <v>0</v>
      </c>
      <c r="AG138" s="322"/>
      <c r="AH138" s="322"/>
      <c r="AI138" s="578">
        <f>IF(AG138=0,0,(AH138-AG138)/AG138*100)</f>
        <v>0</v>
      </c>
      <c r="AJ138" s="322"/>
      <c r="AK138" s="322"/>
      <c r="AL138" s="578">
        <f>IF(AJ138=0,0,(AK138-AJ138)/AJ138*100)</f>
        <v>0</v>
      </c>
      <c r="AM138" s="322"/>
      <c r="AN138" s="322"/>
      <c r="AO138" s="578">
        <f>IF(AM138=0,0,(AN138-AM138)/AM138*100)</f>
        <v>0</v>
      </c>
      <c r="AP138" s="322"/>
      <c r="AQ138" s="322"/>
      <c r="AR138" s="578">
        <f>IF(AP138=0,0,(AQ138-AP138)/AP138*100)</f>
        <v>0</v>
      </c>
      <c r="AS138" s="68"/>
      <c r="AT138" s="68"/>
      <c r="AU138" s="578">
        <f>IF(AS138=0,0,(AT138-AS138)/AS138*100)</f>
        <v>0</v>
      </c>
      <c r="AV138" s="68"/>
      <c r="AW138" s="68"/>
      <c r="AX138" s="578">
        <f>IF(AV138=0,0,(AW138-AV138)/AV138*100)</f>
        <v>0</v>
      </c>
      <c r="AY138" s="68"/>
      <c r="AZ138" s="68"/>
      <c r="BA138" s="578">
        <f>IF(AY138=0,0,(AZ138-AY138)/AY138*100)</f>
        <v>0</v>
      </c>
      <c r="BB138" s="68"/>
      <c r="BC138" s="68"/>
      <c r="BD138" s="578">
        <f>IF(BB138=0,0,(BC138-BB138)/BB138*100)</f>
        <v>0</v>
      </c>
      <c r="BE138" s="68"/>
      <c r="BF138" s="68"/>
      <c r="BG138" s="578">
        <f>IF(BE138=0,0,(BF138-BE138)/BE138*100)</f>
        <v>0</v>
      </c>
      <c r="BH138" s="68"/>
      <c r="BI138" s="68"/>
      <c r="BJ138" s="578">
        <f>IF(BH138=0,0,(BI138-BH138)/BH138*100)</f>
        <v>0</v>
      </c>
      <c r="BK138" s="68"/>
      <c r="BL138" s="68"/>
      <c r="BM138" s="578">
        <f>IF(BK138=0,0,(BL138-BK138)/BK138*100)</f>
        <v>0</v>
      </c>
      <c r="BN138" s="68"/>
      <c r="BO138" s="68"/>
      <c r="BP138" s="578">
        <f>IF(BN138=0,0,(BO138-BN138)/BN138*100)</f>
        <v>0</v>
      </c>
      <c r="BQ138" s="68"/>
      <c r="BR138" s="68"/>
      <c r="BS138" s="578">
        <f>IF(BQ138=0,0,(BR138-BQ138)/BQ138*100)</f>
        <v>0</v>
      </c>
      <c r="BT138" s="68"/>
      <c r="BU138" s="68"/>
      <c r="BV138" s="578">
        <f>IF(BT138=0,0,(BU138-BT138)/BT138*100)</f>
        <v>0</v>
      </c>
      <c r="BW138" s="68"/>
      <c r="BX138" s="68"/>
      <c r="BY138" s="578">
        <f>IF(BW138=0,0,(BX138-BW138)/BW138*100)</f>
        <v>0</v>
      </c>
      <c r="BZ138" s="68"/>
      <c r="CA138" s="68"/>
      <c r="CB138" s="578">
        <f>IF(BZ138=0,0,(CA138-BZ138)/BZ138*100)</f>
        <v>0</v>
      </c>
      <c r="CC138" s="68"/>
      <c r="CD138" s="68"/>
      <c r="CE138" s="578">
        <f>IF(CC138=0,0,(CD138-CC138)/CC138*100)</f>
        <v>0</v>
      </c>
      <c r="CF138" s="68"/>
      <c r="CG138" s="68"/>
      <c r="CH138" s="578">
        <f>IF(CF138=0,0,(CG138-CF138)/CF138*100)</f>
        <v>0</v>
      </c>
      <c r="CI138" s="68"/>
      <c r="CJ138" s="68"/>
      <c r="CK138" s="578">
        <f>IF(CI138=0,0,(CJ138-CI138)/CI138*100)</f>
        <v>0</v>
      </c>
      <c r="CL138" s="68"/>
      <c r="CM138" s="68"/>
      <c r="CN138" s="578">
        <f>IF(CL138=0,0,(CM138-CL138)/CL138*100)</f>
        <v>0</v>
      </c>
      <c r="CO138" s="68"/>
      <c r="CP138" s="68"/>
      <c r="CQ138" s="578">
        <f>IF(CO138=0,0,(CP138-CO138)/CO138*100)</f>
        <v>0</v>
      </c>
      <c r="CR138" s="68"/>
      <c r="CS138" s="68"/>
      <c r="CT138" s="578">
        <f>IF(CR138=0,0,(CS138-CR138)/CR138*100)</f>
        <v>0</v>
      </c>
      <c r="CU138" s="68"/>
      <c r="CV138" s="68"/>
      <c r="CW138" s="578">
        <f>IF(CU138=0,0,(CV138-CU138)/CU138*100)</f>
        <v>0</v>
      </c>
      <c r="CX138" s="68"/>
      <c r="CY138" s="68"/>
      <c r="CZ138" s="578">
        <f>IF(CX138=0,0,(CY138-CX138)/CX138*100)</f>
        <v>0</v>
      </c>
      <c r="DA138" s="68"/>
      <c r="DB138" s="68"/>
      <c r="DC138" s="578">
        <f>IF(DA138=0,0,(DB138-DA138)/DA138*100)</f>
        <v>0</v>
      </c>
      <c r="DD138" s="68"/>
      <c r="DE138" s="68"/>
      <c r="DF138" s="578">
        <f>IF(DD138=0,0,(DE138-DD138)/DD138*100)</f>
        <v>0</v>
      </c>
      <c r="DG138" s="68"/>
      <c r="DH138" s="68"/>
      <c r="DI138" s="578">
        <f>IF(DG138=0,0,(DH138-DG138)/DG138*100)</f>
        <v>0</v>
      </c>
      <c r="DJ138" s="68"/>
      <c r="DK138" s="68"/>
      <c r="DL138" s="578">
        <f>IF(DJ138=0,0,(DK138-DJ138)/DJ138*100)</f>
        <v>0</v>
      </c>
      <c r="DM138" s="68"/>
      <c r="DN138" s="68"/>
      <c r="DO138" s="578">
        <f>IF(DM138=0,0,(DN138-DM138)/DM138*100)</f>
        <v>0</v>
      </c>
      <c r="DP138" s="68"/>
      <c r="DQ138" s="68"/>
      <c r="DR138" s="578">
        <f>IF(DP138=0,0,(DQ138-DP138)/DP138*100)</f>
        <v>0</v>
      </c>
      <c r="DS138" s="68"/>
      <c r="DT138" s="68"/>
      <c r="DU138" s="578">
        <f>IF(DS138=0,0,(DT138-DS138)/DS138*100)</f>
        <v>0</v>
      </c>
      <c r="DV138" s="68"/>
      <c r="DW138" s="68"/>
      <c r="DX138" s="578">
        <f>IF(DV138=0,0,(DW138-DV138)/DV138*100)</f>
        <v>0</v>
      </c>
      <c r="DY138" s="68"/>
      <c r="DZ138" s="68"/>
      <c r="EA138" s="578">
        <f>IF(DY138=0,0,(DZ138-DY138)/DY138*100)</f>
        <v>0</v>
      </c>
      <c r="EB138" s="68"/>
      <c r="EC138" s="68"/>
      <c r="ED138" s="578">
        <f>IF(EB138=0,0,(EC138-EB138)/EB138*100)</f>
        <v>0</v>
      </c>
      <c r="EE138" s="68"/>
      <c r="EF138" s="68"/>
      <c r="EG138" s="578">
        <f>IF(EE138=0,0,(EF138-EE138)/EE138*100)</f>
        <v>0</v>
      </c>
      <c r="EH138" s="68"/>
      <c r="EI138" s="68"/>
      <c r="EJ138" s="578">
        <f>IF(EH138=0,0,(EI138-EH138)/EH138*100)</f>
        <v>0</v>
      </c>
      <c r="EK138" s="68"/>
      <c r="EL138" s="68"/>
      <c r="EM138" s="578">
        <f>IF(EK138=0,0,(EL138-EK138)/EK138*100)</f>
        <v>0</v>
      </c>
      <c r="EN138" s="68"/>
      <c r="EO138" s="68"/>
      <c r="EP138" s="578">
        <f>IF(EN138=0,0,(EO138-EN138)/EN138*100)</f>
        <v>0</v>
      </c>
      <c r="EQ138" s="68"/>
      <c r="ER138" s="68"/>
      <c r="ES138" s="578">
        <f>IF(EQ138=0,0,(ER138-EQ138)/EQ138*100)</f>
        <v>0</v>
      </c>
      <c r="ET138" s="68"/>
      <c r="EU138" s="68"/>
      <c r="EV138" s="578">
        <f>IF(ET138=0,0,(EU138-ET138)/ET138*100)</f>
        <v>0</v>
      </c>
      <c r="EW138" s="68"/>
      <c r="EX138" s="68"/>
      <c r="EY138" s="578">
        <f>IF(EW138=0,0,(EX138-EW138)/EW138*100)</f>
        <v>0</v>
      </c>
      <c r="EZ138" s="68"/>
      <c r="FA138" s="68"/>
      <c r="FB138" s="578">
        <f>IF(EZ138=0,0,(FA138-EZ138)/EZ138*100)</f>
        <v>0</v>
      </c>
      <c r="FC138" s="68"/>
      <c r="FD138" s="68"/>
      <c r="FE138" s="578">
        <f>IF(FC138=0,0,(FD138-FC138)/FC138*100)</f>
        <v>0</v>
      </c>
      <c r="FF138" s="68"/>
      <c r="FG138" s="68"/>
      <c r="FH138" s="578">
        <f>IF(FF138=0,0,(FG138-FF138)/FF138*100)</f>
        <v>0</v>
      </c>
      <c r="FI138" s="68"/>
      <c r="FJ138" s="68"/>
      <c r="FK138" s="578">
        <f>IF(FI138=0,0,(FJ138-FI138)/FI138*100)</f>
        <v>0</v>
      </c>
      <c r="FL138" s="68"/>
      <c r="FM138" s="68"/>
      <c r="FN138" s="578">
        <f>IF(FL138=0,0,(FM138-FL138)/FL138*100)</f>
        <v>0</v>
      </c>
      <c r="FO138" s="68"/>
      <c r="FP138" s="68"/>
      <c r="FQ138" s="578">
        <f>IF(FO138=0,0,(FP138-FO138)/FO138*100)</f>
        <v>0</v>
      </c>
      <c r="FR138" s="68"/>
      <c r="FS138" s="68"/>
      <c r="FT138" s="578">
        <f>IF(FR138=0,0,(FS138-FR138)/FR138*100)</f>
        <v>0</v>
      </c>
      <c r="FU138" s="68"/>
      <c r="FV138" s="68"/>
      <c r="FW138" s="578">
        <f>IF(FU138=0,0,(FV138-FU138)/FU138*100)</f>
        <v>0</v>
      </c>
      <c r="FZ138" s="981" t="s">
        <v>2182</v>
      </c>
      <c r="GA138" s="981" t="s">
        <v>2188</v>
      </c>
      <c r="GB138" s="981" cm="1">
        <f t="array" ref="GB138">GB137</f>
        <v>0</v>
      </c>
      <c r="GC138" s="981"/>
      <c r="GD138" s="981"/>
    </row>
    <row r="139" spans="1:186" s="1229" customFormat="1" ht="16.5" customHeight="1">
      <c r="A139" s="1153"/>
      <c r="B139" s="813" t="b" cm="1">
        <f t="array" aca="1" ref="B139" ca="1">OFFSET(A139,-1,1)</f>
        <v>1</v>
      </c>
      <c r="C139" s="1118"/>
      <c r="D139" s="1087"/>
      <c r="E139" s="676">
        <v>17</v>
      </c>
      <c r="F139" s="779" t="str" cm="1">
        <f t="array" aca="1" ref="F139" ca="1">OFFSET(G139,-1,-1)</f>
        <v>2</v>
      </c>
      <c r="G139" s="425"/>
      <c r="H139" s="163" t="str">
        <f ca="1">F139&amp;"pIns1"</f>
        <v>2pIns1</v>
      </c>
      <c r="I139" s="425"/>
      <c r="J139" s="1110"/>
      <c r="K139" s="1108" t="str" cm="1">
        <f t="array" aca="1" ref="K139" ca="1">OFFSET(J139,-1,1)</f>
        <v>ТЭ.42.26322895.0004</v>
      </c>
      <c r="L139" s="1110"/>
      <c r="M139" s="1110"/>
      <c r="N139" s="1110"/>
      <c r="O139" s="1110"/>
      <c r="P139" s="1110"/>
      <c r="Q139" s="1092"/>
      <c r="R139" s="784"/>
      <c r="S139" s="425"/>
      <c r="T139" s="687" t="b" cm="1">
        <f t="array" aca="1" ref="T139" ca="1">T136</f>
        <v>1</v>
      </c>
      <c r="U139" s="1153"/>
      <c r="V139" s="1153"/>
      <c r="W139" s="1537" t="s">
        <v>2190</v>
      </c>
      <c r="X139" s="1726"/>
      <c r="Y139" s="1153"/>
      <c r="Z139" s="1726"/>
      <c r="AA139" s="425"/>
      <c r="AB139" s="760" t="s">
        <v>238</v>
      </c>
      <c r="AC139" s="285"/>
      <c r="AD139" s="483"/>
      <c r="AE139" s="483"/>
      <c r="AF139" s="283"/>
      <c r="AG139" s="483"/>
      <c r="AH139" s="483"/>
      <c r="AI139" s="283"/>
      <c r="AJ139" s="483"/>
      <c r="AK139" s="483"/>
      <c r="AL139" s="283"/>
      <c r="AM139" s="483"/>
      <c r="AN139" s="483"/>
      <c r="AO139" s="283"/>
      <c r="AP139" s="483"/>
      <c r="AQ139" s="483"/>
      <c r="AR139" s="283"/>
      <c r="AS139" s="483"/>
      <c r="AT139" s="483"/>
      <c r="AU139" s="283"/>
      <c r="AV139" s="483"/>
      <c r="AW139" s="483"/>
      <c r="AX139" s="283"/>
      <c r="AY139" s="483"/>
      <c r="AZ139" s="483"/>
      <c r="BA139" s="283"/>
      <c r="BB139" s="483"/>
      <c r="BC139" s="483"/>
      <c r="BD139" s="283"/>
      <c r="BE139" s="483"/>
      <c r="BF139" s="483"/>
      <c r="BG139" s="283"/>
      <c r="BH139" s="483"/>
      <c r="BI139" s="483"/>
      <c r="BJ139" s="283"/>
      <c r="BK139" s="283"/>
      <c r="BL139" s="283"/>
      <c r="BM139" s="283"/>
      <c r="BN139" s="283"/>
      <c r="BO139" s="283"/>
      <c r="BP139" s="283"/>
      <c r="BQ139" s="283"/>
      <c r="BR139" s="283"/>
      <c r="BS139" s="283"/>
      <c r="BT139" s="283"/>
      <c r="BU139" s="283"/>
      <c r="BV139" s="283"/>
      <c r="BW139" s="283"/>
      <c r="BX139" s="283"/>
      <c r="BY139" s="283"/>
      <c r="BZ139" s="283"/>
      <c r="CA139" s="283"/>
      <c r="CB139" s="283"/>
      <c r="CC139" s="283"/>
      <c r="CD139" s="283"/>
      <c r="CE139" s="283"/>
      <c r="CF139" s="283"/>
      <c r="CG139" s="283"/>
      <c r="CH139" s="283"/>
      <c r="CI139" s="283"/>
      <c r="CJ139" s="283"/>
      <c r="CK139" s="283"/>
      <c r="CL139" s="283"/>
      <c r="CM139" s="283"/>
      <c r="CN139" s="283"/>
      <c r="CO139" s="283"/>
      <c r="CP139" s="283"/>
      <c r="CQ139" s="283"/>
      <c r="CR139" s="283"/>
      <c r="CS139" s="283"/>
      <c r="CT139" s="283"/>
      <c r="CU139" s="283"/>
      <c r="CV139" s="283"/>
      <c r="CW139" s="283"/>
      <c r="CX139" s="283"/>
      <c r="CY139" s="283"/>
      <c r="CZ139" s="283"/>
      <c r="DA139" s="283"/>
      <c r="DB139" s="283"/>
      <c r="DC139" s="283"/>
      <c r="DD139" s="283"/>
      <c r="DE139" s="283"/>
      <c r="DF139" s="283"/>
      <c r="DG139" s="283"/>
      <c r="DH139" s="283"/>
      <c r="DI139" s="283"/>
      <c r="DJ139" s="283"/>
      <c r="DK139" s="283"/>
      <c r="DL139" s="283"/>
      <c r="DM139" s="283"/>
      <c r="DN139" s="283"/>
      <c r="DO139" s="283"/>
      <c r="DP139" s="283"/>
      <c r="DQ139" s="283"/>
      <c r="DR139" s="283"/>
      <c r="DS139" s="283"/>
      <c r="DT139" s="283"/>
      <c r="DU139" s="283"/>
      <c r="DV139" s="283"/>
      <c r="DW139" s="283"/>
      <c r="DX139" s="283"/>
      <c r="DY139" s="283"/>
      <c r="DZ139" s="283"/>
      <c r="EA139" s="283"/>
      <c r="EB139" s="283"/>
      <c r="EC139" s="283"/>
      <c r="ED139" s="283"/>
      <c r="EE139" s="283"/>
      <c r="EF139" s="283"/>
      <c r="EG139" s="283"/>
      <c r="EH139" s="283"/>
      <c r="EI139" s="283"/>
      <c r="EJ139" s="283"/>
      <c r="EK139" s="283"/>
      <c r="EL139" s="283"/>
      <c r="EM139" s="283"/>
      <c r="EN139" s="283"/>
      <c r="EO139" s="283"/>
      <c r="EP139" s="283"/>
      <c r="EQ139" s="283"/>
      <c r="ER139" s="283"/>
      <c r="ES139" s="283"/>
      <c r="ET139" s="283"/>
      <c r="EU139" s="283"/>
      <c r="EV139" s="283"/>
      <c r="EW139" s="283"/>
      <c r="EX139" s="283"/>
      <c r="EY139" s="283"/>
      <c r="EZ139" s="283"/>
      <c r="FA139" s="283"/>
      <c r="FB139" s="283"/>
      <c r="FC139" s="283"/>
      <c r="FD139" s="283"/>
      <c r="FE139" s="283"/>
      <c r="FF139" s="283"/>
      <c r="FG139" s="283"/>
      <c r="FH139" s="283"/>
      <c r="FI139" s="283"/>
      <c r="FJ139" s="283"/>
      <c r="FK139" s="283"/>
      <c r="FL139" s="283"/>
      <c r="FM139" s="283"/>
      <c r="FN139" s="283"/>
      <c r="FO139" s="283"/>
      <c r="FP139" s="283"/>
      <c r="FQ139" s="283"/>
      <c r="FR139" s="283"/>
      <c r="FS139" s="283"/>
      <c r="FT139" s="283"/>
      <c r="FU139" s="283"/>
      <c r="FV139" s="283"/>
      <c r="FW139" s="284"/>
      <c r="FX139" s="425"/>
      <c r="FY139" s="425"/>
      <c r="FZ139" s="1015"/>
      <c r="GA139" s="981"/>
      <c r="GB139" s="981"/>
      <c r="GC139" s="981" t="s">
        <v>2188</v>
      </c>
      <c r="GD139" s="981"/>
    </row>
    <row r="140" spans="1:186" s="1229" customFormat="1" ht="15" hidden="1" customHeight="1">
      <c r="A140" s="1153"/>
      <c r="B140" s="813" t="b">
        <f>R120="двухставочный"</f>
        <v>0</v>
      </c>
      <c r="C140" s="1118"/>
      <c r="D140" s="1087"/>
      <c r="E140" s="676">
        <v>15.8</v>
      </c>
      <c r="F140" s="779" t="str" cm="1">
        <f t="array" aca="1" ref="F140" ca="1">OFFSET(G140,-1,-1)</f>
        <v>2</v>
      </c>
      <c r="G140" s="425"/>
      <c r="H140" s="425"/>
      <c r="I140" s="425"/>
      <c r="J140" s="1110"/>
      <c r="K140" s="1108" t="str" cm="1">
        <f t="array" aca="1" ref="K140" ca="1">OFFSET(J140,-1,1)</f>
        <v>ТЭ.42.26322895.0004</v>
      </c>
      <c r="L140" s="1110"/>
      <c r="M140" s="1110"/>
      <c r="N140" s="1110"/>
      <c r="O140" s="1110"/>
      <c r="P140" s="1110"/>
      <c r="Q140" s="1092"/>
      <c r="R140" s="784"/>
      <c r="S140" s="425"/>
      <c r="T140" s="687" t="b">
        <f ca="1">AND(F140&gt;0,G120="двухставочный")</f>
        <v>0</v>
      </c>
      <c r="U140" s="1153"/>
      <c r="V140" s="1153"/>
      <c r="W140" s="1153"/>
      <c r="X140" s="1726"/>
      <c r="Y140" s="1153"/>
      <c r="Z140" s="1726"/>
      <c r="AA140" s="425"/>
      <c r="AB140" s="629" t="s">
        <v>2191</v>
      </c>
      <c r="AC140" s="304"/>
      <c r="AD140" s="305"/>
      <c r="AE140" s="305"/>
      <c r="AF140" s="305"/>
      <c r="AG140" s="305"/>
      <c r="AH140" s="305"/>
      <c r="AI140" s="305"/>
      <c r="AJ140" s="305"/>
      <c r="AK140" s="305"/>
      <c r="AL140" s="305"/>
      <c r="AM140" s="305"/>
      <c r="AN140" s="305"/>
      <c r="AO140" s="305"/>
      <c r="AP140" s="305"/>
      <c r="AQ140" s="305"/>
      <c r="AR140" s="305"/>
      <c r="AS140" s="305"/>
      <c r="AT140" s="305"/>
      <c r="AU140" s="305"/>
      <c r="AV140" s="305"/>
      <c r="AW140" s="305"/>
      <c r="AX140" s="305"/>
      <c r="AY140" s="305"/>
      <c r="AZ140" s="305"/>
      <c r="BA140" s="305"/>
      <c r="BB140" s="305"/>
      <c r="BC140" s="305"/>
      <c r="BD140" s="305"/>
      <c r="BE140" s="305"/>
      <c r="BF140" s="305"/>
      <c r="BG140" s="305"/>
      <c r="BH140" s="305"/>
      <c r="BI140" s="305"/>
      <c r="BJ140" s="305"/>
      <c r="BK140" s="305"/>
      <c r="BL140" s="305"/>
      <c r="BM140" s="305"/>
      <c r="BN140" s="305"/>
      <c r="BO140" s="305"/>
      <c r="BP140" s="305"/>
      <c r="BQ140" s="305"/>
      <c r="BR140" s="305"/>
      <c r="BS140" s="305"/>
      <c r="BT140" s="305"/>
      <c r="BU140" s="305"/>
      <c r="BV140" s="305"/>
      <c r="BW140" s="305"/>
      <c r="BX140" s="305"/>
      <c r="BY140" s="305"/>
      <c r="BZ140" s="305"/>
      <c r="CA140" s="305"/>
      <c r="CB140" s="305"/>
      <c r="CC140" s="305"/>
      <c r="CD140" s="305"/>
      <c r="CE140" s="305"/>
      <c r="CF140" s="305"/>
      <c r="CG140" s="305"/>
      <c r="CH140" s="305"/>
      <c r="CI140" s="305"/>
      <c r="CJ140" s="305"/>
      <c r="CK140" s="305"/>
      <c r="CL140" s="305"/>
      <c r="CM140" s="305"/>
      <c r="CN140" s="305"/>
      <c r="CO140" s="305"/>
      <c r="CP140" s="305"/>
      <c r="CQ140" s="305"/>
      <c r="CR140" s="305"/>
      <c r="CS140" s="305"/>
      <c r="CT140" s="305"/>
      <c r="CU140" s="305"/>
      <c r="CV140" s="305"/>
      <c r="CW140" s="305"/>
      <c r="CX140" s="305"/>
      <c r="CY140" s="305"/>
      <c r="CZ140" s="305"/>
      <c r="DA140" s="305"/>
      <c r="DB140" s="305"/>
      <c r="DC140" s="305"/>
      <c r="DD140" s="305"/>
      <c r="DE140" s="305"/>
      <c r="DF140" s="305"/>
      <c r="DG140" s="305"/>
      <c r="DH140" s="305"/>
      <c r="DI140" s="305"/>
      <c r="DJ140" s="305"/>
      <c r="DK140" s="305"/>
      <c r="DL140" s="305"/>
      <c r="DM140" s="305"/>
      <c r="DN140" s="305"/>
      <c r="DO140" s="305"/>
      <c r="DP140" s="305"/>
      <c r="DQ140" s="305"/>
      <c r="DR140" s="305"/>
      <c r="DS140" s="305"/>
      <c r="DT140" s="305"/>
      <c r="DU140" s="305"/>
      <c r="DV140" s="305"/>
      <c r="DW140" s="305"/>
      <c r="DX140" s="305"/>
      <c r="DY140" s="305"/>
      <c r="DZ140" s="305"/>
      <c r="EA140" s="305"/>
      <c r="EB140" s="305"/>
      <c r="EC140" s="305"/>
      <c r="ED140" s="305"/>
      <c r="EE140" s="305"/>
      <c r="EF140" s="305"/>
      <c r="EG140" s="305"/>
      <c r="EH140" s="305"/>
      <c r="EI140" s="305"/>
      <c r="EJ140" s="305"/>
      <c r="EK140" s="305"/>
      <c r="EL140" s="305"/>
      <c r="EM140" s="305"/>
      <c r="EN140" s="305"/>
      <c r="EO140" s="305"/>
      <c r="EP140" s="305"/>
      <c r="EQ140" s="305"/>
      <c r="ER140" s="305"/>
      <c r="ES140" s="305"/>
      <c r="ET140" s="305"/>
      <c r="EU140" s="305"/>
      <c r="EV140" s="305"/>
      <c r="EW140" s="305"/>
      <c r="EX140" s="305"/>
      <c r="EY140" s="305"/>
      <c r="EZ140" s="305"/>
      <c r="FA140" s="305"/>
      <c r="FB140" s="305"/>
      <c r="FC140" s="305"/>
      <c r="FD140" s="305"/>
      <c r="FE140" s="305"/>
      <c r="FF140" s="305"/>
      <c r="FG140" s="305"/>
      <c r="FH140" s="305"/>
      <c r="FI140" s="305"/>
      <c r="FJ140" s="305"/>
      <c r="FK140" s="305"/>
      <c r="FL140" s="305"/>
      <c r="FM140" s="305"/>
      <c r="FN140" s="305"/>
      <c r="FO140" s="305"/>
      <c r="FP140" s="305"/>
      <c r="FQ140" s="305"/>
      <c r="FR140" s="305"/>
      <c r="FS140" s="305"/>
      <c r="FT140" s="305"/>
      <c r="FU140" s="305"/>
      <c r="FV140" s="305"/>
      <c r="FW140" s="306"/>
      <c r="FX140" s="425"/>
      <c r="FY140" s="425"/>
      <c r="FZ140" s="1015"/>
      <c r="GA140" s="981"/>
      <c r="GB140" s="981"/>
      <c r="GC140" s="981"/>
      <c r="GD140" s="981"/>
    </row>
    <row r="141" spans="1:186" s="1229" customFormat="1" ht="15" hidden="1" customHeight="1">
      <c r="A141" s="1153"/>
      <c r="B141" s="813" t="b" cm="1">
        <f t="array" ref="B141">B140</f>
        <v>0</v>
      </c>
      <c r="C141" s="1118"/>
      <c r="D141" s="1087"/>
      <c r="E141" s="676">
        <v>15.8</v>
      </c>
      <c r="F141" s="779" t="str" cm="1">
        <f t="array" aca="1" ref="F141" ca="1">OFFSET(G141,-1,-1)</f>
        <v>2</v>
      </c>
      <c r="G141" s="425"/>
      <c r="H141" s="425"/>
      <c r="I141" s="425"/>
      <c r="J141" s="1092"/>
      <c r="K141" s="1108" t="str" cm="1">
        <f t="array" aca="1" ref="K141" ca="1">OFFSET(J141,-1,1)</f>
        <v>ТЭ.42.26322895.0004</v>
      </c>
      <c r="L141" s="1092"/>
      <c r="M141" s="1092"/>
      <c r="N141" s="1092"/>
      <c r="O141" s="1092"/>
      <c r="P141" s="1092"/>
      <c r="Q141" s="1092"/>
      <c r="R141" s="784"/>
      <c r="S141" s="425"/>
      <c r="T141" s="687" t="b" cm="1">
        <f t="array" aca="1" ref="T141" ca="1">T140</f>
        <v>0</v>
      </c>
      <c r="U141" s="1153"/>
      <c r="V141" s="1153"/>
      <c r="W141" s="1153"/>
      <c r="X141" s="1726"/>
      <c r="Y141" s="1153"/>
      <c r="Z141" s="1726"/>
      <c r="AA141" s="425"/>
      <c r="AB141" s="1140" t="s">
        <v>2192</v>
      </c>
      <c r="AC141" s="314"/>
      <c r="AD141" s="315"/>
      <c r="AE141" s="315"/>
      <c r="AF141" s="315"/>
      <c r="AG141" s="315"/>
      <c r="AH141" s="315"/>
      <c r="AI141" s="315"/>
      <c r="AJ141" s="315"/>
      <c r="AK141" s="315"/>
      <c r="AL141" s="315"/>
      <c r="AM141" s="315"/>
      <c r="AN141" s="315"/>
      <c r="AO141" s="315"/>
      <c r="AP141" s="315"/>
      <c r="AQ141" s="315"/>
      <c r="AR141" s="315"/>
      <c r="AS141" s="315"/>
      <c r="AT141" s="315"/>
      <c r="AU141" s="315"/>
      <c r="AV141" s="315"/>
      <c r="AW141" s="315"/>
      <c r="AX141" s="315"/>
      <c r="AY141" s="315"/>
      <c r="AZ141" s="315"/>
      <c r="BA141" s="315"/>
      <c r="BB141" s="315"/>
      <c r="BC141" s="315"/>
      <c r="BD141" s="315"/>
      <c r="BE141" s="315"/>
      <c r="BF141" s="315"/>
      <c r="BG141" s="315"/>
      <c r="BH141" s="315"/>
      <c r="BI141" s="315"/>
      <c r="BJ141" s="315"/>
      <c r="BK141" s="315"/>
      <c r="BL141" s="315"/>
      <c r="BM141" s="315"/>
      <c r="BN141" s="315"/>
      <c r="BO141" s="315"/>
      <c r="BP141" s="315"/>
      <c r="BQ141" s="315"/>
      <c r="BR141" s="315"/>
      <c r="BS141" s="315"/>
      <c r="BT141" s="315"/>
      <c r="BU141" s="315"/>
      <c r="BV141" s="315"/>
      <c r="BW141" s="315"/>
      <c r="BX141" s="315"/>
      <c r="BY141" s="315"/>
      <c r="BZ141" s="315"/>
      <c r="CA141" s="315"/>
      <c r="CB141" s="315"/>
      <c r="CC141" s="315"/>
      <c r="CD141" s="315"/>
      <c r="CE141" s="315"/>
      <c r="CF141" s="315"/>
      <c r="CG141" s="315"/>
      <c r="CH141" s="315"/>
      <c r="CI141" s="315"/>
      <c r="CJ141" s="315"/>
      <c r="CK141" s="315"/>
      <c r="CL141" s="315"/>
      <c r="CM141" s="315"/>
      <c r="CN141" s="315"/>
      <c r="CO141" s="315"/>
      <c r="CP141" s="315"/>
      <c r="CQ141" s="315"/>
      <c r="CR141" s="315"/>
      <c r="CS141" s="315"/>
      <c r="CT141" s="315"/>
      <c r="CU141" s="315"/>
      <c r="CV141" s="315"/>
      <c r="CW141" s="315"/>
      <c r="CX141" s="315"/>
      <c r="CY141" s="315"/>
      <c r="CZ141" s="315"/>
      <c r="DA141" s="315"/>
      <c r="DB141" s="315"/>
      <c r="DC141" s="315"/>
      <c r="DD141" s="315"/>
      <c r="DE141" s="315"/>
      <c r="DF141" s="315"/>
      <c r="DG141" s="315"/>
      <c r="DH141" s="315"/>
      <c r="DI141" s="315"/>
      <c r="DJ141" s="315"/>
      <c r="DK141" s="315"/>
      <c r="DL141" s="315"/>
      <c r="DM141" s="315"/>
      <c r="DN141" s="315"/>
      <c r="DO141" s="315"/>
      <c r="DP141" s="315"/>
      <c r="DQ141" s="315"/>
      <c r="DR141" s="315"/>
      <c r="DS141" s="315"/>
      <c r="DT141" s="315"/>
      <c r="DU141" s="315"/>
      <c r="DV141" s="315"/>
      <c r="DW141" s="315"/>
      <c r="DX141" s="315"/>
      <c r="DY141" s="315"/>
      <c r="DZ141" s="315"/>
      <c r="EA141" s="315"/>
      <c r="EB141" s="315"/>
      <c r="EC141" s="315"/>
      <c r="ED141" s="315"/>
      <c r="EE141" s="315"/>
      <c r="EF141" s="315"/>
      <c r="EG141" s="315"/>
      <c r="EH141" s="315"/>
      <c r="EI141" s="315"/>
      <c r="EJ141" s="315"/>
      <c r="EK141" s="315"/>
      <c r="EL141" s="315"/>
      <c r="EM141" s="315"/>
      <c r="EN141" s="315"/>
      <c r="EO141" s="315"/>
      <c r="EP141" s="315"/>
      <c r="EQ141" s="315"/>
      <c r="ER141" s="315"/>
      <c r="ES141" s="315"/>
      <c r="ET141" s="315"/>
      <c r="EU141" s="315"/>
      <c r="EV141" s="315"/>
      <c r="EW141" s="315"/>
      <c r="EX141" s="315"/>
      <c r="EY141" s="315"/>
      <c r="EZ141" s="315"/>
      <c r="FA141" s="315"/>
      <c r="FB141" s="315"/>
      <c r="FC141" s="315"/>
      <c r="FD141" s="315"/>
      <c r="FE141" s="315"/>
      <c r="FF141" s="315"/>
      <c r="FG141" s="315"/>
      <c r="FH141" s="315"/>
      <c r="FI141" s="315"/>
      <c r="FJ141" s="315"/>
      <c r="FK141" s="315"/>
      <c r="FL141" s="315"/>
      <c r="FM141" s="315"/>
      <c r="FN141" s="315"/>
      <c r="FO141" s="315"/>
      <c r="FP141" s="315"/>
      <c r="FQ141" s="315"/>
      <c r="FR141" s="315"/>
      <c r="FS141" s="315"/>
      <c r="FT141" s="315"/>
      <c r="FU141" s="315"/>
      <c r="FV141" s="315"/>
      <c r="FW141" s="316"/>
      <c r="FX141" s="425"/>
      <c r="FY141" s="425"/>
      <c r="FZ141" s="1015"/>
      <c r="GA141" s="981"/>
      <c r="GB141" s="981"/>
      <c r="GC141" s="981"/>
      <c r="GD141" s="981"/>
    </row>
    <row r="142" spans="1:186" s="1229" customFormat="1" ht="15" hidden="1" customHeight="1">
      <c r="A142" s="1153"/>
      <c r="B142" s="813" t="b" cm="1">
        <f t="array" ref="B142">B141</f>
        <v>0</v>
      </c>
      <c r="C142" s="1118" t="s">
        <v>2193</v>
      </c>
      <c r="D142" s="1087" t="s">
        <v>2194</v>
      </c>
      <c r="E142" s="676">
        <v>15.8</v>
      </c>
      <c r="F142" s="779" t="str" cm="1">
        <f t="array" aca="1" ref="F142" ca="1">OFFSET(G142,-1,-1)</f>
        <v>2</v>
      </c>
      <c r="G142" s="620" t="s">
        <v>1787</v>
      </c>
      <c r="H142" s="163" t="s">
        <v>2195</v>
      </c>
      <c r="I142" s="163" t="s">
        <v>2148</v>
      </c>
      <c r="J142" s="1108"/>
      <c r="K142" s="1108" t="str" cm="1">
        <f t="array" aca="1" ref="K142" ca="1">OFFSET(J142,-1,1)</f>
        <v>ТЭ.42.26322895.0004</v>
      </c>
      <c r="L142" s="1108"/>
      <c r="M142" s="1108" t="s">
        <v>1782</v>
      </c>
      <c r="N142" s="1108" t="s">
        <v>2151</v>
      </c>
      <c r="O142" s="1109" t="s">
        <v>2152</v>
      </c>
      <c r="P142" s="1108" t="s">
        <v>2196</v>
      </c>
      <c r="Q142" s="1108"/>
      <c r="R142" s="784"/>
      <c r="S142" s="425"/>
      <c r="T142" s="687" t="b" cm="1">
        <f t="array" aca="1" ref="T142" ca="1">T141</f>
        <v>0</v>
      </c>
      <c r="U142" s="1153"/>
      <c r="V142" s="1153"/>
      <c r="W142" s="1153"/>
      <c r="X142" s="1726"/>
      <c r="Y142" s="1153"/>
      <c r="Z142" s="1726"/>
      <c r="AA142" s="425"/>
      <c r="AB142" s="223" t="s">
        <v>2197</v>
      </c>
      <c r="AC142" s="123" t="s">
        <v>929</v>
      </c>
      <c r="AD142" s="22">
        <f ca="1">IF(method_reg="Метод экономически обоснованных расходов",SUMIFS('Калькуляция (4.6)'!AJ$25:AJ$229,'Калькуляция (4.6)'!$F$25:$F$229,$F142,'Калькуляция (4.6)'!$G$25:$G$229,$G142),IF(method_reg="Метод сравнения аналогов",SUMIFS(INDEX('Калькуляция (МСА)'!$AE$25:$BC$109,,MATCH(AD$8,'Калькуляция (МСА)'!$AE$8:$BC$8,0)),'Калькуляция (МСА)'!$F$25:$F$109,$F142,'Калькуляция (МСА)'!$G$25:$G$109,$G142),SUMIFS(INDEX('Калькуляция (5.9)'!$AJ$25:$BC$194,,MATCH(AD$8,'Калькуляция (5.9)'!$AJ$8:$BC$8,0)),'Калькуляция (5.9)'!$F$25:$F$194,$F142,'Калькуляция (5.9)'!$G$25:$G$194,$G142)))</f>
        <v>0</v>
      </c>
      <c r="AE142" s="22">
        <f ca="1">IF(method_reg="Метод экономически обоснованных расходов",SUMIFS('Калькуляция (4.6)'!AK$25:AK$229,'Калькуляция (4.6)'!$F$25:$F$229,$F142,'Калькуляция (4.6)'!$G$25:$G$229,$G142),IF(method_reg="Метод сравнения аналогов",SUMIFS(INDEX('Калькуляция (МСА)'!$AE$25:$BC$109,,MATCH(AE$8,'Калькуляция (МСА)'!$AE$8:$BC$8,0)),'Калькуляция (МСА)'!$F$25:$F$109,$F142,'Калькуляция (МСА)'!$G$25:$G$109,$G142),SUMIFS(INDEX('Калькуляция (5.9)'!$AJ$25:$BC$194,,MATCH(AE$8,'Калькуляция (5.9)'!$AJ$8:$BC$8,0)),'Калькуляция (5.9)'!$F$25:$F$194,$F142,'Калькуляция (5.9)'!$G$25:$G$194,$G142)))</f>
        <v>3062.82</v>
      </c>
      <c r="AF142" s="312">
        <f ca="1">IF(AD142=0,0,(AE142-AD142)/AD142*100)</f>
        <v>0</v>
      </c>
      <c r="AG142" s="313">
        <f ca="1">IF(method_reg="Метод сравнения аналогов",SUMIFS(INDEX('Калькуляция (МСА)'!$AE$25:$BC$109,,MATCH(AG$8,'Калькуляция (МСА)'!$AE$8:$BC$8,0)),'Калькуляция (МСА)'!$F$25:$F$109,$F142,'Калькуляция (МСА)'!$G$25:$G$109,$G142),SUMIFS(INDEX('Калькуляция (5.9)'!$AJ$25:$BC$194,,MATCH(AG$8,'Калькуляция (5.9)'!$AJ$8:$BC$8,0)),'Калькуляция (5.9)'!$F$25:$F$194,$F142,'Калькуляция (5.9)'!$G$25:$G$194,$G142))</f>
        <v>0</v>
      </c>
      <c r="AH142" s="313">
        <f ca="1">IF(method_reg="Метод сравнения аналогов",SUMIFS(INDEX('Калькуляция (МСА)'!$AE$25:$BC$109,,MATCH(AH$8,'Калькуляция (МСА)'!$AE$8:$BC$8,0)),'Калькуляция (МСА)'!$F$25:$F$109,$F142,'Калькуляция (МСА)'!$G$25:$G$109,$G142),SUMIFS(INDEX('Калькуляция (5.9)'!$AJ$25:$BC$194,,MATCH(AH$8,'Калькуляция (5.9)'!$AJ$8:$BC$8,0)),'Калькуляция (5.9)'!$F$25:$F$194,$F142,'Калькуляция (5.9)'!$G$25:$G$194,$G142))</f>
        <v>0</v>
      </c>
      <c r="AI142" s="312">
        <f ca="1">IF(AG142=0,0,(AH142-AG142)/AG142*100)</f>
        <v>0</v>
      </c>
      <c r="AJ142" s="313">
        <f ca="1">IF(method_reg="Метод сравнения аналогов",SUMIFS(INDEX('Калькуляция (МСА)'!$AE$25:$BC$109,,MATCH(AJ$8,'Калькуляция (МСА)'!$AE$8:$BC$8,0)),'Калькуляция (МСА)'!$F$25:$F$109,$F142,'Калькуляция (МСА)'!$G$25:$G$109,$G142),SUMIFS(INDEX('Калькуляция (5.9)'!$AJ$25:$BC$194,,MATCH(AJ$8,'Калькуляция (5.9)'!$AJ$8:$BC$8,0)),'Калькуляция (5.9)'!$F$25:$F$194,$F142,'Калькуляция (5.9)'!$G$25:$G$194,$G142))</f>
        <v>0</v>
      </c>
      <c r="AK142" s="313">
        <f ca="1">IF(method_reg="Метод сравнения аналогов",SUMIFS(INDEX('Калькуляция (МСА)'!$AE$25:$BC$109,,MATCH(AK$8,'Калькуляция (МСА)'!$AE$8:$BC$8,0)),'Калькуляция (МСА)'!$F$25:$F$109,$F142,'Калькуляция (МСА)'!$G$25:$G$109,$G142),SUMIFS(INDEX('Калькуляция (5.9)'!$AJ$25:$BC$194,,MATCH(AK$8,'Калькуляция (5.9)'!$AJ$8:$BC$8,0)),'Калькуляция (5.9)'!$F$25:$F$194,$F142,'Калькуляция (5.9)'!$G$25:$G$194,$G142))</f>
        <v>0</v>
      </c>
      <c r="AL142" s="312">
        <f ca="1">IF(AJ142=0,0,(AK142-AJ142)/AJ142*100)</f>
        <v>0</v>
      </c>
      <c r="AM142" s="313">
        <f ca="1">IF(method_reg="Метод сравнения аналогов",SUMIFS(INDEX('Калькуляция (МСА)'!$AE$25:$BC$109,,MATCH(AM$8,'Калькуляция (МСА)'!$AE$8:$BC$8,0)),'Калькуляция (МСА)'!$F$25:$F$109,$F142,'Калькуляция (МСА)'!$G$25:$G$109,$G142),SUMIFS(INDEX('Калькуляция (5.9)'!$AJ$25:$BC$194,,MATCH(AM$8,'Калькуляция (5.9)'!$AJ$8:$BC$8,0)),'Калькуляция (5.9)'!$F$25:$F$194,$F142,'Калькуляция (5.9)'!$G$25:$G$194,$G142))</f>
        <v>0</v>
      </c>
      <c r="AN142" s="313">
        <f ca="1">IF(method_reg="Метод сравнения аналогов",SUMIFS(INDEX('Калькуляция (МСА)'!$AE$25:$BC$109,,MATCH(AN$8,'Калькуляция (МСА)'!$AE$8:$BC$8,0)),'Калькуляция (МСА)'!$F$25:$F$109,$F142,'Калькуляция (МСА)'!$G$25:$G$109,$G142),SUMIFS(INDEX('Калькуляция (5.9)'!$AJ$25:$BC$194,,MATCH(AN$8,'Калькуляция (5.9)'!$AJ$8:$BC$8,0)),'Калькуляция (5.9)'!$F$25:$F$194,$F142,'Калькуляция (5.9)'!$G$25:$G$194,$G142))</f>
        <v>0</v>
      </c>
      <c r="AO142" s="312">
        <f ca="1">IF(AM142=0,0,(AN142-AM142)/AM142*100)</f>
        <v>0</v>
      </c>
      <c r="AP142" s="313">
        <f ca="1">IF(method_reg="Метод сравнения аналогов",SUMIFS(INDEX('Калькуляция (МСА)'!$AE$25:$BC$109,,MATCH(AP$8,'Калькуляция (МСА)'!$AE$8:$BC$8,0)),'Калькуляция (МСА)'!$F$25:$F$109,$F142,'Калькуляция (МСА)'!$G$25:$G$109,$G142),SUMIFS(INDEX('Калькуляция (5.9)'!$AJ$25:$BC$194,,MATCH(AP$8,'Калькуляция (5.9)'!$AJ$8:$BC$8,0)),'Калькуляция (5.9)'!$F$25:$F$194,$F142,'Калькуляция (5.9)'!$G$25:$G$194,$G142))</f>
        <v>0</v>
      </c>
      <c r="AQ142" s="313">
        <f ca="1">IF(method_reg="Метод сравнения аналогов",SUMIFS(INDEX('Калькуляция (МСА)'!$AE$25:$BC$109,,MATCH(AQ$8,'Калькуляция (МСА)'!$AE$8:$BC$8,0)),'Калькуляция (МСА)'!$F$25:$F$109,$F142,'Калькуляция (МСА)'!$G$25:$G$109,$G142),SUMIFS(INDEX('Калькуляция (5.9)'!$AJ$25:$BC$194,,MATCH(AQ$8,'Калькуляция (5.9)'!$AJ$8:$BC$8,0)),'Калькуляция (5.9)'!$F$25:$F$194,$F142,'Калькуляция (5.9)'!$G$25:$G$194,$G142))</f>
        <v>0</v>
      </c>
      <c r="AR142" s="312">
        <f ca="1">IF(AP142=0,0,(AQ142-AP142)/AP142*100)</f>
        <v>0</v>
      </c>
      <c r="AS142" s="22">
        <f ca="1">IF(method_reg="Метод сравнения аналогов",SUMIFS(INDEX('Калькуляция (МСА)'!$AE$25:$BC$109,,MATCH(AS$8,'Калькуляция (МСА)'!$AE$8:$BC$8,0)),'Калькуляция (МСА)'!$F$25:$F$109,$F142,'Калькуляция (МСА)'!$G$25:$G$109,$G142),SUMIFS(INDEX('Калькуляция (5.9)'!$AJ$25:$BC$194,,MATCH(AS$8,'Калькуляция (5.9)'!$AJ$8:$BC$8,0)),'Калькуляция (5.9)'!$F$25:$F$194,$F142,'Калькуляция (5.9)'!$G$25:$G$194,$G142))</f>
        <v>0</v>
      </c>
      <c r="AT142" s="22">
        <f ca="1">IF(method_reg="Метод сравнения аналогов",SUMIFS(INDEX('Калькуляция (МСА)'!$AE$25:$BC$109,,MATCH(AT$8,'Калькуляция (МСА)'!$AE$8:$BC$8,0)),'Калькуляция (МСА)'!$F$25:$F$109,$F142,'Калькуляция (МСА)'!$G$25:$G$109,$G142),SUMIFS(INDEX('Калькуляция (5.9)'!$AJ$25:$BC$194,,MATCH(AT$8,'Калькуляция (5.9)'!$AJ$8:$BC$8,0)),'Калькуляция (5.9)'!$F$25:$F$194,$F142,'Калькуляция (5.9)'!$G$25:$G$194,$G142))</f>
        <v>0</v>
      </c>
      <c r="AU142" s="312">
        <f ca="1">IF(AS142=0,0,(AT142-AS142)/AS142*100)</f>
        <v>0</v>
      </c>
      <c r="AV142" s="22">
        <f ca="1">IF(method_reg="Метод сравнения аналогов",SUMIFS(INDEX('Калькуляция (МСА)'!$AE$25:$BC$109,,MATCH(AV$8,'Калькуляция (МСА)'!$AE$8:$BC$8,0)),'Калькуляция (МСА)'!$F$25:$F$109,$F142,'Калькуляция (МСА)'!$G$25:$G$109,$G142),SUMIFS(INDEX('Калькуляция (5.9)'!$AJ$25:$BC$194,,MATCH(AV$8,'Калькуляция (5.9)'!$AJ$8:$BC$8,0)),'Калькуляция (5.9)'!$F$25:$F$194,$F142,'Калькуляция (5.9)'!$G$25:$G$194,$G142))</f>
        <v>0</v>
      </c>
      <c r="AW142" s="22">
        <f ca="1">IF(method_reg="Метод сравнения аналогов",SUMIFS(INDEX('Калькуляция (МСА)'!$AE$25:$BC$109,,MATCH(AW$8,'Калькуляция (МСА)'!$AE$8:$BC$8,0)),'Калькуляция (МСА)'!$F$25:$F$109,$F142,'Калькуляция (МСА)'!$G$25:$G$109,$G142),SUMIFS(INDEX('Калькуляция (5.9)'!$AJ$25:$BC$194,,MATCH(AW$8,'Калькуляция (5.9)'!$AJ$8:$BC$8,0)),'Калькуляция (5.9)'!$F$25:$F$194,$F142,'Калькуляция (5.9)'!$G$25:$G$194,$G142))</f>
        <v>0</v>
      </c>
      <c r="AX142" s="312">
        <f ca="1">IF(AV142=0,0,(AW142-AV142)/AV142*100)</f>
        <v>0</v>
      </c>
      <c r="AY142" s="22">
        <f ca="1">IF(method_reg="Метод сравнения аналогов",SUMIFS(INDEX('Калькуляция (МСА)'!$AE$25:$BC$109,,MATCH(AY$8,'Калькуляция (МСА)'!$AE$8:$BC$8,0)),'Калькуляция (МСА)'!$F$25:$F$109,$F142,'Калькуляция (МСА)'!$G$25:$G$109,$G142),SUMIFS(INDEX('Калькуляция (5.9)'!$AJ$25:$BC$194,,MATCH(AY$8,'Калькуляция (5.9)'!$AJ$8:$BC$8,0)),'Калькуляция (5.9)'!$F$25:$F$194,$F142,'Калькуляция (5.9)'!$G$25:$G$194,$G142))</f>
        <v>0</v>
      </c>
      <c r="AZ142" s="22">
        <f ca="1">IF(method_reg="Метод сравнения аналогов",SUMIFS(INDEX('Калькуляция (МСА)'!$AE$25:$BC$109,,MATCH(AZ$8,'Калькуляция (МСА)'!$AE$8:$BC$8,0)),'Калькуляция (МСА)'!$F$25:$F$109,$F142,'Калькуляция (МСА)'!$G$25:$G$109,$G142),SUMIFS(INDEX('Калькуляция (5.9)'!$AJ$25:$BC$194,,MATCH(AZ$8,'Калькуляция (5.9)'!$AJ$8:$BC$8,0)),'Калькуляция (5.9)'!$F$25:$F$194,$F142,'Калькуляция (5.9)'!$G$25:$G$194,$G142))</f>
        <v>0</v>
      </c>
      <c r="BA142" s="312">
        <f ca="1">IF(AY142=0,0,(AZ142-AY142)/AY142*100)</f>
        <v>0</v>
      </c>
      <c r="BB142" s="22">
        <f ca="1">IF(method_reg="Метод сравнения аналогов",SUMIFS(INDEX('Калькуляция (МСА)'!$AE$25:$BC$109,,MATCH(BB$8,'Калькуляция (МСА)'!$AE$8:$BC$8,0)),'Калькуляция (МСА)'!$F$25:$F$109,$F142,'Калькуляция (МСА)'!$G$25:$G$109,$G142),SUMIFS(INDEX('Калькуляция (5.9)'!$AJ$25:$BC$194,,MATCH(BB$8,'Калькуляция (5.9)'!$AJ$8:$BC$8,0)),'Калькуляция (5.9)'!$F$25:$F$194,$F142,'Калькуляция (5.9)'!$G$25:$G$194,$G142))</f>
        <v>0</v>
      </c>
      <c r="BC142" s="22">
        <f ca="1">IF(method_reg="Метод сравнения аналогов",SUMIFS(INDEX('Калькуляция (МСА)'!$AE$25:$BC$109,,MATCH(BC$8,'Калькуляция (МСА)'!$AE$8:$BC$8,0)),'Калькуляция (МСА)'!$F$25:$F$109,$F142,'Калькуляция (МСА)'!$G$25:$G$109,$G142),SUMIFS(INDEX('Калькуляция (5.9)'!$AJ$25:$BC$194,,MATCH(BC$8,'Калькуляция (5.9)'!$AJ$8:$BC$8,0)),'Калькуляция (5.9)'!$F$25:$F$194,$F142,'Калькуляция (5.9)'!$G$25:$G$194,$G142))</f>
        <v>0</v>
      </c>
      <c r="BD142" s="312">
        <f ca="1">IF(BB142=0,0,(BC142-BB142)/BB142*100)</f>
        <v>0</v>
      </c>
      <c r="BE142" s="22">
        <f ca="1">IF(method_reg="Метод сравнения аналогов",SUMIFS(INDEX('Калькуляция (МСА)'!$AE$25:$BC$109,,MATCH(BE$8,'Калькуляция (МСА)'!$AE$8:$BC$8,0)),'Калькуляция (МСА)'!$F$25:$F$109,$F142,'Калькуляция (МСА)'!$G$25:$G$109,$G142),SUMIFS(INDEX('Калькуляция (5.9)'!$AJ$25:$BC$194,,MATCH(BE$8,'Калькуляция (5.9)'!$AJ$8:$BC$8,0)),'Калькуляция (5.9)'!$F$25:$F$194,$F142,'Калькуляция (5.9)'!$G$25:$G$194,$G142))</f>
        <v>0</v>
      </c>
      <c r="BF142" s="22">
        <f ca="1">IF(method_reg="Метод сравнения аналогов",SUMIFS(INDEX('Калькуляция (МСА)'!$AE$25:$BC$109,,MATCH(BF$8,'Калькуляция (МСА)'!$AE$8:$BC$8,0)),'Калькуляция (МСА)'!$F$25:$F$109,$F142,'Калькуляция (МСА)'!$G$25:$G$109,$G142),SUMIFS(INDEX('Калькуляция (5.9)'!$AJ$25:$BC$194,,MATCH(BF$8,'Калькуляция (5.9)'!$AJ$8:$BC$8,0)),'Калькуляция (5.9)'!$F$25:$F$194,$F142,'Калькуляция (5.9)'!$G$25:$G$194,$G142))</f>
        <v>0</v>
      </c>
      <c r="BG142" s="312">
        <f ca="1">IF(BE142=0,0,(BF142-BE142)/BE142*100)</f>
        <v>0</v>
      </c>
      <c r="BH142" s="22">
        <f>IF(BH144=0,0,(BH143*BH144+BH145*BH146*6)/BH144)</f>
        <v>0</v>
      </c>
      <c r="BI142" s="22">
        <f>IF(BI144=0,0,(BI143*BI144+BI145*BI146*6)/BI144)</f>
        <v>0</v>
      </c>
      <c r="BJ142" s="312">
        <f>IF(BH142=0,0,(BI142-BH142)/BH142*100)</f>
        <v>0</v>
      </c>
      <c r="BK142" s="22">
        <f>IF(BK144=0,0,(BK143*BK144+BK145*BK146*6)/BK144)</f>
        <v>0</v>
      </c>
      <c r="BL142" s="22">
        <f>IF(BL144=0,0,(BL143*BL144+BL145*BL146*6)/BL144)</f>
        <v>0</v>
      </c>
      <c r="BM142" s="312">
        <f>IF(BK142=0,0,(BL142-BK142)/BK142*100)</f>
        <v>0</v>
      </c>
      <c r="BN142" s="22">
        <f>IF(BN144=0,0,(BN143*BN144+BN145*BN146*6)/BN144)</f>
        <v>0</v>
      </c>
      <c r="BO142" s="22">
        <f>IF(BO144=0,0,(BO143*BO144+BO145*BO146*6)/BO144)</f>
        <v>0</v>
      </c>
      <c r="BP142" s="312">
        <f>IF(BN142=0,0,(BO142-BN142)/BN142*100)</f>
        <v>0</v>
      </c>
      <c r="BQ142" s="22">
        <f>IF(BQ144=0,0,(BQ143*BQ144+BQ145*BQ146*6)/BQ144)</f>
        <v>0</v>
      </c>
      <c r="BR142" s="22">
        <f>IF(BR144=0,0,(BR143*BR144+BR145*BR146*6)/BR144)</f>
        <v>0</v>
      </c>
      <c r="BS142" s="312">
        <f>IF(BQ142=0,0,(BR142-BQ142)/BQ142*100)</f>
        <v>0</v>
      </c>
      <c r="BT142" s="22">
        <f>IF(BT144=0,0,(BT143*BT144+BT145*BT146*6)/BT144)</f>
        <v>0</v>
      </c>
      <c r="BU142" s="22">
        <f>IF(BU144=0,0,(BU143*BU144+BU145*BU146*6)/BU144)</f>
        <v>0</v>
      </c>
      <c r="BV142" s="312">
        <f>IF(BT142=0,0,(BU142-BT142)/BT142*100)</f>
        <v>0</v>
      </c>
      <c r="BW142" s="22">
        <f>IF(BW144=0,0,(BW143*BW144+BW145*BW146*6)/BW144)</f>
        <v>0</v>
      </c>
      <c r="BX142" s="22">
        <f>IF(BX144=0,0,(BX143*BX144+BX145*BX146*6)/BX144)</f>
        <v>0</v>
      </c>
      <c r="BY142" s="312">
        <f>IF(BW142=0,0,(BX142-BW142)/BW142*100)</f>
        <v>0</v>
      </c>
      <c r="BZ142" s="22">
        <f>IF(BZ144=0,0,(BZ143*BZ144+BZ145*BZ146*6)/BZ144)</f>
        <v>0</v>
      </c>
      <c r="CA142" s="22">
        <f>IF(CA144=0,0,(CA143*CA144+CA145*CA146*6)/CA144)</f>
        <v>0</v>
      </c>
      <c r="CB142" s="312">
        <f>IF(BZ142=0,0,(CA142-BZ142)/BZ142*100)</f>
        <v>0</v>
      </c>
      <c r="CC142" s="22">
        <f>IF(CC144=0,0,(CC143*CC144+CC145*CC146*6)/CC144)</f>
        <v>0</v>
      </c>
      <c r="CD142" s="22">
        <f>IF(CD144=0,0,(CD143*CD144+CD145*CD146*6)/CD144)</f>
        <v>0</v>
      </c>
      <c r="CE142" s="312">
        <f>IF(CC142=0,0,(CD142-CC142)/CC142*100)</f>
        <v>0</v>
      </c>
      <c r="CF142" s="22">
        <f>IF(CF144=0,0,(CF143*CF144+CF145*CF146*6)/CF144)</f>
        <v>0</v>
      </c>
      <c r="CG142" s="22">
        <f>IF(CG144=0,0,(CG143*CG144+CG145*CG146*6)/CG144)</f>
        <v>0</v>
      </c>
      <c r="CH142" s="312">
        <f>IF(CF142=0,0,(CG142-CF142)/CF142*100)</f>
        <v>0</v>
      </c>
      <c r="CI142" s="22">
        <f>IF(CI144=0,0,(CI143*CI144+CI145*CI146*6)/CI144)</f>
        <v>0</v>
      </c>
      <c r="CJ142" s="22">
        <f>IF(CJ144=0,0,(CJ143*CJ144+CJ145*CJ146*6)/CJ144)</f>
        <v>0</v>
      </c>
      <c r="CK142" s="312">
        <f>IF(CI142=0,0,(CJ142-CI142)/CI142*100)</f>
        <v>0</v>
      </c>
      <c r="CL142" s="22">
        <f>IF(CL144=0,0,(CL143*CL144+CL145*CL146*6)/CL144)</f>
        <v>0</v>
      </c>
      <c r="CM142" s="22">
        <f>IF(CM144=0,0,(CM143*CM144+CM145*CM146*6)/CM144)</f>
        <v>0</v>
      </c>
      <c r="CN142" s="312">
        <f>IF(CL142=0,0,(CM142-CL142)/CL142*100)</f>
        <v>0</v>
      </c>
      <c r="CO142" s="22">
        <f>IF(CO144=0,0,(CO143*CO144+CO145*CO146*6)/CO144)</f>
        <v>0</v>
      </c>
      <c r="CP142" s="22">
        <f>IF(CP144=0,0,(CP143*CP144+CP145*CP146*6)/CP144)</f>
        <v>0</v>
      </c>
      <c r="CQ142" s="312">
        <f>IF(CO142=0,0,(CP142-CO142)/CO142*100)</f>
        <v>0</v>
      </c>
      <c r="CR142" s="22">
        <f>IF(CR144=0,0,(CR143*CR144+CR145*CR146*6)/CR144)</f>
        <v>0</v>
      </c>
      <c r="CS142" s="22">
        <f>IF(CS144=0,0,(CS143*CS144+CS145*CS146*6)/CS144)</f>
        <v>0</v>
      </c>
      <c r="CT142" s="312">
        <f>IF(CR142=0,0,(CS142-CR142)/CR142*100)</f>
        <v>0</v>
      </c>
      <c r="CU142" s="22">
        <f>IF(CU144=0,0,(CU143*CU144+CU145*CU146*6)/CU144)</f>
        <v>0</v>
      </c>
      <c r="CV142" s="22">
        <f>IF(CV144=0,0,(CV143*CV144+CV145*CV146*6)/CV144)</f>
        <v>0</v>
      </c>
      <c r="CW142" s="312">
        <f>IF(CU142=0,0,(CV142-CU142)/CU142*100)</f>
        <v>0</v>
      </c>
      <c r="CX142" s="22">
        <f>IF(CX144=0,0,(CX143*CX144+CX145*CX146*6)/CX144)</f>
        <v>0</v>
      </c>
      <c r="CY142" s="22">
        <f>IF(CY144=0,0,(CY143*CY144+CY145*CY146*6)/CY144)</f>
        <v>0</v>
      </c>
      <c r="CZ142" s="312">
        <f>IF(CX142=0,0,(CY142-CX142)/CX142*100)</f>
        <v>0</v>
      </c>
      <c r="DA142" s="22">
        <f>IF(DA144=0,0,(DA143*DA144+DA145*DA146*6)/DA144)</f>
        <v>0</v>
      </c>
      <c r="DB142" s="22">
        <f>IF(DB144=0,0,(DB143*DB144+DB145*DB146*6)/DB144)</f>
        <v>0</v>
      </c>
      <c r="DC142" s="312">
        <f>IF(DA142=0,0,(DB142-DA142)/DA142*100)</f>
        <v>0</v>
      </c>
      <c r="DD142" s="22">
        <f>IF(DD144=0,0,(DD143*DD144+DD145*DD146*6)/DD144)</f>
        <v>0</v>
      </c>
      <c r="DE142" s="22">
        <f>IF(DE144=0,0,(DE143*DE144+DE145*DE146*6)/DE144)</f>
        <v>0</v>
      </c>
      <c r="DF142" s="312">
        <f>IF(DD142=0,0,(DE142-DD142)/DD142*100)</f>
        <v>0</v>
      </c>
      <c r="DG142" s="22">
        <f>IF(DG144=0,0,(DG143*DG144+DG145*DG146*6)/DG144)</f>
        <v>0</v>
      </c>
      <c r="DH142" s="22">
        <f>IF(DH144=0,0,(DH143*DH144+DH145*DH146*6)/DH144)</f>
        <v>0</v>
      </c>
      <c r="DI142" s="312">
        <f>IF(DG142=0,0,(DH142-DG142)/DG142*100)</f>
        <v>0</v>
      </c>
      <c r="DJ142" s="22">
        <f>IF(DJ144=0,0,(DJ143*DJ144+DJ145*DJ146*6)/DJ144)</f>
        <v>0</v>
      </c>
      <c r="DK142" s="22">
        <f>IF(DK144=0,0,(DK143*DK144+DK145*DK146*6)/DK144)</f>
        <v>0</v>
      </c>
      <c r="DL142" s="312">
        <f>IF(DJ142=0,0,(DK142-DJ142)/DJ142*100)</f>
        <v>0</v>
      </c>
      <c r="DM142" s="22">
        <f>IF(DM144=0,0,(DM143*DM144+DM145*DM146*6)/DM144)</f>
        <v>0</v>
      </c>
      <c r="DN142" s="22">
        <f>IF(DN144=0,0,(DN143*DN144+DN145*DN146*6)/DN144)</f>
        <v>0</v>
      </c>
      <c r="DO142" s="312">
        <f>IF(DM142=0,0,(DN142-DM142)/DM142*100)</f>
        <v>0</v>
      </c>
      <c r="DP142" s="22">
        <f>IF(DP144=0,0,(DP143*DP144+DP145*DP146*6)/DP144)</f>
        <v>0</v>
      </c>
      <c r="DQ142" s="22">
        <f>IF(DQ144=0,0,(DQ143*DQ144+DQ145*DQ146*6)/DQ144)</f>
        <v>0</v>
      </c>
      <c r="DR142" s="312">
        <f>IF(DP142=0,0,(DQ142-DP142)/DP142*100)</f>
        <v>0</v>
      </c>
      <c r="DS142" s="22">
        <f>IF(DS144=0,0,(DS143*DS144+DS145*DS146*6)/DS144)</f>
        <v>0</v>
      </c>
      <c r="DT142" s="22">
        <f>IF(DT144=0,0,(DT143*DT144+DT145*DT146*6)/DT144)</f>
        <v>0</v>
      </c>
      <c r="DU142" s="312">
        <f>IF(DS142=0,0,(DT142-DS142)/DS142*100)</f>
        <v>0</v>
      </c>
      <c r="DV142" s="22">
        <f>IF(DV144=0,0,(DV143*DV144+DV145*DV146*6)/DV144)</f>
        <v>0</v>
      </c>
      <c r="DW142" s="22">
        <f>IF(DW144=0,0,(DW143*DW144+DW145*DW146*6)/DW144)</f>
        <v>0</v>
      </c>
      <c r="DX142" s="312">
        <f>IF(DV142=0,0,(DW142-DV142)/DV142*100)</f>
        <v>0</v>
      </c>
      <c r="DY142" s="22">
        <f>IF(DY144=0,0,(DY143*DY144+DY145*DY146*6)/DY144)</f>
        <v>0</v>
      </c>
      <c r="DZ142" s="22">
        <f>IF(DZ144=0,0,(DZ143*DZ144+DZ145*DZ146*6)/DZ144)</f>
        <v>0</v>
      </c>
      <c r="EA142" s="312">
        <f>IF(DY142=0,0,(DZ142-DY142)/DY142*100)</f>
        <v>0</v>
      </c>
      <c r="EB142" s="22">
        <f>IF(EB144=0,0,(EB143*EB144+EB145*EB146*6)/EB144)</f>
        <v>0</v>
      </c>
      <c r="EC142" s="22">
        <f>IF(EC144=0,0,(EC143*EC144+EC145*EC146*6)/EC144)</f>
        <v>0</v>
      </c>
      <c r="ED142" s="312">
        <f>IF(EB142=0,0,(EC142-EB142)/EB142*100)</f>
        <v>0</v>
      </c>
      <c r="EE142" s="22">
        <f>IF(EE144=0,0,(EE143*EE144+EE145*EE146*6)/EE144)</f>
        <v>0</v>
      </c>
      <c r="EF142" s="22">
        <f>IF(EF144=0,0,(EF143*EF144+EF145*EF146*6)/EF144)</f>
        <v>0</v>
      </c>
      <c r="EG142" s="312">
        <f>IF(EE142=0,0,(EF142-EE142)/EE142*100)</f>
        <v>0</v>
      </c>
      <c r="EH142" s="22">
        <f>IF(EH144=0,0,(EH143*EH144+EH145*EH146*6)/EH144)</f>
        <v>0</v>
      </c>
      <c r="EI142" s="22">
        <f>IF(EI144=0,0,(EI143*EI144+EI145*EI146*6)/EI144)</f>
        <v>0</v>
      </c>
      <c r="EJ142" s="312">
        <f>IF(EH142=0,0,(EI142-EH142)/EH142*100)</f>
        <v>0</v>
      </c>
      <c r="EK142" s="22">
        <f>IF(EK144=0,0,(EK143*EK144+EK145*EK146*6)/EK144)</f>
        <v>0</v>
      </c>
      <c r="EL142" s="22">
        <f>IF(EL144=0,0,(EL143*EL144+EL145*EL146*6)/EL144)</f>
        <v>0</v>
      </c>
      <c r="EM142" s="312">
        <f>IF(EK142=0,0,(EL142-EK142)/EK142*100)</f>
        <v>0</v>
      </c>
      <c r="EN142" s="22">
        <f>IF(EN144=0,0,(EN143*EN144+EN145*EN146*6)/EN144)</f>
        <v>0</v>
      </c>
      <c r="EO142" s="22">
        <f>IF(EO144=0,0,(EO143*EO144+EO145*EO146*6)/EO144)</f>
        <v>0</v>
      </c>
      <c r="EP142" s="312">
        <f>IF(EN142=0,0,(EO142-EN142)/EN142*100)</f>
        <v>0</v>
      </c>
      <c r="EQ142" s="22">
        <f>IF(EQ144=0,0,(EQ143*EQ144+EQ145*EQ146*6)/EQ144)</f>
        <v>0</v>
      </c>
      <c r="ER142" s="22">
        <f>IF(ER144=0,0,(ER143*ER144+ER145*ER146*6)/ER144)</f>
        <v>0</v>
      </c>
      <c r="ES142" s="312">
        <f>IF(EQ142=0,0,(ER142-EQ142)/EQ142*100)</f>
        <v>0</v>
      </c>
      <c r="ET142" s="22">
        <f>IF(ET144=0,0,(ET143*ET144+ET145*ET146*6)/ET144)</f>
        <v>0</v>
      </c>
      <c r="EU142" s="22">
        <f>IF(EU144=0,0,(EU143*EU144+EU145*EU146*6)/EU144)</f>
        <v>0</v>
      </c>
      <c r="EV142" s="312">
        <f>IF(ET142=0,0,(EU142-ET142)/ET142*100)</f>
        <v>0</v>
      </c>
      <c r="EW142" s="22">
        <f>IF(EW144=0,0,(EW143*EW144+EW145*EW146*6)/EW144)</f>
        <v>0</v>
      </c>
      <c r="EX142" s="22">
        <f>IF(EX144=0,0,(EX143*EX144+EX145*EX146*6)/EX144)</f>
        <v>0</v>
      </c>
      <c r="EY142" s="312">
        <f>IF(EW142=0,0,(EX142-EW142)/EW142*100)</f>
        <v>0</v>
      </c>
      <c r="EZ142" s="22">
        <f>IF(EZ144=0,0,(EZ143*EZ144+EZ145*EZ146*6)/EZ144)</f>
        <v>0</v>
      </c>
      <c r="FA142" s="22">
        <f>IF(FA144=0,0,(FA143*FA144+FA145*FA146*6)/FA144)</f>
        <v>0</v>
      </c>
      <c r="FB142" s="312">
        <f>IF(EZ142=0,0,(FA142-EZ142)/EZ142*100)</f>
        <v>0</v>
      </c>
      <c r="FC142" s="22">
        <f>IF(FC144=0,0,(FC143*FC144+FC145*FC146*6)/FC144)</f>
        <v>0</v>
      </c>
      <c r="FD142" s="22">
        <f>IF(FD144=0,0,(FD143*FD144+FD145*FD146*6)/FD144)</f>
        <v>0</v>
      </c>
      <c r="FE142" s="312">
        <f>IF(FC142=0,0,(FD142-FC142)/FC142*100)</f>
        <v>0</v>
      </c>
      <c r="FF142" s="22">
        <f>IF(FF144=0,0,(FF143*FF144+FF145*FF146*6)/FF144)</f>
        <v>0</v>
      </c>
      <c r="FG142" s="22">
        <f>IF(FG144=0,0,(FG143*FG144+FG145*FG146*6)/FG144)</f>
        <v>0</v>
      </c>
      <c r="FH142" s="312">
        <f>IF(FF142=0,0,(FG142-FF142)/FF142*100)</f>
        <v>0</v>
      </c>
      <c r="FI142" s="22">
        <f>IF(FI144=0,0,(FI143*FI144+FI145*FI146*6)/FI144)</f>
        <v>0</v>
      </c>
      <c r="FJ142" s="22">
        <f>IF(FJ144=0,0,(FJ143*FJ144+FJ145*FJ146*6)/FJ144)</f>
        <v>0</v>
      </c>
      <c r="FK142" s="312">
        <f>IF(FI142=0,0,(FJ142-FI142)/FI142*100)</f>
        <v>0</v>
      </c>
      <c r="FL142" s="22">
        <f>IF(FL144=0,0,(FL143*FL144+FL145*FL146*6)/FL144)</f>
        <v>0</v>
      </c>
      <c r="FM142" s="22">
        <f>IF(FM144=0,0,(FM143*FM144+FM145*FM146*6)/FM144)</f>
        <v>0</v>
      </c>
      <c r="FN142" s="312">
        <f>IF(FL142=0,0,(FM142-FL142)/FL142*100)</f>
        <v>0</v>
      </c>
      <c r="FO142" s="22">
        <f>IF(FO144=0,0,(FO143*FO144+FO145*FO146*6)/FO144)</f>
        <v>0</v>
      </c>
      <c r="FP142" s="22">
        <f>IF(FP144=0,0,(FP143*FP144+FP145*FP146*6)/FP144)</f>
        <v>0</v>
      </c>
      <c r="FQ142" s="312">
        <f>IF(FO142=0,0,(FP142-FO142)/FO142*100)</f>
        <v>0</v>
      </c>
      <c r="FR142" s="22">
        <f>IF(FR144=0,0,(FR143*FR144+FR145*FR146*6)/FR144)</f>
        <v>0</v>
      </c>
      <c r="FS142" s="22">
        <f>IF(FS144=0,0,(FS143*FS144+FS145*FS146*6)/FS144)</f>
        <v>0</v>
      </c>
      <c r="FT142" s="312">
        <f>IF(FR142=0,0,(FS142-FR142)/FR142*100)</f>
        <v>0</v>
      </c>
      <c r="FU142" s="22">
        <f>IF(FU144=0,0,(FU143*FU144+FU145*FU146*6)/FU144)</f>
        <v>0</v>
      </c>
      <c r="FV142" s="22">
        <f>IF(FV144=0,0,(FV143*FV144+FV145*FV146*6)/FV144)</f>
        <v>0</v>
      </c>
      <c r="FW142" s="312">
        <f>IF(FU142=0,0,(FV142-FU142)/FU142*100)</f>
        <v>0</v>
      </c>
      <c r="FX142" s="425"/>
      <c r="FY142" s="425"/>
      <c r="FZ142" s="981" t="s">
        <v>2198</v>
      </c>
      <c r="GA142" s="981"/>
      <c r="GB142" s="981"/>
      <c r="GC142" s="981"/>
      <c r="GD142" s="981"/>
    </row>
    <row r="143" spans="1:186" s="1229" customFormat="1" ht="15" hidden="1" customHeight="1">
      <c r="A143" s="1153"/>
      <c r="B143" s="813" t="b" cm="1">
        <f t="array" ref="B143">B142</f>
        <v>0</v>
      </c>
      <c r="C143" s="1118" t="s">
        <v>2199</v>
      </c>
      <c r="D143" s="1087" t="s">
        <v>2200</v>
      </c>
      <c r="E143" s="676">
        <v>15.8</v>
      </c>
      <c r="F143" s="779" t="str" cm="1">
        <f t="array" aca="1" ref="F143" ca="1">OFFSET(G143,-1,-1)</f>
        <v>2</v>
      </c>
      <c r="G143" s="620" t="s">
        <v>1820</v>
      </c>
      <c r="H143" s="163" t="s">
        <v>2201</v>
      </c>
      <c r="I143" s="163" t="s">
        <v>2148</v>
      </c>
      <c r="J143" s="1108"/>
      <c r="K143" s="1108" t="str" cm="1">
        <f t="array" aca="1" ref="K143" ca="1">OFFSET(J143,-1,1)</f>
        <v>ТЭ.42.26322895.0004</v>
      </c>
      <c r="L143" s="1108"/>
      <c r="M143" s="1108" t="s">
        <v>1782</v>
      </c>
      <c r="N143" s="1108" t="s">
        <v>2151</v>
      </c>
      <c r="O143" s="1109" t="s">
        <v>2152</v>
      </c>
      <c r="P143" s="1108" t="s">
        <v>2202</v>
      </c>
      <c r="Q143" s="1108"/>
      <c r="R143" s="784"/>
      <c r="S143" s="425"/>
      <c r="T143" s="687" t="b" cm="1">
        <f t="array" aca="1" ref="T143" ca="1">T142</f>
        <v>0</v>
      </c>
      <c r="U143" s="1153"/>
      <c r="V143" s="1153"/>
      <c r="W143" s="1153"/>
      <c r="X143" s="1726"/>
      <c r="Y143" s="1153"/>
      <c r="Z143" s="1726"/>
      <c r="AA143" s="425"/>
      <c r="AB143" s="223" t="s">
        <v>2203</v>
      </c>
      <c r="AC143" s="123" t="s">
        <v>929</v>
      </c>
      <c r="AD143" s="22">
        <f ca="1">IF(method_reg="Метод экономически обоснованных расходов",SUMIFS('Калькуляция (4.6)'!AJ$25:AJ$229,'Калькуляция (4.6)'!$F$25:$F$229,$F143,'Калькуляция (4.6)'!$G$25:$G$229,$G143),IF(method_reg="Метод сравнения аналогов",SUMIFS(INDEX('Калькуляция (МСА)'!$AE$25:$BC$109,,MATCH(AD$8,'Калькуляция (МСА)'!$AE$8:$BC$8,0)),'Калькуляция (МСА)'!$F$25:$F$109,$F143,'Калькуляция (МСА)'!$G$25:$G$109,$G143),SUMIFS(INDEX('Калькуляция (5.9)'!$AJ$25:$BC$194,,MATCH(AD$8,'Калькуляция (5.9)'!$AJ$8:$BC$8,0)),'Калькуляция (5.9)'!$F$25:$F$194,$F143,'Калькуляция (5.9)'!$G$25:$G$194,$G143)))</f>
        <v>0</v>
      </c>
      <c r="AE143" s="22">
        <f ca="1">IF(method_reg="Метод экономически обоснованных расходов",SUMIFS('Калькуляция (4.6)'!AK$25:AK$229,'Калькуляция (4.6)'!$F$25:$F$229,$F143,'Калькуляция (4.6)'!$G$25:$G$229,$G143),IF(method_reg="Метод сравнения аналогов",SUMIFS(INDEX('Калькуляция (МСА)'!$AE$25:$BC$109,,MATCH(AE$8,'Калькуляция (МСА)'!$AE$8:$BC$8,0)),'Калькуляция (МСА)'!$F$25:$F$109,$F143,'Калькуляция (МСА)'!$G$25:$G$109,$G143),SUMIFS(INDEX('Калькуляция (5.9)'!$AJ$25:$BC$194,,MATCH(AE$8,'Калькуляция (5.9)'!$AJ$8:$BC$8,0)),'Калькуляция (5.9)'!$F$25:$F$194,$F143,'Калькуляция (5.9)'!$G$25:$G$194,$G143)))</f>
        <v>1576.8094101973982</v>
      </c>
      <c r="AF143" s="312">
        <f ca="1">IF(AD143=0,0,(AE143-AD143)/AD143*100)</f>
        <v>0</v>
      </c>
      <c r="AG143" s="313">
        <f ca="1">IF(method_reg="Метод сравнения аналогов",SUMIFS(INDEX('Калькуляция (МСА)'!$AE$25:$BC$109,,MATCH(AG$8,'Калькуляция (МСА)'!$AE$8:$BC$8,0)),'Калькуляция (МСА)'!$F$25:$F$109,$F143,'Калькуляция (МСА)'!$G$25:$G$109,$G143),SUMIFS(INDEX('Калькуляция (5.9)'!$AJ$25:$BC$194,,MATCH(AG$8,'Калькуляция (5.9)'!$AJ$8:$BC$8,0)),'Калькуляция (5.9)'!$F$25:$F$194,$F143,'Калькуляция (5.9)'!$G$25:$G$194,$G143))</f>
        <v>0</v>
      </c>
      <c r="AH143" s="313">
        <f ca="1">IF(method_reg="Метод сравнения аналогов",SUMIFS(INDEX('Калькуляция (МСА)'!$AE$25:$BC$109,,MATCH(AH$8,'Калькуляция (МСА)'!$AE$8:$BC$8,0)),'Калькуляция (МСА)'!$F$25:$F$109,$F143,'Калькуляция (МСА)'!$G$25:$G$109,$G143),SUMIFS(INDEX('Калькуляция (5.9)'!$AJ$25:$BC$194,,MATCH(AH$8,'Калькуляция (5.9)'!$AJ$8:$BC$8,0)),'Калькуляция (5.9)'!$F$25:$F$194,$F143,'Калькуляция (5.9)'!$G$25:$G$194,$G143))</f>
        <v>0</v>
      </c>
      <c r="AI143" s="312">
        <f ca="1">IF(AG143=0,0,(AH143-AG143)/AG143*100)</f>
        <v>0</v>
      </c>
      <c r="AJ143" s="313">
        <f ca="1">IF(method_reg="Метод сравнения аналогов",SUMIFS(INDEX('Калькуляция (МСА)'!$AE$25:$BC$109,,MATCH(AJ$8,'Калькуляция (МСА)'!$AE$8:$BC$8,0)),'Калькуляция (МСА)'!$F$25:$F$109,$F143,'Калькуляция (МСА)'!$G$25:$G$109,$G143),SUMIFS(INDEX('Калькуляция (5.9)'!$AJ$25:$BC$194,,MATCH(AJ$8,'Калькуляция (5.9)'!$AJ$8:$BC$8,0)),'Калькуляция (5.9)'!$F$25:$F$194,$F143,'Калькуляция (5.9)'!$G$25:$G$194,$G143))</f>
        <v>0</v>
      </c>
      <c r="AK143" s="313">
        <f ca="1">IF(method_reg="Метод сравнения аналогов",SUMIFS(INDEX('Калькуляция (МСА)'!$AE$25:$BC$109,,MATCH(AK$8,'Калькуляция (МСА)'!$AE$8:$BC$8,0)),'Калькуляция (МСА)'!$F$25:$F$109,$F143,'Калькуляция (МСА)'!$G$25:$G$109,$G143),SUMIFS(INDEX('Калькуляция (5.9)'!$AJ$25:$BC$194,,MATCH(AK$8,'Калькуляция (5.9)'!$AJ$8:$BC$8,0)),'Калькуляция (5.9)'!$F$25:$F$194,$F143,'Калькуляция (5.9)'!$G$25:$G$194,$G143))</f>
        <v>0</v>
      </c>
      <c r="AL143" s="312">
        <f ca="1">IF(AJ143=0,0,(AK143-AJ143)/AJ143*100)</f>
        <v>0</v>
      </c>
      <c r="AM143" s="313">
        <f ca="1">IF(method_reg="Метод сравнения аналогов",SUMIFS(INDEX('Калькуляция (МСА)'!$AE$25:$BC$109,,MATCH(AM$8,'Калькуляция (МСА)'!$AE$8:$BC$8,0)),'Калькуляция (МСА)'!$F$25:$F$109,$F143,'Калькуляция (МСА)'!$G$25:$G$109,$G143),SUMIFS(INDEX('Калькуляция (5.9)'!$AJ$25:$BC$194,,MATCH(AM$8,'Калькуляция (5.9)'!$AJ$8:$BC$8,0)),'Калькуляция (5.9)'!$F$25:$F$194,$F143,'Калькуляция (5.9)'!$G$25:$G$194,$G143))</f>
        <v>0</v>
      </c>
      <c r="AN143" s="313">
        <f ca="1">IF(method_reg="Метод сравнения аналогов",SUMIFS(INDEX('Калькуляция (МСА)'!$AE$25:$BC$109,,MATCH(AN$8,'Калькуляция (МСА)'!$AE$8:$BC$8,0)),'Калькуляция (МСА)'!$F$25:$F$109,$F143,'Калькуляция (МСА)'!$G$25:$G$109,$G143),SUMIFS(INDEX('Калькуляция (5.9)'!$AJ$25:$BC$194,,MATCH(AN$8,'Калькуляция (5.9)'!$AJ$8:$BC$8,0)),'Калькуляция (5.9)'!$F$25:$F$194,$F143,'Калькуляция (5.9)'!$G$25:$G$194,$G143))</f>
        <v>0</v>
      </c>
      <c r="AO143" s="312">
        <f ca="1">IF(AM143=0,0,(AN143-AM143)/AM143*100)</f>
        <v>0</v>
      </c>
      <c r="AP143" s="313">
        <f ca="1">IF(method_reg="Метод сравнения аналогов",SUMIFS(INDEX('Калькуляция (МСА)'!$AE$25:$BC$109,,MATCH(AP$8,'Калькуляция (МСА)'!$AE$8:$BC$8,0)),'Калькуляция (МСА)'!$F$25:$F$109,$F143,'Калькуляция (МСА)'!$G$25:$G$109,$G143),SUMIFS(INDEX('Калькуляция (5.9)'!$AJ$25:$BC$194,,MATCH(AP$8,'Калькуляция (5.9)'!$AJ$8:$BC$8,0)),'Калькуляция (5.9)'!$F$25:$F$194,$F143,'Калькуляция (5.9)'!$G$25:$G$194,$G143))</f>
        <v>0</v>
      </c>
      <c r="AQ143" s="313">
        <f ca="1">IF(method_reg="Метод сравнения аналогов",SUMIFS(INDEX('Калькуляция (МСА)'!$AE$25:$BC$109,,MATCH(AQ$8,'Калькуляция (МСА)'!$AE$8:$BC$8,0)),'Калькуляция (МСА)'!$F$25:$F$109,$F143,'Калькуляция (МСА)'!$G$25:$G$109,$G143),SUMIFS(INDEX('Калькуляция (5.9)'!$AJ$25:$BC$194,,MATCH(AQ$8,'Калькуляция (5.9)'!$AJ$8:$BC$8,0)),'Калькуляция (5.9)'!$F$25:$F$194,$F143,'Калькуляция (5.9)'!$G$25:$G$194,$G143))</f>
        <v>0</v>
      </c>
      <c r="AR143" s="312">
        <f ca="1">IF(AP143=0,0,(AQ143-AP143)/AP143*100)</f>
        <v>0</v>
      </c>
      <c r="AS143" s="22">
        <f ca="1">IF(method_reg="Метод сравнения аналогов",SUMIFS(INDEX('Калькуляция (МСА)'!$AE$25:$BC$109,,MATCH(AS$8,'Калькуляция (МСА)'!$AE$8:$BC$8,0)),'Калькуляция (МСА)'!$F$25:$F$109,$F143,'Калькуляция (МСА)'!$G$25:$G$109,$G143),SUMIFS(INDEX('Калькуляция (5.9)'!$AJ$25:$BC$194,,MATCH(AS$8,'Калькуляция (5.9)'!$AJ$8:$BC$8,0)),'Калькуляция (5.9)'!$F$25:$F$194,$F143,'Калькуляция (5.9)'!$G$25:$G$194,$G143))</f>
        <v>0</v>
      </c>
      <c r="AT143" s="22">
        <f ca="1">IF(method_reg="Метод сравнения аналогов",SUMIFS(INDEX('Калькуляция (МСА)'!$AE$25:$BC$109,,MATCH(AT$8,'Калькуляция (МСА)'!$AE$8:$BC$8,0)),'Калькуляция (МСА)'!$F$25:$F$109,$F143,'Калькуляция (МСА)'!$G$25:$G$109,$G143),SUMIFS(INDEX('Калькуляция (5.9)'!$AJ$25:$BC$194,,MATCH(AT$8,'Калькуляция (5.9)'!$AJ$8:$BC$8,0)),'Калькуляция (5.9)'!$F$25:$F$194,$F143,'Калькуляция (5.9)'!$G$25:$G$194,$G143))</f>
        <v>0</v>
      </c>
      <c r="AU143" s="312">
        <f ca="1">IF(AS143=0,0,(AT143-AS143)/AS143*100)</f>
        <v>0</v>
      </c>
      <c r="AV143" s="22">
        <f ca="1">IF(method_reg="Метод сравнения аналогов",SUMIFS(INDEX('Калькуляция (МСА)'!$AE$25:$BC$109,,MATCH(AV$8,'Калькуляция (МСА)'!$AE$8:$BC$8,0)),'Калькуляция (МСА)'!$F$25:$F$109,$F143,'Калькуляция (МСА)'!$G$25:$G$109,$G143),SUMIFS(INDEX('Калькуляция (5.9)'!$AJ$25:$BC$194,,MATCH(AV$8,'Калькуляция (5.9)'!$AJ$8:$BC$8,0)),'Калькуляция (5.9)'!$F$25:$F$194,$F143,'Калькуляция (5.9)'!$G$25:$G$194,$G143))</f>
        <v>0</v>
      </c>
      <c r="AW143" s="22">
        <f ca="1">IF(method_reg="Метод сравнения аналогов",SUMIFS(INDEX('Калькуляция (МСА)'!$AE$25:$BC$109,,MATCH(AW$8,'Калькуляция (МСА)'!$AE$8:$BC$8,0)),'Калькуляция (МСА)'!$F$25:$F$109,$F143,'Калькуляция (МСА)'!$G$25:$G$109,$G143),SUMIFS(INDEX('Калькуляция (5.9)'!$AJ$25:$BC$194,,MATCH(AW$8,'Калькуляция (5.9)'!$AJ$8:$BC$8,0)),'Калькуляция (5.9)'!$F$25:$F$194,$F143,'Калькуляция (5.9)'!$G$25:$G$194,$G143))</f>
        <v>0</v>
      </c>
      <c r="AX143" s="312">
        <f ca="1">IF(AV143=0,0,(AW143-AV143)/AV143*100)</f>
        <v>0</v>
      </c>
      <c r="AY143" s="22">
        <f ca="1">IF(method_reg="Метод сравнения аналогов",SUMIFS(INDEX('Калькуляция (МСА)'!$AE$25:$BC$109,,MATCH(AY$8,'Калькуляция (МСА)'!$AE$8:$BC$8,0)),'Калькуляция (МСА)'!$F$25:$F$109,$F143,'Калькуляция (МСА)'!$G$25:$G$109,$G143),SUMIFS(INDEX('Калькуляция (5.9)'!$AJ$25:$BC$194,,MATCH(AY$8,'Калькуляция (5.9)'!$AJ$8:$BC$8,0)),'Калькуляция (5.9)'!$F$25:$F$194,$F143,'Калькуляция (5.9)'!$G$25:$G$194,$G143))</f>
        <v>0</v>
      </c>
      <c r="AZ143" s="22">
        <f ca="1">IF(method_reg="Метод сравнения аналогов",SUMIFS(INDEX('Калькуляция (МСА)'!$AE$25:$BC$109,,MATCH(AZ$8,'Калькуляция (МСА)'!$AE$8:$BC$8,0)),'Калькуляция (МСА)'!$F$25:$F$109,$F143,'Калькуляция (МСА)'!$G$25:$G$109,$G143),SUMIFS(INDEX('Калькуляция (5.9)'!$AJ$25:$BC$194,,MATCH(AZ$8,'Калькуляция (5.9)'!$AJ$8:$BC$8,0)),'Калькуляция (5.9)'!$F$25:$F$194,$F143,'Калькуляция (5.9)'!$G$25:$G$194,$G143))</f>
        <v>0</v>
      </c>
      <c r="BA143" s="312">
        <f ca="1">IF(AY143=0,0,(AZ143-AY143)/AY143*100)</f>
        <v>0</v>
      </c>
      <c r="BB143" s="22">
        <f ca="1">IF(method_reg="Метод сравнения аналогов",SUMIFS(INDEX('Калькуляция (МСА)'!$AE$25:$BC$109,,MATCH(BB$8,'Калькуляция (МСА)'!$AE$8:$BC$8,0)),'Калькуляция (МСА)'!$F$25:$F$109,$F143,'Калькуляция (МСА)'!$G$25:$G$109,$G143),SUMIFS(INDEX('Калькуляция (5.9)'!$AJ$25:$BC$194,,MATCH(BB$8,'Калькуляция (5.9)'!$AJ$8:$BC$8,0)),'Калькуляция (5.9)'!$F$25:$F$194,$F143,'Калькуляция (5.9)'!$G$25:$G$194,$G143))</f>
        <v>0</v>
      </c>
      <c r="BC143" s="22">
        <f ca="1">IF(method_reg="Метод сравнения аналогов",SUMIFS(INDEX('Калькуляция (МСА)'!$AE$25:$BC$109,,MATCH(BC$8,'Калькуляция (МСА)'!$AE$8:$BC$8,0)),'Калькуляция (МСА)'!$F$25:$F$109,$F143,'Калькуляция (МСА)'!$G$25:$G$109,$G143),SUMIFS(INDEX('Калькуляция (5.9)'!$AJ$25:$BC$194,,MATCH(BC$8,'Калькуляция (5.9)'!$AJ$8:$BC$8,0)),'Калькуляция (5.9)'!$F$25:$F$194,$F143,'Калькуляция (5.9)'!$G$25:$G$194,$G143))</f>
        <v>0</v>
      </c>
      <c r="BD143" s="312">
        <f ca="1">IF(BB143=0,0,(BC143-BB143)/BB143*100)</f>
        <v>0</v>
      </c>
      <c r="BE143" s="22">
        <f ca="1">IF(method_reg="Метод сравнения аналогов",SUMIFS(INDEX('Калькуляция (МСА)'!$AE$25:$BC$109,,MATCH(BE$8,'Калькуляция (МСА)'!$AE$8:$BC$8,0)),'Калькуляция (МСА)'!$F$25:$F$109,$F143,'Калькуляция (МСА)'!$G$25:$G$109,$G143),SUMIFS(INDEX('Калькуляция (5.9)'!$AJ$25:$BC$194,,MATCH(BE$8,'Калькуляция (5.9)'!$AJ$8:$BC$8,0)),'Калькуляция (5.9)'!$F$25:$F$194,$F143,'Калькуляция (5.9)'!$G$25:$G$194,$G143))</f>
        <v>0</v>
      </c>
      <c r="BF143" s="22">
        <f ca="1">IF(method_reg="Метод сравнения аналогов",SUMIFS(INDEX('Калькуляция (МСА)'!$AE$25:$BC$109,,MATCH(BF$8,'Калькуляция (МСА)'!$AE$8:$BC$8,0)),'Калькуляция (МСА)'!$F$25:$F$109,$F143,'Калькуляция (МСА)'!$G$25:$G$109,$G143),SUMIFS(INDEX('Калькуляция (5.9)'!$AJ$25:$BC$194,,MATCH(BF$8,'Калькуляция (5.9)'!$AJ$8:$BC$8,0)),'Калькуляция (5.9)'!$F$25:$F$194,$F143,'Калькуляция (5.9)'!$G$25:$G$194,$G143))</f>
        <v>0</v>
      </c>
      <c r="BG143" s="312">
        <f ca="1">IF(BE143=0,0,(BF143-BE143)/BE143*100)</f>
        <v>0</v>
      </c>
      <c r="BH143" s="22"/>
      <c r="BI143" s="22"/>
      <c r="BJ143" s="312">
        <f>IF(BH143=0,0,(BI143-BH143)/BH143*100)</f>
        <v>0</v>
      </c>
      <c r="BK143" s="22"/>
      <c r="BL143" s="22"/>
      <c r="BM143" s="312">
        <f>IF(BK143=0,0,(BL143-BK143)/BK143*100)</f>
        <v>0</v>
      </c>
      <c r="BN143" s="22"/>
      <c r="BO143" s="22"/>
      <c r="BP143" s="312">
        <f>IF(BN143=0,0,(BO143-BN143)/BN143*100)</f>
        <v>0</v>
      </c>
      <c r="BQ143" s="22"/>
      <c r="BR143" s="22"/>
      <c r="BS143" s="312">
        <f>IF(BQ143=0,0,(BR143-BQ143)/BQ143*100)</f>
        <v>0</v>
      </c>
      <c r="BT143" s="22"/>
      <c r="BU143" s="22"/>
      <c r="BV143" s="312">
        <f>IF(BT143=0,0,(BU143-BT143)/BT143*100)</f>
        <v>0</v>
      </c>
      <c r="BW143" s="22"/>
      <c r="BX143" s="22"/>
      <c r="BY143" s="312">
        <f>IF(BW143=0,0,(BX143-BW143)/BW143*100)</f>
        <v>0</v>
      </c>
      <c r="BZ143" s="22"/>
      <c r="CA143" s="22"/>
      <c r="CB143" s="312">
        <f>IF(BZ143=0,0,(CA143-BZ143)/BZ143*100)</f>
        <v>0</v>
      </c>
      <c r="CC143" s="22"/>
      <c r="CD143" s="22"/>
      <c r="CE143" s="312">
        <f>IF(CC143=0,0,(CD143-CC143)/CC143*100)</f>
        <v>0</v>
      </c>
      <c r="CF143" s="22"/>
      <c r="CG143" s="22"/>
      <c r="CH143" s="312">
        <f>IF(CF143=0,0,(CG143-CF143)/CF143*100)</f>
        <v>0</v>
      </c>
      <c r="CI143" s="22"/>
      <c r="CJ143" s="22"/>
      <c r="CK143" s="312">
        <f>IF(CI143=0,0,(CJ143-CI143)/CI143*100)</f>
        <v>0</v>
      </c>
      <c r="CL143" s="22"/>
      <c r="CM143" s="22"/>
      <c r="CN143" s="312">
        <f>IF(CL143=0,0,(CM143-CL143)/CL143*100)</f>
        <v>0</v>
      </c>
      <c r="CO143" s="22"/>
      <c r="CP143" s="22"/>
      <c r="CQ143" s="312">
        <f>IF(CO143=0,0,(CP143-CO143)/CO143*100)</f>
        <v>0</v>
      </c>
      <c r="CR143" s="22"/>
      <c r="CS143" s="22"/>
      <c r="CT143" s="312">
        <f>IF(CR143=0,0,(CS143-CR143)/CR143*100)</f>
        <v>0</v>
      </c>
      <c r="CU143" s="22"/>
      <c r="CV143" s="22"/>
      <c r="CW143" s="312">
        <f>IF(CU143=0,0,(CV143-CU143)/CU143*100)</f>
        <v>0</v>
      </c>
      <c r="CX143" s="22"/>
      <c r="CY143" s="22"/>
      <c r="CZ143" s="312">
        <f>IF(CX143=0,0,(CY143-CX143)/CX143*100)</f>
        <v>0</v>
      </c>
      <c r="DA143" s="22"/>
      <c r="DB143" s="22"/>
      <c r="DC143" s="312">
        <f>IF(DA143=0,0,(DB143-DA143)/DA143*100)</f>
        <v>0</v>
      </c>
      <c r="DD143" s="22"/>
      <c r="DE143" s="22"/>
      <c r="DF143" s="312">
        <f>IF(DD143=0,0,(DE143-DD143)/DD143*100)</f>
        <v>0</v>
      </c>
      <c r="DG143" s="22"/>
      <c r="DH143" s="22"/>
      <c r="DI143" s="312">
        <f>IF(DG143=0,0,(DH143-DG143)/DG143*100)</f>
        <v>0</v>
      </c>
      <c r="DJ143" s="22"/>
      <c r="DK143" s="22"/>
      <c r="DL143" s="312">
        <f>IF(DJ143=0,0,(DK143-DJ143)/DJ143*100)</f>
        <v>0</v>
      </c>
      <c r="DM143" s="22"/>
      <c r="DN143" s="22"/>
      <c r="DO143" s="312">
        <f>IF(DM143=0,0,(DN143-DM143)/DM143*100)</f>
        <v>0</v>
      </c>
      <c r="DP143" s="22"/>
      <c r="DQ143" s="22"/>
      <c r="DR143" s="312">
        <f>IF(DP143=0,0,(DQ143-DP143)/DP143*100)</f>
        <v>0</v>
      </c>
      <c r="DS143" s="22"/>
      <c r="DT143" s="22"/>
      <c r="DU143" s="312">
        <f>IF(DS143=0,0,(DT143-DS143)/DS143*100)</f>
        <v>0</v>
      </c>
      <c r="DV143" s="22"/>
      <c r="DW143" s="22"/>
      <c r="DX143" s="312">
        <f>IF(DV143=0,0,(DW143-DV143)/DV143*100)</f>
        <v>0</v>
      </c>
      <c r="DY143" s="22"/>
      <c r="DZ143" s="22"/>
      <c r="EA143" s="312">
        <f>IF(DY143=0,0,(DZ143-DY143)/DY143*100)</f>
        <v>0</v>
      </c>
      <c r="EB143" s="22"/>
      <c r="EC143" s="22"/>
      <c r="ED143" s="312">
        <f>IF(EB143=0,0,(EC143-EB143)/EB143*100)</f>
        <v>0</v>
      </c>
      <c r="EE143" s="22"/>
      <c r="EF143" s="22"/>
      <c r="EG143" s="312">
        <f>IF(EE143=0,0,(EF143-EE143)/EE143*100)</f>
        <v>0</v>
      </c>
      <c r="EH143" s="22"/>
      <c r="EI143" s="22"/>
      <c r="EJ143" s="312">
        <f>IF(EH143=0,0,(EI143-EH143)/EH143*100)</f>
        <v>0</v>
      </c>
      <c r="EK143" s="22"/>
      <c r="EL143" s="22"/>
      <c r="EM143" s="312">
        <f>IF(EK143=0,0,(EL143-EK143)/EK143*100)</f>
        <v>0</v>
      </c>
      <c r="EN143" s="22"/>
      <c r="EO143" s="22"/>
      <c r="EP143" s="312">
        <f>IF(EN143=0,0,(EO143-EN143)/EN143*100)</f>
        <v>0</v>
      </c>
      <c r="EQ143" s="22"/>
      <c r="ER143" s="22"/>
      <c r="ES143" s="312">
        <f>IF(EQ143=0,0,(ER143-EQ143)/EQ143*100)</f>
        <v>0</v>
      </c>
      <c r="ET143" s="22"/>
      <c r="EU143" s="22"/>
      <c r="EV143" s="312">
        <f>IF(ET143=0,0,(EU143-ET143)/ET143*100)</f>
        <v>0</v>
      </c>
      <c r="EW143" s="22"/>
      <c r="EX143" s="22"/>
      <c r="EY143" s="312">
        <f>IF(EW143=0,0,(EX143-EW143)/EW143*100)</f>
        <v>0</v>
      </c>
      <c r="EZ143" s="22"/>
      <c r="FA143" s="22"/>
      <c r="FB143" s="312">
        <f>IF(EZ143=0,0,(FA143-EZ143)/EZ143*100)</f>
        <v>0</v>
      </c>
      <c r="FC143" s="22"/>
      <c r="FD143" s="22"/>
      <c r="FE143" s="312">
        <f>IF(FC143=0,0,(FD143-FC143)/FC143*100)</f>
        <v>0</v>
      </c>
      <c r="FF143" s="22"/>
      <c r="FG143" s="22"/>
      <c r="FH143" s="312">
        <f>IF(FF143=0,0,(FG143-FF143)/FF143*100)</f>
        <v>0</v>
      </c>
      <c r="FI143" s="22"/>
      <c r="FJ143" s="22"/>
      <c r="FK143" s="312">
        <f>IF(FI143=0,0,(FJ143-FI143)/FI143*100)</f>
        <v>0</v>
      </c>
      <c r="FL143" s="22"/>
      <c r="FM143" s="22"/>
      <c r="FN143" s="312">
        <f>IF(FL143=0,0,(FM143-FL143)/FL143*100)</f>
        <v>0</v>
      </c>
      <c r="FO143" s="22"/>
      <c r="FP143" s="22"/>
      <c r="FQ143" s="312">
        <f>IF(FO143=0,0,(FP143-FO143)/FO143*100)</f>
        <v>0</v>
      </c>
      <c r="FR143" s="22"/>
      <c r="FS143" s="22"/>
      <c r="FT143" s="312">
        <f>IF(FR143=0,0,(FS143-FR143)/FR143*100)</f>
        <v>0</v>
      </c>
      <c r="FU143" s="22"/>
      <c r="FV143" s="22"/>
      <c r="FW143" s="312">
        <f>IF(FU143=0,0,(FV143-FU143)/FU143*100)</f>
        <v>0</v>
      </c>
      <c r="FX143" s="425"/>
      <c r="FY143" s="425"/>
      <c r="FZ143" s="981" t="s">
        <v>2204</v>
      </c>
      <c r="GA143" s="981"/>
      <c r="GB143" s="981"/>
      <c r="GC143" s="981"/>
      <c r="GD143" s="981"/>
    </row>
    <row r="144" spans="1:186" s="1229" customFormat="1" ht="15" hidden="1" customHeight="1">
      <c r="A144" s="1153"/>
      <c r="B144" s="813" t="b" cm="1">
        <f t="array" ref="B144">B143</f>
        <v>0</v>
      </c>
      <c r="C144" s="1118" t="s">
        <v>1779</v>
      </c>
      <c r="D144" s="1087" t="s">
        <v>1780</v>
      </c>
      <c r="E144" s="676">
        <v>15.8</v>
      </c>
      <c r="F144" s="779" t="str" cm="1">
        <f t="array" aca="1" ref="F144" ca="1">OFFSET(G144,-1,-1)</f>
        <v>2</v>
      </c>
      <c r="G144" s="143" t="s">
        <v>1781</v>
      </c>
      <c r="H144" s="163" t="s">
        <v>2205</v>
      </c>
      <c r="I144" s="163" t="s">
        <v>2148</v>
      </c>
      <c r="J144" s="1108"/>
      <c r="K144" s="1108" t="str" cm="1">
        <f t="array" aca="1" ref="K144" ca="1">OFFSET(J144,-1,1)</f>
        <v>ТЭ.42.26322895.0004</v>
      </c>
      <c r="L144" s="1108"/>
      <c r="M144" s="1108" t="s">
        <v>1782</v>
      </c>
      <c r="N144" s="1108" t="s">
        <v>2151</v>
      </c>
      <c r="O144" s="1109" t="s">
        <v>2152</v>
      </c>
      <c r="P144" s="1108" t="s">
        <v>2206</v>
      </c>
      <c r="Q144" s="1108"/>
      <c r="R144" s="784"/>
      <c r="S144" s="425"/>
      <c r="T144" s="687" t="b" cm="1">
        <f t="array" aca="1" ref="T144" ca="1">T143</f>
        <v>0</v>
      </c>
      <c r="U144" s="1153"/>
      <c r="V144" s="1153"/>
      <c r="W144" s="1153"/>
      <c r="X144" s="1726"/>
      <c r="Y144" s="1153"/>
      <c r="Z144" s="1726"/>
      <c r="AA144" s="425"/>
      <c r="AB144" s="223" t="s">
        <v>2207</v>
      </c>
      <c r="AC144" s="123" t="s">
        <v>634</v>
      </c>
      <c r="AD144" s="100">
        <f ca="1">IF(method_reg="Метод экономически обоснованных расходов",SUMIFS('Калькуляция (4.6)'!AJ$25:AJ$229,'Калькуляция (4.6)'!$F$25:$F$229,$F144,'Калькуляция (4.6)'!$G$25:$G$229,$G144),IF(method_reg="Метод сравнения аналогов",SUMIFS(INDEX('Калькуляция (МСА)'!$AE$25:$BC$109,,MATCH(AD$8,'Калькуляция (МСА)'!$AE$8:$BC$8,0)),'Калькуляция (МСА)'!$F$25:$F$109,$F144,'Калькуляция (МСА)'!$G$25:$G$109,$G144),SUMIFS(INDEX('Калькуляция (5.9)'!$AJ$25:$BC$194,,MATCH(AD$8,'Калькуляция (5.9)'!$AJ$8:$BC$8,0)),'Калькуляция (5.9)'!$F$25:$F$194,$F144,'Калькуляция (5.9)'!$G$25:$G$194,$G144)))</f>
        <v>0</v>
      </c>
      <c r="AE144" s="100">
        <f ca="1">IF(method_reg="Метод экономически обоснованных расходов",SUMIFS('Калькуляция (4.6)'!AK$25:AK$229,'Калькуляция (4.6)'!$F$25:$F$229,$F144,'Калькуляция (4.6)'!$G$25:$G$229,$G144),IF(method_reg="Метод сравнения аналогов",SUMIFS(INDEX('Калькуляция (МСА)'!$AE$25:$BC$109,,MATCH(AE$8,'Калькуляция (МСА)'!$AE$8:$BC$8,0)),'Калькуляция (МСА)'!$F$25:$F$109,$F144,'Калькуляция (МСА)'!$G$25:$G$109,$G144),SUMIFS(INDEX('Калькуляция (5.9)'!$AJ$25:$BC$194,,MATCH(AE$8,'Калькуляция (5.9)'!$AJ$8:$BC$8,0)),'Калькуляция (5.9)'!$F$25:$F$194,$F144,'Калькуляция (5.9)'!$G$25:$G$194,$G144)))</f>
        <v>80065.085607000001</v>
      </c>
      <c r="AF144" s="341">
        <f ca="1">IF(AD144=0,0,(AE144-AD144)/AD144*100)</f>
        <v>0</v>
      </c>
      <c r="AG144" s="354">
        <f ca="1">IF(method_reg="Метод сравнения аналогов",SUMIFS(INDEX('Калькуляция (МСА)'!$AE$25:$BC$109,,MATCH(AG$8,'Калькуляция (МСА)'!$AE$8:$BC$8,0)),'Калькуляция (МСА)'!$F$25:$F$109,$F144,'Калькуляция (МСА)'!$G$25:$G$109,$G144),SUMIFS(INDEX('Калькуляция (5.9)'!$AJ$25:$BC$194,,MATCH(AG$8,'Калькуляция (5.9)'!$AJ$8:$BC$8,0)),'Калькуляция (5.9)'!$F$25:$F$194,$F144,'Калькуляция (5.9)'!$G$25:$G$194,$G144))</f>
        <v>0</v>
      </c>
      <c r="AH144" s="354">
        <f ca="1">IF(method_reg="Метод сравнения аналогов",SUMIFS(INDEX('Калькуляция (МСА)'!$AE$25:$BC$109,,MATCH(AH$8,'Калькуляция (МСА)'!$AE$8:$BC$8,0)),'Калькуляция (МСА)'!$F$25:$F$109,$F144,'Калькуляция (МСА)'!$G$25:$G$109,$G144),SUMIFS(INDEX('Калькуляция (5.9)'!$AJ$25:$BC$194,,MATCH(AH$8,'Калькуляция (5.9)'!$AJ$8:$BC$8,0)),'Калькуляция (5.9)'!$F$25:$F$194,$F144,'Калькуляция (5.9)'!$G$25:$G$194,$G144))</f>
        <v>0</v>
      </c>
      <c r="AI144" s="341">
        <f ca="1">IF(AG144=0,0,(AH144-AG144)/AG144*100)</f>
        <v>0</v>
      </c>
      <c r="AJ144" s="354">
        <f ca="1">IF(method_reg="Метод сравнения аналогов",SUMIFS(INDEX('Калькуляция (МСА)'!$AE$25:$BC$109,,MATCH(AJ$8,'Калькуляция (МСА)'!$AE$8:$BC$8,0)),'Калькуляция (МСА)'!$F$25:$F$109,$F144,'Калькуляция (МСА)'!$G$25:$G$109,$G144),SUMIFS(INDEX('Калькуляция (5.9)'!$AJ$25:$BC$194,,MATCH(AJ$8,'Калькуляция (5.9)'!$AJ$8:$BC$8,0)),'Калькуляция (5.9)'!$F$25:$F$194,$F144,'Калькуляция (5.9)'!$G$25:$G$194,$G144))</f>
        <v>0</v>
      </c>
      <c r="AK144" s="354">
        <f ca="1">IF(method_reg="Метод сравнения аналогов",SUMIFS(INDEX('Калькуляция (МСА)'!$AE$25:$BC$109,,MATCH(AK$8,'Калькуляция (МСА)'!$AE$8:$BC$8,0)),'Калькуляция (МСА)'!$F$25:$F$109,$F144,'Калькуляция (МСА)'!$G$25:$G$109,$G144),SUMIFS(INDEX('Калькуляция (5.9)'!$AJ$25:$BC$194,,MATCH(AK$8,'Калькуляция (5.9)'!$AJ$8:$BC$8,0)),'Калькуляция (5.9)'!$F$25:$F$194,$F144,'Калькуляция (5.9)'!$G$25:$G$194,$G144))</f>
        <v>0</v>
      </c>
      <c r="AL144" s="341">
        <f ca="1">IF(AJ144=0,0,(AK144-AJ144)/AJ144*100)</f>
        <v>0</v>
      </c>
      <c r="AM144" s="354">
        <f ca="1">IF(method_reg="Метод сравнения аналогов",SUMIFS(INDEX('Калькуляция (МСА)'!$AE$25:$BC$109,,MATCH(AM$8,'Калькуляция (МСА)'!$AE$8:$BC$8,0)),'Калькуляция (МСА)'!$F$25:$F$109,$F144,'Калькуляция (МСА)'!$G$25:$G$109,$G144),SUMIFS(INDEX('Калькуляция (5.9)'!$AJ$25:$BC$194,,MATCH(AM$8,'Калькуляция (5.9)'!$AJ$8:$BC$8,0)),'Калькуляция (5.9)'!$F$25:$F$194,$F144,'Калькуляция (5.9)'!$G$25:$G$194,$G144))</f>
        <v>0</v>
      </c>
      <c r="AN144" s="354">
        <f ca="1">IF(method_reg="Метод сравнения аналогов",SUMIFS(INDEX('Калькуляция (МСА)'!$AE$25:$BC$109,,MATCH(AN$8,'Калькуляция (МСА)'!$AE$8:$BC$8,0)),'Калькуляция (МСА)'!$F$25:$F$109,$F144,'Калькуляция (МСА)'!$G$25:$G$109,$G144),SUMIFS(INDEX('Калькуляция (5.9)'!$AJ$25:$BC$194,,MATCH(AN$8,'Калькуляция (5.9)'!$AJ$8:$BC$8,0)),'Калькуляция (5.9)'!$F$25:$F$194,$F144,'Калькуляция (5.9)'!$G$25:$G$194,$G144))</f>
        <v>0</v>
      </c>
      <c r="AO144" s="341">
        <f ca="1">IF(AM144=0,0,(AN144-AM144)/AM144*100)</f>
        <v>0</v>
      </c>
      <c r="AP144" s="354">
        <f ca="1">IF(method_reg="Метод сравнения аналогов",SUMIFS(INDEX('Калькуляция (МСА)'!$AE$25:$BC$109,,MATCH(AP$8,'Калькуляция (МСА)'!$AE$8:$BC$8,0)),'Калькуляция (МСА)'!$F$25:$F$109,$F144,'Калькуляция (МСА)'!$G$25:$G$109,$G144),SUMIFS(INDEX('Калькуляция (5.9)'!$AJ$25:$BC$194,,MATCH(AP$8,'Калькуляция (5.9)'!$AJ$8:$BC$8,0)),'Калькуляция (5.9)'!$F$25:$F$194,$F144,'Калькуляция (5.9)'!$G$25:$G$194,$G144))</f>
        <v>0</v>
      </c>
      <c r="AQ144" s="354">
        <f ca="1">IF(method_reg="Метод сравнения аналогов",SUMIFS(INDEX('Калькуляция (МСА)'!$AE$25:$BC$109,,MATCH(AQ$8,'Калькуляция (МСА)'!$AE$8:$BC$8,0)),'Калькуляция (МСА)'!$F$25:$F$109,$F144,'Калькуляция (МСА)'!$G$25:$G$109,$G144),SUMIFS(INDEX('Калькуляция (5.9)'!$AJ$25:$BC$194,,MATCH(AQ$8,'Калькуляция (5.9)'!$AJ$8:$BC$8,0)),'Калькуляция (5.9)'!$F$25:$F$194,$F144,'Калькуляция (5.9)'!$G$25:$G$194,$G144))</f>
        <v>0</v>
      </c>
      <c r="AR144" s="341">
        <f ca="1">IF(AP144=0,0,(AQ144-AP144)/AP144*100)</f>
        <v>0</v>
      </c>
      <c r="AS144" s="100">
        <f ca="1">IF(method_reg="Метод сравнения аналогов",SUMIFS(INDEX('Калькуляция (МСА)'!$AE$25:$BC$109,,MATCH(AS$8,'Калькуляция (МСА)'!$AE$8:$BC$8,0)),'Калькуляция (МСА)'!$F$25:$F$109,$F144,'Калькуляция (МСА)'!$G$25:$G$109,$G144),SUMIFS(INDEX('Калькуляция (5.9)'!$AJ$25:$BC$194,,MATCH(AS$8,'Калькуляция (5.9)'!$AJ$8:$BC$8,0)),'Калькуляция (5.9)'!$F$25:$F$194,$F144,'Калькуляция (5.9)'!$G$25:$G$194,$G144))</f>
        <v>0</v>
      </c>
      <c r="AT144" s="100">
        <f ca="1">IF(method_reg="Метод сравнения аналогов",SUMIFS(INDEX('Калькуляция (МСА)'!$AE$25:$BC$109,,MATCH(AT$8,'Калькуляция (МСА)'!$AE$8:$BC$8,0)),'Калькуляция (МСА)'!$F$25:$F$109,$F144,'Калькуляция (МСА)'!$G$25:$G$109,$G144),SUMIFS(INDEX('Калькуляция (5.9)'!$AJ$25:$BC$194,,MATCH(AT$8,'Калькуляция (5.9)'!$AJ$8:$BC$8,0)),'Калькуляция (5.9)'!$F$25:$F$194,$F144,'Калькуляция (5.9)'!$G$25:$G$194,$G144))</f>
        <v>0</v>
      </c>
      <c r="AU144" s="341">
        <f ca="1">IF(AS144=0,0,(AT144-AS144)/AS144*100)</f>
        <v>0</v>
      </c>
      <c r="AV144" s="100">
        <f ca="1">IF(method_reg="Метод сравнения аналогов",SUMIFS(INDEX('Калькуляция (МСА)'!$AE$25:$BC$109,,MATCH(AV$8,'Калькуляция (МСА)'!$AE$8:$BC$8,0)),'Калькуляция (МСА)'!$F$25:$F$109,$F144,'Калькуляция (МСА)'!$G$25:$G$109,$G144),SUMIFS(INDEX('Калькуляция (5.9)'!$AJ$25:$BC$194,,MATCH(AV$8,'Калькуляция (5.9)'!$AJ$8:$BC$8,0)),'Калькуляция (5.9)'!$F$25:$F$194,$F144,'Калькуляция (5.9)'!$G$25:$G$194,$G144))</f>
        <v>0</v>
      </c>
      <c r="AW144" s="100">
        <f ca="1">IF(method_reg="Метод сравнения аналогов",SUMIFS(INDEX('Калькуляция (МСА)'!$AE$25:$BC$109,,MATCH(AW$8,'Калькуляция (МСА)'!$AE$8:$BC$8,0)),'Калькуляция (МСА)'!$F$25:$F$109,$F144,'Калькуляция (МСА)'!$G$25:$G$109,$G144),SUMIFS(INDEX('Калькуляция (5.9)'!$AJ$25:$BC$194,,MATCH(AW$8,'Калькуляция (5.9)'!$AJ$8:$BC$8,0)),'Калькуляция (5.9)'!$F$25:$F$194,$F144,'Калькуляция (5.9)'!$G$25:$G$194,$G144))</f>
        <v>0</v>
      </c>
      <c r="AX144" s="341">
        <f ca="1">IF(AV144=0,0,(AW144-AV144)/AV144*100)</f>
        <v>0</v>
      </c>
      <c r="AY144" s="100">
        <f ca="1">IF(method_reg="Метод сравнения аналогов",SUMIFS(INDEX('Калькуляция (МСА)'!$AE$25:$BC$109,,MATCH(AY$8,'Калькуляция (МСА)'!$AE$8:$BC$8,0)),'Калькуляция (МСА)'!$F$25:$F$109,$F144,'Калькуляция (МСА)'!$G$25:$G$109,$G144),SUMIFS(INDEX('Калькуляция (5.9)'!$AJ$25:$BC$194,,MATCH(AY$8,'Калькуляция (5.9)'!$AJ$8:$BC$8,0)),'Калькуляция (5.9)'!$F$25:$F$194,$F144,'Калькуляция (5.9)'!$G$25:$G$194,$G144))</f>
        <v>0</v>
      </c>
      <c r="AZ144" s="100">
        <f ca="1">IF(method_reg="Метод сравнения аналогов",SUMIFS(INDEX('Калькуляция (МСА)'!$AE$25:$BC$109,,MATCH(AZ$8,'Калькуляция (МСА)'!$AE$8:$BC$8,0)),'Калькуляция (МСА)'!$F$25:$F$109,$F144,'Калькуляция (МСА)'!$G$25:$G$109,$G144),SUMIFS(INDEX('Калькуляция (5.9)'!$AJ$25:$BC$194,,MATCH(AZ$8,'Калькуляция (5.9)'!$AJ$8:$BC$8,0)),'Калькуляция (5.9)'!$F$25:$F$194,$F144,'Калькуляция (5.9)'!$G$25:$G$194,$G144))</f>
        <v>0</v>
      </c>
      <c r="BA144" s="341">
        <f ca="1">IF(AY144=0,0,(AZ144-AY144)/AY144*100)</f>
        <v>0</v>
      </c>
      <c r="BB144" s="100">
        <f ca="1">IF(method_reg="Метод сравнения аналогов",SUMIFS(INDEX('Калькуляция (МСА)'!$AE$25:$BC$109,,MATCH(BB$8,'Калькуляция (МСА)'!$AE$8:$BC$8,0)),'Калькуляция (МСА)'!$F$25:$F$109,$F144,'Калькуляция (МСА)'!$G$25:$G$109,$G144),SUMIFS(INDEX('Калькуляция (5.9)'!$AJ$25:$BC$194,,MATCH(BB$8,'Калькуляция (5.9)'!$AJ$8:$BC$8,0)),'Калькуляция (5.9)'!$F$25:$F$194,$F144,'Калькуляция (5.9)'!$G$25:$G$194,$G144))</f>
        <v>0</v>
      </c>
      <c r="BC144" s="100">
        <f ca="1">IF(method_reg="Метод сравнения аналогов",SUMIFS(INDEX('Калькуляция (МСА)'!$AE$25:$BC$109,,MATCH(BC$8,'Калькуляция (МСА)'!$AE$8:$BC$8,0)),'Калькуляция (МСА)'!$F$25:$F$109,$F144,'Калькуляция (МСА)'!$G$25:$G$109,$G144),SUMIFS(INDEX('Калькуляция (5.9)'!$AJ$25:$BC$194,,MATCH(BC$8,'Калькуляция (5.9)'!$AJ$8:$BC$8,0)),'Калькуляция (5.9)'!$F$25:$F$194,$F144,'Калькуляция (5.9)'!$G$25:$G$194,$G144))</f>
        <v>0</v>
      </c>
      <c r="BD144" s="341">
        <f ca="1">IF(BB144=0,0,(BC144-BB144)/BB144*100)</f>
        <v>0</v>
      </c>
      <c r="BE144" s="100">
        <f ca="1">IF(method_reg="Метод сравнения аналогов",SUMIFS(INDEX('Калькуляция (МСА)'!$AE$25:$BC$109,,MATCH(BE$8,'Калькуляция (МСА)'!$AE$8:$BC$8,0)),'Калькуляция (МСА)'!$F$25:$F$109,$F144,'Калькуляция (МСА)'!$G$25:$G$109,$G144),SUMIFS(INDEX('Калькуляция (5.9)'!$AJ$25:$BC$194,,MATCH(BE$8,'Калькуляция (5.9)'!$AJ$8:$BC$8,0)),'Калькуляция (5.9)'!$F$25:$F$194,$F144,'Калькуляция (5.9)'!$G$25:$G$194,$G144))</f>
        <v>0</v>
      </c>
      <c r="BF144" s="100">
        <f ca="1">IF(method_reg="Метод сравнения аналогов",SUMIFS(INDEX('Калькуляция (МСА)'!$AE$25:$BC$109,,MATCH(BF$8,'Калькуляция (МСА)'!$AE$8:$BC$8,0)),'Калькуляция (МСА)'!$F$25:$F$109,$F144,'Калькуляция (МСА)'!$G$25:$G$109,$G144),SUMIFS(INDEX('Калькуляция (5.9)'!$AJ$25:$BC$194,,MATCH(BF$8,'Калькуляция (5.9)'!$AJ$8:$BC$8,0)),'Калькуляция (5.9)'!$F$25:$F$194,$F144,'Калькуляция (5.9)'!$G$25:$G$194,$G144))</f>
        <v>0</v>
      </c>
      <c r="BG144" s="341">
        <f ca="1">IF(BE144=0,0,(BF144-BE144)/BE144*100)</f>
        <v>0</v>
      </c>
      <c r="BH144" s="100"/>
      <c r="BI144" s="100"/>
      <c r="BJ144" s="341">
        <f>IF(BH144=0,0,(BI144-BH144)/BH144*100)</f>
        <v>0</v>
      </c>
      <c r="BK144" s="100"/>
      <c r="BL144" s="100"/>
      <c r="BM144" s="341">
        <f>IF(BK144=0,0,(BL144-BK144)/BK144*100)</f>
        <v>0</v>
      </c>
      <c r="BN144" s="100"/>
      <c r="BO144" s="100"/>
      <c r="BP144" s="341">
        <f>IF(BN144=0,0,(BO144-BN144)/BN144*100)</f>
        <v>0</v>
      </c>
      <c r="BQ144" s="100"/>
      <c r="BR144" s="100"/>
      <c r="BS144" s="341">
        <f>IF(BQ144=0,0,(BR144-BQ144)/BQ144*100)</f>
        <v>0</v>
      </c>
      <c r="BT144" s="100"/>
      <c r="BU144" s="100"/>
      <c r="BV144" s="341">
        <f>IF(BT144=0,0,(BU144-BT144)/BT144*100)</f>
        <v>0</v>
      </c>
      <c r="BW144" s="100"/>
      <c r="BX144" s="100"/>
      <c r="BY144" s="341">
        <f>IF(BW144=0,0,(BX144-BW144)/BW144*100)</f>
        <v>0</v>
      </c>
      <c r="BZ144" s="100"/>
      <c r="CA144" s="100"/>
      <c r="CB144" s="341">
        <f>IF(BZ144=0,0,(CA144-BZ144)/BZ144*100)</f>
        <v>0</v>
      </c>
      <c r="CC144" s="100"/>
      <c r="CD144" s="100"/>
      <c r="CE144" s="341">
        <f>IF(CC144=0,0,(CD144-CC144)/CC144*100)</f>
        <v>0</v>
      </c>
      <c r="CF144" s="100"/>
      <c r="CG144" s="100"/>
      <c r="CH144" s="341">
        <f>IF(CF144=0,0,(CG144-CF144)/CF144*100)</f>
        <v>0</v>
      </c>
      <c r="CI144" s="100"/>
      <c r="CJ144" s="100"/>
      <c r="CK144" s="341">
        <f>IF(CI144=0,0,(CJ144-CI144)/CI144*100)</f>
        <v>0</v>
      </c>
      <c r="CL144" s="100"/>
      <c r="CM144" s="100"/>
      <c r="CN144" s="341">
        <f>IF(CL144=0,0,(CM144-CL144)/CL144*100)</f>
        <v>0</v>
      </c>
      <c r="CO144" s="100"/>
      <c r="CP144" s="100"/>
      <c r="CQ144" s="341">
        <f>IF(CO144=0,0,(CP144-CO144)/CO144*100)</f>
        <v>0</v>
      </c>
      <c r="CR144" s="100"/>
      <c r="CS144" s="100"/>
      <c r="CT144" s="341">
        <f>IF(CR144=0,0,(CS144-CR144)/CR144*100)</f>
        <v>0</v>
      </c>
      <c r="CU144" s="100"/>
      <c r="CV144" s="100"/>
      <c r="CW144" s="341">
        <f>IF(CU144=0,0,(CV144-CU144)/CU144*100)</f>
        <v>0</v>
      </c>
      <c r="CX144" s="100"/>
      <c r="CY144" s="100"/>
      <c r="CZ144" s="341">
        <f>IF(CX144=0,0,(CY144-CX144)/CX144*100)</f>
        <v>0</v>
      </c>
      <c r="DA144" s="100"/>
      <c r="DB144" s="100"/>
      <c r="DC144" s="341">
        <f>IF(DA144=0,0,(DB144-DA144)/DA144*100)</f>
        <v>0</v>
      </c>
      <c r="DD144" s="100"/>
      <c r="DE144" s="100"/>
      <c r="DF144" s="341">
        <f>IF(DD144=0,0,(DE144-DD144)/DD144*100)</f>
        <v>0</v>
      </c>
      <c r="DG144" s="100"/>
      <c r="DH144" s="100"/>
      <c r="DI144" s="341">
        <f>IF(DG144=0,0,(DH144-DG144)/DG144*100)</f>
        <v>0</v>
      </c>
      <c r="DJ144" s="100"/>
      <c r="DK144" s="100"/>
      <c r="DL144" s="341">
        <f>IF(DJ144=0,0,(DK144-DJ144)/DJ144*100)</f>
        <v>0</v>
      </c>
      <c r="DM144" s="100"/>
      <c r="DN144" s="100"/>
      <c r="DO144" s="341">
        <f>IF(DM144=0,0,(DN144-DM144)/DM144*100)</f>
        <v>0</v>
      </c>
      <c r="DP144" s="100"/>
      <c r="DQ144" s="100"/>
      <c r="DR144" s="341">
        <f>IF(DP144=0,0,(DQ144-DP144)/DP144*100)</f>
        <v>0</v>
      </c>
      <c r="DS144" s="100"/>
      <c r="DT144" s="100"/>
      <c r="DU144" s="341">
        <f>IF(DS144=0,0,(DT144-DS144)/DS144*100)</f>
        <v>0</v>
      </c>
      <c r="DV144" s="100"/>
      <c r="DW144" s="100"/>
      <c r="DX144" s="341">
        <f>IF(DV144=0,0,(DW144-DV144)/DV144*100)</f>
        <v>0</v>
      </c>
      <c r="DY144" s="100"/>
      <c r="DZ144" s="100"/>
      <c r="EA144" s="341">
        <f>IF(DY144=0,0,(DZ144-DY144)/DY144*100)</f>
        <v>0</v>
      </c>
      <c r="EB144" s="100"/>
      <c r="EC144" s="100"/>
      <c r="ED144" s="341">
        <f>IF(EB144=0,0,(EC144-EB144)/EB144*100)</f>
        <v>0</v>
      </c>
      <c r="EE144" s="100"/>
      <c r="EF144" s="100"/>
      <c r="EG144" s="341">
        <f>IF(EE144=0,0,(EF144-EE144)/EE144*100)</f>
        <v>0</v>
      </c>
      <c r="EH144" s="100"/>
      <c r="EI144" s="100"/>
      <c r="EJ144" s="341">
        <f>IF(EH144=0,0,(EI144-EH144)/EH144*100)</f>
        <v>0</v>
      </c>
      <c r="EK144" s="100"/>
      <c r="EL144" s="100"/>
      <c r="EM144" s="341">
        <f>IF(EK144=0,0,(EL144-EK144)/EK144*100)</f>
        <v>0</v>
      </c>
      <c r="EN144" s="100"/>
      <c r="EO144" s="100"/>
      <c r="EP144" s="341">
        <f>IF(EN144=0,0,(EO144-EN144)/EN144*100)</f>
        <v>0</v>
      </c>
      <c r="EQ144" s="100"/>
      <c r="ER144" s="100"/>
      <c r="ES144" s="341">
        <f>IF(EQ144=0,0,(ER144-EQ144)/EQ144*100)</f>
        <v>0</v>
      </c>
      <c r="ET144" s="100"/>
      <c r="EU144" s="100"/>
      <c r="EV144" s="341">
        <f>IF(ET144=0,0,(EU144-ET144)/ET144*100)</f>
        <v>0</v>
      </c>
      <c r="EW144" s="100"/>
      <c r="EX144" s="100"/>
      <c r="EY144" s="341">
        <f>IF(EW144=0,0,(EX144-EW144)/EW144*100)</f>
        <v>0</v>
      </c>
      <c r="EZ144" s="100"/>
      <c r="FA144" s="100"/>
      <c r="FB144" s="341">
        <f>IF(EZ144=0,0,(FA144-EZ144)/EZ144*100)</f>
        <v>0</v>
      </c>
      <c r="FC144" s="100"/>
      <c r="FD144" s="100"/>
      <c r="FE144" s="341">
        <f>IF(FC144=0,0,(FD144-FC144)/FC144*100)</f>
        <v>0</v>
      </c>
      <c r="FF144" s="100"/>
      <c r="FG144" s="100"/>
      <c r="FH144" s="341">
        <f>IF(FF144=0,0,(FG144-FF144)/FF144*100)</f>
        <v>0</v>
      </c>
      <c r="FI144" s="100"/>
      <c r="FJ144" s="100"/>
      <c r="FK144" s="341">
        <f>IF(FI144=0,0,(FJ144-FI144)/FI144*100)</f>
        <v>0</v>
      </c>
      <c r="FL144" s="100"/>
      <c r="FM144" s="100"/>
      <c r="FN144" s="341">
        <f>IF(FL144=0,0,(FM144-FL144)/FL144*100)</f>
        <v>0</v>
      </c>
      <c r="FO144" s="100"/>
      <c r="FP144" s="100"/>
      <c r="FQ144" s="341">
        <f>IF(FO144=0,0,(FP144-FO144)/FO144*100)</f>
        <v>0</v>
      </c>
      <c r="FR144" s="100"/>
      <c r="FS144" s="100"/>
      <c r="FT144" s="341">
        <f>IF(FR144=0,0,(FS144-FR144)/FR144*100)</f>
        <v>0</v>
      </c>
      <c r="FU144" s="100"/>
      <c r="FV144" s="100"/>
      <c r="FW144" s="341">
        <f>IF(FU144=0,0,(FV144-FU144)/FU144*100)</f>
        <v>0</v>
      </c>
      <c r="FX144" s="425"/>
      <c r="FY144" s="425"/>
      <c r="FZ144" s="981" t="s">
        <v>2208</v>
      </c>
      <c r="GA144" s="981"/>
      <c r="GB144" s="981"/>
      <c r="GC144" s="981"/>
      <c r="GD144" s="981"/>
    </row>
    <row r="145" spans="1:186" s="1229" customFormat="1" ht="30" hidden="1" customHeight="1">
      <c r="A145" s="1153"/>
      <c r="B145" s="813" t="b" cm="1">
        <f t="array" ref="B145">B144</f>
        <v>0</v>
      </c>
      <c r="C145" s="1118" t="s">
        <v>1833</v>
      </c>
      <c r="D145" s="1087" t="s">
        <v>1834</v>
      </c>
      <c r="E145" s="676">
        <v>31.5</v>
      </c>
      <c r="F145" s="779" t="str" cm="1">
        <f t="array" aca="1" ref="F145" ca="1">OFFSET(G145,-1,-1)</f>
        <v>2</v>
      </c>
      <c r="G145" s="620" t="s">
        <v>1835</v>
      </c>
      <c r="H145" s="163" t="s">
        <v>2209</v>
      </c>
      <c r="I145" s="163" t="s">
        <v>2148</v>
      </c>
      <c r="J145" s="1108"/>
      <c r="K145" s="1108" t="str" cm="1">
        <f t="array" aca="1" ref="K145" ca="1">OFFSET(J145,-1,1)</f>
        <v>ТЭ.42.26322895.0004</v>
      </c>
      <c r="L145" s="1108"/>
      <c r="M145" s="1108" t="s">
        <v>1782</v>
      </c>
      <c r="N145" s="1108" t="s">
        <v>2151</v>
      </c>
      <c r="O145" s="1109" t="s">
        <v>2152</v>
      </c>
      <c r="P145" s="1108" t="s">
        <v>2210</v>
      </c>
      <c r="Q145" s="1108"/>
      <c r="R145" s="784"/>
      <c r="S145" s="425"/>
      <c r="T145" s="687" t="b" cm="1">
        <f t="array" aca="1" ref="T145" ca="1">T144</f>
        <v>0</v>
      </c>
      <c r="U145" s="1153"/>
      <c r="V145" s="1153"/>
      <c r="W145" s="1153"/>
      <c r="X145" s="1726"/>
      <c r="Y145" s="1153"/>
      <c r="Z145" s="1726"/>
      <c r="AA145" s="425"/>
      <c r="AB145" s="223" t="s">
        <v>2211</v>
      </c>
      <c r="AC145" s="443" t="s">
        <v>1837</v>
      </c>
      <c r="AD145" s="22">
        <f ca="1">IF(method_reg="Метод экономически обоснованных расходов",SUMIFS('Калькуляция (4.6)'!AJ$25:AJ$229,'Калькуляция (4.6)'!$F$25:$F$229,$F145,'Калькуляция (4.6)'!$G$25:$G$229,$G145),IF(method_reg="Метод сравнения аналогов",SUMIFS(INDEX('Калькуляция (МСА)'!$AE$25:$BC$109,,MATCH(AD$8,'Калькуляция (МСА)'!$AE$8:$BC$8,0)),'Калькуляция (МСА)'!$F$25:$F$109,$F145,'Калькуляция (МСА)'!$G$25:$G$109,$G145),SUMIFS(INDEX('Калькуляция (5.9)'!$AJ$25:$BC$194,,MATCH(AD$8,'Калькуляция (5.9)'!$AJ$8:$BC$8,0)),'Калькуляция (5.9)'!$F$25:$F$194,$F145,'Калькуляция (5.9)'!$G$25:$G$194,$G145)))</f>
        <v>0</v>
      </c>
      <c r="AE145" s="22">
        <f ca="1">IF(method_reg="Метод экономически обоснованных расходов",SUMIFS('Калькуляция (4.6)'!AK$25:AK$229,'Калькуляция (4.6)'!$F$25:$F$229,$F145,'Калькуляция (4.6)'!$G$25:$G$229,$G145),IF(method_reg="Метод сравнения аналогов",SUMIFS(INDEX('Калькуляция (МСА)'!$AE$25:$BC$109,,MATCH(AE$8,'Калькуляция (МСА)'!$AE$8:$BC$8,0)),'Калькуляция (МСА)'!$F$25:$F$109,$F145,'Калькуляция (МСА)'!$G$25:$G$109,$G145),SUMIFS(INDEX('Калькуляция (5.9)'!$AJ$25:$BC$194,,MATCH(AE$8,'Калькуляция (5.9)'!$AJ$8:$BC$8,0)),'Калькуляция (5.9)'!$F$25:$F$194,$F145,'Калькуляция (5.9)'!$G$25:$G$194,$G145)))</f>
        <v>0</v>
      </c>
      <c r="AF145" s="312">
        <f ca="1">IF(AD145=0,0,(AE145-AD145)/AD145*100)</f>
        <v>0</v>
      </c>
      <c r="AG145" s="313">
        <f ca="1">IF(method_reg="Метод сравнения аналогов",SUMIFS(INDEX('Калькуляция (МСА)'!$AE$25:$BC$109,,MATCH(AG$8,'Калькуляция (МСА)'!$AE$8:$BC$8,0)),'Калькуляция (МСА)'!$F$25:$F$109,$F145,'Калькуляция (МСА)'!$G$25:$G$109,$G145),SUMIFS(INDEX('Калькуляция (5.9)'!$AJ$25:$BC$194,,MATCH(AG$8,'Калькуляция (5.9)'!$AJ$8:$BC$8,0)),'Калькуляция (5.9)'!$F$25:$F$194,$F145,'Калькуляция (5.9)'!$G$25:$G$194,$G145))</f>
        <v>0</v>
      </c>
      <c r="AH145" s="313">
        <f ca="1">IF(method_reg="Метод сравнения аналогов",SUMIFS(INDEX('Калькуляция (МСА)'!$AE$25:$BC$109,,MATCH(AH$8,'Калькуляция (МСА)'!$AE$8:$BC$8,0)),'Калькуляция (МСА)'!$F$25:$F$109,$F145,'Калькуляция (МСА)'!$G$25:$G$109,$G145),SUMIFS(INDEX('Калькуляция (5.9)'!$AJ$25:$BC$194,,MATCH(AH$8,'Калькуляция (5.9)'!$AJ$8:$BC$8,0)),'Калькуляция (5.9)'!$F$25:$F$194,$F145,'Калькуляция (5.9)'!$G$25:$G$194,$G145))</f>
        <v>0</v>
      </c>
      <c r="AI145" s="312">
        <f ca="1">IF(AG145=0,0,(AH145-AG145)/AG145*100)</f>
        <v>0</v>
      </c>
      <c r="AJ145" s="313">
        <f ca="1">IF(method_reg="Метод сравнения аналогов",SUMIFS(INDEX('Калькуляция (МСА)'!$AE$25:$BC$109,,MATCH(AJ$8,'Калькуляция (МСА)'!$AE$8:$BC$8,0)),'Калькуляция (МСА)'!$F$25:$F$109,$F145,'Калькуляция (МСА)'!$G$25:$G$109,$G145),SUMIFS(INDEX('Калькуляция (5.9)'!$AJ$25:$BC$194,,MATCH(AJ$8,'Калькуляция (5.9)'!$AJ$8:$BC$8,0)),'Калькуляция (5.9)'!$F$25:$F$194,$F145,'Калькуляция (5.9)'!$G$25:$G$194,$G145))</f>
        <v>0</v>
      </c>
      <c r="AK145" s="313">
        <f ca="1">IF(method_reg="Метод сравнения аналогов",SUMIFS(INDEX('Калькуляция (МСА)'!$AE$25:$BC$109,,MATCH(AK$8,'Калькуляция (МСА)'!$AE$8:$BC$8,0)),'Калькуляция (МСА)'!$F$25:$F$109,$F145,'Калькуляция (МСА)'!$G$25:$G$109,$G145),SUMIFS(INDEX('Калькуляция (5.9)'!$AJ$25:$BC$194,,MATCH(AK$8,'Калькуляция (5.9)'!$AJ$8:$BC$8,0)),'Калькуляция (5.9)'!$F$25:$F$194,$F145,'Калькуляция (5.9)'!$G$25:$G$194,$G145))</f>
        <v>0</v>
      </c>
      <c r="AL145" s="312">
        <f ca="1">IF(AJ145=0,0,(AK145-AJ145)/AJ145*100)</f>
        <v>0</v>
      </c>
      <c r="AM145" s="313">
        <f ca="1">IF(method_reg="Метод сравнения аналогов",SUMIFS(INDEX('Калькуляция (МСА)'!$AE$25:$BC$109,,MATCH(AM$8,'Калькуляция (МСА)'!$AE$8:$BC$8,0)),'Калькуляция (МСА)'!$F$25:$F$109,$F145,'Калькуляция (МСА)'!$G$25:$G$109,$G145),SUMIFS(INDEX('Калькуляция (5.9)'!$AJ$25:$BC$194,,MATCH(AM$8,'Калькуляция (5.9)'!$AJ$8:$BC$8,0)),'Калькуляция (5.9)'!$F$25:$F$194,$F145,'Калькуляция (5.9)'!$G$25:$G$194,$G145))</f>
        <v>0</v>
      </c>
      <c r="AN145" s="313">
        <f ca="1">IF(method_reg="Метод сравнения аналогов",SUMIFS(INDEX('Калькуляция (МСА)'!$AE$25:$BC$109,,MATCH(AN$8,'Калькуляция (МСА)'!$AE$8:$BC$8,0)),'Калькуляция (МСА)'!$F$25:$F$109,$F145,'Калькуляция (МСА)'!$G$25:$G$109,$G145),SUMIFS(INDEX('Калькуляция (5.9)'!$AJ$25:$BC$194,,MATCH(AN$8,'Калькуляция (5.9)'!$AJ$8:$BC$8,0)),'Калькуляция (5.9)'!$F$25:$F$194,$F145,'Калькуляция (5.9)'!$G$25:$G$194,$G145))</f>
        <v>0</v>
      </c>
      <c r="AO145" s="312">
        <f ca="1">IF(AM145=0,0,(AN145-AM145)/AM145*100)</f>
        <v>0</v>
      </c>
      <c r="AP145" s="313">
        <f ca="1">IF(method_reg="Метод сравнения аналогов",SUMIFS(INDEX('Калькуляция (МСА)'!$AE$25:$BC$109,,MATCH(AP$8,'Калькуляция (МСА)'!$AE$8:$BC$8,0)),'Калькуляция (МСА)'!$F$25:$F$109,$F145,'Калькуляция (МСА)'!$G$25:$G$109,$G145),SUMIFS(INDEX('Калькуляция (5.9)'!$AJ$25:$BC$194,,MATCH(AP$8,'Калькуляция (5.9)'!$AJ$8:$BC$8,0)),'Калькуляция (5.9)'!$F$25:$F$194,$F145,'Калькуляция (5.9)'!$G$25:$G$194,$G145))</f>
        <v>0</v>
      </c>
      <c r="AQ145" s="313">
        <f ca="1">IF(method_reg="Метод сравнения аналогов",SUMIFS(INDEX('Калькуляция (МСА)'!$AE$25:$BC$109,,MATCH(AQ$8,'Калькуляция (МСА)'!$AE$8:$BC$8,0)),'Калькуляция (МСА)'!$F$25:$F$109,$F145,'Калькуляция (МСА)'!$G$25:$G$109,$G145),SUMIFS(INDEX('Калькуляция (5.9)'!$AJ$25:$BC$194,,MATCH(AQ$8,'Калькуляция (5.9)'!$AJ$8:$BC$8,0)),'Калькуляция (5.9)'!$F$25:$F$194,$F145,'Калькуляция (5.9)'!$G$25:$G$194,$G145))</f>
        <v>0</v>
      </c>
      <c r="AR145" s="312">
        <f ca="1">IF(AP145=0,0,(AQ145-AP145)/AP145*100)</f>
        <v>0</v>
      </c>
      <c r="AS145" s="22">
        <f ca="1">IF(method_reg="Метод сравнения аналогов",SUMIFS(INDEX('Калькуляция (МСА)'!$AE$25:$BC$109,,MATCH(AS$8,'Калькуляция (МСА)'!$AE$8:$BC$8,0)),'Калькуляция (МСА)'!$F$25:$F$109,$F145,'Калькуляция (МСА)'!$G$25:$G$109,$G145),SUMIFS(INDEX('Калькуляция (5.9)'!$AJ$25:$BC$194,,MATCH(AS$8,'Калькуляция (5.9)'!$AJ$8:$BC$8,0)),'Калькуляция (5.9)'!$F$25:$F$194,$F145,'Калькуляция (5.9)'!$G$25:$G$194,$G145))</f>
        <v>0</v>
      </c>
      <c r="AT145" s="22">
        <f ca="1">IF(method_reg="Метод сравнения аналогов",SUMIFS(INDEX('Калькуляция (МСА)'!$AE$25:$BC$109,,MATCH(AT$8,'Калькуляция (МСА)'!$AE$8:$BC$8,0)),'Калькуляция (МСА)'!$F$25:$F$109,$F145,'Калькуляция (МСА)'!$G$25:$G$109,$G145),SUMIFS(INDEX('Калькуляция (5.9)'!$AJ$25:$BC$194,,MATCH(AT$8,'Калькуляция (5.9)'!$AJ$8:$BC$8,0)),'Калькуляция (5.9)'!$F$25:$F$194,$F145,'Калькуляция (5.9)'!$G$25:$G$194,$G145))</f>
        <v>0</v>
      </c>
      <c r="AU145" s="312">
        <f ca="1">IF(AS145=0,0,(AT145-AS145)/AS145*100)</f>
        <v>0</v>
      </c>
      <c r="AV145" s="22">
        <f ca="1">IF(method_reg="Метод сравнения аналогов",SUMIFS(INDEX('Калькуляция (МСА)'!$AE$25:$BC$109,,MATCH(AV$8,'Калькуляция (МСА)'!$AE$8:$BC$8,0)),'Калькуляция (МСА)'!$F$25:$F$109,$F145,'Калькуляция (МСА)'!$G$25:$G$109,$G145),SUMIFS(INDEX('Калькуляция (5.9)'!$AJ$25:$BC$194,,MATCH(AV$8,'Калькуляция (5.9)'!$AJ$8:$BC$8,0)),'Калькуляция (5.9)'!$F$25:$F$194,$F145,'Калькуляция (5.9)'!$G$25:$G$194,$G145))</f>
        <v>0</v>
      </c>
      <c r="AW145" s="22">
        <f ca="1">IF(method_reg="Метод сравнения аналогов",SUMIFS(INDEX('Калькуляция (МСА)'!$AE$25:$BC$109,,MATCH(AW$8,'Калькуляция (МСА)'!$AE$8:$BC$8,0)),'Калькуляция (МСА)'!$F$25:$F$109,$F145,'Калькуляция (МСА)'!$G$25:$G$109,$G145),SUMIFS(INDEX('Калькуляция (5.9)'!$AJ$25:$BC$194,,MATCH(AW$8,'Калькуляция (5.9)'!$AJ$8:$BC$8,0)),'Калькуляция (5.9)'!$F$25:$F$194,$F145,'Калькуляция (5.9)'!$G$25:$G$194,$G145))</f>
        <v>0</v>
      </c>
      <c r="AX145" s="312">
        <f ca="1">IF(AV145=0,0,(AW145-AV145)/AV145*100)</f>
        <v>0</v>
      </c>
      <c r="AY145" s="22">
        <f ca="1">IF(method_reg="Метод сравнения аналогов",SUMIFS(INDEX('Калькуляция (МСА)'!$AE$25:$BC$109,,MATCH(AY$8,'Калькуляция (МСА)'!$AE$8:$BC$8,0)),'Калькуляция (МСА)'!$F$25:$F$109,$F145,'Калькуляция (МСА)'!$G$25:$G$109,$G145),SUMIFS(INDEX('Калькуляция (5.9)'!$AJ$25:$BC$194,,MATCH(AY$8,'Калькуляция (5.9)'!$AJ$8:$BC$8,0)),'Калькуляция (5.9)'!$F$25:$F$194,$F145,'Калькуляция (5.9)'!$G$25:$G$194,$G145))</f>
        <v>0</v>
      </c>
      <c r="AZ145" s="22">
        <f ca="1">IF(method_reg="Метод сравнения аналогов",SUMIFS(INDEX('Калькуляция (МСА)'!$AE$25:$BC$109,,MATCH(AZ$8,'Калькуляция (МСА)'!$AE$8:$BC$8,0)),'Калькуляция (МСА)'!$F$25:$F$109,$F145,'Калькуляция (МСА)'!$G$25:$G$109,$G145),SUMIFS(INDEX('Калькуляция (5.9)'!$AJ$25:$BC$194,,MATCH(AZ$8,'Калькуляция (5.9)'!$AJ$8:$BC$8,0)),'Калькуляция (5.9)'!$F$25:$F$194,$F145,'Калькуляция (5.9)'!$G$25:$G$194,$G145))</f>
        <v>0</v>
      </c>
      <c r="BA145" s="312">
        <f ca="1">IF(AY145=0,0,(AZ145-AY145)/AY145*100)</f>
        <v>0</v>
      </c>
      <c r="BB145" s="22">
        <f ca="1">IF(method_reg="Метод сравнения аналогов",SUMIFS(INDEX('Калькуляция (МСА)'!$AE$25:$BC$109,,MATCH(BB$8,'Калькуляция (МСА)'!$AE$8:$BC$8,0)),'Калькуляция (МСА)'!$F$25:$F$109,$F145,'Калькуляция (МСА)'!$G$25:$G$109,$G145),SUMIFS(INDEX('Калькуляция (5.9)'!$AJ$25:$BC$194,,MATCH(BB$8,'Калькуляция (5.9)'!$AJ$8:$BC$8,0)),'Калькуляция (5.9)'!$F$25:$F$194,$F145,'Калькуляция (5.9)'!$G$25:$G$194,$G145))</f>
        <v>0</v>
      </c>
      <c r="BC145" s="22">
        <f ca="1">IF(method_reg="Метод сравнения аналогов",SUMIFS(INDEX('Калькуляция (МСА)'!$AE$25:$BC$109,,MATCH(BC$8,'Калькуляция (МСА)'!$AE$8:$BC$8,0)),'Калькуляция (МСА)'!$F$25:$F$109,$F145,'Калькуляция (МСА)'!$G$25:$G$109,$G145),SUMIFS(INDEX('Калькуляция (5.9)'!$AJ$25:$BC$194,,MATCH(BC$8,'Калькуляция (5.9)'!$AJ$8:$BC$8,0)),'Калькуляция (5.9)'!$F$25:$F$194,$F145,'Калькуляция (5.9)'!$G$25:$G$194,$G145))</f>
        <v>0</v>
      </c>
      <c r="BD145" s="312">
        <f ca="1">IF(BB145=0,0,(BC145-BB145)/BB145*100)</f>
        <v>0</v>
      </c>
      <c r="BE145" s="22">
        <f ca="1">IF(method_reg="Метод сравнения аналогов",SUMIFS(INDEX('Калькуляция (МСА)'!$AE$25:$BC$109,,MATCH(BE$8,'Калькуляция (МСА)'!$AE$8:$BC$8,0)),'Калькуляция (МСА)'!$F$25:$F$109,$F145,'Калькуляция (МСА)'!$G$25:$G$109,$G145),SUMIFS(INDEX('Калькуляция (5.9)'!$AJ$25:$BC$194,,MATCH(BE$8,'Калькуляция (5.9)'!$AJ$8:$BC$8,0)),'Калькуляция (5.9)'!$F$25:$F$194,$F145,'Калькуляция (5.9)'!$G$25:$G$194,$G145))</f>
        <v>0</v>
      </c>
      <c r="BF145" s="22">
        <f ca="1">IF(method_reg="Метод сравнения аналогов",SUMIFS(INDEX('Калькуляция (МСА)'!$AE$25:$BC$109,,MATCH(BF$8,'Калькуляция (МСА)'!$AE$8:$BC$8,0)),'Калькуляция (МСА)'!$F$25:$F$109,$F145,'Калькуляция (МСА)'!$G$25:$G$109,$G145),SUMIFS(INDEX('Калькуляция (5.9)'!$AJ$25:$BC$194,,MATCH(BF$8,'Калькуляция (5.9)'!$AJ$8:$BC$8,0)),'Калькуляция (5.9)'!$F$25:$F$194,$F145,'Калькуляция (5.9)'!$G$25:$G$194,$G145))</f>
        <v>0</v>
      </c>
      <c r="BG145" s="312">
        <f ca="1">IF(BE145=0,0,(BF145-BE145)/BE145*100)</f>
        <v>0</v>
      </c>
      <c r="BH145" s="22"/>
      <c r="BI145" s="22"/>
      <c r="BJ145" s="312">
        <f>IF(BH145=0,0,(BI145-BH145)/BH145*100)</f>
        <v>0</v>
      </c>
      <c r="BK145" s="22"/>
      <c r="BL145" s="22"/>
      <c r="BM145" s="312">
        <f>IF(BK145=0,0,(BL145-BK145)/BK145*100)</f>
        <v>0</v>
      </c>
      <c r="BN145" s="22"/>
      <c r="BO145" s="22"/>
      <c r="BP145" s="312">
        <f>IF(BN145=0,0,(BO145-BN145)/BN145*100)</f>
        <v>0</v>
      </c>
      <c r="BQ145" s="22"/>
      <c r="BR145" s="22"/>
      <c r="BS145" s="312">
        <f>IF(BQ145=0,0,(BR145-BQ145)/BQ145*100)</f>
        <v>0</v>
      </c>
      <c r="BT145" s="22"/>
      <c r="BU145" s="22"/>
      <c r="BV145" s="312">
        <f>IF(BT145=0,0,(BU145-BT145)/BT145*100)</f>
        <v>0</v>
      </c>
      <c r="BW145" s="22"/>
      <c r="BX145" s="22"/>
      <c r="BY145" s="312">
        <f>IF(BW145=0,0,(BX145-BW145)/BW145*100)</f>
        <v>0</v>
      </c>
      <c r="BZ145" s="22"/>
      <c r="CA145" s="22"/>
      <c r="CB145" s="312">
        <f>IF(BZ145=0,0,(CA145-BZ145)/BZ145*100)</f>
        <v>0</v>
      </c>
      <c r="CC145" s="22"/>
      <c r="CD145" s="22"/>
      <c r="CE145" s="312">
        <f>IF(CC145=0,0,(CD145-CC145)/CC145*100)</f>
        <v>0</v>
      </c>
      <c r="CF145" s="22"/>
      <c r="CG145" s="22"/>
      <c r="CH145" s="312">
        <f>IF(CF145=0,0,(CG145-CF145)/CF145*100)</f>
        <v>0</v>
      </c>
      <c r="CI145" s="22"/>
      <c r="CJ145" s="22"/>
      <c r="CK145" s="312">
        <f>IF(CI145=0,0,(CJ145-CI145)/CI145*100)</f>
        <v>0</v>
      </c>
      <c r="CL145" s="22"/>
      <c r="CM145" s="22"/>
      <c r="CN145" s="312">
        <f>IF(CL145=0,0,(CM145-CL145)/CL145*100)</f>
        <v>0</v>
      </c>
      <c r="CO145" s="22"/>
      <c r="CP145" s="22"/>
      <c r="CQ145" s="312">
        <f>IF(CO145=0,0,(CP145-CO145)/CO145*100)</f>
        <v>0</v>
      </c>
      <c r="CR145" s="22"/>
      <c r="CS145" s="22"/>
      <c r="CT145" s="312">
        <f>IF(CR145=0,0,(CS145-CR145)/CR145*100)</f>
        <v>0</v>
      </c>
      <c r="CU145" s="22"/>
      <c r="CV145" s="22"/>
      <c r="CW145" s="312">
        <f>IF(CU145=0,0,(CV145-CU145)/CU145*100)</f>
        <v>0</v>
      </c>
      <c r="CX145" s="22"/>
      <c r="CY145" s="22"/>
      <c r="CZ145" s="312">
        <f>IF(CX145=0,0,(CY145-CX145)/CX145*100)</f>
        <v>0</v>
      </c>
      <c r="DA145" s="22"/>
      <c r="DB145" s="22"/>
      <c r="DC145" s="312">
        <f>IF(DA145=0,0,(DB145-DA145)/DA145*100)</f>
        <v>0</v>
      </c>
      <c r="DD145" s="22"/>
      <c r="DE145" s="22"/>
      <c r="DF145" s="312">
        <f>IF(DD145=0,0,(DE145-DD145)/DD145*100)</f>
        <v>0</v>
      </c>
      <c r="DG145" s="22"/>
      <c r="DH145" s="22"/>
      <c r="DI145" s="312">
        <f>IF(DG145=0,0,(DH145-DG145)/DG145*100)</f>
        <v>0</v>
      </c>
      <c r="DJ145" s="22"/>
      <c r="DK145" s="22"/>
      <c r="DL145" s="312">
        <f>IF(DJ145=0,0,(DK145-DJ145)/DJ145*100)</f>
        <v>0</v>
      </c>
      <c r="DM145" s="22"/>
      <c r="DN145" s="22"/>
      <c r="DO145" s="312">
        <f>IF(DM145=0,0,(DN145-DM145)/DM145*100)</f>
        <v>0</v>
      </c>
      <c r="DP145" s="22"/>
      <c r="DQ145" s="22"/>
      <c r="DR145" s="312">
        <f>IF(DP145=0,0,(DQ145-DP145)/DP145*100)</f>
        <v>0</v>
      </c>
      <c r="DS145" s="22"/>
      <c r="DT145" s="22"/>
      <c r="DU145" s="312">
        <f>IF(DS145=0,0,(DT145-DS145)/DS145*100)</f>
        <v>0</v>
      </c>
      <c r="DV145" s="22"/>
      <c r="DW145" s="22"/>
      <c r="DX145" s="312">
        <f>IF(DV145=0,0,(DW145-DV145)/DV145*100)</f>
        <v>0</v>
      </c>
      <c r="DY145" s="22"/>
      <c r="DZ145" s="22"/>
      <c r="EA145" s="312">
        <f>IF(DY145=0,0,(DZ145-DY145)/DY145*100)</f>
        <v>0</v>
      </c>
      <c r="EB145" s="22"/>
      <c r="EC145" s="22"/>
      <c r="ED145" s="312">
        <f>IF(EB145=0,0,(EC145-EB145)/EB145*100)</f>
        <v>0</v>
      </c>
      <c r="EE145" s="22"/>
      <c r="EF145" s="22"/>
      <c r="EG145" s="312">
        <f>IF(EE145=0,0,(EF145-EE145)/EE145*100)</f>
        <v>0</v>
      </c>
      <c r="EH145" s="22"/>
      <c r="EI145" s="22"/>
      <c r="EJ145" s="312">
        <f>IF(EH145=0,0,(EI145-EH145)/EH145*100)</f>
        <v>0</v>
      </c>
      <c r="EK145" s="22"/>
      <c r="EL145" s="22"/>
      <c r="EM145" s="312">
        <f>IF(EK145=0,0,(EL145-EK145)/EK145*100)</f>
        <v>0</v>
      </c>
      <c r="EN145" s="22"/>
      <c r="EO145" s="22"/>
      <c r="EP145" s="312">
        <f>IF(EN145=0,0,(EO145-EN145)/EN145*100)</f>
        <v>0</v>
      </c>
      <c r="EQ145" s="22"/>
      <c r="ER145" s="22"/>
      <c r="ES145" s="312">
        <f>IF(EQ145=0,0,(ER145-EQ145)/EQ145*100)</f>
        <v>0</v>
      </c>
      <c r="ET145" s="22"/>
      <c r="EU145" s="22"/>
      <c r="EV145" s="312">
        <f>IF(ET145=0,0,(EU145-ET145)/ET145*100)</f>
        <v>0</v>
      </c>
      <c r="EW145" s="22"/>
      <c r="EX145" s="22"/>
      <c r="EY145" s="312">
        <f>IF(EW145=0,0,(EX145-EW145)/EW145*100)</f>
        <v>0</v>
      </c>
      <c r="EZ145" s="22"/>
      <c r="FA145" s="22"/>
      <c r="FB145" s="312">
        <f>IF(EZ145=0,0,(FA145-EZ145)/EZ145*100)</f>
        <v>0</v>
      </c>
      <c r="FC145" s="22"/>
      <c r="FD145" s="22"/>
      <c r="FE145" s="312">
        <f>IF(FC145=0,0,(FD145-FC145)/FC145*100)</f>
        <v>0</v>
      </c>
      <c r="FF145" s="22"/>
      <c r="FG145" s="22"/>
      <c r="FH145" s="312">
        <f>IF(FF145=0,0,(FG145-FF145)/FF145*100)</f>
        <v>0</v>
      </c>
      <c r="FI145" s="22"/>
      <c r="FJ145" s="22"/>
      <c r="FK145" s="312">
        <f>IF(FI145=0,0,(FJ145-FI145)/FI145*100)</f>
        <v>0</v>
      </c>
      <c r="FL145" s="22"/>
      <c r="FM145" s="22"/>
      <c r="FN145" s="312">
        <f>IF(FL145=0,0,(FM145-FL145)/FL145*100)</f>
        <v>0</v>
      </c>
      <c r="FO145" s="22"/>
      <c r="FP145" s="22"/>
      <c r="FQ145" s="312">
        <f>IF(FO145=0,0,(FP145-FO145)/FO145*100)</f>
        <v>0</v>
      </c>
      <c r="FR145" s="22"/>
      <c r="FS145" s="22"/>
      <c r="FT145" s="312">
        <f>IF(FR145=0,0,(FS145-FR145)/FR145*100)</f>
        <v>0</v>
      </c>
      <c r="FU145" s="22"/>
      <c r="FV145" s="22"/>
      <c r="FW145" s="312">
        <f>IF(FU145=0,0,(FV145-FU145)/FU145*100)</f>
        <v>0</v>
      </c>
      <c r="FX145" s="425"/>
      <c r="FY145" s="425"/>
      <c r="FZ145" s="981" t="s">
        <v>2212</v>
      </c>
      <c r="GA145" s="981"/>
      <c r="GB145" s="981"/>
      <c r="GC145" s="981"/>
      <c r="GD145" s="981"/>
    </row>
    <row r="146" spans="1:186" s="1229" customFormat="1" ht="15" hidden="1" customHeight="1">
      <c r="A146" s="1153"/>
      <c r="B146" s="813" t="b" cm="1">
        <f t="array" ref="B146">B145</f>
        <v>0</v>
      </c>
      <c r="C146" s="1118" t="s">
        <v>1805</v>
      </c>
      <c r="D146" s="1087" t="s">
        <v>1806</v>
      </c>
      <c r="E146" s="676">
        <v>15.8</v>
      </c>
      <c r="F146" s="779" t="str" cm="1">
        <f t="array" aca="1" ref="F146" ca="1">OFFSET(G146,-1,-1)</f>
        <v>2</v>
      </c>
      <c r="G146" s="620" t="s">
        <v>1809</v>
      </c>
      <c r="H146" s="163" t="s">
        <v>2213</v>
      </c>
      <c r="I146" s="163" t="s">
        <v>2148</v>
      </c>
      <c r="J146" s="1108"/>
      <c r="K146" s="1108" t="str" cm="1">
        <f t="array" aca="1" ref="K146" ca="1">OFFSET(J146,-1,1)</f>
        <v>ТЭ.42.26322895.0004</v>
      </c>
      <c r="L146" s="1108"/>
      <c r="M146" s="1108" t="s">
        <v>1782</v>
      </c>
      <c r="N146" s="1108" t="s">
        <v>2151</v>
      </c>
      <c r="O146" s="1109" t="s">
        <v>2152</v>
      </c>
      <c r="P146" s="1108" t="s">
        <v>2214</v>
      </c>
      <c r="Q146" s="1108"/>
      <c r="R146" s="784"/>
      <c r="S146" s="425"/>
      <c r="T146" s="687" t="b" cm="1">
        <f t="array" aca="1" ref="T146" ca="1">T145</f>
        <v>0</v>
      </c>
      <c r="U146" s="1153"/>
      <c r="V146" s="1153"/>
      <c r="W146" s="1153"/>
      <c r="X146" s="1726"/>
      <c r="Y146" s="1153"/>
      <c r="Z146" s="1726"/>
      <c r="AA146" s="425"/>
      <c r="AB146" s="223" t="s">
        <v>2215</v>
      </c>
      <c r="AC146" s="557" t="s">
        <v>725</v>
      </c>
      <c r="AD146" s="22">
        <f ca="1">IF(method_reg="Метод экономически обоснованных расходов",SUMIFS('Калькуляция (4.6)'!AJ$25:AJ$229,'Калькуляция (4.6)'!$F$25:$F$229,$F146,'Калькуляция (4.6)'!$G$25:$G$229,$G146),IF(method_reg="Метод сравнения аналогов",SUMIFS(INDEX('Калькуляция (МСА)'!$AE$25:$BC$109,,MATCH(AD$8,'Калькуляция (МСА)'!$AE$8:$BC$8,0)),'Калькуляция (МСА)'!$F$25:$F$109,$F146,'Калькуляция (МСА)'!$G$25:$G$109,$G146),SUMIFS(INDEX('Калькуляция (5.9)'!$AJ$25:$BC$194,,MATCH(AD$8,'Калькуляция (5.9)'!$AJ$8:$BC$8,0)),'Калькуляция (5.9)'!$F$25:$F$194,$F146,'Калькуляция (5.9)'!$G$25:$G$194,$G146)))</f>
        <v>0</v>
      </c>
      <c r="AE146" s="22">
        <f ca="1">IF(method_reg="Метод экономически обоснованных расходов",SUMIFS('Калькуляция (4.6)'!AK$25:AK$229,'Калькуляция (4.6)'!$F$25:$F$229,$F146,'Калькуляция (4.6)'!$G$25:$G$229,$G146),IF(method_reg="Метод сравнения аналогов",SUMIFS(INDEX('Калькуляция (МСА)'!$AE$25:$BC$109,,MATCH(AE$8,'Калькуляция (МСА)'!$AE$8:$BC$8,0)),'Калькуляция (МСА)'!$F$25:$F$109,$F146,'Калькуляция (МСА)'!$G$25:$G$109,$G146),SUMIFS(INDEX('Калькуляция (5.9)'!$AJ$25:$BC$194,,MATCH(AE$8,'Калькуляция (5.9)'!$AJ$8:$BC$8,0)),'Калькуляция (5.9)'!$F$25:$F$194,$F146,'Калькуляция (5.9)'!$G$25:$G$194,$G146)))</f>
        <v>0</v>
      </c>
      <c r="AF146" s="312">
        <f ca="1">IF(AD146=0,0,(AE146-AD146)/AD146*100)</f>
        <v>0</v>
      </c>
      <c r="AG146" s="313">
        <f ca="1">IF(method_reg="Метод сравнения аналогов",SUMIFS(INDEX('Калькуляция (МСА)'!$AE$25:$BC$109,,MATCH(AG$8,'Калькуляция (МСА)'!$AE$8:$BC$8,0)),'Калькуляция (МСА)'!$F$25:$F$109,$F146,'Калькуляция (МСА)'!$G$25:$G$109,$G146),SUMIFS(INDEX('Калькуляция (5.9)'!$AJ$25:$BC$194,,MATCH(AG$8,'Калькуляция (5.9)'!$AJ$8:$BC$8,0)),'Калькуляция (5.9)'!$F$25:$F$194,$F146,'Калькуляция (5.9)'!$G$25:$G$194,$G146))</f>
        <v>0</v>
      </c>
      <c r="AH146" s="313">
        <f ca="1">IF(method_reg="Метод сравнения аналогов",SUMIFS(INDEX('Калькуляция (МСА)'!$AE$25:$BC$109,,MATCH(AH$8,'Калькуляция (МСА)'!$AE$8:$BC$8,0)),'Калькуляция (МСА)'!$F$25:$F$109,$F146,'Калькуляция (МСА)'!$G$25:$G$109,$G146),SUMIFS(INDEX('Калькуляция (5.9)'!$AJ$25:$BC$194,,MATCH(AH$8,'Калькуляция (5.9)'!$AJ$8:$BC$8,0)),'Калькуляция (5.9)'!$F$25:$F$194,$F146,'Калькуляция (5.9)'!$G$25:$G$194,$G146))</f>
        <v>0</v>
      </c>
      <c r="AI146" s="312">
        <f ca="1">IF(AG146=0,0,(AH146-AG146)/AG146*100)</f>
        <v>0</v>
      </c>
      <c r="AJ146" s="313">
        <f ca="1">IF(method_reg="Метод сравнения аналогов",SUMIFS(INDEX('Калькуляция (МСА)'!$AE$25:$BC$109,,MATCH(AJ$8,'Калькуляция (МСА)'!$AE$8:$BC$8,0)),'Калькуляция (МСА)'!$F$25:$F$109,$F146,'Калькуляция (МСА)'!$G$25:$G$109,$G146),SUMIFS(INDEX('Калькуляция (5.9)'!$AJ$25:$BC$194,,MATCH(AJ$8,'Калькуляция (5.9)'!$AJ$8:$BC$8,0)),'Калькуляция (5.9)'!$F$25:$F$194,$F146,'Калькуляция (5.9)'!$G$25:$G$194,$G146))</f>
        <v>0</v>
      </c>
      <c r="AK146" s="313">
        <f ca="1">IF(method_reg="Метод сравнения аналогов",SUMIFS(INDEX('Калькуляция (МСА)'!$AE$25:$BC$109,,MATCH(AK$8,'Калькуляция (МСА)'!$AE$8:$BC$8,0)),'Калькуляция (МСА)'!$F$25:$F$109,$F146,'Калькуляция (МСА)'!$G$25:$G$109,$G146),SUMIFS(INDEX('Калькуляция (5.9)'!$AJ$25:$BC$194,,MATCH(AK$8,'Калькуляция (5.9)'!$AJ$8:$BC$8,0)),'Калькуляция (5.9)'!$F$25:$F$194,$F146,'Калькуляция (5.9)'!$G$25:$G$194,$G146))</f>
        <v>0</v>
      </c>
      <c r="AL146" s="312">
        <f ca="1">IF(AJ146=0,0,(AK146-AJ146)/AJ146*100)</f>
        <v>0</v>
      </c>
      <c r="AM146" s="313">
        <f ca="1">IF(method_reg="Метод сравнения аналогов",SUMIFS(INDEX('Калькуляция (МСА)'!$AE$25:$BC$109,,MATCH(AM$8,'Калькуляция (МСА)'!$AE$8:$BC$8,0)),'Калькуляция (МСА)'!$F$25:$F$109,$F146,'Калькуляция (МСА)'!$G$25:$G$109,$G146),SUMIFS(INDEX('Калькуляция (5.9)'!$AJ$25:$BC$194,,MATCH(AM$8,'Калькуляция (5.9)'!$AJ$8:$BC$8,0)),'Калькуляция (5.9)'!$F$25:$F$194,$F146,'Калькуляция (5.9)'!$G$25:$G$194,$G146))</f>
        <v>0</v>
      </c>
      <c r="AN146" s="313">
        <f ca="1">IF(method_reg="Метод сравнения аналогов",SUMIFS(INDEX('Калькуляция (МСА)'!$AE$25:$BC$109,,MATCH(AN$8,'Калькуляция (МСА)'!$AE$8:$BC$8,0)),'Калькуляция (МСА)'!$F$25:$F$109,$F146,'Калькуляция (МСА)'!$G$25:$G$109,$G146),SUMIFS(INDEX('Калькуляция (5.9)'!$AJ$25:$BC$194,,MATCH(AN$8,'Калькуляция (5.9)'!$AJ$8:$BC$8,0)),'Калькуляция (5.9)'!$F$25:$F$194,$F146,'Калькуляция (5.9)'!$G$25:$G$194,$G146))</f>
        <v>0</v>
      </c>
      <c r="AO146" s="312">
        <f ca="1">IF(AM146=0,0,(AN146-AM146)/AM146*100)</f>
        <v>0</v>
      </c>
      <c r="AP146" s="313">
        <f ca="1">IF(method_reg="Метод сравнения аналогов",SUMIFS(INDEX('Калькуляция (МСА)'!$AE$25:$BC$109,,MATCH(AP$8,'Калькуляция (МСА)'!$AE$8:$BC$8,0)),'Калькуляция (МСА)'!$F$25:$F$109,$F146,'Калькуляция (МСА)'!$G$25:$G$109,$G146),SUMIFS(INDEX('Калькуляция (5.9)'!$AJ$25:$BC$194,,MATCH(AP$8,'Калькуляция (5.9)'!$AJ$8:$BC$8,0)),'Калькуляция (5.9)'!$F$25:$F$194,$F146,'Калькуляция (5.9)'!$G$25:$G$194,$G146))</f>
        <v>0</v>
      </c>
      <c r="AQ146" s="313">
        <f ca="1">IF(method_reg="Метод сравнения аналогов",SUMIFS(INDEX('Калькуляция (МСА)'!$AE$25:$BC$109,,MATCH(AQ$8,'Калькуляция (МСА)'!$AE$8:$BC$8,0)),'Калькуляция (МСА)'!$F$25:$F$109,$F146,'Калькуляция (МСА)'!$G$25:$G$109,$G146),SUMIFS(INDEX('Калькуляция (5.9)'!$AJ$25:$BC$194,,MATCH(AQ$8,'Калькуляция (5.9)'!$AJ$8:$BC$8,0)),'Калькуляция (5.9)'!$F$25:$F$194,$F146,'Калькуляция (5.9)'!$G$25:$G$194,$G146))</f>
        <v>0</v>
      </c>
      <c r="AR146" s="312">
        <f ca="1">IF(AP146=0,0,(AQ146-AP146)/AP146*100)</f>
        <v>0</v>
      </c>
      <c r="AS146" s="22">
        <f ca="1">IF(method_reg="Метод сравнения аналогов",SUMIFS(INDEX('Калькуляция (МСА)'!$AE$25:$BC$109,,MATCH(AS$8,'Калькуляция (МСА)'!$AE$8:$BC$8,0)),'Калькуляция (МСА)'!$F$25:$F$109,$F146,'Калькуляция (МСА)'!$G$25:$G$109,$G146),SUMIFS(INDEX('Калькуляция (5.9)'!$AJ$25:$BC$194,,MATCH(AS$8,'Калькуляция (5.9)'!$AJ$8:$BC$8,0)),'Калькуляция (5.9)'!$F$25:$F$194,$F146,'Калькуляция (5.9)'!$G$25:$G$194,$G146))</f>
        <v>0</v>
      </c>
      <c r="AT146" s="22">
        <f ca="1">IF(method_reg="Метод сравнения аналогов",SUMIFS(INDEX('Калькуляция (МСА)'!$AE$25:$BC$109,,MATCH(AT$8,'Калькуляция (МСА)'!$AE$8:$BC$8,0)),'Калькуляция (МСА)'!$F$25:$F$109,$F146,'Калькуляция (МСА)'!$G$25:$G$109,$G146),SUMIFS(INDEX('Калькуляция (5.9)'!$AJ$25:$BC$194,,MATCH(AT$8,'Калькуляция (5.9)'!$AJ$8:$BC$8,0)),'Калькуляция (5.9)'!$F$25:$F$194,$F146,'Калькуляция (5.9)'!$G$25:$G$194,$G146))</f>
        <v>0</v>
      </c>
      <c r="AU146" s="312">
        <f ca="1">IF(AS146=0,0,(AT146-AS146)/AS146*100)</f>
        <v>0</v>
      </c>
      <c r="AV146" s="22">
        <f ca="1">IF(method_reg="Метод сравнения аналогов",SUMIFS(INDEX('Калькуляция (МСА)'!$AE$25:$BC$109,,MATCH(AV$8,'Калькуляция (МСА)'!$AE$8:$BC$8,0)),'Калькуляция (МСА)'!$F$25:$F$109,$F146,'Калькуляция (МСА)'!$G$25:$G$109,$G146),SUMIFS(INDEX('Калькуляция (5.9)'!$AJ$25:$BC$194,,MATCH(AV$8,'Калькуляция (5.9)'!$AJ$8:$BC$8,0)),'Калькуляция (5.9)'!$F$25:$F$194,$F146,'Калькуляция (5.9)'!$G$25:$G$194,$G146))</f>
        <v>0</v>
      </c>
      <c r="AW146" s="22">
        <f ca="1">IF(method_reg="Метод сравнения аналогов",SUMIFS(INDEX('Калькуляция (МСА)'!$AE$25:$BC$109,,MATCH(AW$8,'Калькуляция (МСА)'!$AE$8:$BC$8,0)),'Калькуляция (МСА)'!$F$25:$F$109,$F146,'Калькуляция (МСА)'!$G$25:$G$109,$G146),SUMIFS(INDEX('Калькуляция (5.9)'!$AJ$25:$BC$194,,MATCH(AW$8,'Калькуляция (5.9)'!$AJ$8:$BC$8,0)),'Калькуляция (5.9)'!$F$25:$F$194,$F146,'Калькуляция (5.9)'!$G$25:$G$194,$G146))</f>
        <v>0</v>
      </c>
      <c r="AX146" s="312">
        <f ca="1">IF(AV146=0,0,(AW146-AV146)/AV146*100)</f>
        <v>0</v>
      </c>
      <c r="AY146" s="22">
        <f ca="1">IF(method_reg="Метод сравнения аналогов",SUMIFS(INDEX('Калькуляция (МСА)'!$AE$25:$BC$109,,MATCH(AY$8,'Калькуляция (МСА)'!$AE$8:$BC$8,0)),'Калькуляция (МСА)'!$F$25:$F$109,$F146,'Калькуляция (МСА)'!$G$25:$G$109,$G146),SUMIFS(INDEX('Калькуляция (5.9)'!$AJ$25:$BC$194,,MATCH(AY$8,'Калькуляция (5.9)'!$AJ$8:$BC$8,0)),'Калькуляция (5.9)'!$F$25:$F$194,$F146,'Калькуляция (5.9)'!$G$25:$G$194,$G146))</f>
        <v>0</v>
      </c>
      <c r="AZ146" s="22">
        <f ca="1">IF(method_reg="Метод сравнения аналогов",SUMIFS(INDEX('Калькуляция (МСА)'!$AE$25:$BC$109,,MATCH(AZ$8,'Калькуляция (МСА)'!$AE$8:$BC$8,0)),'Калькуляция (МСА)'!$F$25:$F$109,$F146,'Калькуляция (МСА)'!$G$25:$G$109,$G146),SUMIFS(INDEX('Калькуляция (5.9)'!$AJ$25:$BC$194,,MATCH(AZ$8,'Калькуляция (5.9)'!$AJ$8:$BC$8,0)),'Калькуляция (5.9)'!$F$25:$F$194,$F146,'Калькуляция (5.9)'!$G$25:$G$194,$G146))</f>
        <v>0</v>
      </c>
      <c r="BA146" s="312">
        <f ca="1">IF(AY146=0,0,(AZ146-AY146)/AY146*100)</f>
        <v>0</v>
      </c>
      <c r="BB146" s="22">
        <f ca="1">IF(method_reg="Метод сравнения аналогов",SUMIFS(INDEX('Калькуляция (МСА)'!$AE$25:$BC$109,,MATCH(BB$8,'Калькуляция (МСА)'!$AE$8:$BC$8,0)),'Калькуляция (МСА)'!$F$25:$F$109,$F146,'Калькуляция (МСА)'!$G$25:$G$109,$G146),SUMIFS(INDEX('Калькуляция (5.9)'!$AJ$25:$BC$194,,MATCH(BB$8,'Калькуляция (5.9)'!$AJ$8:$BC$8,0)),'Калькуляция (5.9)'!$F$25:$F$194,$F146,'Калькуляция (5.9)'!$G$25:$G$194,$G146))</f>
        <v>0</v>
      </c>
      <c r="BC146" s="22">
        <f ca="1">IF(method_reg="Метод сравнения аналогов",SUMIFS(INDEX('Калькуляция (МСА)'!$AE$25:$BC$109,,MATCH(BC$8,'Калькуляция (МСА)'!$AE$8:$BC$8,0)),'Калькуляция (МСА)'!$F$25:$F$109,$F146,'Калькуляция (МСА)'!$G$25:$G$109,$G146),SUMIFS(INDEX('Калькуляция (5.9)'!$AJ$25:$BC$194,,MATCH(BC$8,'Калькуляция (5.9)'!$AJ$8:$BC$8,0)),'Калькуляция (5.9)'!$F$25:$F$194,$F146,'Калькуляция (5.9)'!$G$25:$G$194,$G146))</f>
        <v>0</v>
      </c>
      <c r="BD146" s="312">
        <f ca="1">IF(BB146=0,0,(BC146-BB146)/BB146*100)</f>
        <v>0</v>
      </c>
      <c r="BE146" s="22">
        <f ca="1">IF(method_reg="Метод сравнения аналогов",SUMIFS(INDEX('Калькуляция (МСА)'!$AE$25:$BC$109,,MATCH(BE$8,'Калькуляция (МСА)'!$AE$8:$BC$8,0)),'Калькуляция (МСА)'!$F$25:$F$109,$F146,'Калькуляция (МСА)'!$G$25:$G$109,$G146),SUMIFS(INDEX('Калькуляция (5.9)'!$AJ$25:$BC$194,,MATCH(BE$8,'Калькуляция (5.9)'!$AJ$8:$BC$8,0)),'Калькуляция (5.9)'!$F$25:$F$194,$F146,'Калькуляция (5.9)'!$G$25:$G$194,$G146))</f>
        <v>0</v>
      </c>
      <c r="BF146" s="22">
        <f ca="1">IF(method_reg="Метод сравнения аналогов",SUMIFS(INDEX('Калькуляция (МСА)'!$AE$25:$BC$109,,MATCH(BF$8,'Калькуляция (МСА)'!$AE$8:$BC$8,0)),'Калькуляция (МСА)'!$F$25:$F$109,$F146,'Калькуляция (МСА)'!$G$25:$G$109,$G146),SUMIFS(INDEX('Калькуляция (5.9)'!$AJ$25:$BC$194,,MATCH(BF$8,'Калькуляция (5.9)'!$AJ$8:$BC$8,0)),'Калькуляция (5.9)'!$F$25:$F$194,$F146,'Калькуляция (5.9)'!$G$25:$G$194,$G146))</f>
        <v>0</v>
      </c>
      <c r="BG146" s="312">
        <f ca="1">IF(BE146=0,0,(BF146-BE146)/BE146*100)</f>
        <v>0</v>
      </c>
      <c r="BH146" s="22"/>
      <c r="BI146" s="22"/>
      <c r="BJ146" s="312">
        <f>IF(BH146=0,0,(BI146-BH146)/BH146*100)</f>
        <v>0</v>
      </c>
      <c r="BK146" s="22"/>
      <c r="BL146" s="22"/>
      <c r="BM146" s="312">
        <f>IF(BK146=0,0,(BL146-BK146)/BK146*100)</f>
        <v>0</v>
      </c>
      <c r="BN146" s="22"/>
      <c r="BO146" s="22"/>
      <c r="BP146" s="312">
        <f>IF(BN146=0,0,(BO146-BN146)/BN146*100)</f>
        <v>0</v>
      </c>
      <c r="BQ146" s="22"/>
      <c r="BR146" s="22"/>
      <c r="BS146" s="312">
        <f>IF(BQ146=0,0,(BR146-BQ146)/BQ146*100)</f>
        <v>0</v>
      </c>
      <c r="BT146" s="22"/>
      <c r="BU146" s="22"/>
      <c r="BV146" s="312">
        <f>IF(BT146=0,0,(BU146-BT146)/BT146*100)</f>
        <v>0</v>
      </c>
      <c r="BW146" s="22"/>
      <c r="BX146" s="22"/>
      <c r="BY146" s="312">
        <f>IF(BW146=0,0,(BX146-BW146)/BW146*100)</f>
        <v>0</v>
      </c>
      <c r="BZ146" s="22"/>
      <c r="CA146" s="22"/>
      <c r="CB146" s="312">
        <f>IF(BZ146=0,0,(CA146-BZ146)/BZ146*100)</f>
        <v>0</v>
      </c>
      <c r="CC146" s="22"/>
      <c r="CD146" s="22"/>
      <c r="CE146" s="312">
        <f>IF(CC146=0,0,(CD146-CC146)/CC146*100)</f>
        <v>0</v>
      </c>
      <c r="CF146" s="22"/>
      <c r="CG146" s="22"/>
      <c r="CH146" s="312">
        <f>IF(CF146=0,0,(CG146-CF146)/CF146*100)</f>
        <v>0</v>
      </c>
      <c r="CI146" s="22"/>
      <c r="CJ146" s="22"/>
      <c r="CK146" s="312">
        <f>IF(CI146=0,0,(CJ146-CI146)/CI146*100)</f>
        <v>0</v>
      </c>
      <c r="CL146" s="22"/>
      <c r="CM146" s="22"/>
      <c r="CN146" s="312">
        <f>IF(CL146=0,0,(CM146-CL146)/CL146*100)</f>
        <v>0</v>
      </c>
      <c r="CO146" s="22"/>
      <c r="CP146" s="22"/>
      <c r="CQ146" s="312">
        <f>IF(CO146=0,0,(CP146-CO146)/CO146*100)</f>
        <v>0</v>
      </c>
      <c r="CR146" s="22"/>
      <c r="CS146" s="22"/>
      <c r="CT146" s="312">
        <f>IF(CR146=0,0,(CS146-CR146)/CR146*100)</f>
        <v>0</v>
      </c>
      <c r="CU146" s="22"/>
      <c r="CV146" s="22"/>
      <c r="CW146" s="312">
        <f>IF(CU146=0,0,(CV146-CU146)/CU146*100)</f>
        <v>0</v>
      </c>
      <c r="CX146" s="22"/>
      <c r="CY146" s="22"/>
      <c r="CZ146" s="312">
        <f>IF(CX146=0,0,(CY146-CX146)/CX146*100)</f>
        <v>0</v>
      </c>
      <c r="DA146" s="22"/>
      <c r="DB146" s="22"/>
      <c r="DC146" s="312">
        <f>IF(DA146=0,0,(DB146-DA146)/DA146*100)</f>
        <v>0</v>
      </c>
      <c r="DD146" s="22"/>
      <c r="DE146" s="22"/>
      <c r="DF146" s="312">
        <f>IF(DD146=0,0,(DE146-DD146)/DD146*100)</f>
        <v>0</v>
      </c>
      <c r="DG146" s="22"/>
      <c r="DH146" s="22"/>
      <c r="DI146" s="312">
        <f>IF(DG146=0,0,(DH146-DG146)/DG146*100)</f>
        <v>0</v>
      </c>
      <c r="DJ146" s="22"/>
      <c r="DK146" s="22"/>
      <c r="DL146" s="312">
        <f>IF(DJ146=0,0,(DK146-DJ146)/DJ146*100)</f>
        <v>0</v>
      </c>
      <c r="DM146" s="22"/>
      <c r="DN146" s="22"/>
      <c r="DO146" s="312">
        <f>IF(DM146=0,0,(DN146-DM146)/DM146*100)</f>
        <v>0</v>
      </c>
      <c r="DP146" s="22"/>
      <c r="DQ146" s="22"/>
      <c r="DR146" s="312">
        <f>IF(DP146=0,0,(DQ146-DP146)/DP146*100)</f>
        <v>0</v>
      </c>
      <c r="DS146" s="22"/>
      <c r="DT146" s="22"/>
      <c r="DU146" s="312">
        <f>IF(DS146=0,0,(DT146-DS146)/DS146*100)</f>
        <v>0</v>
      </c>
      <c r="DV146" s="22"/>
      <c r="DW146" s="22"/>
      <c r="DX146" s="312">
        <f>IF(DV146=0,0,(DW146-DV146)/DV146*100)</f>
        <v>0</v>
      </c>
      <c r="DY146" s="22"/>
      <c r="DZ146" s="22"/>
      <c r="EA146" s="312">
        <f>IF(DY146=0,0,(DZ146-DY146)/DY146*100)</f>
        <v>0</v>
      </c>
      <c r="EB146" s="22"/>
      <c r="EC146" s="22"/>
      <c r="ED146" s="312">
        <f>IF(EB146=0,0,(EC146-EB146)/EB146*100)</f>
        <v>0</v>
      </c>
      <c r="EE146" s="22"/>
      <c r="EF146" s="22"/>
      <c r="EG146" s="312">
        <f>IF(EE146=0,0,(EF146-EE146)/EE146*100)</f>
        <v>0</v>
      </c>
      <c r="EH146" s="22"/>
      <c r="EI146" s="22"/>
      <c r="EJ146" s="312">
        <f>IF(EH146=0,0,(EI146-EH146)/EH146*100)</f>
        <v>0</v>
      </c>
      <c r="EK146" s="22"/>
      <c r="EL146" s="22"/>
      <c r="EM146" s="312">
        <f>IF(EK146=0,0,(EL146-EK146)/EK146*100)</f>
        <v>0</v>
      </c>
      <c r="EN146" s="22"/>
      <c r="EO146" s="22"/>
      <c r="EP146" s="312">
        <f>IF(EN146=0,0,(EO146-EN146)/EN146*100)</f>
        <v>0</v>
      </c>
      <c r="EQ146" s="22"/>
      <c r="ER146" s="22"/>
      <c r="ES146" s="312">
        <f>IF(EQ146=0,0,(ER146-EQ146)/EQ146*100)</f>
        <v>0</v>
      </c>
      <c r="ET146" s="22"/>
      <c r="EU146" s="22"/>
      <c r="EV146" s="312">
        <f>IF(ET146=0,0,(EU146-ET146)/ET146*100)</f>
        <v>0</v>
      </c>
      <c r="EW146" s="22"/>
      <c r="EX146" s="22"/>
      <c r="EY146" s="312">
        <f>IF(EW146=0,0,(EX146-EW146)/EW146*100)</f>
        <v>0</v>
      </c>
      <c r="EZ146" s="22"/>
      <c r="FA146" s="22"/>
      <c r="FB146" s="312">
        <f>IF(EZ146=0,0,(FA146-EZ146)/EZ146*100)</f>
        <v>0</v>
      </c>
      <c r="FC146" s="22"/>
      <c r="FD146" s="22"/>
      <c r="FE146" s="312">
        <f>IF(FC146=0,0,(FD146-FC146)/FC146*100)</f>
        <v>0</v>
      </c>
      <c r="FF146" s="22"/>
      <c r="FG146" s="22"/>
      <c r="FH146" s="312">
        <f>IF(FF146=0,0,(FG146-FF146)/FF146*100)</f>
        <v>0</v>
      </c>
      <c r="FI146" s="22"/>
      <c r="FJ146" s="22"/>
      <c r="FK146" s="312">
        <f>IF(FI146=0,0,(FJ146-FI146)/FI146*100)</f>
        <v>0</v>
      </c>
      <c r="FL146" s="22"/>
      <c r="FM146" s="22"/>
      <c r="FN146" s="312">
        <f>IF(FL146=0,0,(FM146-FL146)/FL146*100)</f>
        <v>0</v>
      </c>
      <c r="FO146" s="22"/>
      <c r="FP146" s="22"/>
      <c r="FQ146" s="312">
        <f>IF(FO146=0,0,(FP146-FO146)/FO146*100)</f>
        <v>0</v>
      </c>
      <c r="FR146" s="22"/>
      <c r="FS146" s="22"/>
      <c r="FT146" s="312">
        <f>IF(FR146=0,0,(FS146-FR146)/FR146*100)</f>
        <v>0</v>
      </c>
      <c r="FU146" s="22"/>
      <c r="FV146" s="22"/>
      <c r="FW146" s="312">
        <f>IF(FU146=0,0,(FV146-FU146)/FU146*100)</f>
        <v>0</v>
      </c>
      <c r="FX146" s="425"/>
      <c r="FY146" s="425"/>
      <c r="FZ146" s="981" t="s">
        <v>2216</v>
      </c>
      <c r="GA146" s="981"/>
      <c r="GB146" s="981"/>
      <c r="GC146" s="981"/>
      <c r="GD146" s="981"/>
    </row>
    <row r="147" spans="1:186" s="1229" customFormat="1" ht="15" hidden="1" customHeight="1">
      <c r="A147" s="1153"/>
      <c r="B147" s="813" t="b" cm="1">
        <f t="array" ref="B147">B146</f>
        <v>0</v>
      </c>
      <c r="C147" s="1118"/>
      <c r="D147" s="1087"/>
      <c r="E147" s="676">
        <v>15.8</v>
      </c>
      <c r="F147" s="779" t="str" cm="1">
        <f t="array" aca="1" ref="F147" ca="1">OFFSET(G147,-1,-1)</f>
        <v>2</v>
      </c>
      <c r="G147" s="425"/>
      <c r="H147" s="425"/>
      <c r="I147" s="425"/>
      <c r="J147" s="1092"/>
      <c r="K147" s="1108" t="str" cm="1">
        <f t="array" aca="1" ref="K147" ca="1">OFFSET(J147,-1,1)</f>
        <v>ТЭ.42.26322895.0004</v>
      </c>
      <c r="L147" s="1092"/>
      <c r="M147" s="1092"/>
      <c r="N147" s="1092"/>
      <c r="O147" s="1092"/>
      <c r="P147" s="1108"/>
      <c r="Q147" s="1108"/>
      <c r="R147" s="784"/>
      <c r="S147" s="425"/>
      <c r="T147" s="687" t="b" cm="1">
        <f t="array" aca="1" ref="T147" ca="1">T146</f>
        <v>0</v>
      </c>
      <c r="U147" s="1153"/>
      <c r="V147" s="1153"/>
      <c r="W147" s="1153"/>
      <c r="X147" s="1726"/>
      <c r="Y147" s="1153"/>
      <c r="Z147" s="1726"/>
      <c r="AA147" s="425"/>
      <c r="AB147" s="1140" t="s">
        <v>2217</v>
      </c>
      <c r="AC147" s="314"/>
      <c r="AD147" s="315"/>
      <c r="AE147" s="315"/>
      <c r="AF147" s="315"/>
      <c r="AG147" s="315"/>
      <c r="AH147" s="315"/>
      <c r="AI147" s="315"/>
      <c r="AJ147" s="315"/>
      <c r="AK147" s="315"/>
      <c r="AL147" s="315"/>
      <c r="AM147" s="315"/>
      <c r="AN147" s="315"/>
      <c r="AO147" s="315"/>
      <c r="AP147" s="315"/>
      <c r="AQ147" s="315"/>
      <c r="AR147" s="315"/>
      <c r="AS147" s="315"/>
      <c r="AT147" s="315"/>
      <c r="AU147" s="315"/>
      <c r="AV147" s="315"/>
      <c r="AW147" s="315"/>
      <c r="AX147" s="315"/>
      <c r="AY147" s="315"/>
      <c r="AZ147" s="315"/>
      <c r="BA147" s="315"/>
      <c r="BB147" s="315"/>
      <c r="BC147" s="315"/>
      <c r="BD147" s="315"/>
      <c r="BE147" s="315"/>
      <c r="BF147" s="315"/>
      <c r="BG147" s="315"/>
      <c r="BH147" s="315"/>
      <c r="BI147" s="315"/>
      <c r="BJ147" s="315"/>
      <c r="BK147" s="315"/>
      <c r="BL147" s="315"/>
      <c r="BM147" s="315"/>
      <c r="BN147" s="315"/>
      <c r="BO147" s="315"/>
      <c r="BP147" s="315"/>
      <c r="BQ147" s="315"/>
      <c r="BR147" s="315"/>
      <c r="BS147" s="315"/>
      <c r="BT147" s="315"/>
      <c r="BU147" s="315"/>
      <c r="BV147" s="315"/>
      <c r="BW147" s="315"/>
      <c r="BX147" s="315"/>
      <c r="BY147" s="315"/>
      <c r="BZ147" s="315"/>
      <c r="CA147" s="315"/>
      <c r="CB147" s="315"/>
      <c r="CC147" s="315"/>
      <c r="CD147" s="315"/>
      <c r="CE147" s="315"/>
      <c r="CF147" s="315"/>
      <c r="CG147" s="315"/>
      <c r="CH147" s="315"/>
      <c r="CI147" s="315"/>
      <c r="CJ147" s="315"/>
      <c r="CK147" s="315"/>
      <c r="CL147" s="315"/>
      <c r="CM147" s="315"/>
      <c r="CN147" s="315"/>
      <c r="CO147" s="315"/>
      <c r="CP147" s="315"/>
      <c r="CQ147" s="315"/>
      <c r="CR147" s="315"/>
      <c r="CS147" s="315"/>
      <c r="CT147" s="315"/>
      <c r="CU147" s="315"/>
      <c r="CV147" s="315"/>
      <c r="CW147" s="315"/>
      <c r="CX147" s="315"/>
      <c r="CY147" s="315"/>
      <c r="CZ147" s="315"/>
      <c r="DA147" s="315"/>
      <c r="DB147" s="315"/>
      <c r="DC147" s="315"/>
      <c r="DD147" s="315"/>
      <c r="DE147" s="315"/>
      <c r="DF147" s="315"/>
      <c r="DG147" s="315"/>
      <c r="DH147" s="315"/>
      <c r="DI147" s="315"/>
      <c r="DJ147" s="315"/>
      <c r="DK147" s="315"/>
      <c r="DL147" s="315"/>
      <c r="DM147" s="315"/>
      <c r="DN147" s="315"/>
      <c r="DO147" s="315"/>
      <c r="DP147" s="315"/>
      <c r="DQ147" s="315"/>
      <c r="DR147" s="315"/>
      <c r="DS147" s="315"/>
      <c r="DT147" s="315"/>
      <c r="DU147" s="315"/>
      <c r="DV147" s="315"/>
      <c r="DW147" s="315"/>
      <c r="DX147" s="315"/>
      <c r="DY147" s="315"/>
      <c r="DZ147" s="315"/>
      <c r="EA147" s="315"/>
      <c r="EB147" s="315"/>
      <c r="EC147" s="315"/>
      <c r="ED147" s="315"/>
      <c r="EE147" s="315"/>
      <c r="EF147" s="315"/>
      <c r="EG147" s="315"/>
      <c r="EH147" s="315"/>
      <c r="EI147" s="315"/>
      <c r="EJ147" s="315"/>
      <c r="EK147" s="315"/>
      <c r="EL147" s="315"/>
      <c r="EM147" s="315"/>
      <c r="EN147" s="315"/>
      <c r="EO147" s="315"/>
      <c r="EP147" s="315"/>
      <c r="EQ147" s="315"/>
      <c r="ER147" s="315"/>
      <c r="ES147" s="315"/>
      <c r="ET147" s="315"/>
      <c r="EU147" s="315"/>
      <c r="EV147" s="315"/>
      <c r="EW147" s="315"/>
      <c r="EX147" s="315"/>
      <c r="EY147" s="315"/>
      <c r="EZ147" s="315"/>
      <c r="FA147" s="315"/>
      <c r="FB147" s="315"/>
      <c r="FC147" s="315"/>
      <c r="FD147" s="315"/>
      <c r="FE147" s="315"/>
      <c r="FF147" s="315"/>
      <c r="FG147" s="315"/>
      <c r="FH147" s="315"/>
      <c r="FI147" s="315"/>
      <c r="FJ147" s="315"/>
      <c r="FK147" s="315"/>
      <c r="FL147" s="315"/>
      <c r="FM147" s="315"/>
      <c r="FN147" s="315"/>
      <c r="FO147" s="315"/>
      <c r="FP147" s="315"/>
      <c r="FQ147" s="315"/>
      <c r="FR147" s="315"/>
      <c r="FS147" s="315"/>
      <c r="FT147" s="315"/>
      <c r="FU147" s="315"/>
      <c r="FV147" s="315"/>
      <c r="FW147" s="316"/>
      <c r="FX147" s="425"/>
      <c r="FY147" s="425"/>
      <c r="FZ147" s="1015"/>
      <c r="GA147" s="981"/>
      <c r="GB147" s="981"/>
      <c r="GC147" s="981"/>
      <c r="GD147" s="981"/>
    </row>
    <row r="148" spans="1:186" s="1229" customFormat="1" ht="15" hidden="1" customHeight="1">
      <c r="A148" s="1153"/>
      <c r="B148" s="813" t="b" cm="1">
        <f t="array" ref="B148">B147</f>
        <v>0</v>
      </c>
      <c r="C148" s="1118" t="s">
        <v>2193</v>
      </c>
      <c r="D148" s="1087" t="s">
        <v>2194</v>
      </c>
      <c r="E148" s="676">
        <v>15.8</v>
      </c>
      <c r="F148" s="779" t="str" cm="1">
        <f t="array" aca="1" ref="F148" ca="1">OFFSET(G148,-1,-1)</f>
        <v>2</v>
      </c>
      <c r="G148" s="620" t="s">
        <v>1794</v>
      </c>
      <c r="H148" s="163" t="s">
        <v>2195</v>
      </c>
      <c r="I148" s="163" t="s">
        <v>2155</v>
      </c>
      <c r="J148" s="1108"/>
      <c r="K148" s="1108" t="str" cm="1">
        <f t="array" aca="1" ref="K148" ca="1">OFFSET(J148,-1,1)</f>
        <v>ТЭ.42.26322895.0004</v>
      </c>
      <c r="L148" s="1108"/>
      <c r="M148" s="1108" t="s">
        <v>1791</v>
      </c>
      <c r="N148" s="1108" t="s">
        <v>2151</v>
      </c>
      <c r="O148" s="1109" t="s">
        <v>2152</v>
      </c>
      <c r="P148" s="1108" t="s">
        <v>2196</v>
      </c>
      <c r="Q148" s="1108"/>
      <c r="R148" s="784"/>
      <c r="S148" s="425"/>
      <c r="T148" s="687" t="b" cm="1">
        <f t="array" aca="1" ref="T148" ca="1">T147</f>
        <v>0</v>
      </c>
      <c r="U148" s="1153"/>
      <c r="V148" s="1153"/>
      <c r="W148" s="1153"/>
      <c r="X148" s="1726"/>
      <c r="Y148" s="1153"/>
      <c r="Z148" s="1726"/>
      <c r="AA148" s="425"/>
      <c r="AB148" s="223" t="s">
        <v>2197</v>
      </c>
      <c r="AC148" s="123" t="s">
        <v>929</v>
      </c>
      <c r="AD148" s="22">
        <f ca="1">IF(method_reg="Метод экономически обоснованных расходов",SUMIFS('Калькуляция (4.6)'!AJ$25:AJ$229,'Калькуляция (4.6)'!$F$25:$F$229,$F148,'Калькуляция (4.6)'!$G$25:$G$229,$G148),IF(method_reg="Метод сравнения аналогов",SUMIFS(INDEX('Калькуляция (МСА)'!$AE$25:$BC$109,,MATCH(AD$8,'Калькуляция (МСА)'!$AE$8:$BC$8,0)),'Калькуляция (МСА)'!$F$25:$F$109,$F148,'Калькуляция (МСА)'!$G$25:$G$109,$G148),SUMIFS(INDEX('Калькуляция (5.9)'!$AJ$25:$BC$194,,MATCH(AD$8,'Калькуляция (5.9)'!$AJ$8:$BC$8,0)),'Калькуляция (5.9)'!$F$25:$F$194,$F148,'Калькуляция (5.9)'!$G$25:$G$194,$G148)))</f>
        <v>0</v>
      </c>
      <c r="AE148" s="22">
        <f ca="1">IF(method_reg="Метод экономически обоснованных расходов",SUMIFS('Калькуляция (4.6)'!AK$25:AK$229,'Калькуляция (4.6)'!$F$25:$F$229,$F148,'Калькуляция (4.6)'!$G$25:$G$229,$G148),IF(method_reg="Метод сравнения аналогов",SUMIFS(INDEX('Калькуляция (МСА)'!$AE$25:$BC$109,,MATCH(AE$8,'Калькуляция (МСА)'!$AE$8:$BC$8,0)),'Калькуляция (МСА)'!$F$25:$F$109,$F148,'Калькуляция (МСА)'!$G$25:$G$109,$G148),SUMIFS(INDEX('Калькуляция (5.9)'!$AJ$25:$BC$194,,MATCH(AE$8,'Калькуляция (5.9)'!$AJ$8:$BC$8,0)),'Калькуляция (5.9)'!$F$25:$F$194,$F148,'Калькуляция (5.9)'!$G$25:$G$194,$G148)))</f>
        <v>3870</v>
      </c>
      <c r="AF148" s="312">
        <f ca="1">IF(AD148=0,0,(AE148-AD148)/AD148*100)</f>
        <v>0</v>
      </c>
      <c r="AG148" s="313">
        <f ca="1">IF(method_reg="Метод сравнения аналогов",SUMIFS(INDEX('Калькуляция (МСА)'!$AE$25:$BC$109,,MATCH(AG$8,'Калькуляция (МСА)'!$AE$8:$BC$8,0)),'Калькуляция (МСА)'!$F$25:$F$109,$F148,'Калькуляция (МСА)'!$G$25:$G$109,$G148),SUMIFS(INDEX('Калькуляция (5.9)'!$AJ$25:$BC$194,,MATCH(AG$8,'Калькуляция (5.9)'!$AJ$8:$BC$8,0)),'Калькуляция (5.9)'!$F$25:$F$194,$F148,'Калькуляция (5.9)'!$G$25:$G$194,$G148))</f>
        <v>0</v>
      </c>
      <c r="AH148" s="313">
        <f ca="1">IF(method_reg="Метод сравнения аналогов",SUMIFS(INDEX('Калькуляция (МСА)'!$AE$25:$BC$109,,MATCH(AH$8,'Калькуляция (МСА)'!$AE$8:$BC$8,0)),'Калькуляция (МСА)'!$F$25:$F$109,$F148,'Калькуляция (МСА)'!$G$25:$G$109,$G148),SUMIFS(INDEX('Калькуляция (5.9)'!$AJ$25:$BC$194,,MATCH(AH$8,'Калькуляция (5.9)'!$AJ$8:$BC$8,0)),'Калькуляция (5.9)'!$F$25:$F$194,$F148,'Калькуляция (5.9)'!$G$25:$G$194,$G148))</f>
        <v>0</v>
      </c>
      <c r="AI148" s="312">
        <f ca="1">IF(AG148=0,0,(AH148-AG148)/AG148*100)</f>
        <v>0</v>
      </c>
      <c r="AJ148" s="313">
        <f ca="1">IF(method_reg="Метод сравнения аналогов",SUMIFS(INDEX('Калькуляция (МСА)'!$AE$25:$BC$109,,MATCH(AJ$8,'Калькуляция (МСА)'!$AE$8:$BC$8,0)),'Калькуляция (МСА)'!$F$25:$F$109,$F148,'Калькуляция (МСА)'!$G$25:$G$109,$G148),SUMIFS(INDEX('Калькуляция (5.9)'!$AJ$25:$BC$194,,MATCH(AJ$8,'Калькуляция (5.9)'!$AJ$8:$BC$8,0)),'Калькуляция (5.9)'!$F$25:$F$194,$F148,'Калькуляция (5.9)'!$G$25:$G$194,$G148))</f>
        <v>0</v>
      </c>
      <c r="AK148" s="313">
        <f ca="1">IF(method_reg="Метод сравнения аналогов",SUMIFS(INDEX('Калькуляция (МСА)'!$AE$25:$BC$109,,MATCH(AK$8,'Калькуляция (МСА)'!$AE$8:$BC$8,0)),'Калькуляция (МСА)'!$F$25:$F$109,$F148,'Калькуляция (МСА)'!$G$25:$G$109,$G148),SUMIFS(INDEX('Калькуляция (5.9)'!$AJ$25:$BC$194,,MATCH(AK$8,'Калькуляция (5.9)'!$AJ$8:$BC$8,0)),'Калькуляция (5.9)'!$F$25:$F$194,$F148,'Калькуляция (5.9)'!$G$25:$G$194,$G148))</f>
        <v>0</v>
      </c>
      <c r="AL148" s="312">
        <f ca="1">IF(AJ148=0,0,(AK148-AJ148)/AJ148*100)</f>
        <v>0</v>
      </c>
      <c r="AM148" s="313">
        <f ca="1">IF(method_reg="Метод сравнения аналогов",SUMIFS(INDEX('Калькуляция (МСА)'!$AE$25:$BC$109,,MATCH(AM$8,'Калькуляция (МСА)'!$AE$8:$BC$8,0)),'Калькуляция (МСА)'!$F$25:$F$109,$F148,'Калькуляция (МСА)'!$G$25:$G$109,$G148),SUMIFS(INDEX('Калькуляция (5.9)'!$AJ$25:$BC$194,,MATCH(AM$8,'Калькуляция (5.9)'!$AJ$8:$BC$8,0)),'Калькуляция (5.9)'!$F$25:$F$194,$F148,'Калькуляция (5.9)'!$G$25:$G$194,$G148))</f>
        <v>0</v>
      </c>
      <c r="AN148" s="313">
        <f ca="1">IF(method_reg="Метод сравнения аналогов",SUMIFS(INDEX('Калькуляция (МСА)'!$AE$25:$BC$109,,MATCH(AN$8,'Калькуляция (МСА)'!$AE$8:$BC$8,0)),'Калькуляция (МСА)'!$F$25:$F$109,$F148,'Калькуляция (МСА)'!$G$25:$G$109,$G148),SUMIFS(INDEX('Калькуляция (5.9)'!$AJ$25:$BC$194,,MATCH(AN$8,'Калькуляция (5.9)'!$AJ$8:$BC$8,0)),'Калькуляция (5.9)'!$F$25:$F$194,$F148,'Калькуляция (5.9)'!$G$25:$G$194,$G148))</f>
        <v>0</v>
      </c>
      <c r="AO148" s="312">
        <f ca="1">IF(AM148=0,0,(AN148-AM148)/AM148*100)</f>
        <v>0</v>
      </c>
      <c r="AP148" s="313">
        <f ca="1">IF(method_reg="Метод сравнения аналогов",SUMIFS(INDEX('Калькуляция (МСА)'!$AE$25:$BC$109,,MATCH(AP$8,'Калькуляция (МСА)'!$AE$8:$BC$8,0)),'Калькуляция (МСА)'!$F$25:$F$109,$F148,'Калькуляция (МСА)'!$G$25:$G$109,$G148),SUMIFS(INDEX('Калькуляция (5.9)'!$AJ$25:$BC$194,,MATCH(AP$8,'Калькуляция (5.9)'!$AJ$8:$BC$8,0)),'Калькуляция (5.9)'!$F$25:$F$194,$F148,'Калькуляция (5.9)'!$G$25:$G$194,$G148))</f>
        <v>0</v>
      </c>
      <c r="AQ148" s="313">
        <f ca="1">IF(method_reg="Метод сравнения аналогов",SUMIFS(INDEX('Калькуляция (МСА)'!$AE$25:$BC$109,,MATCH(AQ$8,'Калькуляция (МСА)'!$AE$8:$BC$8,0)),'Калькуляция (МСА)'!$F$25:$F$109,$F148,'Калькуляция (МСА)'!$G$25:$G$109,$G148),SUMIFS(INDEX('Калькуляция (5.9)'!$AJ$25:$BC$194,,MATCH(AQ$8,'Калькуляция (5.9)'!$AJ$8:$BC$8,0)),'Калькуляция (5.9)'!$F$25:$F$194,$F148,'Калькуляция (5.9)'!$G$25:$G$194,$G148))</f>
        <v>0</v>
      </c>
      <c r="AR148" s="312">
        <f ca="1">IF(AP148=0,0,(AQ148-AP148)/AP148*100)</f>
        <v>0</v>
      </c>
      <c r="AS148" s="22">
        <f ca="1">IF(method_reg="Метод сравнения аналогов",SUMIFS(INDEX('Калькуляция (МСА)'!$AE$25:$BC$109,,MATCH(AS$8,'Калькуляция (МСА)'!$AE$8:$BC$8,0)),'Калькуляция (МСА)'!$F$25:$F$109,$F148,'Калькуляция (МСА)'!$G$25:$G$109,$G148),SUMIFS(INDEX('Калькуляция (5.9)'!$AJ$25:$BC$194,,MATCH(AS$8,'Калькуляция (5.9)'!$AJ$8:$BC$8,0)),'Калькуляция (5.9)'!$F$25:$F$194,$F148,'Калькуляция (5.9)'!$G$25:$G$194,$G148))</f>
        <v>0</v>
      </c>
      <c r="AT148" s="22">
        <f ca="1">IF(method_reg="Метод сравнения аналогов",SUMIFS(INDEX('Калькуляция (МСА)'!$AE$25:$BC$109,,MATCH(AT$8,'Калькуляция (МСА)'!$AE$8:$BC$8,0)),'Калькуляция (МСА)'!$F$25:$F$109,$F148,'Калькуляция (МСА)'!$G$25:$G$109,$G148),SUMIFS(INDEX('Калькуляция (5.9)'!$AJ$25:$BC$194,,MATCH(AT$8,'Калькуляция (5.9)'!$AJ$8:$BC$8,0)),'Калькуляция (5.9)'!$F$25:$F$194,$F148,'Калькуляция (5.9)'!$G$25:$G$194,$G148))</f>
        <v>0</v>
      </c>
      <c r="AU148" s="312">
        <f ca="1">IF(AS148=0,0,(AT148-AS148)/AS148*100)</f>
        <v>0</v>
      </c>
      <c r="AV148" s="22">
        <f ca="1">IF(method_reg="Метод сравнения аналогов",SUMIFS(INDEX('Калькуляция (МСА)'!$AE$25:$BC$109,,MATCH(AV$8,'Калькуляция (МСА)'!$AE$8:$BC$8,0)),'Калькуляция (МСА)'!$F$25:$F$109,$F148,'Калькуляция (МСА)'!$G$25:$G$109,$G148),SUMIFS(INDEX('Калькуляция (5.9)'!$AJ$25:$BC$194,,MATCH(AV$8,'Калькуляция (5.9)'!$AJ$8:$BC$8,0)),'Калькуляция (5.9)'!$F$25:$F$194,$F148,'Калькуляция (5.9)'!$G$25:$G$194,$G148))</f>
        <v>0</v>
      </c>
      <c r="AW148" s="22">
        <f ca="1">IF(method_reg="Метод сравнения аналогов",SUMIFS(INDEX('Калькуляция (МСА)'!$AE$25:$BC$109,,MATCH(AW$8,'Калькуляция (МСА)'!$AE$8:$BC$8,0)),'Калькуляция (МСА)'!$F$25:$F$109,$F148,'Калькуляция (МСА)'!$G$25:$G$109,$G148),SUMIFS(INDEX('Калькуляция (5.9)'!$AJ$25:$BC$194,,MATCH(AW$8,'Калькуляция (5.9)'!$AJ$8:$BC$8,0)),'Калькуляция (5.9)'!$F$25:$F$194,$F148,'Калькуляция (5.9)'!$G$25:$G$194,$G148))</f>
        <v>0</v>
      </c>
      <c r="AX148" s="312">
        <f ca="1">IF(AV148=0,0,(AW148-AV148)/AV148*100)</f>
        <v>0</v>
      </c>
      <c r="AY148" s="22">
        <f ca="1">IF(method_reg="Метод сравнения аналогов",SUMIFS(INDEX('Калькуляция (МСА)'!$AE$25:$BC$109,,MATCH(AY$8,'Калькуляция (МСА)'!$AE$8:$BC$8,0)),'Калькуляция (МСА)'!$F$25:$F$109,$F148,'Калькуляция (МСА)'!$G$25:$G$109,$G148),SUMIFS(INDEX('Калькуляция (5.9)'!$AJ$25:$BC$194,,MATCH(AY$8,'Калькуляция (5.9)'!$AJ$8:$BC$8,0)),'Калькуляция (5.9)'!$F$25:$F$194,$F148,'Калькуляция (5.9)'!$G$25:$G$194,$G148))</f>
        <v>0</v>
      </c>
      <c r="AZ148" s="22">
        <f ca="1">IF(method_reg="Метод сравнения аналогов",SUMIFS(INDEX('Калькуляция (МСА)'!$AE$25:$BC$109,,MATCH(AZ$8,'Калькуляция (МСА)'!$AE$8:$BC$8,0)),'Калькуляция (МСА)'!$F$25:$F$109,$F148,'Калькуляция (МСА)'!$G$25:$G$109,$G148),SUMIFS(INDEX('Калькуляция (5.9)'!$AJ$25:$BC$194,,MATCH(AZ$8,'Калькуляция (5.9)'!$AJ$8:$BC$8,0)),'Калькуляция (5.9)'!$F$25:$F$194,$F148,'Калькуляция (5.9)'!$G$25:$G$194,$G148))</f>
        <v>0</v>
      </c>
      <c r="BA148" s="312">
        <f ca="1">IF(AY148=0,0,(AZ148-AY148)/AY148*100)</f>
        <v>0</v>
      </c>
      <c r="BB148" s="22">
        <f ca="1">IF(method_reg="Метод сравнения аналогов",SUMIFS(INDEX('Калькуляция (МСА)'!$AE$25:$BC$109,,MATCH(BB$8,'Калькуляция (МСА)'!$AE$8:$BC$8,0)),'Калькуляция (МСА)'!$F$25:$F$109,$F148,'Калькуляция (МСА)'!$G$25:$G$109,$G148),SUMIFS(INDEX('Калькуляция (5.9)'!$AJ$25:$BC$194,,MATCH(BB$8,'Калькуляция (5.9)'!$AJ$8:$BC$8,0)),'Калькуляция (5.9)'!$F$25:$F$194,$F148,'Калькуляция (5.9)'!$G$25:$G$194,$G148))</f>
        <v>0</v>
      </c>
      <c r="BC148" s="22">
        <f ca="1">IF(method_reg="Метод сравнения аналогов",SUMIFS(INDEX('Калькуляция (МСА)'!$AE$25:$BC$109,,MATCH(BC$8,'Калькуляция (МСА)'!$AE$8:$BC$8,0)),'Калькуляция (МСА)'!$F$25:$F$109,$F148,'Калькуляция (МСА)'!$G$25:$G$109,$G148),SUMIFS(INDEX('Калькуляция (5.9)'!$AJ$25:$BC$194,,MATCH(BC$8,'Калькуляция (5.9)'!$AJ$8:$BC$8,0)),'Калькуляция (5.9)'!$F$25:$F$194,$F148,'Калькуляция (5.9)'!$G$25:$G$194,$G148))</f>
        <v>0</v>
      </c>
      <c r="BD148" s="312">
        <f ca="1">IF(BB148=0,0,(BC148-BB148)/BB148*100)</f>
        <v>0</v>
      </c>
      <c r="BE148" s="22">
        <f ca="1">IF(method_reg="Метод сравнения аналогов",SUMIFS(INDEX('Калькуляция (МСА)'!$AE$25:$BC$109,,MATCH(BE$8,'Калькуляция (МСА)'!$AE$8:$BC$8,0)),'Калькуляция (МСА)'!$F$25:$F$109,$F148,'Калькуляция (МСА)'!$G$25:$G$109,$G148),SUMIFS(INDEX('Калькуляция (5.9)'!$AJ$25:$BC$194,,MATCH(BE$8,'Калькуляция (5.9)'!$AJ$8:$BC$8,0)),'Калькуляция (5.9)'!$F$25:$F$194,$F148,'Калькуляция (5.9)'!$G$25:$G$194,$G148))</f>
        <v>0</v>
      </c>
      <c r="BF148" s="22">
        <f ca="1">IF(method_reg="Метод сравнения аналогов",SUMIFS(INDEX('Калькуляция (МСА)'!$AE$25:$BC$109,,MATCH(BF$8,'Калькуляция (МСА)'!$AE$8:$BC$8,0)),'Калькуляция (МСА)'!$F$25:$F$109,$F148,'Калькуляция (МСА)'!$G$25:$G$109,$G148),SUMIFS(INDEX('Калькуляция (5.9)'!$AJ$25:$BC$194,,MATCH(BF$8,'Калькуляция (5.9)'!$AJ$8:$BC$8,0)),'Калькуляция (5.9)'!$F$25:$F$194,$F148,'Калькуляция (5.9)'!$G$25:$G$194,$G148))</f>
        <v>0</v>
      </c>
      <c r="BG148" s="312">
        <f ca="1">IF(BE148=0,0,(BF148-BE148)/BE148*100)</f>
        <v>0</v>
      </c>
      <c r="BH148" s="22">
        <f>IF(BH150=0,0,(BH149*BH150+BH151*BH152*6)/BH150)</f>
        <v>0</v>
      </c>
      <c r="BI148" s="22">
        <f>IF(BI150=0,0,(BI149*BI150+BI151*BI152*6)/BI150)</f>
        <v>0</v>
      </c>
      <c r="BJ148" s="312">
        <f>IF(BH148=0,0,(BI148-BH148)/BH148*100)</f>
        <v>0</v>
      </c>
      <c r="BK148" s="22">
        <f>IF(BK150=0,0,(BK149*BK150+BK151*BK152*6)/BK150)</f>
        <v>0</v>
      </c>
      <c r="BL148" s="22">
        <f>IF(BL150=0,0,(BL149*BL150+BL151*BL152*6)/BL150)</f>
        <v>0</v>
      </c>
      <c r="BM148" s="312">
        <f>IF(BK148=0,0,(BL148-BK148)/BK148*100)</f>
        <v>0</v>
      </c>
      <c r="BN148" s="22">
        <f>IF(BN150=0,0,(BN149*BN150+BN151*BN152*6)/BN150)</f>
        <v>0</v>
      </c>
      <c r="BO148" s="22">
        <f>IF(BO150=0,0,(BO149*BO150+BO151*BO152*6)/BO150)</f>
        <v>0</v>
      </c>
      <c r="BP148" s="312">
        <f>IF(BN148=0,0,(BO148-BN148)/BN148*100)</f>
        <v>0</v>
      </c>
      <c r="BQ148" s="22">
        <f>IF(BQ150=0,0,(BQ149*BQ150+BQ151*BQ152*6)/BQ150)</f>
        <v>0</v>
      </c>
      <c r="BR148" s="22">
        <f>IF(BR150=0,0,(BR149*BR150+BR151*BR152*6)/BR150)</f>
        <v>0</v>
      </c>
      <c r="BS148" s="312">
        <f>IF(BQ148=0,0,(BR148-BQ148)/BQ148*100)</f>
        <v>0</v>
      </c>
      <c r="BT148" s="22">
        <f>IF(BT150=0,0,(BT149*BT150+BT151*BT152*6)/BT150)</f>
        <v>0</v>
      </c>
      <c r="BU148" s="22">
        <f>IF(BU150=0,0,(BU149*BU150+BU151*BU152*6)/BU150)</f>
        <v>0</v>
      </c>
      <c r="BV148" s="312">
        <f>IF(BT148=0,0,(BU148-BT148)/BT148*100)</f>
        <v>0</v>
      </c>
      <c r="BW148" s="22">
        <f>IF(BW150=0,0,(BW149*BW150+BW151*BW152*6)/BW150)</f>
        <v>0</v>
      </c>
      <c r="BX148" s="22">
        <f>IF(BX150=0,0,(BX149*BX150+BX151*BX152*6)/BX150)</f>
        <v>0</v>
      </c>
      <c r="BY148" s="312">
        <f>IF(BW148=0,0,(BX148-BW148)/BW148*100)</f>
        <v>0</v>
      </c>
      <c r="BZ148" s="22">
        <f>IF(BZ150=0,0,(BZ149*BZ150+BZ151*BZ152*6)/BZ150)</f>
        <v>0</v>
      </c>
      <c r="CA148" s="22">
        <f>IF(CA150=0,0,(CA149*CA150+CA151*CA152*6)/CA150)</f>
        <v>0</v>
      </c>
      <c r="CB148" s="312">
        <f>IF(BZ148=0,0,(CA148-BZ148)/BZ148*100)</f>
        <v>0</v>
      </c>
      <c r="CC148" s="22">
        <f>IF(CC150=0,0,(CC149*CC150+CC151*CC152*6)/CC150)</f>
        <v>0</v>
      </c>
      <c r="CD148" s="22">
        <f>IF(CD150=0,0,(CD149*CD150+CD151*CD152*6)/CD150)</f>
        <v>0</v>
      </c>
      <c r="CE148" s="312">
        <f>IF(CC148=0,0,(CD148-CC148)/CC148*100)</f>
        <v>0</v>
      </c>
      <c r="CF148" s="22">
        <f>IF(CF150=0,0,(CF149*CF150+CF151*CF152*6)/CF150)</f>
        <v>0</v>
      </c>
      <c r="CG148" s="22">
        <f>IF(CG150=0,0,(CG149*CG150+CG151*CG152*6)/CG150)</f>
        <v>0</v>
      </c>
      <c r="CH148" s="312">
        <f>IF(CF148=0,0,(CG148-CF148)/CF148*100)</f>
        <v>0</v>
      </c>
      <c r="CI148" s="22">
        <f>IF(CI150=0,0,(CI149*CI150+CI151*CI152*6)/CI150)</f>
        <v>0</v>
      </c>
      <c r="CJ148" s="22">
        <f>IF(CJ150=0,0,(CJ149*CJ150+CJ151*CJ152*6)/CJ150)</f>
        <v>0</v>
      </c>
      <c r="CK148" s="312">
        <f>IF(CI148=0,0,(CJ148-CI148)/CI148*100)</f>
        <v>0</v>
      </c>
      <c r="CL148" s="22">
        <f>IF(CL150=0,0,(CL149*CL150+CL151*CL152*6)/CL150)</f>
        <v>0</v>
      </c>
      <c r="CM148" s="22">
        <f>IF(CM150=0,0,(CM149*CM150+CM151*CM152*6)/CM150)</f>
        <v>0</v>
      </c>
      <c r="CN148" s="312">
        <f>IF(CL148=0,0,(CM148-CL148)/CL148*100)</f>
        <v>0</v>
      </c>
      <c r="CO148" s="22">
        <f>IF(CO150=0,0,(CO149*CO150+CO151*CO152*6)/CO150)</f>
        <v>0</v>
      </c>
      <c r="CP148" s="22">
        <f>IF(CP150=0,0,(CP149*CP150+CP151*CP152*6)/CP150)</f>
        <v>0</v>
      </c>
      <c r="CQ148" s="312">
        <f>IF(CO148=0,0,(CP148-CO148)/CO148*100)</f>
        <v>0</v>
      </c>
      <c r="CR148" s="22">
        <f>IF(CR150=0,0,(CR149*CR150+CR151*CR152*6)/CR150)</f>
        <v>0</v>
      </c>
      <c r="CS148" s="22">
        <f>IF(CS150=0,0,(CS149*CS150+CS151*CS152*6)/CS150)</f>
        <v>0</v>
      </c>
      <c r="CT148" s="312">
        <f>IF(CR148=0,0,(CS148-CR148)/CR148*100)</f>
        <v>0</v>
      </c>
      <c r="CU148" s="22">
        <f>IF(CU150=0,0,(CU149*CU150+CU151*CU152*6)/CU150)</f>
        <v>0</v>
      </c>
      <c r="CV148" s="22">
        <f>IF(CV150=0,0,(CV149*CV150+CV151*CV152*6)/CV150)</f>
        <v>0</v>
      </c>
      <c r="CW148" s="312">
        <f>IF(CU148=0,0,(CV148-CU148)/CU148*100)</f>
        <v>0</v>
      </c>
      <c r="CX148" s="22">
        <f>IF(CX150=0,0,(CX149*CX150+CX151*CX152*6)/CX150)</f>
        <v>0</v>
      </c>
      <c r="CY148" s="22">
        <f>IF(CY150=0,0,(CY149*CY150+CY151*CY152*6)/CY150)</f>
        <v>0</v>
      </c>
      <c r="CZ148" s="312">
        <f>IF(CX148=0,0,(CY148-CX148)/CX148*100)</f>
        <v>0</v>
      </c>
      <c r="DA148" s="22">
        <f>IF(DA150=0,0,(DA149*DA150+DA151*DA152*6)/DA150)</f>
        <v>0</v>
      </c>
      <c r="DB148" s="22">
        <f>IF(DB150=0,0,(DB149*DB150+DB151*DB152*6)/DB150)</f>
        <v>0</v>
      </c>
      <c r="DC148" s="312">
        <f>IF(DA148=0,0,(DB148-DA148)/DA148*100)</f>
        <v>0</v>
      </c>
      <c r="DD148" s="22">
        <f>IF(DD150=0,0,(DD149*DD150+DD151*DD152*6)/DD150)</f>
        <v>0</v>
      </c>
      <c r="DE148" s="22">
        <f>IF(DE150=0,0,(DE149*DE150+DE151*DE152*6)/DE150)</f>
        <v>0</v>
      </c>
      <c r="DF148" s="312">
        <f>IF(DD148=0,0,(DE148-DD148)/DD148*100)</f>
        <v>0</v>
      </c>
      <c r="DG148" s="22">
        <f>IF(DG150=0,0,(DG149*DG150+DG151*DG152*6)/DG150)</f>
        <v>0</v>
      </c>
      <c r="DH148" s="22">
        <f>IF(DH150=0,0,(DH149*DH150+DH151*DH152*6)/DH150)</f>
        <v>0</v>
      </c>
      <c r="DI148" s="312">
        <f>IF(DG148=0,0,(DH148-DG148)/DG148*100)</f>
        <v>0</v>
      </c>
      <c r="DJ148" s="22">
        <f>IF(DJ150=0,0,(DJ149*DJ150+DJ151*DJ152*6)/DJ150)</f>
        <v>0</v>
      </c>
      <c r="DK148" s="22">
        <f>IF(DK150=0,0,(DK149*DK150+DK151*DK152*6)/DK150)</f>
        <v>0</v>
      </c>
      <c r="DL148" s="312">
        <f>IF(DJ148=0,0,(DK148-DJ148)/DJ148*100)</f>
        <v>0</v>
      </c>
      <c r="DM148" s="22">
        <f>IF(DM150=0,0,(DM149*DM150+DM151*DM152*6)/DM150)</f>
        <v>0</v>
      </c>
      <c r="DN148" s="22">
        <f>IF(DN150=0,0,(DN149*DN150+DN151*DN152*6)/DN150)</f>
        <v>0</v>
      </c>
      <c r="DO148" s="312">
        <f>IF(DM148=0,0,(DN148-DM148)/DM148*100)</f>
        <v>0</v>
      </c>
      <c r="DP148" s="22">
        <f>IF(DP150=0,0,(DP149*DP150+DP151*DP152*6)/DP150)</f>
        <v>0</v>
      </c>
      <c r="DQ148" s="22">
        <f>IF(DQ150=0,0,(DQ149*DQ150+DQ151*DQ152*6)/DQ150)</f>
        <v>0</v>
      </c>
      <c r="DR148" s="312">
        <f>IF(DP148=0,0,(DQ148-DP148)/DP148*100)</f>
        <v>0</v>
      </c>
      <c r="DS148" s="22">
        <f>IF(DS150=0,0,(DS149*DS150+DS151*DS152*6)/DS150)</f>
        <v>0</v>
      </c>
      <c r="DT148" s="22">
        <f>IF(DT150=0,0,(DT149*DT150+DT151*DT152*6)/DT150)</f>
        <v>0</v>
      </c>
      <c r="DU148" s="312">
        <f>IF(DS148=0,0,(DT148-DS148)/DS148*100)</f>
        <v>0</v>
      </c>
      <c r="DV148" s="22">
        <f>IF(DV150=0,0,(DV149*DV150+DV151*DV152*6)/DV150)</f>
        <v>0</v>
      </c>
      <c r="DW148" s="22">
        <f>IF(DW150=0,0,(DW149*DW150+DW151*DW152*6)/DW150)</f>
        <v>0</v>
      </c>
      <c r="DX148" s="312">
        <f>IF(DV148=0,0,(DW148-DV148)/DV148*100)</f>
        <v>0</v>
      </c>
      <c r="DY148" s="22">
        <f>IF(DY150=0,0,(DY149*DY150+DY151*DY152*6)/DY150)</f>
        <v>0</v>
      </c>
      <c r="DZ148" s="22">
        <f>IF(DZ150=0,0,(DZ149*DZ150+DZ151*DZ152*6)/DZ150)</f>
        <v>0</v>
      </c>
      <c r="EA148" s="312">
        <f>IF(DY148=0,0,(DZ148-DY148)/DY148*100)</f>
        <v>0</v>
      </c>
      <c r="EB148" s="22">
        <f>IF(EB150=0,0,(EB149*EB150+EB151*EB152*6)/EB150)</f>
        <v>0</v>
      </c>
      <c r="EC148" s="22">
        <f>IF(EC150=0,0,(EC149*EC150+EC151*EC152*6)/EC150)</f>
        <v>0</v>
      </c>
      <c r="ED148" s="312">
        <f>IF(EB148=0,0,(EC148-EB148)/EB148*100)</f>
        <v>0</v>
      </c>
      <c r="EE148" s="22">
        <f>IF(EE150=0,0,(EE149*EE150+EE151*EE152*6)/EE150)</f>
        <v>0</v>
      </c>
      <c r="EF148" s="22">
        <f>IF(EF150=0,0,(EF149*EF150+EF151*EF152*6)/EF150)</f>
        <v>0</v>
      </c>
      <c r="EG148" s="312">
        <f>IF(EE148=0,0,(EF148-EE148)/EE148*100)</f>
        <v>0</v>
      </c>
      <c r="EH148" s="22">
        <f>IF(EH150=0,0,(EH149*EH150+EH151*EH152*6)/EH150)</f>
        <v>0</v>
      </c>
      <c r="EI148" s="22">
        <f>IF(EI150=0,0,(EI149*EI150+EI151*EI152*6)/EI150)</f>
        <v>0</v>
      </c>
      <c r="EJ148" s="312">
        <f>IF(EH148=0,0,(EI148-EH148)/EH148*100)</f>
        <v>0</v>
      </c>
      <c r="EK148" s="22">
        <f>IF(EK150=0,0,(EK149*EK150+EK151*EK152*6)/EK150)</f>
        <v>0</v>
      </c>
      <c r="EL148" s="22">
        <f>IF(EL150=0,0,(EL149*EL150+EL151*EL152*6)/EL150)</f>
        <v>0</v>
      </c>
      <c r="EM148" s="312">
        <f>IF(EK148=0,0,(EL148-EK148)/EK148*100)</f>
        <v>0</v>
      </c>
      <c r="EN148" s="22">
        <f>IF(EN150=0,0,(EN149*EN150+EN151*EN152*6)/EN150)</f>
        <v>0</v>
      </c>
      <c r="EO148" s="22">
        <f>IF(EO150=0,0,(EO149*EO150+EO151*EO152*6)/EO150)</f>
        <v>0</v>
      </c>
      <c r="EP148" s="312">
        <f>IF(EN148=0,0,(EO148-EN148)/EN148*100)</f>
        <v>0</v>
      </c>
      <c r="EQ148" s="22">
        <f>IF(EQ150=0,0,(EQ149*EQ150+EQ151*EQ152*6)/EQ150)</f>
        <v>0</v>
      </c>
      <c r="ER148" s="22">
        <f>IF(ER150=0,0,(ER149*ER150+ER151*ER152*6)/ER150)</f>
        <v>0</v>
      </c>
      <c r="ES148" s="312">
        <f>IF(EQ148=0,0,(ER148-EQ148)/EQ148*100)</f>
        <v>0</v>
      </c>
      <c r="ET148" s="22">
        <f>IF(ET150=0,0,(ET149*ET150+ET151*ET152*6)/ET150)</f>
        <v>0</v>
      </c>
      <c r="EU148" s="22">
        <f>IF(EU150=0,0,(EU149*EU150+EU151*EU152*6)/EU150)</f>
        <v>0</v>
      </c>
      <c r="EV148" s="312">
        <f>IF(ET148=0,0,(EU148-ET148)/ET148*100)</f>
        <v>0</v>
      </c>
      <c r="EW148" s="22">
        <f>IF(EW150=0,0,(EW149*EW150+EW151*EW152*6)/EW150)</f>
        <v>0</v>
      </c>
      <c r="EX148" s="22">
        <f>IF(EX150=0,0,(EX149*EX150+EX151*EX152*6)/EX150)</f>
        <v>0</v>
      </c>
      <c r="EY148" s="312">
        <f>IF(EW148=0,0,(EX148-EW148)/EW148*100)</f>
        <v>0</v>
      </c>
      <c r="EZ148" s="22">
        <f>IF(EZ150=0,0,(EZ149*EZ150+EZ151*EZ152*6)/EZ150)</f>
        <v>0</v>
      </c>
      <c r="FA148" s="22">
        <f>IF(FA150=0,0,(FA149*FA150+FA151*FA152*6)/FA150)</f>
        <v>0</v>
      </c>
      <c r="FB148" s="312">
        <f>IF(EZ148=0,0,(FA148-EZ148)/EZ148*100)</f>
        <v>0</v>
      </c>
      <c r="FC148" s="22">
        <f>IF(FC150=0,0,(FC149*FC150+FC151*FC152*6)/FC150)</f>
        <v>0</v>
      </c>
      <c r="FD148" s="22">
        <f>IF(FD150=0,0,(FD149*FD150+FD151*FD152*6)/FD150)</f>
        <v>0</v>
      </c>
      <c r="FE148" s="312">
        <f>IF(FC148=0,0,(FD148-FC148)/FC148*100)</f>
        <v>0</v>
      </c>
      <c r="FF148" s="22">
        <f>IF(FF150=0,0,(FF149*FF150+FF151*FF152*6)/FF150)</f>
        <v>0</v>
      </c>
      <c r="FG148" s="22">
        <f>IF(FG150=0,0,(FG149*FG150+FG151*FG152*6)/FG150)</f>
        <v>0</v>
      </c>
      <c r="FH148" s="312">
        <f>IF(FF148=0,0,(FG148-FF148)/FF148*100)</f>
        <v>0</v>
      </c>
      <c r="FI148" s="22">
        <f>IF(FI150=0,0,(FI149*FI150+FI151*FI152*6)/FI150)</f>
        <v>0</v>
      </c>
      <c r="FJ148" s="22">
        <f>IF(FJ150=0,0,(FJ149*FJ150+FJ151*FJ152*6)/FJ150)</f>
        <v>0</v>
      </c>
      <c r="FK148" s="312">
        <f>IF(FI148=0,0,(FJ148-FI148)/FI148*100)</f>
        <v>0</v>
      </c>
      <c r="FL148" s="22">
        <f>IF(FL150=0,0,(FL149*FL150+FL151*FL152*6)/FL150)</f>
        <v>0</v>
      </c>
      <c r="FM148" s="22">
        <f>IF(FM150=0,0,(FM149*FM150+FM151*FM152*6)/FM150)</f>
        <v>0</v>
      </c>
      <c r="FN148" s="312">
        <f>IF(FL148=0,0,(FM148-FL148)/FL148*100)</f>
        <v>0</v>
      </c>
      <c r="FO148" s="22">
        <f>IF(FO150=0,0,(FO149*FO150+FO151*FO152*6)/FO150)</f>
        <v>0</v>
      </c>
      <c r="FP148" s="22">
        <f>IF(FP150=0,0,(FP149*FP150+FP151*FP152*6)/FP150)</f>
        <v>0</v>
      </c>
      <c r="FQ148" s="312">
        <f>IF(FO148=0,0,(FP148-FO148)/FO148*100)</f>
        <v>0</v>
      </c>
      <c r="FR148" s="22">
        <f>IF(FR150=0,0,(FR149*FR150+FR151*FR152*6)/FR150)</f>
        <v>0</v>
      </c>
      <c r="FS148" s="22">
        <f>IF(FS150=0,0,(FS149*FS150+FS151*FS152*6)/FS150)</f>
        <v>0</v>
      </c>
      <c r="FT148" s="312">
        <f>IF(FR148=0,0,(FS148-FR148)/FR148*100)</f>
        <v>0</v>
      </c>
      <c r="FU148" s="22">
        <f>IF(FU150=0,0,(FU149*FU150+FU151*FU152*6)/FU150)</f>
        <v>0</v>
      </c>
      <c r="FV148" s="22">
        <f>IF(FV150=0,0,(FV149*FV150+FV151*FV152*6)/FV150)</f>
        <v>0</v>
      </c>
      <c r="FW148" s="312">
        <f>IF(FU148=0,0,(FV148-FU148)/FU148*100)</f>
        <v>0</v>
      </c>
      <c r="FX148" s="425"/>
      <c r="FY148" s="425"/>
      <c r="FZ148" s="981" t="s">
        <v>2218</v>
      </c>
      <c r="GA148" s="981"/>
      <c r="GB148" s="981"/>
      <c r="GC148" s="981"/>
      <c r="GD148" s="981"/>
    </row>
    <row r="149" spans="1:186" s="1229" customFormat="1" ht="15" hidden="1" customHeight="1">
      <c r="A149" s="1153"/>
      <c r="B149" s="813" t="b" cm="1">
        <f t="array" ref="B149">B148</f>
        <v>0</v>
      </c>
      <c r="C149" s="1118" t="s">
        <v>2199</v>
      </c>
      <c r="D149" s="1087" t="s">
        <v>2200</v>
      </c>
      <c r="E149" s="676">
        <v>15.8</v>
      </c>
      <c r="F149" s="779" t="str" cm="1">
        <f t="array" aca="1" ref="F149" ca="1">OFFSET(G149,-1,-1)</f>
        <v>2</v>
      </c>
      <c r="G149" s="620" t="s">
        <v>1823</v>
      </c>
      <c r="H149" s="163" t="s">
        <v>2201</v>
      </c>
      <c r="I149" s="163" t="s">
        <v>2155</v>
      </c>
      <c r="J149" s="1108"/>
      <c r="K149" s="1108" t="str" cm="1">
        <f t="array" aca="1" ref="K149" ca="1">OFFSET(J149,-1,1)</f>
        <v>ТЭ.42.26322895.0004</v>
      </c>
      <c r="L149" s="1108"/>
      <c r="M149" s="1108" t="s">
        <v>1791</v>
      </c>
      <c r="N149" s="1108" t="s">
        <v>2151</v>
      </c>
      <c r="O149" s="1109" t="s">
        <v>2152</v>
      </c>
      <c r="P149" s="1108" t="s">
        <v>2202</v>
      </c>
      <c r="Q149" s="1108"/>
      <c r="R149" s="784"/>
      <c r="S149" s="425"/>
      <c r="T149" s="687" t="b" cm="1">
        <f t="array" aca="1" ref="T149" ca="1">T148</f>
        <v>0</v>
      </c>
      <c r="U149" s="1153"/>
      <c r="V149" s="1153"/>
      <c r="W149" s="1153"/>
      <c r="X149" s="1726"/>
      <c r="Y149" s="1153"/>
      <c r="Z149" s="1726"/>
      <c r="AA149" s="425"/>
      <c r="AB149" s="223" t="s">
        <v>2203</v>
      </c>
      <c r="AC149" s="123" t="s">
        <v>929</v>
      </c>
      <c r="AD149" s="22">
        <f ca="1">IF(method_reg="Метод экономически обоснованных расходов",SUMIFS('Калькуляция (4.6)'!AJ$25:AJ$229,'Калькуляция (4.6)'!$F$25:$F$229,$F149,'Калькуляция (4.6)'!$G$25:$G$229,$G149),IF(method_reg="Метод сравнения аналогов",SUMIFS(INDEX('Калькуляция (МСА)'!$AE$25:$BC$109,,MATCH(AD$8,'Калькуляция (МСА)'!$AE$8:$BC$8,0)),'Калькуляция (МСА)'!$F$25:$F$109,$F149,'Калькуляция (МСА)'!$G$25:$G$109,$G149),SUMIFS(INDEX('Калькуляция (5.9)'!$AJ$25:$BC$194,,MATCH(AD$8,'Калькуляция (5.9)'!$AJ$8:$BC$8,0)),'Калькуляция (5.9)'!$F$25:$F$194,$F149,'Калькуляция (5.9)'!$G$25:$G$194,$G149)))</f>
        <v>0</v>
      </c>
      <c r="AE149" s="22">
        <f ca="1">IF(method_reg="Метод экономически обоснованных расходов",SUMIFS('Калькуляция (4.6)'!AK$25:AK$229,'Калькуляция (4.6)'!$F$25:$F$229,$F149,'Калькуляция (4.6)'!$G$25:$G$229,$G149),IF(method_reg="Метод сравнения аналогов",SUMIFS(INDEX('Калькуляция (МСА)'!$AE$25:$BC$109,,MATCH(AE$8,'Калькуляция (МСА)'!$AE$8:$BC$8,0)),'Калькуляция (МСА)'!$F$25:$F$109,$F149,'Калькуляция (МСА)'!$G$25:$G$109,$G149),SUMIFS(INDEX('Калькуляция (5.9)'!$AJ$25:$BC$194,,MATCH(AE$8,'Калькуляция (5.9)'!$AJ$8:$BC$8,0)),'Калькуляция (5.9)'!$F$25:$F$194,$F149,'Калькуляция (5.9)'!$G$25:$G$194,$G149)))</f>
        <v>1576.8094101973984</v>
      </c>
      <c r="AF149" s="312">
        <f ca="1">IF(AD149=0,0,(AE149-AD149)/AD149*100)</f>
        <v>0</v>
      </c>
      <c r="AG149" s="313">
        <f ca="1">IF(method_reg="Метод сравнения аналогов",SUMIFS(INDEX('Калькуляция (МСА)'!$AE$25:$BC$109,,MATCH(AG$8,'Калькуляция (МСА)'!$AE$8:$BC$8,0)),'Калькуляция (МСА)'!$F$25:$F$109,$F149,'Калькуляция (МСА)'!$G$25:$G$109,$G149),SUMIFS(INDEX('Калькуляция (5.9)'!$AJ$25:$BC$194,,MATCH(AG$8,'Калькуляция (5.9)'!$AJ$8:$BC$8,0)),'Калькуляция (5.9)'!$F$25:$F$194,$F149,'Калькуляция (5.9)'!$G$25:$G$194,$G149))</f>
        <v>0</v>
      </c>
      <c r="AH149" s="313">
        <f ca="1">IF(method_reg="Метод сравнения аналогов",SUMIFS(INDEX('Калькуляция (МСА)'!$AE$25:$BC$109,,MATCH(AH$8,'Калькуляция (МСА)'!$AE$8:$BC$8,0)),'Калькуляция (МСА)'!$F$25:$F$109,$F149,'Калькуляция (МСА)'!$G$25:$G$109,$G149),SUMIFS(INDEX('Калькуляция (5.9)'!$AJ$25:$BC$194,,MATCH(AH$8,'Калькуляция (5.9)'!$AJ$8:$BC$8,0)),'Калькуляция (5.9)'!$F$25:$F$194,$F149,'Калькуляция (5.9)'!$G$25:$G$194,$G149))</f>
        <v>0</v>
      </c>
      <c r="AI149" s="312">
        <f ca="1">IF(AG149=0,0,(AH149-AG149)/AG149*100)</f>
        <v>0</v>
      </c>
      <c r="AJ149" s="313">
        <f ca="1">IF(method_reg="Метод сравнения аналогов",SUMIFS(INDEX('Калькуляция (МСА)'!$AE$25:$BC$109,,MATCH(AJ$8,'Калькуляция (МСА)'!$AE$8:$BC$8,0)),'Калькуляция (МСА)'!$F$25:$F$109,$F149,'Калькуляция (МСА)'!$G$25:$G$109,$G149),SUMIFS(INDEX('Калькуляция (5.9)'!$AJ$25:$BC$194,,MATCH(AJ$8,'Калькуляция (5.9)'!$AJ$8:$BC$8,0)),'Калькуляция (5.9)'!$F$25:$F$194,$F149,'Калькуляция (5.9)'!$G$25:$G$194,$G149))</f>
        <v>0</v>
      </c>
      <c r="AK149" s="313">
        <f ca="1">IF(method_reg="Метод сравнения аналогов",SUMIFS(INDEX('Калькуляция (МСА)'!$AE$25:$BC$109,,MATCH(AK$8,'Калькуляция (МСА)'!$AE$8:$BC$8,0)),'Калькуляция (МСА)'!$F$25:$F$109,$F149,'Калькуляция (МСА)'!$G$25:$G$109,$G149),SUMIFS(INDEX('Калькуляция (5.9)'!$AJ$25:$BC$194,,MATCH(AK$8,'Калькуляция (5.9)'!$AJ$8:$BC$8,0)),'Калькуляция (5.9)'!$F$25:$F$194,$F149,'Калькуляция (5.9)'!$G$25:$G$194,$G149))</f>
        <v>0</v>
      </c>
      <c r="AL149" s="312">
        <f ca="1">IF(AJ149=0,0,(AK149-AJ149)/AJ149*100)</f>
        <v>0</v>
      </c>
      <c r="AM149" s="313">
        <f ca="1">IF(method_reg="Метод сравнения аналогов",SUMIFS(INDEX('Калькуляция (МСА)'!$AE$25:$BC$109,,MATCH(AM$8,'Калькуляция (МСА)'!$AE$8:$BC$8,0)),'Калькуляция (МСА)'!$F$25:$F$109,$F149,'Калькуляция (МСА)'!$G$25:$G$109,$G149),SUMIFS(INDEX('Калькуляция (5.9)'!$AJ$25:$BC$194,,MATCH(AM$8,'Калькуляция (5.9)'!$AJ$8:$BC$8,0)),'Калькуляция (5.9)'!$F$25:$F$194,$F149,'Калькуляция (5.9)'!$G$25:$G$194,$G149))</f>
        <v>0</v>
      </c>
      <c r="AN149" s="313">
        <f ca="1">IF(method_reg="Метод сравнения аналогов",SUMIFS(INDEX('Калькуляция (МСА)'!$AE$25:$BC$109,,MATCH(AN$8,'Калькуляция (МСА)'!$AE$8:$BC$8,0)),'Калькуляция (МСА)'!$F$25:$F$109,$F149,'Калькуляция (МСА)'!$G$25:$G$109,$G149),SUMIFS(INDEX('Калькуляция (5.9)'!$AJ$25:$BC$194,,MATCH(AN$8,'Калькуляция (5.9)'!$AJ$8:$BC$8,0)),'Калькуляция (5.9)'!$F$25:$F$194,$F149,'Калькуляция (5.9)'!$G$25:$G$194,$G149))</f>
        <v>0</v>
      </c>
      <c r="AO149" s="312">
        <f ca="1">IF(AM149=0,0,(AN149-AM149)/AM149*100)</f>
        <v>0</v>
      </c>
      <c r="AP149" s="313">
        <f ca="1">IF(method_reg="Метод сравнения аналогов",SUMIFS(INDEX('Калькуляция (МСА)'!$AE$25:$BC$109,,MATCH(AP$8,'Калькуляция (МСА)'!$AE$8:$BC$8,0)),'Калькуляция (МСА)'!$F$25:$F$109,$F149,'Калькуляция (МСА)'!$G$25:$G$109,$G149),SUMIFS(INDEX('Калькуляция (5.9)'!$AJ$25:$BC$194,,MATCH(AP$8,'Калькуляция (5.9)'!$AJ$8:$BC$8,0)),'Калькуляция (5.9)'!$F$25:$F$194,$F149,'Калькуляция (5.9)'!$G$25:$G$194,$G149))</f>
        <v>0</v>
      </c>
      <c r="AQ149" s="313">
        <f ca="1">IF(method_reg="Метод сравнения аналогов",SUMIFS(INDEX('Калькуляция (МСА)'!$AE$25:$BC$109,,MATCH(AQ$8,'Калькуляция (МСА)'!$AE$8:$BC$8,0)),'Калькуляция (МСА)'!$F$25:$F$109,$F149,'Калькуляция (МСА)'!$G$25:$G$109,$G149),SUMIFS(INDEX('Калькуляция (5.9)'!$AJ$25:$BC$194,,MATCH(AQ$8,'Калькуляция (5.9)'!$AJ$8:$BC$8,0)),'Калькуляция (5.9)'!$F$25:$F$194,$F149,'Калькуляция (5.9)'!$G$25:$G$194,$G149))</f>
        <v>0</v>
      </c>
      <c r="AR149" s="312">
        <f ca="1">IF(AP149=0,0,(AQ149-AP149)/AP149*100)</f>
        <v>0</v>
      </c>
      <c r="AS149" s="22">
        <f ca="1">IF(method_reg="Метод сравнения аналогов",SUMIFS(INDEX('Калькуляция (МСА)'!$AE$25:$BC$109,,MATCH(AS$8,'Калькуляция (МСА)'!$AE$8:$BC$8,0)),'Калькуляция (МСА)'!$F$25:$F$109,$F149,'Калькуляция (МСА)'!$G$25:$G$109,$G149),SUMIFS(INDEX('Калькуляция (5.9)'!$AJ$25:$BC$194,,MATCH(AS$8,'Калькуляция (5.9)'!$AJ$8:$BC$8,0)),'Калькуляция (5.9)'!$F$25:$F$194,$F149,'Калькуляция (5.9)'!$G$25:$G$194,$G149))</f>
        <v>0</v>
      </c>
      <c r="AT149" s="22">
        <f ca="1">IF(method_reg="Метод сравнения аналогов",SUMIFS(INDEX('Калькуляция (МСА)'!$AE$25:$BC$109,,MATCH(AT$8,'Калькуляция (МСА)'!$AE$8:$BC$8,0)),'Калькуляция (МСА)'!$F$25:$F$109,$F149,'Калькуляция (МСА)'!$G$25:$G$109,$G149),SUMIFS(INDEX('Калькуляция (5.9)'!$AJ$25:$BC$194,,MATCH(AT$8,'Калькуляция (5.9)'!$AJ$8:$BC$8,0)),'Калькуляция (5.9)'!$F$25:$F$194,$F149,'Калькуляция (5.9)'!$G$25:$G$194,$G149))</f>
        <v>0</v>
      </c>
      <c r="AU149" s="312">
        <f ca="1">IF(AS149=0,0,(AT149-AS149)/AS149*100)</f>
        <v>0</v>
      </c>
      <c r="AV149" s="22">
        <f ca="1">IF(method_reg="Метод сравнения аналогов",SUMIFS(INDEX('Калькуляция (МСА)'!$AE$25:$BC$109,,MATCH(AV$8,'Калькуляция (МСА)'!$AE$8:$BC$8,0)),'Калькуляция (МСА)'!$F$25:$F$109,$F149,'Калькуляция (МСА)'!$G$25:$G$109,$G149),SUMIFS(INDEX('Калькуляция (5.9)'!$AJ$25:$BC$194,,MATCH(AV$8,'Калькуляция (5.9)'!$AJ$8:$BC$8,0)),'Калькуляция (5.9)'!$F$25:$F$194,$F149,'Калькуляция (5.9)'!$G$25:$G$194,$G149))</f>
        <v>0</v>
      </c>
      <c r="AW149" s="22">
        <f ca="1">IF(method_reg="Метод сравнения аналогов",SUMIFS(INDEX('Калькуляция (МСА)'!$AE$25:$BC$109,,MATCH(AW$8,'Калькуляция (МСА)'!$AE$8:$BC$8,0)),'Калькуляция (МСА)'!$F$25:$F$109,$F149,'Калькуляция (МСА)'!$G$25:$G$109,$G149),SUMIFS(INDEX('Калькуляция (5.9)'!$AJ$25:$BC$194,,MATCH(AW$8,'Калькуляция (5.9)'!$AJ$8:$BC$8,0)),'Калькуляция (5.9)'!$F$25:$F$194,$F149,'Калькуляция (5.9)'!$G$25:$G$194,$G149))</f>
        <v>0</v>
      </c>
      <c r="AX149" s="312">
        <f ca="1">IF(AV149=0,0,(AW149-AV149)/AV149*100)</f>
        <v>0</v>
      </c>
      <c r="AY149" s="22">
        <f ca="1">IF(method_reg="Метод сравнения аналогов",SUMIFS(INDEX('Калькуляция (МСА)'!$AE$25:$BC$109,,MATCH(AY$8,'Калькуляция (МСА)'!$AE$8:$BC$8,0)),'Калькуляция (МСА)'!$F$25:$F$109,$F149,'Калькуляция (МСА)'!$G$25:$G$109,$G149),SUMIFS(INDEX('Калькуляция (5.9)'!$AJ$25:$BC$194,,MATCH(AY$8,'Калькуляция (5.9)'!$AJ$8:$BC$8,0)),'Калькуляция (5.9)'!$F$25:$F$194,$F149,'Калькуляция (5.9)'!$G$25:$G$194,$G149))</f>
        <v>0</v>
      </c>
      <c r="AZ149" s="22">
        <f ca="1">IF(method_reg="Метод сравнения аналогов",SUMIFS(INDEX('Калькуляция (МСА)'!$AE$25:$BC$109,,MATCH(AZ$8,'Калькуляция (МСА)'!$AE$8:$BC$8,0)),'Калькуляция (МСА)'!$F$25:$F$109,$F149,'Калькуляция (МСА)'!$G$25:$G$109,$G149),SUMIFS(INDEX('Калькуляция (5.9)'!$AJ$25:$BC$194,,MATCH(AZ$8,'Калькуляция (5.9)'!$AJ$8:$BC$8,0)),'Калькуляция (5.9)'!$F$25:$F$194,$F149,'Калькуляция (5.9)'!$G$25:$G$194,$G149))</f>
        <v>0</v>
      </c>
      <c r="BA149" s="312">
        <f ca="1">IF(AY149=0,0,(AZ149-AY149)/AY149*100)</f>
        <v>0</v>
      </c>
      <c r="BB149" s="22">
        <f ca="1">IF(method_reg="Метод сравнения аналогов",SUMIFS(INDEX('Калькуляция (МСА)'!$AE$25:$BC$109,,MATCH(BB$8,'Калькуляция (МСА)'!$AE$8:$BC$8,0)),'Калькуляция (МСА)'!$F$25:$F$109,$F149,'Калькуляция (МСА)'!$G$25:$G$109,$G149),SUMIFS(INDEX('Калькуляция (5.9)'!$AJ$25:$BC$194,,MATCH(BB$8,'Калькуляция (5.9)'!$AJ$8:$BC$8,0)),'Калькуляция (5.9)'!$F$25:$F$194,$F149,'Калькуляция (5.9)'!$G$25:$G$194,$G149))</f>
        <v>0</v>
      </c>
      <c r="BC149" s="22">
        <f ca="1">IF(method_reg="Метод сравнения аналогов",SUMIFS(INDEX('Калькуляция (МСА)'!$AE$25:$BC$109,,MATCH(BC$8,'Калькуляция (МСА)'!$AE$8:$BC$8,0)),'Калькуляция (МСА)'!$F$25:$F$109,$F149,'Калькуляция (МСА)'!$G$25:$G$109,$G149),SUMIFS(INDEX('Калькуляция (5.9)'!$AJ$25:$BC$194,,MATCH(BC$8,'Калькуляция (5.9)'!$AJ$8:$BC$8,0)),'Калькуляция (5.9)'!$F$25:$F$194,$F149,'Калькуляция (5.9)'!$G$25:$G$194,$G149))</f>
        <v>0</v>
      </c>
      <c r="BD149" s="312">
        <f ca="1">IF(BB149=0,0,(BC149-BB149)/BB149*100)</f>
        <v>0</v>
      </c>
      <c r="BE149" s="22">
        <f ca="1">IF(method_reg="Метод сравнения аналогов",SUMIFS(INDEX('Калькуляция (МСА)'!$AE$25:$BC$109,,MATCH(BE$8,'Калькуляция (МСА)'!$AE$8:$BC$8,0)),'Калькуляция (МСА)'!$F$25:$F$109,$F149,'Калькуляция (МСА)'!$G$25:$G$109,$G149),SUMIFS(INDEX('Калькуляция (5.9)'!$AJ$25:$BC$194,,MATCH(BE$8,'Калькуляция (5.9)'!$AJ$8:$BC$8,0)),'Калькуляция (5.9)'!$F$25:$F$194,$F149,'Калькуляция (5.9)'!$G$25:$G$194,$G149))</f>
        <v>0</v>
      </c>
      <c r="BF149" s="22">
        <f ca="1">IF(method_reg="Метод сравнения аналогов",SUMIFS(INDEX('Калькуляция (МСА)'!$AE$25:$BC$109,,MATCH(BF$8,'Калькуляция (МСА)'!$AE$8:$BC$8,0)),'Калькуляция (МСА)'!$F$25:$F$109,$F149,'Калькуляция (МСА)'!$G$25:$G$109,$G149),SUMIFS(INDEX('Калькуляция (5.9)'!$AJ$25:$BC$194,,MATCH(BF$8,'Калькуляция (5.9)'!$AJ$8:$BC$8,0)),'Калькуляция (5.9)'!$F$25:$F$194,$F149,'Калькуляция (5.9)'!$G$25:$G$194,$G149))</f>
        <v>0</v>
      </c>
      <c r="BG149" s="312">
        <f ca="1">IF(BE149=0,0,(BF149-BE149)/BE149*100)</f>
        <v>0</v>
      </c>
      <c r="BH149" s="22"/>
      <c r="BI149" s="22"/>
      <c r="BJ149" s="312">
        <f>IF(BH149=0,0,(BI149-BH149)/BH149*100)</f>
        <v>0</v>
      </c>
      <c r="BK149" s="22"/>
      <c r="BL149" s="22"/>
      <c r="BM149" s="312">
        <f>IF(BK149=0,0,(BL149-BK149)/BK149*100)</f>
        <v>0</v>
      </c>
      <c r="BN149" s="22"/>
      <c r="BO149" s="22"/>
      <c r="BP149" s="312">
        <f>IF(BN149=0,0,(BO149-BN149)/BN149*100)</f>
        <v>0</v>
      </c>
      <c r="BQ149" s="22"/>
      <c r="BR149" s="22"/>
      <c r="BS149" s="312">
        <f>IF(BQ149=0,0,(BR149-BQ149)/BQ149*100)</f>
        <v>0</v>
      </c>
      <c r="BT149" s="22"/>
      <c r="BU149" s="22"/>
      <c r="BV149" s="312">
        <f>IF(BT149=0,0,(BU149-BT149)/BT149*100)</f>
        <v>0</v>
      </c>
      <c r="BW149" s="22"/>
      <c r="BX149" s="22"/>
      <c r="BY149" s="312">
        <f>IF(BW149=0,0,(BX149-BW149)/BW149*100)</f>
        <v>0</v>
      </c>
      <c r="BZ149" s="22"/>
      <c r="CA149" s="22"/>
      <c r="CB149" s="312">
        <f>IF(BZ149=0,0,(CA149-BZ149)/BZ149*100)</f>
        <v>0</v>
      </c>
      <c r="CC149" s="22"/>
      <c r="CD149" s="22"/>
      <c r="CE149" s="312">
        <f>IF(CC149=0,0,(CD149-CC149)/CC149*100)</f>
        <v>0</v>
      </c>
      <c r="CF149" s="22"/>
      <c r="CG149" s="22"/>
      <c r="CH149" s="312">
        <f>IF(CF149=0,0,(CG149-CF149)/CF149*100)</f>
        <v>0</v>
      </c>
      <c r="CI149" s="22"/>
      <c r="CJ149" s="22"/>
      <c r="CK149" s="312">
        <f>IF(CI149=0,0,(CJ149-CI149)/CI149*100)</f>
        <v>0</v>
      </c>
      <c r="CL149" s="22"/>
      <c r="CM149" s="22"/>
      <c r="CN149" s="312">
        <f>IF(CL149=0,0,(CM149-CL149)/CL149*100)</f>
        <v>0</v>
      </c>
      <c r="CO149" s="22"/>
      <c r="CP149" s="22"/>
      <c r="CQ149" s="312">
        <f>IF(CO149=0,0,(CP149-CO149)/CO149*100)</f>
        <v>0</v>
      </c>
      <c r="CR149" s="22"/>
      <c r="CS149" s="22"/>
      <c r="CT149" s="312">
        <f>IF(CR149=0,0,(CS149-CR149)/CR149*100)</f>
        <v>0</v>
      </c>
      <c r="CU149" s="22"/>
      <c r="CV149" s="22"/>
      <c r="CW149" s="312">
        <f>IF(CU149=0,0,(CV149-CU149)/CU149*100)</f>
        <v>0</v>
      </c>
      <c r="CX149" s="22"/>
      <c r="CY149" s="22"/>
      <c r="CZ149" s="312">
        <f>IF(CX149=0,0,(CY149-CX149)/CX149*100)</f>
        <v>0</v>
      </c>
      <c r="DA149" s="22"/>
      <c r="DB149" s="22"/>
      <c r="DC149" s="312">
        <f>IF(DA149=0,0,(DB149-DA149)/DA149*100)</f>
        <v>0</v>
      </c>
      <c r="DD149" s="22"/>
      <c r="DE149" s="22"/>
      <c r="DF149" s="312">
        <f>IF(DD149=0,0,(DE149-DD149)/DD149*100)</f>
        <v>0</v>
      </c>
      <c r="DG149" s="22"/>
      <c r="DH149" s="22"/>
      <c r="DI149" s="312">
        <f>IF(DG149=0,0,(DH149-DG149)/DG149*100)</f>
        <v>0</v>
      </c>
      <c r="DJ149" s="22"/>
      <c r="DK149" s="22"/>
      <c r="DL149" s="312">
        <f>IF(DJ149=0,0,(DK149-DJ149)/DJ149*100)</f>
        <v>0</v>
      </c>
      <c r="DM149" s="22"/>
      <c r="DN149" s="22"/>
      <c r="DO149" s="312">
        <f>IF(DM149=0,0,(DN149-DM149)/DM149*100)</f>
        <v>0</v>
      </c>
      <c r="DP149" s="22"/>
      <c r="DQ149" s="22"/>
      <c r="DR149" s="312">
        <f>IF(DP149=0,0,(DQ149-DP149)/DP149*100)</f>
        <v>0</v>
      </c>
      <c r="DS149" s="22"/>
      <c r="DT149" s="22"/>
      <c r="DU149" s="312">
        <f>IF(DS149=0,0,(DT149-DS149)/DS149*100)</f>
        <v>0</v>
      </c>
      <c r="DV149" s="22"/>
      <c r="DW149" s="22"/>
      <c r="DX149" s="312">
        <f>IF(DV149=0,0,(DW149-DV149)/DV149*100)</f>
        <v>0</v>
      </c>
      <c r="DY149" s="22"/>
      <c r="DZ149" s="22"/>
      <c r="EA149" s="312">
        <f>IF(DY149=0,0,(DZ149-DY149)/DY149*100)</f>
        <v>0</v>
      </c>
      <c r="EB149" s="22"/>
      <c r="EC149" s="22"/>
      <c r="ED149" s="312">
        <f>IF(EB149=0,0,(EC149-EB149)/EB149*100)</f>
        <v>0</v>
      </c>
      <c r="EE149" s="22"/>
      <c r="EF149" s="22"/>
      <c r="EG149" s="312">
        <f>IF(EE149=0,0,(EF149-EE149)/EE149*100)</f>
        <v>0</v>
      </c>
      <c r="EH149" s="22"/>
      <c r="EI149" s="22"/>
      <c r="EJ149" s="312">
        <f>IF(EH149=0,0,(EI149-EH149)/EH149*100)</f>
        <v>0</v>
      </c>
      <c r="EK149" s="22"/>
      <c r="EL149" s="22"/>
      <c r="EM149" s="312">
        <f>IF(EK149=0,0,(EL149-EK149)/EK149*100)</f>
        <v>0</v>
      </c>
      <c r="EN149" s="22"/>
      <c r="EO149" s="22"/>
      <c r="EP149" s="312">
        <f>IF(EN149=0,0,(EO149-EN149)/EN149*100)</f>
        <v>0</v>
      </c>
      <c r="EQ149" s="22"/>
      <c r="ER149" s="22"/>
      <c r="ES149" s="312">
        <f>IF(EQ149=0,0,(ER149-EQ149)/EQ149*100)</f>
        <v>0</v>
      </c>
      <c r="ET149" s="22"/>
      <c r="EU149" s="22"/>
      <c r="EV149" s="312">
        <f>IF(ET149=0,0,(EU149-ET149)/ET149*100)</f>
        <v>0</v>
      </c>
      <c r="EW149" s="22"/>
      <c r="EX149" s="22"/>
      <c r="EY149" s="312">
        <f>IF(EW149=0,0,(EX149-EW149)/EW149*100)</f>
        <v>0</v>
      </c>
      <c r="EZ149" s="22"/>
      <c r="FA149" s="22"/>
      <c r="FB149" s="312">
        <f>IF(EZ149=0,0,(FA149-EZ149)/EZ149*100)</f>
        <v>0</v>
      </c>
      <c r="FC149" s="22"/>
      <c r="FD149" s="22"/>
      <c r="FE149" s="312">
        <f>IF(FC149=0,0,(FD149-FC149)/FC149*100)</f>
        <v>0</v>
      </c>
      <c r="FF149" s="22"/>
      <c r="FG149" s="22"/>
      <c r="FH149" s="312">
        <f>IF(FF149=0,0,(FG149-FF149)/FF149*100)</f>
        <v>0</v>
      </c>
      <c r="FI149" s="22"/>
      <c r="FJ149" s="22"/>
      <c r="FK149" s="312">
        <f>IF(FI149=0,0,(FJ149-FI149)/FI149*100)</f>
        <v>0</v>
      </c>
      <c r="FL149" s="22"/>
      <c r="FM149" s="22"/>
      <c r="FN149" s="312">
        <f>IF(FL149=0,0,(FM149-FL149)/FL149*100)</f>
        <v>0</v>
      </c>
      <c r="FO149" s="22"/>
      <c r="FP149" s="22"/>
      <c r="FQ149" s="312">
        <f>IF(FO149=0,0,(FP149-FO149)/FO149*100)</f>
        <v>0</v>
      </c>
      <c r="FR149" s="22"/>
      <c r="FS149" s="22"/>
      <c r="FT149" s="312">
        <f>IF(FR149=0,0,(FS149-FR149)/FR149*100)</f>
        <v>0</v>
      </c>
      <c r="FU149" s="22"/>
      <c r="FV149" s="22"/>
      <c r="FW149" s="312">
        <f>IF(FU149=0,0,(FV149-FU149)/FU149*100)</f>
        <v>0</v>
      </c>
      <c r="FX149" s="425"/>
      <c r="FY149" s="425"/>
      <c r="FZ149" s="981" t="s">
        <v>2219</v>
      </c>
      <c r="GA149" s="981"/>
      <c r="GB149" s="981"/>
      <c r="GC149" s="981"/>
      <c r="GD149" s="981"/>
    </row>
    <row r="150" spans="1:186" s="1229" customFormat="1" ht="15" hidden="1" customHeight="1">
      <c r="A150" s="1153"/>
      <c r="B150" s="813" t="b" cm="1">
        <f t="array" ref="B150">B149</f>
        <v>0</v>
      </c>
      <c r="C150" s="1118" t="s">
        <v>1779</v>
      </c>
      <c r="D150" s="1087" t="s">
        <v>1780</v>
      </c>
      <c r="E150" s="676">
        <v>15.8</v>
      </c>
      <c r="F150" s="779" t="str" cm="1">
        <f t="array" aca="1" ref="F150" ca="1">OFFSET(G150,-1,-1)</f>
        <v>2</v>
      </c>
      <c r="G150" s="143" t="s">
        <v>1790</v>
      </c>
      <c r="H150" s="163" t="s">
        <v>2205</v>
      </c>
      <c r="I150" s="163" t="s">
        <v>2155</v>
      </c>
      <c r="J150" s="1108"/>
      <c r="K150" s="1108" t="str" cm="1">
        <f t="array" aca="1" ref="K150" ca="1">OFFSET(J150,-1,1)</f>
        <v>ТЭ.42.26322895.0004</v>
      </c>
      <c r="L150" s="1108"/>
      <c r="M150" s="1108" t="s">
        <v>1791</v>
      </c>
      <c r="N150" s="1108" t="s">
        <v>2151</v>
      </c>
      <c r="O150" s="1109" t="s">
        <v>2152</v>
      </c>
      <c r="P150" s="1108" t="s">
        <v>2206</v>
      </c>
      <c r="Q150" s="1108"/>
      <c r="R150" s="784"/>
      <c r="S150" s="425"/>
      <c r="T150" s="687" t="b" cm="1">
        <f t="array" aca="1" ref="T150" ca="1">T149</f>
        <v>0</v>
      </c>
      <c r="U150" s="1153"/>
      <c r="V150" s="1153"/>
      <c r="W150" s="1153"/>
      <c r="X150" s="1726"/>
      <c r="Y150" s="1153"/>
      <c r="Z150" s="1726"/>
      <c r="AA150" s="425"/>
      <c r="AB150" s="223" t="s">
        <v>2207</v>
      </c>
      <c r="AC150" s="123" t="s">
        <v>634</v>
      </c>
      <c r="AD150" s="100">
        <f ca="1">IF(method_reg="Метод экономически обоснованных расходов",SUMIFS('Калькуляция (4.6)'!AJ$25:AJ$229,'Калькуляция (4.6)'!$F$25:$F$229,$F150,'Калькуляция (4.6)'!$G$25:$G$229,$G150),IF(method_reg="Метод сравнения аналогов",SUMIFS(INDEX('Калькуляция (МСА)'!$AE$25:$BC$109,,MATCH(AD$8,'Калькуляция (МСА)'!$AE$8:$BC$8,0)),'Калькуляция (МСА)'!$F$25:$F$109,$F150,'Калькуляция (МСА)'!$G$25:$G$109,$G150),SUMIFS(INDEX('Калькуляция (5.9)'!$AJ$25:$BC$194,,MATCH(AD$8,'Калькуляция (5.9)'!$AJ$8:$BC$8,0)),'Калькуляция (5.9)'!$F$25:$F$194,$F150,'Калькуляция (5.9)'!$G$25:$G$194,$G150)))</f>
        <v>0</v>
      </c>
      <c r="AE150" s="100">
        <f ca="1">IF(method_reg="Метод экономически обоснованных расходов",SUMIFS('Калькуляция (4.6)'!AK$25:AK$229,'Калькуляция (4.6)'!$F$25:$F$229,$F150,'Калькуляция (4.6)'!$G$25:$G$229,$G150),IF(method_reg="Метод сравнения аналогов",SUMIFS(INDEX('Калькуляция (МСА)'!$AE$25:$BC$109,,MATCH(AE$8,'Калькуляция (МСА)'!$AE$8:$BC$8,0)),'Калькуляция (МСА)'!$F$25:$F$109,$F150,'Калькуляция (МСА)'!$G$25:$G$109,$G150),SUMIFS(INDEX('Калькуляция (5.9)'!$AJ$25:$BC$194,,MATCH(AE$8,'Калькуляция (5.9)'!$AJ$8:$BC$8,0)),'Калькуляция (5.9)'!$F$25:$F$194,$F150,'Калькуляция (5.9)'!$G$25:$G$194,$G150)))</f>
        <v>32118.024393</v>
      </c>
      <c r="AF150" s="341">
        <f ca="1">IF(AD150=0,0,(AE150-AD150)/AD150*100)</f>
        <v>0</v>
      </c>
      <c r="AG150" s="354">
        <f ca="1">IF(method_reg="Метод сравнения аналогов",SUMIFS(INDEX('Калькуляция (МСА)'!$AE$25:$BC$109,,MATCH(AG$8,'Калькуляция (МСА)'!$AE$8:$BC$8,0)),'Калькуляция (МСА)'!$F$25:$F$109,$F150,'Калькуляция (МСА)'!$G$25:$G$109,$G150),SUMIFS(INDEX('Калькуляция (5.9)'!$AJ$25:$BC$194,,MATCH(AG$8,'Калькуляция (5.9)'!$AJ$8:$BC$8,0)),'Калькуляция (5.9)'!$F$25:$F$194,$F150,'Калькуляция (5.9)'!$G$25:$G$194,$G150))</f>
        <v>0</v>
      </c>
      <c r="AH150" s="354">
        <f ca="1">IF(method_reg="Метод сравнения аналогов",SUMIFS(INDEX('Калькуляция (МСА)'!$AE$25:$BC$109,,MATCH(AH$8,'Калькуляция (МСА)'!$AE$8:$BC$8,0)),'Калькуляция (МСА)'!$F$25:$F$109,$F150,'Калькуляция (МСА)'!$G$25:$G$109,$G150),SUMIFS(INDEX('Калькуляция (5.9)'!$AJ$25:$BC$194,,MATCH(AH$8,'Калькуляция (5.9)'!$AJ$8:$BC$8,0)),'Калькуляция (5.9)'!$F$25:$F$194,$F150,'Калькуляция (5.9)'!$G$25:$G$194,$G150))</f>
        <v>0</v>
      </c>
      <c r="AI150" s="341">
        <f ca="1">IF(AG150=0,0,(AH150-AG150)/AG150*100)</f>
        <v>0</v>
      </c>
      <c r="AJ150" s="354">
        <f ca="1">IF(method_reg="Метод сравнения аналогов",SUMIFS(INDEX('Калькуляция (МСА)'!$AE$25:$BC$109,,MATCH(AJ$8,'Калькуляция (МСА)'!$AE$8:$BC$8,0)),'Калькуляция (МСА)'!$F$25:$F$109,$F150,'Калькуляция (МСА)'!$G$25:$G$109,$G150),SUMIFS(INDEX('Калькуляция (5.9)'!$AJ$25:$BC$194,,MATCH(AJ$8,'Калькуляция (5.9)'!$AJ$8:$BC$8,0)),'Калькуляция (5.9)'!$F$25:$F$194,$F150,'Калькуляция (5.9)'!$G$25:$G$194,$G150))</f>
        <v>0</v>
      </c>
      <c r="AK150" s="354">
        <f ca="1">IF(method_reg="Метод сравнения аналогов",SUMIFS(INDEX('Калькуляция (МСА)'!$AE$25:$BC$109,,MATCH(AK$8,'Калькуляция (МСА)'!$AE$8:$BC$8,0)),'Калькуляция (МСА)'!$F$25:$F$109,$F150,'Калькуляция (МСА)'!$G$25:$G$109,$G150),SUMIFS(INDEX('Калькуляция (5.9)'!$AJ$25:$BC$194,,MATCH(AK$8,'Калькуляция (5.9)'!$AJ$8:$BC$8,0)),'Калькуляция (5.9)'!$F$25:$F$194,$F150,'Калькуляция (5.9)'!$G$25:$G$194,$G150))</f>
        <v>0</v>
      </c>
      <c r="AL150" s="341">
        <f ca="1">IF(AJ150=0,0,(AK150-AJ150)/AJ150*100)</f>
        <v>0</v>
      </c>
      <c r="AM150" s="354">
        <f ca="1">IF(method_reg="Метод сравнения аналогов",SUMIFS(INDEX('Калькуляция (МСА)'!$AE$25:$BC$109,,MATCH(AM$8,'Калькуляция (МСА)'!$AE$8:$BC$8,0)),'Калькуляция (МСА)'!$F$25:$F$109,$F150,'Калькуляция (МСА)'!$G$25:$G$109,$G150),SUMIFS(INDEX('Калькуляция (5.9)'!$AJ$25:$BC$194,,MATCH(AM$8,'Калькуляция (5.9)'!$AJ$8:$BC$8,0)),'Калькуляция (5.9)'!$F$25:$F$194,$F150,'Калькуляция (5.9)'!$G$25:$G$194,$G150))</f>
        <v>0</v>
      </c>
      <c r="AN150" s="354">
        <f ca="1">IF(method_reg="Метод сравнения аналогов",SUMIFS(INDEX('Калькуляция (МСА)'!$AE$25:$BC$109,,MATCH(AN$8,'Калькуляция (МСА)'!$AE$8:$BC$8,0)),'Калькуляция (МСА)'!$F$25:$F$109,$F150,'Калькуляция (МСА)'!$G$25:$G$109,$G150),SUMIFS(INDEX('Калькуляция (5.9)'!$AJ$25:$BC$194,,MATCH(AN$8,'Калькуляция (5.9)'!$AJ$8:$BC$8,0)),'Калькуляция (5.9)'!$F$25:$F$194,$F150,'Калькуляция (5.9)'!$G$25:$G$194,$G150))</f>
        <v>0</v>
      </c>
      <c r="AO150" s="341">
        <f ca="1">IF(AM150=0,0,(AN150-AM150)/AM150*100)</f>
        <v>0</v>
      </c>
      <c r="AP150" s="354">
        <f ca="1">IF(method_reg="Метод сравнения аналогов",SUMIFS(INDEX('Калькуляция (МСА)'!$AE$25:$BC$109,,MATCH(AP$8,'Калькуляция (МСА)'!$AE$8:$BC$8,0)),'Калькуляция (МСА)'!$F$25:$F$109,$F150,'Калькуляция (МСА)'!$G$25:$G$109,$G150),SUMIFS(INDEX('Калькуляция (5.9)'!$AJ$25:$BC$194,,MATCH(AP$8,'Калькуляция (5.9)'!$AJ$8:$BC$8,0)),'Калькуляция (5.9)'!$F$25:$F$194,$F150,'Калькуляция (5.9)'!$G$25:$G$194,$G150))</f>
        <v>0</v>
      </c>
      <c r="AQ150" s="354">
        <f ca="1">IF(method_reg="Метод сравнения аналогов",SUMIFS(INDEX('Калькуляция (МСА)'!$AE$25:$BC$109,,MATCH(AQ$8,'Калькуляция (МСА)'!$AE$8:$BC$8,0)),'Калькуляция (МСА)'!$F$25:$F$109,$F150,'Калькуляция (МСА)'!$G$25:$G$109,$G150),SUMIFS(INDEX('Калькуляция (5.9)'!$AJ$25:$BC$194,,MATCH(AQ$8,'Калькуляция (5.9)'!$AJ$8:$BC$8,0)),'Калькуляция (5.9)'!$F$25:$F$194,$F150,'Калькуляция (5.9)'!$G$25:$G$194,$G150))</f>
        <v>0</v>
      </c>
      <c r="AR150" s="341">
        <f ca="1">IF(AP150=0,0,(AQ150-AP150)/AP150*100)</f>
        <v>0</v>
      </c>
      <c r="AS150" s="100">
        <f ca="1">IF(method_reg="Метод сравнения аналогов",SUMIFS(INDEX('Калькуляция (МСА)'!$AE$25:$BC$109,,MATCH(AS$8,'Калькуляция (МСА)'!$AE$8:$BC$8,0)),'Калькуляция (МСА)'!$F$25:$F$109,$F150,'Калькуляция (МСА)'!$G$25:$G$109,$G150),SUMIFS(INDEX('Калькуляция (5.9)'!$AJ$25:$BC$194,,MATCH(AS$8,'Калькуляция (5.9)'!$AJ$8:$BC$8,0)),'Калькуляция (5.9)'!$F$25:$F$194,$F150,'Калькуляция (5.9)'!$G$25:$G$194,$G150))</f>
        <v>0</v>
      </c>
      <c r="AT150" s="100">
        <f ca="1">IF(method_reg="Метод сравнения аналогов",SUMIFS(INDEX('Калькуляция (МСА)'!$AE$25:$BC$109,,MATCH(AT$8,'Калькуляция (МСА)'!$AE$8:$BC$8,0)),'Калькуляция (МСА)'!$F$25:$F$109,$F150,'Калькуляция (МСА)'!$G$25:$G$109,$G150),SUMIFS(INDEX('Калькуляция (5.9)'!$AJ$25:$BC$194,,MATCH(AT$8,'Калькуляция (5.9)'!$AJ$8:$BC$8,0)),'Калькуляция (5.9)'!$F$25:$F$194,$F150,'Калькуляция (5.9)'!$G$25:$G$194,$G150))</f>
        <v>0</v>
      </c>
      <c r="AU150" s="341">
        <f ca="1">IF(AS150=0,0,(AT150-AS150)/AS150*100)</f>
        <v>0</v>
      </c>
      <c r="AV150" s="100">
        <f ca="1">IF(method_reg="Метод сравнения аналогов",SUMIFS(INDEX('Калькуляция (МСА)'!$AE$25:$BC$109,,MATCH(AV$8,'Калькуляция (МСА)'!$AE$8:$BC$8,0)),'Калькуляция (МСА)'!$F$25:$F$109,$F150,'Калькуляция (МСА)'!$G$25:$G$109,$G150),SUMIFS(INDEX('Калькуляция (5.9)'!$AJ$25:$BC$194,,MATCH(AV$8,'Калькуляция (5.9)'!$AJ$8:$BC$8,0)),'Калькуляция (5.9)'!$F$25:$F$194,$F150,'Калькуляция (5.9)'!$G$25:$G$194,$G150))</f>
        <v>0</v>
      </c>
      <c r="AW150" s="100">
        <f ca="1">IF(method_reg="Метод сравнения аналогов",SUMIFS(INDEX('Калькуляция (МСА)'!$AE$25:$BC$109,,MATCH(AW$8,'Калькуляция (МСА)'!$AE$8:$BC$8,0)),'Калькуляция (МСА)'!$F$25:$F$109,$F150,'Калькуляция (МСА)'!$G$25:$G$109,$G150),SUMIFS(INDEX('Калькуляция (5.9)'!$AJ$25:$BC$194,,MATCH(AW$8,'Калькуляция (5.9)'!$AJ$8:$BC$8,0)),'Калькуляция (5.9)'!$F$25:$F$194,$F150,'Калькуляция (5.9)'!$G$25:$G$194,$G150))</f>
        <v>0</v>
      </c>
      <c r="AX150" s="341">
        <f ca="1">IF(AV150=0,0,(AW150-AV150)/AV150*100)</f>
        <v>0</v>
      </c>
      <c r="AY150" s="100">
        <f ca="1">IF(method_reg="Метод сравнения аналогов",SUMIFS(INDEX('Калькуляция (МСА)'!$AE$25:$BC$109,,MATCH(AY$8,'Калькуляция (МСА)'!$AE$8:$BC$8,0)),'Калькуляция (МСА)'!$F$25:$F$109,$F150,'Калькуляция (МСА)'!$G$25:$G$109,$G150),SUMIFS(INDEX('Калькуляция (5.9)'!$AJ$25:$BC$194,,MATCH(AY$8,'Калькуляция (5.9)'!$AJ$8:$BC$8,0)),'Калькуляция (5.9)'!$F$25:$F$194,$F150,'Калькуляция (5.9)'!$G$25:$G$194,$G150))</f>
        <v>0</v>
      </c>
      <c r="AZ150" s="100">
        <f ca="1">IF(method_reg="Метод сравнения аналогов",SUMIFS(INDEX('Калькуляция (МСА)'!$AE$25:$BC$109,,MATCH(AZ$8,'Калькуляция (МСА)'!$AE$8:$BC$8,0)),'Калькуляция (МСА)'!$F$25:$F$109,$F150,'Калькуляция (МСА)'!$G$25:$G$109,$G150),SUMIFS(INDEX('Калькуляция (5.9)'!$AJ$25:$BC$194,,MATCH(AZ$8,'Калькуляция (5.9)'!$AJ$8:$BC$8,0)),'Калькуляция (5.9)'!$F$25:$F$194,$F150,'Калькуляция (5.9)'!$G$25:$G$194,$G150))</f>
        <v>0</v>
      </c>
      <c r="BA150" s="341">
        <f ca="1">IF(AY150=0,0,(AZ150-AY150)/AY150*100)</f>
        <v>0</v>
      </c>
      <c r="BB150" s="100">
        <f ca="1">IF(method_reg="Метод сравнения аналогов",SUMIFS(INDEX('Калькуляция (МСА)'!$AE$25:$BC$109,,MATCH(BB$8,'Калькуляция (МСА)'!$AE$8:$BC$8,0)),'Калькуляция (МСА)'!$F$25:$F$109,$F150,'Калькуляция (МСА)'!$G$25:$G$109,$G150),SUMIFS(INDEX('Калькуляция (5.9)'!$AJ$25:$BC$194,,MATCH(BB$8,'Калькуляция (5.9)'!$AJ$8:$BC$8,0)),'Калькуляция (5.9)'!$F$25:$F$194,$F150,'Калькуляция (5.9)'!$G$25:$G$194,$G150))</f>
        <v>0</v>
      </c>
      <c r="BC150" s="100">
        <f ca="1">IF(method_reg="Метод сравнения аналогов",SUMIFS(INDEX('Калькуляция (МСА)'!$AE$25:$BC$109,,MATCH(BC$8,'Калькуляция (МСА)'!$AE$8:$BC$8,0)),'Калькуляция (МСА)'!$F$25:$F$109,$F150,'Калькуляция (МСА)'!$G$25:$G$109,$G150),SUMIFS(INDEX('Калькуляция (5.9)'!$AJ$25:$BC$194,,MATCH(BC$8,'Калькуляция (5.9)'!$AJ$8:$BC$8,0)),'Калькуляция (5.9)'!$F$25:$F$194,$F150,'Калькуляция (5.9)'!$G$25:$G$194,$G150))</f>
        <v>0</v>
      </c>
      <c r="BD150" s="341">
        <f ca="1">IF(BB150=0,0,(BC150-BB150)/BB150*100)</f>
        <v>0</v>
      </c>
      <c r="BE150" s="100">
        <f ca="1">IF(method_reg="Метод сравнения аналогов",SUMIFS(INDEX('Калькуляция (МСА)'!$AE$25:$BC$109,,MATCH(BE$8,'Калькуляция (МСА)'!$AE$8:$BC$8,0)),'Калькуляция (МСА)'!$F$25:$F$109,$F150,'Калькуляция (МСА)'!$G$25:$G$109,$G150),SUMIFS(INDEX('Калькуляция (5.9)'!$AJ$25:$BC$194,,MATCH(BE$8,'Калькуляция (5.9)'!$AJ$8:$BC$8,0)),'Калькуляция (5.9)'!$F$25:$F$194,$F150,'Калькуляция (5.9)'!$G$25:$G$194,$G150))</f>
        <v>0</v>
      </c>
      <c r="BF150" s="100">
        <f ca="1">IF(method_reg="Метод сравнения аналогов",SUMIFS(INDEX('Калькуляция (МСА)'!$AE$25:$BC$109,,MATCH(BF$8,'Калькуляция (МСА)'!$AE$8:$BC$8,0)),'Калькуляция (МСА)'!$F$25:$F$109,$F150,'Калькуляция (МСА)'!$G$25:$G$109,$G150),SUMIFS(INDEX('Калькуляция (5.9)'!$AJ$25:$BC$194,,MATCH(BF$8,'Калькуляция (5.9)'!$AJ$8:$BC$8,0)),'Калькуляция (5.9)'!$F$25:$F$194,$F150,'Калькуляция (5.9)'!$G$25:$G$194,$G150))</f>
        <v>0</v>
      </c>
      <c r="BG150" s="341">
        <f ca="1">IF(BE150=0,0,(BF150-BE150)/BE150*100)</f>
        <v>0</v>
      </c>
      <c r="BH150" s="100"/>
      <c r="BI150" s="100"/>
      <c r="BJ150" s="341">
        <f>IF(BH150=0,0,(BI150-BH150)/BH150*100)</f>
        <v>0</v>
      </c>
      <c r="BK150" s="100"/>
      <c r="BL150" s="100"/>
      <c r="BM150" s="341">
        <f>IF(BK150=0,0,(BL150-BK150)/BK150*100)</f>
        <v>0</v>
      </c>
      <c r="BN150" s="100"/>
      <c r="BO150" s="100"/>
      <c r="BP150" s="341">
        <f>IF(BN150=0,0,(BO150-BN150)/BN150*100)</f>
        <v>0</v>
      </c>
      <c r="BQ150" s="100"/>
      <c r="BR150" s="100"/>
      <c r="BS150" s="341">
        <f>IF(BQ150=0,0,(BR150-BQ150)/BQ150*100)</f>
        <v>0</v>
      </c>
      <c r="BT150" s="100"/>
      <c r="BU150" s="100"/>
      <c r="BV150" s="341">
        <f>IF(BT150=0,0,(BU150-BT150)/BT150*100)</f>
        <v>0</v>
      </c>
      <c r="BW150" s="100"/>
      <c r="BX150" s="100"/>
      <c r="BY150" s="341">
        <f>IF(BW150=0,0,(BX150-BW150)/BW150*100)</f>
        <v>0</v>
      </c>
      <c r="BZ150" s="100"/>
      <c r="CA150" s="100"/>
      <c r="CB150" s="341">
        <f>IF(BZ150=0,0,(CA150-BZ150)/BZ150*100)</f>
        <v>0</v>
      </c>
      <c r="CC150" s="100"/>
      <c r="CD150" s="100"/>
      <c r="CE150" s="341">
        <f>IF(CC150=0,0,(CD150-CC150)/CC150*100)</f>
        <v>0</v>
      </c>
      <c r="CF150" s="100"/>
      <c r="CG150" s="100"/>
      <c r="CH150" s="341">
        <f>IF(CF150=0,0,(CG150-CF150)/CF150*100)</f>
        <v>0</v>
      </c>
      <c r="CI150" s="100"/>
      <c r="CJ150" s="100"/>
      <c r="CK150" s="341">
        <f>IF(CI150=0,0,(CJ150-CI150)/CI150*100)</f>
        <v>0</v>
      </c>
      <c r="CL150" s="100"/>
      <c r="CM150" s="100"/>
      <c r="CN150" s="341">
        <f>IF(CL150=0,0,(CM150-CL150)/CL150*100)</f>
        <v>0</v>
      </c>
      <c r="CO150" s="100"/>
      <c r="CP150" s="100"/>
      <c r="CQ150" s="341">
        <f>IF(CO150=0,0,(CP150-CO150)/CO150*100)</f>
        <v>0</v>
      </c>
      <c r="CR150" s="100"/>
      <c r="CS150" s="100"/>
      <c r="CT150" s="341">
        <f>IF(CR150=0,0,(CS150-CR150)/CR150*100)</f>
        <v>0</v>
      </c>
      <c r="CU150" s="100"/>
      <c r="CV150" s="100"/>
      <c r="CW150" s="341">
        <f>IF(CU150=0,0,(CV150-CU150)/CU150*100)</f>
        <v>0</v>
      </c>
      <c r="CX150" s="100"/>
      <c r="CY150" s="100"/>
      <c r="CZ150" s="341">
        <f>IF(CX150=0,0,(CY150-CX150)/CX150*100)</f>
        <v>0</v>
      </c>
      <c r="DA150" s="100"/>
      <c r="DB150" s="100"/>
      <c r="DC150" s="341">
        <f>IF(DA150=0,0,(DB150-DA150)/DA150*100)</f>
        <v>0</v>
      </c>
      <c r="DD150" s="100"/>
      <c r="DE150" s="100"/>
      <c r="DF150" s="341">
        <f>IF(DD150=0,0,(DE150-DD150)/DD150*100)</f>
        <v>0</v>
      </c>
      <c r="DG150" s="100"/>
      <c r="DH150" s="100"/>
      <c r="DI150" s="341">
        <f>IF(DG150=0,0,(DH150-DG150)/DG150*100)</f>
        <v>0</v>
      </c>
      <c r="DJ150" s="100"/>
      <c r="DK150" s="100"/>
      <c r="DL150" s="341">
        <f>IF(DJ150=0,0,(DK150-DJ150)/DJ150*100)</f>
        <v>0</v>
      </c>
      <c r="DM150" s="100"/>
      <c r="DN150" s="100"/>
      <c r="DO150" s="341">
        <f>IF(DM150=0,0,(DN150-DM150)/DM150*100)</f>
        <v>0</v>
      </c>
      <c r="DP150" s="100"/>
      <c r="DQ150" s="100"/>
      <c r="DR150" s="341">
        <f>IF(DP150=0,0,(DQ150-DP150)/DP150*100)</f>
        <v>0</v>
      </c>
      <c r="DS150" s="100"/>
      <c r="DT150" s="100"/>
      <c r="DU150" s="341">
        <f>IF(DS150=0,0,(DT150-DS150)/DS150*100)</f>
        <v>0</v>
      </c>
      <c r="DV150" s="100"/>
      <c r="DW150" s="100"/>
      <c r="DX150" s="341">
        <f>IF(DV150=0,0,(DW150-DV150)/DV150*100)</f>
        <v>0</v>
      </c>
      <c r="DY150" s="100"/>
      <c r="DZ150" s="100"/>
      <c r="EA150" s="341">
        <f>IF(DY150=0,0,(DZ150-DY150)/DY150*100)</f>
        <v>0</v>
      </c>
      <c r="EB150" s="100"/>
      <c r="EC150" s="100"/>
      <c r="ED150" s="341">
        <f>IF(EB150=0,0,(EC150-EB150)/EB150*100)</f>
        <v>0</v>
      </c>
      <c r="EE150" s="100"/>
      <c r="EF150" s="100"/>
      <c r="EG150" s="341">
        <f>IF(EE150=0,0,(EF150-EE150)/EE150*100)</f>
        <v>0</v>
      </c>
      <c r="EH150" s="100"/>
      <c r="EI150" s="100"/>
      <c r="EJ150" s="341">
        <f>IF(EH150=0,0,(EI150-EH150)/EH150*100)</f>
        <v>0</v>
      </c>
      <c r="EK150" s="100"/>
      <c r="EL150" s="100"/>
      <c r="EM150" s="341">
        <f>IF(EK150=0,0,(EL150-EK150)/EK150*100)</f>
        <v>0</v>
      </c>
      <c r="EN150" s="100"/>
      <c r="EO150" s="100"/>
      <c r="EP150" s="341">
        <f>IF(EN150=0,0,(EO150-EN150)/EN150*100)</f>
        <v>0</v>
      </c>
      <c r="EQ150" s="100"/>
      <c r="ER150" s="100"/>
      <c r="ES150" s="341">
        <f>IF(EQ150=0,0,(ER150-EQ150)/EQ150*100)</f>
        <v>0</v>
      </c>
      <c r="ET150" s="100"/>
      <c r="EU150" s="100"/>
      <c r="EV150" s="341">
        <f>IF(ET150=0,0,(EU150-ET150)/ET150*100)</f>
        <v>0</v>
      </c>
      <c r="EW150" s="100"/>
      <c r="EX150" s="100"/>
      <c r="EY150" s="341">
        <f>IF(EW150=0,0,(EX150-EW150)/EW150*100)</f>
        <v>0</v>
      </c>
      <c r="EZ150" s="100"/>
      <c r="FA150" s="100"/>
      <c r="FB150" s="341">
        <f>IF(EZ150=0,0,(FA150-EZ150)/EZ150*100)</f>
        <v>0</v>
      </c>
      <c r="FC150" s="100"/>
      <c r="FD150" s="100"/>
      <c r="FE150" s="341">
        <f>IF(FC150=0,0,(FD150-FC150)/FC150*100)</f>
        <v>0</v>
      </c>
      <c r="FF150" s="100"/>
      <c r="FG150" s="100"/>
      <c r="FH150" s="341">
        <f>IF(FF150=0,0,(FG150-FF150)/FF150*100)</f>
        <v>0</v>
      </c>
      <c r="FI150" s="100"/>
      <c r="FJ150" s="100"/>
      <c r="FK150" s="341">
        <f>IF(FI150=0,0,(FJ150-FI150)/FI150*100)</f>
        <v>0</v>
      </c>
      <c r="FL150" s="100"/>
      <c r="FM150" s="100"/>
      <c r="FN150" s="341">
        <f>IF(FL150=0,0,(FM150-FL150)/FL150*100)</f>
        <v>0</v>
      </c>
      <c r="FO150" s="100"/>
      <c r="FP150" s="100"/>
      <c r="FQ150" s="341">
        <f>IF(FO150=0,0,(FP150-FO150)/FO150*100)</f>
        <v>0</v>
      </c>
      <c r="FR150" s="100"/>
      <c r="FS150" s="100"/>
      <c r="FT150" s="341">
        <f>IF(FR150=0,0,(FS150-FR150)/FR150*100)</f>
        <v>0</v>
      </c>
      <c r="FU150" s="100"/>
      <c r="FV150" s="100"/>
      <c r="FW150" s="341">
        <f>IF(FU150=0,0,(FV150-FU150)/FU150*100)</f>
        <v>0</v>
      </c>
      <c r="FX150" s="425"/>
      <c r="FY150" s="425"/>
      <c r="FZ150" s="981" t="s">
        <v>2220</v>
      </c>
      <c r="GA150" s="981"/>
      <c r="GB150" s="981"/>
      <c r="GC150" s="981"/>
      <c r="GD150" s="981"/>
    </row>
    <row r="151" spans="1:186" s="1229" customFormat="1" ht="30" hidden="1" customHeight="1">
      <c r="A151" s="1153"/>
      <c r="B151" s="813" t="b" cm="1">
        <f t="array" ref="B151">B150</f>
        <v>0</v>
      </c>
      <c r="C151" s="1118" t="s">
        <v>1833</v>
      </c>
      <c r="D151" s="1087" t="s">
        <v>1834</v>
      </c>
      <c r="E151" s="676">
        <v>31.5</v>
      </c>
      <c r="F151" s="779" t="str" cm="1">
        <f t="array" aca="1" ref="F151" ca="1">OFFSET(G151,-1,-1)</f>
        <v>2</v>
      </c>
      <c r="G151" s="620" t="s">
        <v>1839</v>
      </c>
      <c r="H151" s="163" t="s">
        <v>2209</v>
      </c>
      <c r="I151" s="163" t="s">
        <v>2155</v>
      </c>
      <c r="J151" s="1108"/>
      <c r="K151" s="1108" t="str" cm="1">
        <f t="array" aca="1" ref="K151" ca="1">OFFSET(J151,-1,1)</f>
        <v>ТЭ.42.26322895.0004</v>
      </c>
      <c r="L151" s="1108"/>
      <c r="M151" s="1108" t="s">
        <v>1791</v>
      </c>
      <c r="N151" s="1108" t="s">
        <v>2151</v>
      </c>
      <c r="O151" s="1109" t="s">
        <v>2152</v>
      </c>
      <c r="P151" s="1108" t="s">
        <v>2210</v>
      </c>
      <c r="Q151" s="1108"/>
      <c r="R151" s="784"/>
      <c r="S151" s="425"/>
      <c r="T151" s="687" t="b" cm="1">
        <f t="array" aca="1" ref="T151" ca="1">T150</f>
        <v>0</v>
      </c>
      <c r="U151" s="1153"/>
      <c r="V151" s="1153"/>
      <c r="W151" s="1153"/>
      <c r="X151" s="1726"/>
      <c r="Y151" s="1153"/>
      <c r="Z151" s="1726"/>
      <c r="AA151" s="425"/>
      <c r="AB151" s="223" t="s">
        <v>2211</v>
      </c>
      <c r="AC151" s="443" t="s">
        <v>1837</v>
      </c>
      <c r="AD151" s="22">
        <f ca="1">IF(method_reg="Метод экономически обоснованных расходов",SUMIFS('Калькуляция (4.6)'!AJ$25:AJ$229,'Калькуляция (4.6)'!$F$25:$F$229,$F151,'Калькуляция (4.6)'!$G$25:$G$229,$G151),IF(method_reg="Метод сравнения аналогов",SUMIFS(INDEX('Калькуляция (МСА)'!$AE$25:$BC$109,,MATCH(AD$8,'Калькуляция (МСА)'!$AE$8:$BC$8,0)),'Калькуляция (МСА)'!$F$25:$F$109,$F151,'Калькуляция (МСА)'!$G$25:$G$109,$G151),SUMIFS(INDEX('Калькуляция (5.9)'!$AJ$25:$BC$194,,MATCH(AD$8,'Калькуляция (5.9)'!$AJ$8:$BC$8,0)),'Калькуляция (5.9)'!$F$25:$F$194,$F151,'Калькуляция (5.9)'!$G$25:$G$194,$G151)))</f>
        <v>0</v>
      </c>
      <c r="AE151" s="22">
        <f ca="1">IF(method_reg="Метод экономически обоснованных расходов",SUMIFS('Калькуляция (4.6)'!AK$25:AK$229,'Калькуляция (4.6)'!$F$25:$F$229,$F151,'Калькуляция (4.6)'!$G$25:$G$229,$G151),IF(method_reg="Метод сравнения аналогов",SUMIFS(INDEX('Калькуляция (МСА)'!$AE$25:$BC$109,,MATCH(AE$8,'Калькуляция (МСА)'!$AE$8:$BC$8,0)),'Калькуляция (МСА)'!$F$25:$F$109,$F151,'Калькуляция (МСА)'!$G$25:$G$109,$G151),SUMIFS(INDEX('Калькуляция (5.9)'!$AJ$25:$BC$194,,MATCH(AE$8,'Калькуляция (5.9)'!$AJ$8:$BC$8,0)),'Калькуляция (5.9)'!$F$25:$F$194,$F151,'Калькуляция (5.9)'!$G$25:$G$194,$G151)))</f>
        <v>0</v>
      </c>
      <c r="AF151" s="312">
        <f ca="1">IF(AD151=0,0,(AE151-AD151)/AD151*100)</f>
        <v>0</v>
      </c>
      <c r="AG151" s="313">
        <f ca="1">IF(method_reg="Метод сравнения аналогов",SUMIFS(INDEX('Калькуляция (МСА)'!$AE$25:$BC$109,,MATCH(AG$8,'Калькуляция (МСА)'!$AE$8:$BC$8,0)),'Калькуляция (МСА)'!$F$25:$F$109,$F151,'Калькуляция (МСА)'!$G$25:$G$109,$G151),SUMIFS(INDEX('Калькуляция (5.9)'!$AJ$25:$BC$194,,MATCH(AG$8,'Калькуляция (5.9)'!$AJ$8:$BC$8,0)),'Калькуляция (5.9)'!$F$25:$F$194,$F151,'Калькуляция (5.9)'!$G$25:$G$194,$G151))</f>
        <v>0</v>
      </c>
      <c r="AH151" s="313">
        <f ca="1">IF(method_reg="Метод сравнения аналогов",SUMIFS(INDEX('Калькуляция (МСА)'!$AE$25:$BC$109,,MATCH(AH$8,'Калькуляция (МСА)'!$AE$8:$BC$8,0)),'Калькуляция (МСА)'!$F$25:$F$109,$F151,'Калькуляция (МСА)'!$G$25:$G$109,$G151),SUMIFS(INDEX('Калькуляция (5.9)'!$AJ$25:$BC$194,,MATCH(AH$8,'Калькуляция (5.9)'!$AJ$8:$BC$8,0)),'Калькуляция (5.9)'!$F$25:$F$194,$F151,'Калькуляция (5.9)'!$G$25:$G$194,$G151))</f>
        <v>0</v>
      </c>
      <c r="AI151" s="312">
        <f ca="1">IF(AG151=0,0,(AH151-AG151)/AG151*100)</f>
        <v>0</v>
      </c>
      <c r="AJ151" s="313">
        <f ca="1">IF(method_reg="Метод сравнения аналогов",SUMIFS(INDEX('Калькуляция (МСА)'!$AE$25:$BC$109,,MATCH(AJ$8,'Калькуляция (МСА)'!$AE$8:$BC$8,0)),'Калькуляция (МСА)'!$F$25:$F$109,$F151,'Калькуляция (МСА)'!$G$25:$G$109,$G151),SUMIFS(INDEX('Калькуляция (5.9)'!$AJ$25:$BC$194,,MATCH(AJ$8,'Калькуляция (5.9)'!$AJ$8:$BC$8,0)),'Калькуляция (5.9)'!$F$25:$F$194,$F151,'Калькуляция (5.9)'!$G$25:$G$194,$G151))</f>
        <v>0</v>
      </c>
      <c r="AK151" s="313">
        <f ca="1">IF(method_reg="Метод сравнения аналогов",SUMIFS(INDEX('Калькуляция (МСА)'!$AE$25:$BC$109,,MATCH(AK$8,'Калькуляция (МСА)'!$AE$8:$BC$8,0)),'Калькуляция (МСА)'!$F$25:$F$109,$F151,'Калькуляция (МСА)'!$G$25:$G$109,$G151),SUMIFS(INDEX('Калькуляция (5.9)'!$AJ$25:$BC$194,,MATCH(AK$8,'Калькуляция (5.9)'!$AJ$8:$BC$8,0)),'Калькуляция (5.9)'!$F$25:$F$194,$F151,'Калькуляция (5.9)'!$G$25:$G$194,$G151))</f>
        <v>0</v>
      </c>
      <c r="AL151" s="312">
        <f ca="1">IF(AJ151=0,0,(AK151-AJ151)/AJ151*100)</f>
        <v>0</v>
      </c>
      <c r="AM151" s="313">
        <f ca="1">IF(method_reg="Метод сравнения аналогов",SUMIFS(INDEX('Калькуляция (МСА)'!$AE$25:$BC$109,,MATCH(AM$8,'Калькуляция (МСА)'!$AE$8:$BC$8,0)),'Калькуляция (МСА)'!$F$25:$F$109,$F151,'Калькуляция (МСА)'!$G$25:$G$109,$G151),SUMIFS(INDEX('Калькуляция (5.9)'!$AJ$25:$BC$194,,MATCH(AM$8,'Калькуляция (5.9)'!$AJ$8:$BC$8,0)),'Калькуляция (5.9)'!$F$25:$F$194,$F151,'Калькуляция (5.9)'!$G$25:$G$194,$G151))</f>
        <v>0</v>
      </c>
      <c r="AN151" s="313">
        <f ca="1">IF(method_reg="Метод сравнения аналогов",SUMIFS(INDEX('Калькуляция (МСА)'!$AE$25:$BC$109,,MATCH(AN$8,'Калькуляция (МСА)'!$AE$8:$BC$8,0)),'Калькуляция (МСА)'!$F$25:$F$109,$F151,'Калькуляция (МСА)'!$G$25:$G$109,$G151),SUMIFS(INDEX('Калькуляция (5.9)'!$AJ$25:$BC$194,,MATCH(AN$8,'Калькуляция (5.9)'!$AJ$8:$BC$8,0)),'Калькуляция (5.9)'!$F$25:$F$194,$F151,'Калькуляция (5.9)'!$G$25:$G$194,$G151))</f>
        <v>0</v>
      </c>
      <c r="AO151" s="312">
        <f ca="1">IF(AM151=0,0,(AN151-AM151)/AM151*100)</f>
        <v>0</v>
      </c>
      <c r="AP151" s="313">
        <f ca="1">IF(method_reg="Метод сравнения аналогов",SUMIFS(INDEX('Калькуляция (МСА)'!$AE$25:$BC$109,,MATCH(AP$8,'Калькуляция (МСА)'!$AE$8:$BC$8,0)),'Калькуляция (МСА)'!$F$25:$F$109,$F151,'Калькуляция (МСА)'!$G$25:$G$109,$G151),SUMIFS(INDEX('Калькуляция (5.9)'!$AJ$25:$BC$194,,MATCH(AP$8,'Калькуляция (5.9)'!$AJ$8:$BC$8,0)),'Калькуляция (5.9)'!$F$25:$F$194,$F151,'Калькуляция (5.9)'!$G$25:$G$194,$G151))</f>
        <v>0</v>
      </c>
      <c r="AQ151" s="313">
        <f ca="1">IF(method_reg="Метод сравнения аналогов",SUMIFS(INDEX('Калькуляция (МСА)'!$AE$25:$BC$109,,MATCH(AQ$8,'Калькуляция (МСА)'!$AE$8:$BC$8,0)),'Калькуляция (МСА)'!$F$25:$F$109,$F151,'Калькуляция (МСА)'!$G$25:$G$109,$G151),SUMIFS(INDEX('Калькуляция (5.9)'!$AJ$25:$BC$194,,MATCH(AQ$8,'Калькуляция (5.9)'!$AJ$8:$BC$8,0)),'Калькуляция (5.9)'!$F$25:$F$194,$F151,'Калькуляция (5.9)'!$G$25:$G$194,$G151))</f>
        <v>0</v>
      </c>
      <c r="AR151" s="312">
        <f ca="1">IF(AP151=0,0,(AQ151-AP151)/AP151*100)</f>
        <v>0</v>
      </c>
      <c r="AS151" s="22">
        <f ca="1">IF(method_reg="Метод сравнения аналогов",SUMIFS(INDEX('Калькуляция (МСА)'!$AE$25:$BC$109,,MATCH(AS$8,'Калькуляция (МСА)'!$AE$8:$BC$8,0)),'Калькуляция (МСА)'!$F$25:$F$109,$F151,'Калькуляция (МСА)'!$G$25:$G$109,$G151),SUMIFS(INDEX('Калькуляция (5.9)'!$AJ$25:$BC$194,,MATCH(AS$8,'Калькуляция (5.9)'!$AJ$8:$BC$8,0)),'Калькуляция (5.9)'!$F$25:$F$194,$F151,'Калькуляция (5.9)'!$G$25:$G$194,$G151))</f>
        <v>0</v>
      </c>
      <c r="AT151" s="22">
        <f ca="1">IF(method_reg="Метод сравнения аналогов",SUMIFS(INDEX('Калькуляция (МСА)'!$AE$25:$BC$109,,MATCH(AT$8,'Калькуляция (МСА)'!$AE$8:$BC$8,0)),'Калькуляция (МСА)'!$F$25:$F$109,$F151,'Калькуляция (МСА)'!$G$25:$G$109,$G151),SUMIFS(INDEX('Калькуляция (5.9)'!$AJ$25:$BC$194,,MATCH(AT$8,'Калькуляция (5.9)'!$AJ$8:$BC$8,0)),'Калькуляция (5.9)'!$F$25:$F$194,$F151,'Калькуляция (5.9)'!$G$25:$G$194,$G151))</f>
        <v>0</v>
      </c>
      <c r="AU151" s="312">
        <f ca="1">IF(AS151=0,0,(AT151-AS151)/AS151*100)</f>
        <v>0</v>
      </c>
      <c r="AV151" s="22">
        <f ca="1">IF(method_reg="Метод сравнения аналогов",SUMIFS(INDEX('Калькуляция (МСА)'!$AE$25:$BC$109,,MATCH(AV$8,'Калькуляция (МСА)'!$AE$8:$BC$8,0)),'Калькуляция (МСА)'!$F$25:$F$109,$F151,'Калькуляция (МСА)'!$G$25:$G$109,$G151),SUMIFS(INDEX('Калькуляция (5.9)'!$AJ$25:$BC$194,,MATCH(AV$8,'Калькуляция (5.9)'!$AJ$8:$BC$8,0)),'Калькуляция (5.9)'!$F$25:$F$194,$F151,'Калькуляция (5.9)'!$G$25:$G$194,$G151))</f>
        <v>0</v>
      </c>
      <c r="AW151" s="22">
        <f ca="1">IF(method_reg="Метод сравнения аналогов",SUMIFS(INDEX('Калькуляция (МСА)'!$AE$25:$BC$109,,MATCH(AW$8,'Калькуляция (МСА)'!$AE$8:$BC$8,0)),'Калькуляция (МСА)'!$F$25:$F$109,$F151,'Калькуляция (МСА)'!$G$25:$G$109,$G151),SUMIFS(INDEX('Калькуляция (5.9)'!$AJ$25:$BC$194,,MATCH(AW$8,'Калькуляция (5.9)'!$AJ$8:$BC$8,0)),'Калькуляция (5.9)'!$F$25:$F$194,$F151,'Калькуляция (5.9)'!$G$25:$G$194,$G151))</f>
        <v>0</v>
      </c>
      <c r="AX151" s="312">
        <f ca="1">IF(AV151=0,0,(AW151-AV151)/AV151*100)</f>
        <v>0</v>
      </c>
      <c r="AY151" s="22">
        <f ca="1">IF(method_reg="Метод сравнения аналогов",SUMIFS(INDEX('Калькуляция (МСА)'!$AE$25:$BC$109,,MATCH(AY$8,'Калькуляция (МСА)'!$AE$8:$BC$8,0)),'Калькуляция (МСА)'!$F$25:$F$109,$F151,'Калькуляция (МСА)'!$G$25:$G$109,$G151),SUMIFS(INDEX('Калькуляция (5.9)'!$AJ$25:$BC$194,,MATCH(AY$8,'Калькуляция (5.9)'!$AJ$8:$BC$8,0)),'Калькуляция (5.9)'!$F$25:$F$194,$F151,'Калькуляция (5.9)'!$G$25:$G$194,$G151))</f>
        <v>0</v>
      </c>
      <c r="AZ151" s="22">
        <f ca="1">IF(method_reg="Метод сравнения аналогов",SUMIFS(INDEX('Калькуляция (МСА)'!$AE$25:$BC$109,,MATCH(AZ$8,'Калькуляция (МСА)'!$AE$8:$BC$8,0)),'Калькуляция (МСА)'!$F$25:$F$109,$F151,'Калькуляция (МСА)'!$G$25:$G$109,$G151),SUMIFS(INDEX('Калькуляция (5.9)'!$AJ$25:$BC$194,,MATCH(AZ$8,'Калькуляция (5.9)'!$AJ$8:$BC$8,0)),'Калькуляция (5.9)'!$F$25:$F$194,$F151,'Калькуляция (5.9)'!$G$25:$G$194,$G151))</f>
        <v>0</v>
      </c>
      <c r="BA151" s="312">
        <f ca="1">IF(AY151=0,0,(AZ151-AY151)/AY151*100)</f>
        <v>0</v>
      </c>
      <c r="BB151" s="22">
        <f ca="1">IF(method_reg="Метод сравнения аналогов",SUMIFS(INDEX('Калькуляция (МСА)'!$AE$25:$BC$109,,MATCH(BB$8,'Калькуляция (МСА)'!$AE$8:$BC$8,0)),'Калькуляция (МСА)'!$F$25:$F$109,$F151,'Калькуляция (МСА)'!$G$25:$G$109,$G151),SUMIFS(INDEX('Калькуляция (5.9)'!$AJ$25:$BC$194,,MATCH(BB$8,'Калькуляция (5.9)'!$AJ$8:$BC$8,0)),'Калькуляция (5.9)'!$F$25:$F$194,$F151,'Калькуляция (5.9)'!$G$25:$G$194,$G151))</f>
        <v>0</v>
      </c>
      <c r="BC151" s="22">
        <f ca="1">IF(method_reg="Метод сравнения аналогов",SUMIFS(INDEX('Калькуляция (МСА)'!$AE$25:$BC$109,,MATCH(BC$8,'Калькуляция (МСА)'!$AE$8:$BC$8,0)),'Калькуляция (МСА)'!$F$25:$F$109,$F151,'Калькуляция (МСА)'!$G$25:$G$109,$G151),SUMIFS(INDEX('Калькуляция (5.9)'!$AJ$25:$BC$194,,MATCH(BC$8,'Калькуляция (5.9)'!$AJ$8:$BC$8,0)),'Калькуляция (5.9)'!$F$25:$F$194,$F151,'Калькуляция (5.9)'!$G$25:$G$194,$G151))</f>
        <v>0</v>
      </c>
      <c r="BD151" s="312">
        <f ca="1">IF(BB151=0,0,(BC151-BB151)/BB151*100)</f>
        <v>0</v>
      </c>
      <c r="BE151" s="22">
        <f ca="1">IF(method_reg="Метод сравнения аналогов",SUMIFS(INDEX('Калькуляция (МСА)'!$AE$25:$BC$109,,MATCH(BE$8,'Калькуляция (МСА)'!$AE$8:$BC$8,0)),'Калькуляция (МСА)'!$F$25:$F$109,$F151,'Калькуляция (МСА)'!$G$25:$G$109,$G151),SUMIFS(INDEX('Калькуляция (5.9)'!$AJ$25:$BC$194,,MATCH(BE$8,'Калькуляция (5.9)'!$AJ$8:$BC$8,0)),'Калькуляция (5.9)'!$F$25:$F$194,$F151,'Калькуляция (5.9)'!$G$25:$G$194,$G151))</f>
        <v>0</v>
      </c>
      <c r="BF151" s="22">
        <f ca="1">IF(method_reg="Метод сравнения аналогов",SUMIFS(INDEX('Калькуляция (МСА)'!$AE$25:$BC$109,,MATCH(BF$8,'Калькуляция (МСА)'!$AE$8:$BC$8,0)),'Калькуляция (МСА)'!$F$25:$F$109,$F151,'Калькуляция (МСА)'!$G$25:$G$109,$G151),SUMIFS(INDEX('Калькуляция (5.9)'!$AJ$25:$BC$194,,MATCH(BF$8,'Калькуляция (5.9)'!$AJ$8:$BC$8,0)),'Калькуляция (5.9)'!$F$25:$F$194,$F151,'Калькуляция (5.9)'!$G$25:$G$194,$G151))</f>
        <v>0</v>
      </c>
      <c r="BG151" s="312">
        <f ca="1">IF(BE151=0,0,(BF151-BE151)/BE151*100)</f>
        <v>0</v>
      </c>
      <c r="BH151" s="22"/>
      <c r="BI151" s="22"/>
      <c r="BJ151" s="312">
        <f>IF(BH151=0,0,(BI151-BH151)/BH151*100)</f>
        <v>0</v>
      </c>
      <c r="BK151" s="22"/>
      <c r="BL151" s="22"/>
      <c r="BM151" s="312">
        <f>IF(BK151=0,0,(BL151-BK151)/BK151*100)</f>
        <v>0</v>
      </c>
      <c r="BN151" s="22"/>
      <c r="BO151" s="22"/>
      <c r="BP151" s="312">
        <f>IF(BN151=0,0,(BO151-BN151)/BN151*100)</f>
        <v>0</v>
      </c>
      <c r="BQ151" s="22"/>
      <c r="BR151" s="22"/>
      <c r="BS151" s="312">
        <f>IF(BQ151=0,0,(BR151-BQ151)/BQ151*100)</f>
        <v>0</v>
      </c>
      <c r="BT151" s="22"/>
      <c r="BU151" s="22"/>
      <c r="BV151" s="312">
        <f>IF(BT151=0,0,(BU151-BT151)/BT151*100)</f>
        <v>0</v>
      </c>
      <c r="BW151" s="22"/>
      <c r="BX151" s="22"/>
      <c r="BY151" s="312">
        <f>IF(BW151=0,0,(BX151-BW151)/BW151*100)</f>
        <v>0</v>
      </c>
      <c r="BZ151" s="22"/>
      <c r="CA151" s="22"/>
      <c r="CB151" s="312">
        <f>IF(BZ151=0,0,(CA151-BZ151)/BZ151*100)</f>
        <v>0</v>
      </c>
      <c r="CC151" s="22"/>
      <c r="CD151" s="22"/>
      <c r="CE151" s="312">
        <f>IF(CC151=0,0,(CD151-CC151)/CC151*100)</f>
        <v>0</v>
      </c>
      <c r="CF151" s="22"/>
      <c r="CG151" s="22"/>
      <c r="CH151" s="312">
        <f>IF(CF151=0,0,(CG151-CF151)/CF151*100)</f>
        <v>0</v>
      </c>
      <c r="CI151" s="22"/>
      <c r="CJ151" s="22"/>
      <c r="CK151" s="312">
        <f>IF(CI151=0,0,(CJ151-CI151)/CI151*100)</f>
        <v>0</v>
      </c>
      <c r="CL151" s="22"/>
      <c r="CM151" s="22"/>
      <c r="CN151" s="312">
        <f>IF(CL151=0,0,(CM151-CL151)/CL151*100)</f>
        <v>0</v>
      </c>
      <c r="CO151" s="22"/>
      <c r="CP151" s="22"/>
      <c r="CQ151" s="312">
        <f>IF(CO151=0,0,(CP151-CO151)/CO151*100)</f>
        <v>0</v>
      </c>
      <c r="CR151" s="22"/>
      <c r="CS151" s="22"/>
      <c r="CT151" s="312">
        <f>IF(CR151=0,0,(CS151-CR151)/CR151*100)</f>
        <v>0</v>
      </c>
      <c r="CU151" s="22"/>
      <c r="CV151" s="22"/>
      <c r="CW151" s="312">
        <f>IF(CU151=0,0,(CV151-CU151)/CU151*100)</f>
        <v>0</v>
      </c>
      <c r="CX151" s="22"/>
      <c r="CY151" s="22"/>
      <c r="CZ151" s="312">
        <f>IF(CX151=0,0,(CY151-CX151)/CX151*100)</f>
        <v>0</v>
      </c>
      <c r="DA151" s="22"/>
      <c r="DB151" s="22"/>
      <c r="DC151" s="312">
        <f>IF(DA151=0,0,(DB151-DA151)/DA151*100)</f>
        <v>0</v>
      </c>
      <c r="DD151" s="22"/>
      <c r="DE151" s="22"/>
      <c r="DF151" s="312">
        <f>IF(DD151=0,0,(DE151-DD151)/DD151*100)</f>
        <v>0</v>
      </c>
      <c r="DG151" s="22"/>
      <c r="DH151" s="22"/>
      <c r="DI151" s="312">
        <f>IF(DG151=0,0,(DH151-DG151)/DG151*100)</f>
        <v>0</v>
      </c>
      <c r="DJ151" s="22"/>
      <c r="DK151" s="22"/>
      <c r="DL151" s="312">
        <f>IF(DJ151=0,0,(DK151-DJ151)/DJ151*100)</f>
        <v>0</v>
      </c>
      <c r="DM151" s="22"/>
      <c r="DN151" s="22"/>
      <c r="DO151" s="312">
        <f>IF(DM151=0,0,(DN151-DM151)/DM151*100)</f>
        <v>0</v>
      </c>
      <c r="DP151" s="22"/>
      <c r="DQ151" s="22"/>
      <c r="DR151" s="312">
        <f>IF(DP151=0,0,(DQ151-DP151)/DP151*100)</f>
        <v>0</v>
      </c>
      <c r="DS151" s="22"/>
      <c r="DT151" s="22"/>
      <c r="DU151" s="312">
        <f>IF(DS151=0,0,(DT151-DS151)/DS151*100)</f>
        <v>0</v>
      </c>
      <c r="DV151" s="22"/>
      <c r="DW151" s="22"/>
      <c r="DX151" s="312">
        <f>IF(DV151=0,0,(DW151-DV151)/DV151*100)</f>
        <v>0</v>
      </c>
      <c r="DY151" s="22"/>
      <c r="DZ151" s="22"/>
      <c r="EA151" s="312">
        <f>IF(DY151=0,0,(DZ151-DY151)/DY151*100)</f>
        <v>0</v>
      </c>
      <c r="EB151" s="22"/>
      <c r="EC151" s="22"/>
      <c r="ED151" s="312">
        <f>IF(EB151=0,0,(EC151-EB151)/EB151*100)</f>
        <v>0</v>
      </c>
      <c r="EE151" s="22"/>
      <c r="EF151" s="22"/>
      <c r="EG151" s="312">
        <f>IF(EE151=0,0,(EF151-EE151)/EE151*100)</f>
        <v>0</v>
      </c>
      <c r="EH151" s="22"/>
      <c r="EI151" s="22"/>
      <c r="EJ151" s="312">
        <f>IF(EH151=0,0,(EI151-EH151)/EH151*100)</f>
        <v>0</v>
      </c>
      <c r="EK151" s="22"/>
      <c r="EL151" s="22"/>
      <c r="EM151" s="312">
        <f>IF(EK151=0,0,(EL151-EK151)/EK151*100)</f>
        <v>0</v>
      </c>
      <c r="EN151" s="22"/>
      <c r="EO151" s="22"/>
      <c r="EP151" s="312">
        <f>IF(EN151=0,0,(EO151-EN151)/EN151*100)</f>
        <v>0</v>
      </c>
      <c r="EQ151" s="22"/>
      <c r="ER151" s="22"/>
      <c r="ES151" s="312">
        <f>IF(EQ151=0,0,(ER151-EQ151)/EQ151*100)</f>
        <v>0</v>
      </c>
      <c r="ET151" s="22"/>
      <c r="EU151" s="22"/>
      <c r="EV151" s="312">
        <f>IF(ET151=0,0,(EU151-ET151)/ET151*100)</f>
        <v>0</v>
      </c>
      <c r="EW151" s="22"/>
      <c r="EX151" s="22"/>
      <c r="EY151" s="312">
        <f>IF(EW151=0,0,(EX151-EW151)/EW151*100)</f>
        <v>0</v>
      </c>
      <c r="EZ151" s="22"/>
      <c r="FA151" s="22"/>
      <c r="FB151" s="312">
        <f>IF(EZ151=0,0,(FA151-EZ151)/EZ151*100)</f>
        <v>0</v>
      </c>
      <c r="FC151" s="22"/>
      <c r="FD151" s="22"/>
      <c r="FE151" s="312">
        <f>IF(FC151=0,0,(FD151-FC151)/FC151*100)</f>
        <v>0</v>
      </c>
      <c r="FF151" s="22"/>
      <c r="FG151" s="22"/>
      <c r="FH151" s="312">
        <f>IF(FF151=0,0,(FG151-FF151)/FF151*100)</f>
        <v>0</v>
      </c>
      <c r="FI151" s="22"/>
      <c r="FJ151" s="22"/>
      <c r="FK151" s="312">
        <f>IF(FI151=0,0,(FJ151-FI151)/FI151*100)</f>
        <v>0</v>
      </c>
      <c r="FL151" s="22"/>
      <c r="FM151" s="22"/>
      <c r="FN151" s="312">
        <f>IF(FL151=0,0,(FM151-FL151)/FL151*100)</f>
        <v>0</v>
      </c>
      <c r="FO151" s="22"/>
      <c r="FP151" s="22"/>
      <c r="FQ151" s="312">
        <f>IF(FO151=0,0,(FP151-FO151)/FO151*100)</f>
        <v>0</v>
      </c>
      <c r="FR151" s="22"/>
      <c r="FS151" s="22"/>
      <c r="FT151" s="312">
        <f>IF(FR151=0,0,(FS151-FR151)/FR151*100)</f>
        <v>0</v>
      </c>
      <c r="FU151" s="22"/>
      <c r="FV151" s="22"/>
      <c r="FW151" s="312">
        <f>IF(FU151=0,0,(FV151-FU151)/FU151*100)</f>
        <v>0</v>
      </c>
      <c r="FX151" s="425"/>
      <c r="FY151" s="425"/>
      <c r="FZ151" s="981" t="s">
        <v>2221</v>
      </c>
      <c r="GA151" s="981"/>
      <c r="GB151" s="981"/>
      <c r="GC151" s="981"/>
      <c r="GD151" s="981"/>
    </row>
    <row r="152" spans="1:186" s="1229" customFormat="1" ht="15" hidden="1" customHeight="1">
      <c r="A152" s="1153"/>
      <c r="B152" s="813" t="b" cm="1">
        <f t="array" ref="B152">B151</f>
        <v>0</v>
      </c>
      <c r="C152" s="1118" t="s">
        <v>1805</v>
      </c>
      <c r="D152" s="1087" t="s">
        <v>1806</v>
      </c>
      <c r="E152" s="676">
        <v>15.8</v>
      </c>
      <c r="F152" s="779" t="str" cm="1">
        <f t="array" aca="1" ref="F152" ca="1">OFFSET(G152,-1,-1)</f>
        <v>2</v>
      </c>
      <c r="G152" s="620" t="s">
        <v>1812</v>
      </c>
      <c r="H152" s="163" t="s">
        <v>2213</v>
      </c>
      <c r="I152" s="163" t="s">
        <v>2155</v>
      </c>
      <c r="J152" s="1108"/>
      <c r="K152" s="1108" t="str" cm="1">
        <f t="array" aca="1" ref="K152" ca="1">OFFSET(J152,-1,1)</f>
        <v>ТЭ.42.26322895.0004</v>
      </c>
      <c r="L152" s="1108"/>
      <c r="M152" s="1108" t="s">
        <v>1791</v>
      </c>
      <c r="N152" s="1108" t="s">
        <v>2151</v>
      </c>
      <c r="O152" s="1109" t="s">
        <v>2152</v>
      </c>
      <c r="P152" s="1108" t="s">
        <v>2214</v>
      </c>
      <c r="Q152" s="1108"/>
      <c r="R152" s="784"/>
      <c r="S152" s="425"/>
      <c r="T152" s="687" t="b" cm="1">
        <f t="array" aca="1" ref="T152" ca="1">T151</f>
        <v>0</v>
      </c>
      <c r="U152" s="1153"/>
      <c r="V152" s="1153"/>
      <c r="W152" s="1153"/>
      <c r="X152" s="1726"/>
      <c r="Y152" s="1153"/>
      <c r="Z152" s="1726"/>
      <c r="AA152" s="425"/>
      <c r="AB152" s="223" t="s">
        <v>2215</v>
      </c>
      <c r="AC152" s="557" t="s">
        <v>725</v>
      </c>
      <c r="AD152" s="22">
        <f ca="1">IF(method_reg="Метод экономически обоснованных расходов",SUMIFS('Калькуляция (4.6)'!AJ$25:AJ$229,'Калькуляция (4.6)'!$F$25:$F$229,$F152,'Калькуляция (4.6)'!$G$25:$G$229,$G152),IF(method_reg="Метод сравнения аналогов",SUMIFS(INDEX('Калькуляция (МСА)'!$AE$25:$BC$109,,MATCH(AD$8,'Калькуляция (МСА)'!$AE$8:$BC$8,0)),'Калькуляция (МСА)'!$F$25:$F$109,$F152,'Калькуляция (МСА)'!$G$25:$G$109,$G152),SUMIFS(INDEX('Калькуляция (5.9)'!$AJ$25:$BC$194,,MATCH(AD$8,'Калькуляция (5.9)'!$AJ$8:$BC$8,0)),'Калькуляция (5.9)'!$F$25:$F$194,$F152,'Калькуляция (5.9)'!$G$25:$G$194,$G152)))</f>
        <v>0</v>
      </c>
      <c r="AE152" s="22">
        <f ca="1">IF(method_reg="Метод экономически обоснованных расходов",SUMIFS('Калькуляция (4.6)'!AK$25:AK$229,'Калькуляция (4.6)'!$F$25:$F$229,$F152,'Калькуляция (4.6)'!$G$25:$G$229,$G152),IF(method_reg="Метод сравнения аналогов",SUMIFS(INDEX('Калькуляция (МСА)'!$AE$25:$BC$109,,MATCH(AE$8,'Калькуляция (МСА)'!$AE$8:$BC$8,0)),'Калькуляция (МСА)'!$F$25:$F$109,$F152,'Калькуляция (МСА)'!$G$25:$G$109,$G152),SUMIFS(INDEX('Калькуляция (5.9)'!$AJ$25:$BC$194,,MATCH(AE$8,'Калькуляция (5.9)'!$AJ$8:$BC$8,0)),'Калькуляция (5.9)'!$F$25:$F$194,$F152,'Калькуляция (5.9)'!$G$25:$G$194,$G152)))</f>
        <v>0</v>
      </c>
      <c r="AF152" s="312">
        <f ca="1">IF(AD152=0,0,(AE152-AD152)/AD152*100)</f>
        <v>0</v>
      </c>
      <c r="AG152" s="313">
        <f ca="1">IF(method_reg="Метод сравнения аналогов",SUMIFS(INDEX('Калькуляция (МСА)'!$AE$25:$BC$109,,MATCH(AG$8,'Калькуляция (МСА)'!$AE$8:$BC$8,0)),'Калькуляция (МСА)'!$F$25:$F$109,$F152,'Калькуляция (МСА)'!$G$25:$G$109,$G152),SUMIFS(INDEX('Калькуляция (5.9)'!$AJ$25:$BC$194,,MATCH(AG$8,'Калькуляция (5.9)'!$AJ$8:$BC$8,0)),'Калькуляция (5.9)'!$F$25:$F$194,$F152,'Калькуляция (5.9)'!$G$25:$G$194,$G152))</f>
        <v>0</v>
      </c>
      <c r="AH152" s="313">
        <f ca="1">IF(method_reg="Метод сравнения аналогов",SUMIFS(INDEX('Калькуляция (МСА)'!$AE$25:$BC$109,,MATCH(AH$8,'Калькуляция (МСА)'!$AE$8:$BC$8,0)),'Калькуляция (МСА)'!$F$25:$F$109,$F152,'Калькуляция (МСА)'!$G$25:$G$109,$G152),SUMIFS(INDEX('Калькуляция (5.9)'!$AJ$25:$BC$194,,MATCH(AH$8,'Калькуляция (5.9)'!$AJ$8:$BC$8,0)),'Калькуляция (5.9)'!$F$25:$F$194,$F152,'Калькуляция (5.9)'!$G$25:$G$194,$G152))</f>
        <v>0</v>
      </c>
      <c r="AI152" s="312">
        <f ca="1">IF(AG152=0,0,(AH152-AG152)/AG152*100)</f>
        <v>0</v>
      </c>
      <c r="AJ152" s="313">
        <f ca="1">IF(method_reg="Метод сравнения аналогов",SUMIFS(INDEX('Калькуляция (МСА)'!$AE$25:$BC$109,,MATCH(AJ$8,'Калькуляция (МСА)'!$AE$8:$BC$8,0)),'Калькуляция (МСА)'!$F$25:$F$109,$F152,'Калькуляция (МСА)'!$G$25:$G$109,$G152),SUMIFS(INDEX('Калькуляция (5.9)'!$AJ$25:$BC$194,,MATCH(AJ$8,'Калькуляция (5.9)'!$AJ$8:$BC$8,0)),'Калькуляция (5.9)'!$F$25:$F$194,$F152,'Калькуляция (5.9)'!$G$25:$G$194,$G152))</f>
        <v>0</v>
      </c>
      <c r="AK152" s="313">
        <f ca="1">IF(method_reg="Метод сравнения аналогов",SUMIFS(INDEX('Калькуляция (МСА)'!$AE$25:$BC$109,,MATCH(AK$8,'Калькуляция (МСА)'!$AE$8:$BC$8,0)),'Калькуляция (МСА)'!$F$25:$F$109,$F152,'Калькуляция (МСА)'!$G$25:$G$109,$G152),SUMIFS(INDEX('Калькуляция (5.9)'!$AJ$25:$BC$194,,MATCH(AK$8,'Калькуляция (5.9)'!$AJ$8:$BC$8,0)),'Калькуляция (5.9)'!$F$25:$F$194,$F152,'Калькуляция (5.9)'!$G$25:$G$194,$G152))</f>
        <v>0</v>
      </c>
      <c r="AL152" s="312">
        <f ca="1">IF(AJ152=0,0,(AK152-AJ152)/AJ152*100)</f>
        <v>0</v>
      </c>
      <c r="AM152" s="313">
        <f ca="1">IF(method_reg="Метод сравнения аналогов",SUMIFS(INDEX('Калькуляция (МСА)'!$AE$25:$BC$109,,MATCH(AM$8,'Калькуляция (МСА)'!$AE$8:$BC$8,0)),'Калькуляция (МСА)'!$F$25:$F$109,$F152,'Калькуляция (МСА)'!$G$25:$G$109,$G152),SUMIFS(INDEX('Калькуляция (5.9)'!$AJ$25:$BC$194,,MATCH(AM$8,'Калькуляция (5.9)'!$AJ$8:$BC$8,0)),'Калькуляция (5.9)'!$F$25:$F$194,$F152,'Калькуляция (5.9)'!$G$25:$G$194,$G152))</f>
        <v>0</v>
      </c>
      <c r="AN152" s="313">
        <f ca="1">IF(method_reg="Метод сравнения аналогов",SUMIFS(INDEX('Калькуляция (МСА)'!$AE$25:$BC$109,,MATCH(AN$8,'Калькуляция (МСА)'!$AE$8:$BC$8,0)),'Калькуляция (МСА)'!$F$25:$F$109,$F152,'Калькуляция (МСА)'!$G$25:$G$109,$G152),SUMIFS(INDEX('Калькуляция (5.9)'!$AJ$25:$BC$194,,MATCH(AN$8,'Калькуляция (5.9)'!$AJ$8:$BC$8,0)),'Калькуляция (5.9)'!$F$25:$F$194,$F152,'Калькуляция (5.9)'!$G$25:$G$194,$G152))</f>
        <v>0</v>
      </c>
      <c r="AO152" s="312">
        <f ca="1">IF(AM152=0,0,(AN152-AM152)/AM152*100)</f>
        <v>0</v>
      </c>
      <c r="AP152" s="313">
        <f ca="1">IF(method_reg="Метод сравнения аналогов",SUMIFS(INDEX('Калькуляция (МСА)'!$AE$25:$BC$109,,MATCH(AP$8,'Калькуляция (МСА)'!$AE$8:$BC$8,0)),'Калькуляция (МСА)'!$F$25:$F$109,$F152,'Калькуляция (МСА)'!$G$25:$G$109,$G152),SUMIFS(INDEX('Калькуляция (5.9)'!$AJ$25:$BC$194,,MATCH(AP$8,'Калькуляция (5.9)'!$AJ$8:$BC$8,0)),'Калькуляция (5.9)'!$F$25:$F$194,$F152,'Калькуляция (5.9)'!$G$25:$G$194,$G152))</f>
        <v>0</v>
      </c>
      <c r="AQ152" s="313">
        <f ca="1">IF(method_reg="Метод сравнения аналогов",SUMIFS(INDEX('Калькуляция (МСА)'!$AE$25:$BC$109,,MATCH(AQ$8,'Калькуляция (МСА)'!$AE$8:$BC$8,0)),'Калькуляция (МСА)'!$F$25:$F$109,$F152,'Калькуляция (МСА)'!$G$25:$G$109,$G152),SUMIFS(INDEX('Калькуляция (5.9)'!$AJ$25:$BC$194,,MATCH(AQ$8,'Калькуляция (5.9)'!$AJ$8:$BC$8,0)),'Калькуляция (5.9)'!$F$25:$F$194,$F152,'Калькуляция (5.9)'!$G$25:$G$194,$G152))</f>
        <v>0</v>
      </c>
      <c r="AR152" s="312">
        <f ca="1">IF(AP152=0,0,(AQ152-AP152)/AP152*100)</f>
        <v>0</v>
      </c>
      <c r="AS152" s="22">
        <f ca="1">IF(method_reg="Метод сравнения аналогов",SUMIFS(INDEX('Калькуляция (МСА)'!$AE$25:$BC$109,,MATCH(AS$8,'Калькуляция (МСА)'!$AE$8:$BC$8,0)),'Калькуляция (МСА)'!$F$25:$F$109,$F152,'Калькуляция (МСА)'!$G$25:$G$109,$G152),SUMIFS(INDEX('Калькуляция (5.9)'!$AJ$25:$BC$194,,MATCH(AS$8,'Калькуляция (5.9)'!$AJ$8:$BC$8,0)),'Калькуляция (5.9)'!$F$25:$F$194,$F152,'Калькуляция (5.9)'!$G$25:$G$194,$G152))</f>
        <v>0</v>
      </c>
      <c r="AT152" s="22">
        <f ca="1">IF(method_reg="Метод сравнения аналогов",SUMIFS(INDEX('Калькуляция (МСА)'!$AE$25:$BC$109,,MATCH(AT$8,'Калькуляция (МСА)'!$AE$8:$BC$8,0)),'Калькуляция (МСА)'!$F$25:$F$109,$F152,'Калькуляция (МСА)'!$G$25:$G$109,$G152),SUMIFS(INDEX('Калькуляция (5.9)'!$AJ$25:$BC$194,,MATCH(AT$8,'Калькуляция (5.9)'!$AJ$8:$BC$8,0)),'Калькуляция (5.9)'!$F$25:$F$194,$F152,'Калькуляция (5.9)'!$G$25:$G$194,$G152))</f>
        <v>0</v>
      </c>
      <c r="AU152" s="312">
        <f ca="1">IF(AS152=0,0,(AT152-AS152)/AS152*100)</f>
        <v>0</v>
      </c>
      <c r="AV152" s="22">
        <f ca="1">IF(method_reg="Метод сравнения аналогов",SUMIFS(INDEX('Калькуляция (МСА)'!$AE$25:$BC$109,,MATCH(AV$8,'Калькуляция (МСА)'!$AE$8:$BC$8,0)),'Калькуляция (МСА)'!$F$25:$F$109,$F152,'Калькуляция (МСА)'!$G$25:$G$109,$G152),SUMIFS(INDEX('Калькуляция (5.9)'!$AJ$25:$BC$194,,MATCH(AV$8,'Калькуляция (5.9)'!$AJ$8:$BC$8,0)),'Калькуляция (5.9)'!$F$25:$F$194,$F152,'Калькуляция (5.9)'!$G$25:$G$194,$G152))</f>
        <v>0</v>
      </c>
      <c r="AW152" s="22">
        <f ca="1">IF(method_reg="Метод сравнения аналогов",SUMIFS(INDEX('Калькуляция (МСА)'!$AE$25:$BC$109,,MATCH(AW$8,'Калькуляция (МСА)'!$AE$8:$BC$8,0)),'Калькуляция (МСА)'!$F$25:$F$109,$F152,'Калькуляция (МСА)'!$G$25:$G$109,$G152),SUMIFS(INDEX('Калькуляция (5.9)'!$AJ$25:$BC$194,,MATCH(AW$8,'Калькуляция (5.9)'!$AJ$8:$BC$8,0)),'Калькуляция (5.9)'!$F$25:$F$194,$F152,'Калькуляция (5.9)'!$G$25:$G$194,$G152))</f>
        <v>0</v>
      </c>
      <c r="AX152" s="312">
        <f ca="1">IF(AV152=0,0,(AW152-AV152)/AV152*100)</f>
        <v>0</v>
      </c>
      <c r="AY152" s="22">
        <f ca="1">IF(method_reg="Метод сравнения аналогов",SUMIFS(INDEX('Калькуляция (МСА)'!$AE$25:$BC$109,,MATCH(AY$8,'Калькуляция (МСА)'!$AE$8:$BC$8,0)),'Калькуляция (МСА)'!$F$25:$F$109,$F152,'Калькуляция (МСА)'!$G$25:$G$109,$G152),SUMIFS(INDEX('Калькуляция (5.9)'!$AJ$25:$BC$194,,MATCH(AY$8,'Калькуляция (5.9)'!$AJ$8:$BC$8,0)),'Калькуляция (5.9)'!$F$25:$F$194,$F152,'Калькуляция (5.9)'!$G$25:$G$194,$G152))</f>
        <v>0</v>
      </c>
      <c r="AZ152" s="22">
        <f ca="1">IF(method_reg="Метод сравнения аналогов",SUMIFS(INDEX('Калькуляция (МСА)'!$AE$25:$BC$109,,MATCH(AZ$8,'Калькуляция (МСА)'!$AE$8:$BC$8,0)),'Калькуляция (МСА)'!$F$25:$F$109,$F152,'Калькуляция (МСА)'!$G$25:$G$109,$G152),SUMIFS(INDEX('Калькуляция (5.9)'!$AJ$25:$BC$194,,MATCH(AZ$8,'Калькуляция (5.9)'!$AJ$8:$BC$8,0)),'Калькуляция (5.9)'!$F$25:$F$194,$F152,'Калькуляция (5.9)'!$G$25:$G$194,$G152))</f>
        <v>0</v>
      </c>
      <c r="BA152" s="312">
        <f ca="1">IF(AY152=0,0,(AZ152-AY152)/AY152*100)</f>
        <v>0</v>
      </c>
      <c r="BB152" s="22">
        <f ca="1">IF(method_reg="Метод сравнения аналогов",SUMIFS(INDEX('Калькуляция (МСА)'!$AE$25:$BC$109,,MATCH(BB$8,'Калькуляция (МСА)'!$AE$8:$BC$8,0)),'Калькуляция (МСА)'!$F$25:$F$109,$F152,'Калькуляция (МСА)'!$G$25:$G$109,$G152),SUMIFS(INDEX('Калькуляция (5.9)'!$AJ$25:$BC$194,,MATCH(BB$8,'Калькуляция (5.9)'!$AJ$8:$BC$8,0)),'Калькуляция (5.9)'!$F$25:$F$194,$F152,'Калькуляция (5.9)'!$G$25:$G$194,$G152))</f>
        <v>0</v>
      </c>
      <c r="BC152" s="22">
        <f ca="1">IF(method_reg="Метод сравнения аналогов",SUMIFS(INDEX('Калькуляция (МСА)'!$AE$25:$BC$109,,MATCH(BC$8,'Калькуляция (МСА)'!$AE$8:$BC$8,0)),'Калькуляция (МСА)'!$F$25:$F$109,$F152,'Калькуляция (МСА)'!$G$25:$G$109,$G152),SUMIFS(INDEX('Калькуляция (5.9)'!$AJ$25:$BC$194,,MATCH(BC$8,'Калькуляция (5.9)'!$AJ$8:$BC$8,0)),'Калькуляция (5.9)'!$F$25:$F$194,$F152,'Калькуляция (5.9)'!$G$25:$G$194,$G152))</f>
        <v>0</v>
      </c>
      <c r="BD152" s="312">
        <f ca="1">IF(BB152=0,0,(BC152-BB152)/BB152*100)</f>
        <v>0</v>
      </c>
      <c r="BE152" s="22">
        <f ca="1">IF(method_reg="Метод сравнения аналогов",SUMIFS(INDEX('Калькуляция (МСА)'!$AE$25:$BC$109,,MATCH(BE$8,'Калькуляция (МСА)'!$AE$8:$BC$8,0)),'Калькуляция (МСА)'!$F$25:$F$109,$F152,'Калькуляция (МСА)'!$G$25:$G$109,$G152),SUMIFS(INDEX('Калькуляция (5.9)'!$AJ$25:$BC$194,,MATCH(BE$8,'Калькуляция (5.9)'!$AJ$8:$BC$8,0)),'Калькуляция (5.9)'!$F$25:$F$194,$F152,'Калькуляция (5.9)'!$G$25:$G$194,$G152))</f>
        <v>0</v>
      </c>
      <c r="BF152" s="22">
        <f ca="1">IF(method_reg="Метод сравнения аналогов",SUMIFS(INDEX('Калькуляция (МСА)'!$AE$25:$BC$109,,MATCH(BF$8,'Калькуляция (МСА)'!$AE$8:$BC$8,0)),'Калькуляция (МСА)'!$F$25:$F$109,$F152,'Калькуляция (МСА)'!$G$25:$G$109,$G152),SUMIFS(INDEX('Калькуляция (5.9)'!$AJ$25:$BC$194,,MATCH(BF$8,'Калькуляция (5.9)'!$AJ$8:$BC$8,0)),'Калькуляция (5.9)'!$F$25:$F$194,$F152,'Калькуляция (5.9)'!$G$25:$G$194,$G152))</f>
        <v>0</v>
      </c>
      <c r="BG152" s="312">
        <f ca="1">IF(BE152=0,0,(BF152-BE152)/BE152*100)</f>
        <v>0</v>
      </c>
      <c r="BH152" s="22"/>
      <c r="BI152" s="22"/>
      <c r="BJ152" s="312">
        <f>IF(BH152=0,0,(BI152-BH152)/BH152*100)</f>
        <v>0</v>
      </c>
      <c r="BK152" s="22"/>
      <c r="BL152" s="22"/>
      <c r="BM152" s="312">
        <f>IF(BK152=0,0,(BL152-BK152)/BK152*100)</f>
        <v>0</v>
      </c>
      <c r="BN152" s="22"/>
      <c r="BO152" s="22"/>
      <c r="BP152" s="312">
        <f>IF(BN152=0,0,(BO152-BN152)/BN152*100)</f>
        <v>0</v>
      </c>
      <c r="BQ152" s="22"/>
      <c r="BR152" s="22"/>
      <c r="BS152" s="312">
        <f>IF(BQ152=0,0,(BR152-BQ152)/BQ152*100)</f>
        <v>0</v>
      </c>
      <c r="BT152" s="22"/>
      <c r="BU152" s="22"/>
      <c r="BV152" s="312">
        <f>IF(BT152=0,0,(BU152-BT152)/BT152*100)</f>
        <v>0</v>
      </c>
      <c r="BW152" s="22"/>
      <c r="BX152" s="22"/>
      <c r="BY152" s="312">
        <f>IF(BW152=0,0,(BX152-BW152)/BW152*100)</f>
        <v>0</v>
      </c>
      <c r="BZ152" s="22"/>
      <c r="CA152" s="22"/>
      <c r="CB152" s="312">
        <f>IF(BZ152=0,0,(CA152-BZ152)/BZ152*100)</f>
        <v>0</v>
      </c>
      <c r="CC152" s="22"/>
      <c r="CD152" s="22"/>
      <c r="CE152" s="312">
        <f>IF(CC152=0,0,(CD152-CC152)/CC152*100)</f>
        <v>0</v>
      </c>
      <c r="CF152" s="22"/>
      <c r="CG152" s="22"/>
      <c r="CH152" s="312">
        <f>IF(CF152=0,0,(CG152-CF152)/CF152*100)</f>
        <v>0</v>
      </c>
      <c r="CI152" s="22"/>
      <c r="CJ152" s="22"/>
      <c r="CK152" s="312">
        <f>IF(CI152=0,0,(CJ152-CI152)/CI152*100)</f>
        <v>0</v>
      </c>
      <c r="CL152" s="22"/>
      <c r="CM152" s="22"/>
      <c r="CN152" s="312">
        <f>IF(CL152=0,0,(CM152-CL152)/CL152*100)</f>
        <v>0</v>
      </c>
      <c r="CO152" s="22"/>
      <c r="CP152" s="22"/>
      <c r="CQ152" s="312">
        <f>IF(CO152=0,0,(CP152-CO152)/CO152*100)</f>
        <v>0</v>
      </c>
      <c r="CR152" s="22"/>
      <c r="CS152" s="22"/>
      <c r="CT152" s="312">
        <f>IF(CR152=0,0,(CS152-CR152)/CR152*100)</f>
        <v>0</v>
      </c>
      <c r="CU152" s="22"/>
      <c r="CV152" s="22"/>
      <c r="CW152" s="312">
        <f>IF(CU152=0,0,(CV152-CU152)/CU152*100)</f>
        <v>0</v>
      </c>
      <c r="CX152" s="22"/>
      <c r="CY152" s="22"/>
      <c r="CZ152" s="312">
        <f>IF(CX152=0,0,(CY152-CX152)/CX152*100)</f>
        <v>0</v>
      </c>
      <c r="DA152" s="22"/>
      <c r="DB152" s="22"/>
      <c r="DC152" s="312">
        <f>IF(DA152=0,0,(DB152-DA152)/DA152*100)</f>
        <v>0</v>
      </c>
      <c r="DD152" s="22"/>
      <c r="DE152" s="22"/>
      <c r="DF152" s="312">
        <f>IF(DD152=0,0,(DE152-DD152)/DD152*100)</f>
        <v>0</v>
      </c>
      <c r="DG152" s="22"/>
      <c r="DH152" s="22"/>
      <c r="DI152" s="312">
        <f>IF(DG152=0,0,(DH152-DG152)/DG152*100)</f>
        <v>0</v>
      </c>
      <c r="DJ152" s="22"/>
      <c r="DK152" s="22"/>
      <c r="DL152" s="312">
        <f>IF(DJ152=0,0,(DK152-DJ152)/DJ152*100)</f>
        <v>0</v>
      </c>
      <c r="DM152" s="22"/>
      <c r="DN152" s="22"/>
      <c r="DO152" s="312">
        <f>IF(DM152=0,0,(DN152-DM152)/DM152*100)</f>
        <v>0</v>
      </c>
      <c r="DP152" s="22"/>
      <c r="DQ152" s="22"/>
      <c r="DR152" s="312">
        <f>IF(DP152=0,0,(DQ152-DP152)/DP152*100)</f>
        <v>0</v>
      </c>
      <c r="DS152" s="22"/>
      <c r="DT152" s="22"/>
      <c r="DU152" s="312">
        <f>IF(DS152=0,0,(DT152-DS152)/DS152*100)</f>
        <v>0</v>
      </c>
      <c r="DV152" s="22"/>
      <c r="DW152" s="22"/>
      <c r="DX152" s="312">
        <f>IF(DV152=0,0,(DW152-DV152)/DV152*100)</f>
        <v>0</v>
      </c>
      <c r="DY152" s="22"/>
      <c r="DZ152" s="22"/>
      <c r="EA152" s="312">
        <f>IF(DY152=0,0,(DZ152-DY152)/DY152*100)</f>
        <v>0</v>
      </c>
      <c r="EB152" s="22"/>
      <c r="EC152" s="22"/>
      <c r="ED152" s="312">
        <f>IF(EB152=0,0,(EC152-EB152)/EB152*100)</f>
        <v>0</v>
      </c>
      <c r="EE152" s="22"/>
      <c r="EF152" s="22"/>
      <c r="EG152" s="312">
        <f>IF(EE152=0,0,(EF152-EE152)/EE152*100)</f>
        <v>0</v>
      </c>
      <c r="EH152" s="22"/>
      <c r="EI152" s="22"/>
      <c r="EJ152" s="312">
        <f>IF(EH152=0,0,(EI152-EH152)/EH152*100)</f>
        <v>0</v>
      </c>
      <c r="EK152" s="22"/>
      <c r="EL152" s="22"/>
      <c r="EM152" s="312">
        <f>IF(EK152=0,0,(EL152-EK152)/EK152*100)</f>
        <v>0</v>
      </c>
      <c r="EN152" s="22"/>
      <c r="EO152" s="22"/>
      <c r="EP152" s="312">
        <f>IF(EN152=0,0,(EO152-EN152)/EN152*100)</f>
        <v>0</v>
      </c>
      <c r="EQ152" s="22"/>
      <c r="ER152" s="22"/>
      <c r="ES152" s="312">
        <f>IF(EQ152=0,0,(ER152-EQ152)/EQ152*100)</f>
        <v>0</v>
      </c>
      <c r="ET152" s="22"/>
      <c r="EU152" s="22"/>
      <c r="EV152" s="312">
        <f>IF(ET152=0,0,(EU152-ET152)/ET152*100)</f>
        <v>0</v>
      </c>
      <c r="EW152" s="22"/>
      <c r="EX152" s="22"/>
      <c r="EY152" s="312">
        <f>IF(EW152=0,0,(EX152-EW152)/EW152*100)</f>
        <v>0</v>
      </c>
      <c r="EZ152" s="22"/>
      <c r="FA152" s="22"/>
      <c r="FB152" s="312">
        <f>IF(EZ152=0,0,(FA152-EZ152)/EZ152*100)</f>
        <v>0</v>
      </c>
      <c r="FC152" s="22"/>
      <c r="FD152" s="22"/>
      <c r="FE152" s="312">
        <f>IF(FC152=0,0,(FD152-FC152)/FC152*100)</f>
        <v>0</v>
      </c>
      <c r="FF152" s="22"/>
      <c r="FG152" s="22"/>
      <c r="FH152" s="312">
        <f>IF(FF152=0,0,(FG152-FF152)/FF152*100)</f>
        <v>0</v>
      </c>
      <c r="FI152" s="22"/>
      <c r="FJ152" s="22"/>
      <c r="FK152" s="312">
        <f>IF(FI152=0,0,(FJ152-FI152)/FI152*100)</f>
        <v>0</v>
      </c>
      <c r="FL152" s="22"/>
      <c r="FM152" s="22"/>
      <c r="FN152" s="312">
        <f>IF(FL152=0,0,(FM152-FL152)/FL152*100)</f>
        <v>0</v>
      </c>
      <c r="FO152" s="22"/>
      <c r="FP152" s="22"/>
      <c r="FQ152" s="312">
        <f>IF(FO152=0,0,(FP152-FO152)/FO152*100)</f>
        <v>0</v>
      </c>
      <c r="FR152" s="22"/>
      <c r="FS152" s="22"/>
      <c r="FT152" s="312">
        <f>IF(FR152=0,0,(FS152-FR152)/FR152*100)</f>
        <v>0</v>
      </c>
      <c r="FU152" s="22"/>
      <c r="FV152" s="22"/>
      <c r="FW152" s="312">
        <f>IF(FU152=0,0,(FV152-FU152)/FU152*100)</f>
        <v>0</v>
      </c>
      <c r="FX152" s="425"/>
      <c r="FY152" s="425"/>
      <c r="FZ152" s="981" t="s">
        <v>2222</v>
      </c>
      <c r="GA152" s="981"/>
      <c r="GB152" s="981"/>
      <c r="GC152" s="981"/>
      <c r="GD152" s="981"/>
    </row>
    <row r="153" spans="1:186" s="1229" customFormat="1" ht="15" hidden="1" customHeight="1">
      <c r="A153" s="1153"/>
      <c r="B153" s="813" t="b" cm="1">
        <f t="array" ref="B153">B152</f>
        <v>0</v>
      </c>
      <c r="C153" s="1118"/>
      <c r="D153" s="1087"/>
      <c r="E153" s="676">
        <v>15.8</v>
      </c>
      <c r="F153" s="779" t="str" cm="1">
        <f t="array" aca="1" ref="F153" ca="1">OFFSET(G153,-1,-1)</f>
        <v>2</v>
      </c>
      <c r="G153" s="425"/>
      <c r="H153" s="425"/>
      <c r="I153" s="425"/>
      <c r="J153" s="1092"/>
      <c r="K153" s="1108" t="str" cm="1">
        <f t="array" aca="1" ref="K153" ca="1">OFFSET(J153,-1,1)</f>
        <v>ТЭ.42.26322895.0004</v>
      </c>
      <c r="L153" s="1092"/>
      <c r="M153" s="1092"/>
      <c r="N153" s="1092"/>
      <c r="O153" s="1092"/>
      <c r="P153" s="1108"/>
      <c r="Q153" s="1108"/>
      <c r="R153" s="784"/>
      <c r="S153" s="425"/>
      <c r="T153" s="687" t="b" cm="1">
        <f t="array" aca="1" ref="T153" ca="1">T152</f>
        <v>0</v>
      </c>
      <c r="U153" s="1153"/>
      <c r="V153" s="1153"/>
      <c r="W153" s="1153"/>
      <c r="X153" s="1726"/>
      <c r="Y153" s="1153"/>
      <c r="Z153" s="1726"/>
      <c r="AA153" s="425"/>
      <c r="AB153" s="1140" t="s">
        <v>2173</v>
      </c>
      <c r="AC153" s="314"/>
      <c r="AD153" s="315"/>
      <c r="AE153" s="315"/>
      <c r="AF153" s="315"/>
      <c r="AG153" s="315"/>
      <c r="AH153" s="315"/>
      <c r="AI153" s="315"/>
      <c r="AJ153" s="315"/>
      <c r="AK153" s="315"/>
      <c r="AL153" s="315"/>
      <c r="AM153" s="315"/>
      <c r="AN153" s="315"/>
      <c r="AO153" s="315"/>
      <c r="AP153" s="315"/>
      <c r="AQ153" s="315"/>
      <c r="AR153" s="315"/>
      <c r="AS153" s="315"/>
      <c r="AT153" s="315"/>
      <c r="AU153" s="315"/>
      <c r="AV153" s="315"/>
      <c r="AW153" s="315"/>
      <c r="AX153" s="315"/>
      <c r="AY153" s="315"/>
      <c r="AZ153" s="315"/>
      <c r="BA153" s="315"/>
      <c r="BB153" s="315"/>
      <c r="BC153" s="315"/>
      <c r="BD153" s="315"/>
      <c r="BE153" s="315"/>
      <c r="BF153" s="315"/>
      <c r="BG153" s="315"/>
      <c r="BH153" s="315"/>
      <c r="BI153" s="315"/>
      <c r="BJ153" s="315"/>
      <c r="BK153" s="315"/>
      <c r="BL153" s="315"/>
      <c r="BM153" s="315"/>
      <c r="BN153" s="315"/>
      <c r="BO153" s="315"/>
      <c r="BP153" s="315"/>
      <c r="BQ153" s="315"/>
      <c r="BR153" s="315"/>
      <c r="BS153" s="315"/>
      <c r="BT153" s="315"/>
      <c r="BU153" s="315"/>
      <c r="BV153" s="315"/>
      <c r="BW153" s="315"/>
      <c r="BX153" s="315"/>
      <c r="BY153" s="315"/>
      <c r="BZ153" s="315"/>
      <c r="CA153" s="315"/>
      <c r="CB153" s="315"/>
      <c r="CC153" s="315"/>
      <c r="CD153" s="315"/>
      <c r="CE153" s="315"/>
      <c r="CF153" s="315"/>
      <c r="CG153" s="315"/>
      <c r="CH153" s="315"/>
      <c r="CI153" s="315"/>
      <c r="CJ153" s="315"/>
      <c r="CK153" s="315"/>
      <c r="CL153" s="315"/>
      <c r="CM153" s="315"/>
      <c r="CN153" s="315"/>
      <c r="CO153" s="315"/>
      <c r="CP153" s="315"/>
      <c r="CQ153" s="315"/>
      <c r="CR153" s="315"/>
      <c r="CS153" s="315"/>
      <c r="CT153" s="315"/>
      <c r="CU153" s="315"/>
      <c r="CV153" s="315"/>
      <c r="CW153" s="315"/>
      <c r="CX153" s="315"/>
      <c r="CY153" s="315"/>
      <c r="CZ153" s="315"/>
      <c r="DA153" s="315"/>
      <c r="DB153" s="315"/>
      <c r="DC153" s="315"/>
      <c r="DD153" s="315"/>
      <c r="DE153" s="315"/>
      <c r="DF153" s="315"/>
      <c r="DG153" s="315"/>
      <c r="DH153" s="315"/>
      <c r="DI153" s="315"/>
      <c r="DJ153" s="315"/>
      <c r="DK153" s="315"/>
      <c r="DL153" s="315"/>
      <c r="DM153" s="315"/>
      <c r="DN153" s="315"/>
      <c r="DO153" s="315"/>
      <c r="DP153" s="315"/>
      <c r="DQ153" s="315"/>
      <c r="DR153" s="315"/>
      <c r="DS153" s="315"/>
      <c r="DT153" s="315"/>
      <c r="DU153" s="315"/>
      <c r="DV153" s="315"/>
      <c r="DW153" s="315"/>
      <c r="DX153" s="315"/>
      <c r="DY153" s="315"/>
      <c r="DZ153" s="315"/>
      <c r="EA153" s="315"/>
      <c r="EB153" s="315"/>
      <c r="EC153" s="315"/>
      <c r="ED153" s="315"/>
      <c r="EE153" s="315"/>
      <c r="EF153" s="315"/>
      <c r="EG153" s="315"/>
      <c r="EH153" s="315"/>
      <c r="EI153" s="315"/>
      <c r="EJ153" s="315"/>
      <c r="EK153" s="315"/>
      <c r="EL153" s="315"/>
      <c r="EM153" s="315"/>
      <c r="EN153" s="315"/>
      <c r="EO153" s="315"/>
      <c r="EP153" s="315"/>
      <c r="EQ153" s="315"/>
      <c r="ER153" s="315"/>
      <c r="ES153" s="315"/>
      <c r="ET153" s="315"/>
      <c r="EU153" s="315"/>
      <c r="EV153" s="315"/>
      <c r="EW153" s="315"/>
      <c r="EX153" s="315"/>
      <c r="EY153" s="315"/>
      <c r="EZ153" s="315"/>
      <c r="FA153" s="315"/>
      <c r="FB153" s="315"/>
      <c r="FC153" s="315"/>
      <c r="FD153" s="315"/>
      <c r="FE153" s="315"/>
      <c r="FF153" s="315"/>
      <c r="FG153" s="315"/>
      <c r="FH153" s="315"/>
      <c r="FI153" s="315"/>
      <c r="FJ153" s="315"/>
      <c r="FK153" s="315"/>
      <c r="FL153" s="315"/>
      <c r="FM153" s="315"/>
      <c r="FN153" s="315"/>
      <c r="FO153" s="315"/>
      <c r="FP153" s="315"/>
      <c r="FQ153" s="315"/>
      <c r="FR153" s="315"/>
      <c r="FS153" s="315"/>
      <c r="FT153" s="315"/>
      <c r="FU153" s="315"/>
      <c r="FV153" s="315"/>
      <c r="FW153" s="316"/>
      <c r="FX153" s="425"/>
      <c r="FY153" s="425"/>
      <c r="FZ153" s="1015"/>
      <c r="GA153" s="981"/>
      <c r="GB153" s="981"/>
      <c r="GC153" s="981"/>
      <c r="GD153" s="981"/>
    </row>
    <row r="154" spans="1:186" s="1229" customFormat="1" ht="15" hidden="1" customHeight="1">
      <c r="A154" s="1153"/>
      <c r="B154" s="813" t="b" cm="1">
        <f t="array" ref="B154">B153</f>
        <v>0</v>
      </c>
      <c r="C154" s="1118" t="s">
        <v>2223</v>
      </c>
      <c r="D154" s="1087" t="s">
        <v>2224</v>
      </c>
      <c r="E154" s="676">
        <v>15.8</v>
      </c>
      <c r="F154" s="779" t="str" cm="1">
        <f t="array" aca="1" ref="F154" ca="1">OFFSET(G154,-1,-1)</f>
        <v>2</v>
      </c>
      <c r="G154" s="425"/>
      <c r="H154" s="163" t="s">
        <v>2195</v>
      </c>
      <c r="I154" s="163" t="s">
        <v>2170</v>
      </c>
      <c r="J154" s="1108"/>
      <c r="K154" s="1108" t="str" cm="1">
        <f t="array" aca="1" ref="K154" ca="1">OFFSET(J154,-1,1)</f>
        <v>ТЭ.42.26322895.0004</v>
      </c>
      <c r="L154" s="1108"/>
      <c r="M154" s="1108" t="s">
        <v>1782</v>
      </c>
      <c r="N154" s="1108" t="s">
        <v>2171</v>
      </c>
      <c r="O154" s="1109" t="s">
        <v>2172</v>
      </c>
      <c r="P154" s="1108" t="s">
        <v>2196</v>
      </c>
      <c r="Q154" s="1108"/>
      <c r="R154" s="784"/>
      <c r="S154" s="425"/>
      <c r="T154" s="687" t="b" cm="1">
        <f t="array" aca="1" ref="T154" ca="1">T153</f>
        <v>0</v>
      </c>
      <c r="U154" s="1153"/>
      <c r="V154" s="1153"/>
      <c r="W154" s="1153"/>
      <c r="X154" s="1726"/>
      <c r="Y154" s="1153"/>
      <c r="Z154" s="1726"/>
      <c r="AA154" s="425"/>
      <c r="AB154" s="223" t="s">
        <v>2197</v>
      </c>
      <c r="AC154" s="123" t="s">
        <v>929</v>
      </c>
      <c r="AD154" s="22">
        <f>IF(AD156=0,0,(AD155*AD156+AD157*AD158*IF(god=2026,9,6))/AD156)</f>
        <v>0</v>
      </c>
      <c r="AE154" s="22">
        <f>IF(AE156=0,0,(AE155*AE156+AE157*AE158*IF(god=2026,9,6))/AE156)</f>
        <v>0</v>
      </c>
      <c r="AF154" s="312">
        <f>IF(AD154=0,0,(AE154-AD154)/AD154*100)</f>
        <v>0</v>
      </c>
      <c r="AG154" s="313">
        <f>IF(AG156=0,0,(AG155*AG156+AG157*AG158*IF(god=2025,9,6))/AG156)</f>
        <v>0</v>
      </c>
      <c r="AH154" s="313">
        <f>IF(AH156=0,0,(AH155*AH156+AH157*AH158*IF(god=2025,9,6))/AH156)</f>
        <v>0</v>
      </c>
      <c r="AI154" s="312">
        <f>IF(AG154=0,0,(AH154-AG154)/AG154*100)</f>
        <v>0</v>
      </c>
      <c r="AJ154" s="313">
        <f>IF(AJ156=0,0,(AJ155*AJ156+AJ157*AJ158*6)/AJ156)</f>
        <v>0</v>
      </c>
      <c r="AK154" s="313">
        <f>IF(AK156=0,0,(AK155*AK156+AK157*AK158*6)/AK156)</f>
        <v>0</v>
      </c>
      <c r="AL154" s="312">
        <f>IF(AJ154=0,0,(AK154-AJ154)/AJ154*100)</f>
        <v>0</v>
      </c>
      <c r="AM154" s="313">
        <f>IF(AM156=0,0,(AM155*AM156+AM157*AM158*6)/AM156)</f>
        <v>0</v>
      </c>
      <c r="AN154" s="313">
        <f>IF(AN156=0,0,(AN155*AN156+AN157*AN158*6)/AN156)</f>
        <v>0</v>
      </c>
      <c r="AO154" s="312">
        <f>IF(AM154=0,0,(AN154-AM154)/AM154*100)</f>
        <v>0</v>
      </c>
      <c r="AP154" s="313">
        <f>IF(AP156=0,0,(AP155*AP156+AP157*AP158*6)/AP156)</f>
        <v>0</v>
      </c>
      <c r="AQ154" s="313">
        <f>IF(AQ156=0,0,(AQ155*AQ156+AQ157*AQ158*6)/AQ156)</f>
        <v>0</v>
      </c>
      <c r="AR154" s="312">
        <f>IF(AP154=0,0,(AQ154-AP154)/AP154*100)</f>
        <v>0</v>
      </c>
      <c r="AS154" s="22">
        <f>IF(AS156=0,0,(AS155*AS156+AS157*AS158*6)/AS156)</f>
        <v>0</v>
      </c>
      <c r="AT154" s="22">
        <f>IF(AT156=0,0,(AT155*AT156+AT157*AT158*6)/AT156)</f>
        <v>0</v>
      </c>
      <c r="AU154" s="312">
        <f>IF(AS154=0,0,(AT154-AS154)/AS154*100)</f>
        <v>0</v>
      </c>
      <c r="AV154" s="22">
        <f>IF(AV156=0,0,(AV155*AV156+AV157*AV158*6)/AV156)</f>
        <v>0</v>
      </c>
      <c r="AW154" s="22">
        <f>IF(AW156=0,0,(AW155*AW156+AW157*AW158*6)/AW156)</f>
        <v>0</v>
      </c>
      <c r="AX154" s="312">
        <f>IF(AV154=0,0,(AW154-AV154)/AV154*100)</f>
        <v>0</v>
      </c>
      <c r="AY154" s="22">
        <f>IF(AY156=0,0,(AY155*AY156+AY157*AY158*6)/AY156)</f>
        <v>0</v>
      </c>
      <c r="AZ154" s="22">
        <f>IF(AZ156=0,0,(AZ155*AZ156+AZ157*AZ158*6)/AZ156)</f>
        <v>0</v>
      </c>
      <c r="BA154" s="312">
        <f>IF(AY154=0,0,(AZ154-AY154)/AY154*100)</f>
        <v>0</v>
      </c>
      <c r="BB154" s="22">
        <f>IF(BB156=0,0,(BB155*BB156+BB157*BB158*6)/BB156)</f>
        <v>0</v>
      </c>
      <c r="BC154" s="22">
        <f>IF(BC156=0,0,(BC155*BC156+BC157*BC158*6)/BC156)</f>
        <v>0</v>
      </c>
      <c r="BD154" s="312">
        <f>IF(BB154=0,0,(BC154-BB154)/BB154*100)</f>
        <v>0</v>
      </c>
      <c r="BE154" s="22">
        <f>IF(BE156=0,0,(BE155*BE156+BE157*BE158*6)/BE156)</f>
        <v>0</v>
      </c>
      <c r="BF154" s="22">
        <f>IF(BF156=0,0,(BF155*BF156+BF157*BF158*6)/BF156)</f>
        <v>0</v>
      </c>
      <c r="BG154" s="312">
        <f>IF(BE154=0,0,(BF154-BE154)/BE154*100)</f>
        <v>0</v>
      </c>
      <c r="BH154" s="22">
        <f>IF(BH156=0,0,(BH155*BH156+BH157*BH158*6)/BH156)</f>
        <v>0</v>
      </c>
      <c r="BI154" s="22">
        <f>IF(BI156=0,0,(BI155*BI156+BI157*BI158*6)/BI156)</f>
        <v>0</v>
      </c>
      <c r="BJ154" s="312">
        <f>IF(BH154=0,0,(BI154-BH154)/BH154*100)</f>
        <v>0</v>
      </c>
      <c r="BK154" s="22">
        <f>IF(BK156=0,0,(BK155*BK156+BK157*BK158*6)/BK156)</f>
        <v>0</v>
      </c>
      <c r="BL154" s="22">
        <f>IF(BL156=0,0,(BL155*BL156+BL157*BL158*6)/BL156)</f>
        <v>0</v>
      </c>
      <c r="BM154" s="312">
        <f>IF(BK154=0,0,(BL154-BK154)/BK154*100)</f>
        <v>0</v>
      </c>
      <c r="BN154" s="22">
        <f>IF(BN156=0,0,(BN155*BN156+BN157*BN158*6)/BN156)</f>
        <v>0</v>
      </c>
      <c r="BO154" s="22">
        <f>IF(BO156=0,0,(BO155*BO156+BO157*BO158*6)/BO156)</f>
        <v>0</v>
      </c>
      <c r="BP154" s="312">
        <f>IF(BN154=0,0,(BO154-BN154)/BN154*100)</f>
        <v>0</v>
      </c>
      <c r="BQ154" s="22">
        <f>IF(BQ156=0,0,(BQ155*BQ156+BQ157*BQ158*6)/BQ156)</f>
        <v>0</v>
      </c>
      <c r="BR154" s="22">
        <f>IF(BR156=0,0,(BR155*BR156+BR157*BR158*6)/BR156)</f>
        <v>0</v>
      </c>
      <c r="BS154" s="312">
        <f>IF(BQ154=0,0,(BR154-BQ154)/BQ154*100)</f>
        <v>0</v>
      </c>
      <c r="BT154" s="22">
        <f>IF(BT156=0,0,(BT155*BT156+BT157*BT158*6)/BT156)</f>
        <v>0</v>
      </c>
      <c r="BU154" s="22">
        <f>IF(BU156=0,0,(BU155*BU156+BU157*BU158*6)/BU156)</f>
        <v>0</v>
      </c>
      <c r="BV154" s="312">
        <f>IF(BT154=0,0,(BU154-BT154)/BT154*100)</f>
        <v>0</v>
      </c>
      <c r="BW154" s="22">
        <f>IF(BW156=0,0,(BW155*BW156+BW157*BW158*6)/BW156)</f>
        <v>0</v>
      </c>
      <c r="BX154" s="22">
        <f>IF(BX156=0,0,(BX155*BX156+BX157*BX158*6)/BX156)</f>
        <v>0</v>
      </c>
      <c r="BY154" s="312">
        <f>IF(BW154=0,0,(BX154-BW154)/BW154*100)</f>
        <v>0</v>
      </c>
      <c r="BZ154" s="22">
        <f>IF(BZ156=0,0,(BZ155*BZ156+BZ157*BZ158*6)/BZ156)</f>
        <v>0</v>
      </c>
      <c r="CA154" s="22">
        <f>IF(CA156=0,0,(CA155*CA156+CA157*CA158*6)/CA156)</f>
        <v>0</v>
      </c>
      <c r="CB154" s="312">
        <f>IF(BZ154=0,0,(CA154-BZ154)/BZ154*100)</f>
        <v>0</v>
      </c>
      <c r="CC154" s="22">
        <f>IF(CC156=0,0,(CC155*CC156+CC157*CC158*6)/CC156)</f>
        <v>0</v>
      </c>
      <c r="CD154" s="22">
        <f>IF(CD156=0,0,(CD155*CD156+CD157*CD158*6)/CD156)</f>
        <v>0</v>
      </c>
      <c r="CE154" s="312">
        <f>IF(CC154=0,0,(CD154-CC154)/CC154*100)</f>
        <v>0</v>
      </c>
      <c r="CF154" s="22">
        <f>IF(CF156=0,0,(CF155*CF156+CF157*CF158*6)/CF156)</f>
        <v>0</v>
      </c>
      <c r="CG154" s="22">
        <f>IF(CG156=0,0,(CG155*CG156+CG157*CG158*6)/CG156)</f>
        <v>0</v>
      </c>
      <c r="CH154" s="312">
        <f>IF(CF154=0,0,(CG154-CF154)/CF154*100)</f>
        <v>0</v>
      </c>
      <c r="CI154" s="22">
        <f>IF(CI156=0,0,(CI155*CI156+CI157*CI158*6)/CI156)</f>
        <v>0</v>
      </c>
      <c r="CJ154" s="22">
        <f>IF(CJ156=0,0,(CJ155*CJ156+CJ157*CJ158*6)/CJ156)</f>
        <v>0</v>
      </c>
      <c r="CK154" s="312">
        <f>IF(CI154=0,0,(CJ154-CI154)/CI154*100)</f>
        <v>0</v>
      </c>
      <c r="CL154" s="22">
        <f>IF(CL156=0,0,(CL155*CL156+CL157*CL158*6)/CL156)</f>
        <v>0</v>
      </c>
      <c r="CM154" s="22">
        <f>IF(CM156=0,0,(CM155*CM156+CM157*CM158*6)/CM156)</f>
        <v>0</v>
      </c>
      <c r="CN154" s="312">
        <f>IF(CL154=0,0,(CM154-CL154)/CL154*100)</f>
        <v>0</v>
      </c>
      <c r="CO154" s="22">
        <f>IF(CO156=0,0,(CO155*CO156+CO157*CO158*6)/CO156)</f>
        <v>0</v>
      </c>
      <c r="CP154" s="22">
        <f>IF(CP156=0,0,(CP155*CP156+CP157*CP158*6)/CP156)</f>
        <v>0</v>
      </c>
      <c r="CQ154" s="312">
        <f>IF(CO154=0,0,(CP154-CO154)/CO154*100)</f>
        <v>0</v>
      </c>
      <c r="CR154" s="22">
        <f>IF(CR156=0,0,(CR155*CR156+CR157*CR158*6)/CR156)</f>
        <v>0</v>
      </c>
      <c r="CS154" s="22">
        <f>IF(CS156=0,0,(CS155*CS156+CS157*CS158*6)/CS156)</f>
        <v>0</v>
      </c>
      <c r="CT154" s="312">
        <f>IF(CR154=0,0,(CS154-CR154)/CR154*100)</f>
        <v>0</v>
      </c>
      <c r="CU154" s="22">
        <f>IF(CU156=0,0,(CU155*CU156+CU157*CU158*6)/CU156)</f>
        <v>0</v>
      </c>
      <c r="CV154" s="22">
        <f>IF(CV156=0,0,(CV155*CV156+CV157*CV158*6)/CV156)</f>
        <v>0</v>
      </c>
      <c r="CW154" s="312">
        <f>IF(CU154=0,0,(CV154-CU154)/CU154*100)</f>
        <v>0</v>
      </c>
      <c r="CX154" s="22">
        <f>IF(CX156=0,0,(CX155*CX156+CX157*CX158*6)/CX156)</f>
        <v>0</v>
      </c>
      <c r="CY154" s="22">
        <f>IF(CY156=0,0,(CY155*CY156+CY157*CY158*6)/CY156)</f>
        <v>0</v>
      </c>
      <c r="CZ154" s="312">
        <f>IF(CX154=0,0,(CY154-CX154)/CX154*100)</f>
        <v>0</v>
      </c>
      <c r="DA154" s="22">
        <f>IF(DA156=0,0,(DA155*DA156+DA157*DA158*6)/DA156)</f>
        <v>0</v>
      </c>
      <c r="DB154" s="22">
        <f>IF(DB156=0,0,(DB155*DB156+DB157*DB158*6)/DB156)</f>
        <v>0</v>
      </c>
      <c r="DC154" s="312">
        <f>IF(DA154=0,0,(DB154-DA154)/DA154*100)</f>
        <v>0</v>
      </c>
      <c r="DD154" s="22">
        <f>IF(DD156=0,0,(DD155*DD156+DD157*DD158*6)/DD156)</f>
        <v>0</v>
      </c>
      <c r="DE154" s="22">
        <f>IF(DE156=0,0,(DE155*DE156+DE157*DE158*6)/DE156)</f>
        <v>0</v>
      </c>
      <c r="DF154" s="312">
        <f>IF(DD154=0,0,(DE154-DD154)/DD154*100)</f>
        <v>0</v>
      </c>
      <c r="DG154" s="22">
        <f>IF(DG156=0,0,(DG155*DG156+DG157*DG158*6)/DG156)</f>
        <v>0</v>
      </c>
      <c r="DH154" s="22">
        <f>IF(DH156=0,0,(DH155*DH156+DH157*DH158*6)/DH156)</f>
        <v>0</v>
      </c>
      <c r="DI154" s="312">
        <f>IF(DG154=0,0,(DH154-DG154)/DG154*100)</f>
        <v>0</v>
      </c>
      <c r="DJ154" s="22">
        <f>IF(DJ156=0,0,(DJ155*DJ156+DJ157*DJ158*6)/DJ156)</f>
        <v>0</v>
      </c>
      <c r="DK154" s="22">
        <f>IF(DK156=0,0,(DK155*DK156+DK157*DK158*6)/DK156)</f>
        <v>0</v>
      </c>
      <c r="DL154" s="312">
        <f>IF(DJ154=0,0,(DK154-DJ154)/DJ154*100)</f>
        <v>0</v>
      </c>
      <c r="DM154" s="22">
        <f>IF(DM156=0,0,(DM155*DM156+DM157*DM158*6)/DM156)</f>
        <v>0</v>
      </c>
      <c r="DN154" s="22">
        <f>IF(DN156=0,0,(DN155*DN156+DN157*DN158*6)/DN156)</f>
        <v>0</v>
      </c>
      <c r="DO154" s="312">
        <f>IF(DM154=0,0,(DN154-DM154)/DM154*100)</f>
        <v>0</v>
      </c>
      <c r="DP154" s="22">
        <f>IF(DP156=0,0,(DP155*DP156+DP157*DP158*6)/DP156)</f>
        <v>0</v>
      </c>
      <c r="DQ154" s="22">
        <f>IF(DQ156=0,0,(DQ155*DQ156+DQ157*DQ158*6)/DQ156)</f>
        <v>0</v>
      </c>
      <c r="DR154" s="312">
        <f>IF(DP154=0,0,(DQ154-DP154)/DP154*100)</f>
        <v>0</v>
      </c>
      <c r="DS154" s="22">
        <f>IF(DS156=0,0,(DS155*DS156+DS157*DS158*6)/DS156)</f>
        <v>0</v>
      </c>
      <c r="DT154" s="22">
        <f>IF(DT156=0,0,(DT155*DT156+DT157*DT158*6)/DT156)</f>
        <v>0</v>
      </c>
      <c r="DU154" s="312">
        <f>IF(DS154=0,0,(DT154-DS154)/DS154*100)</f>
        <v>0</v>
      </c>
      <c r="DV154" s="22">
        <f>IF(DV156=0,0,(DV155*DV156+DV157*DV158*6)/DV156)</f>
        <v>0</v>
      </c>
      <c r="DW154" s="22">
        <f>IF(DW156=0,0,(DW155*DW156+DW157*DW158*6)/DW156)</f>
        <v>0</v>
      </c>
      <c r="DX154" s="312">
        <f>IF(DV154=0,0,(DW154-DV154)/DV154*100)</f>
        <v>0</v>
      </c>
      <c r="DY154" s="22">
        <f>IF(DY156=0,0,(DY155*DY156+DY157*DY158*6)/DY156)</f>
        <v>0</v>
      </c>
      <c r="DZ154" s="22">
        <f>IF(DZ156=0,0,(DZ155*DZ156+DZ157*DZ158*6)/DZ156)</f>
        <v>0</v>
      </c>
      <c r="EA154" s="312">
        <f>IF(DY154=0,0,(DZ154-DY154)/DY154*100)</f>
        <v>0</v>
      </c>
      <c r="EB154" s="22">
        <f>IF(EB156=0,0,(EB155*EB156+EB157*EB158*6)/EB156)</f>
        <v>0</v>
      </c>
      <c r="EC154" s="22">
        <f>IF(EC156=0,0,(EC155*EC156+EC157*EC158*6)/EC156)</f>
        <v>0</v>
      </c>
      <c r="ED154" s="312">
        <f>IF(EB154=0,0,(EC154-EB154)/EB154*100)</f>
        <v>0</v>
      </c>
      <c r="EE154" s="22">
        <f>IF(EE156=0,0,(EE155*EE156+EE157*EE158*6)/EE156)</f>
        <v>0</v>
      </c>
      <c r="EF154" s="22">
        <f>IF(EF156=0,0,(EF155*EF156+EF157*EF158*6)/EF156)</f>
        <v>0</v>
      </c>
      <c r="EG154" s="312">
        <f>IF(EE154=0,0,(EF154-EE154)/EE154*100)</f>
        <v>0</v>
      </c>
      <c r="EH154" s="22">
        <f>IF(EH156=0,0,(EH155*EH156+EH157*EH158*6)/EH156)</f>
        <v>0</v>
      </c>
      <c r="EI154" s="22">
        <f>IF(EI156=0,0,(EI155*EI156+EI157*EI158*6)/EI156)</f>
        <v>0</v>
      </c>
      <c r="EJ154" s="312">
        <f>IF(EH154=0,0,(EI154-EH154)/EH154*100)</f>
        <v>0</v>
      </c>
      <c r="EK154" s="22">
        <f>IF(EK156=0,0,(EK155*EK156+EK157*EK158*6)/EK156)</f>
        <v>0</v>
      </c>
      <c r="EL154" s="22">
        <f>IF(EL156=0,0,(EL155*EL156+EL157*EL158*6)/EL156)</f>
        <v>0</v>
      </c>
      <c r="EM154" s="312">
        <f>IF(EK154=0,0,(EL154-EK154)/EK154*100)</f>
        <v>0</v>
      </c>
      <c r="EN154" s="22">
        <f>IF(EN156=0,0,(EN155*EN156+EN157*EN158*6)/EN156)</f>
        <v>0</v>
      </c>
      <c r="EO154" s="22">
        <f>IF(EO156=0,0,(EO155*EO156+EO157*EO158*6)/EO156)</f>
        <v>0</v>
      </c>
      <c r="EP154" s="312">
        <f>IF(EN154=0,0,(EO154-EN154)/EN154*100)</f>
        <v>0</v>
      </c>
      <c r="EQ154" s="22">
        <f>IF(EQ156=0,0,(EQ155*EQ156+EQ157*EQ158*6)/EQ156)</f>
        <v>0</v>
      </c>
      <c r="ER154" s="22">
        <f>IF(ER156=0,0,(ER155*ER156+ER157*ER158*6)/ER156)</f>
        <v>0</v>
      </c>
      <c r="ES154" s="312">
        <f>IF(EQ154=0,0,(ER154-EQ154)/EQ154*100)</f>
        <v>0</v>
      </c>
      <c r="ET154" s="22">
        <f>IF(ET156=0,0,(ET155*ET156+ET157*ET158*6)/ET156)</f>
        <v>0</v>
      </c>
      <c r="EU154" s="22">
        <f>IF(EU156=0,0,(EU155*EU156+EU157*EU158*6)/EU156)</f>
        <v>0</v>
      </c>
      <c r="EV154" s="312">
        <f>IF(ET154=0,0,(EU154-ET154)/ET154*100)</f>
        <v>0</v>
      </c>
      <c r="EW154" s="22">
        <f>IF(EW156=0,0,(EW155*EW156+EW157*EW158*6)/EW156)</f>
        <v>0</v>
      </c>
      <c r="EX154" s="22">
        <f>IF(EX156=0,0,(EX155*EX156+EX157*EX158*6)/EX156)</f>
        <v>0</v>
      </c>
      <c r="EY154" s="312">
        <f>IF(EW154=0,0,(EX154-EW154)/EW154*100)</f>
        <v>0</v>
      </c>
      <c r="EZ154" s="22">
        <f>IF(EZ156=0,0,(EZ155*EZ156+EZ157*EZ158*6)/EZ156)</f>
        <v>0</v>
      </c>
      <c r="FA154" s="22">
        <f>IF(FA156=0,0,(FA155*FA156+FA157*FA158*6)/FA156)</f>
        <v>0</v>
      </c>
      <c r="FB154" s="312">
        <f>IF(EZ154=0,0,(FA154-EZ154)/EZ154*100)</f>
        <v>0</v>
      </c>
      <c r="FC154" s="22">
        <f>IF(FC156=0,0,(FC155*FC156+FC157*FC158*6)/FC156)</f>
        <v>0</v>
      </c>
      <c r="FD154" s="22">
        <f>IF(FD156=0,0,(FD155*FD156+FD157*FD158*6)/FD156)</f>
        <v>0</v>
      </c>
      <c r="FE154" s="312">
        <f>IF(FC154=0,0,(FD154-FC154)/FC154*100)</f>
        <v>0</v>
      </c>
      <c r="FF154" s="22">
        <f>IF(FF156=0,0,(FF155*FF156+FF157*FF158*6)/FF156)</f>
        <v>0</v>
      </c>
      <c r="FG154" s="22">
        <f>IF(FG156=0,0,(FG155*FG156+FG157*FG158*6)/FG156)</f>
        <v>0</v>
      </c>
      <c r="FH154" s="312">
        <f>IF(FF154=0,0,(FG154-FF154)/FF154*100)</f>
        <v>0</v>
      </c>
      <c r="FI154" s="22">
        <f>IF(FI156=0,0,(FI155*FI156+FI157*FI158*6)/FI156)</f>
        <v>0</v>
      </c>
      <c r="FJ154" s="22">
        <f>IF(FJ156=0,0,(FJ155*FJ156+FJ157*FJ158*6)/FJ156)</f>
        <v>0</v>
      </c>
      <c r="FK154" s="312">
        <f>IF(FI154=0,0,(FJ154-FI154)/FI154*100)</f>
        <v>0</v>
      </c>
      <c r="FL154" s="22">
        <f>IF(FL156=0,0,(FL155*FL156+FL157*FL158*6)/FL156)</f>
        <v>0</v>
      </c>
      <c r="FM154" s="22">
        <f>IF(FM156=0,0,(FM155*FM156+FM157*FM158*6)/FM156)</f>
        <v>0</v>
      </c>
      <c r="FN154" s="312">
        <f>IF(FL154=0,0,(FM154-FL154)/FL154*100)</f>
        <v>0</v>
      </c>
      <c r="FO154" s="22">
        <f>IF(FO156=0,0,(FO155*FO156+FO157*FO158*6)/FO156)</f>
        <v>0</v>
      </c>
      <c r="FP154" s="22">
        <f>IF(FP156=0,0,(FP155*FP156+FP157*FP158*6)/FP156)</f>
        <v>0</v>
      </c>
      <c r="FQ154" s="312">
        <f>IF(FO154=0,0,(FP154-FO154)/FO154*100)</f>
        <v>0</v>
      </c>
      <c r="FR154" s="22">
        <f>IF(FR156=0,0,(FR155*FR156+FR157*FR158*6)/FR156)</f>
        <v>0</v>
      </c>
      <c r="FS154" s="22">
        <f>IF(FS156=0,0,(FS155*FS156+FS157*FS158*6)/FS156)</f>
        <v>0</v>
      </c>
      <c r="FT154" s="312">
        <f>IF(FR154=0,0,(FS154-FR154)/FR154*100)</f>
        <v>0</v>
      </c>
      <c r="FU154" s="22">
        <f>IF(FU156=0,0,(FU155*FU156+FU157*FU158*6)/FU156)</f>
        <v>0</v>
      </c>
      <c r="FV154" s="22">
        <f>IF(FV156=0,0,(FV155*FV156+FV157*FV158*6)/FV156)</f>
        <v>0</v>
      </c>
      <c r="FW154" s="312">
        <f>IF(FU154=0,0,(FV154-FU154)/FU154*100)</f>
        <v>0</v>
      </c>
      <c r="FX154" s="425"/>
      <c r="FY154" s="425"/>
      <c r="FZ154" s="981" t="s">
        <v>2225</v>
      </c>
      <c r="GA154" s="981"/>
      <c r="GB154" s="981"/>
      <c r="GC154" s="981"/>
      <c r="GD154" s="981"/>
    </row>
    <row r="155" spans="1:186" s="1229" customFormat="1" ht="15" hidden="1" customHeight="1">
      <c r="A155" s="1153"/>
      <c r="B155" s="813" t="b" cm="1">
        <f t="array" ref="B155">B154</f>
        <v>0</v>
      </c>
      <c r="C155" s="1118" t="s">
        <v>2226</v>
      </c>
      <c r="D155" s="1087" t="s">
        <v>2227</v>
      </c>
      <c r="E155" s="676">
        <v>15.8</v>
      </c>
      <c r="F155" s="779" t="str" cm="1">
        <f t="array" aca="1" ref="F155" ca="1">OFFSET(G155,-1,-1)</f>
        <v>2</v>
      </c>
      <c r="G155" s="425"/>
      <c r="H155" s="163" t="s">
        <v>2201</v>
      </c>
      <c r="I155" s="163" t="s">
        <v>2170</v>
      </c>
      <c r="J155" s="1108"/>
      <c r="K155" s="1108" t="str" cm="1">
        <f t="array" aca="1" ref="K155" ca="1">OFFSET(J155,-1,1)</f>
        <v>ТЭ.42.26322895.0004</v>
      </c>
      <c r="L155" s="1108"/>
      <c r="M155" s="1108" t="s">
        <v>1782</v>
      </c>
      <c r="N155" s="1108" t="s">
        <v>2171</v>
      </c>
      <c r="O155" s="1109" t="s">
        <v>2172</v>
      </c>
      <c r="P155" s="1108" t="s">
        <v>2202</v>
      </c>
      <c r="Q155" s="1108"/>
      <c r="R155" s="784"/>
      <c r="S155" s="425"/>
      <c r="T155" s="687" t="b" cm="1">
        <f t="array" aca="1" ref="T155" ca="1">T154</f>
        <v>0</v>
      </c>
      <c r="U155" s="1153"/>
      <c r="V155" s="1153"/>
      <c r="W155" s="1153"/>
      <c r="X155" s="1726"/>
      <c r="Y155" s="1153"/>
      <c r="Z155" s="1726"/>
      <c r="AA155" s="425"/>
      <c r="AB155" s="223" t="s">
        <v>2203</v>
      </c>
      <c r="AC155" s="123" t="s">
        <v>929</v>
      </c>
      <c r="AD155" s="22"/>
      <c r="AE155" s="22"/>
      <c r="AF155" s="312">
        <f>IF(AD155=0,0,(AE155-AD155)/AD155*100)</f>
        <v>0</v>
      </c>
      <c r="AG155" s="313"/>
      <c r="AH155" s="313"/>
      <c r="AI155" s="312">
        <f>IF(AG155=0,0,(AH155-AG155)/AG155*100)</f>
        <v>0</v>
      </c>
      <c r="AJ155" s="313"/>
      <c r="AK155" s="313"/>
      <c r="AL155" s="312">
        <f>IF(AJ155=0,0,(AK155-AJ155)/AJ155*100)</f>
        <v>0</v>
      </c>
      <c r="AM155" s="313"/>
      <c r="AN155" s="313"/>
      <c r="AO155" s="312">
        <f>IF(AM155=0,0,(AN155-AM155)/AM155*100)</f>
        <v>0</v>
      </c>
      <c r="AP155" s="313"/>
      <c r="AQ155" s="313"/>
      <c r="AR155" s="312">
        <f>IF(AP155=0,0,(AQ155-AP155)/AP155*100)</f>
        <v>0</v>
      </c>
      <c r="AS155" s="22"/>
      <c r="AT155" s="22"/>
      <c r="AU155" s="312">
        <f>IF(AS155=0,0,(AT155-AS155)/AS155*100)</f>
        <v>0</v>
      </c>
      <c r="AV155" s="22"/>
      <c r="AW155" s="22"/>
      <c r="AX155" s="312">
        <f>IF(AV155=0,0,(AW155-AV155)/AV155*100)</f>
        <v>0</v>
      </c>
      <c r="AY155" s="22"/>
      <c r="AZ155" s="22"/>
      <c r="BA155" s="312">
        <f>IF(AY155=0,0,(AZ155-AY155)/AY155*100)</f>
        <v>0</v>
      </c>
      <c r="BB155" s="22"/>
      <c r="BC155" s="22"/>
      <c r="BD155" s="312">
        <f>IF(BB155=0,0,(BC155-BB155)/BB155*100)</f>
        <v>0</v>
      </c>
      <c r="BE155" s="22"/>
      <c r="BF155" s="22"/>
      <c r="BG155" s="312">
        <f>IF(BE155=0,0,(BF155-BE155)/BE155*100)</f>
        <v>0</v>
      </c>
      <c r="BH155" s="22"/>
      <c r="BI155" s="22"/>
      <c r="BJ155" s="312">
        <f>IF(BH155=0,0,(BI155-BH155)/BH155*100)</f>
        <v>0</v>
      </c>
      <c r="BK155" s="22"/>
      <c r="BL155" s="22"/>
      <c r="BM155" s="312">
        <f>IF(BK155=0,0,(BL155-BK155)/BK155*100)</f>
        <v>0</v>
      </c>
      <c r="BN155" s="22"/>
      <c r="BO155" s="22"/>
      <c r="BP155" s="312">
        <f>IF(BN155=0,0,(BO155-BN155)/BN155*100)</f>
        <v>0</v>
      </c>
      <c r="BQ155" s="22"/>
      <c r="BR155" s="22"/>
      <c r="BS155" s="312">
        <f>IF(BQ155=0,0,(BR155-BQ155)/BQ155*100)</f>
        <v>0</v>
      </c>
      <c r="BT155" s="22"/>
      <c r="BU155" s="22"/>
      <c r="BV155" s="312">
        <f>IF(BT155=0,0,(BU155-BT155)/BT155*100)</f>
        <v>0</v>
      </c>
      <c r="BW155" s="22"/>
      <c r="BX155" s="22"/>
      <c r="BY155" s="312">
        <f>IF(BW155=0,0,(BX155-BW155)/BW155*100)</f>
        <v>0</v>
      </c>
      <c r="BZ155" s="22"/>
      <c r="CA155" s="22"/>
      <c r="CB155" s="312">
        <f>IF(BZ155=0,0,(CA155-BZ155)/BZ155*100)</f>
        <v>0</v>
      </c>
      <c r="CC155" s="22"/>
      <c r="CD155" s="22"/>
      <c r="CE155" s="312">
        <f>IF(CC155=0,0,(CD155-CC155)/CC155*100)</f>
        <v>0</v>
      </c>
      <c r="CF155" s="22"/>
      <c r="CG155" s="22"/>
      <c r="CH155" s="312">
        <f>IF(CF155=0,0,(CG155-CF155)/CF155*100)</f>
        <v>0</v>
      </c>
      <c r="CI155" s="22"/>
      <c r="CJ155" s="22"/>
      <c r="CK155" s="312">
        <f>IF(CI155=0,0,(CJ155-CI155)/CI155*100)</f>
        <v>0</v>
      </c>
      <c r="CL155" s="22"/>
      <c r="CM155" s="22"/>
      <c r="CN155" s="312">
        <f>IF(CL155=0,0,(CM155-CL155)/CL155*100)</f>
        <v>0</v>
      </c>
      <c r="CO155" s="22"/>
      <c r="CP155" s="22"/>
      <c r="CQ155" s="312">
        <f>IF(CO155=0,0,(CP155-CO155)/CO155*100)</f>
        <v>0</v>
      </c>
      <c r="CR155" s="22"/>
      <c r="CS155" s="22"/>
      <c r="CT155" s="312">
        <f>IF(CR155=0,0,(CS155-CR155)/CR155*100)</f>
        <v>0</v>
      </c>
      <c r="CU155" s="22"/>
      <c r="CV155" s="22"/>
      <c r="CW155" s="312">
        <f>IF(CU155=0,0,(CV155-CU155)/CU155*100)</f>
        <v>0</v>
      </c>
      <c r="CX155" s="22"/>
      <c r="CY155" s="22"/>
      <c r="CZ155" s="312">
        <f>IF(CX155=0,0,(CY155-CX155)/CX155*100)</f>
        <v>0</v>
      </c>
      <c r="DA155" s="22"/>
      <c r="DB155" s="22"/>
      <c r="DC155" s="312">
        <f>IF(DA155=0,0,(DB155-DA155)/DA155*100)</f>
        <v>0</v>
      </c>
      <c r="DD155" s="22"/>
      <c r="DE155" s="22"/>
      <c r="DF155" s="312">
        <f>IF(DD155=0,0,(DE155-DD155)/DD155*100)</f>
        <v>0</v>
      </c>
      <c r="DG155" s="22"/>
      <c r="DH155" s="22"/>
      <c r="DI155" s="312">
        <f>IF(DG155=0,0,(DH155-DG155)/DG155*100)</f>
        <v>0</v>
      </c>
      <c r="DJ155" s="22"/>
      <c r="DK155" s="22"/>
      <c r="DL155" s="312">
        <f>IF(DJ155=0,0,(DK155-DJ155)/DJ155*100)</f>
        <v>0</v>
      </c>
      <c r="DM155" s="22"/>
      <c r="DN155" s="22"/>
      <c r="DO155" s="312">
        <f>IF(DM155=0,0,(DN155-DM155)/DM155*100)</f>
        <v>0</v>
      </c>
      <c r="DP155" s="22"/>
      <c r="DQ155" s="22"/>
      <c r="DR155" s="312">
        <f>IF(DP155=0,0,(DQ155-DP155)/DP155*100)</f>
        <v>0</v>
      </c>
      <c r="DS155" s="22"/>
      <c r="DT155" s="22"/>
      <c r="DU155" s="312">
        <f>IF(DS155=0,0,(DT155-DS155)/DS155*100)</f>
        <v>0</v>
      </c>
      <c r="DV155" s="22"/>
      <c r="DW155" s="22"/>
      <c r="DX155" s="312">
        <f>IF(DV155=0,0,(DW155-DV155)/DV155*100)</f>
        <v>0</v>
      </c>
      <c r="DY155" s="22"/>
      <c r="DZ155" s="22"/>
      <c r="EA155" s="312">
        <f>IF(DY155=0,0,(DZ155-DY155)/DY155*100)</f>
        <v>0</v>
      </c>
      <c r="EB155" s="22"/>
      <c r="EC155" s="22"/>
      <c r="ED155" s="312">
        <f>IF(EB155=0,0,(EC155-EB155)/EB155*100)</f>
        <v>0</v>
      </c>
      <c r="EE155" s="22"/>
      <c r="EF155" s="22"/>
      <c r="EG155" s="312">
        <f>IF(EE155=0,0,(EF155-EE155)/EE155*100)</f>
        <v>0</v>
      </c>
      <c r="EH155" s="22"/>
      <c r="EI155" s="22"/>
      <c r="EJ155" s="312">
        <f>IF(EH155=0,0,(EI155-EH155)/EH155*100)</f>
        <v>0</v>
      </c>
      <c r="EK155" s="22"/>
      <c r="EL155" s="22"/>
      <c r="EM155" s="312">
        <f>IF(EK155=0,0,(EL155-EK155)/EK155*100)</f>
        <v>0</v>
      </c>
      <c r="EN155" s="22"/>
      <c r="EO155" s="22"/>
      <c r="EP155" s="312">
        <f>IF(EN155=0,0,(EO155-EN155)/EN155*100)</f>
        <v>0</v>
      </c>
      <c r="EQ155" s="22"/>
      <c r="ER155" s="22"/>
      <c r="ES155" s="312">
        <f>IF(EQ155=0,0,(ER155-EQ155)/EQ155*100)</f>
        <v>0</v>
      </c>
      <c r="ET155" s="22"/>
      <c r="EU155" s="22"/>
      <c r="EV155" s="312">
        <f>IF(ET155=0,0,(EU155-ET155)/ET155*100)</f>
        <v>0</v>
      </c>
      <c r="EW155" s="22"/>
      <c r="EX155" s="22"/>
      <c r="EY155" s="312">
        <f>IF(EW155=0,0,(EX155-EW155)/EW155*100)</f>
        <v>0</v>
      </c>
      <c r="EZ155" s="22"/>
      <c r="FA155" s="22"/>
      <c r="FB155" s="312">
        <f>IF(EZ155=0,0,(FA155-EZ155)/EZ155*100)</f>
        <v>0</v>
      </c>
      <c r="FC155" s="22"/>
      <c r="FD155" s="22"/>
      <c r="FE155" s="312">
        <f>IF(FC155=0,0,(FD155-FC155)/FC155*100)</f>
        <v>0</v>
      </c>
      <c r="FF155" s="22"/>
      <c r="FG155" s="22"/>
      <c r="FH155" s="312">
        <f>IF(FF155=0,0,(FG155-FF155)/FF155*100)</f>
        <v>0</v>
      </c>
      <c r="FI155" s="22"/>
      <c r="FJ155" s="22"/>
      <c r="FK155" s="312">
        <f>IF(FI155=0,0,(FJ155-FI155)/FI155*100)</f>
        <v>0</v>
      </c>
      <c r="FL155" s="22"/>
      <c r="FM155" s="22"/>
      <c r="FN155" s="312">
        <f>IF(FL155=0,0,(FM155-FL155)/FL155*100)</f>
        <v>0</v>
      </c>
      <c r="FO155" s="22"/>
      <c r="FP155" s="22"/>
      <c r="FQ155" s="312">
        <f>IF(FO155=0,0,(FP155-FO155)/FO155*100)</f>
        <v>0</v>
      </c>
      <c r="FR155" s="22"/>
      <c r="FS155" s="22"/>
      <c r="FT155" s="312">
        <f>IF(FR155=0,0,(FS155-FR155)/FR155*100)</f>
        <v>0</v>
      </c>
      <c r="FU155" s="22"/>
      <c r="FV155" s="22"/>
      <c r="FW155" s="312">
        <f>IF(FU155=0,0,(FV155-FU155)/FU155*100)</f>
        <v>0</v>
      </c>
      <c r="FX155" s="425"/>
      <c r="FY155" s="425"/>
      <c r="FZ155" s="981" t="s">
        <v>2228</v>
      </c>
      <c r="GA155" s="981"/>
      <c r="GB155" s="981"/>
      <c r="GC155" s="981"/>
      <c r="GD155" s="981"/>
    </row>
    <row r="156" spans="1:186" s="1229" customFormat="1" ht="15" hidden="1" customHeight="1">
      <c r="A156" s="1153"/>
      <c r="B156" s="813" t="b" cm="1">
        <f t="array" ref="B156">B155</f>
        <v>0</v>
      </c>
      <c r="C156" s="1118" t="s">
        <v>1779</v>
      </c>
      <c r="D156" s="1087" t="s">
        <v>1780</v>
      </c>
      <c r="E156" s="676">
        <v>15.8</v>
      </c>
      <c r="F156" s="779" t="str" cm="1">
        <f t="array" aca="1" ref="F156" ca="1">OFFSET(G156,-1,-1)</f>
        <v>2</v>
      </c>
      <c r="G156" s="425"/>
      <c r="H156" s="163" t="s">
        <v>2205</v>
      </c>
      <c r="I156" s="163" t="s">
        <v>2170</v>
      </c>
      <c r="J156" s="1108"/>
      <c r="K156" s="1108" t="str" cm="1">
        <f t="array" aca="1" ref="K156" ca="1">OFFSET(J156,-1,1)</f>
        <v>ТЭ.42.26322895.0004</v>
      </c>
      <c r="L156" s="1108"/>
      <c r="M156" s="1108" t="s">
        <v>1782</v>
      </c>
      <c r="N156" s="1108" t="s">
        <v>2171</v>
      </c>
      <c r="O156" s="1109" t="s">
        <v>2172</v>
      </c>
      <c r="P156" s="1108" t="s">
        <v>2206</v>
      </c>
      <c r="Q156" s="1108"/>
      <c r="R156" s="784"/>
      <c r="S156" s="425"/>
      <c r="T156" s="687" t="b" cm="1">
        <f t="array" aca="1" ref="T156" ca="1">T155</f>
        <v>0</v>
      </c>
      <c r="U156" s="1153"/>
      <c r="V156" s="1153"/>
      <c r="W156" s="1153"/>
      <c r="X156" s="1726"/>
      <c r="Y156" s="1153"/>
      <c r="Z156" s="1726"/>
      <c r="AA156" s="425"/>
      <c r="AB156" s="223" t="s">
        <v>2207</v>
      </c>
      <c r="AC156" s="123" t="s">
        <v>634</v>
      </c>
      <c r="AD156" s="100"/>
      <c r="AE156" s="100"/>
      <c r="AF156" s="341">
        <f>IF(AD156=0,0,(AE156-AD156)/AD156*100)</f>
        <v>0</v>
      </c>
      <c r="AG156" s="354"/>
      <c r="AH156" s="354"/>
      <c r="AI156" s="341">
        <f>IF(AG156=0,0,(AH156-AG156)/AG156*100)</f>
        <v>0</v>
      </c>
      <c r="AJ156" s="354"/>
      <c r="AK156" s="354"/>
      <c r="AL156" s="341">
        <f>IF(AJ156=0,0,(AK156-AJ156)/AJ156*100)</f>
        <v>0</v>
      </c>
      <c r="AM156" s="354"/>
      <c r="AN156" s="354"/>
      <c r="AO156" s="341">
        <f>IF(AM156=0,0,(AN156-AM156)/AM156*100)</f>
        <v>0</v>
      </c>
      <c r="AP156" s="354"/>
      <c r="AQ156" s="354"/>
      <c r="AR156" s="341">
        <f>IF(AP156=0,0,(AQ156-AP156)/AP156*100)</f>
        <v>0</v>
      </c>
      <c r="AS156" s="100"/>
      <c r="AT156" s="100"/>
      <c r="AU156" s="341">
        <f>IF(AS156=0,0,(AT156-AS156)/AS156*100)</f>
        <v>0</v>
      </c>
      <c r="AV156" s="100"/>
      <c r="AW156" s="100"/>
      <c r="AX156" s="341">
        <f>IF(AV156=0,0,(AW156-AV156)/AV156*100)</f>
        <v>0</v>
      </c>
      <c r="AY156" s="100"/>
      <c r="AZ156" s="100"/>
      <c r="BA156" s="341">
        <f>IF(AY156=0,0,(AZ156-AY156)/AY156*100)</f>
        <v>0</v>
      </c>
      <c r="BB156" s="100"/>
      <c r="BC156" s="100"/>
      <c r="BD156" s="341">
        <f>IF(BB156=0,0,(BC156-BB156)/BB156*100)</f>
        <v>0</v>
      </c>
      <c r="BE156" s="100"/>
      <c r="BF156" s="100"/>
      <c r="BG156" s="341">
        <f>IF(BE156=0,0,(BF156-BE156)/BE156*100)</f>
        <v>0</v>
      </c>
      <c r="BH156" s="100"/>
      <c r="BI156" s="100"/>
      <c r="BJ156" s="341">
        <f>IF(BH156=0,0,(BI156-BH156)/BH156*100)</f>
        <v>0</v>
      </c>
      <c r="BK156" s="100"/>
      <c r="BL156" s="100"/>
      <c r="BM156" s="341">
        <f>IF(BK156=0,0,(BL156-BK156)/BK156*100)</f>
        <v>0</v>
      </c>
      <c r="BN156" s="100"/>
      <c r="BO156" s="100"/>
      <c r="BP156" s="341">
        <f>IF(BN156=0,0,(BO156-BN156)/BN156*100)</f>
        <v>0</v>
      </c>
      <c r="BQ156" s="100"/>
      <c r="BR156" s="100"/>
      <c r="BS156" s="341">
        <f>IF(BQ156=0,0,(BR156-BQ156)/BQ156*100)</f>
        <v>0</v>
      </c>
      <c r="BT156" s="100"/>
      <c r="BU156" s="100"/>
      <c r="BV156" s="341">
        <f>IF(BT156=0,0,(BU156-BT156)/BT156*100)</f>
        <v>0</v>
      </c>
      <c r="BW156" s="100"/>
      <c r="BX156" s="100"/>
      <c r="BY156" s="341">
        <f>IF(BW156=0,0,(BX156-BW156)/BW156*100)</f>
        <v>0</v>
      </c>
      <c r="BZ156" s="100"/>
      <c r="CA156" s="100"/>
      <c r="CB156" s="341">
        <f>IF(BZ156=0,0,(CA156-BZ156)/BZ156*100)</f>
        <v>0</v>
      </c>
      <c r="CC156" s="100"/>
      <c r="CD156" s="100"/>
      <c r="CE156" s="341">
        <f>IF(CC156=0,0,(CD156-CC156)/CC156*100)</f>
        <v>0</v>
      </c>
      <c r="CF156" s="100"/>
      <c r="CG156" s="100"/>
      <c r="CH156" s="341">
        <f>IF(CF156=0,0,(CG156-CF156)/CF156*100)</f>
        <v>0</v>
      </c>
      <c r="CI156" s="100"/>
      <c r="CJ156" s="100"/>
      <c r="CK156" s="341">
        <f>IF(CI156=0,0,(CJ156-CI156)/CI156*100)</f>
        <v>0</v>
      </c>
      <c r="CL156" s="100"/>
      <c r="CM156" s="100"/>
      <c r="CN156" s="341">
        <f>IF(CL156=0,0,(CM156-CL156)/CL156*100)</f>
        <v>0</v>
      </c>
      <c r="CO156" s="100"/>
      <c r="CP156" s="100"/>
      <c r="CQ156" s="341">
        <f>IF(CO156=0,0,(CP156-CO156)/CO156*100)</f>
        <v>0</v>
      </c>
      <c r="CR156" s="100"/>
      <c r="CS156" s="100"/>
      <c r="CT156" s="341">
        <f>IF(CR156=0,0,(CS156-CR156)/CR156*100)</f>
        <v>0</v>
      </c>
      <c r="CU156" s="100"/>
      <c r="CV156" s="100"/>
      <c r="CW156" s="341">
        <f>IF(CU156=0,0,(CV156-CU156)/CU156*100)</f>
        <v>0</v>
      </c>
      <c r="CX156" s="100"/>
      <c r="CY156" s="100"/>
      <c r="CZ156" s="341">
        <f>IF(CX156=0,0,(CY156-CX156)/CX156*100)</f>
        <v>0</v>
      </c>
      <c r="DA156" s="100"/>
      <c r="DB156" s="100"/>
      <c r="DC156" s="341">
        <f>IF(DA156=0,0,(DB156-DA156)/DA156*100)</f>
        <v>0</v>
      </c>
      <c r="DD156" s="100"/>
      <c r="DE156" s="100"/>
      <c r="DF156" s="341">
        <f>IF(DD156=0,0,(DE156-DD156)/DD156*100)</f>
        <v>0</v>
      </c>
      <c r="DG156" s="100"/>
      <c r="DH156" s="100"/>
      <c r="DI156" s="341">
        <f>IF(DG156=0,0,(DH156-DG156)/DG156*100)</f>
        <v>0</v>
      </c>
      <c r="DJ156" s="100"/>
      <c r="DK156" s="100"/>
      <c r="DL156" s="341">
        <f>IF(DJ156=0,0,(DK156-DJ156)/DJ156*100)</f>
        <v>0</v>
      </c>
      <c r="DM156" s="100"/>
      <c r="DN156" s="100"/>
      <c r="DO156" s="341">
        <f>IF(DM156=0,0,(DN156-DM156)/DM156*100)</f>
        <v>0</v>
      </c>
      <c r="DP156" s="100"/>
      <c r="DQ156" s="100"/>
      <c r="DR156" s="341">
        <f>IF(DP156=0,0,(DQ156-DP156)/DP156*100)</f>
        <v>0</v>
      </c>
      <c r="DS156" s="100"/>
      <c r="DT156" s="100"/>
      <c r="DU156" s="341">
        <f>IF(DS156=0,0,(DT156-DS156)/DS156*100)</f>
        <v>0</v>
      </c>
      <c r="DV156" s="100"/>
      <c r="DW156" s="100"/>
      <c r="DX156" s="341">
        <f>IF(DV156=0,0,(DW156-DV156)/DV156*100)</f>
        <v>0</v>
      </c>
      <c r="DY156" s="100"/>
      <c r="DZ156" s="100"/>
      <c r="EA156" s="341">
        <f>IF(DY156=0,0,(DZ156-DY156)/DY156*100)</f>
        <v>0</v>
      </c>
      <c r="EB156" s="100"/>
      <c r="EC156" s="100"/>
      <c r="ED156" s="341">
        <f>IF(EB156=0,0,(EC156-EB156)/EB156*100)</f>
        <v>0</v>
      </c>
      <c r="EE156" s="100"/>
      <c r="EF156" s="100"/>
      <c r="EG156" s="341">
        <f>IF(EE156=0,0,(EF156-EE156)/EE156*100)</f>
        <v>0</v>
      </c>
      <c r="EH156" s="100"/>
      <c r="EI156" s="100"/>
      <c r="EJ156" s="341">
        <f>IF(EH156=0,0,(EI156-EH156)/EH156*100)</f>
        <v>0</v>
      </c>
      <c r="EK156" s="100"/>
      <c r="EL156" s="100"/>
      <c r="EM156" s="341">
        <f>IF(EK156=0,0,(EL156-EK156)/EK156*100)</f>
        <v>0</v>
      </c>
      <c r="EN156" s="100"/>
      <c r="EO156" s="100"/>
      <c r="EP156" s="341">
        <f>IF(EN156=0,0,(EO156-EN156)/EN156*100)</f>
        <v>0</v>
      </c>
      <c r="EQ156" s="100"/>
      <c r="ER156" s="100"/>
      <c r="ES156" s="341">
        <f>IF(EQ156=0,0,(ER156-EQ156)/EQ156*100)</f>
        <v>0</v>
      </c>
      <c r="ET156" s="100"/>
      <c r="EU156" s="100"/>
      <c r="EV156" s="341">
        <f>IF(ET156=0,0,(EU156-ET156)/ET156*100)</f>
        <v>0</v>
      </c>
      <c r="EW156" s="100"/>
      <c r="EX156" s="100"/>
      <c r="EY156" s="341">
        <f>IF(EW156=0,0,(EX156-EW156)/EW156*100)</f>
        <v>0</v>
      </c>
      <c r="EZ156" s="100"/>
      <c r="FA156" s="100"/>
      <c r="FB156" s="341">
        <f>IF(EZ156=0,0,(FA156-EZ156)/EZ156*100)</f>
        <v>0</v>
      </c>
      <c r="FC156" s="100"/>
      <c r="FD156" s="100"/>
      <c r="FE156" s="341">
        <f>IF(FC156=0,0,(FD156-FC156)/FC156*100)</f>
        <v>0</v>
      </c>
      <c r="FF156" s="100"/>
      <c r="FG156" s="100"/>
      <c r="FH156" s="341">
        <f>IF(FF156=0,0,(FG156-FF156)/FF156*100)</f>
        <v>0</v>
      </c>
      <c r="FI156" s="100"/>
      <c r="FJ156" s="100"/>
      <c r="FK156" s="341">
        <f>IF(FI156=0,0,(FJ156-FI156)/FI156*100)</f>
        <v>0</v>
      </c>
      <c r="FL156" s="100"/>
      <c r="FM156" s="100"/>
      <c r="FN156" s="341">
        <f>IF(FL156=0,0,(FM156-FL156)/FL156*100)</f>
        <v>0</v>
      </c>
      <c r="FO156" s="100"/>
      <c r="FP156" s="100"/>
      <c r="FQ156" s="341">
        <f>IF(FO156=0,0,(FP156-FO156)/FO156*100)</f>
        <v>0</v>
      </c>
      <c r="FR156" s="100"/>
      <c r="FS156" s="100"/>
      <c r="FT156" s="341">
        <f>IF(FR156=0,0,(FS156-FR156)/FR156*100)</f>
        <v>0</v>
      </c>
      <c r="FU156" s="100"/>
      <c r="FV156" s="100"/>
      <c r="FW156" s="341">
        <f>IF(FU156=0,0,(FV156-FU156)/FU156*100)</f>
        <v>0</v>
      </c>
      <c r="FX156" s="425"/>
      <c r="FY156" s="425"/>
      <c r="FZ156" s="981" t="s">
        <v>2229</v>
      </c>
      <c r="GA156" s="981"/>
      <c r="GB156" s="981"/>
      <c r="GC156" s="981"/>
      <c r="GD156" s="981"/>
    </row>
    <row r="157" spans="1:186" s="1229" customFormat="1" ht="30" hidden="1" customHeight="1">
      <c r="A157" s="1153"/>
      <c r="B157" s="813" t="b" cm="1">
        <f t="array" ref="B157">B156</f>
        <v>0</v>
      </c>
      <c r="C157" s="1118" t="s">
        <v>1833</v>
      </c>
      <c r="D157" s="1087" t="s">
        <v>1834</v>
      </c>
      <c r="E157" s="676">
        <v>31.5</v>
      </c>
      <c r="F157" s="779" t="str" cm="1">
        <f t="array" aca="1" ref="F157" ca="1">OFFSET(G157,-1,-1)</f>
        <v>2</v>
      </c>
      <c r="G157" s="425"/>
      <c r="H157" s="163" t="s">
        <v>2209</v>
      </c>
      <c r="I157" s="163" t="s">
        <v>2170</v>
      </c>
      <c r="J157" s="1108"/>
      <c r="K157" s="1108" t="str" cm="1">
        <f t="array" aca="1" ref="K157" ca="1">OFFSET(J157,-1,1)</f>
        <v>ТЭ.42.26322895.0004</v>
      </c>
      <c r="L157" s="1108"/>
      <c r="M157" s="1108" t="s">
        <v>1782</v>
      </c>
      <c r="N157" s="1108" t="s">
        <v>2171</v>
      </c>
      <c r="O157" s="1109" t="s">
        <v>2172</v>
      </c>
      <c r="P157" s="1108" t="s">
        <v>2210</v>
      </c>
      <c r="Q157" s="1108"/>
      <c r="R157" s="784"/>
      <c r="S157" s="425"/>
      <c r="T157" s="687" t="b" cm="1">
        <f t="array" aca="1" ref="T157" ca="1">T156</f>
        <v>0</v>
      </c>
      <c r="U157" s="1153"/>
      <c r="V157" s="1153"/>
      <c r="W157" s="1153"/>
      <c r="X157" s="1726"/>
      <c r="Y157" s="1153"/>
      <c r="Z157" s="1726"/>
      <c r="AA157" s="425"/>
      <c r="AB157" s="223" t="s">
        <v>2211</v>
      </c>
      <c r="AC157" s="443" t="s">
        <v>1837</v>
      </c>
      <c r="AD157" s="22"/>
      <c r="AE157" s="22"/>
      <c r="AF157" s="312">
        <f>IF(AD157=0,0,(AE157-AD157)/AD157*100)</f>
        <v>0</v>
      </c>
      <c r="AG157" s="313"/>
      <c r="AH157" s="313"/>
      <c r="AI157" s="312">
        <f>IF(AG157=0,0,(AH157-AG157)/AG157*100)</f>
        <v>0</v>
      </c>
      <c r="AJ157" s="313"/>
      <c r="AK157" s="313"/>
      <c r="AL157" s="312">
        <f>IF(AJ157=0,0,(AK157-AJ157)/AJ157*100)</f>
        <v>0</v>
      </c>
      <c r="AM157" s="313"/>
      <c r="AN157" s="313"/>
      <c r="AO157" s="312">
        <f>IF(AM157=0,0,(AN157-AM157)/AM157*100)</f>
        <v>0</v>
      </c>
      <c r="AP157" s="313"/>
      <c r="AQ157" s="313"/>
      <c r="AR157" s="312">
        <f>IF(AP157=0,0,(AQ157-AP157)/AP157*100)</f>
        <v>0</v>
      </c>
      <c r="AS157" s="22"/>
      <c r="AT157" s="22"/>
      <c r="AU157" s="312">
        <f>IF(AS157=0,0,(AT157-AS157)/AS157*100)</f>
        <v>0</v>
      </c>
      <c r="AV157" s="22"/>
      <c r="AW157" s="22"/>
      <c r="AX157" s="312">
        <f>IF(AV157=0,0,(AW157-AV157)/AV157*100)</f>
        <v>0</v>
      </c>
      <c r="AY157" s="22"/>
      <c r="AZ157" s="22"/>
      <c r="BA157" s="312">
        <f>IF(AY157=0,0,(AZ157-AY157)/AY157*100)</f>
        <v>0</v>
      </c>
      <c r="BB157" s="22"/>
      <c r="BC157" s="22"/>
      <c r="BD157" s="312">
        <f>IF(BB157=0,0,(BC157-BB157)/BB157*100)</f>
        <v>0</v>
      </c>
      <c r="BE157" s="22"/>
      <c r="BF157" s="22"/>
      <c r="BG157" s="312">
        <f>IF(BE157=0,0,(BF157-BE157)/BE157*100)</f>
        <v>0</v>
      </c>
      <c r="BH157" s="22"/>
      <c r="BI157" s="22"/>
      <c r="BJ157" s="312">
        <f>IF(BH157=0,0,(BI157-BH157)/BH157*100)</f>
        <v>0</v>
      </c>
      <c r="BK157" s="22"/>
      <c r="BL157" s="22"/>
      <c r="BM157" s="312">
        <f>IF(BK157=0,0,(BL157-BK157)/BK157*100)</f>
        <v>0</v>
      </c>
      <c r="BN157" s="22"/>
      <c r="BO157" s="22"/>
      <c r="BP157" s="312">
        <f>IF(BN157=0,0,(BO157-BN157)/BN157*100)</f>
        <v>0</v>
      </c>
      <c r="BQ157" s="22"/>
      <c r="BR157" s="22"/>
      <c r="BS157" s="312">
        <f>IF(BQ157=0,0,(BR157-BQ157)/BQ157*100)</f>
        <v>0</v>
      </c>
      <c r="BT157" s="22"/>
      <c r="BU157" s="22"/>
      <c r="BV157" s="312">
        <f>IF(BT157=0,0,(BU157-BT157)/BT157*100)</f>
        <v>0</v>
      </c>
      <c r="BW157" s="22"/>
      <c r="BX157" s="22"/>
      <c r="BY157" s="312">
        <f>IF(BW157=0,0,(BX157-BW157)/BW157*100)</f>
        <v>0</v>
      </c>
      <c r="BZ157" s="22"/>
      <c r="CA157" s="22"/>
      <c r="CB157" s="312">
        <f>IF(BZ157=0,0,(CA157-BZ157)/BZ157*100)</f>
        <v>0</v>
      </c>
      <c r="CC157" s="22"/>
      <c r="CD157" s="22"/>
      <c r="CE157" s="312">
        <f>IF(CC157=0,0,(CD157-CC157)/CC157*100)</f>
        <v>0</v>
      </c>
      <c r="CF157" s="22"/>
      <c r="CG157" s="22"/>
      <c r="CH157" s="312">
        <f>IF(CF157=0,0,(CG157-CF157)/CF157*100)</f>
        <v>0</v>
      </c>
      <c r="CI157" s="22"/>
      <c r="CJ157" s="22"/>
      <c r="CK157" s="312">
        <f>IF(CI157=0,0,(CJ157-CI157)/CI157*100)</f>
        <v>0</v>
      </c>
      <c r="CL157" s="22"/>
      <c r="CM157" s="22"/>
      <c r="CN157" s="312">
        <f>IF(CL157=0,0,(CM157-CL157)/CL157*100)</f>
        <v>0</v>
      </c>
      <c r="CO157" s="22"/>
      <c r="CP157" s="22"/>
      <c r="CQ157" s="312">
        <f>IF(CO157=0,0,(CP157-CO157)/CO157*100)</f>
        <v>0</v>
      </c>
      <c r="CR157" s="22"/>
      <c r="CS157" s="22"/>
      <c r="CT157" s="312">
        <f>IF(CR157=0,0,(CS157-CR157)/CR157*100)</f>
        <v>0</v>
      </c>
      <c r="CU157" s="22"/>
      <c r="CV157" s="22"/>
      <c r="CW157" s="312">
        <f>IF(CU157=0,0,(CV157-CU157)/CU157*100)</f>
        <v>0</v>
      </c>
      <c r="CX157" s="22"/>
      <c r="CY157" s="22"/>
      <c r="CZ157" s="312">
        <f>IF(CX157=0,0,(CY157-CX157)/CX157*100)</f>
        <v>0</v>
      </c>
      <c r="DA157" s="22"/>
      <c r="DB157" s="22"/>
      <c r="DC157" s="312">
        <f>IF(DA157=0,0,(DB157-DA157)/DA157*100)</f>
        <v>0</v>
      </c>
      <c r="DD157" s="22"/>
      <c r="DE157" s="22"/>
      <c r="DF157" s="312">
        <f>IF(DD157=0,0,(DE157-DD157)/DD157*100)</f>
        <v>0</v>
      </c>
      <c r="DG157" s="22"/>
      <c r="DH157" s="22"/>
      <c r="DI157" s="312">
        <f>IF(DG157=0,0,(DH157-DG157)/DG157*100)</f>
        <v>0</v>
      </c>
      <c r="DJ157" s="22"/>
      <c r="DK157" s="22"/>
      <c r="DL157" s="312">
        <f>IF(DJ157=0,0,(DK157-DJ157)/DJ157*100)</f>
        <v>0</v>
      </c>
      <c r="DM157" s="22"/>
      <c r="DN157" s="22"/>
      <c r="DO157" s="312">
        <f>IF(DM157=0,0,(DN157-DM157)/DM157*100)</f>
        <v>0</v>
      </c>
      <c r="DP157" s="22"/>
      <c r="DQ157" s="22"/>
      <c r="DR157" s="312">
        <f>IF(DP157=0,0,(DQ157-DP157)/DP157*100)</f>
        <v>0</v>
      </c>
      <c r="DS157" s="22"/>
      <c r="DT157" s="22"/>
      <c r="DU157" s="312">
        <f>IF(DS157=0,0,(DT157-DS157)/DS157*100)</f>
        <v>0</v>
      </c>
      <c r="DV157" s="22"/>
      <c r="DW157" s="22"/>
      <c r="DX157" s="312">
        <f>IF(DV157=0,0,(DW157-DV157)/DV157*100)</f>
        <v>0</v>
      </c>
      <c r="DY157" s="22"/>
      <c r="DZ157" s="22"/>
      <c r="EA157" s="312">
        <f>IF(DY157=0,0,(DZ157-DY157)/DY157*100)</f>
        <v>0</v>
      </c>
      <c r="EB157" s="22"/>
      <c r="EC157" s="22"/>
      <c r="ED157" s="312">
        <f>IF(EB157=0,0,(EC157-EB157)/EB157*100)</f>
        <v>0</v>
      </c>
      <c r="EE157" s="22"/>
      <c r="EF157" s="22"/>
      <c r="EG157" s="312">
        <f>IF(EE157=0,0,(EF157-EE157)/EE157*100)</f>
        <v>0</v>
      </c>
      <c r="EH157" s="22"/>
      <c r="EI157" s="22"/>
      <c r="EJ157" s="312">
        <f>IF(EH157=0,0,(EI157-EH157)/EH157*100)</f>
        <v>0</v>
      </c>
      <c r="EK157" s="22"/>
      <c r="EL157" s="22"/>
      <c r="EM157" s="312">
        <f>IF(EK157=0,0,(EL157-EK157)/EK157*100)</f>
        <v>0</v>
      </c>
      <c r="EN157" s="22"/>
      <c r="EO157" s="22"/>
      <c r="EP157" s="312">
        <f>IF(EN157=0,0,(EO157-EN157)/EN157*100)</f>
        <v>0</v>
      </c>
      <c r="EQ157" s="22"/>
      <c r="ER157" s="22"/>
      <c r="ES157" s="312">
        <f>IF(EQ157=0,0,(ER157-EQ157)/EQ157*100)</f>
        <v>0</v>
      </c>
      <c r="ET157" s="22"/>
      <c r="EU157" s="22"/>
      <c r="EV157" s="312">
        <f>IF(ET157=0,0,(EU157-ET157)/ET157*100)</f>
        <v>0</v>
      </c>
      <c r="EW157" s="22"/>
      <c r="EX157" s="22"/>
      <c r="EY157" s="312">
        <f>IF(EW157=0,0,(EX157-EW157)/EW157*100)</f>
        <v>0</v>
      </c>
      <c r="EZ157" s="22"/>
      <c r="FA157" s="22"/>
      <c r="FB157" s="312">
        <f>IF(EZ157=0,0,(FA157-EZ157)/EZ157*100)</f>
        <v>0</v>
      </c>
      <c r="FC157" s="22"/>
      <c r="FD157" s="22"/>
      <c r="FE157" s="312">
        <f>IF(FC157=0,0,(FD157-FC157)/FC157*100)</f>
        <v>0</v>
      </c>
      <c r="FF157" s="22"/>
      <c r="FG157" s="22"/>
      <c r="FH157" s="312">
        <f>IF(FF157=0,0,(FG157-FF157)/FF157*100)</f>
        <v>0</v>
      </c>
      <c r="FI157" s="22"/>
      <c r="FJ157" s="22"/>
      <c r="FK157" s="312">
        <f>IF(FI157=0,0,(FJ157-FI157)/FI157*100)</f>
        <v>0</v>
      </c>
      <c r="FL157" s="22"/>
      <c r="FM157" s="22"/>
      <c r="FN157" s="312">
        <f>IF(FL157=0,0,(FM157-FL157)/FL157*100)</f>
        <v>0</v>
      </c>
      <c r="FO157" s="22"/>
      <c r="FP157" s="22"/>
      <c r="FQ157" s="312">
        <f>IF(FO157=0,0,(FP157-FO157)/FO157*100)</f>
        <v>0</v>
      </c>
      <c r="FR157" s="22"/>
      <c r="FS157" s="22"/>
      <c r="FT157" s="312">
        <f>IF(FR157=0,0,(FS157-FR157)/FR157*100)</f>
        <v>0</v>
      </c>
      <c r="FU157" s="22"/>
      <c r="FV157" s="22"/>
      <c r="FW157" s="312">
        <f>IF(FU157=0,0,(FV157-FU157)/FU157*100)</f>
        <v>0</v>
      </c>
      <c r="FX157" s="425"/>
      <c r="FY157" s="425"/>
      <c r="FZ157" s="981" t="s">
        <v>2230</v>
      </c>
      <c r="GA157" s="981"/>
      <c r="GB157" s="981"/>
      <c r="GC157" s="981"/>
      <c r="GD157" s="981"/>
    </row>
    <row r="158" spans="1:186" s="1229" customFormat="1" ht="15" hidden="1" customHeight="1">
      <c r="A158" s="1153"/>
      <c r="B158" s="813" t="b" cm="1">
        <f t="array" ref="B158">B157</f>
        <v>0</v>
      </c>
      <c r="C158" s="1118" t="s">
        <v>1805</v>
      </c>
      <c r="D158" s="1087" t="s">
        <v>1806</v>
      </c>
      <c r="E158" s="676">
        <v>15.8</v>
      </c>
      <c r="F158" s="779" t="str" cm="1">
        <f t="array" aca="1" ref="F158" ca="1">OFFSET(G158,-1,-1)</f>
        <v>2</v>
      </c>
      <c r="G158" s="425"/>
      <c r="H158" s="163" t="s">
        <v>2213</v>
      </c>
      <c r="I158" s="163" t="s">
        <v>2170</v>
      </c>
      <c r="J158" s="1108"/>
      <c r="K158" s="1108" t="str" cm="1">
        <f t="array" aca="1" ref="K158" ca="1">OFFSET(J158,-1,1)</f>
        <v>ТЭ.42.26322895.0004</v>
      </c>
      <c r="L158" s="1108"/>
      <c r="M158" s="1108" t="s">
        <v>1782</v>
      </c>
      <c r="N158" s="1108" t="s">
        <v>2171</v>
      </c>
      <c r="O158" s="1109" t="s">
        <v>2172</v>
      </c>
      <c r="P158" s="1108" t="s">
        <v>2214</v>
      </c>
      <c r="Q158" s="1108"/>
      <c r="R158" s="784"/>
      <c r="S158" s="425"/>
      <c r="T158" s="687" t="b" cm="1">
        <f t="array" aca="1" ref="T158" ca="1">T157</f>
        <v>0</v>
      </c>
      <c r="U158" s="1153"/>
      <c r="V158" s="1153"/>
      <c r="W158" s="1153"/>
      <c r="X158" s="1726"/>
      <c r="Y158" s="1153"/>
      <c r="Z158" s="1726"/>
      <c r="AA158" s="425"/>
      <c r="AB158" s="223" t="s">
        <v>2215</v>
      </c>
      <c r="AC158" s="557" t="s">
        <v>725</v>
      </c>
      <c r="AD158" s="22"/>
      <c r="AE158" s="22"/>
      <c r="AF158" s="312">
        <f>IF(AD158=0,0,(AE158-AD158)/AD158*100)</f>
        <v>0</v>
      </c>
      <c r="AG158" s="313"/>
      <c r="AH158" s="313"/>
      <c r="AI158" s="312">
        <f>IF(AG158=0,0,(AH158-AG158)/AG158*100)</f>
        <v>0</v>
      </c>
      <c r="AJ158" s="313"/>
      <c r="AK158" s="313"/>
      <c r="AL158" s="312">
        <f>IF(AJ158=0,0,(AK158-AJ158)/AJ158*100)</f>
        <v>0</v>
      </c>
      <c r="AM158" s="313"/>
      <c r="AN158" s="313"/>
      <c r="AO158" s="312">
        <f>IF(AM158=0,0,(AN158-AM158)/AM158*100)</f>
        <v>0</v>
      </c>
      <c r="AP158" s="313"/>
      <c r="AQ158" s="313"/>
      <c r="AR158" s="312">
        <f>IF(AP158=0,0,(AQ158-AP158)/AP158*100)</f>
        <v>0</v>
      </c>
      <c r="AS158" s="22"/>
      <c r="AT158" s="22"/>
      <c r="AU158" s="312">
        <f>IF(AS158=0,0,(AT158-AS158)/AS158*100)</f>
        <v>0</v>
      </c>
      <c r="AV158" s="22"/>
      <c r="AW158" s="22"/>
      <c r="AX158" s="312">
        <f>IF(AV158=0,0,(AW158-AV158)/AV158*100)</f>
        <v>0</v>
      </c>
      <c r="AY158" s="22"/>
      <c r="AZ158" s="22"/>
      <c r="BA158" s="312">
        <f>IF(AY158=0,0,(AZ158-AY158)/AY158*100)</f>
        <v>0</v>
      </c>
      <c r="BB158" s="22"/>
      <c r="BC158" s="22"/>
      <c r="BD158" s="312">
        <f>IF(BB158=0,0,(BC158-BB158)/BB158*100)</f>
        <v>0</v>
      </c>
      <c r="BE158" s="22"/>
      <c r="BF158" s="22"/>
      <c r="BG158" s="312">
        <f>IF(BE158=0,0,(BF158-BE158)/BE158*100)</f>
        <v>0</v>
      </c>
      <c r="BH158" s="22"/>
      <c r="BI158" s="22"/>
      <c r="BJ158" s="312">
        <f>IF(BH158=0,0,(BI158-BH158)/BH158*100)</f>
        <v>0</v>
      </c>
      <c r="BK158" s="22"/>
      <c r="BL158" s="22"/>
      <c r="BM158" s="312">
        <f>IF(BK158=0,0,(BL158-BK158)/BK158*100)</f>
        <v>0</v>
      </c>
      <c r="BN158" s="22"/>
      <c r="BO158" s="22"/>
      <c r="BP158" s="312">
        <f>IF(BN158=0,0,(BO158-BN158)/BN158*100)</f>
        <v>0</v>
      </c>
      <c r="BQ158" s="22"/>
      <c r="BR158" s="22"/>
      <c r="BS158" s="312">
        <f>IF(BQ158=0,0,(BR158-BQ158)/BQ158*100)</f>
        <v>0</v>
      </c>
      <c r="BT158" s="22"/>
      <c r="BU158" s="22"/>
      <c r="BV158" s="312">
        <f>IF(BT158=0,0,(BU158-BT158)/BT158*100)</f>
        <v>0</v>
      </c>
      <c r="BW158" s="22"/>
      <c r="BX158" s="22"/>
      <c r="BY158" s="312">
        <f>IF(BW158=0,0,(BX158-BW158)/BW158*100)</f>
        <v>0</v>
      </c>
      <c r="BZ158" s="22"/>
      <c r="CA158" s="22"/>
      <c r="CB158" s="312">
        <f>IF(BZ158=0,0,(CA158-BZ158)/BZ158*100)</f>
        <v>0</v>
      </c>
      <c r="CC158" s="22"/>
      <c r="CD158" s="22"/>
      <c r="CE158" s="312">
        <f>IF(CC158=0,0,(CD158-CC158)/CC158*100)</f>
        <v>0</v>
      </c>
      <c r="CF158" s="22"/>
      <c r="CG158" s="22"/>
      <c r="CH158" s="312">
        <f>IF(CF158=0,0,(CG158-CF158)/CF158*100)</f>
        <v>0</v>
      </c>
      <c r="CI158" s="22"/>
      <c r="CJ158" s="22"/>
      <c r="CK158" s="312">
        <f>IF(CI158=0,0,(CJ158-CI158)/CI158*100)</f>
        <v>0</v>
      </c>
      <c r="CL158" s="22"/>
      <c r="CM158" s="22"/>
      <c r="CN158" s="312">
        <f>IF(CL158=0,0,(CM158-CL158)/CL158*100)</f>
        <v>0</v>
      </c>
      <c r="CO158" s="22"/>
      <c r="CP158" s="22"/>
      <c r="CQ158" s="312">
        <f>IF(CO158=0,0,(CP158-CO158)/CO158*100)</f>
        <v>0</v>
      </c>
      <c r="CR158" s="22"/>
      <c r="CS158" s="22"/>
      <c r="CT158" s="312">
        <f>IF(CR158=0,0,(CS158-CR158)/CR158*100)</f>
        <v>0</v>
      </c>
      <c r="CU158" s="22"/>
      <c r="CV158" s="22"/>
      <c r="CW158" s="312">
        <f>IF(CU158=0,0,(CV158-CU158)/CU158*100)</f>
        <v>0</v>
      </c>
      <c r="CX158" s="22"/>
      <c r="CY158" s="22"/>
      <c r="CZ158" s="312">
        <f>IF(CX158=0,0,(CY158-CX158)/CX158*100)</f>
        <v>0</v>
      </c>
      <c r="DA158" s="22"/>
      <c r="DB158" s="22"/>
      <c r="DC158" s="312">
        <f>IF(DA158=0,0,(DB158-DA158)/DA158*100)</f>
        <v>0</v>
      </c>
      <c r="DD158" s="22"/>
      <c r="DE158" s="22"/>
      <c r="DF158" s="312">
        <f>IF(DD158=0,0,(DE158-DD158)/DD158*100)</f>
        <v>0</v>
      </c>
      <c r="DG158" s="22"/>
      <c r="DH158" s="22"/>
      <c r="DI158" s="312">
        <f>IF(DG158=0,0,(DH158-DG158)/DG158*100)</f>
        <v>0</v>
      </c>
      <c r="DJ158" s="22"/>
      <c r="DK158" s="22"/>
      <c r="DL158" s="312">
        <f>IF(DJ158=0,0,(DK158-DJ158)/DJ158*100)</f>
        <v>0</v>
      </c>
      <c r="DM158" s="22"/>
      <c r="DN158" s="22"/>
      <c r="DO158" s="312">
        <f>IF(DM158=0,0,(DN158-DM158)/DM158*100)</f>
        <v>0</v>
      </c>
      <c r="DP158" s="22"/>
      <c r="DQ158" s="22"/>
      <c r="DR158" s="312">
        <f>IF(DP158=0,0,(DQ158-DP158)/DP158*100)</f>
        <v>0</v>
      </c>
      <c r="DS158" s="22"/>
      <c r="DT158" s="22"/>
      <c r="DU158" s="312">
        <f>IF(DS158=0,0,(DT158-DS158)/DS158*100)</f>
        <v>0</v>
      </c>
      <c r="DV158" s="22"/>
      <c r="DW158" s="22"/>
      <c r="DX158" s="312">
        <f>IF(DV158=0,0,(DW158-DV158)/DV158*100)</f>
        <v>0</v>
      </c>
      <c r="DY158" s="22"/>
      <c r="DZ158" s="22"/>
      <c r="EA158" s="312">
        <f>IF(DY158=0,0,(DZ158-DY158)/DY158*100)</f>
        <v>0</v>
      </c>
      <c r="EB158" s="22"/>
      <c r="EC158" s="22"/>
      <c r="ED158" s="312">
        <f>IF(EB158=0,0,(EC158-EB158)/EB158*100)</f>
        <v>0</v>
      </c>
      <c r="EE158" s="22"/>
      <c r="EF158" s="22"/>
      <c r="EG158" s="312">
        <f>IF(EE158=0,0,(EF158-EE158)/EE158*100)</f>
        <v>0</v>
      </c>
      <c r="EH158" s="22"/>
      <c r="EI158" s="22"/>
      <c r="EJ158" s="312">
        <f>IF(EH158=0,0,(EI158-EH158)/EH158*100)</f>
        <v>0</v>
      </c>
      <c r="EK158" s="22"/>
      <c r="EL158" s="22"/>
      <c r="EM158" s="312">
        <f>IF(EK158=0,0,(EL158-EK158)/EK158*100)</f>
        <v>0</v>
      </c>
      <c r="EN158" s="22"/>
      <c r="EO158" s="22"/>
      <c r="EP158" s="312">
        <f>IF(EN158=0,0,(EO158-EN158)/EN158*100)</f>
        <v>0</v>
      </c>
      <c r="EQ158" s="22"/>
      <c r="ER158" s="22"/>
      <c r="ES158" s="312">
        <f>IF(EQ158=0,0,(ER158-EQ158)/EQ158*100)</f>
        <v>0</v>
      </c>
      <c r="ET158" s="22"/>
      <c r="EU158" s="22"/>
      <c r="EV158" s="312">
        <f>IF(ET158=0,0,(EU158-ET158)/ET158*100)</f>
        <v>0</v>
      </c>
      <c r="EW158" s="22"/>
      <c r="EX158" s="22"/>
      <c r="EY158" s="312">
        <f>IF(EW158=0,0,(EX158-EW158)/EW158*100)</f>
        <v>0</v>
      </c>
      <c r="EZ158" s="22"/>
      <c r="FA158" s="22"/>
      <c r="FB158" s="312">
        <f>IF(EZ158=0,0,(FA158-EZ158)/EZ158*100)</f>
        <v>0</v>
      </c>
      <c r="FC158" s="22"/>
      <c r="FD158" s="22"/>
      <c r="FE158" s="312">
        <f>IF(FC158=0,0,(FD158-FC158)/FC158*100)</f>
        <v>0</v>
      </c>
      <c r="FF158" s="22"/>
      <c r="FG158" s="22"/>
      <c r="FH158" s="312">
        <f>IF(FF158=0,0,(FG158-FF158)/FF158*100)</f>
        <v>0</v>
      </c>
      <c r="FI158" s="22"/>
      <c r="FJ158" s="22"/>
      <c r="FK158" s="312">
        <f>IF(FI158=0,0,(FJ158-FI158)/FI158*100)</f>
        <v>0</v>
      </c>
      <c r="FL158" s="22"/>
      <c r="FM158" s="22"/>
      <c r="FN158" s="312">
        <f>IF(FL158=0,0,(FM158-FL158)/FL158*100)</f>
        <v>0</v>
      </c>
      <c r="FO158" s="22"/>
      <c r="FP158" s="22"/>
      <c r="FQ158" s="312">
        <f>IF(FO158=0,0,(FP158-FO158)/FO158*100)</f>
        <v>0</v>
      </c>
      <c r="FR158" s="22"/>
      <c r="FS158" s="22"/>
      <c r="FT158" s="312">
        <f>IF(FR158=0,0,(FS158-FR158)/FR158*100)</f>
        <v>0</v>
      </c>
      <c r="FU158" s="22"/>
      <c r="FV158" s="22"/>
      <c r="FW158" s="312">
        <f>IF(FU158=0,0,(FV158-FU158)/FU158*100)</f>
        <v>0</v>
      </c>
      <c r="FX158" s="425"/>
      <c r="FY158" s="425"/>
      <c r="FZ158" s="981" t="s">
        <v>2231</v>
      </c>
      <c r="GA158" s="981"/>
      <c r="GB158" s="981"/>
      <c r="GC158" s="981"/>
      <c r="GD158" s="981"/>
    </row>
    <row r="159" spans="1:186" s="1229" customFormat="1" ht="15" hidden="1" customHeight="1">
      <c r="A159" s="1153"/>
      <c r="B159" s="813" t="b" cm="1">
        <f t="array" ref="B159">B158</f>
        <v>0</v>
      </c>
      <c r="C159" s="1118"/>
      <c r="D159" s="1087"/>
      <c r="E159" s="676">
        <v>15.8</v>
      </c>
      <c r="F159" s="779" t="str" cm="1">
        <f t="array" aca="1" ref="F159" ca="1">OFFSET(G159,-1,-1)</f>
        <v>2</v>
      </c>
      <c r="G159" s="425"/>
      <c r="H159" s="425"/>
      <c r="I159" s="425"/>
      <c r="J159" s="1092"/>
      <c r="K159" s="1108" t="str" cm="1">
        <f t="array" aca="1" ref="K159" ca="1">OFFSET(J159,-1,1)</f>
        <v>ТЭ.42.26322895.0004</v>
      </c>
      <c r="L159" s="1092"/>
      <c r="M159" s="1092"/>
      <c r="N159" s="1092"/>
      <c r="O159" s="1092"/>
      <c r="P159" s="1108"/>
      <c r="Q159" s="1108"/>
      <c r="R159" s="784"/>
      <c r="S159" s="425"/>
      <c r="T159" s="687" t="b" cm="1">
        <f t="array" aca="1" ref="T159" ca="1">T158</f>
        <v>0</v>
      </c>
      <c r="U159" s="1153"/>
      <c r="V159" s="1153"/>
      <c r="W159" s="1153"/>
      <c r="X159" s="1726"/>
      <c r="Y159" s="1153"/>
      <c r="Z159" s="1726"/>
      <c r="AA159" s="425"/>
      <c r="AB159" s="1140" t="s">
        <v>2176</v>
      </c>
      <c r="AC159" s="314"/>
      <c r="AD159" s="315"/>
      <c r="AE159" s="315"/>
      <c r="AF159" s="315"/>
      <c r="AG159" s="315"/>
      <c r="AH159" s="315"/>
      <c r="AI159" s="315"/>
      <c r="AJ159" s="315"/>
      <c r="AK159" s="315"/>
      <c r="AL159" s="315"/>
      <c r="AM159" s="315"/>
      <c r="AN159" s="315"/>
      <c r="AO159" s="315"/>
      <c r="AP159" s="315"/>
      <c r="AQ159" s="315"/>
      <c r="AR159" s="315"/>
      <c r="AS159" s="315"/>
      <c r="AT159" s="315"/>
      <c r="AU159" s="315"/>
      <c r="AV159" s="315"/>
      <c r="AW159" s="315"/>
      <c r="AX159" s="315"/>
      <c r="AY159" s="315"/>
      <c r="AZ159" s="315"/>
      <c r="BA159" s="315"/>
      <c r="BB159" s="315"/>
      <c r="BC159" s="315"/>
      <c r="BD159" s="315"/>
      <c r="BE159" s="315"/>
      <c r="BF159" s="315"/>
      <c r="BG159" s="315"/>
      <c r="BH159" s="315"/>
      <c r="BI159" s="315"/>
      <c r="BJ159" s="315"/>
      <c r="BK159" s="315"/>
      <c r="BL159" s="315"/>
      <c r="BM159" s="315"/>
      <c r="BN159" s="315"/>
      <c r="BO159" s="315"/>
      <c r="BP159" s="315"/>
      <c r="BQ159" s="315"/>
      <c r="BR159" s="315"/>
      <c r="BS159" s="315"/>
      <c r="BT159" s="315"/>
      <c r="BU159" s="315"/>
      <c r="BV159" s="315"/>
      <c r="BW159" s="315"/>
      <c r="BX159" s="315"/>
      <c r="BY159" s="315"/>
      <c r="BZ159" s="315"/>
      <c r="CA159" s="315"/>
      <c r="CB159" s="315"/>
      <c r="CC159" s="315"/>
      <c r="CD159" s="315"/>
      <c r="CE159" s="315"/>
      <c r="CF159" s="315"/>
      <c r="CG159" s="315"/>
      <c r="CH159" s="315"/>
      <c r="CI159" s="315"/>
      <c r="CJ159" s="315"/>
      <c r="CK159" s="315"/>
      <c r="CL159" s="315"/>
      <c r="CM159" s="315"/>
      <c r="CN159" s="315"/>
      <c r="CO159" s="315"/>
      <c r="CP159" s="315"/>
      <c r="CQ159" s="315"/>
      <c r="CR159" s="315"/>
      <c r="CS159" s="315"/>
      <c r="CT159" s="315"/>
      <c r="CU159" s="315"/>
      <c r="CV159" s="315"/>
      <c r="CW159" s="315"/>
      <c r="CX159" s="315"/>
      <c r="CY159" s="315"/>
      <c r="CZ159" s="315"/>
      <c r="DA159" s="315"/>
      <c r="DB159" s="315"/>
      <c r="DC159" s="315"/>
      <c r="DD159" s="315"/>
      <c r="DE159" s="315"/>
      <c r="DF159" s="315"/>
      <c r="DG159" s="315"/>
      <c r="DH159" s="315"/>
      <c r="DI159" s="315"/>
      <c r="DJ159" s="315"/>
      <c r="DK159" s="315"/>
      <c r="DL159" s="315"/>
      <c r="DM159" s="315"/>
      <c r="DN159" s="315"/>
      <c r="DO159" s="315"/>
      <c r="DP159" s="315"/>
      <c r="DQ159" s="315"/>
      <c r="DR159" s="315"/>
      <c r="DS159" s="315"/>
      <c r="DT159" s="315"/>
      <c r="DU159" s="315"/>
      <c r="DV159" s="315"/>
      <c r="DW159" s="315"/>
      <c r="DX159" s="315"/>
      <c r="DY159" s="315"/>
      <c r="DZ159" s="315"/>
      <c r="EA159" s="315"/>
      <c r="EB159" s="315"/>
      <c r="EC159" s="315"/>
      <c r="ED159" s="315"/>
      <c r="EE159" s="315"/>
      <c r="EF159" s="315"/>
      <c r="EG159" s="315"/>
      <c r="EH159" s="315"/>
      <c r="EI159" s="315"/>
      <c r="EJ159" s="315"/>
      <c r="EK159" s="315"/>
      <c r="EL159" s="315"/>
      <c r="EM159" s="315"/>
      <c r="EN159" s="315"/>
      <c r="EO159" s="315"/>
      <c r="EP159" s="315"/>
      <c r="EQ159" s="315"/>
      <c r="ER159" s="315"/>
      <c r="ES159" s="315"/>
      <c r="ET159" s="315"/>
      <c r="EU159" s="315"/>
      <c r="EV159" s="315"/>
      <c r="EW159" s="315"/>
      <c r="EX159" s="315"/>
      <c r="EY159" s="315"/>
      <c r="EZ159" s="315"/>
      <c r="FA159" s="315"/>
      <c r="FB159" s="315"/>
      <c r="FC159" s="315"/>
      <c r="FD159" s="315"/>
      <c r="FE159" s="315"/>
      <c r="FF159" s="315"/>
      <c r="FG159" s="315"/>
      <c r="FH159" s="315"/>
      <c r="FI159" s="315"/>
      <c r="FJ159" s="315"/>
      <c r="FK159" s="315"/>
      <c r="FL159" s="315"/>
      <c r="FM159" s="315"/>
      <c r="FN159" s="315"/>
      <c r="FO159" s="315"/>
      <c r="FP159" s="315"/>
      <c r="FQ159" s="315"/>
      <c r="FR159" s="315"/>
      <c r="FS159" s="315"/>
      <c r="FT159" s="315"/>
      <c r="FU159" s="315"/>
      <c r="FV159" s="315"/>
      <c r="FW159" s="316"/>
      <c r="FX159" s="425"/>
      <c r="FY159" s="425"/>
      <c r="FZ159" s="1015"/>
      <c r="GA159" s="981"/>
      <c r="GB159" s="981"/>
      <c r="GC159" s="981"/>
      <c r="GD159" s="981"/>
    </row>
    <row r="160" spans="1:186" s="1229" customFormat="1" ht="15" hidden="1" customHeight="1">
      <c r="A160" s="1153"/>
      <c r="B160" s="813" t="b" cm="1">
        <f t="array" ref="B160">B159</f>
        <v>0</v>
      </c>
      <c r="C160" s="1118" t="s">
        <v>2223</v>
      </c>
      <c r="D160" s="1087" t="s">
        <v>2224</v>
      </c>
      <c r="E160" s="676">
        <v>15.8</v>
      </c>
      <c r="F160" s="779" t="str" cm="1">
        <f t="array" aca="1" ref="F160" ca="1">OFFSET(G160,-1,-1)</f>
        <v>2</v>
      </c>
      <c r="G160" s="425"/>
      <c r="H160" s="163" t="s">
        <v>2195</v>
      </c>
      <c r="I160" s="163" t="s">
        <v>2175</v>
      </c>
      <c r="J160" s="1108"/>
      <c r="K160" s="1108" t="str" cm="1">
        <f t="array" aca="1" ref="K160" ca="1">OFFSET(J160,-1,1)</f>
        <v>ТЭ.42.26322895.0004</v>
      </c>
      <c r="L160" s="1108"/>
      <c r="M160" s="1108" t="s">
        <v>1791</v>
      </c>
      <c r="N160" s="1108" t="s">
        <v>2171</v>
      </c>
      <c r="O160" s="1109" t="s">
        <v>2172</v>
      </c>
      <c r="P160" s="1108" t="s">
        <v>2196</v>
      </c>
      <c r="Q160" s="1108"/>
      <c r="R160" s="784"/>
      <c r="S160" s="425"/>
      <c r="T160" s="687" t="b" cm="1">
        <f t="array" aca="1" ref="T160" ca="1">T159</f>
        <v>0</v>
      </c>
      <c r="U160" s="1153"/>
      <c r="V160" s="1153"/>
      <c r="W160" s="1153"/>
      <c r="X160" s="1726"/>
      <c r="Y160" s="1153"/>
      <c r="Z160" s="1726"/>
      <c r="AA160" s="425"/>
      <c r="AB160" s="223" t="s">
        <v>2197</v>
      </c>
      <c r="AC160" s="123" t="s">
        <v>929</v>
      </c>
      <c r="AD160" s="22">
        <f>IF(AD162=0,0,(AD161*AD162+AD163*AD164*IF(god=2026,3,6))/AD162)</f>
        <v>0</v>
      </c>
      <c r="AE160" s="22">
        <f>IF(AE162=0,0,(AE161*AE162+AE163*AE164*IF(god=2026,3,6))/AE162)</f>
        <v>0</v>
      </c>
      <c r="AF160" s="312">
        <f>IF(AD160=0,0,(AE160-AD160)/AD160*100)</f>
        <v>0</v>
      </c>
      <c r="AG160" s="313">
        <f>IF(AG162=0,0,(AG161*AG162+AG163*AG164*IF(god=2025,3,6))/AG162)</f>
        <v>0</v>
      </c>
      <c r="AH160" s="313">
        <f>IF(AH162=0,0,(AH161*AH162+AH163*AH164*IF(god=2025,3,6))/AH162)</f>
        <v>0</v>
      </c>
      <c r="AI160" s="312">
        <f>IF(AG160=0,0,(AH160-AG160)/AG160*100)</f>
        <v>0</v>
      </c>
      <c r="AJ160" s="313">
        <f>IF(AJ162=0,0,(AJ161*AJ162+AJ163*AJ164*6)/AJ162)</f>
        <v>0</v>
      </c>
      <c r="AK160" s="313">
        <f>IF(AK162=0,0,(AK161*AK162+AK163*AK164*6)/AK162)</f>
        <v>0</v>
      </c>
      <c r="AL160" s="312">
        <f>IF(AJ160=0,0,(AK160-AJ160)/AJ160*100)</f>
        <v>0</v>
      </c>
      <c r="AM160" s="313">
        <f>IF(AM162=0,0,(AM161*AM162+AM163*AM164*6)/AM162)</f>
        <v>0</v>
      </c>
      <c r="AN160" s="313">
        <f>IF(AN162=0,0,(AN161*AN162+AN163*AN164*6)/AN162)</f>
        <v>0</v>
      </c>
      <c r="AO160" s="312">
        <f>IF(AM160=0,0,(AN160-AM160)/AM160*100)</f>
        <v>0</v>
      </c>
      <c r="AP160" s="313">
        <f>IF(AP162=0,0,(AP161*AP162+AP163*AP164*6)/AP162)</f>
        <v>0</v>
      </c>
      <c r="AQ160" s="313">
        <f>IF(AQ162=0,0,(AQ161*AQ162+AQ163*AQ164*6)/AQ162)</f>
        <v>0</v>
      </c>
      <c r="AR160" s="312">
        <f>IF(AP160=0,0,(AQ160-AP160)/AP160*100)</f>
        <v>0</v>
      </c>
      <c r="AS160" s="22">
        <f>IF(AS162=0,0,(AS161*AS162+AS163*AS164*6)/AS162)</f>
        <v>0</v>
      </c>
      <c r="AT160" s="22">
        <f>IF(AT162=0,0,(AT161*AT162+AT163*AT164*6)/AT162)</f>
        <v>0</v>
      </c>
      <c r="AU160" s="312">
        <f>IF(AS160=0,0,(AT160-AS160)/AS160*100)</f>
        <v>0</v>
      </c>
      <c r="AV160" s="22">
        <f>IF(AV162=0,0,(AV161*AV162+AV163*AV164*6)/AV162)</f>
        <v>0</v>
      </c>
      <c r="AW160" s="22">
        <f>IF(AW162=0,0,(AW161*AW162+AW163*AW164*6)/AW162)</f>
        <v>0</v>
      </c>
      <c r="AX160" s="312">
        <f>IF(AV160=0,0,(AW160-AV160)/AV160*100)</f>
        <v>0</v>
      </c>
      <c r="AY160" s="22">
        <f>IF(AY162=0,0,(AY161*AY162+AY163*AY164*6)/AY162)</f>
        <v>0</v>
      </c>
      <c r="AZ160" s="22">
        <f>IF(AZ162=0,0,(AZ161*AZ162+AZ163*AZ164*6)/AZ162)</f>
        <v>0</v>
      </c>
      <c r="BA160" s="312">
        <f>IF(AY160=0,0,(AZ160-AY160)/AY160*100)</f>
        <v>0</v>
      </c>
      <c r="BB160" s="22">
        <f>IF(BB162=0,0,(BB161*BB162+BB163*BB164*6)/BB162)</f>
        <v>0</v>
      </c>
      <c r="BC160" s="22">
        <f>IF(BC162=0,0,(BC161*BC162+BC163*BC164*6)/BC162)</f>
        <v>0</v>
      </c>
      <c r="BD160" s="312">
        <f>IF(BB160=0,0,(BC160-BB160)/BB160*100)</f>
        <v>0</v>
      </c>
      <c r="BE160" s="22">
        <f>IF(BE162=0,0,(BE161*BE162+BE163*BE164*6)/BE162)</f>
        <v>0</v>
      </c>
      <c r="BF160" s="22">
        <f>IF(BF162=0,0,(BF161*BF162+BF163*BF164*6)/BF162)</f>
        <v>0</v>
      </c>
      <c r="BG160" s="312">
        <f>IF(BE160=0,0,(BF160-BE160)/BE160*100)</f>
        <v>0</v>
      </c>
      <c r="BH160" s="22">
        <f>IF(BH162=0,0,(BH161*BH162+BH163*BH164*6)/BH162)</f>
        <v>0</v>
      </c>
      <c r="BI160" s="22">
        <f>IF(BI162=0,0,(BI161*BI162+BI163*BI164*6)/BI162)</f>
        <v>0</v>
      </c>
      <c r="BJ160" s="312">
        <f>IF(BH160=0,0,(BI160-BH160)/BH160*100)</f>
        <v>0</v>
      </c>
      <c r="BK160" s="22">
        <f>IF(BK162=0,0,(BK161*BK162+BK163*BK164*6)/BK162)</f>
        <v>0</v>
      </c>
      <c r="BL160" s="22">
        <f>IF(BL162=0,0,(BL161*BL162+BL163*BL164*6)/BL162)</f>
        <v>0</v>
      </c>
      <c r="BM160" s="312">
        <f>IF(BK160=0,0,(BL160-BK160)/BK160*100)</f>
        <v>0</v>
      </c>
      <c r="BN160" s="22">
        <f>IF(BN162=0,0,(BN161*BN162+BN163*BN164*6)/BN162)</f>
        <v>0</v>
      </c>
      <c r="BO160" s="22">
        <f>IF(BO162=0,0,(BO161*BO162+BO163*BO164*6)/BO162)</f>
        <v>0</v>
      </c>
      <c r="BP160" s="312">
        <f>IF(BN160=0,0,(BO160-BN160)/BN160*100)</f>
        <v>0</v>
      </c>
      <c r="BQ160" s="22">
        <f>IF(BQ162=0,0,(BQ161*BQ162+BQ163*BQ164*6)/BQ162)</f>
        <v>0</v>
      </c>
      <c r="BR160" s="22">
        <f>IF(BR162=0,0,(BR161*BR162+BR163*BR164*6)/BR162)</f>
        <v>0</v>
      </c>
      <c r="BS160" s="312">
        <f>IF(BQ160=0,0,(BR160-BQ160)/BQ160*100)</f>
        <v>0</v>
      </c>
      <c r="BT160" s="22">
        <f>IF(BT162=0,0,(BT161*BT162+BT163*BT164*6)/BT162)</f>
        <v>0</v>
      </c>
      <c r="BU160" s="22">
        <f>IF(BU162=0,0,(BU161*BU162+BU163*BU164*6)/BU162)</f>
        <v>0</v>
      </c>
      <c r="BV160" s="312">
        <f>IF(BT160=0,0,(BU160-BT160)/BT160*100)</f>
        <v>0</v>
      </c>
      <c r="BW160" s="22">
        <f>IF(BW162=0,0,(BW161*BW162+BW163*BW164*6)/BW162)</f>
        <v>0</v>
      </c>
      <c r="BX160" s="22">
        <f>IF(BX162=0,0,(BX161*BX162+BX163*BX164*6)/BX162)</f>
        <v>0</v>
      </c>
      <c r="BY160" s="312">
        <f>IF(BW160=0,0,(BX160-BW160)/BW160*100)</f>
        <v>0</v>
      </c>
      <c r="BZ160" s="22">
        <f>IF(BZ162=0,0,(BZ161*BZ162+BZ163*BZ164*6)/BZ162)</f>
        <v>0</v>
      </c>
      <c r="CA160" s="22">
        <f>IF(CA162=0,0,(CA161*CA162+CA163*CA164*6)/CA162)</f>
        <v>0</v>
      </c>
      <c r="CB160" s="312">
        <f>IF(BZ160=0,0,(CA160-BZ160)/BZ160*100)</f>
        <v>0</v>
      </c>
      <c r="CC160" s="22">
        <f>IF(CC162=0,0,(CC161*CC162+CC163*CC164*6)/CC162)</f>
        <v>0</v>
      </c>
      <c r="CD160" s="22">
        <f>IF(CD162=0,0,(CD161*CD162+CD163*CD164*6)/CD162)</f>
        <v>0</v>
      </c>
      <c r="CE160" s="312">
        <f>IF(CC160=0,0,(CD160-CC160)/CC160*100)</f>
        <v>0</v>
      </c>
      <c r="CF160" s="22">
        <f>IF(CF162=0,0,(CF161*CF162+CF163*CF164*6)/CF162)</f>
        <v>0</v>
      </c>
      <c r="CG160" s="22">
        <f>IF(CG162=0,0,(CG161*CG162+CG163*CG164*6)/CG162)</f>
        <v>0</v>
      </c>
      <c r="CH160" s="312">
        <f>IF(CF160=0,0,(CG160-CF160)/CF160*100)</f>
        <v>0</v>
      </c>
      <c r="CI160" s="22">
        <f>IF(CI162=0,0,(CI161*CI162+CI163*CI164*6)/CI162)</f>
        <v>0</v>
      </c>
      <c r="CJ160" s="22">
        <f>IF(CJ162=0,0,(CJ161*CJ162+CJ163*CJ164*6)/CJ162)</f>
        <v>0</v>
      </c>
      <c r="CK160" s="312">
        <f>IF(CI160=0,0,(CJ160-CI160)/CI160*100)</f>
        <v>0</v>
      </c>
      <c r="CL160" s="22">
        <f>IF(CL162=0,0,(CL161*CL162+CL163*CL164*6)/CL162)</f>
        <v>0</v>
      </c>
      <c r="CM160" s="22">
        <f>IF(CM162=0,0,(CM161*CM162+CM163*CM164*6)/CM162)</f>
        <v>0</v>
      </c>
      <c r="CN160" s="312">
        <f>IF(CL160=0,0,(CM160-CL160)/CL160*100)</f>
        <v>0</v>
      </c>
      <c r="CO160" s="22">
        <f>IF(CO162=0,0,(CO161*CO162+CO163*CO164*6)/CO162)</f>
        <v>0</v>
      </c>
      <c r="CP160" s="22">
        <f>IF(CP162=0,0,(CP161*CP162+CP163*CP164*6)/CP162)</f>
        <v>0</v>
      </c>
      <c r="CQ160" s="312">
        <f>IF(CO160=0,0,(CP160-CO160)/CO160*100)</f>
        <v>0</v>
      </c>
      <c r="CR160" s="22">
        <f>IF(CR162=0,0,(CR161*CR162+CR163*CR164*6)/CR162)</f>
        <v>0</v>
      </c>
      <c r="CS160" s="22">
        <f>IF(CS162=0,0,(CS161*CS162+CS163*CS164*6)/CS162)</f>
        <v>0</v>
      </c>
      <c r="CT160" s="312">
        <f>IF(CR160=0,0,(CS160-CR160)/CR160*100)</f>
        <v>0</v>
      </c>
      <c r="CU160" s="22">
        <f>IF(CU162=0,0,(CU161*CU162+CU163*CU164*6)/CU162)</f>
        <v>0</v>
      </c>
      <c r="CV160" s="22">
        <f>IF(CV162=0,0,(CV161*CV162+CV163*CV164*6)/CV162)</f>
        <v>0</v>
      </c>
      <c r="CW160" s="312">
        <f>IF(CU160=0,0,(CV160-CU160)/CU160*100)</f>
        <v>0</v>
      </c>
      <c r="CX160" s="22">
        <f>IF(CX162=0,0,(CX161*CX162+CX163*CX164*6)/CX162)</f>
        <v>0</v>
      </c>
      <c r="CY160" s="22">
        <f>IF(CY162=0,0,(CY161*CY162+CY163*CY164*6)/CY162)</f>
        <v>0</v>
      </c>
      <c r="CZ160" s="312">
        <f>IF(CX160=0,0,(CY160-CX160)/CX160*100)</f>
        <v>0</v>
      </c>
      <c r="DA160" s="22">
        <f>IF(DA162=0,0,(DA161*DA162+DA163*DA164*6)/DA162)</f>
        <v>0</v>
      </c>
      <c r="DB160" s="22">
        <f>IF(DB162=0,0,(DB161*DB162+DB163*DB164*6)/DB162)</f>
        <v>0</v>
      </c>
      <c r="DC160" s="312">
        <f>IF(DA160=0,0,(DB160-DA160)/DA160*100)</f>
        <v>0</v>
      </c>
      <c r="DD160" s="22">
        <f>IF(DD162=0,0,(DD161*DD162+DD163*DD164*6)/DD162)</f>
        <v>0</v>
      </c>
      <c r="DE160" s="22">
        <f>IF(DE162=0,0,(DE161*DE162+DE163*DE164*6)/DE162)</f>
        <v>0</v>
      </c>
      <c r="DF160" s="312">
        <f>IF(DD160=0,0,(DE160-DD160)/DD160*100)</f>
        <v>0</v>
      </c>
      <c r="DG160" s="22">
        <f>IF(DG162=0,0,(DG161*DG162+DG163*DG164*6)/DG162)</f>
        <v>0</v>
      </c>
      <c r="DH160" s="22">
        <f>IF(DH162=0,0,(DH161*DH162+DH163*DH164*6)/DH162)</f>
        <v>0</v>
      </c>
      <c r="DI160" s="312">
        <f>IF(DG160=0,0,(DH160-DG160)/DG160*100)</f>
        <v>0</v>
      </c>
      <c r="DJ160" s="22">
        <f>IF(DJ162=0,0,(DJ161*DJ162+DJ163*DJ164*6)/DJ162)</f>
        <v>0</v>
      </c>
      <c r="DK160" s="22">
        <f>IF(DK162=0,0,(DK161*DK162+DK163*DK164*6)/DK162)</f>
        <v>0</v>
      </c>
      <c r="DL160" s="312">
        <f>IF(DJ160=0,0,(DK160-DJ160)/DJ160*100)</f>
        <v>0</v>
      </c>
      <c r="DM160" s="22">
        <f>IF(DM162=0,0,(DM161*DM162+DM163*DM164*6)/DM162)</f>
        <v>0</v>
      </c>
      <c r="DN160" s="22">
        <f>IF(DN162=0,0,(DN161*DN162+DN163*DN164*6)/DN162)</f>
        <v>0</v>
      </c>
      <c r="DO160" s="312">
        <f>IF(DM160=0,0,(DN160-DM160)/DM160*100)</f>
        <v>0</v>
      </c>
      <c r="DP160" s="22">
        <f>IF(DP162=0,0,(DP161*DP162+DP163*DP164*6)/DP162)</f>
        <v>0</v>
      </c>
      <c r="DQ160" s="22">
        <f>IF(DQ162=0,0,(DQ161*DQ162+DQ163*DQ164*6)/DQ162)</f>
        <v>0</v>
      </c>
      <c r="DR160" s="312">
        <f>IF(DP160=0,0,(DQ160-DP160)/DP160*100)</f>
        <v>0</v>
      </c>
      <c r="DS160" s="22">
        <f>IF(DS162=0,0,(DS161*DS162+DS163*DS164*6)/DS162)</f>
        <v>0</v>
      </c>
      <c r="DT160" s="22">
        <f>IF(DT162=0,0,(DT161*DT162+DT163*DT164*6)/DT162)</f>
        <v>0</v>
      </c>
      <c r="DU160" s="312">
        <f>IF(DS160=0,0,(DT160-DS160)/DS160*100)</f>
        <v>0</v>
      </c>
      <c r="DV160" s="22">
        <f>IF(DV162=0,0,(DV161*DV162+DV163*DV164*6)/DV162)</f>
        <v>0</v>
      </c>
      <c r="DW160" s="22">
        <f>IF(DW162=0,0,(DW161*DW162+DW163*DW164*6)/DW162)</f>
        <v>0</v>
      </c>
      <c r="DX160" s="312">
        <f>IF(DV160=0,0,(DW160-DV160)/DV160*100)</f>
        <v>0</v>
      </c>
      <c r="DY160" s="22">
        <f>IF(DY162=0,0,(DY161*DY162+DY163*DY164*6)/DY162)</f>
        <v>0</v>
      </c>
      <c r="DZ160" s="22">
        <f>IF(DZ162=0,0,(DZ161*DZ162+DZ163*DZ164*6)/DZ162)</f>
        <v>0</v>
      </c>
      <c r="EA160" s="312">
        <f>IF(DY160=0,0,(DZ160-DY160)/DY160*100)</f>
        <v>0</v>
      </c>
      <c r="EB160" s="22">
        <f>IF(EB162=0,0,(EB161*EB162+EB163*EB164*6)/EB162)</f>
        <v>0</v>
      </c>
      <c r="EC160" s="22">
        <f>IF(EC162=0,0,(EC161*EC162+EC163*EC164*6)/EC162)</f>
        <v>0</v>
      </c>
      <c r="ED160" s="312">
        <f>IF(EB160=0,0,(EC160-EB160)/EB160*100)</f>
        <v>0</v>
      </c>
      <c r="EE160" s="22">
        <f>IF(EE162=0,0,(EE161*EE162+EE163*EE164*6)/EE162)</f>
        <v>0</v>
      </c>
      <c r="EF160" s="22">
        <f>IF(EF162=0,0,(EF161*EF162+EF163*EF164*6)/EF162)</f>
        <v>0</v>
      </c>
      <c r="EG160" s="312">
        <f>IF(EE160=0,0,(EF160-EE160)/EE160*100)</f>
        <v>0</v>
      </c>
      <c r="EH160" s="22">
        <f>IF(EH162=0,0,(EH161*EH162+EH163*EH164*6)/EH162)</f>
        <v>0</v>
      </c>
      <c r="EI160" s="22">
        <f>IF(EI162=0,0,(EI161*EI162+EI163*EI164*6)/EI162)</f>
        <v>0</v>
      </c>
      <c r="EJ160" s="312">
        <f>IF(EH160=0,0,(EI160-EH160)/EH160*100)</f>
        <v>0</v>
      </c>
      <c r="EK160" s="22">
        <f>IF(EK162=0,0,(EK161*EK162+EK163*EK164*6)/EK162)</f>
        <v>0</v>
      </c>
      <c r="EL160" s="22">
        <f>IF(EL162=0,0,(EL161*EL162+EL163*EL164*6)/EL162)</f>
        <v>0</v>
      </c>
      <c r="EM160" s="312">
        <f>IF(EK160=0,0,(EL160-EK160)/EK160*100)</f>
        <v>0</v>
      </c>
      <c r="EN160" s="22">
        <f>IF(EN162=0,0,(EN161*EN162+EN163*EN164*6)/EN162)</f>
        <v>0</v>
      </c>
      <c r="EO160" s="22">
        <f>IF(EO162=0,0,(EO161*EO162+EO163*EO164*6)/EO162)</f>
        <v>0</v>
      </c>
      <c r="EP160" s="312">
        <f>IF(EN160=0,0,(EO160-EN160)/EN160*100)</f>
        <v>0</v>
      </c>
      <c r="EQ160" s="22">
        <f>IF(EQ162=0,0,(EQ161*EQ162+EQ163*EQ164*6)/EQ162)</f>
        <v>0</v>
      </c>
      <c r="ER160" s="22">
        <f>IF(ER162=0,0,(ER161*ER162+ER163*ER164*6)/ER162)</f>
        <v>0</v>
      </c>
      <c r="ES160" s="312">
        <f>IF(EQ160=0,0,(ER160-EQ160)/EQ160*100)</f>
        <v>0</v>
      </c>
      <c r="ET160" s="22">
        <f>IF(ET162=0,0,(ET161*ET162+ET163*ET164*6)/ET162)</f>
        <v>0</v>
      </c>
      <c r="EU160" s="22">
        <f>IF(EU162=0,0,(EU161*EU162+EU163*EU164*6)/EU162)</f>
        <v>0</v>
      </c>
      <c r="EV160" s="312">
        <f>IF(ET160=0,0,(EU160-ET160)/ET160*100)</f>
        <v>0</v>
      </c>
      <c r="EW160" s="22">
        <f>IF(EW162=0,0,(EW161*EW162+EW163*EW164*6)/EW162)</f>
        <v>0</v>
      </c>
      <c r="EX160" s="22">
        <f>IF(EX162=0,0,(EX161*EX162+EX163*EX164*6)/EX162)</f>
        <v>0</v>
      </c>
      <c r="EY160" s="312">
        <f>IF(EW160=0,0,(EX160-EW160)/EW160*100)</f>
        <v>0</v>
      </c>
      <c r="EZ160" s="22">
        <f>IF(EZ162=0,0,(EZ161*EZ162+EZ163*EZ164*6)/EZ162)</f>
        <v>0</v>
      </c>
      <c r="FA160" s="22">
        <f>IF(FA162=0,0,(FA161*FA162+FA163*FA164*6)/FA162)</f>
        <v>0</v>
      </c>
      <c r="FB160" s="312">
        <f>IF(EZ160=0,0,(FA160-EZ160)/EZ160*100)</f>
        <v>0</v>
      </c>
      <c r="FC160" s="22">
        <f>IF(FC162=0,0,(FC161*FC162+FC163*FC164*6)/FC162)</f>
        <v>0</v>
      </c>
      <c r="FD160" s="22">
        <f>IF(FD162=0,0,(FD161*FD162+FD163*FD164*6)/FD162)</f>
        <v>0</v>
      </c>
      <c r="FE160" s="312">
        <f>IF(FC160=0,0,(FD160-FC160)/FC160*100)</f>
        <v>0</v>
      </c>
      <c r="FF160" s="22">
        <f>IF(FF162=0,0,(FF161*FF162+FF163*FF164*6)/FF162)</f>
        <v>0</v>
      </c>
      <c r="FG160" s="22">
        <f>IF(FG162=0,0,(FG161*FG162+FG163*FG164*6)/FG162)</f>
        <v>0</v>
      </c>
      <c r="FH160" s="312">
        <f>IF(FF160=0,0,(FG160-FF160)/FF160*100)</f>
        <v>0</v>
      </c>
      <c r="FI160" s="22">
        <f>IF(FI162=0,0,(FI161*FI162+FI163*FI164*6)/FI162)</f>
        <v>0</v>
      </c>
      <c r="FJ160" s="22">
        <f>IF(FJ162=0,0,(FJ161*FJ162+FJ163*FJ164*6)/FJ162)</f>
        <v>0</v>
      </c>
      <c r="FK160" s="312">
        <f>IF(FI160=0,0,(FJ160-FI160)/FI160*100)</f>
        <v>0</v>
      </c>
      <c r="FL160" s="22">
        <f>IF(FL162=0,0,(FL161*FL162+FL163*FL164*6)/FL162)</f>
        <v>0</v>
      </c>
      <c r="FM160" s="22">
        <f>IF(FM162=0,0,(FM161*FM162+FM163*FM164*6)/FM162)</f>
        <v>0</v>
      </c>
      <c r="FN160" s="312">
        <f>IF(FL160=0,0,(FM160-FL160)/FL160*100)</f>
        <v>0</v>
      </c>
      <c r="FO160" s="22">
        <f>IF(FO162=0,0,(FO161*FO162+FO163*FO164*6)/FO162)</f>
        <v>0</v>
      </c>
      <c r="FP160" s="22">
        <f>IF(FP162=0,0,(FP161*FP162+FP163*FP164*6)/FP162)</f>
        <v>0</v>
      </c>
      <c r="FQ160" s="312">
        <f>IF(FO160=0,0,(FP160-FO160)/FO160*100)</f>
        <v>0</v>
      </c>
      <c r="FR160" s="22">
        <f>IF(FR162=0,0,(FR161*FR162+FR163*FR164*6)/FR162)</f>
        <v>0</v>
      </c>
      <c r="FS160" s="22">
        <f>IF(FS162=0,0,(FS161*FS162+FS163*FS164*6)/FS162)</f>
        <v>0</v>
      </c>
      <c r="FT160" s="312">
        <f>IF(FR160=0,0,(FS160-FR160)/FR160*100)</f>
        <v>0</v>
      </c>
      <c r="FU160" s="22">
        <f>IF(FU162=0,0,(FU161*FU162+FU163*FU164*6)/FU162)</f>
        <v>0</v>
      </c>
      <c r="FV160" s="22">
        <f>IF(FV162=0,0,(FV161*FV162+FV163*FV164*6)/FV162)</f>
        <v>0</v>
      </c>
      <c r="FW160" s="312">
        <f>IF(FU160=0,0,(FV160-FU160)/FU160*100)</f>
        <v>0</v>
      </c>
      <c r="FX160" s="425"/>
      <c r="FY160" s="425"/>
      <c r="FZ160" s="981" t="s">
        <v>2232</v>
      </c>
      <c r="GA160" s="981"/>
      <c r="GB160" s="981"/>
      <c r="GC160" s="981"/>
      <c r="GD160" s="981"/>
    </row>
    <row r="161" spans="1:186" s="1229" customFormat="1" ht="15" hidden="1" customHeight="1">
      <c r="A161" s="1153"/>
      <c r="B161" s="813" t="b" cm="1">
        <f t="array" ref="B161">B160</f>
        <v>0</v>
      </c>
      <c r="C161" s="1118" t="s">
        <v>2226</v>
      </c>
      <c r="D161" s="1087" t="s">
        <v>2227</v>
      </c>
      <c r="E161" s="676">
        <v>15.8</v>
      </c>
      <c r="F161" s="779" t="str" cm="1">
        <f t="array" aca="1" ref="F161" ca="1">OFFSET(G161,-1,-1)</f>
        <v>2</v>
      </c>
      <c r="G161" s="425"/>
      <c r="H161" s="163" t="s">
        <v>2201</v>
      </c>
      <c r="I161" s="163" t="s">
        <v>2175</v>
      </c>
      <c r="J161" s="1108"/>
      <c r="K161" s="1108" t="str" cm="1">
        <f t="array" aca="1" ref="K161" ca="1">OFFSET(J161,-1,1)</f>
        <v>ТЭ.42.26322895.0004</v>
      </c>
      <c r="L161" s="1108"/>
      <c r="M161" s="1108" t="s">
        <v>1791</v>
      </c>
      <c r="N161" s="1108" t="s">
        <v>2171</v>
      </c>
      <c r="O161" s="1109" t="s">
        <v>2172</v>
      </c>
      <c r="P161" s="1108" t="s">
        <v>2202</v>
      </c>
      <c r="Q161" s="1108"/>
      <c r="R161" s="784"/>
      <c r="S161" s="425"/>
      <c r="T161" s="687" t="b" cm="1">
        <f t="array" aca="1" ref="T161" ca="1">T160</f>
        <v>0</v>
      </c>
      <c r="U161" s="1153"/>
      <c r="V161" s="1153"/>
      <c r="W161" s="1153"/>
      <c r="X161" s="1726"/>
      <c r="Y161" s="1153"/>
      <c r="Z161" s="1726"/>
      <c r="AA161" s="425"/>
      <c r="AB161" s="223" t="s">
        <v>2203</v>
      </c>
      <c r="AC161" s="123" t="s">
        <v>929</v>
      </c>
      <c r="AD161" s="22"/>
      <c r="AE161" s="22"/>
      <c r="AF161" s="312">
        <f>IF(AD161=0,0,(AE161-AD161)/AD161*100)</f>
        <v>0</v>
      </c>
      <c r="AG161" s="313"/>
      <c r="AH161" s="313"/>
      <c r="AI161" s="312">
        <f>IF(AG161=0,0,(AH161-AG161)/AG161*100)</f>
        <v>0</v>
      </c>
      <c r="AJ161" s="313"/>
      <c r="AK161" s="313"/>
      <c r="AL161" s="312">
        <f>IF(AJ161=0,0,(AK161-AJ161)/AJ161*100)</f>
        <v>0</v>
      </c>
      <c r="AM161" s="313"/>
      <c r="AN161" s="313"/>
      <c r="AO161" s="312">
        <f>IF(AM161=0,0,(AN161-AM161)/AM161*100)</f>
        <v>0</v>
      </c>
      <c r="AP161" s="313"/>
      <c r="AQ161" s="313"/>
      <c r="AR161" s="312">
        <f>IF(AP161=0,0,(AQ161-AP161)/AP161*100)</f>
        <v>0</v>
      </c>
      <c r="AS161" s="22"/>
      <c r="AT161" s="22"/>
      <c r="AU161" s="312">
        <f>IF(AS161=0,0,(AT161-AS161)/AS161*100)</f>
        <v>0</v>
      </c>
      <c r="AV161" s="22"/>
      <c r="AW161" s="22"/>
      <c r="AX161" s="312">
        <f>IF(AV161=0,0,(AW161-AV161)/AV161*100)</f>
        <v>0</v>
      </c>
      <c r="AY161" s="22"/>
      <c r="AZ161" s="22"/>
      <c r="BA161" s="312">
        <f>IF(AY161=0,0,(AZ161-AY161)/AY161*100)</f>
        <v>0</v>
      </c>
      <c r="BB161" s="22"/>
      <c r="BC161" s="22"/>
      <c r="BD161" s="312">
        <f>IF(BB161=0,0,(BC161-BB161)/BB161*100)</f>
        <v>0</v>
      </c>
      <c r="BE161" s="22"/>
      <c r="BF161" s="22"/>
      <c r="BG161" s="312">
        <f>IF(BE161=0,0,(BF161-BE161)/BE161*100)</f>
        <v>0</v>
      </c>
      <c r="BH161" s="22"/>
      <c r="BI161" s="22"/>
      <c r="BJ161" s="312">
        <f>IF(BH161=0,0,(BI161-BH161)/BH161*100)</f>
        <v>0</v>
      </c>
      <c r="BK161" s="22"/>
      <c r="BL161" s="22"/>
      <c r="BM161" s="312">
        <f>IF(BK161=0,0,(BL161-BK161)/BK161*100)</f>
        <v>0</v>
      </c>
      <c r="BN161" s="22"/>
      <c r="BO161" s="22"/>
      <c r="BP161" s="312">
        <f>IF(BN161=0,0,(BO161-BN161)/BN161*100)</f>
        <v>0</v>
      </c>
      <c r="BQ161" s="22"/>
      <c r="BR161" s="22"/>
      <c r="BS161" s="312">
        <f>IF(BQ161=0,0,(BR161-BQ161)/BQ161*100)</f>
        <v>0</v>
      </c>
      <c r="BT161" s="22"/>
      <c r="BU161" s="22"/>
      <c r="BV161" s="312">
        <f>IF(BT161=0,0,(BU161-BT161)/BT161*100)</f>
        <v>0</v>
      </c>
      <c r="BW161" s="22"/>
      <c r="BX161" s="22"/>
      <c r="BY161" s="312">
        <f>IF(BW161=0,0,(BX161-BW161)/BW161*100)</f>
        <v>0</v>
      </c>
      <c r="BZ161" s="22"/>
      <c r="CA161" s="22"/>
      <c r="CB161" s="312">
        <f>IF(BZ161=0,0,(CA161-BZ161)/BZ161*100)</f>
        <v>0</v>
      </c>
      <c r="CC161" s="22"/>
      <c r="CD161" s="22"/>
      <c r="CE161" s="312">
        <f>IF(CC161=0,0,(CD161-CC161)/CC161*100)</f>
        <v>0</v>
      </c>
      <c r="CF161" s="22"/>
      <c r="CG161" s="22"/>
      <c r="CH161" s="312">
        <f>IF(CF161=0,0,(CG161-CF161)/CF161*100)</f>
        <v>0</v>
      </c>
      <c r="CI161" s="22"/>
      <c r="CJ161" s="22"/>
      <c r="CK161" s="312">
        <f>IF(CI161=0,0,(CJ161-CI161)/CI161*100)</f>
        <v>0</v>
      </c>
      <c r="CL161" s="22"/>
      <c r="CM161" s="22"/>
      <c r="CN161" s="312">
        <f>IF(CL161=0,0,(CM161-CL161)/CL161*100)</f>
        <v>0</v>
      </c>
      <c r="CO161" s="22"/>
      <c r="CP161" s="22"/>
      <c r="CQ161" s="312">
        <f>IF(CO161=0,0,(CP161-CO161)/CO161*100)</f>
        <v>0</v>
      </c>
      <c r="CR161" s="22"/>
      <c r="CS161" s="22"/>
      <c r="CT161" s="312">
        <f>IF(CR161=0,0,(CS161-CR161)/CR161*100)</f>
        <v>0</v>
      </c>
      <c r="CU161" s="22"/>
      <c r="CV161" s="22"/>
      <c r="CW161" s="312">
        <f>IF(CU161=0,0,(CV161-CU161)/CU161*100)</f>
        <v>0</v>
      </c>
      <c r="CX161" s="22"/>
      <c r="CY161" s="22"/>
      <c r="CZ161" s="312">
        <f>IF(CX161=0,0,(CY161-CX161)/CX161*100)</f>
        <v>0</v>
      </c>
      <c r="DA161" s="22"/>
      <c r="DB161" s="22"/>
      <c r="DC161" s="312">
        <f>IF(DA161=0,0,(DB161-DA161)/DA161*100)</f>
        <v>0</v>
      </c>
      <c r="DD161" s="22"/>
      <c r="DE161" s="22"/>
      <c r="DF161" s="312">
        <f>IF(DD161=0,0,(DE161-DD161)/DD161*100)</f>
        <v>0</v>
      </c>
      <c r="DG161" s="22"/>
      <c r="DH161" s="22"/>
      <c r="DI161" s="312">
        <f>IF(DG161=0,0,(DH161-DG161)/DG161*100)</f>
        <v>0</v>
      </c>
      <c r="DJ161" s="22"/>
      <c r="DK161" s="22"/>
      <c r="DL161" s="312">
        <f>IF(DJ161=0,0,(DK161-DJ161)/DJ161*100)</f>
        <v>0</v>
      </c>
      <c r="DM161" s="22"/>
      <c r="DN161" s="22"/>
      <c r="DO161" s="312">
        <f>IF(DM161=0,0,(DN161-DM161)/DM161*100)</f>
        <v>0</v>
      </c>
      <c r="DP161" s="22"/>
      <c r="DQ161" s="22"/>
      <c r="DR161" s="312">
        <f>IF(DP161=0,0,(DQ161-DP161)/DP161*100)</f>
        <v>0</v>
      </c>
      <c r="DS161" s="22"/>
      <c r="DT161" s="22"/>
      <c r="DU161" s="312">
        <f>IF(DS161=0,0,(DT161-DS161)/DS161*100)</f>
        <v>0</v>
      </c>
      <c r="DV161" s="22"/>
      <c r="DW161" s="22"/>
      <c r="DX161" s="312">
        <f>IF(DV161=0,0,(DW161-DV161)/DV161*100)</f>
        <v>0</v>
      </c>
      <c r="DY161" s="22"/>
      <c r="DZ161" s="22"/>
      <c r="EA161" s="312">
        <f>IF(DY161=0,0,(DZ161-DY161)/DY161*100)</f>
        <v>0</v>
      </c>
      <c r="EB161" s="22"/>
      <c r="EC161" s="22"/>
      <c r="ED161" s="312">
        <f>IF(EB161=0,0,(EC161-EB161)/EB161*100)</f>
        <v>0</v>
      </c>
      <c r="EE161" s="22"/>
      <c r="EF161" s="22"/>
      <c r="EG161" s="312">
        <f>IF(EE161=0,0,(EF161-EE161)/EE161*100)</f>
        <v>0</v>
      </c>
      <c r="EH161" s="22"/>
      <c r="EI161" s="22"/>
      <c r="EJ161" s="312">
        <f>IF(EH161=0,0,(EI161-EH161)/EH161*100)</f>
        <v>0</v>
      </c>
      <c r="EK161" s="22"/>
      <c r="EL161" s="22"/>
      <c r="EM161" s="312">
        <f>IF(EK161=0,0,(EL161-EK161)/EK161*100)</f>
        <v>0</v>
      </c>
      <c r="EN161" s="22"/>
      <c r="EO161" s="22"/>
      <c r="EP161" s="312">
        <f>IF(EN161=0,0,(EO161-EN161)/EN161*100)</f>
        <v>0</v>
      </c>
      <c r="EQ161" s="22"/>
      <c r="ER161" s="22"/>
      <c r="ES161" s="312">
        <f>IF(EQ161=0,0,(ER161-EQ161)/EQ161*100)</f>
        <v>0</v>
      </c>
      <c r="ET161" s="22"/>
      <c r="EU161" s="22"/>
      <c r="EV161" s="312">
        <f>IF(ET161=0,0,(EU161-ET161)/ET161*100)</f>
        <v>0</v>
      </c>
      <c r="EW161" s="22"/>
      <c r="EX161" s="22"/>
      <c r="EY161" s="312">
        <f>IF(EW161=0,0,(EX161-EW161)/EW161*100)</f>
        <v>0</v>
      </c>
      <c r="EZ161" s="22"/>
      <c r="FA161" s="22"/>
      <c r="FB161" s="312">
        <f>IF(EZ161=0,0,(FA161-EZ161)/EZ161*100)</f>
        <v>0</v>
      </c>
      <c r="FC161" s="22"/>
      <c r="FD161" s="22"/>
      <c r="FE161" s="312">
        <f>IF(FC161=0,0,(FD161-FC161)/FC161*100)</f>
        <v>0</v>
      </c>
      <c r="FF161" s="22"/>
      <c r="FG161" s="22"/>
      <c r="FH161" s="312">
        <f>IF(FF161=0,0,(FG161-FF161)/FF161*100)</f>
        <v>0</v>
      </c>
      <c r="FI161" s="22"/>
      <c r="FJ161" s="22"/>
      <c r="FK161" s="312">
        <f>IF(FI161=0,0,(FJ161-FI161)/FI161*100)</f>
        <v>0</v>
      </c>
      <c r="FL161" s="22"/>
      <c r="FM161" s="22"/>
      <c r="FN161" s="312">
        <f>IF(FL161=0,0,(FM161-FL161)/FL161*100)</f>
        <v>0</v>
      </c>
      <c r="FO161" s="22"/>
      <c r="FP161" s="22"/>
      <c r="FQ161" s="312">
        <f>IF(FO161=0,0,(FP161-FO161)/FO161*100)</f>
        <v>0</v>
      </c>
      <c r="FR161" s="22"/>
      <c r="FS161" s="22"/>
      <c r="FT161" s="312">
        <f>IF(FR161=0,0,(FS161-FR161)/FR161*100)</f>
        <v>0</v>
      </c>
      <c r="FU161" s="22"/>
      <c r="FV161" s="22"/>
      <c r="FW161" s="312">
        <f>IF(FU161=0,0,(FV161-FU161)/FU161*100)</f>
        <v>0</v>
      </c>
      <c r="FX161" s="425"/>
      <c r="FY161" s="425"/>
      <c r="FZ161" s="981" t="s">
        <v>2233</v>
      </c>
      <c r="GA161" s="981"/>
      <c r="GB161" s="981"/>
      <c r="GC161" s="981"/>
      <c r="GD161" s="981"/>
    </row>
    <row r="162" spans="1:186" s="1229" customFormat="1" ht="15" hidden="1" customHeight="1">
      <c r="A162" s="1153"/>
      <c r="B162" s="813" t="b" cm="1">
        <f t="array" ref="B162">B161</f>
        <v>0</v>
      </c>
      <c r="C162" s="1118" t="s">
        <v>1779</v>
      </c>
      <c r="D162" s="1087" t="s">
        <v>1780</v>
      </c>
      <c r="E162" s="676">
        <v>15.8</v>
      </c>
      <c r="F162" s="779" t="str" cm="1">
        <f t="array" aca="1" ref="F162" ca="1">OFFSET(G162,-1,-1)</f>
        <v>2</v>
      </c>
      <c r="G162" s="425"/>
      <c r="H162" s="163" t="s">
        <v>2205</v>
      </c>
      <c r="I162" s="163" t="s">
        <v>2175</v>
      </c>
      <c r="J162" s="1108"/>
      <c r="K162" s="1108" t="str" cm="1">
        <f t="array" aca="1" ref="K162" ca="1">OFFSET(J162,-1,1)</f>
        <v>ТЭ.42.26322895.0004</v>
      </c>
      <c r="L162" s="1108"/>
      <c r="M162" s="1108" t="s">
        <v>1791</v>
      </c>
      <c r="N162" s="1108" t="s">
        <v>2171</v>
      </c>
      <c r="O162" s="1109" t="s">
        <v>2172</v>
      </c>
      <c r="P162" s="1108" t="s">
        <v>2206</v>
      </c>
      <c r="Q162" s="1108"/>
      <c r="R162" s="784"/>
      <c r="S162" s="425"/>
      <c r="T162" s="687" t="b" cm="1">
        <f t="array" aca="1" ref="T162" ca="1">T161</f>
        <v>0</v>
      </c>
      <c r="U162" s="1153"/>
      <c r="V162" s="1153"/>
      <c r="W162" s="1153"/>
      <c r="X162" s="1726"/>
      <c r="Y162" s="1153"/>
      <c r="Z162" s="1726"/>
      <c r="AA162" s="425"/>
      <c r="AB162" s="223" t="s">
        <v>2207</v>
      </c>
      <c r="AC162" s="123" t="s">
        <v>634</v>
      </c>
      <c r="AD162" s="100"/>
      <c r="AE162" s="100"/>
      <c r="AF162" s="341">
        <f>IF(AD162=0,0,(AE162-AD162)/AD162*100)</f>
        <v>0</v>
      </c>
      <c r="AG162" s="354"/>
      <c r="AH162" s="354"/>
      <c r="AI162" s="341">
        <f>IF(AG162=0,0,(AH162-AG162)/AG162*100)</f>
        <v>0</v>
      </c>
      <c r="AJ162" s="354"/>
      <c r="AK162" s="354"/>
      <c r="AL162" s="341">
        <f>IF(AJ162=0,0,(AK162-AJ162)/AJ162*100)</f>
        <v>0</v>
      </c>
      <c r="AM162" s="354"/>
      <c r="AN162" s="354"/>
      <c r="AO162" s="341">
        <f>IF(AM162=0,0,(AN162-AM162)/AM162*100)</f>
        <v>0</v>
      </c>
      <c r="AP162" s="354"/>
      <c r="AQ162" s="354"/>
      <c r="AR162" s="341">
        <f>IF(AP162=0,0,(AQ162-AP162)/AP162*100)</f>
        <v>0</v>
      </c>
      <c r="AS162" s="100"/>
      <c r="AT162" s="100"/>
      <c r="AU162" s="341">
        <f>IF(AS162=0,0,(AT162-AS162)/AS162*100)</f>
        <v>0</v>
      </c>
      <c r="AV162" s="100"/>
      <c r="AW162" s="100"/>
      <c r="AX162" s="341">
        <f>IF(AV162=0,0,(AW162-AV162)/AV162*100)</f>
        <v>0</v>
      </c>
      <c r="AY162" s="100"/>
      <c r="AZ162" s="100"/>
      <c r="BA162" s="341">
        <f>IF(AY162=0,0,(AZ162-AY162)/AY162*100)</f>
        <v>0</v>
      </c>
      <c r="BB162" s="100"/>
      <c r="BC162" s="100"/>
      <c r="BD162" s="341">
        <f>IF(BB162=0,0,(BC162-BB162)/BB162*100)</f>
        <v>0</v>
      </c>
      <c r="BE162" s="100"/>
      <c r="BF162" s="100"/>
      <c r="BG162" s="341">
        <f>IF(BE162=0,0,(BF162-BE162)/BE162*100)</f>
        <v>0</v>
      </c>
      <c r="BH162" s="100"/>
      <c r="BI162" s="100"/>
      <c r="BJ162" s="341">
        <f>IF(BH162=0,0,(BI162-BH162)/BH162*100)</f>
        <v>0</v>
      </c>
      <c r="BK162" s="100"/>
      <c r="BL162" s="100"/>
      <c r="BM162" s="341">
        <f>IF(BK162=0,0,(BL162-BK162)/BK162*100)</f>
        <v>0</v>
      </c>
      <c r="BN162" s="100"/>
      <c r="BO162" s="100"/>
      <c r="BP162" s="341">
        <f>IF(BN162=0,0,(BO162-BN162)/BN162*100)</f>
        <v>0</v>
      </c>
      <c r="BQ162" s="100"/>
      <c r="BR162" s="100"/>
      <c r="BS162" s="341">
        <f>IF(BQ162=0,0,(BR162-BQ162)/BQ162*100)</f>
        <v>0</v>
      </c>
      <c r="BT162" s="100"/>
      <c r="BU162" s="100"/>
      <c r="BV162" s="341">
        <f>IF(BT162=0,0,(BU162-BT162)/BT162*100)</f>
        <v>0</v>
      </c>
      <c r="BW162" s="100"/>
      <c r="BX162" s="100"/>
      <c r="BY162" s="341">
        <f>IF(BW162=0,0,(BX162-BW162)/BW162*100)</f>
        <v>0</v>
      </c>
      <c r="BZ162" s="100"/>
      <c r="CA162" s="100"/>
      <c r="CB162" s="341">
        <f>IF(BZ162=0,0,(CA162-BZ162)/BZ162*100)</f>
        <v>0</v>
      </c>
      <c r="CC162" s="100"/>
      <c r="CD162" s="100"/>
      <c r="CE162" s="341">
        <f>IF(CC162=0,0,(CD162-CC162)/CC162*100)</f>
        <v>0</v>
      </c>
      <c r="CF162" s="100"/>
      <c r="CG162" s="100"/>
      <c r="CH162" s="341">
        <f>IF(CF162=0,0,(CG162-CF162)/CF162*100)</f>
        <v>0</v>
      </c>
      <c r="CI162" s="100"/>
      <c r="CJ162" s="100"/>
      <c r="CK162" s="341">
        <f>IF(CI162=0,0,(CJ162-CI162)/CI162*100)</f>
        <v>0</v>
      </c>
      <c r="CL162" s="100"/>
      <c r="CM162" s="100"/>
      <c r="CN162" s="341">
        <f>IF(CL162=0,0,(CM162-CL162)/CL162*100)</f>
        <v>0</v>
      </c>
      <c r="CO162" s="100"/>
      <c r="CP162" s="100"/>
      <c r="CQ162" s="341">
        <f>IF(CO162=0,0,(CP162-CO162)/CO162*100)</f>
        <v>0</v>
      </c>
      <c r="CR162" s="100"/>
      <c r="CS162" s="100"/>
      <c r="CT162" s="341">
        <f>IF(CR162=0,0,(CS162-CR162)/CR162*100)</f>
        <v>0</v>
      </c>
      <c r="CU162" s="100"/>
      <c r="CV162" s="100"/>
      <c r="CW162" s="341">
        <f>IF(CU162=0,0,(CV162-CU162)/CU162*100)</f>
        <v>0</v>
      </c>
      <c r="CX162" s="100"/>
      <c r="CY162" s="100"/>
      <c r="CZ162" s="341">
        <f>IF(CX162=0,0,(CY162-CX162)/CX162*100)</f>
        <v>0</v>
      </c>
      <c r="DA162" s="100"/>
      <c r="DB162" s="100"/>
      <c r="DC162" s="341">
        <f>IF(DA162=0,0,(DB162-DA162)/DA162*100)</f>
        <v>0</v>
      </c>
      <c r="DD162" s="100"/>
      <c r="DE162" s="100"/>
      <c r="DF162" s="341">
        <f>IF(DD162=0,0,(DE162-DD162)/DD162*100)</f>
        <v>0</v>
      </c>
      <c r="DG162" s="100"/>
      <c r="DH162" s="100"/>
      <c r="DI162" s="341">
        <f>IF(DG162=0,0,(DH162-DG162)/DG162*100)</f>
        <v>0</v>
      </c>
      <c r="DJ162" s="100"/>
      <c r="DK162" s="100"/>
      <c r="DL162" s="341">
        <f>IF(DJ162=0,0,(DK162-DJ162)/DJ162*100)</f>
        <v>0</v>
      </c>
      <c r="DM162" s="100"/>
      <c r="DN162" s="100"/>
      <c r="DO162" s="341">
        <f>IF(DM162=0,0,(DN162-DM162)/DM162*100)</f>
        <v>0</v>
      </c>
      <c r="DP162" s="100"/>
      <c r="DQ162" s="100"/>
      <c r="DR162" s="341">
        <f>IF(DP162=0,0,(DQ162-DP162)/DP162*100)</f>
        <v>0</v>
      </c>
      <c r="DS162" s="100"/>
      <c r="DT162" s="100"/>
      <c r="DU162" s="341">
        <f>IF(DS162=0,0,(DT162-DS162)/DS162*100)</f>
        <v>0</v>
      </c>
      <c r="DV162" s="100"/>
      <c r="DW162" s="100"/>
      <c r="DX162" s="341">
        <f>IF(DV162=0,0,(DW162-DV162)/DV162*100)</f>
        <v>0</v>
      </c>
      <c r="DY162" s="100"/>
      <c r="DZ162" s="100"/>
      <c r="EA162" s="341">
        <f>IF(DY162=0,0,(DZ162-DY162)/DY162*100)</f>
        <v>0</v>
      </c>
      <c r="EB162" s="100"/>
      <c r="EC162" s="100"/>
      <c r="ED162" s="341">
        <f>IF(EB162=0,0,(EC162-EB162)/EB162*100)</f>
        <v>0</v>
      </c>
      <c r="EE162" s="100"/>
      <c r="EF162" s="100"/>
      <c r="EG162" s="341">
        <f>IF(EE162=0,0,(EF162-EE162)/EE162*100)</f>
        <v>0</v>
      </c>
      <c r="EH162" s="100"/>
      <c r="EI162" s="100"/>
      <c r="EJ162" s="341">
        <f>IF(EH162=0,0,(EI162-EH162)/EH162*100)</f>
        <v>0</v>
      </c>
      <c r="EK162" s="100"/>
      <c r="EL162" s="100"/>
      <c r="EM162" s="341">
        <f>IF(EK162=0,0,(EL162-EK162)/EK162*100)</f>
        <v>0</v>
      </c>
      <c r="EN162" s="100"/>
      <c r="EO162" s="100"/>
      <c r="EP162" s="341">
        <f>IF(EN162=0,0,(EO162-EN162)/EN162*100)</f>
        <v>0</v>
      </c>
      <c r="EQ162" s="100"/>
      <c r="ER162" s="100"/>
      <c r="ES162" s="341">
        <f>IF(EQ162=0,0,(ER162-EQ162)/EQ162*100)</f>
        <v>0</v>
      </c>
      <c r="ET162" s="100"/>
      <c r="EU162" s="100"/>
      <c r="EV162" s="341">
        <f>IF(ET162=0,0,(EU162-ET162)/ET162*100)</f>
        <v>0</v>
      </c>
      <c r="EW162" s="100"/>
      <c r="EX162" s="100"/>
      <c r="EY162" s="341">
        <f>IF(EW162=0,0,(EX162-EW162)/EW162*100)</f>
        <v>0</v>
      </c>
      <c r="EZ162" s="100"/>
      <c r="FA162" s="100"/>
      <c r="FB162" s="341">
        <f>IF(EZ162=0,0,(FA162-EZ162)/EZ162*100)</f>
        <v>0</v>
      </c>
      <c r="FC162" s="100"/>
      <c r="FD162" s="100"/>
      <c r="FE162" s="341">
        <f>IF(FC162=0,0,(FD162-FC162)/FC162*100)</f>
        <v>0</v>
      </c>
      <c r="FF162" s="100"/>
      <c r="FG162" s="100"/>
      <c r="FH162" s="341">
        <f>IF(FF162=0,0,(FG162-FF162)/FF162*100)</f>
        <v>0</v>
      </c>
      <c r="FI162" s="100"/>
      <c r="FJ162" s="100"/>
      <c r="FK162" s="341">
        <f>IF(FI162=0,0,(FJ162-FI162)/FI162*100)</f>
        <v>0</v>
      </c>
      <c r="FL162" s="100"/>
      <c r="FM162" s="100"/>
      <c r="FN162" s="341">
        <f>IF(FL162=0,0,(FM162-FL162)/FL162*100)</f>
        <v>0</v>
      </c>
      <c r="FO162" s="100"/>
      <c r="FP162" s="100"/>
      <c r="FQ162" s="341">
        <f>IF(FO162=0,0,(FP162-FO162)/FO162*100)</f>
        <v>0</v>
      </c>
      <c r="FR162" s="100"/>
      <c r="FS162" s="100"/>
      <c r="FT162" s="341">
        <f>IF(FR162=0,0,(FS162-FR162)/FR162*100)</f>
        <v>0</v>
      </c>
      <c r="FU162" s="100"/>
      <c r="FV162" s="100"/>
      <c r="FW162" s="341">
        <f>IF(FU162=0,0,(FV162-FU162)/FU162*100)</f>
        <v>0</v>
      </c>
      <c r="FX162" s="425"/>
      <c r="FY162" s="425"/>
      <c r="FZ162" s="981" t="s">
        <v>2234</v>
      </c>
      <c r="GA162" s="981"/>
      <c r="GB162" s="981"/>
      <c r="GC162" s="981"/>
      <c r="GD162" s="981"/>
    </row>
    <row r="163" spans="1:186" s="1229" customFormat="1" ht="30" hidden="1" customHeight="1">
      <c r="A163" s="1153"/>
      <c r="B163" s="813" t="b" cm="1">
        <f t="array" ref="B163">B162</f>
        <v>0</v>
      </c>
      <c r="C163" s="1118" t="s">
        <v>1833</v>
      </c>
      <c r="D163" s="1087" t="s">
        <v>1834</v>
      </c>
      <c r="E163" s="676">
        <v>31.5</v>
      </c>
      <c r="F163" s="779" t="str" cm="1">
        <f t="array" aca="1" ref="F163" ca="1">OFFSET(G163,-1,-1)</f>
        <v>2</v>
      </c>
      <c r="G163" s="425"/>
      <c r="H163" s="163" t="s">
        <v>2209</v>
      </c>
      <c r="I163" s="163" t="s">
        <v>2175</v>
      </c>
      <c r="J163" s="1108"/>
      <c r="K163" s="1108" t="str" cm="1">
        <f t="array" aca="1" ref="K163" ca="1">OFFSET(J163,-1,1)</f>
        <v>ТЭ.42.26322895.0004</v>
      </c>
      <c r="L163" s="1108"/>
      <c r="M163" s="1108" t="s">
        <v>1791</v>
      </c>
      <c r="N163" s="1108" t="s">
        <v>2171</v>
      </c>
      <c r="O163" s="1109" t="s">
        <v>2172</v>
      </c>
      <c r="P163" s="1108" t="s">
        <v>2210</v>
      </c>
      <c r="Q163" s="1108"/>
      <c r="R163" s="784"/>
      <c r="S163" s="425"/>
      <c r="T163" s="687" t="b" cm="1">
        <f t="array" aca="1" ref="T163" ca="1">T162</f>
        <v>0</v>
      </c>
      <c r="U163" s="1153"/>
      <c r="V163" s="1153"/>
      <c r="W163" s="1153"/>
      <c r="X163" s="1726"/>
      <c r="Y163" s="1153"/>
      <c r="Z163" s="1726"/>
      <c r="AA163" s="425"/>
      <c r="AB163" s="223" t="s">
        <v>2211</v>
      </c>
      <c r="AC163" s="443" t="s">
        <v>1837</v>
      </c>
      <c r="AD163" s="22"/>
      <c r="AE163" s="22"/>
      <c r="AF163" s="312">
        <f>IF(AD163=0,0,(AE163-AD163)/AD163*100)</f>
        <v>0</v>
      </c>
      <c r="AG163" s="313"/>
      <c r="AH163" s="313"/>
      <c r="AI163" s="312">
        <f>IF(AG163=0,0,(AH163-AG163)/AG163*100)</f>
        <v>0</v>
      </c>
      <c r="AJ163" s="313"/>
      <c r="AK163" s="313"/>
      <c r="AL163" s="312">
        <f>IF(AJ163=0,0,(AK163-AJ163)/AJ163*100)</f>
        <v>0</v>
      </c>
      <c r="AM163" s="313"/>
      <c r="AN163" s="313"/>
      <c r="AO163" s="312">
        <f>IF(AM163=0,0,(AN163-AM163)/AM163*100)</f>
        <v>0</v>
      </c>
      <c r="AP163" s="313"/>
      <c r="AQ163" s="313"/>
      <c r="AR163" s="312">
        <f>IF(AP163=0,0,(AQ163-AP163)/AP163*100)</f>
        <v>0</v>
      </c>
      <c r="AS163" s="22"/>
      <c r="AT163" s="22"/>
      <c r="AU163" s="312">
        <f>IF(AS163=0,0,(AT163-AS163)/AS163*100)</f>
        <v>0</v>
      </c>
      <c r="AV163" s="22"/>
      <c r="AW163" s="22"/>
      <c r="AX163" s="312">
        <f>IF(AV163=0,0,(AW163-AV163)/AV163*100)</f>
        <v>0</v>
      </c>
      <c r="AY163" s="22"/>
      <c r="AZ163" s="22"/>
      <c r="BA163" s="312">
        <f>IF(AY163=0,0,(AZ163-AY163)/AY163*100)</f>
        <v>0</v>
      </c>
      <c r="BB163" s="22"/>
      <c r="BC163" s="22"/>
      <c r="BD163" s="312">
        <f>IF(BB163=0,0,(BC163-BB163)/BB163*100)</f>
        <v>0</v>
      </c>
      <c r="BE163" s="22"/>
      <c r="BF163" s="22"/>
      <c r="BG163" s="312">
        <f>IF(BE163=0,0,(BF163-BE163)/BE163*100)</f>
        <v>0</v>
      </c>
      <c r="BH163" s="22"/>
      <c r="BI163" s="22"/>
      <c r="BJ163" s="312">
        <f>IF(BH163=0,0,(BI163-BH163)/BH163*100)</f>
        <v>0</v>
      </c>
      <c r="BK163" s="22"/>
      <c r="BL163" s="22"/>
      <c r="BM163" s="312">
        <f>IF(BK163=0,0,(BL163-BK163)/BK163*100)</f>
        <v>0</v>
      </c>
      <c r="BN163" s="22"/>
      <c r="BO163" s="22"/>
      <c r="BP163" s="312">
        <f>IF(BN163=0,0,(BO163-BN163)/BN163*100)</f>
        <v>0</v>
      </c>
      <c r="BQ163" s="22"/>
      <c r="BR163" s="22"/>
      <c r="BS163" s="312">
        <f>IF(BQ163=0,0,(BR163-BQ163)/BQ163*100)</f>
        <v>0</v>
      </c>
      <c r="BT163" s="22"/>
      <c r="BU163" s="22"/>
      <c r="BV163" s="312">
        <f>IF(BT163=0,0,(BU163-BT163)/BT163*100)</f>
        <v>0</v>
      </c>
      <c r="BW163" s="22"/>
      <c r="BX163" s="22"/>
      <c r="BY163" s="312">
        <f>IF(BW163=0,0,(BX163-BW163)/BW163*100)</f>
        <v>0</v>
      </c>
      <c r="BZ163" s="22"/>
      <c r="CA163" s="22"/>
      <c r="CB163" s="312">
        <f>IF(BZ163=0,0,(CA163-BZ163)/BZ163*100)</f>
        <v>0</v>
      </c>
      <c r="CC163" s="22"/>
      <c r="CD163" s="22"/>
      <c r="CE163" s="312">
        <f>IF(CC163=0,0,(CD163-CC163)/CC163*100)</f>
        <v>0</v>
      </c>
      <c r="CF163" s="22"/>
      <c r="CG163" s="22"/>
      <c r="CH163" s="312">
        <f>IF(CF163=0,0,(CG163-CF163)/CF163*100)</f>
        <v>0</v>
      </c>
      <c r="CI163" s="22"/>
      <c r="CJ163" s="22"/>
      <c r="CK163" s="312">
        <f>IF(CI163=0,0,(CJ163-CI163)/CI163*100)</f>
        <v>0</v>
      </c>
      <c r="CL163" s="22"/>
      <c r="CM163" s="22"/>
      <c r="CN163" s="312">
        <f>IF(CL163=0,0,(CM163-CL163)/CL163*100)</f>
        <v>0</v>
      </c>
      <c r="CO163" s="22"/>
      <c r="CP163" s="22"/>
      <c r="CQ163" s="312">
        <f>IF(CO163=0,0,(CP163-CO163)/CO163*100)</f>
        <v>0</v>
      </c>
      <c r="CR163" s="22"/>
      <c r="CS163" s="22"/>
      <c r="CT163" s="312">
        <f>IF(CR163=0,0,(CS163-CR163)/CR163*100)</f>
        <v>0</v>
      </c>
      <c r="CU163" s="22"/>
      <c r="CV163" s="22"/>
      <c r="CW163" s="312">
        <f>IF(CU163=0,0,(CV163-CU163)/CU163*100)</f>
        <v>0</v>
      </c>
      <c r="CX163" s="22"/>
      <c r="CY163" s="22"/>
      <c r="CZ163" s="312">
        <f>IF(CX163=0,0,(CY163-CX163)/CX163*100)</f>
        <v>0</v>
      </c>
      <c r="DA163" s="22"/>
      <c r="DB163" s="22"/>
      <c r="DC163" s="312">
        <f>IF(DA163=0,0,(DB163-DA163)/DA163*100)</f>
        <v>0</v>
      </c>
      <c r="DD163" s="22"/>
      <c r="DE163" s="22"/>
      <c r="DF163" s="312">
        <f>IF(DD163=0,0,(DE163-DD163)/DD163*100)</f>
        <v>0</v>
      </c>
      <c r="DG163" s="22"/>
      <c r="DH163" s="22"/>
      <c r="DI163" s="312">
        <f>IF(DG163=0,0,(DH163-DG163)/DG163*100)</f>
        <v>0</v>
      </c>
      <c r="DJ163" s="22"/>
      <c r="DK163" s="22"/>
      <c r="DL163" s="312">
        <f>IF(DJ163=0,0,(DK163-DJ163)/DJ163*100)</f>
        <v>0</v>
      </c>
      <c r="DM163" s="22"/>
      <c r="DN163" s="22"/>
      <c r="DO163" s="312">
        <f>IF(DM163=0,0,(DN163-DM163)/DM163*100)</f>
        <v>0</v>
      </c>
      <c r="DP163" s="22"/>
      <c r="DQ163" s="22"/>
      <c r="DR163" s="312">
        <f>IF(DP163=0,0,(DQ163-DP163)/DP163*100)</f>
        <v>0</v>
      </c>
      <c r="DS163" s="22"/>
      <c r="DT163" s="22"/>
      <c r="DU163" s="312">
        <f>IF(DS163=0,0,(DT163-DS163)/DS163*100)</f>
        <v>0</v>
      </c>
      <c r="DV163" s="22"/>
      <c r="DW163" s="22"/>
      <c r="DX163" s="312">
        <f>IF(DV163=0,0,(DW163-DV163)/DV163*100)</f>
        <v>0</v>
      </c>
      <c r="DY163" s="22"/>
      <c r="DZ163" s="22"/>
      <c r="EA163" s="312">
        <f>IF(DY163=0,0,(DZ163-DY163)/DY163*100)</f>
        <v>0</v>
      </c>
      <c r="EB163" s="22"/>
      <c r="EC163" s="22"/>
      <c r="ED163" s="312">
        <f>IF(EB163=0,0,(EC163-EB163)/EB163*100)</f>
        <v>0</v>
      </c>
      <c r="EE163" s="22"/>
      <c r="EF163" s="22"/>
      <c r="EG163" s="312">
        <f>IF(EE163=0,0,(EF163-EE163)/EE163*100)</f>
        <v>0</v>
      </c>
      <c r="EH163" s="22"/>
      <c r="EI163" s="22"/>
      <c r="EJ163" s="312">
        <f>IF(EH163=0,0,(EI163-EH163)/EH163*100)</f>
        <v>0</v>
      </c>
      <c r="EK163" s="22"/>
      <c r="EL163" s="22"/>
      <c r="EM163" s="312">
        <f>IF(EK163=0,0,(EL163-EK163)/EK163*100)</f>
        <v>0</v>
      </c>
      <c r="EN163" s="22"/>
      <c r="EO163" s="22"/>
      <c r="EP163" s="312">
        <f>IF(EN163=0,0,(EO163-EN163)/EN163*100)</f>
        <v>0</v>
      </c>
      <c r="EQ163" s="22"/>
      <c r="ER163" s="22"/>
      <c r="ES163" s="312">
        <f>IF(EQ163=0,0,(ER163-EQ163)/EQ163*100)</f>
        <v>0</v>
      </c>
      <c r="ET163" s="22"/>
      <c r="EU163" s="22"/>
      <c r="EV163" s="312">
        <f>IF(ET163=0,0,(EU163-ET163)/ET163*100)</f>
        <v>0</v>
      </c>
      <c r="EW163" s="22"/>
      <c r="EX163" s="22"/>
      <c r="EY163" s="312">
        <f>IF(EW163=0,0,(EX163-EW163)/EW163*100)</f>
        <v>0</v>
      </c>
      <c r="EZ163" s="22"/>
      <c r="FA163" s="22"/>
      <c r="FB163" s="312">
        <f>IF(EZ163=0,0,(FA163-EZ163)/EZ163*100)</f>
        <v>0</v>
      </c>
      <c r="FC163" s="22"/>
      <c r="FD163" s="22"/>
      <c r="FE163" s="312">
        <f>IF(FC163=0,0,(FD163-FC163)/FC163*100)</f>
        <v>0</v>
      </c>
      <c r="FF163" s="22"/>
      <c r="FG163" s="22"/>
      <c r="FH163" s="312">
        <f>IF(FF163=0,0,(FG163-FF163)/FF163*100)</f>
        <v>0</v>
      </c>
      <c r="FI163" s="22"/>
      <c r="FJ163" s="22"/>
      <c r="FK163" s="312">
        <f>IF(FI163=0,0,(FJ163-FI163)/FI163*100)</f>
        <v>0</v>
      </c>
      <c r="FL163" s="22"/>
      <c r="FM163" s="22"/>
      <c r="FN163" s="312">
        <f>IF(FL163=0,0,(FM163-FL163)/FL163*100)</f>
        <v>0</v>
      </c>
      <c r="FO163" s="22"/>
      <c r="FP163" s="22"/>
      <c r="FQ163" s="312">
        <f>IF(FO163=0,0,(FP163-FO163)/FO163*100)</f>
        <v>0</v>
      </c>
      <c r="FR163" s="22"/>
      <c r="FS163" s="22"/>
      <c r="FT163" s="312">
        <f>IF(FR163=0,0,(FS163-FR163)/FR163*100)</f>
        <v>0</v>
      </c>
      <c r="FU163" s="22"/>
      <c r="FV163" s="22"/>
      <c r="FW163" s="312">
        <f>IF(FU163=0,0,(FV163-FU163)/FU163*100)</f>
        <v>0</v>
      </c>
      <c r="FX163" s="425"/>
      <c r="FY163" s="425"/>
      <c r="FZ163" s="981" t="s">
        <v>2235</v>
      </c>
      <c r="GA163" s="981"/>
      <c r="GB163" s="981"/>
      <c r="GC163" s="981"/>
      <c r="GD163" s="981"/>
    </row>
    <row r="164" spans="1:186" s="1229" customFormat="1" ht="15" hidden="1" customHeight="1">
      <c r="A164" s="1153"/>
      <c r="B164" s="813" t="b" cm="1">
        <f t="array" ref="B164">B163</f>
        <v>0</v>
      </c>
      <c r="C164" s="1118" t="s">
        <v>1805</v>
      </c>
      <c r="D164" s="1087" t="s">
        <v>1806</v>
      </c>
      <c r="E164" s="676">
        <v>15.8</v>
      </c>
      <c r="F164" s="779" t="str" cm="1">
        <f t="array" aca="1" ref="F164" ca="1">OFFSET(G164,-1,-1)</f>
        <v>2</v>
      </c>
      <c r="G164" s="425"/>
      <c r="H164" s="163" t="s">
        <v>2213</v>
      </c>
      <c r="I164" s="163" t="s">
        <v>2175</v>
      </c>
      <c r="J164" s="1108"/>
      <c r="K164" s="1108" t="str" cm="1">
        <f t="array" aca="1" ref="K164" ca="1">OFFSET(J164,-1,1)</f>
        <v>ТЭ.42.26322895.0004</v>
      </c>
      <c r="L164" s="1108"/>
      <c r="M164" s="1108" t="s">
        <v>1791</v>
      </c>
      <c r="N164" s="1108" t="s">
        <v>2171</v>
      </c>
      <c r="O164" s="1109" t="s">
        <v>2172</v>
      </c>
      <c r="P164" s="1108" t="s">
        <v>2214</v>
      </c>
      <c r="Q164" s="1108"/>
      <c r="R164" s="784"/>
      <c r="S164" s="425"/>
      <c r="T164" s="687" t="b" cm="1">
        <f t="array" aca="1" ref="T164" ca="1">T163</f>
        <v>0</v>
      </c>
      <c r="U164" s="1153"/>
      <c r="V164" s="1153"/>
      <c r="W164" s="1153"/>
      <c r="X164" s="1726"/>
      <c r="Y164" s="1153"/>
      <c r="Z164" s="1726"/>
      <c r="AA164" s="425"/>
      <c r="AB164" s="223" t="s">
        <v>2215</v>
      </c>
      <c r="AC164" s="557" t="s">
        <v>725</v>
      </c>
      <c r="AD164" s="22"/>
      <c r="AE164" s="22"/>
      <c r="AF164" s="312">
        <f>IF(AD164=0,0,(AE164-AD164)/AD164*100)</f>
        <v>0</v>
      </c>
      <c r="AG164" s="313"/>
      <c r="AH164" s="313"/>
      <c r="AI164" s="312">
        <f>IF(AG164=0,0,(AH164-AG164)/AG164*100)</f>
        <v>0</v>
      </c>
      <c r="AJ164" s="313"/>
      <c r="AK164" s="313"/>
      <c r="AL164" s="312">
        <f>IF(AJ164=0,0,(AK164-AJ164)/AJ164*100)</f>
        <v>0</v>
      </c>
      <c r="AM164" s="313"/>
      <c r="AN164" s="313"/>
      <c r="AO164" s="312">
        <f>IF(AM164=0,0,(AN164-AM164)/AM164*100)</f>
        <v>0</v>
      </c>
      <c r="AP164" s="313"/>
      <c r="AQ164" s="313"/>
      <c r="AR164" s="312">
        <f>IF(AP164=0,0,(AQ164-AP164)/AP164*100)</f>
        <v>0</v>
      </c>
      <c r="AS164" s="22"/>
      <c r="AT164" s="22"/>
      <c r="AU164" s="312">
        <f>IF(AS164=0,0,(AT164-AS164)/AS164*100)</f>
        <v>0</v>
      </c>
      <c r="AV164" s="22"/>
      <c r="AW164" s="22"/>
      <c r="AX164" s="312">
        <f>IF(AV164=0,0,(AW164-AV164)/AV164*100)</f>
        <v>0</v>
      </c>
      <c r="AY164" s="22"/>
      <c r="AZ164" s="22"/>
      <c r="BA164" s="312">
        <f>IF(AY164=0,0,(AZ164-AY164)/AY164*100)</f>
        <v>0</v>
      </c>
      <c r="BB164" s="22"/>
      <c r="BC164" s="22"/>
      <c r="BD164" s="312">
        <f>IF(BB164=0,0,(BC164-BB164)/BB164*100)</f>
        <v>0</v>
      </c>
      <c r="BE164" s="22"/>
      <c r="BF164" s="22"/>
      <c r="BG164" s="312">
        <f>IF(BE164=0,0,(BF164-BE164)/BE164*100)</f>
        <v>0</v>
      </c>
      <c r="BH164" s="22"/>
      <c r="BI164" s="22"/>
      <c r="BJ164" s="312">
        <f>IF(BH164=0,0,(BI164-BH164)/BH164*100)</f>
        <v>0</v>
      </c>
      <c r="BK164" s="22"/>
      <c r="BL164" s="22"/>
      <c r="BM164" s="312">
        <f>IF(BK164=0,0,(BL164-BK164)/BK164*100)</f>
        <v>0</v>
      </c>
      <c r="BN164" s="22"/>
      <c r="BO164" s="22"/>
      <c r="BP164" s="312">
        <f>IF(BN164=0,0,(BO164-BN164)/BN164*100)</f>
        <v>0</v>
      </c>
      <c r="BQ164" s="22"/>
      <c r="BR164" s="22"/>
      <c r="BS164" s="312">
        <f>IF(BQ164=0,0,(BR164-BQ164)/BQ164*100)</f>
        <v>0</v>
      </c>
      <c r="BT164" s="22"/>
      <c r="BU164" s="22"/>
      <c r="BV164" s="312">
        <f>IF(BT164=0,0,(BU164-BT164)/BT164*100)</f>
        <v>0</v>
      </c>
      <c r="BW164" s="22"/>
      <c r="BX164" s="22"/>
      <c r="BY164" s="312">
        <f>IF(BW164=0,0,(BX164-BW164)/BW164*100)</f>
        <v>0</v>
      </c>
      <c r="BZ164" s="22"/>
      <c r="CA164" s="22"/>
      <c r="CB164" s="312">
        <f>IF(BZ164=0,0,(CA164-BZ164)/BZ164*100)</f>
        <v>0</v>
      </c>
      <c r="CC164" s="22"/>
      <c r="CD164" s="22"/>
      <c r="CE164" s="312">
        <f>IF(CC164=0,0,(CD164-CC164)/CC164*100)</f>
        <v>0</v>
      </c>
      <c r="CF164" s="22"/>
      <c r="CG164" s="22"/>
      <c r="CH164" s="312">
        <f>IF(CF164=0,0,(CG164-CF164)/CF164*100)</f>
        <v>0</v>
      </c>
      <c r="CI164" s="22"/>
      <c r="CJ164" s="22"/>
      <c r="CK164" s="312">
        <f>IF(CI164=0,0,(CJ164-CI164)/CI164*100)</f>
        <v>0</v>
      </c>
      <c r="CL164" s="22"/>
      <c r="CM164" s="22"/>
      <c r="CN164" s="312">
        <f>IF(CL164=0,0,(CM164-CL164)/CL164*100)</f>
        <v>0</v>
      </c>
      <c r="CO164" s="22"/>
      <c r="CP164" s="22"/>
      <c r="CQ164" s="312">
        <f>IF(CO164=0,0,(CP164-CO164)/CO164*100)</f>
        <v>0</v>
      </c>
      <c r="CR164" s="22"/>
      <c r="CS164" s="22"/>
      <c r="CT164" s="312">
        <f>IF(CR164=0,0,(CS164-CR164)/CR164*100)</f>
        <v>0</v>
      </c>
      <c r="CU164" s="22"/>
      <c r="CV164" s="22"/>
      <c r="CW164" s="312">
        <f>IF(CU164=0,0,(CV164-CU164)/CU164*100)</f>
        <v>0</v>
      </c>
      <c r="CX164" s="22"/>
      <c r="CY164" s="22"/>
      <c r="CZ164" s="312">
        <f>IF(CX164=0,0,(CY164-CX164)/CX164*100)</f>
        <v>0</v>
      </c>
      <c r="DA164" s="22"/>
      <c r="DB164" s="22"/>
      <c r="DC164" s="312">
        <f>IF(DA164=0,0,(DB164-DA164)/DA164*100)</f>
        <v>0</v>
      </c>
      <c r="DD164" s="22"/>
      <c r="DE164" s="22"/>
      <c r="DF164" s="312">
        <f>IF(DD164=0,0,(DE164-DD164)/DD164*100)</f>
        <v>0</v>
      </c>
      <c r="DG164" s="22"/>
      <c r="DH164" s="22"/>
      <c r="DI164" s="312">
        <f>IF(DG164=0,0,(DH164-DG164)/DG164*100)</f>
        <v>0</v>
      </c>
      <c r="DJ164" s="22"/>
      <c r="DK164" s="22"/>
      <c r="DL164" s="312">
        <f>IF(DJ164=0,0,(DK164-DJ164)/DJ164*100)</f>
        <v>0</v>
      </c>
      <c r="DM164" s="22"/>
      <c r="DN164" s="22"/>
      <c r="DO164" s="312">
        <f>IF(DM164=0,0,(DN164-DM164)/DM164*100)</f>
        <v>0</v>
      </c>
      <c r="DP164" s="22"/>
      <c r="DQ164" s="22"/>
      <c r="DR164" s="312">
        <f>IF(DP164=0,0,(DQ164-DP164)/DP164*100)</f>
        <v>0</v>
      </c>
      <c r="DS164" s="22"/>
      <c r="DT164" s="22"/>
      <c r="DU164" s="312">
        <f>IF(DS164=0,0,(DT164-DS164)/DS164*100)</f>
        <v>0</v>
      </c>
      <c r="DV164" s="22"/>
      <c r="DW164" s="22"/>
      <c r="DX164" s="312">
        <f>IF(DV164=0,0,(DW164-DV164)/DV164*100)</f>
        <v>0</v>
      </c>
      <c r="DY164" s="22"/>
      <c r="DZ164" s="22"/>
      <c r="EA164" s="312">
        <f>IF(DY164=0,0,(DZ164-DY164)/DY164*100)</f>
        <v>0</v>
      </c>
      <c r="EB164" s="22"/>
      <c r="EC164" s="22"/>
      <c r="ED164" s="312">
        <f>IF(EB164=0,0,(EC164-EB164)/EB164*100)</f>
        <v>0</v>
      </c>
      <c r="EE164" s="22"/>
      <c r="EF164" s="22"/>
      <c r="EG164" s="312">
        <f>IF(EE164=0,0,(EF164-EE164)/EE164*100)</f>
        <v>0</v>
      </c>
      <c r="EH164" s="22"/>
      <c r="EI164" s="22"/>
      <c r="EJ164" s="312">
        <f>IF(EH164=0,0,(EI164-EH164)/EH164*100)</f>
        <v>0</v>
      </c>
      <c r="EK164" s="22"/>
      <c r="EL164" s="22"/>
      <c r="EM164" s="312">
        <f>IF(EK164=0,0,(EL164-EK164)/EK164*100)</f>
        <v>0</v>
      </c>
      <c r="EN164" s="22"/>
      <c r="EO164" s="22"/>
      <c r="EP164" s="312">
        <f>IF(EN164=0,0,(EO164-EN164)/EN164*100)</f>
        <v>0</v>
      </c>
      <c r="EQ164" s="22"/>
      <c r="ER164" s="22"/>
      <c r="ES164" s="312">
        <f>IF(EQ164=0,0,(ER164-EQ164)/EQ164*100)</f>
        <v>0</v>
      </c>
      <c r="ET164" s="22"/>
      <c r="EU164" s="22"/>
      <c r="EV164" s="312">
        <f>IF(ET164=0,0,(EU164-ET164)/ET164*100)</f>
        <v>0</v>
      </c>
      <c r="EW164" s="22"/>
      <c r="EX164" s="22"/>
      <c r="EY164" s="312">
        <f>IF(EW164=0,0,(EX164-EW164)/EW164*100)</f>
        <v>0</v>
      </c>
      <c r="EZ164" s="22"/>
      <c r="FA164" s="22"/>
      <c r="FB164" s="312">
        <f>IF(EZ164=0,0,(FA164-EZ164)/EZ164*100)</f>
        <v>0</v>
      </c>
      <c r="FC164" s="22"/>
      <c r="FD164" s="22"/>
      <c r="FE164" s="312">
        <f>IF(FC164=0,0,(FD164-FC164)/FC164*100)</f>
        <v>0</v>
      </c>
      <c r="FF164" s="22"/>
      <c r="FG164" s="22"/>
      <c r="FH164" s="312">
        <f>IF(FF164=0,0,(FG164-FF164)/FF164*100)</f>
        <v>0</v>
      </c>
      <c r="FI164" s="22"/>
      <c r="FJ164" s="22"/>
      <c r="FK164" s="312">
        <f>IF(FI164=0,0,(FJ164-FI164)/FI164*100)</f>
        <v>0</v>
      </c>
      <c r="FL164" s="22"/>
      <c r="FM164" s="22"/>
      <c r="FN164" s="312">
        <f>IF(FL164=0,0,(FM164-FL164)/FL164*100)</f>
        <v>0</v>
      </c>
      <c r="FO164" s="22"/>
      <c r="FP164" s="22"/>
      <c r="FQ164" s="312">
        <f>IF(FO164=0,0,(FP164-FO164)/FO164*100)</f>
        <v>0</v>
      </c>
      <c r="FR164" s="22"/>
      <c r="FS164" s="22"/>
      <c r="FT164" s="312">
        <f>IF(FR164=0,0,(FS164-FR164)/FR164*100)</f>
        <v>0</v>
      </c>
      <c r="FU164" s="22"/>
      <c r="FV164" s="22"/>
      <c r="FW164" s="312">
        <f>IF(FU164=0,0,(FV164-FU164)/FU164*100)</f>
        <v>0</v>
      </c>
      <c r="FX164" s="425"/>
      <c r="FY164" s="425"/>
      <c r="FZ164" s="981" t="s">
        <v>2236</v>
      </c>
      <c r="GA164" s="981"/>
      <c r="GB164" s="981"/>
      <c r="GC164" s="981"/>
      <c r="GD164" s="981"/>
    </row>
    <row r="165" spans="1:186" s="1229" customFormat="1" ht="15.75" hidden="1" customHeight="1">
      <c r="A165" s="1153"/>
      <c r="B165" s="813" t="b">
        <v>0</v>
      </c>
      <c r="C165" s="1118"/>
      <c r="D165" s="1087"/>
      <c r="E165" s="676">
        <v>0</v>
      </c>
      <c r="F165" s="779" t="str" cm="1">
        <f t="array" aca="1" ref="F165" ca="1">OFFSET(G165,-1,-1)</f>
        <v>2</v>
      </c>
      <c r="G165" s="425"/>
      <c r="H165" s="163" t="str">
        <f ca="1">F165&amp;"pIns2"</f>
        <v>2pIns2</v>
      </c>
      <c r="I165" s="425"/>
      <c r="J165" s="1110"/>
      <c r="K165" s="1110"/>
      <c r="L165" s="1110"/>
      <c r="M165" s="1110"/>
      <c r="N165" s="1110"/>
      <c r="O165" s="1110"/>
      <c r="P165" s="1110"/>
      <c r="Q165" s="1092"/>
      <c r="R165" s="784"/>
      <c r="S165" s="425"/>
      <c r="T165" s="687" t="b">
        <v>0</v>
      </c>
      <c r="U165" s="1153"/>
      <c r="V165" s="1153"/>
      <c r="W165" s="1153"/>
      <c r="X165" s="1726"/>
      <c r="Y165" s="1153"/>
      <c r="Z165" s="1726"/>
      <c r="AA165" s="425"/>
      <c r="AB165" s="760" t="s">
        <v>238</v>
      </c>
      <c r="AC165" s="285"/>
      <c r="AD165" s="283"/>
      <c r="AE165" s="283"/>
      <c r="AF165" s="283"/>
      <c r="AG165" s="283"/>
      <c r="AH165" s="283"/>
      <c r="AI165" s="283"/>
      <c r="AJ165" s="283"/>
      <c r="AK165" s="283"/>
      <c r="AL165" s="283"/>
      <c r="AM165" s="283"/>
      <c r="AN165" s="283"/>
      <c r="AO165" s="283"/>
      <c r="AP165" s="283"/>
      <c r="AQ165" s="283"/>
      <c r="AR165" s="283"/>
      <c r="AS165" s="283"/>
      <c r="AT165" s="283"/>
      <c r="AU165" s="283"/>
      <c r="AV165" s="283"/>
      <c r="AW165" s="283"/>
      <c r="AX165" s="283"/>
      <c r="AY165" s="283"/>
      <c r="AZ165" s="283"/>
      <c r="BA165" s="283"/>
      <c r="BB165" s="283"/>
      <c r="BC165" s="283"/>
      <c r="BD165" s="283"/>
      <c r="BE165" s="283"/>
      <c r="BF165" s="283"/>
      <c r="BG165" s="283"/>
      <c r="BH165" s="283"/>
      <c r="BI165" s="283"/>
      <c r="BJ165" s="283"/>
      <c r="BK165" s="283"/>
      <c r="BL165" s="283"/>
      <c r="BM165" s="283"/>
      <c r="BN165" s="283"/>
      <c r="BO165" s="283"/>
      <c r="BP165" s="283"/>
      <c r="BQ165" s="283"/>
      <c r="BR165" s="283"/>
      <c r="BS165" s="283"/>
      <c r="BT165" s="283"/>
      <c r="BU165" s="283"/>
      <c r="BV165" s="283"/>
      <c r="BW165" s="283"/>
      <c r="BX165" s="283"/>
      <c r="BY165" s="283"/>
      <c r="BZ165" s="283"/>
      <c r="CA165" s="283"/>
      <c r="CB165" s="283"/>
      <c r="CC165" s="283"/>
      <c r="CD165" s="283"/>
      <c r="CE165" s="283"/>
      <c r="CF165" s="283"/>
      <c r="CG165" s="283"/>
      <c r="CH165" s="283"/>
      <c r="CI165" s="283"/>
      <c r="CJ165" s="283"/>
      <c r="CK165" s="283"/>
      <c r="CL165" s="283"/>
      <c r="CM165" s="283"/>
      <c r="CN165" s="283"/>
      <c r="CO165" s="283"/>
      <c r="CP165" s="283"/>
      <c r="CQ165" s="283"/>
      <c r="CR165" s="283"/>
      <c r="CS165" s="283"/>
      <c r="CT165" s="283"/>
      <c r="CU165" s="283"/>
      <c r="CV165" s="283"/>
      <c r="CW165" s="283"/>
      <c r="CX165" s="283"/>
      <c r="CY165" s="283"/>
      <c r="CZ165" s="283"/>
      <c r="DA165" s="283"/>
      <c r="DB165" s="283"/>
      <c r="DC165" s="283"/>
      <c r="DD165" s="283"/>
      <c r="DE165" s="283"/>
      <c r="DF165" s="283"/>
      <c r="DG165" s="283"/>
      <c r="DH165" s="283"/>
      <c r="DI165" s="283"/>
      <c r="DJ165" s="283"/>
      <c r="DK165" s="283"/>
      <c r="DL165" s="283"/>
      <c r="DM165" s="283"/>
      <c r="DN165" s="283"/>
      <c r="DO165" s="283"/>
      <c r="DP165" s="283"/>
      <c r="DQ165" s="283"/>
      <c r="DR165" s="283"/>
      <c r="DS165" s="283"/>
      <c r="DT165" s="283"/>
      <c r="DU165" s="283"/>
      <c r="DV165" s="283"/>
      <c r="DW165" s="283"/>
      <c r="DX165" s="283"/>
      <c r="DY165" s="283"/>
      <c r="DZ165" s="283"/>
      <c r="EA165" s="283"/>
      <c r="EB165" s="283"/>
      <c r="EC165" s="283"/>
      <c r="ED165" s="283"/>
      <c r="EE165" s="283"/>
      <c r="EF165" s="283"/>
      <c r="EG165" s="283"/>
      <c r="EH165" s="283"/>
      <c r="EI165" s="283"/>
      <c r="EJ165" s="283"/>
      <c r="EK165" s="283"/>
      <c r="EL165" s="283"/>
      <c r="EM165" s="283"/>
      <c r="EN165" s="283"/>
      <c r="EO165" s="283"/>
      <c r="EP165" s="283"/>
      <c r="EQ165" s="283"/>
      <c r="ER165" s="283"/>
      <c r="ES165" s="283"/>
      <c r="ET165" s="283"/>
      <c r="EU165" s="283"/>
      <c r="EV165" s="283"/>
      <c r="EW165" s="283"/>
      <c r="EX165" s="283"/>
      <c r="EY165" s="283"/>
      <c r="EZ165" s="283"/>
      <c r="FA165" s="283"/>
      <c r="FB165" s="283"/>
      <c r="FC165" s="283"/>
      <c r="FD165" s="283"/>
      <c r="FE165" s="283"/>
      <c r="FF165" s="283"/>
      <c r="FG165" s="283"/>
      <c r="FH165" s="283"/>
      <c r="FI165" s="283"/>
      <c r="FJ165" s="283"/>
      <c r="FK165" s="283"/>
      <c r="FL165" s="283"/>
      <c r="FM165" s="283"/>
      <c r="FN165" s="283"/>
      <c r="FO165" s="283"/>
      <c r="FP165" s="283"/>
      <c r="FQ165" s="283"/>
      <c r="FR165" s="283"/>
      <c r="FS165" s="283"/>
      <c r="FT165" s="283"/>
      <c r="FU165" s="283"/>
      <c r="FV165" s="283"/>
      <c r="FW165" s="284"/>
      <c r="FX165" s="425"/>
      <c r="FY165" s="425"/>
      <c r="FZ165" s="1015"/>
      <c r="GA165" s="981"/>
      <c r="GB165" s="981"/>
      <c r="GC165" s="981"/>
      <c r="GD165" s="981"/>
    </row>
    <row r="166" spans="1:186" ht="15.4" customHeight="1">
      <c r="E166" s="676">
        <v>15.8</v>
      </c>
      <c r="Q166" s="1110"/>
      <c r="U166" s="129" t="s">
        <v>238</v>
      </c>
      <c r="V166" s="122" t="s">
        <v>2237</v>
      </c>
      <c r="W166" s="129"/>
      <c r="AB166" s="317"/>
      <c r="AC166" s="318"/>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c r="CS166" s="164"/>
      <c r="CT166" s="164"/>
      <c r="CU166" s="164"/>
      <c r="CV166" s="164"/>
      <c r="CW166" s="164"/>
      <c r="CX166" s="164"/>
      <c r="CY166" s="164"/>
      <c r="CZ166" s="164"/>
      <c r="DA166" s="164"/>
      <c r="DB166" s="164"/>
      <c r="DC166" s="164"/>
      <c r="DD166" s="164"/>
      <c r="DE166" s="164"/>
      <c r="DF166" s="164"/>
      <c r="DG166" s="164"/>
      <c r="DH166" s="164"/>
      <c r="DI166" s="164"/>
      <c r="DJ166" s="164"/>
      <c r="DK166" s="164"/>
      <c r="DL166" s="164"/>
      <c r="DM166" s="164"/>
      <c r="DN166" s="164"/>
      <c r="DO166" s="164"/>
      <c r="DP166" s="164"/>
      <c r="DQ166" s="164"/>
      <c r="DR166" s="164"/>
      <c r="DS166" s="164"/>
      <c r="DT166" s="164"/>
      <c r="DU166" s="164"/>
      <c r="DV166" s="164"/>
      <c r="DW166" s="164"/>
      <c r="DX166" s="164"/>
      <c r="DY166" s="164"/>
      <c r="DZ166" s="164"/>
      <c r="EA166" s="164"/>
      <c r="EB166" s="164"/>
      <c r="EC166" s="164"/>
      <c r="ED166" s="164"/>
      <c r="EE166" s="164"/>
      <c r="EF166" s="164"/>
      <c r="EG166" s="164"/>
      <c r="EH166" s="164"/>
      <c r="EI166" s="164"/>
      <c r="EJ166" s="164"/>
      <c r="EK166" s="164"/>
      <c r="EL166" s="164"/>
      <c r="EM166" s="164"/>
      <c r="EN166" s="164"/>
      <c r="EO166" s="164"/>
      <c r="EP166" s="164"/>
      <c r="EQ166" s="164"/>
      <c r="ER166" s="164"/>
      <c r="ES166" s="164"/>
      <c r="ET166" s="164"/>
      <c r="EU166" s="164"/>
      <c r="EV166" s="164"/>
      <c r="EW166" s="164"/>
      <c r="EX166" s="164"/>
      <c r="EY166" s="164"/>
      <c r="EZ166" s="164"/>
      <c r="FA166" s="164"/>
      <c r="FB166" s="164"/>
      <c r="FC166" s="164"/>
      <c r="FD166" s="164"/>
      <c r="FE166" s="164"/>
      <c r="FF166" s="164"/>
      <c r="FG166" s="164"/>
      <c r="FH166" s="164"/>
      <c r="FI166" s="164"/>
      <c r="FJ166" s="164"/>
      <c r="FK166" s="164"/>
      <c r="FL166" s="164"/>
      <c r="FM166" s="164"/>
      <c r="FN166" s="164"/>
      <c r="FO166" s="164"/>
      <c r="FP166" s="164"/>
      <c r="FQ166" s="164"/>
      <c r="FR166" s="164"/>
      <c r="FS166" s="164"/>
      <c r="FT166" s="164"/>
      <c r="FU166" s="164"/>
      <c r="FV166" s="164"/>
      <c r="FW166" s="164"/>
      <c r="GA166" s="1015"/>
      <c r="GB166" s="1015"/>
      <c r="GC166" s="1015"/>
      <c r="GD166" s="1015"/>
    </row>
    <row r="167" spans="1:186" ht="15.75" hidden="1" customHeight="1">
      <c r="E167" s="676">
        <v>0</v>
      </c>
      <c r="Q167" s="1110"/>
      <c r="W167" s="129"/>
      <c r="GA167" s="1015"/>
      <c r="GB167" s="1015"/>
      <c r="GC167" s="1015"/>
      <c r="GD167" s="1015"/>
    </row>
    <row r="168" spans="1:186" ht="15.4" customHeight="1">
      <c r="E168" s="676">
        <v>15.8</v>
      </c>
      <c r="Q168" s="1110"/>
      <c r="AB168" s="1802" t="s">
        <v>734</v>
      </c>
      <c r="AC168" s="1802"/>
      <c r="AD168" s="1802"/>
      <c r="AE168" s="1802"/>
      <c r="AF168" s="1802"/>
      <c r="AG168" s="1802"/>
      <c r="AH168" s="1802"/>
      <c r="AI168" s="1802"/>
      <c r="AJ168" s="1802"/>
      <c r="AK168" s="1802"/>
      <c r="AL168" s="1802"/>
      <c r="AM168" s="1802"/>
      <c r="AN168" s="1802"/>
      <c r="AO168" s="1802"/>
      <c r="AP168" s="1802"/>
      <c r="AQ168" s="1802"/>
      <c r="AR168" s="1802"/>
      <c r="AS168" s="1802"/>
      <c r="AT168" s="1802"/>
      <c r="AU168" s="1802"/>
      <c r="AV168" s="1802"/>
      <c r="AW168" s="1802"/>
      <c r="AX168" s="1802"/>
      <c r="AY168" s="1802"/>
      <c r="AZ168" s="1802"/>
      <c r="BA168" s="1802"/>
      <c r="BB168" s="1802"/>
      <c r="BC168" s="1802"/>
      <c r="BD168" s="1802"/>
      <c r="BE168" s="1802"/>
      <c r="BF168" s="1802"/>
      <c r="BG168" s="1802"/>
      <c r="GA168" s="1015"/>
      <c r="GB168" s="1015"/>
      <c r="GC168" s="1015"/>
      <c r="GD168" s="1015"/>
    </row>
    <row r="169" spans="1:186" ht="13.5" customHeight="1">
      <c r="E169" s="676">
        <v>13.8</v>
      </c>
      <c r="Q169" s="1110"/>
      <c r="AA169" s="778"/>
      <c r="AB169" s="1856"/>
      <c r="AC169" s="1856"/>
      <c r="AD169" s="1856"/>
      <c r="AE169" s="1856"/>
      <c r="AF169" s="1856"/>
      <c r="AG169" s="1856"/>
      <c r="AH169" s="1856"/>
      <c r="AI169" s="1856"/>
      <c r="AJ169" s="1856"/>
      <c r="AK169" s="1856"/>
      <c r="AL169" s="1856"/>
      <c r="AM169" s="1856"/>
      <c r="AN169" s="1856"/>
      <c r="AO169" s="1856"/>
      <c r="AP169" s="1856"/>
      <c r="AQ169" s="1856"/>
      <c r="AR169" s="1856"/>
      <c r="AS169" s="1857"/>
      <c r="AT169" s="1857"/>
      <c r="AU169" s="1857"/>
      <c r="AV169" s="1857"/>
      <c r="AW169" s="1857"/>
      <c r="AX169" s="1857"/>
      <c r="AY169" s="1857"/>
      <c r="AZ169" s="1857"/>
      <c r="BA169" s="1857"/>
      <c r="BB169" s="1857"/>
      <c r="BC169" s="1857"/>
      <c r="BD169" s="1857"/>
      <c r="BE169" s="1857"/>
      <c r="BF169" s="1857"/>
      <c r="BG169" s="1857"/>
      <c r="GA169" s="1015"/>
      <c r="GB169" s="1015"/>
      <c r="GC169" s="1015"/>
      <c r="GD169" s="1015"/>
    </row>
    <row r="170" spans="1:186" ht="13.5" hidden="1" customHeight="1">
      <c r="E170" s="676">
        <v>13.8</v>
      </c>
      <c r="Q170" s="1110"/>
      <c r="T170" s="687" t="b">
        <f>ROW(W170)&gt;ROW(W$170)</f>
        <v>0</v>
      </c>
      <c r="W170" s="126" t="s">
        <v>236</v>
      </c>
      <c r="AA170" s="774" t="s">
        <v>218</v>
      </c>
      <c r="AB170" s="1857"/>
      <c r="AC170" s="1857"/>
      <c r="AD170" s="1857"/>
      <c r="AE170" s="1857"/>
      <c r="AF170" s="1857"/>
      <c r="AG170" s="1856"/>
      <c r="AH170" s="1856"/>
      <c r="AI170" s="1856"/>
      <c r="AJ170" s="1856"/>
      <c r="AK170" s="1856"/>
      <c r="AL170" s="1856"/>
      <c r="AM170" s="1856"/>
      <c r="AN170" s="1856"/>
      <c r="AO170" s="1856"/>
      <c r="AP170" s="1856"/>
      <c r="AQ170" s="1856"/>
      <c r="AR170" s="1856"/>
      <c r="AS170" s="1857"/>
      <c r="AT170" s="1857"/>
      <c r="AU170" s="1857"/>
      <c r="AV170" s="1857"/>
      <c r="AW170" s="1857"/>
      <c r="AX170" s="1857"/>
      <c r="AY170" s="1857"/>
      <c r="AZ170" s="1857"/>
      <c r="BA170" s="1857"/>
      <c r="BB170" s="1857"/>
      <c r="BC170" s="1857"/>
      <c r="BD170" s="1857"/>
      <c r="BE170" s="1857"/>
      <c r="BF170" s="1857"/>
      <c r="BG170" s="1857"/>
      <c r="GA170" s="1015"/>
      <c r="GB170" s="1015"/>
      <c r="GC170" s="1015"/>
      <c r="GD170" s="1015"/>
    </row>
    <row r="171" spans="1:186" ht="14.65" customHeight="1">
      <c r="E171" s="676">
        <v>15</v>
      </c>
      <c r="Q171" s="1110"/>
      <c r="W171" s="122" t="s">
        <v>237</v>
      </c>
      <c r="AB171" s="1736" t="s">
        <v>735</v>
      </c>
      <c r="AC171" s="1737"/>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c r="BB171" s="324"/>
      <c r="BC171" s="324"/>
      <c r="BD171" s="324"/>
      <c r="BE171" s="324"/>
      <c r="BF171" s="324"/>
      <c r="BG171" s="294"/>
      <c r="GA171" s="1015"/>
      <c r="GB171" s="1015"/>
      <c r="GC171" s="1015"/>
      <c r="GD171" s="1015"/>
    </row>
    <row r="172" spans="1:186" ht="11.25" customHeight="1">
      <c r="Q172" s="1110"/>
      <c r="FX172" s="163"/>
      <c r="GA172" s="1015"/>
      <c r="GB172" s="1015"/>
      <c r="GC172" s="1015"/>
      <c r="GD172" s="1015"/>
    </row>
  </sheetData>
  <sheetProtection formatColumns="0" formatRows="0" insertRows="0" deleteColumns="0" deleteRows="0" sort="0" autoFilter="0"/>
  <mergeCells count="80">
    <mergeCell ref="Z120:Z165"/>
    <mergeCell ref="X120:X165"/>
    <mergeCell ref="AB120:AC120"/>
    <mergeCell ref="AB121:AC121"/>
    <mergeCell ref="AB122:AC122"/>
    <mergeCell ref="AB123:AC123"/>
    <mergeCell ref="Y137:Y138"/>
    <mergeCell ref="AA137:AA138"/>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BC8-6918-0E86-A488-BECBF1A20312}">
  <sheetPr>
    <tabColor rgb="FF002060"/>
    <outlinePr summaryBelow="0" summaryRight="0"/>
  </sheetPr>
  <dimension ref="A1:AN187"/>
  <sheetViews>
    <sheetView showGridLines="0" workbookViewId="0">
      <pane xSplit="28" ySplit="28" topLeftCell="AC80" activePane="bottomRight" state="frozen"/>
      <selection pane="topRight" activeCell="AC1" sqref="AC1"/>
      <selection pane="bottomLeft" activeCell="A29" sqref="A29"/>
      <selection pane="bottomRight" activeCell="AA21" sqref="AA21"/>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7" width="3.7109375" style="425" hidden="1" customWidth="1"/>
    <col min="8" max="8" width="5.5703125" style="1153" hidden="1" customWidth="1"/>
    <col min="9" max="14" width="3.5703125" style="1153" hidden="1" customWidth="1"/>
    <col min="15" max="15" width="4.42578125" style="1153" hidden="1" customWidth="1"/>
    <col min="16" max="16" width="9.28515625" style="1153" hidden="1" customWidth="1"/>
    <col min="17" max="18" width="3.5703125" style="779" hidden="1" customWidth="1"/>
    <col min="19" max="19" width="3.5703125" style="1153"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5" customWidth="1"/>
    <col min="28" max="28" width="14.7109375" style="277" customWidth="1"/>
    <col min="29" max="31" width="20.5703125" style="425" customWidth="1"/>
    <col min="32" max="34" width="24" style="425" customWidth="1"/>
    <col min="35" max="35" width="24.5703125" style="425" customWidth="1"/>
    <col min="36" max="36" width="20.5703125" style="425" customWidth="1"/>
    <col min="37" max="37" width="21.140625" style="451" hidden="1" customWidth="1"/>
    <col min="38" max="38" width="3" style="425" customWidth="1"/>
    <col min="39" max="39" width="9.140625" style="425" hidden="1"/>
    <col min="40" max="40" width="9.140625" style="1013" hidden="1"/>
  </cols>
  <sheetData>
    <row r="1" spans="1:40" s="1153" customFormat="1" ht="12" hidden="1" customHeight="1">
      <c r="B1" s="667"/>
      <c r="E1" s="667"/>
      <c r="F1" s="698" t="s">
        <v>83</v>
      </c>
      <c r="G1" s="163"/>
      <c r="Q1" s="779"/>
      <c r="R1" s="779"/>
      <c r="T1" s="687" t="s">
        <v>86</v>
      </c>
      <c r="U1" s="687" t="s">
        <v>91</v>
      </c>
      <c r="V1" s="687" t="s">
        <v>87</v>
      </c>
      <c r="W1" s="687" t="s">
        <v>88</v>
      </c>
      <c r="X1" s="687" t="s">
        <v>89</v>
      </c>
      <c r="Y1" s="698" t="s">
        <v>382</v>
      </c>
      <c r="Z1" s="687" t="s">
        <v>93</v>
      </c>
      <c r="AA1" s="698" t="s">
        <v>90</v>
      </c>
      <c r="AB1" s="698" t="s">
        <v>92</v>
      </c>
      <c r="AK1" s="803"/>
      <c r="AN1" s="959" t="s">
        <v>472</v>
      </c>
    </row>
    <row r="2" spans="1:40" s="783" customFormat="1" ht="12" hidden="1" customHeight="1">
      <c r="B2" s="768" t="s">
        <v>15</v>
      </c>
      <c r="G2" s="786"/>
      <c r="AB2" s="671"/>
      <c r="AK2" s="792"/>
      <c r="AN2" s="951"/>
    </row>
    <row r="3" spans="1:40" s="1153" customFormat="1" ht="12" hidden="1" customHeight="1">
      <c r="B3" s="667"/>
      <c r="E3" s="667"/>
      <c r="G3" s="163"/>
      <c r="Q3" s="779"/>
      <c r="R3" s="779"/>
      <c r="AB3" s="122"/>
      <c r="AK3" s="803"/>
      <c r="AN3" s="959"/>
    </row>
    <row r="4" spans="1:40" s="1153" customFormat="1" ht="12" hidden="1" customHeight="1">
      <c r="B4" s="667"/>
      <c r="E4" s="667"/>
      <c r="G4" s="163"/>
      <c r="Q4" s="779"/>
      <c r="R4" s="779"/>
      <c r="AB4" s="122"/>
      <c r="AK4" s="803"/>
      <c r="AN4" s="959"/>
    </row>
    <row r="5" spans="1:40" s="782" customFormat="1" ht="12" hidden="1" customHeight="1">
      <c r="A5" s="667"/>
      <c r="B5" s="667"/>
      <c r="C5" s="667"/>
      <c r="D5" s="667"/>
      <c r="E5" s="676" t="s">
        <v>16</v>
      </c>
      <c r="G5" s="787"/>
      <c r="AA5" s="676">
        <v>3</v>
      </c>
      <c r="AB5" s="682">
        <v>14.75</v>
      </c>
      <c r="AC5" s="676">
        <v>20.5</v>
      </c>
      <c r="AD5" s="676">
        <v>20.5</v>
      </c>
      <c r="AE5" s="676">
        <v>20.5</v>
      </c>
      <c r="AF5" s="676">
        <v>24</v>
      </c>
      <c r="AG5" s="676">
        <v>24</v>
      </c>
      <c r="AH5" s="676">
        <v>24</v>
      </c>
      <c r="AJ5" s="676">
        <v>20.5</v>
      </c>
      <c r="AK5" s="793">
        <v>0</v>
      </c>
      <c r="AL5" s="676">
        <v>3</v>
      </c>
      <c r="AN5" s="951"/>
    </row>
    <row r="6" spans="1:40" s="1153" customFormat="1" ht="12" hidden="1" customHeight="1">
      <c r="B6" s="667"/>
      <c r="E6" s="676"/>
      <c r="G6" s="163"/>
      <c r="Q6" s="779"/>
      <c r="R6" s="779"/>
      <c r="AB6" s="122"/>
      <c r="AC6" s="126" t="s">
        <v>1263</v>
      </c>
      <c r="AD6" s="126" t="s">
        <v>2238</v>
      </c>
      <c r="AE6" s="126" t="s">
        <v>479</v>
      </c>
      <c r="AK6" s="803"/>
      <c r="AN6" s="959"/>
    </row>
    <row r="7" spans="1:40" ht="12" hidden="1" customHeight="1">
      <c r="F7" s="163"/>
      <c r="H7" s="163"/>
      <c r="I7" s="163"/>
      <c r="J7" s="163"/>
      <c r="K7" s="163"/>
      <c r="L7" s="163"/>
      <c r="M7" s="163"/>
      <c r="N7" s="163"/>
      <c r="O7" s="163"/>
      <c r="P7" s="163"/>
      <c r="Q7" s="620"/>
      <c r="R7" s="620"/>
      <c r="S7" s="163"/>
      <c r="T7" s="163"/>
      <c r="U7" s="163"/>
      <c r="V7" s="163"/>
      <c r="W7" s="163"/>
      <c r="X7" s="163"/>
      <c r="Y7" s="163"/>
      <c r="Z7" s="163"/>
      <c r="AB7" s="165"/>
    </row>
    <row r="8" spans="1:40" ht="12" hidden="1" customHeight="1">
      <c r="F8" s="163"/>
      <c r="H8" s="163"/>
      <c r="I8" s="163"/>
      <c r="J8" s="163"/>
      <c r="K8" s="163"/>
      <c r="L8" s="163"/>
      <c r="M8" s="163"/>
      <c r="N8" s="163"/>
      <c r="O8" s="163"/>
      <c r="P8" s="163"/>
      <c r="Q8" s="620"/>
      <c r="R8" s="620"/>
      <c r="S8" s="163"/>
      <c r="T8" s="163"/>
      <c r="U8" s="163"/>
      <c r="V8" s="163"/>
      <c r="W8" s="163"/>
      <c r="X8" s="163"/>
      <c r="Y8" s="163"/>
      <c r="Z8" s="163"/>
      <c r="AB8" s="165"/>
    </row>
    <row r="9" spans="1:40" s="1013" customFormat="1" ht="12" hidden="1" customHeight="1">
      <c r="A9" s="958" t="s">
        <v>383</v>
      </c>
      <c r="B9" s="951"/>
      <c r="E9" s="951"/>
      <c r="Q9" s="960"/>
      <c r="R9" s="960"/>
      <c r="AC9" s="959" t="s">
        <v>2239</v>
      </c>
      <c r="AD9" s="959" t="s">
        <v>2240</v>
      </c>
      <c r="AE9" s="959" t="s">
        <v>2241</v>
      </c>
      <c r="AF9" s="959" t="s">
        <v>2242</v>
      </c>
      <c r="AG9" s="959" t="s">
        <v>2243</v>
      </c>
      <c r="AH9" s="959" t="s">
        <v>2244</v>
      </c>
      <c r="AI9" s="959" t="s">
        <v>2245</v>
      </c>
      <c r="AJ9" s="959" t="s">
        <v>2246</v>
      </c>
      <c r="AK9" s="1046"/>
    </row>
    <row r="10" spans="1:40" s="1153" customFormat="1" ht="12" hidden="1" customHeight="1">
      <c r="B10" s="667"/>
      <c r="E10" s="676"/>
      <c r="G10" s="163"/>
      <c r="Q10" s="779"/>
      <c r="R10" s="779"/>
      <c r="AB10" s="122"/>
      <c r="AK10" s="803"/>
      <c r="AN10" s="959"/>
    </row>
    <row r="11" spans="1:40" s="1153" customFormat="1" ht="12" hidden="1" customHeight="1">
      <c r="B11" s="667"/>
      <c r="E11" s="676"/>
      <c r="G11" s="163"/>
      <c r="Q11" s="779"/>
      <c r="R11" s="779"/>
      <c r="AB11" s="122"/>
      <c r="AK11" s="803" t="s">
        <v>201</v>
      </c>
      <c r="AN11" s="959"/>
    </row>
    <row r="12" spans="1:40" s="1153" customFormat="1" ht="12" hidden="1" customHeight="1">
      <c r="B12" s="667"/>
      <c r="E12" s="676"/>
      <c r="G12" s="163"/>
      <c r="Q12" s="779"/>
      <c r="R12" s="779"/>
      <c r="AB12" s="122"/>
      <c r="AK12" s="803"/>
      <c r="AN12" s="959"/>
    </row>
    <row r="13" spans="1:40" s="1153" customFormat="1" ht="12" hidden="1" customHeight="1">
      <c r="B13" s="667"/>
      <c r="E13" s="676"/>
      <c r="G13" s="163"/>
      <c r="Q13" s="779"/>
      <c r="R13" s="779"/>
      <c r="AB13" s="122"/>
      <c r="AK13" s="803"/>
      <c r="AN13" s="959"/>
    </row>
    <row r="14" spans="1:40" s="1153" customFormat="1" ht="12" hidden="1" customHeight="1">
      <c r="B14" s="667"/>
      <c r="E14" s="676"/>
      <c r="G14" s="163"/>
      <c r="Q14" s="779"/>
      <c r="R14" s="779"/>
      <c r="AB14" s="122"/>
      <c r="AK14" s="803"/>
      <c r="AN14" s="959"/>
    </row>
    <row r="15" spans="1:40" s="1153" customFormat="1" ht="12" hidden="1" customHeight="1">
      <c r="B15" s="667"/>
      <c r="E15" s="676"/>
      <c r="G15" s="163"/>
      <c r="Q15" s="779"/>
      <c r="R15" s="779"/>
      <c r="AB15" s="122"/>
      <c r="AK15" s="803"/>
      <c r="AN15" s="959"/>
    </row>
    <row r="16" spans="1:40" s="1153" customFormat="1" ht="12" hidden="1" customHeight="1">
      <c r="B16" s="667"/>
      <c r="E16" s="676"/>
      <c r="G16" s="163"/>
      <c r="Q16" s="779"/>
      <c r="R16" s="779"/>
      <c r="AB16" s="122"/>
      <c r="AK16" s="803"/>
      <c r="AN16" s="959"/>
    </row>
    <row r="17" spans="1:40" s="1153" customFormat="1" ht="12" hidden="1" customHeight="1">
      <c r="B17" s="667"/>
      <c r="E17" s="676"/>
      <c r="G17" s="163"/>
      <c r="Q17" s="779"/>
      <c r="R17" s="779"/>
      <c r="AB17" s="122"/>
      <c r="AK17" s="803"/>
      <c r="AN17" s="959"/>
    </row>
    <row r="18" spans="1:40" s="1153" customFormat="1" ht="12" hidden="1" customHeight="1">
      <c r="B18" s="667"/>
      <c r="E18" s="676"/>
      <c r="G18" s="163"/>
      <c r="Q18" s="779"/>
      <c r="R18" s="779"/>
      <c r="AB18" s="122"/>
      <c r="AK18" s="803"/>
      <c r="AN18" s="959"/>
    </row>
    <row r="19" spans="1:40" s="1153" customFormat="1" ht="12" hidden="1" customHeight="1">
      <c r="B19" s="667"/>
      <c r="E19" s="676"/>
      <c r="G19" s="163"/>
      <c r="Q19" s="779"/>
      <c r="R19" s="779"/>
      <c r="AB19" s="122"/>
      <c r="AK19" s="803"/>
      <c r="AN19" s="959"/>
    </row>
    <row r="20" spans="1:40" s="1153" customFormat="1" ht="12" hidden="1" customHeight="1">
      <c r="B20" s="667"/>
      <c r="E20" s="676"/>
      <c r="G20" s="163"/>
      <c r="Q20" s="779"/>
      <c r="R20" s="779"/>
      <c r="AB20" s="122"/>
      <c r="AK20" s="803"/>
      <c r="AN20" s="959"/>
    </row>
    <row r="21" spans="1:40" ht="14.65" customHeight="1">
      <c r="E21" s="676">
        <v>15</v>
      </c>
      <c r="AA21" s="699"/>
      <c r="AB21" s="794" t="str" cm="1">
        <f t="array" ref="AB21">tpl_title</f>
        <v>Кемеровская область / 2026 / ОАО «СКЭК» (ИНН:4205153492, КПП:420501001) / ДПР: 2021-2030</v>
      </c>
    </row>
    <row r="22" spans="1:40" s="814" customFormat="1" ht="23.45" customHeight="1">
      <c r="A22" s="110"/>
      <c r="B22" s="667"/>
      <c r="C22" s="129"/>
      <c r="D22" s="129"/>
      <c r="E22" s="676">
        <v>24</v>
      </c>
      <c r="F22" s="129"/>
      <c r="H22" s="129"/>
      <c r="I22" s="129"/>
      <c r="J22" s="129"/>
      <c r="K22" s="129"/>
      <c r="L22" s="129"/>
      <c r="M22" s="129"/>
      <c r="N22" s="129"/>
      <c r="O22" s="129"/>
      <c r="P22" s="129"/>
      <c r="Q22" s="779"/>
      <c r="R22" s="779"/>
      <c r="S22" s="129"/>
      <c r="T22" s="129"/>
      <c r="U22" s="129"/>
      <c r="V22" s="129"/>
      <c r="W22" s="129"/>
      <c r="X22" s="129"/>
      <c r="Y22" s="129"/>
      <c r="Z22" s="129"/>
      <c r="AB22" s="333" t="s">
        <v>79</v>
      </c>
      <c r="AC22" s="222"/>
      <c r="AD22" s="222"/>
      <c r="AE22" s="222"/>
      <c r="AF22" s="222"/>
      <c r="AG22" s="222"/>
      <c r="AH22" s="222"/>
      <c r="AI22" s="222"/>
      <c r="AJ22" s="222"/>
      <c r="AK22" s="452"/>
      <c r="AN22" s="969"/>
    </row>
    <row r="23" spans="1:40" ht="11.1" customHeight="1">
      <c r="E23" s="676">
        <v>11.4</v>
      </c>
      <c r="AB23" s="165"/>
      <c r="AC23" s="165"/>
    </row>
    <row r="24" spans="1:40" ht="20.25" hidden="1" customHeight="1">
      <c r="E24" s="676">
        <v>0</v>
      </c>
      <c r="AB24" s="1851"/>
      <c r="AC24" s="1851"/>
      <c r="AD24" s="1851"/>
      <c r="AE24" s="1851"/>
      <c r="AF24" s="165"/>
      <c r="AG24" s="165"/>
      <c r="AH24" s="165"/>
      <c r="AI24" s="165"/>
      <c r="AJ24" s="165"/>
      <c r="AK24" s="453"/>
    </row>
    <row r="25" spans="1:40" ht="11.1" customHeight="1">
      <c r="E25" s="676">
        <v>11.4</v>
      </c>
      <c r="AB25" s="165"/>
      <c r="AC25" s="165"/>
    </row>
    <row r="26" spans="1:40" s="165" customFormat="1" ht="21.95" customHeight="1">
      <c r="A26" s="122"/>
      <c r="B26" s="671"/>
      <c r="C26" s="122"/>
      <c r="D26" s="122"/>
      <c r="E26" s="682">
        <v>22.5</v>
      </c>
      <c r="F26" s="122"/>
      <c r="H26" s="122"/>
      <c r="I26" s="122"/>
      <c r="J26" s="122"/>
      <c r="K26" s="122"/>
      <c r="L26" s="122"/>
      <c r="M26" s="122"/>
      <c r="N26" s="122"/>
      <c r="O26" s="122"/>
      <c r="P26" s="122"/>
      <c r="Q26" s="804"/>
      <c r="R26" s="804"/>
      <c r="S26" s="122"/>
      <c r="T26" s="122"/>
      <c r="U26" s="122"/>
      <c r="V26" s="122"/>
      <c r="W26" s="122"/>
      <c r="X26" s="122"/>
      <c r="Y26" s="122"/>
      <c r="Z26" s="122"/>
      <c r="AB26" s="1748" t="s">
        <v>119</v>
      </c>
      <c r="AC26" s="1729" t="s">
        <v>2247</v>
      </c>
      <c r="AD26" s="1729" t="s">
        <v>2248</v>
      </c>
      <c r="AE26" s="1729" t="s">
        <v>2249</v>
      </c>
      <c r="AF26" s="1863" t="s">
        <v>2250</v>
      </c>
      <c r="AG26" s="1864"/>
      <c r="AH26" s="1864"/>
      <c r="AI26" s="1865"/>
      <c r="AJ26" s="1729" t="s">
        <v>2251</v>
      </c>
      <c r="AK26" s="570"/>
      <c r="AN26" s="959"/>
    </row>
    <row r="27" spans="1:40" s="165" customFormat="1" ht="81.2" customHeight="1">
      <c r="A27" s="122"/>
      <c r="B27" s="671"/>
      <c r="C27" s="122"/>
      <c r="D27" s="122"/>
      <c r="E27" s="682">
        <v>83.3</v>
      </c>
      <c r="F27" s="122"/>
      <c r="H27" s="122"/>
      <c r="I27" s="122"/>
      <c r="J27" s="122"/>
      <c r="K27" s="122"/>
      <c r="L27" s="122"/>
      <c r="M27" s="122"/>
      <c r="N27" s="122"/>
      <c r="O27" s="122"/>
      <c r="P27" s="122"/>
      <c r="Q27" s="804"/>
      <c r="R27" s="804"/>
      <c r="S27" s="122"/>
      <c r="T27" s="122"/>
      <c r="U27" s="122"/>
      <c r="V27" s="122"/>
      <c r="W27" s="122"/>
      <c r="X27" s="122"/>
      <c r="Y27" s="122"/>
      <c r="Z27" s="122"/>
      <c r="AB27" s="1748"/>
      <c r="AC27" s="1729"/>
      <c r="AD27" s="1729"/>
      <c r="AE27" s="1729"/>
      <c r="AF27" s="470" t="s">
        <v>2252</v>
      </c>
      <c r="AG27" s="470" t="s">
        <v>2253</v>
      </c>
      <c r="AH27" s="470" t="s">
        <v>2254</v>
      </c>
      <c r="AI27" s="470" t="s">
        <v>2255</v>
      </c>
      <c r="AJ27" s="1729"/>
      <c r="AK27" s="569"/>
      <c r="AN27" s="959"/>
    </row>
    <row r="28" spans="1:40" s="165" customFormat="1" ht="19.5" hidden="1" customHeight="1">
      <c r="A28" s="122"/>
      <c r="B28" s="671"/>
      <c r="C28" s="122"/>
      <c r="D28" s="122"/>
      <c r="E28" s="682">
        <v>0</v>
      </c>
      <c r="F28" s="122"/>
      <c r="H28" s="122"/>
      <c r="I28" s="122"/>
      <c r="J28" s="122"/>
      <c r="K28" s="122"/>
      <c r="L28" s="122"/>
      <c r="M28" s="122"/>
      <c r="N28" s="122"/>
      <c r="O28" s="122"/>
      <c r="P28" s="122"/>
      <c r="Q28" s="804"/>
      <c r="R28" s="804"/>
      <c r="S28" s="122"/>
      <c r="T28" s="122"/>
      <c r="U28" s="122"/>
      <c r="V28" s="122"/>
      <c r="W28" s="122"/>
      <c r="X28" s="122"/>
      <c r="Y28" s="122"/>
      <c r="Z28" s="122"/>
      <c r="AB28" s="601"/>
      <c r="AC28" s="443"/>
      <c r="AD28" s="443"/>
      <c r="AE28" s="443"/>
      <c r="AF28" s="520"/>
      <c r="AG28" s="520"/>
      <c r="AH28" s="520"/>
      <c r="AI28" s="520"/>
      <c r="AJ28" s="443"/>
      <c r="AK28" s="569"/>
      <c r="AN28" s="959"/>
    </row>
    <row r="29" spans="1:40" s="170" customFormat="1" ht="16.7" hidden="1" customHeight="1">
      <c r="E29" s="676">
        <v>17.100000000000001</v>
      </c>
      <c r="F29" s="779" cm="1">
        <f t="array" ref="F29">X29</f>
        <v>0</v>
      </c>
      <c r="T29" s="687" t="b">
        <f>X29&gt;0</f>
        <v>0</v>
      </c>
      <c r="V29" s="126" t="s">
        <v>315</v>
      </c>
      <c r="X29" s="1726">
        <v>0</v>
      </c>
      <c r="Z29" s="1724"/>
      <c r="AB29" s="266" t="str" cm="1">
        <f t="array" ref="AB29">INDEX('Общие сведения'!$AG$187:$AG$236,MATCH($F29,'Общие сведения'!$Z$187:$Z$236,0))</f>
        <v xml:space="preserve">Тариф 0 (Теплоснабжение) - </v>
      </c>
      <c r="AC29" s="267"/>
      <c r="AD29" s="267"/>
      <c r="AE29" s="267"/>
      <c r="AF29" s="267"/>
      <c r="AG29" s="267"/>
      <c r="AH29" s="267"/>
      <c r="AI29" s="267"/>
      <c r="AJ29" s="267"/>
      <c r="AK29" s="454"/>
      <c r="AN29" s="954"/>
    </row>
    <row r="30" spans="1:40" s="180" customFormat="1" ht="16.7" hidden="1" customHeight="1">
      <c r="B30" s="805" t="b">
        <f t="shared" ref="B30:B61" si="0">H30&lt;first_year+PERIOD_LENGTH</f>
        <v>1</v>
      </c>
      <c r="E30" s="676">
        <v>17.100000000000001</v>
      </c>
      <c r="F30" s="798" cm="1">
        <f t="array" ref="F30">F29</f>
        <v>0</v>
      </c>
      <c r="G30" s="143" t="s">
        <v>1350</v>
      </c>
      <c r="H30" s="178" cm="1">
        <f t="array" ref="H30">first_year</f>
        <v>2021</v>
      </c>
      <c r="T30" s="687" t="b" cm="1">
        <f t="array" ref="T30">T29</f>
        <v>0</v>
      </c>
      <c r="X30" s="1860"/>
      <c r="Z30" s="1860"/>
      <c r="AB30" s="278" t="str">
        <f t="shared" ref="AB30:AB61" si="1">H30&amp;" год"</f>
        <v>2021 год</v>
      </c>
      <c r="AC30" s="102" t="str">
        <f>IF(god=first_year,SUMIFS('Калькуляция (5.9)'!AT$26:AT$194,'Калькуляция (5.9)'!$F$26:$F$194,$F30,'Калькуляция (5.9)'!$G$26:$G$194,$G30),"")</f>
        <v/>
      </c>
      <c r="AD30" s="27"/>
      <c r="AE30" s="103"/>
      <c r="AF30" s="102"/>
      <c r="AG30" s="102"/>
      <c r="AH30" s="103"/>
      <c r="AI30" s="102"/>
      <c r="AJ30" s="102"/>
      <c r="AK30" s="104"/>
      <c r="AN30" s="1030" cm="1">
        <f t="array" ref="AN30">H30</f>
        <v>2021</v>
      </c>
    </row>
    <row r="31" spans="1:40" s="180" customFormat="1" ht="16.7" hidden="1" customHeight="1">
      <c r="B31" s="805" t="b">
        <f t="shared" si="0"/>
        <v>1</v>
      </c>
      <c r="E31" s="676">
        <v>17.100000000000001</v>
      </c>
      <c r="F31" s="798" cm="1">
        <f t="array" ref="F31">F30</f>
        <v>0</v>
      </c>
      <c r="H31" s="178">
        <f>first_year+1</f>
        <v>2022</v>
      </c>
      <c r="T31" s="687" t="b" cm="1">
        <f t="array" ref="T31">T30</f>
        <v>0</v>
      </c>
      <c r="X31" s="1860"/>
      <c r="Z31" s="1860"/>
      <c r="AB31" s="278" t="str">
        <f t="shared" si="1"/>
        <v>2022 год</v>
      </c>
      <c r="AC31" s="102"/>
      <c r="AD31" s="27">
        <f>IFERROR(SUMIFS(INDEX('Операционные (5.2)'!$AT$26:$BC$54,,MATCH($H31,'Операционные (5.2)'!$AT$6:$BC$6,0)),'Операционные (5.2)'!$F$26:$F$54,$F31,'Операционные (5.2)'!$G$26:$G$54,"ИОР"),0)</f>
        <v>0</v>
      </c>
      <c r="AE31" s="103"/>
      <c r="AF31" s="102"/>
      <c r="AG31" s="102"/>
      <c r="AH31" s="103"/>
      <c r="AI31" s="102"/>
      <c r="AJ31" s="102"/>
      <c r="AK31" s="104"/>
      <c r="AN31" s="1030" cm="1">
        <f t="array" ref="AN31">H31</f>
        <v>2022</v>
      </c>
    </row>
    <row r="32" spans="1:40" s="180" customFormat="1" ht="16.7" hidden="1" customHeight="1">
      <c r="B32" s="805" t="b">
        <f t="shared" si="0"/>
        <v>1</v>
      </c>
      <c r="E32" s="676">
        <v>17.100000000000001</v>
      </c>
      <c r="F32" s="798" cm="1">
        <f t="array" ref="F32">F31</f>
        <v>0</v>
      </c>
      <c r="H32" s="178">
        <f>first_year+2</f>
        <v>2023</v>
      </c>
      <c r="T32" s="687" t="b" cm="1">
        <f t="array" ref="T32">T31</f>
        <v>0</v>
      </c>
      <c r="X32" s="1860"/>
      <c r="Z32" s="1860"/>
      <c r="AB32" s="278" t="str">
        <f t="shared" si="1"/>
        <v>2023 год</v>
      </c>
      <c r="AC32" s="102"/>
      <c r="AD32" s="27">
        <f>IFERROR(SUMIFS(INDEX('Операционные (5.2)'!$AT$26:$BC$54,,MATCH($H32,'Операционные (5.2)'!$AT$6:$BC$6,0)),'Операционные (5.2)'!$F$26:$F$54,$F32,'Операционные (5.2)'!$G$26:$G$54,"ИОР"),0)</f>
        <v>0</v>
      </c>
      <c r="AE32" s="103"/>
      <c r="AF32" s="102"/>
      <c r="AG32" s="102"/>
      <c r="AH32" s="103"/>
      <c r="AI32" s="102"/>
      <c r="AJ32" s="102"/>
      <c r="AK32" s="104"/>
      <c r="AN32" s="1030" cm="1">
        <f t="array" ref="AN32">H32</f>
        <v>2023</v>
      </c>
    </row>
    <row r="33" spans="2:40" s="180" customFormat="1" ht="16.7" hidden="1" customHeight="1">
      <c r="B33" s="805" t="b">
        <f t="shared" si="0"/>
        <v>1</v>
      </c>
      <c r="E33" s="676">
        <v>17.100000000000001</v>
      </c>
      <c r="F33" s="798" cm="1">
        <f t="array" ref="F33">F32</f>
        <v>0</v>
      </c>
      <c r="H33" s="178">
        <f>first_year+3</f>
        <v>2024</v>
      </c>
      <c r="T33" s="687" t="b" cm="1">
        <f t="array" ref="T33">T32</f>
        <v>0</v>
      </c>
      <c r="X33" s="1860"/>
      <c r="Z33" s="1860"/>
      <c r="AB33" s="278" t="str">
        <f t="shared" si="1"/>
        <v>2024 год</v>
      </c>
      <c r="AC33" s="102"/>
      <c r="AD33" s="27">
        <f>IFERROR(SUMIFS(INDEX('Операционные (5.2)'!$AT$26:$BC$54,,MATCH($H33,'Операционные (5.2)'!$AT$6:$BC$6,0)),'Операционные (5.2)'!$F$26:$F$54,$F33,'Операционные (5.2)'!$G$26:$G$54,"ИОР"),0)</f>
        <v>0</v>
      </c>
      <c r="AE33" s="103"/>
      <c r="AF33" s="102"/>
      <c r="AG33" s="102"/>
      <c r="AH33" s="103"/>
      <c r="AI33" s="102"/>
      <c r="AJ33" s="102"/>
      <c r="AK33" s="104"/>
      <c r="AN33" s="1030" cm="1">
        <f t="array" ref="AN33">H33</f>
        <v>2024</v>
      </c>
    </row>
    <row r="34" spans="2:40" s="180" customFormat="1" ht="16.7" hidden="1" customHeight="1">
      <c r="B34" s="805" t="b">
        <f t="shared" si="0"/>
        <v>1</v>
      </c>
      <c r="E34" s="676">
        <v>17.100000000000001</v>
      </c>
      <c r="F34" s="798" cm="1">
        <f t="array" ref="F34">F33</f>
        <v>0</v>
      </c>
      <c r="H34" s="178">
        <f>first_year+4</f>
        <v>2025</v>
      </c>
      <c r="T34" s="687" t="b" cm="1">
        <f t="array" ref="T34">T33</f>
        <v>0</v>
      </c>
      <c r="X34" s="1860"/>
      <c r="Z34" s="1860"/>
      <c r="AB34" s="278" t="str">
        <f t="shared" si="1"/>
        <v>2025 год</v>
      </c>
      <c r="AC34" s="102"/>
      <c r="AD34" s="27">
        <f>IFERROR(SUMIFS(INDEX('Операционные (5.2)'!$AT$26:$BC$54,,MATCH($H34,'Операционные (5.2)'!$AT$6:$BC$6,0)),'Операционные (5.2)'!$F$26:$F$54,$F34,'Операционные (5.2)'!$G$26:$G$54,"ИОР"),0)</f>
        <v>0</v>
      </c>
      <c r="AE34" s="103"/>
      <c r="AF34" s="102"/>
      <c r="AG34" s="102"/>
      <c r="AH34" s="103"/>
      <c r="AI34" s="102"/>
      <c r="AJ34" s="102"/>
      <c r="AK34" s="104"/>
      <c r="AN34" s="1030" cm="1">
        <f t="array" ref="AN34">H34</f>
        <v>2025</v>
      </c>
    </row>
    <row r="35" spans="2:40" s="180" customFormat="1" ht="16.7" hidden="1" customHeight="1">
      <c r="B35" s="805" t="b">
        <f t="shared" si="0"/>
        <v>1</v>
      </c>
      <c r="E35" s="676">
        <v>17.100000000000001</v>
      </c>
      <c r="F35" s="798" cm="1">
        <f t="array" ref="F35">F34</f>
        <v>0</v>
      </c>
      <c r="H35" s="178">
        <f>first_year+5</f>
        <v>2026</v>
      </c>
      <c r="T35" s="687" t="b" cm="1">
        <f t="array" ref="T35">T34</f>
        <v>0</v>
      </c>
      <c r="X35" s="1860"/>
      <c r="Z35" s="1860"/>
      <c r="AB35" s="278" t="str">
        <f t="shared" si="1"/>
        <v>2026 год</v>
      </c>
      <c r="AC35" s="102"/>
      <c r="AD35" s="27">
        <f ca="1">IFERROR(SUMIFS(INDEX('Операционные (5.2)'!$AT$26:$BC$54,,MATCH($H35,'Операционные (5.2)'!$AT$6:$BC$6,0)),'Операционные (5.2)'!$F$26:$F$54,$F35,'Операционные (5.2)'!$G$26:$G$54,"ИОР"),0)</f>
        <v>1</v>
      </c>
      <c r="AE35" s="103"/>
      <c r="AF35" s="102"/>
      <c r="AG35" s="102"/>
      <c r="AH35" s="103"/>
      <c r="AI35" s="102"/>
      <c r="AJ35" s="102"/>
      <c r="AK35" s="104">
        <f>IFERROR(SUMIFS(INDEX('Баланс Пр'!$AE$26:$BB$232,,MATCH($H35&amp;"Принято органом регулирования",'Баланс Пр'!$AE$8:$BB$8,0)),'Баланс Пр'!$Q$26:$Q$232,$F35,'Баланс Пр'!$AC$26:$AC$232,"Уровень потерь воды"),0)</f>
        <v>0</v>
      </c>
      <c r="AN35" s="1030" cm="1">
        <f t="array" ref="AN35">H35</f>
        <v>2026</v>
      </c>
    </row>
    <row r="36" spans="2:40" s="180" customFormat="1" ht="16.7" hidden="1" customHeight="1">
      <c r="B36" s="805" t="b">
        <f t="shared" si="0"/>
        <v>1</v>
      </c>
      <c r="E36" s="676">
        <v>17.100000000000001</v>
      </c>
      <c r="F36" s="798" cm="1">
        <f t="array" ref="F36">F35</f>
        <v>0</v>
      </c>
      <c r="H36" s="178">
        <f>first_year+6</f>
        <v>2027</v>
      </c>
      <c r="T36" s="687" t="b" cm="1">
        <f t="array" ref="T36">T35</f>
        <v>0</v>
      </c>
      <c r="X36" s="1860"/>
      <c r="Z36" s="1860"/>
      <c r="AB36" s="278" t="str">
        <f t="shared" si="1"/>
        <v>2027 год</v>
      </c>
      <c r="AC36" s="102"/>
      <c r="AD36" s="27">
        <f ca="1">IFERROR(SUMIFS(INDEX('Операционные (5.2)'!$AT$26:$BC$54,,MATCH($H36,'Операционные (5.2)'!$AT$6:$BC$6,0)),'Операционные (5.2)'!$F$26:$F$54,$F36,'Операционные (5.2)'!$G$26:$G$54,"ИОР"),0)</f>
        <v>1</v>
      </c>
      <c r="AE36" s="103"/>
      <c r="AF36" s="102"/>
      <c r="AG36" s="102"/>
      <c r="AH36" s="103"/>
      <c r="AI36" s="102"/>
      <c r="AJ36" s="102"/>
      <c r="AK36" s="104">
        <f>IFERROR(SUMIFS(INDEX('Баланс Пр'!$AE$26:$BB$232,,MATCH($H36&amp;"Принято органом регулирования",'Баланс Пр'!$AE$8:$BB$8,0)),'Баланс Пр'!$Q$26:$Q$232,$F36,'Баланс Пр'!$AC$26:$AC$232,"Уровень потерь воды"),0)</f>
        <v>0</v>
      </c>
      <c r="AN36" s="1030" cm="1">
        <f t="array" ref="AN36">H36</f>
        <v>2027</v>
      </c>
    </row>
    <row r="37" spans="2:40" s="180" customFormat="1" ht="16.7" hidden="1" customHeight="1">
      <c r="B37" s="805" t="b">
        <f t="shared" si="0"/>
        <v>1</v>
      </c>
      <c r="E37" s="676">
        <v>17.100000000000001</v>
      </c>
      <c r="F37" s="798" cm="1">
        <f t="array" ref="F37">F36</f>
        <v>0</v>
      </c>
      <c r="H37" s="178">
        <f>first_year+7</f>
        <v>2028</v>
      </c>
      <c r="T37" s="687" t="b" cm="1">
        <f t="array" ref="T37">T36</f>
        <v>0</v>
      </c>
      <c r="X37" s="1860"/>
      <c r="Z37" s="1860"/>
      <c r="AB37" s="278" t="str">
        <f t="shared" si="1"/>
        <v>2028 год</v>
      </c>
      <c r="AC37" s="102"/>
      <c r="AD37" s="27">
        <f ca="1">IFERROR(SUMIFS(INDEX('Операционные (5.2)'!$AT$26:$BC$54,,MATCH($H37,'Операционные (5.2)'!$AT$6:$BC$6,0)),'Операционные (5.2)'!$F$26:$F$54,$F37,'Операционные (5.2)'!$G$26:$G$54,"ИОР"),0)</f>
        <v>1</v>
      </c>
      <c r="AE37" s="103"/>
      <c r="AF37" s="102"/>
      <c r="AG37" s="102"/>
      <c r="AH37" s="103"/>
      <c r="AI37" s="102"/>
      <c r="AJ37" s="102"/>
      <c r="AK37" s="104">
        <f>IFERROR(SUMIFS(INDEX('Баланс Пр'!$AE$26:$BB$232,,MATCH($H37&amp;"Принято органом регулирования",'Баланс Пр'!$AE$8:$BB$8,0)),'Баланс Пр'!$Q$26:$Q$232,$F37,'Баланс Пр'!$AC$26:$AC$232,"Уровень потерь воды"),0)</f>
        <v>0</v>
      </c>
      <c r="AN37" s="1030" cm="1">
        <f t="array" ref="AN37">H37</f>
        <v>2028</v>
      </c>
    </row>
    <row r="38" spans="2:40" s="180" customFormat="1" ht="16.7" hidden="1" customHeight="1">
      <c r="B38" s="805" t="b">
        <f t="shared" si="0"/>
        <v>1</v>
      </c>
      <c r="E38" s="676">
        <v>17.100000000000001</v>
      </c>
      <c r="F38" s="798" cm="1">
        <f t="array" ref="F38">F37</f>
        <v>0</v>
      </c>
      <c r="H38" s="178">
        <f>first_year+8</f>
        <v>2029</v>
      </c>
      <c r="T38" s="687" t="b" cm="1">
        <f t="array" ref="T38">T37</f>
        <v>0</v>
      </c>
      <c r="X38" s="1860"/>
      <c r="Z38" s="1860"/>
      <c r="AB38" s="278" t="str">
        <f t="shared" si="1"/>
        <v>2029 год</v>
      </c>
      <c r="AC38" s="102"/>
      <c r="AD38" s="27">
        <f ca="1">IFERROR(SUMIFS(INDEX('Операционные (5.2)'!$AT$26:$BC$54,,MATCH($H38,'Операционные (5.2)'!$AT$6:$BC$6,0)),'Операционные (5.2)'!$F$26:$F$54,$F38,'Операционные (5.2)'!$G$26:$G$54,"ИОР"),0)</f>
        <v>1</v>
      </c>
      <c r="AE38" s="103"/>
      <c r="AF38" s="102"/>
      <c r="AG38" s="102"/>
      <c r="AH38" s="103"/>
      <c r="AI38" s="102"/>
      <c r="AJ38" s="102"/>
      <c r="AK38" s="104">
        <f>IFERROR(SUMIFS(INDEX('Баланс Пр'!$AE$26:$BB$232,,MATCH($H38&amp;"Принято органом регулирования",'Баланс Пр'!$AE$8:$BB$8,0)),'Баланс Пр'!$Q$26:$Q$232,$F38,'Баланс Пр'!$AC$26:$AC$232,"Уровень потерь воды"),0)</f>
        <v>0</v>
      </c>
      <c r="AN38" s="1030" cm="1">
        <f t="array" ref="AN38">H38</f>
        <v>2029</v>
      </c>
    </row>
    <row r="39" spans="2:40" s="180" customFormat="1" ht="16.7" hidden="1" customHeight="1">
      <c r="B39" s="805" t="b">
        <f t="shared" si="0"/>
        <v>1</v>
      </c>
      <c r="E39" s="676">
        <v>17.100000000000001</v>
      </c>
      <c r="F39" s="798" cm="1">
        <f t="array" ref="F39">F38</f>
        <v>0</v>
      </c>
      <c r="H39" s="178">
        <f>first_year+9</f>
        <v>2030</v>
      </c>
      <c r="T39" s="687" t="b" cm="1">
        <f t="array" ref="T39">T38</f>
        <v>0</v>
      </c>
      <c r="X39" s="1860"/>
      <c r="Z39" s="1860"/>
      <c r="AB39" s="278" t="str">
        <f t="shared" si="1"/>
        <v>2030 год</v>
      </c>
      <c r="AC39" s="102"/>
      <c r="AD39" s="27">
        <f ca="1">IFERROR(SUMIFS(INDEX('Операционные (5.2)'!$AT$26:$BC$54,,MATCH($H39,'Операционные (5.2)'!$AT$6:$BC$6,0)),'Операционные (5.2)'!$F$26:$F$54,$F39,'Операционные (5.2)'!$G$26:$G$54,"ИОР"),0)</f>
        <v>1</v>
      </c>
      <c r="AE39" s="103"/>
      <c r="AF39" s="102"/>
      <c r="AG39" s="102"/>
      <c r="AH39" s="103"/>
      <c r="AI39" s="102"/>
      <c r="AJ39" s="102"/>
      <c r="AK39" s="104">
        <f>IFERROR(SUMIFS(INDEX('Баланс Пр'!$AE$26:$BB$232,,MATCH($H39&amp;"Принято органом регулирования",'Баланс Пр'!$AE$8:$BB$8,0)),'Баланс Пр'!$Q$26:$Q$232,$F39,'Баланс Пр'!$AC$26:$AC$232,"Уровень потерь воды"),0)</f>
        <v>0</v>
      </c>
      <c r="AN39" s="1030" cm="1">
        <f t="array" ref="AN39">H39</f>
        <v>2030</v>
      </c>
    </row>
    <row r="40" spans="2:40" s="180" customFormat="1" ht="16.7" hidden="1" customHeight="1">
      <c r="B40" s="805" t="b">
        <f t="shared" si="0"/>
        <v>0</v>
      </c>
      <c r="E40" s="676">
        <v>17.100000000000001</v>
      </c>
      <c r="F40" s="798" cm="1">
        <f t="array" ref="F40">F39</f>
        <v>0</v>
      </c>
      <c r="H40" s="178">
        <f>first_year+10</f>
        <v>2031</v>
      </c>
      <c r="T40" s="687" t="b" cm="1">
        <f t="array" ref="T40">T39</f>
        <v>0</v>
      </c>
      <c r="X40" s="1860"/>
      <c r="Z40" s="1860"/>
      <c r="AB40" s="278" t="str">
        <f t="shared" si="1"/>
        <v>2031 год</v>
      </c>
      <c r="AC40" s="102"/>
      <c r="AD40" s="103"/>
      <c r="AE40" s="103"/>
      <c r="AF40" s="102"/>
      <c r="AG40" s="102"/>
      <c r="AH40" s="103"/>
      <c r="AI40" s="102"/>
      <c r="AJ40" s="102"/>
      <c r="AK40" s="104"/>
      <c r="AN40" s="1030" cm="1">
        <f t="array" ref="AN40">H40</f>
        <v>2031</v>
      </c>
    </row>
    <row r="41" spans="2:40" s="180" customFormat="1" ht="16.7" hidden="1" customHeight="1">
      <c r="B41" s="805" t="b">
        <f t="shared" si="0"/>
        <v>0</v>
      </c>
      <c r="E41" s="676">
        <v>17.100000000000001</v>
      </c>
      <c r="F41" s="798" cm="1">
        <f t="array" ref="F41">F40</f>
        <v>0</v>
      </c>
      <c r="H41" s="178">
        <f>first_year+11</f>
        <v>2032</v>
      </c>
      <c r="T41" s="687" t="b" cm="1">
        <f t="array" ref="T41">T40</f>
        <v>0</v>
      </c>
      <c r="X41" s="1860"/>
      <c r="Z41" s="1860"/>
      <c r="AB41" s="278" t="str">
        <f t="shared" si="1"/>
        <v>2032 год</v>
      </c>
      <c r="AC41" s="102"/>
      <c r="AD41" s="103"/>
      <c r="AE41" s="103"/>
      <c r="AF41" s="102"/>
      <c r="AG41" s="102"/>
      <c r="AH41" s="103"/>
      <c r="AI41" s="102"/>
      <c r="AJ41" s="102"/>
      <c r="AK41" s="104"/>
      <c r="AN41" s="1030" cm="1">
        <f t="array" ref="AN41">H41</f>
        <v>2032</v>
      </c>
    </row>
    <row r="42" spans="2:40" s="180" customFormat="1" ht="16.7" hidden="1" customHeight="1">
      <c r="B42" s="805" t="b">
        <f t="shared" si="0"/>
        <v>0</v>
      </c>
      <c r="E42" s="676">
        <v>17.100000000000001</v>
      </c>
      <c r="F42" s="798" cm="1">
        <f t="array" ref="F42">F41</f>
        <v>0</v>
      </c>
      <c r="H42" s="178">
        <f>first_year+12</f>
        <v>2033</v>
      </c>
      <c r="T42" s="687" t="b" cm="1">
        <f t="array" ref="T42">T41</f>
        <v>0</v>
      </c>
      <c r="X42" s="1860"/>
      <c r="Z42" s="1860"/>
      <c r="AB42" s="278" t="str">
        <f t="shared" si="1"/>
        <v>2033 год</v>
      </c>
      <c r="AC42" s="102"/>
      <c r="AD42" s="103"/>
      <c r="AE42" s="103"/>
      <c r="AF42" s="102"/>
      <c r="AG42" s="102"/>
      <c r="AH42" s="103"/>
      <c r="AI42" s="102"/>
      <c r="AJ42" s="102"/>
      <c r="AK42" s="104"/>
      <c r="AN42" s="1030" cm="1">
        <f t="array" ref="AN42">H42</f>
        <v>2033</v>
      </c>
    </row>
    <row r="43" spans="2:40" s="180" customFormat="1" ht="16.7" hidden="1" customHeight="1">
      <c r="B43" s="805" t="b">
        <f t="shared" si="0"/>
        <v>0</v>
      </c>
      <c r="E43" s="676">
        <v>17.100000000000001</v>
      </c>
      <c r="F43" s="798" cm="1">
        <f t="array" ref="F43">F42</f>
        <v>0</v>
      </c>
      <c r="H43" s="178">
        <f>first_year+13</f>
        <v>2034</v>
      </c>
      <c r="T43" s="687" t="b" cm="1">
        <f t="array" ref="T43">T42</f>
        <v>0</v>
      </c>
      <c r="X43" s="1860"/>
      <c r="Z43" s="1860"/>
      <c r="AB43" s="278" t="str">
        <f t="shared" si="1"/>
        <v>2034 год</v>
      </c>
      <c r="AC43" s="102"/>
      <c r="AD43" s="103"/>
      <c r="AE43" s="103"/>
      <c r="AF43" s="102"/>
      <c r="AG43" s="102"/>
      <c r="AH43" s="103"/>
      <c r="AI43" s="102"/>
      <c r="AJ43" s="102"/>
      <c r="AK43" s="104"/>
      <c r="AN43" s="1030" cm="1">
        <f t="array" ref="AN43">H43</f>
        <v>2034</v>
      </c>
    </row>
    <row r="44" spans="2:40" s="180" customFormat="1" ht="16.7" hidden="1" customHeight="1">
      <c r="B44" s="805" t="b">
        <f t="shared" si="0"/>
        <v>0</v>
      </c>
      <c r="E44" s="676">
        <v>17.100000000000001</v>
      </c>
      <c r="F44" s="798" cm="1">
        <f t="array" ref="F44">F43</f>
        <v>0</v>
      </c>
      <c r="H44" s="178">
        <f>first_year+14</f>
        <v>2035</v>
      </c>
      <c r="T44" s="687" t="b" cm="1">
        <f t="array" ref="T44">T43</f>
        <v>0</v>
      </c>
      <c r="X44" s="1860"/>
      <c r="Z44" s="1860"/>
      <c r="AB44" s="278" t="str">
        <f t="shared" si="1"/>
        <v>2035 год</v>
      </c>
      <c r="AC44" s="102"/>
      <c r="AD44" s="103"/>
      <c r="AE44" s="103"/>
      <c r="AF44" s="102"/>
      <c r="AG44" s="102"/>
      <c r="AH44" s="103"/>
      <c r="AI44" s="102"/>
      <c r="AJ44" s="102"/>
      <c r="AK44" s="104"/>
      <c r="AN44" s="1030" cm="1">
        <f t="array" ref="AN44">H44</f>
        <v>2035</v>
      </c>
    </row>
    <row r="45" spans="2:40" s="180" customFormat="1" ht="16.7" hidden="1" customHeight="1">
      <c r="B45" s="805" t="b">
        <f t="shared" si="0"/>
        <v>0</v>
      </c>
      <c r="E45" s="676">
        <v>17.100000000000001</v>
      </c>
      <c r="F45" s="798" cm="1">
        <f t="array" ref="F45">F44</f>
        <v>0</v>
      </c>
      <c r="H45" s="178">
        <f>first_year+15</f>
        <v>2036</v>
      </c>
      <c r="T45" s="687" t="b" cm="1">
        <f t="array" ref="T45">T44</f>
        <v>0</v>
      </c>
      <c r="X45" s="1860"/>
      <c r="Z45" s="1860"/>
      <c r="AB45" s="278" t="str">
        <f t="shared" si="1"/>
        <v>2036 год</v>
      </c>
      <c r="AC45" s="102"/>
      <c r="AD45" s="103"/>
      <c r="AE45" s="103"/>
      <c r="AF45" s="102"/>
      <c r="AG45" s="102"/>
      <c r="AH45" s="103"/>
      <c r="AI45" s="102"/>
      <c r="AJ45" s="102"/>
      <c r="AK45" s="104"/>
      <c r="AN45" s="1030" cm="1">
        <f t="array" ref="AN45">H45</f>
        <v>2036</v>
      </c>
    </row>
    <row r="46" spans="2:40" s="180" customFormat="1" ht="16.7" hidden="1" customHeight="1">
      <c r="B46" s="805" t="b">
        <f t="shared" si="0"/>
        <v>0</v>
      </c>
      <c r="E46" s="676">
        <v>17.100000000000001</v>
      </c>
      <c r="F46" s="798" cm="1">
        <f t="array" ref="F46">F45</f>
        <v>0</v>
      </c>
      <c r="H46" s="178">
        <f>first_year+16</f>
        <v>2037</v>
      </c>
      <c r="T46" s="687" t="b" cm="1">
        <f t="array" ref="T46">T45</f>
        <v>0</v>
      </c>
      <c r="X46" s="1860"/>
      <c r="Z46" s="1860"/>
      <c r="AB46" s="278" t="str">
        <f t="shared" si="1"/>
        <v>2037 год</v>
      </c>
      <c r="AC46" s="102"/>
      <c r="AD46" s="103"/>
      <c r="AE46" s="103"/>
      <c r="AF46" s="102"/>
      <c r="AG46" s="102"/>
      <c r="AH46" s="103"/>
      <c r="AI46" s="102"/>
      <c r="AJ46" s="102"/>
      <c r="AK46" s="104"/>
      <c r="AN46" s="1030" cm="1">
        <f t="array" ref="AN46">H46</f>
        <v>2037</v>
      </c>
    </row>
    <row r="47" spans="2:40" s="180" customFormat="1" ht="16.7" hidden="1" customHeight="1">
      <c r="B47" s="805" t="b">
        <f t="shared" si="0"/>
        <v>0</v>
      </c>
      <c r="E47" s="676">
        <v>17.100000000000001</v>
      </c>
      <c r="F47" s="798" cm="1">
        <f t="array" ref="F47">F46</f>
        <v>0</v>
      </c>
      <c r="H47" s="178">
        <f>first_year+17</f>
        <v>2038</v>
      </c>
      <c r="T47" s="687" t="b" cm="1">
        <f t="array" ref="T47">T46</f>
        <v>0</v>
      </c>
      <c r="X47" s="1860"/>
      <c r="Z47" s="1860"/>
      <c r="AB47" s="278" t="str">
        <f t="shared" si="1"/>
        <v>2038 год</v>
      </c>
      <c r="AC47" s="102"/>
      <c r="AD47" s="103"/>
      <c r="AE47" s="103"/>
      <c r="AF47" s="102"/>
      <c r="AG47" s="102"/>
      <c r="AH47" s="103"/>
      <c r="AI47" s="102"/>
      <c r="AJ47" s="102"/>
      <c r="AK47" s="104"/>
      <c r="AN47" s="1030" cm="1">
        <f t="array" ref="AN47">H47</f>
        <v>2038</v>
      </c>
    </row>
    <row r="48" spans="2:40" s="180" customFormat="1" ht="16.7" hidden="1" customHeight="1">
      <c r="B48" s="805" t="b">
        <f t="shared" si="0"/>
        <v>0</v>
      </c>
      <c r="E48" s="676">
        <v>17.100000000000001</v>
      </c>
      <c r="F48" s="798" cm="1">
        <f t="array" ref="F48">F47</f>
        <v>0</v>
      </c>
      <c r="H48" s="178">
        <f>first_year+18</f>
        <v>2039</v>
      </c>
      <c r="T48" s="687" t="b" cm="1">
        <f t="array" ref="T48">T47</f>
        <v>0</v>
      </c>
      <c r="X48" s="1860"/>
      <c r="Z48" s="1860"/>
      <c r="AB48" s="278" t="str">
        <f t="shared" si="1"/>
        <v>2039 год</v>
      </c>
      <c r="AC48" s="102"/>
      <c r="AD48" s="103"/>
      <c r="AE48" s="103"/>
      <c r="AF48" s="102"/>
      <c r="AG48" s="102"/>
      <c r="AH48" s="103"/>
      <c r="AI48" s="102"/>
      <c r="AJ48" s="102"/>
      <c r="AK48" s="104"/>
      <c r="AN48" s="1030" cm="1">
        <f t="array" ref="AN48">H48</f>
        <v>2039</v>
      </c>
    </row>
    <row r="49" spans="2:40" s="180" customFormat="1" ht="16.7" hidden="1" customHeight="1">
      <c r="B49" s="805" t="b">
        <f t="shared" si="0"/>
        <v>0</v>
      </c>
      <c r="E49" s="676">
        <v>17.100000000000001</v>
      </c>
      <c r="F49" s="798" cm="1">
        <f t="array" ref="F49">F48</f>
        <v>0</v>
      </c>
      <c r="H49" s="178">
        <f>first_year+19</f>
        <v>2040</v>
      </c>
      <c r="T49" s="687" t="b" cm="1">
        <f t="array" ref="T49">T48</f>
        <v>0</v>
      </c>
      <c r="X49" s="1860"/>
      <c r="Z49" s="1860"/>
      <c r="AB49" s="278" t="str">
        <f t="shared" si="1"/>
        <v>2040 год</v>
      </c>
      <c r="AC49" s="102"/>
      <c r="AD49" s="103"/>
      <c r="AE49" s="103"/>
      <c r="AF49" s="102"/>
      <c r="AG49" s="102"/>
      <c r="AH49" s="103"/>
      <c r="AI49" s="102"/>
      <c r="AJ49" s="102"/>
      <c r="AK49" s="104"/>
      <c r="AN49" s="1030" cm="1">
        <f t="array" ref="AN49">H49</f>
        <v>2040</v>
      </c>
    </row>
    <row r="50" spans="2:40" s="180" customFormat="1" ht="16.7" hidden="1" customHeight="1">
      <c r="B50" s="805" t="b">
        <f t="shared" si="0"/>
        <v>0</v>
      </c>
      <c r="E50" s="676">
        <v>17.100000000000001</v>
      </c>
      <c r="F50" s="798" cm="1">
        <f t="array" ref="F50">F49</f>
        <v>0</v>
      </c>
      <c r="H50" s="178">
        <f>first_year+20</f>
        <v>2041</v>
      </c>
      <c r="T50" s="687" t="b" cm="1">
        <f t="array" ref="T50">T49</f>
        <v>0</v>
      </c>
      <c r="X50" s="1860"/>
      <c r="Z50" s="1860"/>
      <c r="AB50" s="278" t="str">
        <f t="shared" si="1"/>
        <v>2041 год</v>
      </c>
      <c r="AC50" s="102"/>
      <c r="AD50" s="103"/>
      <c r="AE50" s="103"/>
      <c r="AF50" s="102"/>
      <c r="AG50" s="102"/>
      <c r="AH50" s="103"/>
      <c r="AI50" s="102"/>
      <c r="AJ50" s="102"/>
      <c r="AK50" s="104"/>
      <c r="AN50" s="1030" cm="1">
        <f t="array" ref="AN50">H50</f>
        <v>2041</v>
      </c>
    </row>
    <row r="51" spans="2:40" s="180" customFormat="1" ht="16.7" hidden="1" customHeight="1">
      <c r="B51" s="805" t="b">
        <f t="shared" si="0"/>
        <v>0</v>
      </c>
      <c r="E51" s="676">
        <v>17.100000000000001</v>
      </c>
      <c r="F51" s="798" cm="1">
        <f t="array" ref="F51">F50</f>
        <v>0</v>
      </c>
      <c r="H51" s="178">
        <f>first_year+21</f>
        <v>2042</v>
      </c>
      <c r="T51" s="687" t="b" cm="1">
        <f t="array" ref="T51">T50</f>
        <v>0</v>
      </c>
      <c r="X51" s="1860"/>
      <c r="Z51" s="1860"/>
      <c r="AB51" s="278" t="str">
        <f t="shared" si="1"/>
        <v>2042 год</v>
      </c>
      <c r="AC51" s="102"/>
      <c r="AD51" s="103"/>
      <c r="AE51" s="103"/>
      <c r="AF51" s="102"/>
      <c r="AG51" s="102"/>
      <c r="AH51" s="103"/>
      <c r="AI51" s="102"/>
      <c r="AJ51" s="102"/>
      <c r="AK51" s="104"/>
      <c r="AN51" s="1030" cm="1">
        <f t="array" ref="AN51">H51</f>
        <v>2042</v>
      </c>
    </row>
    <row r="52" spans="2:40" s="180" customFormat="1" ht="16.7" hidden="1" customHeight="1">
      <c r="B52" s="805" t="b">
        <f t="shared" si="0"/>
        <v>0</v>
      </c>
      <c r="E52" s="676">
        <v>17.100000000000001</v>
      </c>
      <c r="F52" s="798" cm="1">
        <f t="array" ref="F52">F51</f>
        <v>0</v>
      </c>
      <c r="H52" s="178">
        <f>first_year+22</f>
        <v>2043</v>
      </c>
      <c r="T52" s="687" t="b" cm="1">
        <f t="array" ref="T52">T51</f>
        <v>0</v>
      </c>
      <c r="X52" s="1860"/>
      <c r="Z52" s="1860"/>
      <c r="AB52" s="278" t="str">
        <f t="shared" si="1"/>
        <v>2043 год</v>
      </c>
      <c r="AC52" s="102"/>
      <c r="AD52" s="103"/>
      <c r="AE52" s="103"/>
      <c r="AF52" s="102"/>
      <c r="AG52" s="102"/>
      <c r="AH52" s="103"/>
      <c r="AI52" s="102"/>
      <c r="AJ52" s="102"/>
      <c r="AK52" s="104"/>
      <c r="AN52" s="1030" cm="1">
        <f t="array" ref="AN52">H52</f>
        <v>2043</v>
      </c>
    </row>
    <row r="53" spans="2:40" s="180" customFormat="1" ht="16.7" hidden="1" customHeight="1">
      <c r="B53" s="805" t="b">
        <f t="shared" si="0"/>
        <v>0</v>
      </c>
      <c r="E53" s="676">
        <v>17.100000000000001</v>
      </c>
      <c r="F53" s="798" cm="1">
        <f t="array" ref="F53">F52</f>
        <v>0</v>
      </c>
      <c r="H53" s="178">
        <f>first_year+23</f>
        <v>2044</v>
      </c>
      <c r="T53" s="687" t="b" cm="1">
        <f t="array" ref="T53">T52</f>
        <v>0</v>
      </c>
      <c r="X53" s="1860"/>
      <c r="Z53" s="1860"/>
      <c r="AB53" s="278" t="str">
        <f t="shared" si="1"/>
        <v>2044 год</v>
      </c>
      <c r="AC53" s="102"/>
      <c r="AD53" s="103"/>
      <c r="AE53" s="103"/>
      <c r="AF53" s="102"/>
      <c r="AG53" s="102"/>
      <c r="AH53" s="103"/>
      <c r="AI53" s="102"/>
      <c r="AJ53" s="102"/>
      <c r="AK53" s="104"/>
      <c r="AN53" s="1030" cm="1">
        <f t="array" ref="AN53">H53</f>
        <v>2044</v>
      </c>
    </row>
    <row r="54" spans="2:40" s="180" customFormat="1" ht="16.7" hidden="1" customHeight="1">
      <c r="B54" s="805" t="b">
        <f t="shared" si="0"/>
        <v>0</v>
      </c>
      <c r="E54" s="676">
        <v>17.100000000000001</v>
      </c>
      <c r="F54" s="798" cm="1">
        <f t="array" ref="F54">F53</f>
        <v>0</v>
      </c>
      <c r="H54" s="178">
        <f>first_year+24</f>
        <v>2045</v>
      </c>
      <c r="T54" s="687" t="b" cm="1">
        <f t="array" ref="T54">T53</f>
        <v>0</v>
      </c>
      <c r="X54" s="1860"/>
      <c r="Z54" s="1860"/>
      <c r="AB54" s="278" t="str">
        <f t="shared" si="1"/>
        <v>2045 год</v>
      </c>
      <c r="AC54" s="102"/>
      <c r="AD54" s="103"/>
      <c r="AE54" s="103"/>
      <c r="AF54" s="102"/>
      <c r="AG54" s="102"/>
      <c r="AH54" s="103"/>
      <c r="AI54" s="102"/>
      <c r="AJ54" s="102"/>
      <c r="AK54" s="104"/>
      <c r="AN54" s="1030" cm="1">
        <f t="array" ref="AN54">H54</f>
        <v>2045</v>
      </c>
    </row>
    <row r="55" spans="2:40" s="180" customFormat="1" ht="16.7" hidden="1" customHeight="1">
      <c r="B55" s="805" t="b">
        <f t="shared" si="0"/>
        <v>0</v>
      </c>
      <c r="E55" s="676">
        <v>17.100000000000001</v>
      </c>
      <c r="F55" s="798" cm="1">
        <f t="array" ref="F55">F54</f>
        <v>0</v>
      </c>
      <c r="H55" s="178">
        <f>first_year+25</f>
        <v>2046</v>
      </c>
      <c r="T55" s="687" t="b" cm="1">
        <f t="array" ref="T55">T54</f>
        <v>0</v>
      </c>
      <c r="X55" s="1860"/>
      <c r="Z55" s="1860"/>
      <c r="AB55" s="278" t="str">
        <f t="shared" si="1"/>
        <v>2046 год</v>
      </c>
      <c r="AC55" s="102"/>
      <c r="AD55" s="103"/>
      <c r="AE55" s="103"/>
      <c r="AF55" s="102"/>
      <c r="AG55" s="102"/>
      <c r="AH55" s="103"/>
      <c r="AI55" s="102"/>
      <c r="AJ55" s="102"/>
      <c r="AK55" s="104"/>
      <c r="AN55" s="1030" cm="1">
        <f t="array" ref="AN55">H55</f>
        <v>2046</v>
      </c>
    </row>
    <row r="56" spans="2:40" s="180" customFormat="1" ht="16.7" hidden="1" customHeight="1">
      <c r="B56" s="805" t="b">
        <f t="shared" si="0"/>
        <v>0</v>
      </c>
      <c r="E56" s="676">
        <v>17.100000000000001</v>
      </c>
      <c r="F56" s="798" cm="1">
        <f t="array" ref="F56">F55</f>
        <v>0</v>
      </c>
      <c r="H56" s="178">
        <f>first_year+26</f>
        <v>2047</v>
      </c>
      <c r="T56" s="687" t="b" cm="1">
        <f t="array" ref="T56">T55</f>
        <v>0</v>
      </c>
      <c r="X56" s="1860"/>
      <c r="Z56" s="1860"/>
      <c r="AB56" s="278" t="str">
        <f t="shared" si="1"/>
        <v>2047 год</v>
      </c>
      <c r="AC56" s="102"/>
      <c r="AD56" s="103"/>
      <c r="AE56" s="103"/>
      <c r="AF56" s="102"/>
      <c r="AG56" s="102"/>
      <c r="AH56" s="103"/>
      <c r="AI56" s="102"/>
      <c r="AJ56" s="102"/>
      <c r="AK56" s="104"/>
      <c r="AN56" s="1030" cm="1">
        <f t="array" ref="AN56">H56</f>
        <v>2047</v>
      </c>
    </row>
    <row r="57" spans="2:40" s="180" customFormat="1" ht="16.7" hidden="1" customHeight="1">
      <c r="B57" s="805" t="b">
        <f t="shared" si="0"/>
        <v>0</v>
      </c>
      <c r="E57" s="676">
        <v>17.100000000000001</v>
      </c>
      <c r="F57" s="798" cm="1">
        <f t="array" ref="F57">F56</f>
        <v>0</v>
      </c>
      <c r="H57" s="178">
        <f>first_year+27</f>
        <v>2048</v>
      </c>
      <c r="T57" s="687" t="b" cm="1">
        <f t="array" ref="T57">T56</f>
        <v>0</v>
      </c>
      <c r="X57" s="1860"/>
      <c r="Z57" s="1860"/>
      <c r="AB57" s="278" t="str">
        <f t="shared" si="1"/>
        <v>2048 год</v>
      </c>
      <c r="AC57" s="102"/>
      <c r="AD57" s="103"/>
      <c r="AE57" s="103"/>
      <c r="AF57" s="102"/>
      <c r="AG57" s="102"/>
      <c r="AH57" s="103"/>
      <c r="AI57" s="102"/>
      <c r="AJ57" s="102"/>
      <c r="AK57" s="104"/>
      <c r="AN57" s="1030" cm="1">
        <f t="array" ref="AN57">H57</f>
        <v>2048</v>
      </c>
    </row>
    <row r="58" spans="2:40" s="180" customFormat="1" ht="16.7" hidden="1" customHeight="1">
      <c r="B58" s="805" t="b">
        <f t="shared" si="0"/>
        <v>0</v>
      </c>
      <c r="E58" s="676">
        <v>17.100000000000001</v>
      </c>
      <c r="F58" s="798" cm="1">
        <f t="array" ref="F58">F57</f>
        <v>0</v>
      </c>
      <c r="H58" s="178">
        <f>first_year+28</f>
        <v>2049</v>
      </c>
      <c r="T58" s="687" t="b" cm="1">
        <f t="array" ref="T58">T57</f>
        <v>0</v>
      </c>
      <c r="X58" s="1860"/>
      <c r="Z58" s="1860"/>
      <c r="AB58" s="278" t="str">
        <f t="shared" si="1"/>
        <v>2049 год</v>
      </c>
      <c r="AC58" s="102"/>
      <c r="AD58" s="103"/>
      <c r="AE58" s="103"/>
      <c r="AF58" s="102"/>
      <c r="AG58" s="102"/>
      <c r="AH58" s="103"/>
      <c r="AI58" s="102"/>
      <c r="AJ58" s="102"/>
      <c r="AK58" s="104"/>
      <c r="AN58" s="1030" cm="1">
        <f t="array" ref="AN58">H58</f>
        <v>2049</v>
      </c>
    </row>
    <row r="59" spans="2:40" s="180" customFormat="1" ht="16.7" hidden="1" customHeight="1">
      <c r="B59" s="805" t="b">
        <f t="shared" si="0"/>
        <v>0</v>
      </c>
      <c r="E59" s="676">
        <v>17.100000000000001</v>
      </c>
      <c r="F59" s="798" cm="1">
        <f t="array" ref="F59">F58</f>
        <v>0</v>
      </c>
      <c r="H59" s="178">
        <f>first_year+29</f>
        <v>2050</v>
      </c>
      <c r="T59" s="687" t="b" cm="1">
        <f t="array" ref="T59">T58</f>
        <v>0</v>
      </c>
      <c r="X59" s="1860"/>
      <c r="Z59" s="1860"/>
      <c r="AB59" s="278" t="str">
        <f t="shared" si="1"/>
        <v>2050 год</v>
      </c>
      <c r="AC59" s="102"/>
      <c r="AD59" s="103"/>
      <c r="AE59" s="103"/>
      <c r="AF59" s="102"/>
      <c r="AG59" s="102"/>
      <c r="AH59" s="103"/>
      <c r="AI59" s="102"/>
      <c r="AJ59" s="102"/>
      <c r="AK59" s="104"/>
      <c r="AN59" s="1030" cm="1">
        <f t="array" ref="AN59">H59</f>
        <v>2050</v>
      </c>
    </row>
    <row r="60" spans="2:40" s="180" customFormat="1" ht="16.7" hidden="1" customHeight="1">
      <c r="B60" s="805" t="b">
        <f t="shared" si="0"/>
        <v>0</v>
      </c>
      <c r="E60" s="676">
        <v>17.100000000000001</v>
      </c>
      <c r="F60" s="798" cm="1">
        <f t="array" ref="F60">F59</f>
        <v>0</v>
      </c>
      <c r="H60" s="178">
        <f>first_year+30</f>
        <v>2051</v>
      </c>
      <c r="T60" s="687" t="b" cm="1">
        <f t="array" ref="T60">T59</f>
        <v>0</v>
      </c>
      <c r="X60" s="1860"/>
      <c r="Z60" s="1860"/>
      <c r="AB60" s="278" t="str">
        <f t="shared" si="1"/>
        <v>2051 год</v>
      </c>
      <c r="AC60" s="102"/>
      <c r="AD60" s="103"/>
      <c r="AE60" s="103"/>
      <c r="AF60" s="102"/>
      <c r="AG60" s="102"/>
      <c r="AH60" s="103"/>
      <c r="AI60" s="102"/>
      <c r="AJ60" s="102"/>
      <c r="AK60" s="104"/>
      <c r="AN60" s="1030" cm="1">
        <f t="array" ref="AN60">H60</f>
        <v>2051</v>
      </c>
    </row>
    <row r="61" spans="2:40" s="180" customFormat="1" ht="16.7" hidden="1" customHeight="1">
      <c r="B61" s="805" t="b">
        <f t="shared" si="0"/>
        <v>0</v>
      </c>
      <c r="E61" s="676">
        <v>17.100000000000001</v>
      </c>
      <c r="F61" s="798" cm="1">
        <f t="array" ref="F61">F60</f>
        <v>0</v>
      </c>
      <c r="H61" s="178">
        <f>first_year+31</f>
        <v>2052</v>
      </c>
      <c r="T61" s="687" t="b" cm="1">
        <f t="array" ref="T61">T60</f>
        <v>0</v>
      </c>
      <c r="X61" s="1860"/>
      <c r="Z61" s="1860"/>
      <c r="AB61" s="278" t="str">
        <f t="shared" si="1"/>
        <v>2052 год</v>
      </c>
      <c r="AC61" s="102"/>
      <c r="AD61" s="103"/>
      <c r="AE61" s="103"/>
      <c r="AF61" s="102"/>
      <c r="AG61" s="102"/>
      <c r="AH61" s="103"/>
      <c r="AI61" s="102"/>
      <c r="AJ61" s="102"/>
      <c r="AK61" s="104"/>
      <c r="AN61" s="1030" cm="1">
        <f t="array" ref="AN61">H61</f>
        <v>2052</v>
      </c>
    </row>
    <row r="62" spans="2:40" s="180" customFormat="1" ht="16.7" hidden="1" customHeight="1">
      <c r="B62" s="805" t="b">
        <f t="shared" ref="B62:B79" si="2">H62&lt;first_year+PERIOD_LENGTH</f>
        <v>0</v>
      </c>
      <c r="E62" s="676">
        <v>17.100000000000001</v>
      </c>
      <c r="F62" s="798" cm="1">
        <f t="array" ref="F62">F61</f>
        <v>0</v>
      </c>
      <c r="H62" s="178">
        <f>first_year+32</f>
        <v>2053</v>
      </c>
      <c r="T62" s="687" t="b" cm="1">
        <f t="array" ref="T62">T61</f>
        <v>0</v>
      </c>
      <c r="X62" s="1860"/>
      <c r="Z62" s="1860"/>
      <c r="AB62" s="278" t="str">
        <f t="shared" ref="AB62:AB79" si="3">H62&amp;" год"</f>
        <v>2053 год</v>
      </c>
      <c r="AC62" s="102"/>
      <c r="AD62" s="103"/>
      <c r="AE62" s="103"/>
      <c r="AF62" s="102"/>
      <c r="AG62" s="102"/>
      <c r="AH62" s="103"/>
      <c r="AI62" s="102"/>
      <c r="AJ62" s="102"/>
      <c r="AK62" s="104"/>
      <c r="AN62" s="1030" cm="1">
        <f t="array" ref="AN62">H62</f>
        <v>2053</v>
      </c>
    </row>
    <row r="63" spans="2:40" s="180" customFormat="1" ht="16.7" hidden="1" customHeight="1">
      <c r="B63" s="805" t="b">
        <f t="shared" si="2"/>
        <v>0</v>
      </c>
      <c r="E63" s="676">
        <v>17.100000000000001</v>
      </c>
      <c r="F63" s="798" cm="1">
        <f t="array" ref="F63">F62</f>
        <v>0</v>
      </c>
      <c r="H63" s="178">
        <f>first_year+33</f>
        <v>2054</v>
      </c>
      <c r="T63" s="687" t="b" cm="1">
        <f t="array" ref="T63">T62</f>
        <v>0</v>
      </c>
      <c r="X63" s="1860"/>
      <c r="Z63" s="1860"/>
      <c r="AB63" s="278" t="str">
        <f t="shared" si="3"/>
        <v>2054 год</v>
      </c>
      <c r="AC63" s="102"/>
      <c r="AD63" s="103"/>
      <c r="AE63" s="103"/>
      <c r="AF63" s="102"/>
      <c r="AG63" s="102"/>
      <c r="AH63" s="103"/>
      <c r="AI63" s="102"/>
      <c r="AJ63" s="102"/>
      <c r="AK63" s="104"/>
      <c r="AN63" s="1030" cm="1">
        <f t="array" ref="AN63">H63</f>
        <v>2054</v>
      </c>
    </row>
    <row r="64" spans="2:40" s="180" customFormat="1" ht="16.7" hidden="1" customHeight="1">
      <c r="B64" s="805" t="b">
        <f t="shared" si="2"/>
        <v>0</v>
      </c>
      <c r="E64" s="676">
        <v>17.100000000000001</v>
      </c>
      <c r="F64" s="798" cm="1">
        <f t="array" ref="F64">F63</f>
        <v>0</v>
      </c>
      <c r="H64" s="178">
        <f>first_year+34</f>
        <v>2055</v>
      </c>
      <c r="T64" s="687" t="b" cm="1">
        <f t="array" ref="T64">T63</f>
        <v>0</v>
      </c>
      <c r="X64" s="1860"/>
      <c r="Z64" s="1860"/>
      <c r="AB64" s="278" t="str">
        <f t="shared" si="3"/>
        <v>2055 год</v>
      </c>
      <c r="AC64" s="102"/>
      <c r="AD64" s="103"/>
      <c r="AE64" s="103"/>
      <c r="AF64" s="102"/>
      <c r="AG64" s="102"/>
      <c r="AH64" s="103"/>
      <c r="AI64" s="102"/>
      <c r="AJ64" s="102"/>
      <c r="AK64" s="104"/>
      <c r="AN64" s="1030" cm="1">
        <f t="array" ref="AN64">H64</f>
        <v>2055</v>
      </c>
    </row>
    <row r="65" spans="1:40" s="180" customFormat="1" ht="16.7" hidden="1" customHeight="1">
      <c r="B65" s="805" t="b">
        <f t="shared" si="2"/>
        <v>0</v>
      </c>
      <c r="E65" s="676">
        <v>17.100000000000001</v>
      </c>
      <c r="F65" s="798" cm="1">
        <f t="array" ref="F65">F64</f>
        <v>0</v>
      </c>
      <c r="H65" s="178">
        <f>first_year+35</f>
        <v>2056</v>
      </c>
      <c r="T65" s="687" t="b" cm="1">
        <f t="array" ref="T65">T64</f>
        <v>0</v>
      </c>
      <c r="X65" s="1860"/>
      <c r="Z65" s="1860"/>
      <c r="AB65" s="278" t="str">
        <f t="shared" si="3"/>
        <v>2056 год</v>
      </c>
      <c r="AC65" s="102"/>
      <c r="AD65" s="103"/>
      <c r="AE65" s="103"/>
      <c r="AF65" s="102"/>
      <c r="AG65" s="102"/>
      <c r="AH65" s="103"/>
      <c r="AI65" s="102"/>
      <c r="AJ65" s="102"/>
      <c r="AK65" s="104"/>
      <c r="AN65" s="1030" cm="1">
        <f t="array" ref="AN65">H65</f>
        <v>2056</v>
      </c>
    </row>
    <row r="66" spans="1:40" s="180" customFormat="1" ht="16.7" hidden="1" customHeight="1">
      <c r="B66" s="805" t="b">
        <f t="shared" si="2"/>
        <v>0</v>
      </c>
      <c r="E66" s="676">
        <v>17.100000000000001</v>
      </c>
      <c r="F66" s="798" cm="1">
        <f t="array" ref="F66">F65</f>
        <v>0</v>
      </c>
      <c r="H66" s="178">
        <f>first_year+36</f>
        <v>2057</v>
      </c>
      <c r="T66" s="687" t="b" cm="1">
        <f t="array" ref="T66">T65</f>
        <v>0</v>
      </c>
      <c r="X66" s="1860"/>
      <c r="Z66" s="1860"/>
      <c r="AB66" s="278" t="str">
        <f t="shared" si="3"/>
        <v>2057 год</v>
      </c>
      <c r="AC66" s="102"/>
      <c r="AD66" s="103"/>
      <c r="AE66" s="103"/>
      <c r="AF66" s="102"/>
      <c r="AG66" s="102"/>
      <c r="AH66" s="103"/>
      <c r="AI66" s="102"/>
      <c r="AJ66" s="102"/>
      <c r="AK66" s="104"/>
      <c r="AN66" s="1030" cm="1">
        <f t="array" ref="AN66">H66</f>
        <v>2057</v>
      </c>
    </row>
    <row r="67" spans="1:40" s="180" customFormat="1" ht="16.7" hidden="1" customHeight="1">
      <c r="B67" s="805" t="b">
        <f t="shared" si="2"/>
        <v>0</v>
      </c>
      <c r="E67" s="676">
        <v>17.100000000000001</v>
      </c>
      <c r="F67" s="798" cm="1">
        <f t="array" ref="F67">F66</f>
        <v>0</v>
      </c>
      <c r="H67" s="178">
        <f>first_year+37</f>
        <v>2058</v>
      </c>
      <c r="T67" s="687" t="b" cm="1">
        <f t="array" ref="T67">T66</f>
        <v>0</v>
      </c>
      <c r="X67" s="1860"/>
      <c r="Z67" s="1860"/>
      <c r="AB67" s="278" t="str">
        <f t="shared" si="3"/>
        <v>2058 год</v>
      </c>
      <c r="AC67" s="102"/>
      <c r="AD67" s="103"/>
      <c r="AE67" s="103"/>
      <c r="AF67" s="102"/>
      <c r="AG67" s="102"/>
      <c r="AH67" s="103"/>
      <c r="AI67" s="102"/>
      <c r="AJ67" s="102"/>
      <c r="AK67" s="104"/>
      <c r="AN67" s="1030" cm="1">
        <f t="array" ref="AN67">H67</f>
        <v>2058</v>
      </c>
    </row>
    <row r="68" spans="1:40" s="180" customFormat="1" ht="16.7" hidden="1" customHeight="1">
      <c r="B68" s="805" t="b">
        <f t="shared" si="2"/>
        <v>0</v>
      </c>
      <c r="E68" s="676">
        <v>17.100000000000001</v>
      </c>
      <c r="F68" s="798" cm="1">
        <f t="array" ref="F68">F67</f>
        <v>0</v>
      </c>
      <c r="H68" s="178">
        <f>first_year+38</f>
        <v>2059</v>
      </c>
      <c r="T68" s="687" t="b" cm="1">
        <f t="array" ref="T68">T67</f>
        <v>0</v>
      </c>
      <c r="X68" s="1860"/>
      <c r="Z68" s="1860"/>
      <c r="AB68" s="278" t="str">
        <f t="shared" si="3"/>
        <v>2059 год</v>
      </c>
      <c r="AC68" s="102"/>
      <c r="AD68" s="103"/>
      <c r="AE68" s="103"/>
      <c r="AF68" s="102"/>
      <c r="AG68" s="102"/>
      <c r="AH68" s="103"/>
      <c r="AI68" s="102"/>
      <c r="AJ68" s="102"/>
      <c r="AK68" s="104"/>
      <c r="AN68" s="1030" cm="1">
        <f t="array" ref="AN68">H68</f>
        <v>2059</v>
      </c>
    </row>
    <row r="69" spans="1:40" s="180" customFormat="1" ht="16.7" hidden="1" customHeight="1">
      <c r="B69" s="805" t="b">
        <f t="shared" si="2"/>
        <v>0</v>
      </c>
      <c r="E69" s="676">
        <v>17.100000000000001</v>
      </c>
      <c r="F69" s="798" cm="1">
        <f t="array" ref="F69">F68</f>
        <v>0</v>
      </c>
      <c r="H69" s="178">
        <f>first_year+39</f>
        <v>2060</v>
      </c>
      <c r="T69" s="687" t="b" cm="1">
        <f t="array" ref="T69">T68</f>
        <v>0</v>
      </c>
      <c r="X69" s="1860"/>
      <c r="Z69" s="1860"/>
      <c r="AB69" s="278" t="str">
        <f t="shared" si="3"/>
        <v>2060 год</v>
      </c>
      <c r="AC69" s="102"/>
      <c r="AD69" s="103"/>
      <c r="AE69" s="103"/>
      <c r="AF69" s="102"/>
      <c r="AG69" s="102"/>
      <c r="AH69" s="103"/>
      <c r="AI69" s="102"/>
      <c r="AJ69" s="102"/>
      <c r="AK69" s="104"/>
      <c r="AN69" s="1030" cm="1">
        <f t="array" ref="AN69">H69</f>
        <v>2060</v>
      </c>
    </row>
    <row r="70" spans="1:40" s="180" customFormat="1" ht="16.7" hidden="1" customHeight="1">
      <c r="B70" s="805" t="b">
        <f t="shared" si="2"/>
        <v>0</v>
      </c>
      <c r="E70" s="676">
        <v>17.100000000000001</v>
      </c>
      <c r="F70" s="798" cm="1">
        <f t="array" ref="F70">F69</f>
        <v>0</v>
      </c>
      <c r="H70" s="178">
        <f>first_year+40</f>
        <v>2061</v>
      </c>
      <c r="T70" s="687" t="b" cm="1">
        <f t="array" ref="T70">T69</f>
        <v>0</v>
      </c>
      <c r="X70" s="1860"/>
      <c r="Z70" s="1860"/>
      <c r="AB70" s="278" t="str">
        <f t="shared" si="3"/>
        <v>2061 год</v>
      </c>
      <c r="AC70" s="102"/>
      <c r="AD70" s="103"/>
      <c r="AE70" s="103"/>
      <c r="AF70" s="102"/>
      <c r="AG70" s="102"/>
      <c r="AH70" s="103"/>
      <c r="AI70" s="102"/>
      <c r="AJ70" s="102"/>
      <c r="AK70" s="104"/>
      <c r="AN70" s="1030" cm="1">
        <f t="array" ref="AN70">H70</f>
        <v>2061</v>
      </c>
    </row>
    <row r="71" spans="1:40" s="180" customFormat="1" ht="16.7" hidden="1" customHeight="1">
      <c r="B71" s="805" t="b">
        <f t="shared" si="2"/>
        <v>0</v>
      </c>
      <c r="E71" s="676">
        <v>17.100000000000001</v>
      </c>
      <c r="F71" s="798" cm="1">
        <f t="array" ref="F71">F70</f>
        <v>0</v>
      </c>
      <c r="H71" s="178">
        <f>first_year+41</f>
        <v>2062</v>
      </c>
      <c r="T71" s="687" t="b" cm="1">
        <f t="array" ref="T71">T70</f>
        <v>0</v>
      </c>
      <c r="X71" s="1860"/>
      <c r="Z71" s="1860"/>
      <c r="AB71" s="278" t="str">
        <f t="shared" si="3"/>
        <v>2062 год</v>
      </c>
      <c r="AC71" s="102"/>
      <c r="AD71" s="103"/>
      <c r="AE71" s="103"/>
      <c r="AF71" s="102"/>
      <c r="AG71" s="102"/>
      <c r="AH71" s="103"/>
      <c r="AI71" s="102"/>
      <c r="AJ71" s="102"/>
      <c r="AK71" s="104"/>
      <c r="AN71" s="1030" cm="1">
        <f t="array" ref="AN71">H71</f>
        <v>2062</v>
      </c>
    </row>
    <row r="72" spans="1:40" s="180" customFormat="1" ht="16.7" hidden="1" customHeight="1">
      <c r="B72" s="805" t="b">
        <f t="shared" si="2"/>
        <v>0</v>
      </c>
      <c r="E72" s="676">
        <v>17.100000000000001</v>
      </c>
      <c r="F72" s="798" cm="1">
        <f t="array" ref="F72">F71</f>
        <v>0</v>
      </c>
      <c r="H72" s="178">
        <f>first_year+42</f>
        <v>2063</v>
      </c>
      <c r="T72" s="687" t="b" cm="1">
        <f t="array" ref="T72">T71</f>
        <v>0</v>
      </c>
      <c r="X72" s="1860"/>
      <c r="Z72" s="1860"/>
      <c r="AB72" s="278" t="str">
        <f t="shared" si="3"/>
        <v>2063 год</v>
      </c>
      <c r="AC72" s="102"/>
      <c r="AD72" s="103"/>
      <c r="AE72" s="103"/>
      <c r="AF72" s="102"/>
      <c r="AG72" s="102"/>
      <c r="AH72" s="103"/>
      <c r="AI72" s="102"/>
      <c r="AJ72" s="102"/>
      <c r="AK72" s="104"/>
      <c r="AN72" s="1030" cm="1">
        <f t="array" ref="AN72">H72</f>
        <v>2063</v>
      </c>
    </row>
    <row r="73" spans="1:40" s="180" customFormat="1" ht="16.7" hidden="1" customHeight="1">
      <c r="B73" s="805" t="b">
        <f t="shared" si="2"/>
        <v>0</v>
      </c>
      <c r="E73" s="676">
        <v>17.100000000000001</v>
      </c>
      <c r="F73" s="798" cm="1">
        <f t="array" ref="F73">F72</f>
        <v>0</v>
      </c>
      <c r="H73" s="178">
        <f>first_year+43</f>
        <v>2064</v>
      </c>
      <c r="T73" s="687" t="b" cm="1">
        <f t="array" ref="T73">T72</f>
        <v>0</v>
      </c>
      <c r="X73" s="1860"/>
      <c r="Z73" s="1860"/>
      <c r="AB73" s="278" t="str">
        <f t="shared" si="3"/>
        <v>2064 год</v>
      </c>
      <c r="AC73" s="102"/>
      <c r="AD73" s="103"/>
      <c r="AE73" s="103"/>
      <c r="AF73" s="102"/>
      <c r="AG73" s="102"/>
      <c r="AH73" s="103"/>
      <c r="AI73" s="102"/>
      <c r="AJ73" s="102"/>
      <c r="AK73" s="104"/>
      <c r="AN73" s="1030" cm="1">
        <f t="array" ref="AN73">H73</f>
        <v>2064</v>
      </c>
    </row>
    <row r="74" spans="1:40" s="180" customFormat="1" ht="16.7" hidden="1" customHeight="1">
      <c r="B74" s="805" t="b">
        <f t="shared" si="2"/>
        <v>0</v>
      </c>
      <c r="E74" s="676">
        <v>17.100000000000001</v>
      </c>
      <c r="F74" s="798" cm="1">
        <f t="array" ref="F74">F73</f>
        <v>0</v>
      </c>
      <c r="H74" s="178">
        <f>first_year+44</f>
        <v>2065</v>
      </c>
      <c r="T74" s="687" t="b" cm="1">
        <f t="array" ref="T74">T73</f>
        <v>0</v>
      </c>
      <c r="X74" s="1860"/>
      <c r="Z74" s="1860"/>
      <c r="AB74" s="278" t="str">
        <f t="shared" si="3"/>
        <v>2065 год</v>
      </c>
      <c r="AC74" s="102"/>
      <c r="AD74" s="103"/>
      <c r="AE74" s="103"/>
      <c r="AF74" s="102"/>
      <c r="AG74" s="102"/>
      <c r="AH74" s="103"/>
      <c r="AI74" s="102"/>
      <c r="AJ74" s="102"/>
      <c r="AK74" s="104"/>
      <c r="AN74" s="1030" cm="1">
        <f t="array" ref="AN74">H74</f>
        <v>2065</v>
      </c>
    </row>
    <row r="75" spans="1:40" s="180" customFormat="1" ht="16.7" hidden="1" customHeight="1">
      <c r="B75" s="805" t="b">
        <f t="shared" si="2"/>
        <v>0</v>
      </c>
      <c r="E75" s="676">
        <v>17.100000000000001</v>
      </c>
      <c r="F75" s="798" cm="1">
        <f t="array" ref="F75">F74</f>
        <v>0</v>
      </c>
      <c r="H75" s="178">
        <f>first_year+45</f>
        <v>2066</v>
      </c>
      <c r="T75" s="687" t="b" cm="1">
        <f t="array" ref="T75">T74</f>
        <v>0</v>
      </c>
      <c r="X75" s="1860"/>
      <c r="Z75" s="1860"/>
      <c r="AB75" s="278" t="str">
        <f t="shared" si="3"/>
        <v>2066 год</v>
      </c>
      <c r="AC75" s="102"/>
      <c r="AD75" s="103"/>
      <c r="AE75" s="103"/>
      <c r="AF75" s="102"/>
      <c r="AG75" s="102"/>
      <c r="AH75" s="103"/>
      <c r="AI75" s="102"/>
      <c r="AJ75" s="102"/>
      <c r="AK75" s="104"/>
      <c r="AN75" s="1030" cm="1">
        <f t="array" ref="AN75">H75</f>
        <v>2066</v>
      </c>
    </row>
    <row r="76" spans="1:40" s="180" customFormat="1" ht="16.7" hidden="1" customHeight="1">
      <c r="B76" s="805" t="b">
        <f t="shared" si="2"/>
        <v>0</v>
      </c>
      <c r="E76" s="676">
        <v>17.100000000000001</v>
      </c>
      <c r="F76" s="798" cm="1">
        <f t="array" ref="F76">F75</f>
        <v>0</v>
      </c>
      <c r="H76" s="178">
        <f>first_year+46</f>
        <v>2067</v>
      </c>
      <c r="T76" s="687" t="b" cm="1">
        <f t="array" ref="T76">T75</f>
        <v>0</v>
      </c>
      <c r="X76" s="1860"/>
      <c r="Z76" s="1860"/>
      <c r="AB76" s="278" t="str">
        <f t="shared" si="3"/>
        <v>2067 год</v>
      </c>
      <c r="AC76" s="102"/>
      <c r="AD76" s="103"/>
      <c r="AE76" s="103"/>
      <c r="AF76" s="102"/>
      <c r="AG76" s="102"/>
      <c r="AH76" s="103"/>
      <c r="AI76" s="102"/>
      <c r="AJ76" s="102"/>
      <c r="AK76" s="104"/>
      <c r="AN76" s="1030" cm="1">
        <f t="array" ref="AN76">H76</f>
        <v>2067</v>
      </c>
    </row>
    <row r="77" spans="1:40" s="180" customFormat="1" ht="16.7" hidden="1" customHeight="1">
      <c r="B77" s="805" t="b">
        <f t="shared" si="2"/>
        <v>0</v>
      </c>
      <c r="E77" s="676">
        <v>17.100000000000001</v>
      </c>
      <c r="F77" s="798" cm="1">
        <f t="array" ref="F77">F76</f>
        <v>0</v>
      </c>
      <c r="H77" s="178">
        <f>first_year+47</f>
        <v>2068</v>
      </c>
      <c r="T77" s="687" t="b" cm="1">
        <f t="array" ref="T77">T76</f>
        <v>0</v>
      </c>
      <c r="X77" s="1860"/>
      <c r="Z77" s="1860"/>
      <c r="AB77" s="278" t="str">
        <f t="shared" si="3"/>
        <v>2068 год</v>
      </c>
      <c r="AC77" s="102"/>
      <c r="AD77" s="103"/>
      <c r="AE77" s="103"/>
      <c r="AF77" s="102"/>
      <c r="AG77" s="102"/>
      <c r="AH77" s="103"/>
      <c r="AI77" s="102"/>
      <c r="AJ77" s="102"/>
      <c r="AK77" s="104"/>
      <c r="AN77" s="1030" cm="1">
        <f t="array" ref="AN77">H77</f>
        <v>2068</v>
      </c>
    </row>
    <row r="78" spans="1:40" s="180" customFormat="1" ht="16.7" hidden="1" customHeight="1">
      <c r="B78" s="805" t="b">
        <f t="shared" si="2"/>
        <v>0</v>
      </c>
      <c r="E78" s="676">
        <v>17.100000000000001</v>
      </c>
      <c r="F78" s="798" cm="1">
        <f t="array" ref="F78">F77</f>
        <v>0</v>
      </c>
      <c r="H78" s="178">
        <f>first_year+48</f>
        <v>2069</v>
      </c>
      <c r="T78" s="687" t="b" cm="1">
        <f t="array" ref="T78">T77</f>
        <v>0</v>
      </c>
      <c r="X78" s="1860"/>
      <c r="Z78" s="1860"/>
      <c r="AB78" s="278" t="str">
        <f t="shared" si="3"/>
        <v>2069 год</v>
      </c>
      <c r="AC78" s="102"/>
      <c r="AD78" s="103"/>
      <c r="AE78" s="103"/>
      <c r="AF78" s="102"/>
      <c r="AG78" s="102"/>
      <c r="AH78" s="103"/>
      <c r="AI78" s="102"/>
      <c r="AJ78" s="102"/>
      <c r="AK78" s="104"/>
      <c r="AN78" s="1030" cm="1">
        <f t="array" ref="AN78">H78</f>
        <v>2069</v>
      </c>
    </row>
    <row r="79" spans="1:40" s="180" customFormat="1" ht="16.7" hidden="1" customHeight="1">
      <c r="B79" s="805" t="b">
        <f t="shared" si="2"/>
        <v>0</v>
      </c>
      <c r="E79" s="676">
        <v>17.100000000000001</v>
      </c>
      <c r="F79" s="798" cm="1">
        <f t="array" ref="F79">F78</f>
        <v>0</v>
      </c>
      <c r="H79" s="178">
        <f>first_year+49</f>
        <v>2070</v>
      </c>
      <c r="T79" s="687" t="b" cm="1">
        <f t="array" ref="T79">T78</f>
        <v>0</v>
      </c>
      <c r="X79" s="1860"/>
      <c r="Z79" s="1860"/>
      <c r="AB79" s="278" t="str">
        <f t="shared" si="3"/>
        <v>2070 год</v>
      </c>
      <c r="AC79" s="102"/>
      <c r="AD79" s="103"/>
      <c r="AE79" s="103"/>
      <c r="AF79" s="102"/>
      <c r="AG79" s="102"/>
      <c r="AH79" s="103"/>
      <c r="AI79" s="102"/>
      <c r="AJ79" s="102"/>
      <c r="AK79" s="104"/>
      <c r="AN79" s="1030" cm="1">
        <f t="array" ref="AN79">H79</f>
        <v>2070</v>
      </c>
    </row>
    <row r="80" spans="1:40" s="1547" customFormat="1" ht="16.5" customHeight="1">
      <c r="A80" s="170"/>
      <c r="B80" s="170"/>
      <c r="C80" s="170"/>
      <c r="D80" s="170"/>
      <c r="E80" s="676">
        <v>17.100000000000001</v>
      </c>
      <c r="F80" s="779" t="str" cm="1">
        <f t="array" ref="F80">X80</f>
        <v>1</v>
      </c>
      <c r="G80" s="170"/>
      <c r="H80" s="170"/>
      <c r="I80" s="170"/>
      <c r="J80" s="170"/>
      <c r="K80" s="170"/>
      <c r="L80" s="170"/>
      <c r="M80" s="170"/>
      <c r="N80" s="170"/>
      <c r="O80" s="170"/>
      <c r="P80" s="170"/>
      <c r="Q80" s="170"/>
      <c r="R80" s="170"/>
      <c r="S80" s="170"/>
      <c r="T80" s="687" t="b">
        <f>X80&gt;0</f>
        <v>1</v>
      </c>
      <c r="U80" s="170"/>
      <c r="V80" s="126" t="str" cm="1">
        <f t="array" ref="V80">ТМ!$AB$74</f>
        <v>Тариф 1 (Теплоснабжение) - Тариф на тепловую энергию (мощность), поставляемую потребителям (Не определено)</v>
      </c>
      <c r="W80" s="170"/>
      <c r="X80" s="1726" t="s">
        <v>341</v>
      </c>
      <c r="Y80" s="170"/>
      <c r="Z80" s="1724"/>
      <c r="AA80" s="170"/>
      <c r="AB80" s="266" t="str" cm="1">
        <f t="array" ref="AB80">IF(ISBLANK(ТМ!$AB$74),"",ТМ!$AB$74)</f>
        <v>Тариф 1 (Теплоснабжение) - Тариф на тепловую энергию (мощность), поставляемую потребителям (Не определено)</v>
      </c>
      <c r="AC80" s="267"/>
      <c r="AD80" s="267"/>
      <c r="AE80" s="267"/>
      <c r="AF80" s="267"/>
      <c r="AG80" s="267"/>
      <c r="AH80" s="267"/>
      <c r="AI80" s="267"/>
      <c r="AJ80" s="267"/>
      <c r="AK80" s="454"/>
      <c r="AL80" s="170"/>
      <c r="AM80" s="170"/>
      <c r="AN80" s="954"/>
    </row>
    <row r="81" spans="1:40" s="1548" customFormat="1" ht="16.5" customHeight="1">
      <c r="A81" s="180"/>
      <c r="B81" s="805" t="b">
        <f t="shared" ref="B81:B112" si="4">H81&lt;first_year+PERIOD_LENGTH</f>
        <v>1</v>
      </c>
      <c r="C81" s="180"/>
      <c r="D81" s="180"/>
      <c r="E81" s="676">
        <v>17.100000000000001</v>
      </c>
      <c r="F81" s="798" t="str" cm="1">
        <f t="array" ref="F81">F80</f>
        <v>1</v>
      </c>
      <c r="G81" s="143" t="s">
        <v>1350</v>
      </c>
      <c r="H81" s="178" cm="1">
        <f t="array" ref="H81">first_year</f>
        <v>2021</v>
      </c>
      <c r="I81" s="180"/>
      <c r="J81" s="180"/>
      <c r="K81" s="180"/>
      <c r="L81" s="180"/>
      <c r="M81" s="180"/>
      <c r="N81" s="180"/>
      <c r="O81" s="180"/>
      <c r="P81" s="180"/>
      <c r="Q81" s="180"/>
      <c r="R81" s="180"/>
      <c r="S81" s="180"/>
      <c r="T81" s="687" t="b" cm="1">
        <f t="array" ref="T81">T80</f>
        <v>1</v>
      </c>
      <c r="U81" s="180"/>
      <c r="V81" s="180"/>
      <c r="W81" s="180"/>
      <c r="X81" s="1860"/>
      <c r="Y81" s="180"/>
      <c r="Z81" s="1860"/>
      <c r="AA81" s="180"/>
      <c r="AB81" s="278" t="str">
        <f t="shared" ref="AB81:AB112" si="5">H81&amp;" год"</f>
        <v>2021 год</v>
      </c>
      <c r="AC81" s="1549" t="str">
        <f>IF(god=first_year,SUMIFS('Калькуляция (5.9)'!AT$26:AT$194,'Калькуляция (5.9)'!$F$26:$F$194,$F81,'Калькуляция (5.9)'!$G$26:$G$194,$G81),"")</f>
        <v/>
      </c>
      <c r="AD81" s="1289"/>
      <c r="AE81" s="1550"/>
      <c r="AF81" s="1549"/>
      <c r="AG81" s="1549"/>
      <c r="AH81" s="1550"/>
      <c r="AI81" s="1549"/>
      <c r="AJ81" s="1549"/>
      <c r="AK81" s="104"/>
      <c r="AL81" s="180"/>
      <c r="AM81" s="180"/>
      <c r="AN81" s="1030" cm="1">
        <f t="array" ref="AN81">H81</f>
        <v>2021</v>
      </c>
    </row>
    <row r="82" spans="1:40" s="1551" customFormat="1" ht="16.5" customHeight="1">
      <c r="A82" s="180"/>
      <c r="B82" s="805" t="b">
        <f t="shared" si="4"/>
        <v>1</v>
      </c>
      <c r="C82" s="180"/>
      <c r="D82" s="180"/>
      <c r="E82" s="676">
        <v>17.100000000000001</v>
      </c>
      <c r="F82" s="798" t="str" cm="1">
        <f t="array" ref="F82">F81</f>
        <v>1</v>
      </c>
      <c r="G82" s="180"/>
      <c r="H82" s="178">
        <f>first_year+1</f>
        <v>2022</v>
      </c>
      <c r="I82" s="180"/>
      <c r="J82" s="180"/>
      <c r="K82" s="180"/>
      <c r="L82" s="180"/>
      <c r="M82" s="180"/>
      <c r="N82" s="180"/>
      <c r="O82" s="180"/>
      <c r="P82" s="180"/>
      <c r="Q82" s="180"/>
      <c r="R82" s="180"/>
      <c r="S82" s="180"/>
      <c r="T82" s="687" t="b" cm="1">
        <f t="array" ref="T82">T81</f>
        <v>1</v>
      </c>
      <c r="U82" s="180"/>
      <c r="V82" s="180"/>
      <c r="W82" s="180"/>
      <c r="X82" s="1860"/>
      <c r="Y82" s="180"/>
      <c r="Z82" s="1860"/>
      <c r="AA82" s="180"/>
      <c r="AB82" s="278" t="str">
        <f t="shared" si="5"/>
        <v>2022 год</v>
      </c>
      <c r="AC82" s="1549"/>
      <c r="AD82" s="1289">
        <f>IFERROR(SUMIFS(INDEX('Операционные (5.2)'!$AT$26:$BC$54,,MATCH($H82,'Операционные (5.2)'!$AT$6:$BC$6,0)),'Операционные (5.2)'!$F$26:$F$54,$F82,'Операционные (5.2)'!$G$26:$G$54,"ИОР"),0)</f>
        <v>0</v>
      </c>
      <c r="AE82" s="1550"/>
      <c r="AF82" s="1549"/>
      <c r="AG82" s="1549"/>
      <c r="AH82" s="1550"/>
      <c r="AI82" s="1549"/>
      <c r="AJ82" s="1549"/>
      <c r="AK82" s="104"/>
      <c r="AL82" s="180"/>
      <c r="AM82" s="180"/>
      <c r="AN82" s="1030" cm="1">
        <f t="array" ref="AN82">H82</f>
        <v>2022</v>
      </c>
    </row>
    <row r="83" spans="1:40" s="1552" customFormat="1" ht="16.5" customHeight="1">
      <c r="A83" s="180"/>
      <c r="B83" s="805" t="b">
        <f t="shared" si="4"/>
        <v>1</v>
      </c>
      <c r="C83" s="180"/>
      <c r="D83" s="180"/>
      <c r="E83" s="676">
        <v>17.100000000000001</v>
      </c>
      <c r="F83" s="798" t="str" cm="1">
        <f t="array" ref="F83">F82</f>
        <v>1</v>
      </c>
      <c r="G83" s="180"/>
      <c r="H83" s="178">
        <f>first_year+2</f>
        <v>2023</v>
      </c>
      <c r="I83" s="180"/>
      <c r="J83" s="180"/>
      <c r="K83" s="180"/>
      <c r="L83" s="180"/>
      <c r="M83" s="180"/>
      <c r="N83" s="180"/>
      <c r="O83" s="180"/>
      <c r="P83" s="180"/>
      <c r="Q83" s="180"/>
      <c r="R83" s="180"/>
      <c r="S83" s="180"/>
      <c r="T83" s="687" t="b" cm="1">
        <f t="array" ref="T83">T82</f>
        <v>1</v>
      </c>
      <c r="U83" s="180"/>
      <c r="V83" s="180"/>
      <c r="W83" s="180"/>
      <c r="X83" s="1860"/>
      <c r="Y83" s="180"/>
      <c r="Z83" s="1860"/>
      <c r="AA83" s="180"/>
      <c r="AB83" s="278" t="str">
        <f t="shared" si="5"/>
        <v>2023 год</v>
      </c>
      <c r="AC83" s="1549"/>
      <c r="AD83" s="1289">
        <f>IFERROR(SUMIFS(INDEX('Операционные (5.2)'!$AT$26:$BC$54,,MATCH($H83,'Операционные (5.2)'!$AT$6:$BC$6,0)),'Операционные (5.2)'!$F$26:$F$54,$F83,'Операционные (5.2)'!$G$26:$G$54,"ИОР"),0)</f>
        <v>0</v>
      </c>
      <c r="AE83" s="1550"/>
      <c r="AF83" s="1549"/>
      <c r="AG83" s="1549"/>
      <c r="AH83" s="1550"/>
      <c r="AI83" s="1549"/>
      <c r="AJ83" s="1549"/>
      <c r="AK83" s="104"/>
      <c r="AL83" s="180"/>
      <c r="AM83" s="180"/>
      <c r="AN83" s="1030" cm="1">
        <f t="array" ref="AN83">H83</f>
        <v>2023</v>
      </c>
    </row>
    <row r="84" spans="1:40" s="1553" customFormat="1" ht="16.5" customHeight="1">
      <c r="A84" s="180"/>
      <c r="B84" s="805" t="b">
        <f t="shared" si="4"/>
        <v>1</v>
      </c>
      <c r="C84" s="180"/>
      <c r="D84" s="180"/>
      <c r="E84" s="676">
        <v>17.100000000000001</v>
      </c>
      <c r="F84" s="798" t="str" cm="1">
        <f t="array" ref="F84">F83</f>
        <v>1</v>
      </c>
      <c r="G84" s="180"/>
      <c r="H84" s="178">
        <f>first_year+3</f>
        <v>2024</v>
      </c>
      <c r="I84" s="180"/>
      <c r="J84" s="180"/>
      <c r="K84" s="180"/>
      <c r="L84" s="180"/>
      <c r="M84" s="180"/>
      <c r="N84" s="180"/>
      <c r="O84" s="180"/>
      <c r="P84" s="180"/>
      <c r="Q84" s="180"/>
      <c r="R84" s="180"/>
      <c r="S84" s="180"/>
      <c r="T84" s="687" t="b" cm="1">
        <f t="array" ref="T84">T83</f>
        <v>1</v>
      </c>
      <c r="U84" s="180"/>
      <c r="V84" s="180"/>
      <c r="W84" s="180"/>
      <c r="X84" s="1860"/>
      <c r="Y84" s="180"/>
      <c r="Z84" s="1860"/>
      <c r="AA84" s="180"/>
      <c r="AB84" s="278" t="str">
        <f t="shared" si="5"/>
        <v>2024 год</v>
      </c>
      <c r="AC84" s="1549"/>
      <c r="AD84" s="1289">
        <f>IFERROR(SUMIFS(INDEX('Операционные (5.2)'!$AT$26:$BC$54,,MATCH($H84,'Операционные (5.2)'!$AT$6:$BC$6,0)),'Операционные (5.2)'!$F$26:$F$54,$F84,'Операционные (5.2)'!$G$26:$G$54,"ИОР"),0)</f>
        <v>0</v>
      </c>
      <c r="AE84" s="1550"/>
      <c r="AF84" s="1549"/>
      <c r="AG84" s="1549"/>
      <c r="AH84" s="1550"/>
      <c r="AI84" s="1549"/>
      <c r="AJ84" s="1549"/>
      <c r="AK84" s="104"/>
      <c r="AL84" s="180"/>
      <c r="AM84" s="180"/>
      <c r="AN84" s="1030" cm="1">
        <f t="array" ref="AN84">H84</f>
        <v>2024</v>
      </c>
    </row>
    <row r="85" spans="1:40" s="1554" customFormat="1" ht="16.5" customHeight="1">
      <c r="A85" s="180"/>
      <c r="B85" s="805" t="b">
        <f t="shared" si="4"/>
        <v>1</v>
      </c>
      <c r="C85" s="180"/>
      <c r="D85" s="180"/>
      <c r="E85" s="676">
        <v>17.100000000000001</v>
      </c>
      <c r="F85" s="798" t="str" cm="1">
        <f t="array" ref="F85">F84</f>
        <v>1</v>
      </c>
      <c r="G85" s="180"/>
      <c r="H85" s="178">
        <f>first_year+4</f>
        <v>2025</v>
      </c>
      <c r="I85" s="180"/>
      <c r="J85" s="180"/>
      <c r="K85" s="180"/>
      <c r="L85" s="180"/>
      <c r="M85" s="180"/>
      <c r="N85" s="180"/>
      <c r="O85" s="180"/>
      <c r="P85" s="180"/>
      <c r="Q85" s="180"/>
      <c r="R85" s="180"/>
      <c r="S85" s="180"/>
      <c r="T85" s="687" t="b" cm="1">
        <f t="array" ref="T85">T84</f>
        <v>1</v>
      </c>
      <c r="U85" s="180"/>
      <c r="V85" s="180"/>
      <c r="W85" s="180"/>
      <c r="X85" s="1860"/>
      <c r="Y85" s="180"/>
      <c r="Z85" s="1860"/>
      <c r="AA85" s="180"/>
      <c r="AB85" s="278" t="str">
        <f t="shared" si="5"/>
        <v>2025 год</v>
      </c>
      <c r="AC85" s="1549"/>
      <c r="AD85" s="1289">
        <f>IFERROR(SUMIFS(INDEX('Операционные (5.2)'!$AT$26:$BC$54,,MATCH($H85,'Операционные (5.2)'!$AT$6:$BC$6,0)),'Операционные (5.2)'!$F$26:$F$54,$F85,'Операционные (5.2)'!$G$26:$G$54,"ИОР"),0)</f>
        <v>0</v>
      </c>
      <c r="AE85" s="1550"/>
      <c r="AF85" s="1549"/>
      <c r="AG85" s="1549"/>
      <c r="AH85" s="1550"/>
      <c r="AI85" s="1549"/>
      <c r="AJ85" s="1549"/>
      <c r="AK85" s="104"/>
      <c r="AL85" s="180"/>
      <c r="AM85" s="180"/>
      <c r="AN85" s="1030" cm="1">
        <f t="array" ref="AN85">H85</f>
        <v>2025</v>
      </c>
    </row>
    <row r="86" spans="1:40" s="1555" customFormat="1" ht="16.5" customHeight="1">
      <c r="A86" s="180"/>
      <c r="B86" s="805" t="b">
        <f t="shared" si="4"/>
        <v>1</v>
      </c>
      <c r="C86" s="180"/>
      <c r="D86" s="180"/>
      <c r="E86" s="676">
        <v>17.100000000000001</v>
      </c>
      <c r="F86" s="798" t="str" cm="1">
        <f t="array" ref="F86">F85</f>
        <v>1</v>
      </c>
      <c r="G86" s="180"/>
      <c r="H86" s="178">
        <f>first_year+5</f>
        <v>2026</v>
      </c>
      <c r="I86" s="180"/>
      <c r="J86" s="180"/>
      <c r="K86" s="180"/>
      <c r="L86" s="180"/>
      <c r="M86" s="180"/>
      <c r="N86" s="180"/>
      <c r="O86" s="180"/>
      <c r="P86" s="180"/>
      <c r="Q86" s="180"/>
      <c r="R86" s="180"/>
      <c r="S86" s="180"/>
      <c r="T86" s="687" t="b" cm="1">
        <f t="array" ref="T86">T85</f>
        <v>1</v>
      </c>
      <c r="U86" s="180"/>
      <c r="V86" s="180"/>
      <c r="W86" s="180"/>
      <c r="X86" s="1860"/>
      <c r="Y86" s="180"/>
      <c r="Z86" s="1860"/>
      <c r="AA86" s="180"/>
      <c r="AB86" s="278" t="str">
        <f t="shared" si="5"/>
        <v>2026 год</v>
      </c>
      <c r="AC86" s="1549"/>
      <c r="AD86" s="1289">
        <f ca="1">IFERROR(SUMIFS(INDEX('Операционные (5.2)'!$AT$26:$BC$54,,MATCH($H86,'Операционные (5.2)'!$AT$6:$BC$6,0)),'Операционные (5.2)'!$F$26:$F$54,$F86,'Операционные (5.2)'!$G$26:$G$54,"ИОР"),0)</f>
        <v>1</v>
      </c>
      <c r="AE86" s="1550"/>
      <c r="AF86" s="1549"/>
      <c r="AG86" s="1549"/>
      <c r="AH86" s="1550"/>
      <c r="AI86" s="1549"/>
      <c r="AJ86" s="1549"/>
      <c r="AK86" s="104">
        <f>IFERROR(SUMIFS(INDEX('Баланс Пр'!$AE$26:$BB$232,,MATCH($H86&amp;"Принято органом регулирования",'Баланс Пр'!$AE$8:$BB$8,0)),'Баланс Пр'!$Q$26:$Q$232,$F86,'Баланс Пр'!$AC$26:$AC$232,"Уровень потерь воды"),0)</f>
        <v>0</v>
      </c>
      <c r="AL86" s="180"/>
      <c r="AM86" s="180"/>
      <c r="AN86" s="1030" cm="1">
        <f t="array" ref="AN86">H86</f>
        <v>2026</v>
      </c>
    </row>
    <row r="87" spans="1:40" s="1556" customFormat="1" ht="16.5" customHeight="1">
      <c r="A87" s="180"/>
      <c r="B87" s="805" t="b">
        <f t="shared" si="4"/>
        <v>1</v>
      </c>
      <c r="C87" s="180"/>
      <c r="D87" s="180"/>
      <c r="E87" s="676">
        <v>17.100000000000001</v>
      </c>
      <c r="F87" s="798" t="str" cm="1">
        <f t="array" ref="F87">F86</f>
        <v>1</v>
      </c>
      <c r="G87" s="180"/>
      <c r="H87" s="178">
        <f>first_year+6</f>
        <v>2027</v>
      </c>
      <c r="I87" s="180"/>
      <c r="J87" s="180"/>
      <c r="K87" s="180"/>
      <c r="L87" s="180"/>
      <c r="M87" s="180"/>
      <c r="N87" s="180"/>
      <c r="O87" s="180"/>
      <c r="P87" s="180"/>
      <c r="Q87" s="180"/>
      <c r="R87" s="180"/>
      <c r="S87" s="180"/>
      <c r="T87" s="687" t="b" cm="1">
        <f t="array" ref="T87">T86</f>
        <v>1</v>
      </c>
      <c r="U87" s="180"/>
      <c r="V87" s="180"/>
      <c r="W87" s="180"/>
      <c r="X87" s="1860"/>
      <c r="Y87" s="180"/>
      <c r="Z87" s="1860"/>
      <c r="AA87" s="180"/>
      <c r="AB87" s="278" t="str">
        <f t="shared" si="5"/>
        <v>2027 год</v>
      </c>
      <c r="AC87" s="1549"/>
      <c r="AD87" s="1289">
        <f ca="1">IFERROR(SUMIFS(INDEX('Операционные (5.2)'!$AT$26:$BC$54,,MATCH($H87,'Операционные (5.2)'!$AT$6:$BC$6,0)),'Операционные (5.2)'!$F$26:$F$54,$F87,'Операционные (5.2)'!$G$26:$G$54,"ИОР"),0)</f>
        <v>1</v>
      </c>
      <c r="AE87" s="1550"/>
      <c r="AF87" s="1549"/>
      <c r="AG87" s="1549"/>
      <c r="AH87" s="1550"/>
      <c r="AI87" s="1549"/>
      <c r="AJ87" s="1549"/>
      <c r="AK87" s="104">
        <f>IFERROR(SUMIFS(INDEX('Баланс Пр'!$AE$26:$BB$232,,MATCH($H87&amp;"Принято органом регулирования",'Баланс Пр'!$AE$8:$BB$8,0)),'Баланс Пр'!$Q$26:$Q$232,$F87,'Баланс Пр'!$AC$26:$AC$232,"Уровень потерь воды"),0)</f>
        <v>0</v>
      </c>
      <c r="AL87" s="180"/>
      <c r="AM87" s="180"/>
      <c r="AN87" s="1030" cm="1">
        <f t="array" ref="AN87">H87</f>
        <v>2027</v>
      </c>
    </row>
    <row r="88" spans="1:40" s="1557" customFormat="1" ht="16.5" customHeight="1">
      <c r="A88" s="180"/>
      <c r="B88" s="805" t="b">
        <f t="shared" si="4"/>
        <v>1</v>
      </c>
      <c r="C88" s="180"/>
      <c r="D88" s="180"/>
      <c r="E88" s="676">
        <v>17.100000000000001</v>
      </c>
      <c r="F88" s="798" t="str" cm="1">
        <f t="array" ref="F88">F87</f>
        <v>1</v>
      </c>
      <c r="G88" s="180"/>
      <c r="H88" s="178">
        <f>first_year+7</f>
        <v>2028</v>
      </c>
      <c r="I88" s="180"/>
      <c r="J88" s="180"/>
      <c r="K88" s="180"/>
      <c r="L88" s="180"/>
      <c r="M88" s="180"/>
      <c r="N88" s="180"/>
      <c r="O88" s="180"/>
      <c r="P88" s="180"/>
      <c r="Q88" s="180"/>
      <c r="R88" s="180"/>
      <c r="S88" s="180"/>
      <c r="T88" s="687" t="b" cm="1">
        <f t="array" ref="T88">T87</f>
        <v>1</v>
      </c>
      <c r="U88" s="180"/>
      <c r="V88" s="180"/>
      <c r="W88" s="180"/>
      <c r="X88" s="1860"/>
      <c r="Y88" s="180"/>
      <c r="Z88" s="1860"/>
      <c r="AA88" s="180"/>
      <c r="AB88" s="278" t="str">
        <f t="shared" si="5"/>
        <v>2028 год</v>
      </c>
      <c r="AC88" s="1549"/>
      <c r="AD88" s="1289">
        <f ca="1">IFERROR(SUMIFS(INDEX('Операционные (5.2)'!$AT$26:$BC$54,,MATCH($H88,'Операционные (5.2)'!$AT$6:$BC$6,0)),'Операционные (5.2)'!$F$26:$F$54,$F88,'Операционные (5.2)'!$G$26:$G$54,"ИОР"),0)</f>
        <v>1</v>
      </c>
      <c r="AE88" s="1550"/>
      <c r="AF88" s="1549"/>
      <c r="AG88" s="1549"/>
      <c r="AH88" s="1550"/>
      <c r="AI88" s="1549"/>
      <c r="AJ88" s="1549"/>
      <c r="AK88" s="104">
        <f>IFERROR(SUMIFS(INDEX('Баланс Пр'!$AE$26:$BB$232,,MATCH($H88&amp;"Принято органом регулирования",'Баланс Пр'!$AE$8:$BB$8,0)),'Баланс Пр'!$Q$26:$Q$232,$F88,'Баланс Пр'!$AC$26:$AC$232,"Уровень потерь воды"),0)</f>
        <v>0</v>
      </c>
      <c r="AL88" s="180"/>
      <c r="AM88" s="180"/>
      <c r="AN88" s="1030" cm="1">
        <f t="array" ref="AN88">H88</f>
        <v>2028</v>
      </c>
    </row>
    <row r="89" spans="1:40" s="1558" customFormat="1" ht="16.5" customHeight="1">
      <c r="A89" s="180"/>
      <c r="B89" s="805" t="b">
        <f t="shared" si="4"/>
        <v>1</v>
      </c>
      <c r="C89" s="180"/>
      <c r="D89" s="180"/>
      <c r="E89" s="676">
        <v>17.100000000000001</v>
      </c>
      <c r="F89" s="798" t="str" cm="1">
        <f t="array" ref="F89">F88</f>
        <v>1</v>
      </c>
      <c r="G89" s="180"/>
      <c r="H89" s="178">
        <f>first_year+8</f>
        <v>2029</v>
      </c>
      <c r="I89" s="180"/>
      <c r="J89" s="180"/>
      <c r="K89" s="180"/>
      <c r="L89" s="180"/>
      <c r="M89" s="180"/>
      <c r="N89" s="180"/>
      <c r="O89" s="180"/>
      <c r="P89" s="180"/>
      <c r="Q89" s="180"/>
      <c r="R89" s="180"/>
      <c r="S89" s="180"/>
      <c r="T89" s="687" t="b" cm="1">
        <f t="array" ref="T89">T88</f>
        <v>1</v>
      </c>
      <c r="U89" s="180"/>
      <c r="V89" s="180"/>
      <c r="W89" s="180"/>
      <c r="X89" s="1860"/>
      <c r="Y89" s="180"/>
      <c r="Z89" s="1860"/>
      <c r="AA89" s="180"/>
      <c r="AB89" s="278" t="str">
        <f t="shared" si="5"/>
        <v>2029 год</v>
      </c>
      <c r="AC89" s="1549"/>
      <c r="AD89" s="1289">
        <f ca="1">IFERROR(SUMIFS(INDEX('Операционные (5.2)'!$AT$26:$BC$54,,MATCH($H89,'Операционные (5.2)'!$AT$6:$BC$6,0)),'Операционные (5.2)'!$F$26:$F$54,$F89,'Операционные (5.2)'!$G$26:$G$54,"ИОР"),0)</f>
        <v>1</v>
      </c>
      <c r="AE89" s="1550"/>
      <c r="AF89" s="1549"/>
      <c r="AG89" s="1549"/>
      <c r="AH89" s="1550"/>
      <c r="AI89" s="1549"/>
      <c r="AJ89" s="1549"/>
      <c r="AK89" s="104">
        <f>IFERROR(SUMIFS(INDEX('Баланс Пр'!$AE$26:$BB$232,,MATCH($H89&amp;"Принято органом регулирования",'Баланс Пр'!$AE$8:$BB$8,0)),'Баланс Пр'!$Q$26:$Q$232,$F89,'Баланс Пр'!$AC$26:$AC$232,"Уровень потерь воды"),0)</f>
        <v>0</v>
      </c>
      <c r="AL89" s="180"/>
      <c r="AM89" s="180"/>
      <c r="AN89" s="1030" cm="1">
        <f t="array" ref="AN89">H89</f>
        <v>2029</v>
      </c>
    </row>
    <row r="90" spans="1:40" s="1559" customFormat="1" ht="16.5" customHeight="1">
      <c r="A90" s="180"/>
      <c r="B90" s="805" t="b">
        <f t="shared" si="4"/>
        <v>1</v>
      </c>
      <c r="C90" s="180"/>
      <c r="D90" s="180"/>
      <c r="E90" s="676">
        <v>17.100000000000001</v>
      </c>
      <c r="F90" s="798" t="str" cm="1">
        <f t="array" ref="F90">F89</f>
        <v>1</v>
      </c>
      <c r="G90" s="180"/>
      <c r="H90" s="178">
        <f>first_year+9</f>
        <v>2030</v>
      </c>
      <c r="I90" s="180"/>
      <c r="J90" s="180"/>
      <c r="K90" s="180"/>
      <c r="L90" s="180"/>
      <c r="M90" s="180"/>
      <c r="N90" s="180"/>
      <c r="O90" s="180"/>
      <c r="P90" s="180"/>
      <c r="Q90" s="180"/>
      <c r="R90" s="180"/>
      <c r="S90" s="180"/>
      <c r="T90" s="687" t="b" cm="1">
        <f t="array" ref="T90">T89</f>
        <v>1</v>
      </c>
      <c r="U90" s="180"/>
      <c r="V90" s="180"/>
      <c r="W90" s="180"/>
      <c r="X90" s="1860"/>
      <c r="Y90" s="180"/>
      <c r="Z90" s="1860"/>
      <c r="AA90" s="180"/>
      <c r="AB90" s="278" t="str">
        <f t="shared" si="5"/>
        <v>2030 год</v>
      </c>
      <c r="AC90" s="1549"/>
      <c r="AD90" s="1289">
        <f ca="1">IFERROR(SUMIFS(INDEX('Операционные (5.2)'!$AT$26:$BC$54,,MATCH($H90,'Операционные (5.2)'!$AT$6:$BC$6,0)),'Операционные (5.2)'!$F$26:$F$54,$F90,'Операционные (5.2)'!$G$26:$G$54,"ИОР"),0)</f>
        <v>1</v>
      </c>
      <c r="AE90" s="1550"/>
      <c r="AF90" s="1549"/>
      <c r="AG90" s="1549"/>
      <c r="AH90" s="1550"/>
      <c r="AI90" s="1549"/>
      <c r="AJ90" s="1549"/>
      <c r="AK90" s="104">
        <f>IFERROR(SUMIFS(INDEX('Баланс Пр'!$AE$26:$BB$232,,MATCH($H90&amp;"Принято органом регулирования",'Баланс Пр'!$AE$8:$BB$8,0)),'Баланс Пр'!$Q$26:$Q$232,$F90,'Баланс Пр'!$AC$26:$AC$232,"Уровень потерь воды"),0)</f>
        <v>0</v>
      </c>
      <c r="AL90" s="180"/>
      <c r="AM90" s="180"/>
      <c r="AN90" s="1030" cm="1">
        <f t="array" ref="AN90">H90</f>
        <v>2030</v>
      </c>
    </row>
    <row r="91" spans="1:40" s="1560" customFormat="1" ht="16.5" hidden="1" customHeight="1">
      <c r="A91" s="180"/>
      <c r="B91" s="805" t="b">
        <f t="shared" si="4"/>
        <v>0</v>
      </c>
      <c r="C91" s="180"/>
      <c r="D91" s="180"/>
      <c r="E91" s="676">
        <v>17.100000000000001</v>
      </c>
      <c r="F91" s="798" t="str" cm="1">
        <f t="array" ref="F91">F90</f>
        <v>1</v>
      </c>
      <c r="G91" s="180"/>
      <c r="H91" s="178">
        <f>first_year+10</f>
        <v>2031</v>
      </c>
      <c r="I91" s="180"/>
      <c r="J91" s="180"/>
      <c r="K91" s="180"/>
      <c r="L91" s="180"/>
      <c r="M91" s="180"/>
      <c r="N91" s="180"/>
      <c r="O91" s="180"/>
      <c r="P91" s="180"/>
      <c r="Q91" s="180"/>
      <c r="R91" s="180"/>
      <c r="S91" s="180"/>
      <c r="T91" s="687" t="b" cm="1">
        <f t="array" ref="T91">T90</f>
        <v>1</v>
      </c>
      <c r="U91" s="180"/>
      <c r="V91" s="180"/>
      <c r="W91" s="180"/>
      <c r="X91" s="1860"/>
      <c r="Y91" s="180"/>
      <c r="Z91" s="1860"/>
      <c r="AA91" s="180"/>
      <c r="AB91" s="278" t="str">
        <f t="shared" si="5"/>
        <v>2031 год</v>
      </c>
      <c r="AC91" s="102"/>
      <c r="AD91" s="103"/>
      <c r="AE91" s="103"/>
      <c r="AF91" s="102"/>
      <c r="AG91" s="102"/>
      <c r="AH91" s="103"/>
      <c r="AI91" s="102"/>
      <c r="AJ91" s="102"/>
      <c r="AK91" s="104"/>
      <c r="AL91" s="180"/>
      <c r="AM91" s="180"/>
      <c r="AN91" s="1030" cm="1">
        <f t="array" ref="AN91">H91</f>
        <v>2031</v>
      </c>
    </row>
    <row r="92" spans="1:40" s="1561" customFormat="1" ht="16.5" hidden="1" customHeight="1">
      <c r="A92" s="180"/>
      <c r="B92" s="805" t="b">
        <f t="shared" si="4"/>
        <v>0</v>
      </c>
      <c r="C92" s="180"/>
      <c r="D92" s="180"/>
      <c r="E92" s="676">
        <v>17.100000000000001</v>
      </c>
      <c r="F92" s="798" t="str" cm="1">
        <f t="array" ref="F92">F91</f>
        <v>1</v>
      </c>
      <c r="G92" s="180"/>
      <c r="H92" s="178">
        <f>first_year+11</f>
        <v>2032</v>
      </c>
      <c r="I92" s="180"/>
      <c r="J92" s="180"/>
      <c r="K92" s="180"/>
      <c r="L92" s="180"/>
      <c r="M92" s="180"/>
      <c r="N92" s="180"/>
      <c r="O92" s="180"/>
      <c r="P92" s="180"/>
      <c r="Q92" s="180"/>
      <c r="R92" s="180"/>
      <c r="S92" s="180"/>
      <c r="T92" s="687" t="b" cm="1">
        <f t="array" ref="T92">T91</f>
        <v>1</v>
      </c>
      <c r="U92" s="180"/>
      <c r="V92" s="180"/>
      <c r="W92" s="180"/>
      <c r="X92" s="1860"/>
      <c r="Y92" s="180"/>
      <c r="Z92" s="1860"/>
      <c r="AA92" s="180"/>
      <c r="AB92" s="278" t="str">
        <f t="shared" si="5"/>
        <v>2032 год</v>
      </c>
      <c r="AC92" s="102"/>
      <c r="AD92" s="103"/>
      <c r="AE92" s="103"/>
      <c r="AF92" s="102"/>
      <c r="AG92" s="102"/>
      <c r="AH92" s="103"/>
      <c r="AI92" s="102"/>
      <c r="AJ92" s="102"/>
      <c r="AK92" s="104"/>
      <c r="AL92" s="180"/>
      <c r="AM92" s="180"/>
      <c r="AN92" s="1030" cm="1">
        <f t="array" ref="AN92">H92</f>
        <v>2032</v>
      </c>
    </row>
    <row r="93" spans="1:40" s="1562" customFormat="1" ht="16.5" hidden="1" customHeight="1">
      <c r="A93" s="180"/>
      <c r="B93" s="805" t="b">
        <f t="shared" si="4"/>
        <v>0</v>
      </c>
      <c r="C93" s="180"/>
      <c r="D93" s="180"/>
      <c r="E93" s="676">
        <v>17.100000000000001</v>
      </c>
      <c r="F93" s="798" t="str" cm="1">
        <f t="array" ref="F93">F92</f>
        <v>1</v>
      </c>
      <c r="G93" s="180"/>
      <c r="H93" s="178">
        <f>first_year+12</f>
        <v>2033</v>
      </c>
      <c r="I93" s="180"/>
      <c r="J93" s="180"/>
      <c r="K93" s="180"/>
      <c r="L93" s="180"/>
      <c r="M93" s="180"/>
      <c r="N93" s="180"/>
      <c r="O93" s="180"/>
      <c r="P93" s="180"/>
      <c r="Q93" s="180"/>
      <c r="R93" s="180"/>
      <c r="S93" s="180"/>
      <c r="T93" s="687" t="b" cm="1">
        <f t="array" ref="T93">T92</f>
        <v>1</v>
      </c>
      <c r="U93" s="180"/>
      <c r="V93" s="180"/>
      <c r="W93" s="180"/>
      <c r="X93" s="1860"/>
      <c r="Y93" s="180"/>
      <c r="Z93" s="1860"/>
      <c r="AA93" s="180"/>
      <c r="AB93" s="278" t="str">
        <f t="shared" si="5"/>
        <v>2033 год</v>
      </c>
      <c r="AC93" s="102"/>
      <c r="AD93" s="103"/>
      <c r="AE93" s="103"/>
      <c r="AF93" s="102"/>
      <c r="AG93" s="102"/>
      <c r="AH93" s="103"/>
      <c r="AI93" s="102"/>
      <c r="AJ93" s="102"/>
      <c r="AK93" s="104"/>
      <c r="AL93" s="180"/>
      <c r="AM93" s="180"/>
      <c r="AN93" s="1030" cm="1">
        <f t="array" ref="AN93">H93</f>
        <v>2033</v>
      </c>
    </row>
    <row r="94" spans="1:40" s="1563" customFormat="1" ht="16.5" hidden="1" customHeight="1">
      <c r="A94" s="180"/>
      <c r="B94" s="805" t="b">
        <f t="shared" si="4"/>
        <v>0</v>
      </c>
      <c r="C94" s="180"/>
      <c r="D94" s="180"/>
      <c r="E94" s="676">
        <v>17.100000000000001</v>
      </c>
      <c r="F94" s="798" t="str" cm="1">
        <f t="array" ref="F94">F93</f>
        <v>1</v>
      </c>
      <c r="G94" s="180"/>
      <c r="H94" s="178">
        <f>first_year+13</f>
        <v>2034</v>
      </c>
      <c r="I94" s="180"/>
      <c r="J94" s="180"/>
      <c r="K94" s="180"/>
      <c r="L94" s="180"/>
      <c r="M94" s="180"/>
      <c r="N94" s="180"/>
      <c r="O94" s="180"/>
      <c r="P94" s="180"/>
      <c r="Q94" s="180"/>
      <c r="R94" s="180"/>
      <c r="S94" s="180"/>
      <c r="T94" s="687" t="b" cm="1">
        <f t="array" ref="T94">T93</f>
        <v>1</v>
      </c>
      <c r="U94" s="180"/>
      <c r="V94" s="180"/>
      <c r="W94" s="180"/>
      <c r="X94" s="1860"/>
      <c r="Y94" s="180"/>
      <c r="Z94" s="1860"/>
      <c r="AA94" s="180"/>
      <c r="AB94" s="278" t="str">
        <f t="shared" si="5"/>
        <v>2034 год</v>
      </c>
      <c r="AC94" s="102"/>
      <c r="AD94" s="103"/>
      <c r="AE94" s="103"/>
      <c r="AF94" s="102"/>
      <c r="AG94" s="102"/>
      <c r="AH94" s="103"/>
      <c r="AI94" s="102"/>
      <c r="AJ94" s="102"/>
      <c r="AK94" s="104"/>
      <c r="AL94" s="180"/>
      <c r="AM94" s="180"/>
      <c r="AN94" s="1030" cm="1">
        <f t="array" ref="AN94">H94</f>
        <v>2034</v>
      </c>
    </row>
    <row r="95" spans="1:40" s="1564" customFormat="1" ht="16.5" hidden="1" customHeight="1">
      <c r="A95" s="180"/>
      <c r="B95" s="805" t="b">
        <f t="shared" si="4"/>
        <v>0</v>
      </c>
      <c r="C95" s="180"/>
      <c r="D95" s="180"/>
      <c r="E95" s="676">
        <v>17.100000000000001</v>
      </c>
      <c r="F95" s="798" t="str" cm="1">
        <f t="array" ref="F95">F94</f>
        <v>1</v>
      </c>
      <c r="G95" s="180"/>
      <c r="H95" s="178">
        <f>first_year+14</f>
        <v>2035</v>
      </c>
      <c r="I95" s="180"/>
      <c r="J95" s="180"/>
      <c r="K95" s="180"/>
      <c r="L95" s="180"/>
      <c r="M95" s="180"/>
      <c r="N95" s="180"/>
      <c r="O95" s="180"/>
      <c r="P95" s="180"/>
      <c r="Q95" s="180"/>
      <c r="R95" s="180"/>
      <c r="S95" s="180"/>
      <c r="T95" s="687" t="b" cm="1">
        <f t="array" ref="T95">T94</f>
        <v>1</v>
      </c>
      <c r="U95" s="180"/>
      <c r="V95" s="180"/>
      <c r="W95" s="180"/>
      <c r="X95" s="1860"/>
      <c r="Y95" s="180"/>
      <c r="Z95" s="1860"/>
      <c r="AA95" s="180"/>
      <c r="AB95" s="278" t="str">
        <f t="shared" si="5"/>
        <v>2035 год</v>
      </c>
      <c r="AC95" s="102"/>
      <c r="AD95" s="103"/>
      <c r="AE95" s="103"/>
      <c r="AF95" s="102"/>
      <c r="AG95" s="102"/>
      <c r="AH95" s="103"/>
      <c r="AI95" s="102"/>
      <c r="AJ95" s="102"/>
      <c r="AK95" s="104"/>
      <c r="AL95" s="180"/>
      <c r="AM95" s="180"/>
      <c r="AN95" s="1030" cm="1">
        <f t="array" ref="AN95">H95</f>
        <v>2035</v>
      </c>
    </row>
    <row r="96" spans="1:40" s="1565" customFormat="1" ht="16.5" hidden="1" customHeight="1">
      <c r="A96" s="180"/>
      <c r="B96" s="805" t="b">
        <f t="shared" si="4"/>
        <v>0</v>
      </c>
      <c r="C96" s="180"/>
      <c r="D96" s="180"/>
      <c r="E96" s="676">
        <v>17.100000000000001</v>
      </c>
      <c r="F96" s="798" t="str" cm="1">
        <f t="array" ref="F96">F95</f>
        <v>1</v>
      </c>
      <c r="G96" s="180"/>
      <c r="H96" s="178">
        <f>first_year+15</f>
        <v>2036</v>
      </c>
      <c r="I96" s="180"/>
      <c r="J96" s="180"/>
      <c r="K96" s="180"/>
      <c r="L96" s="180"/>
      <c r="M96" s="180"/>
      <c r="N96" s="180"/>
      <c r="O96" s="180"/>
      <c r="P96" s="180"/>
      <c r="Q96" s="180"/>
      <c r="R96" s="180"/>
      <c r="S96" s="180"/>
      <c r="T96" s="687" t="b" cm="1">
        <f t="array" ref="T96">T95</f>
        <v>1</v>
      </c>
      <c r="U96" s="180"/>
      <c r="V96" s="180"/>
      <c r="W96" s="180"/>
      <c r="X96" s="1860"/>
      <c r="Y96" s="180"/>
      <c r="Z96" s="1860"/>
      <c r="AA96" s="180"/>
      <c r="AB96" s="278" t="str">
        <f t="shared" si="5"/>
        <v>2036 год</v>
      </c>
      <c r="AC96" s="102"/>
      <c r="AD96" s="103"/>
      <c r="AE96" s="103"/>
      <c r="AF96" s="102"/>
      <c r="AG96" s="102"/>
      <c r="AH96" s="103"/>
      <c r="AI96" s="102"/>
      <c r="AJ96" s="102"/>
      <c r="AK96" s="104"/>
      <c r="AL96" s="180"/>
      <c r="AM96" s="180"/>
      <c r="AN96" s="1030" cm="1">
        <f t="array" ref="AN96">H96</f>
        <v>2036</v>
      </c>
    </row>
    <row r="97" spans="1:40" s="1566" customFormat="1" ht="16.5" hidden="1" customHeight="1">
      <c r="A97" s="180"/>
      <c r="B97" s="805" t="b">
        <f t="shared" si="4"/>
        <v>0</v>
      </c>
      <c r="C97" s="180"/>
      <c r="D97" s="180"/>
      <c r="E97" s="676">
        <v>17.100000000000001</v>
      </c>
      <c r="F97" s="798" t="str" cm="1">
        <f t="array" ref="F97">F96</f>
        <v>1</v>
      </c>
      <c r="G97" s="180"/>
      <c r="H97" s="178">
        <f>first_year+16</f>
        <v>2037</v>
      </c>
      <c r="I97" s="180"/>
      <c r="J97" s="180"/>
      <c r="K97" s="180"/>
      <c r="L97" s="180"/>
      <c r="M97" s="180"/>
      <c r="N97" s="180"/>
      <c r="O97" s="180"/>
      <c r="P97" s="180"/>
      <c r="Q97" s="180"/>
      <c r="R97" s="180"/>
      <c r="S97" s="180"/>
      <c r="T97" s="687" t="b" cm="1">
        <f t="array" ref="T97">T96</f>
        <v>1</v>
      </c>
      <c r="U97" s="180"/>
      <c r="V97" s="180"/>
      <c r="W97" s="180"/>
      <c r="X97" s="1860"/>
      <c r="Y97" s="180"/>
      <c r="Z97" s="1860"/>
      <c r="AA97" s="180"/>
      <c r="AB97" s="278" t="str">
        <f t="shared" si="5"/>
        <v>2037 год</v>
      </c>
      <c r="AC97" s="102"/>
      <c r="AD97" s="103"/>
      <c r="AE97" s="103"/>
      <c r="AF97" s="102"/>
      <c r="AG97" s="102"/>
      <c r="AH97" s="103"/>
      <c r="AI97" s="102"/>
      <c r="AJ97" s="102"/>
      <c r="AK97" s="104"/>
      <c r="AL97" s="180"/>
      <c r="AM97" s="180"/>
      <c r="AN97" s="1030" cm="1">
        <f t="array" ref="AN97">H97</f>
        <v>2037</v>
      </c>
    </row>
    <row r="98" spans="1:40" s="1567" customFormat="1" ht="16.5" hidden="1" customHeight="1">
      <c r="A98" s="180"/>
      <c r="B98" s="805" t="b">
        <f t="shared" si="4"/>
        <v>0</v>
      </c>
      <c r="C98" s="180"/>
      <c r="D98" s="180"/>
      <c r="E98" s="676">
        <v>17.100000000000001</v>
      </c>
      <c r="F98" s="798" t="str" cm="1">
        <f t="array" ref="F98">F97</f>
        <v>1</v>
      </c>
      <c r="G98" s="180"/>
      <c r="H98" s="178">
        <f>first_year+17</f>
        <v>2038</v>
      </c>
      <c r="I98" s="180"/>
      <c r="J98" s="180"/>
      <c r="K98" s="180"/>
      <c r="L98" s="180"/>
      <c r="M98" s="180"/>
      <c r="N98" s="180"/>
      <c r="O98" s="180"/>
      <c r="P98" s="180"/>
      <c r="Q98" s="180"/>
      <c r="R98" s="180"/>
      <c r="S98" s="180"/>
      <c r="T98" s="687" t="b" cm="1">
        <f t="array" ref="T98">T97</f>
        <v>1</v>
      </c>
      <c r="U98" s="180"/>
      <c r="V98" s="180"/>
      <c r="W98" s="180"/>
      <c r="X98" s="1860"/>
      <c r="Y98" s="180"/>
      <c r="Z98" s="1860"/>
      <c r="AA98" s="180"/>
      <c r="AB98" s="278" t="str">
        <f t="shared" si="5"/>
        <v>2038 год</v>
      </c>
      <c r="AC98" s="102"/>
      <c r="AD98" s="103"/>
      <c r="AE98" s="103"/>
      <c r="AF98" s="102"/>
      <c r="AG98" s="102"/>
      <c r="AH98" s="103"/>
      <c r="AI98" s="102"/>
      <c r="AJ98" s="102"/>
      <c r="AK98" s="104"/>
      <c r="AL98" s="180"/>
      <c r="AM98" s="180"/>
      <c r="AN98" s="1030" cm="1">
        <f t="array" ref="AN98">H98</f>
        <v>2038</v>
      </c>
    </row>
    <row r="99" spans="1:40" s="1568" customFormat="1" ht="16.5" hidden="1" customHeight="1">
      <c r="A99" s="180"/>
      <c r="B99" s="805" t="b">
        <f t="shared" si="4"/>
        <v>0</v>
      </c>
      <c r="C99" s="180"/>
      <c r="D99" s="180"/>
      <c r="E99" s="676">
        <v>17.100000000000001</v>
      </c>
      <c r="F99" s="798" t="str" cm="1">
        <f t="array" ref="F99">F98</f>
        <v>1</v>
      </c>
      <c r="G99" s="180"/>
      <c r="H99" s="178">
        <f>first_year+18</f>
        <v>2039</v>
      </c>
      <c r="I99" s="180"/>
      <c r="J99" s="180"/>
      <c r="K99" s="180"/>
      <c r="L99" s="180"/>
      <c r="M99" s="180"/>
      <c r="N99" s="180"/>
      <c r="O99" s="180"/>
      <c r="P99" s="180"/>
      <c r="Q99" s="180"/>
      <c r="R99" s="180"/>
      <c r="S99" s="180"/>
      <c r="T99" s="687" t="b" cm="1">
        <f t="array" ref="T99">T98</f>
        <v>1</v>
      </c>
      <c r="U99" s="180"/>
      <c r="V99" s="180"/>
      <c r="W99" s="180"/>
      <c r="X99" s="1860"/>
      <c r="Y99" s="180"/>
      <c r="Z99" s="1860"/>
      <c r="AA99" s="180"/>
      <c r="AB99" s="278" t="str">
        <f t="shared" si="5"/>
        <v>2039 год</v>
      </c>
      <c r="AC99" s="102"/>
      <c r="AD99" s="103"/>
      <c r="AE99" s="103"/>
      <c r="AF99" s="102"/>
      <c r="AG99" s="102"/>
      <c r="AH99" s="103"/>
      <c r="AI99" s="102"/>
      <c r="AJ99" s="102"/>
      <c r="AK99" s="104"/>
      <c r="AL99" s="180"/>
      <c r="AM99" s="180"/>
      <c r="AN99" s="1030" cm="1">
        <f t="array" ref="AN99">H99</f>
        <v>2039</v>
      </c>
    </row>
    <row r="100" spans="1:40" s="1569" customFormat="1" ht="16.5" hidden="1" customHeight="1">
      <c r="A100" s="180"/>
      <c r="B100" s="805" t="b">
        <f t="shared" si="4"/>
        <v>0</v>
      </c>
      <c r="C100" s="180"/>
      <c r="D100" s="180"/>
      <c r="E100" s="676">
        <v>17.100000000000001</v>
      </c>
      <c r="F100" s="798" t="str" cm="1">
        <f t="array" ref="F100">F99</f>
        <v>1</v>
      </c>
      <c r="G100" s="180"/>
      <c r="H100" s="178">
        <f>first_year+19</f>
        <v>2040</v>
      </c>
      <c r="I100" s="180"/>
      <c r="J100" s="180"/>
      <c r="K100" s="180"/>
      <c r="L100" s="180"/>
      <c r="M100" s="180"/>
      <c r="N100" s="180"/>
      <c r="O100" s="180"/>
      <c r="P100" s="180"/>
      <c r="Q100" s="180"/>
      <c r="R100" s="180"/>
      <c r="S100" s="180"/>
      <c r="T100" s="687" t="b" cm="1">
        <f t="array" ref="T100">T99</f>
        <v>1</v>
      </c>
      <c r="U100" s="180"/>
      <c r="V100" s="180"/>
      <c r="W100" s="180"/>
      <c r="X100" s="1860"/>
      <c r="Y100" s="180"/>
      <c r="Z100" s="1860"/>
      <c r="AA100" s="180"/>
      <c r="AB100" s="278" t="str">
        <f t="shared" si="5"/>
        <v>2040 год</v>
      </c>
      <c r="AC100" s="102"/>
      <c r="AD100" s="103"/>
      <c r="AE100" s="103"/>
      <c r="AF100" s="102"/>
      <c r="AG100" s="102"/>
      <c r="AH100" s="103"/>
      <c r="AI100" s="102"/>
      <c r="AJ100" s="102"/>
      <c r="AK100" s="104"/>
      <c r="AL100" s="180"/>
      <c r="AM100" s="180"/>
      <c r="AN100" s="1030" cm="1">
        <f t="array" ref="AN100">H100</f>
        <v>2040</v>
      </c>
    </row>
    <row r="101" spans="1:40" s="1570" customFormat="1" ht="16.5" hidden="1" customHeight="1">
      <c r="A101" s="180"/>
      <c r="B101" s="805" t="b">
        <f t="shared" si="4"/>
        <v>0</v>
      </c>
      <c r="C101" s="180"/>
      <c r="D101" s="180"/>
      <c r="E101" s="676">
        <v>17.100000000000001</v>
      </c>
      <c r="F101" s="798" t="str" cm="1">
        <f t="array" ref="F101">F100</f>
        <v>1</v>
      </c>
      <c r="G101" s="180"/>
      <c r="H101" s="178">
        <f>first_year+20</f>
        <v>2041</v>
      </c>
      <c r="I101" s="180"/>
      <c r="J101" s="180"/>
      <c r="K101" s="180"/>
      <c r="L101" s="180"/>
      <c r="M101" s="180"/>
      <c r="N101" s="180"/>
      <c r="O101" s="180"/>
      <c r="P101" s="180"/>
      <c r="Q101" s="180"/>
      <c r="R101" s="180"/>
      <c r="S101" s="180"/>
      <c r="T101" s="687" t="b" cm="1">
        <f t="array" ref="T101">T100</f>
        <v>1</v>
      </c>
      <c r="U101" s="180"/>
      <c r="V101" s="180"/>
      <c r="W101" s="180"/>
      <c r="X101" s="1860"/>
      <c r="Y101" s="180"/>
      <c r="Z101" s="1860"/>
      <c r="AA101" s="180"/>
      <c r="AB101" s="278" t="str">
        <f t="shared" si="5"/>
        <v>2041 год</v>
      </c>
      <c r="AC101" s="102"/>
      <c r="AD101" s="103"/>
      <c r="AE101" s="103"/>
      <c r="AF101" s="102"/>
      <c r="AG101" s="102"/>
      <c r="AH101" s="103"/>
      <c r="AI101" s="102"/>
      <c r="AJ101" s="102"/>
      <c r="AK101" s="104"/>
      <c r="AL101" s="180"/>
      <c r="AM101" s="180"/>
      <c r="AN101" s="1030" cm="1">
        <f t="array" ref="AN101">H101</f>
        <v>2041</v>
      </c>
    </row>
    <row r="102" spans="1:40" s="1571" customFormat="1" ht="16.5" hidden="1" customHeight="1">
      <c r="A102" s="180"/>
      <c r="B102" s="805" t="b">
        <f t="shared" si="4"/>
        <v>0</v>
      </c>
      <c r="C102" s="180"/>
      <c r="D102" s="180"/>
      <c r="E102" s="676">
        <v>17.100000000000001</v>
      </c>
      <c r="F102" s="798" t="str" cm="1">
        <f t="array" ref="F102">F101</f>
        <v>1</v>
      </c>
      <c r="G102" s="180"/>
      <c r="H102" s="178">
        <f>first_year+21</f>
        <v>2042</v>
      </c>
      <c r="I102" s="180"/>
      <c r="J102" s="180"/>
      <c r="K102" s="180"/>
      <c r="L102" s="180"/>
      <c r="M102" s="180"/>
      <c r="N102" s="180"/>
      <c r="O102" s="180"/>
      <c r="P102" s="180"/>
      <c r="Q102" s="180"/>
      <c r="R102" s="180"/>
      <c r="S102" s="180"/>
      <c r="T102" s="687" t="b" cm="1">
        <f t="array" ref="T102">T101</f>
        <v>1</v>
      </c>
      <c r="U102" s="180"/>
      <c r="V102" s="180"/>
      <c r="W102" s="180"/>
      <c r="X102" s="1860"/>
      <c r="Y102" s="180"/>
      <c r="Z102" s="1860"/>
      <c r="AA102" s="180"/>
      <c r="AB102" s="278" t="str">
        <f t="shared" si="5"/>
        <v>2042 год</v>
      </c>
      <c r="AC102" s="102"/>
      <c r="AD102" s="103"/>
      <c r="AE102" s="103"/>
      <c r="AF102" s="102"/>
      <c r="AG102" s="102"/>
      <c r="AH102" s="103"/>
      <c r="AI102" s="102"/>
      <c r="AJ102" s="102"/>
      <c r="AK102" s="104"/>
      <c r="AL102" s="180"/>
      <c r="AM102" s="180"/>
      <c r="AN102" s="1030" cm="1">
        <f t="array" ref="AN102">H102</f>
        <v>2042</v>
      </c>
    </row>
    <row r="103" spans="1:40" s="1572" customFormat="1" ht="16.5" hidden="1" customHeight="1">
      <c r="A103" s="180"/>
      <c r="B103" s="805" t="b">
        <f t="shared" si="4"/>
        <v>0</v>
      </c>
      <c r="C103" s="180"/>
      <c r="D103" s="180"/>
      <c r="E103" s="676">
        <v>17.100000000000001</v>
      </c>
      <c r="F103" s="798" t="str" cm="1">
        <f t="array" ref="F103">F102</f>
        <v>1</v>
      </c>
      <c r="G103" s="180"/>
      <c r="H103" s="178">
        <f>first_year+22</f>
        <v>2043</v>
      </c>
      <c r="I103" s="180"/>
      <c r="J103" s="180"/>
      <c r="K103" s="180"/>
      <c r="L103" s="180"/>
      <c r="M103" s="180"/>
      <c r="N103" s="180"/>
      <c r="O103" s="180"/>
      <c r="P103" s="180"/>
      <c r="Q103" s="180"/>
      <c r="R103" s="180"/>
      <c r="S103" s="180"/>
      <c r="T103" s="687" t="b" cm="1">
        <f t="array" ref="T103">T102</f>
        <v>1</v>
      </c>
      <c r="U103" s="180"/>
      <c r="V103" s="180"/>
      <c r="W103" s="180"/>
      <c r="X103" s="1860"/>
      <c r="Y103" s="180"/>
      <c r="Z103" s="1860"/>
      <c r="AA103" s="180"/>
      <c r="AB103" s="278" t="str">
        <f t="shared" si="5"/>
        <v>2043 год</v>
      </c>
      <c r="AC103" s="102"/>
      <c r="AD103" s="103"/>
      <c r="AE103" s="103"/>
      <c r="AF103" s="102"/>
      <c r="AG103" s="102"/>
      <c r="AH103" s="103"/>
      <c r="AI103" s="102"/>
      <c r="AJ103" s="102"/>
      <c r="AK103" s="104"/>
      <c r="AL103" s="180"/>
      <c r="AM103" s="180"/>
      <c r="AN103" s="1030" cm="1">
        <f t="array" ref="AN103">H103</f>
        <v>2043</v>
      </c>
    </row>
    <row r="104" spans="1:40" s="1573" customFormat="1" ht="16.5" hidden="1" customHeight="1">
      <c r="A104" s="180"/>
      <c r="B104" s="805" t="b">
        <f t="shared" si="4"/>
        <v>0</v>
      </c>
      <c r="C104" s="180"/>
      <c r="D104" s="180"/>
      <c r="E104" s="676">
        <v>17.100000000000001</v>
      </c>
      <c r="F104" s="798" t="str" cm="1">
        <f t="array" ref="F104">F103</f>
        <v>1</v>
      </c>
      <c r="G104" s="180"/>
      <c r="H104" s="178">
        <f>first_year+23</f>
        <v>2044</v>
      </c>
      <c r="I104" s="180"/>
      <c r="J104" s="180"/>
      <c r="K104" s="180"/>
      <c r="L104" s="180"/>
      <c r="M104" s="180"/>
      <c r="N104" s="180"/>
      <c r="O104" s="180"/>
      <c r="P104" s="180"/>
      <c r="Q104" s="180"/>
      <c r="R104" s="180"/>
      <c r="S104" s="180"/>
      <c r="T104" s="687" t="b" cm="1">
        <f t="array" ref="T104">T103</f>
        <v>1</v>
      </c>
      <c r="U104" s="180"/>
      <c r="V104" s="180"/>
      <c r="W104" s="180"/>
      <c r="X104" s="1860"/>
      <c r="Y104" s="180"/>
      <c r="Z104" s="1860"/>
      <c r="AA104" s="180"/>
      <c r="AB104" s="278" t="str">
        <f t="shared" si="5"/>
        <v>2044 год</v>
      </c>
      <c r="AC104" s="102"/>
      <c r="AD104" s="103"/>
      <c r="AE104" s="103"/>
      <c r="AF104" s="102"/>
      <c r="AG104" s="102"/>
      <c r="AH104" s="103"/>
      <c r="AI104" s="102"/>
      <c r="AJ104" s="102"/>
      <c r="AK104" s="104"/>
      <c r="AL104" s="180"/>
      <c r="AM104" s="180"/>
      <c r="AN104" s="1030" cm="1">
        <f t="array" ref="AN104">H104</f>
        <v>2044</v>
      </c>
    </row>
    <row r="105" spans="1:40" s="1574" customFormat="1" ht="16.5" hidden="1" customHeight="1">
      <c r="A105" s="180"/>
      <c r="B105" s="805" t="b">
        <f t="shared" si="4"/>
        <v>0</v>
      </c>
      <c r="C105" s="180"/>
      <c r="D105" s="180"/>
      <c r="E105" s="676">
        <v>17.100000000000001</v>
      </c>
      <c r="F105" s="798" t="str" cm="1">
        <f t="array" ref="F105">F104</f>
        <v>1</v>
      </c>
      <c r="G105" s="180"/>
      <c r="H105" s="178">
        <f>first_year+24</f>
        <v>2045</v>
      </c>
      <c r="I105" s="180"/>
      <c r="J105" s="180"/>
      <c r="K105" s="180"/>
      <c r="L105" s="180"/>
      <c r="M105" s="180"/>
      <c r="N105" s="180"/>
      <c r="O105" s="180"/>
      <c r="P105" s="180"/>
      <c r="Q105" s="180"/>
      <c r="R105" s="180"/>
      <c r="S105" s="180"/>
      <c r="T105" s="687" t="b" cm="1">
        <f t="array" ref="T105">T104</f>
        <v>1</v>
      </c>
      <c r="U105" s="180"/>
      <c r="V105" s="180"/>
      <c r="W105" s="180"/>
      <c r="X105" s="1860"/>
      <c r="Y105" s="180"/>
      <c r="Z105" s="1860"/>
      <c r="AA105" s="180"/>
      <c r="AB105" s="278" t="str">
        <f t="shared" si="5"/>
        <v>2045 год</v>
      </c>
      <c r="AC105" s="102"/>
      <c r="AD105" s="103"/>
      <c r="AE105" s="103"/>
      <c r="AF105" s="102"/>
      <c r="AG105" s="102"/>
      <c r="AH105" s="103"/>
      <c r="AI105" s="102"/>
      <c r="AJ105" s="102"/>
      <c r="AK105" s="104"/>
      <c r="AL105" s="180"/>
      <c r="AM105" s="180"/>
      <c r="AN105" s="1030" cm="1">
        <f t="array" ref="AN105">H105</f>
        <v>2045</v>
      </c>
    </row>
    <row r="106" spans="1:40" s="1575" customFormat="1" ht="16.5" hidden="1" customHeight="1">
      <c r="A106" s="180"/>
      <c r="B106" s="805" t="b">
        <f t="shared" si="4"/>
        <v>0</v>
      </c>
      <c r="C106" s="180"/>
      <c r="D106" s="180"/>
      <c r="E106" s="676">
        <v>17.100000000000001</v>
      </c>
      <c r="F106" s="798" t="str" cm="1">
        <f t="array" ref="F106">F105</f>
        <v>1</v>
      </c>
      <c r="G106" s="180"/>
      <c r="H106" s="178">
        <f>first_year+25</f>
        <v>2046</v>
      </c>
      <c r="I106" s="180"/>
      <c r="J106" s="180"/>
      <c r="K106" s="180"/>
      <c r="L106" s="180"/>
      <c r="M106" s="180"/>
      <c r="N106" s="180"/>
      <c r="O106" s="180"/>
      <c r="P106" s="180"/>
      <c r="Q106" s="180"/>
      <c r="R106" s="180"/>
      <c r="S106" s="180"/>
      <c r="T106" s="687" t="b" cm="1">
        <f t="array" ref="T106">T105</f>
        <v>1</v>
      </c>
      <c r="U106" s="180"/>
      <c r="V106" s="180"/>
      <c r="W106" s="180"/>
      <c r="X106" s="1860"/>
      <c r="Y106" s="180"/>
      <c r="Z106" s="1860"/>
      <c r="AA106" s="180"/>
      <c r="AB106" s="278" t="str">
        <f t="shared" si="5"/>
        <v>2046 год</v>
      </c>
      <c r="AC106" s="102"/>
      <c r="AD106" s="103"/>
      <c r="AE106" s="103"/>
      <c r="AF106" s="102"/>
      <c r="AG106" s="102"/>
      <c r="AH106" s="103"/>
      <c r="AI106" s="102"/>
      <c r="AJ106" s="102"/>
      <c r="AK106" s="104"/>
      <c r="AL106" s="180"/>
      <c r="AM106" s="180"/>
      <c r="AN106" s="1030" cm="1">
        <f t="array" ref="AN106">H106</f>
        <v>2046</v>
      </c>
    </row>
    <row r="107" spans="1:40" s="1576" customFormat="1" ht="16.5" hidden="1" customHeight="1">
      <c r="A107" s="180"/>
      <c r="B107" s="805" t="b">
        <f t="shared" si="4"/>
        <v>0</v>
      </c>
      <c r="C107" s="180"/>
      <c r="D107" s="180"/>
      <c r="E107" s="676">
        <v>17.100000000000001</v>
      </c>
      <c r="F107" s="798" t="str" cm="1">
        <f t="array" ref="F107">F106</f>
        <v>1</v>
      </c>
      <c r="G107" s="180"/>
      <c r="H107" s="178">
        <f>first_year+26</f>
        <v>2047</v>
      </c>
      <c r="I107" s="180"/>
      <c r="J107" s="180"/>
      <c r="K107" s="180"/>
      <c r="L107" s="180"/>
      <c r="M107" s="180"/>
      <c r="N107" s="180"/>
      <c r="O107" s="180"/>
      <c r="P107" s="180"/>
      <c r="Q107" s="180"/>
      <c r="R107" s="180"/>
      <c r="S107" s="180"/>
      <c r="T107" s="687" t="b" cm="1">
        <f t="array" ref="T107">T106</f>
        <v>1</v>
      </c>
      <c r="U107" s="180"/>
      <c r="V107" s="180"/>
      <c r="W107" s="180"/>
      <c r="X107" s="1860"/>
      <c r="Y107" s="180"/>
      <c r="Z107" s="1860"/>
      <c r="AA107" s="180"/>
      <c r="AB107" s="278" t="str">
        <f t="shared" si="5"/>
        <v>2047 год</v>
      </c>
      <c r="AC107" s="102"/>
      <c r="AD107" s="103"/>
      <c r="AE107" s="103"/>
      <c r="AF107" s="102"/>
      <c r="AG107" s="102"/>
      <c r="AH107" s="103"/>
      <c r="AI107" s="102"/>
      <c r="AJ107" s="102"/>
      <c r="AK107" s="104"/>
      <c r="AL107" s="180"/>
      <c r="AM107" s="180"/>
      <c r="AN107" s="1030" cm="1">
        <f t="array" ref="AN107">H107</f>
        <v>2047</v>
      </c>
    </row>
    <row r="108" spans="1:40" s="1577" customFormat="1" ht="16.5" hidden="1" customHeight="1">
      <c r="A108" s="180"/>
      <c r="B108" s="805" t="b">
        <f t="shared" si="4"/>
        <v>0</v>
      </c>
      <c r="C108" s="180"/>
      <c r="D108" s="180"/>
      <c r="E108" s="676">
        <v>17.100000000000001</v>
      </c>
      <c r="F108" s="798" t="str" cm="1">
        <f t="array" ref="F108">F107</f>
        <v>1</v>
      </c>
      <c r="G108" s="180"/>
      <c r="H108" s="178">
        <f>first_year+27</f>
        <v>2048</v>
      </c>
      <c r="I108" s="180"/>
      <c r="J108" s="180"/>
      <c r="K108" s="180"/>
      <c r="L108" s="180"/>
      <c r="M108" s="180"/>
      <c r="N108" s="180"/>
      <c r="O108" s="180"/>
      <c r="P108" s="180"/>
      <c r="Q108" s="180"/>
      <c r="R108" s="180"/>
      <c r="S108" s="180"/>
      <c r="T108" s="687" t="b" cm="1">
        <f t="array" ref="T108">T107</f>
        <v>1</v>
      </c>
      <c r="U108" s="180"/>
      <c r="V108" s="180"/>
      <c r="W108" s="180"/>
      <c r="X108" s="1860"/>
      <c r="Y108" s="180"/>
      <c r="Z108" s="1860"/>
      <c r="AA108" s="180"/>
      <c r="AB108" s="278" t="str">
        <f t="shared" si="5"/>
        <v>2048 год</v>
      </c>
      <c r="AC108" s="102"/>
      <c r="AD108" s="103"/>
      <c r="AE108" s="103"/>
      <c r="AF108" s="102"/>
      <c r="AG108" s="102"/>
      <c r="AH108" s="103"/>
      <c r="AI108" s="102"/>
      <c r="AJ108" s="102"/>
      <c r="AK108" s="104"/>
      <c r="AL108" s="180"/>
      <c r="AM108" s="180"/>
      <c r="AN108" s="1030" cm="1">
        <f t="array" ref="AN108">H108</f>
        <v>2048</v>
      </c>
    </row>
    <row r="109" spans="1:40" s="1578" customFormat="1" ht="16.5" hidden="1" customHeight="1">
      <c r="A109" s="180"/>
      <c r="B109" s="805" t="b">
        <f t="shared" si="4"/>
        <v>0</v>
      </c>
      <c r="C109" s="180"/>
      <c r="D109" s="180"/>
      <c r="E109" s="676">
        <v>17.100000000000001</v>
      </c>
      <c r="F109" s="798" t="str" cm="1">
        <f t="array" ref="F109">F108</f>
        <v>1</v>
      </c>
      <c r="G109" s="180"/>
      <c r="H109" s="178">
        <f>first_year+28</f>
        <v>2049</v>
      </c>
      <c r="I109" s="180"/>
      <c r="J109" s="180"/>
      <c r="K109" s="180"/>
      <c r="L109" s="180"/>
      <c r="M109" s="180"/>
      <c r="N109" s="180"/>
      <c r="O109" s="180"/>
      <c r="P109" s="180"/>
      <c r="Q109" s="180"/>
      <c r="R109" s="180"/>
      <c r="S109" s="180"/>
      <c r="T109" s="687" t="b" cm="1">
        <f t="array" ref="T109">T108</f>
        <v>1</v>
      </c>
      <c r="U109" s="180"/>
      <c r="V109" s="180"/>
      <c r="W109" s="180"/>
      <c r="X109" s="1860"/>
      <c r="Y109" s="180"/>
      <c r="Z109" s="1860"/>
      <c r="AA109" s="180"/>
      <c r="AB109" s="278" t="str">
        <f t="shared" si="5"/>
        <v>2049 год</v>
      </c>
      <c r="AC109" s="102"/>
      <c r="AD109" s="103"/>
      <c r="AE109" s="103"/>
      <c r="AF109" s="102"/>
      <c r="AG109" s="102"/>
      <c r="AH109" s="103"/>
      <c r="AI109" s="102"/>
      <c r="AJ109" s="102"/>
      <c r="AK109" s="104"/>
      <c r="AL109" s="180"/>
      <c r="AM109" s="180"/>
      <c r="AN109" s="1030" cm="1">
        <f t="array" ref="AN109">H109</f>
        <v>2049</v>
      </c>
    </row>
    <row r="110" spans="1:40" s="1579" customFormat="1" ht="16.5" hidden="1" customHeight="1">
      <c r="A110" s="180"/>
      <c r="B110" s="805" t="b">
        <f t="shared" si="4"/>
        <v>0</v>
      </c>
      <c r="C110" s="180"/>
      <c r="D110" s="180"/>
      <c r="E110" s="676">
        <v>17.100000000000001</v>
      </c>
      <c r="F110" s="798" t="str" cm="1">
        <f t="array" ref="F110">F109</f>
        <v>1</v>
      </c>
      <c r="G110" s="180"/>
      <c r="H110" s="178">
        <f>first_year+29</f>
        <v>2050</v>
      </c>
      <c r="I110" s="180"/>
      <c r="J110" s="180"/>
      <c r="K110" s="180"/>
      <c r="L110" s="180"/>
      <c r="M110" s="180"/>
      <c r="N110" s="180"/>
      <c r="O110" s="180"/>
      <c r="P110" s="180"/>
      <c r="Q110" s="180"/>
      <c r="R110" s="180"/>
      <c r="S110" s="180"/>
      <c r="T110" s="687" t="b" cm="1">
        <f t="array" ref="T110">T109</f>
        <v>1</v>
      </c>
      <c r="U110" s="180"/>
      <c r="V110" s="180"/>
      <c r="W110" s="180"/>
      <c r="X110" s="1860"/>
      <c r="Y110" s="180"/>
      <c r="Z110" s="1860"/>
      <c r="AA110" s="180"/>
      <c r="AB110" s="278" t="str">
        <f t="shared" si="5"/>
        <v>2050 год</v>
      </c>
      <c r="AC110" s="102"/>
      <c r="AD110" s="103"/>
      <c r="AE110" s="103"/>
      <c r="AF110" s="102"/>
      <c r="AG110" s="102"/>
      <c r="AH110" s="103"/>
      <c r="AI110" s="102"/>
      <c r="AJ110" s="102"/>
      <c r="AK110" s="104"/>
      <c r="AL110" s="180"/>
      <c r="AM110" s="180"/>
      <c r="AN110" s="1030" cm="1">
        <f t="array" ref="AN110">H110</f>
        <v>2050</v>
      </c>
    </row>
    <row r="111" spans="1:40" s="1580" customFormat="1" ht="16.5" hidden="1" customHeight="1">
      <c r="A111" s="180"/>
      <c r="B111" s="805" t="b">
        <f t="shared" si="4"/>
        <v>0</v>
      </c>
      <c r="C111" s="180"/>
      <c r="D111" s="180"/>
      <c r="E111" s="676">
        <v>17.100000000000001</v>
      </c>
      <c r="F111" s="798" t="str" cm="1">
        <f t="array" ref="F111">F110</f>
        <v>1</v>
      </c>
      <c r="G111" s="180"/>
      <c r="H111" s="178">
        <f>first_year+30</f>
        <v>2051</v>
      </c>
      <c r="I111" s="180"/>
      <c r="J111" s="180"/>
      <c r="K111" s="180"/>
      <c r="L111" s="180"/>
      <c r="M111" s="180"/>
      <c r="N111" s="180"/>
      <c r="O111" s="180"/>
      <c r="P111" s="180"/>
      <c r="Q111" s="180"/>
      <c r="R111" s="180"/>
      <c r="S111" s="180"/>
      <c r="T111" s="687" t="b" cm="1">
        <f t="array" ref="T111">T110</f>
        <v>1</v>
      </c>
      <c r="U111" s="180"/>
      <c r="V111" s="180"/>
      <c r="W111" s="180"/>
      <c r="X111" s="1860"/>
      <c r="Y111" s="180"/>
      <c r="Z111" s="1860"/>
      <c r="AA111" s="180"/>
      <c r="AB111" s="278" t="str">
        <f t="shared" si="5"/>
        <v>2051 год</v>
      </c>
      <c r="AC111" s="102"/>
      <c r="AD111" s="103"/>
      <c r="AE111" s="103"/>
      <c r="AF111" s="102"/>
      <c r="AG111" s="102"/>
      <c r="AH111" s="103"/>
      <c r="AI111" s="102"/>
      <c r="AJ111" s="102"/>
      <c r="AK111" s="104"/>
      <c r="AL111" s="180"/>
      <c r="AM111" s="180"/>
      <c r="AN111" s="1030" cm="1">
        <f t="array" ref="AN111">H111</f>
        <v>2051</v>
      </c>
    </row>
    <row r="112" spans="1:40" s="1581" customFormat="1" ht="16.5" hidden="1" customHeight="1">
      <c r="A112" s="180"/>
      <c r="B112" s="805" t="b">
        <f t="shared" si="4"/>
        <v>0</v>
      </c>
      <c r="C112" s="180"/>
      <c r="D112" s="180"/>
      <c r="E112" s="676">
        <v>17.100000000000001</v>
      </c>
      <c r="F112" s="798" t="str" cm="1">
        <f t="array" ref="F112">F111</f>
        <v>1</v>
      </c>
      <c r="G112" s="180"/>
      <c r="H112" s="178">
        <f>first_year+31</f>
        <v>2052</v>
      </c>
      <c r="I112" s="180"/>
      <c r="J112" s="180"/>
      <c r="K112" s="180"/>
      <c r="L112" s="180"/>
      <c r="M112" s="180"/>
      <c r="N112" s="180"/>
      <c r="O112" s="180"/>
      <c r="P112" s="180"/>
      <c r="Q112" s="180"/>
      <c r="R112" s="180"/>
      <c r="S112" s="180"/>
      <c r="T112" s="687" t="b" cm="1">
        <f t="array" ref="T112">T111</f>
        <v>1</v>
      </c>
      <c r="U112" s="180"/>
      <c r="V112" s="180"/>
      <c r="W112" s="180"/>
      <c r="X112" s="1860"/>
      <c r="Y112" s="180"/>
      <c r="Z112" s="1860"/>
      <c r="AA112" s="180"/>
      <c r="AB112" s="278" t="str">
        <f t="shared" si="5"/>
        <v>2052 год</v>
      </c>
      <c r="AC112" s="102"/>
      <c r="AD112" s="103"/>
      <c r="AE112" s="103"/>
      <c r="AF112" s="102"/>
      <c r="AG112" s="102"/>
      <c r="AH112" s="103"/>
      <c r="AI112" s="102"/>
      <c r="AJ112" s="102"/>
      <c r="AK112" s="104"/>
      <c r="AL112" s="180"/>
      <c r="AM112" s="180"/>
      <c r="AN112" s="1030" cm="1">
        <f t="array" ref="AN112">H112</f>
        <v>2052</v>
      </c>
    </row>
    <row r="113" spans="1:40" s="1582" customFormat="1" ht="16.5" hidden="1" customHeight="1">
      <c r="A113" s="180"/>
      <c r="B113" s="805" t="b">
        <f t="shared" ref="B113:B130" si="6">H113&lt;first_year+PERIOD_LENGTH</f>
        <v>0</v>
      </c>
      <c r="C113" s="180"/>
      <c r="D113" s="180"/>
      <c r="E113" s="676">
        <v>17.100000000000001</v>
      </c>
      <c r="F113" s="798" t="str" cm="1">
        <f t="array" ref="F113">F112</f>
        <v>1</v>
      </c>
      <c r="G113" s="180"/>
      <c r="H113" s="178">
        <f>first_year+32</f>
        <v>2053</v>
      </c>
      <c r="I113" s="180"/>
      <c r="J113" s="180"/>
      <c r="K113" s="180"/>
      <c r="L113" s="180"/>
      <c r="M113" s="180"/>
      <c r="N113" s="180"/>
      <c r="O113" s="180"/>
      <c r="P113" s="180"/>
      <c r="Q113" s="180"/>
      <c r="R113" s="180"/>
      <c r="S113" s="180"/>
      <c r="T113" s="687" t="b" cm="1">
        <f t="array" ref="T113">T112</f>
        <v>1</v>
      </c>
      <c r="U113" s="180"/>
      <c r="V113" s="180"/>
      <c r="W113" s="180"/>
      <c r="X113" s="1860"/>
      <c r="Y113" s="180"/>
      <c r="Z113" s="1860"/>
      <c r="AA113" s="180"/>
      <c r="AB113" s="278" t="str">
        <f t="shared" ref="AB113:AB130" si="7">H113&amp;" год"</f>
        <v>2053 год</v>
      </c>
      <c r="AC113" s="102"/>
      <c r="AD113" s="103"/>
      <c r="AE113" s="103"/>
      <c r="AF113" s="102"/>
      <c r="AG113" s="102"/>
      <c r="AH113" s="103"/>
      <c r="AI113" s="102"/>
      <c r="AJ113" s="102"/>
      <c r="AK113" s="104"/>
      <c r="AL113" s="180"/>
      <c r="AM113" s="180"/>
      <c r="AN113" s="1030" cm="1">
        <f t="array" ref="AN113">H113</f>
        <v>2053</v>
      </c>
    </row>
    <row r="114" spans="1:40" s="1583" customFormat="1" ht="16.5" hidden="1" customHeight="1">
      <c r="A114" s="180"/>
      <c r="B114" s="805" t="b">
        <f t="shared" si="6"/>
        <v>0</v>
      </c>
      <c r="C114" s="180"/>
      <c r="D114" s="180"/>
      <c r="E114" s="676">
        <v>17.100000000000001</v>
      </c>
      <c r="F114" s="798" t="str" cm="1">
        <f t="array" ref="F114">F113</f>
        <v>1</v>
      </c>
      <c r="G114" s="180"/>
      <c r="H114" s="178">
        <f>first_year+33</f>
        <v>2054</v>
      </c>
      <c r="I114" s="180"/>
      <c r="J114" s="180"/>
      <c r="K114" s="180"/>
      <c r="L114" s="180"/>
      <c r="M114" s="180"/>
      <c r="N114" s="180"/>
      <c r="O114" s="180"/>
      <c r="P114" s="180"/>
      <c r="Q114" s="180"/>
      <c r="R114" s="180"/>
      <c r="S114" s="180"/>
      <c r="T114" s="687" t="b" cm="1">
        <f t="array" ref="T114">T113</f>
        <v>1</v>
      </c>
      <c r="U114" s="180"/>
      <c r="V114" s="180"/>
      <c r="W114" s="180"/>
      <c r="X114" s="1860"/>
      <c r="Y114" s="180"/>
      <c r="Z114" s="1860"/>
      <c r="AA114" s="180"/>
      <c r="AB114" s="278" t="str">
        <f t="shared" si="7"/>
        <v>2054 год</v>
      </c>
      <c r="AC114" s="102"/>
      <c r="AD114" s="103"/>
      <c r="AE114" s="103"/>
      <c r="AF114" s="102"/>
      <c r="AG114" s="102"/>
      <c r="AH114" s="103"/>
      <c r="AI114" s="102"/>
      <c r="AJ114" s="102"/>
      <c r="AK114" s="104"/>
      <c r="AL114" s="180"/>
      <c r="AM114" s="180"/>
      <c r="AN114" s="1030" cm="1">
        <f t="array" ref="AN114">H114</f>
        <v>2054</v>
      </c>
    </row>
    <row r="115" spans="1:40" s="1584" customFormat="1" ht="16.5" hidden="1" customHeight="1">
      <c r="A115" s="180"/>
      <c r="B115" s="805" t="b">
        <f t="shared" si="6"/>
        <v>0</v>
      </c>
      <c r="C115" s="180"/>
      <c r="D115" s="180"/>
      <c r="E115" s="676">
        <v>17.100000000000001</v>
      </c>
      <c r="F115" s="798" t="str" cm="1">
        <f t="array" ref="F115">F114</f>
        <v>1</v>
      </c>
      <c r="G115" s="180"/>
      <c r="H115" s="178">
        <f>first_year+34</f>
        <v>2055</v>
      </c>
      <c r="I115" s="180"/>
      <c r="J115" s="180"/>
      <c r="K115" s="180"/>
      <c r="L115" s="180"/>
      <c r="M115" s="180"/>
      <c r="N115" s="180"/>
      <c r="O115" s="180"/>
      <c r="P115" s="180"/>
      <c r="Q115" s="180"/>
      <c r="R115" s="180"/>
      <c r="S115" s="180"/>
      <c r="T115" s="687" t="b" cm="1">
        <f t="array" ref="T115">T114</f>
        <v>1</v>
      </c>
      <c r="U115" s="180"/>
      <c r="V115" s="180"/>
      <c r="W115" s="180"/>
      <c r="X115" s="1860"/>
      <c r="Y115" s="180"/>
      <c r="Z115" s="1860"/>
      <c r="AA115" s="180"/>
      <c r="AB115" s="278" t="str">
        <f t="shared" si="7"/>
        <v>2055 год</v>
      </c>
      <c r="AC115" s="102"/>
      <c r="AD115" s="103"/>
      <c r="AE115" s="103"/>
      <c r="AF115" s="102"/>
      <c r="AG115" s="102"/>
      <c r="AH115" s="103"/>
      <c r="AI115" s="102"/>
      <c r="AJ115" s="102"/>
      <c r="AK115" s="104"/>
      <c r="AL115" s="180"/>
      <c r="AM115" s="180"/>
      <c r="AN115" s="1030" cm="1">
        <f t="array" ref="AN115">H115</f>
        <v>2055</v>
      </c>
    </row>
    <row r="116" spans="1:40" s="1585" customFormat="1" ht="16.5" hidden="1" customHeight="1">
      <c r="A116" s="180"/>
      <c r="B116" s="805" t="b">
        <f t="shared" si="6"/>
        <v>0</v>
      </c>
      <c r="C116" s="180"/>
      <c r="D116" s="180"/>
      <c r="E116" s="676">
        <v>17.100000000000001</v>
      </c>
      <c r="F116" s="798" t="str" cm="1">
        <f t="array" ref="F116">F115</f>
        <v>1</v>
      </c>
      <c r="G116" s="180"/>
      <c r="H116" s="178">
        <f>first_year+35</f>
        <v>2056</v>
      </c>
      <c r="I116" s="180"/>
      <c r="J116" s="180"/>
      <c r="K116" s="180"/>
      <c r="L116" s="180"/>
      <c r="M116" s="180"/>
      <c r="N116" s="180"/>
      <c r="O116" s="180"/>
      <c r="P116" s="180"/>
      <c r="Q116" s="180"/>
      <c r="R116" s="180"/>
      <c r="S116" s="180"/>
      <c r="T116" s="687" t="b" cm="1">
        <f t="array" ref="T116">T115</f>
        <v>1</v>
      </c>
      <c r="U116" s="180"/>
      <c r="V116" s="180"/>
      <c r="W116" s="180"/>
      <c r="X116" s="1860"/>
      <c r="Y116" s="180"/>
      <c r="Z116" s="1860"/>
      <c r="AA116" s="180"/>
      <c r="AB116" s="278" t="str">
        <f t="shared" si="7"/>
        <v>2056 год</v>
      </c>
      <c r="AC116" s="102"/>
      <c r="AD116" s="103"/>
      <c r="AE116" s="103"/>
      <c r="AF116" s="102"/>
      <c r="AG116" s="102"/>
      <c r="AH116" s="103"/>
      <c r="AI116" s="102"/>
      <c r="AJ116" s="102"/>
      <c r="AK116" s="104"/>
      <c r="AL116" s="180"/>
      <c r="AM116" s="180"/>
      <c r="AN116" s="1030" cm="1">
        <f t="array" ref="AN116">H116</f>
        <v>2056</v>
      </c>
    </row>
    <row r="117" spans="1:40" s="1586" customFormat="1" ht="16.5" hidden="1" customHeight="1">
      <c r="A117" s="180"/>
      <c r="B117" s="805" t="b">
        <f t="shared" si="6"/>
        <v>0</v>
      </c>
      <c r="C117" s="180"/>
      <c r="D117" s="180"/>
      <c r="E117" s="676">
        <v>17.100000000000001</v>
      </c>
      <c r="F117" s="798" t="str" cm="1">
        <f t="array" ref="F117">F116</f>
        <v>1</v>
      </c>
      <c r="G117" s="180"/>
      <c r="H117" s="178">
        <f>first_year+36</f>
        <v>2057</v>
      </c>
      <c r="I117" s="180"/>
      <c r="J117" s="180"/>
      <c r="K117" s="180"/>
      <c r="L117" s="180"/>
      <c r="M117" s="180"/>
      <c r="N117" s="180"/>
      <c r="O117" s="180"/>
      <c r="P117" s="180"/>
      <c r="Q117" s="180"/>
      <c r="R117" s="180"/>
      <c r="S117" s="180"/>
      <c r="T117" s="687" t="b" cm="1">
        <f t="array" ref="T117">T116</f>
        <v>1</v>
      </c>
      <c r="U117" s="180"/>
      <c r="V117" s="180"/>
      <c r="W117" s="180"/>
      <c r="X117" s="1860"/>
      <c r="Y117" s="180"/>
      <c r="Z117" s="1860"/>
      <c r="AA117" s="180"/>
      <c r="AB117" s="278" t="str">
        <f t="shared" si="7"/>
        <v>2057 год</v>
      </c>
      <c r="AC117" s="102"/>
      <c r="AD117" s="103"/>
      <c r="AE117" s="103"/>
      <c r="AF117" s="102"/>
      <c r="AG117" s="102"/>
      <c r="AH117" s="103"/>
      <c r="AI117" s="102"/>
      <c r="AJ117" s="102"/>
      <c r="AK117" s="104"/>
      <c r="AL117" s="180"/>
      <c r="AM117" s="180"/>
      <c r="AN117" s="1030" cm="1">
        <f t="array" ref="AN117">H117</f>
        <v>2057</v>
      </c>
    </row>
    <row r="118" spans="1:40" s="1587" customFormat="1" ht="16.5" hidden="1" customHeight="1">
      <c r="A118" s="180"/>
      <c r="B118" s="805" t="b">
        <f t="shared" si="6"/>
        <v>0</v>
      </c>
      <c r="C118" s="180"/>
      <c r="D118" s="180"/>
      <c r="E118" s="676">
        <v>17.100000000000001</v>
      </c>
      <c r="F118" s="798" t="str" cm="1">
        <f t="array" ref="F118">F117</f>
        <v>1</v>
      </c>
      <c r="G118" s="180"/>
      <c r="H118" s="178">
        <f>first_year+37</f>
        <v>2058</v>
      </c>
      <c r="I118" s="180"/>
      <c r="J118" s="180"/>
      <c r="K118" s="180"/>
      <c r="L118" s="180"/>
      <c r="M118" s="180"/>
      <c r="N118" s="180"/>
      <c r="O118" s="180"/>
      <c r="P118" s="180"/>
      <c r="Q118" s="180"/>
      <c r="R118" s="180"/>
      <c r="S118" s="180"/>
      <c r="T118" s="687" t="b" cm="1">
        <f t="array" ref="T118">T117</f>
        <v>1</v>
      </c>
      <c r="U118" s="180"/>
      <c r="V118" s="180"/>
      <c r="W118" s="180"/>
      <c r="X118" s="1860"/>
      <c r="Y118" s="180"/>
      <c r="Z118" s="1860"/>
      <c r="AA118" s="180"/>
      <c r="AB118" s="278" t="str">
        <f t="shared" si="7"/>
        <v>2058 год</v>
      </c>
      <c r="AC118" s="102"/>
      <c r="AD118" s="103"/>
      <c r="AE118" s="103"/>
      <c r="AF118" s="102"/>
      <c r="AG118" s="102"/>
      <c r="AH118" s="103"/>
      <c r="AI118" s="102"/>
      <c r="AJ118" s="102"/>
      <c r="AK118" s="104"/>
      <c r="AL118" s="180"/>
      <c r="AM118" s="180"/>
      <c r="AN118" s="1030" cm="1">
        <f t="array" ref="AN118">H118</f>
        <v>2058</v>
      </c>
    </row>
    <row r="119" spans="1:40" s="1588" customFormat="1" ht="16.5" hidden="1" customHeight="1">
      <c r="A119" s="180"/>
      <c r="B119" s="805" t="b">
        <f t="shared" si="6"/>
        <v>0</v>
      </c>
      <c r="C119" s="180"/>
      <c r="D119" s="180"/>
      <c r="E119" s="676">
        <v>17.100000000000001</v>
      </c>
      <c r="F119" s="798" t="str" cm="1">
        <f t="array" ref="F119">F118</f>
        <v>1</v>
      </c>
      <c r="G119" s="180"/>
      <c r="H119" s="178">
        <f>first_year+38</f>
        <v>2059</v>
      </c>
      <c r="I119" s="180"/>
      <c r="J119" s="180"/>
      <c r="K119" s="180"/>
      <c r="L119" s="180"/>
      <c r="M119" s="180"/>
      <c r="N119" s="180"/>
      <c r="O119" s="180"/>
      <c r="P119" s="180"/>
      <c r="Q119" s="180"/>
      <c r="R119" s="180"/>
      <c r="S119" s="180"/>
      <c r="T119" s="687" t="b" cm="1">
        <f t="array" ref="T119">T118</f>
        <v>1</v>
      </c>
      <c r="U119" s="180"/>
      <c r="V119" s="180"/>
      <c r="W119" s="180"/>
      <c r="X119" s="1860"/>
      <c r="Y119" s="180"/>
      <c r="Z119" s="1860"/>
      <c r="AA119" s="180"/>
      <c r="AB119" s="278" t="str">
        <f t="shared" si="7"/>
        <v>2059 год</v>
      </c>
      <c r="AC119" s="102"/>
      <c r="AD119" s="103"/>
      <c r="AE119" s="103"/>
      <c r="AF119" s="102"/>
      <c r="AG119" s="102"/>
      <c r="AH119" s="103"/>
      <c r="AI119" s="102"/>
      <c r="AJ119" s="102"/>
      <c r="AK119" s="104"/>
      <c r="AL119" s="180"/>
      <c r="AM119" s="180"/>
      <c r="AN119" s="1030" cm="1">
        <f t="array" ref="AN119">H119</f>
        <v>2059</v>
      </c>
    </row>
    <row r="120" spans="1:40" s="1589" customFormat="1" ht="16.5" hidden="1" customHeight="1">
      <c r="A120" s="180"/>
      <c r="B120" s="805" t="b">
        <f t="shared" si="6"/>
        <v>0</v>
      </c>
      <c r="C120" s="180"/>
      <c r="D120" s="180"/>
      <c r="E120" s="676">
        <v>17.100000000000001</v>
      </c>
      <c r="F120" s="798" t="str" cm="1">
        <f t="array" ref="F120">F119</f>
        <v>1</v>
      </c>
      <c r="G120" s="180"/>
      <c r="H120" s="178">
        <f>first_year+39</f>
        <v>2060</v>
      </c>
      <c r="I120" s="180"/>
      <c r="J120" s="180"/>
      <c r="K120" s="180"/>
      <c r="L120" s="180"/>
      <c r="M120" s="180"/>
      <c r="N120" s="180"/>
      <c r="O120" s="180"/>
      <c r="P120" s="180"/>
      <c r="Q120" s="180"/>
      <c r="R120" s="180"/>
      <c r="S120" s="180"/>
      <c r="T120" s="687" t="b" cm="1">
        <f t="array" ref="T120">T119</f>
        <v>1</v>
      </c>
      <c r="U120" s="180"/>
      <c r="V120" s="180"/>
      <c r="W120" s="180"/>
      <c r="X120" s="1860"/>
      <c r="Y120" s="180"/>
      <c r="Z120" s="1860"/>
      <c r="AA120" s="180"/>
      <c r="AB120" s="278" t="str">
        <f t="shared" si="7"/>
        <v>2060 год</v>
      </c>
      <c r="AC120" s="102"/>
      <c r="AD120" s="103"/>
      <c r="AE120" s="103"/>
      <c r="AF120" s="102"/>
      <c r="AG120" s="102"/>
      <c r="AH120" s="103"/>
      <c r="AI120" s="102"/>
      <c r="AJ120" s="102"/>
      <c r="AK120" s="104"/>
      <c r="AL120" s="180"/>
      <c r="AM120" s="180"/>
      <c r="AN120" s="1030" cm="1">
        <f t="array" ref="AN120">H120</f>
        <v>2060</v>
      </c>
    </row>
    <row r="121" spans="1:40" s="1590" customFormat="1" ht="16.5" hidden="1" customHeight="1">
      <c r="A121" s="180"/>
      <c r="B121" s="805" t="b">
        <f t="shared" si="6"/>
        <v>0</v>
      </c>
      <c r="C121" s="180"/>
      <c r="D121" s="180"/>
      <c r="E121" s="676">
        <v>17.100000000000001</v>
      </c>
      <c r="F121" s="798" t="str" cm="1">
        <f t="array" ref="F121">F120</f>
        <v>1</v>
      </c>
      <c r="G121" s="180"/>
      <c r="H121" s="178">
        <f>first_year+40</f>
        <v>2061</v>
      </c>
      <c r="I121" s="180"/>
      <c r="J121" s="180"/>
      <c r="K121" s="180"/>
      <c r="L121" s="180"/>
      <c r="M121" s="180"/>
      <c r="N121" s="180"/>
      <c r="O121" s="180"/>
      <c r="P121" s="180"/>
      <c r="Q121" s="180"/>
      <c r="R121" s="180"/>
      <c r="S121" s="180"/>
      <c r="T121" s="687" t="b" cm="1">
        <f t="array" ref="T121">T120</f>
        <v>1</v>
      </c>
      <c r="U121" s="180"/>
      <c r="V121" s="180"/>
      <c r="W121" s="180"/>
      <c r="X121" s="1860"/>
      <c r="Y121" s="180"/>
      <c r="Z121" s="1860"/>
      <c r="AA121" s="180"/>
      <c r="AB121" s="278" t="str">
        <f t="shared" si="7"/>
        <v>2061 год</v>
      </c>
      <c r="AC121" s="102"/>
      <c r="AD121" s="103"/>
      <c r="AE121" s="103"/>
      <c r="AF121" s="102"/>
      <c r="AG121" s="102"/>
      <c r="AH121" s="103"/>
      <c r="AI121" s="102"/>
      <c r="AJ121" s="102"/>
      <c r="AK121" s="104"/>
      <c r="AL121" s="180"/>
      <c r="AM121" s="180"/>
      <c r="AN121" s="1030" cm="1">
        <f t="array" ref="AN121">H121</f>
        <v>2061</v>
      </c>
    </row>
    <row r="122" spans="1:40" s="1591" customFormat="1" ht="16.5" hidden="1" customHeight="1">
      <c r="A122" s="180"/>
      <c r="B122" s="805" t="b">
        <f t="shared" si="6"/>
        <v>0</v>
      </c>
      <c r="C122" s="180"/>
      <c r="D122" s="180"/>
      <c r="E122" s="676">
        <v>17.100000000000001</v>
      </c>
      <c r="F122" s="798" t="str" cm="1">
        <f t="array" ref="F122">F121</f>
        <v>1</v>
      </c>
      <c r="G122" s="180"/>
      <c r="H122" s="178">
        <f>first_year+41</f>
        <v>2062</v>
      </c>
      <c r="I122" s="180"/>
      <c r="J122" s="180"/>
      <c r="K122" s="180"/>
      <c r="L122" s="180"/>
      <c r="M122" s="180"/>
      <c r="N122" s="180"/>
      <c r="O122" s="180"/>
      <c r="P122" s="180"/>
      <c r="Q122" s="180"/>
      <c r="R122" s="180"/>
      <c r="S122" s="180"/>
      <c r="T122" s="687" t="b" cm="1">
        <f t="array" ref="T122">T121</f>
        <v>1</v>
      </c>
      <c r="U122" s="180"/>
      <c r="V122" s="180"/>
      <c r="W122" s="180"/>
      <c r="X122" s="1860"/>
      <c r="Y122" s="180"/>
      <c r="Z122" s="1860"/>
      <c r="AA122" s="180"/>
      <c r="AB122" s="278" t="str">
        <f t="shared" si="7"/>
        <v>2062 год</v>
      </c>
      <c r="AC122" s="102"/>
      <c r="AD122" s="103"/>
      <c r="AE122" s="103"/>
      <c r="AF122" s="102"/>
      <c r="AG122" s="102"/>
      <c r="AH122" s="103"/>
      <c r="AI122" s="102"/>
      <c r="AJ122" s="102"/>
      <c r="AK122" s="104"/>
      <c r="AL122" s="180"/>
      <c r="AM122" s="180"/>
      <c r="AN122" s="1030" cm="1">
        <f t="array" ref="AN122">H122</f>
        <v>2062</v>
      </c>
    </row>
    <row r="123" spans="1:40" s="1592" customFormat="1" ht="16.5" hidden="1" customHeight="1">
      <c r="A123" s="180"/>
      <c r="B123" s="805" t="b">
        <f t="shared" si="6"/>
        <v>0</v>
      </c>
      <c r="C123" s="180"/>
      <c r="D123" s="180"/>
      <c r="E123" s="676">
        <v>17.100000000000001</v>
      </c>
      <c r="F123" s="798" t="str" cm="1">
        <f t="array" ref="F123">F122</f>
        <v>1</v>
      </c>
      <c r="G123" s="180"/>
      <c r="H123" s="178">
        <f>first_year+42</f>
        <v>2063</v>
      </c>
      <c r="I123" s="180"/>
      <c r="J123" s="180"/>
      <c r="K123" s="180"/>
      <c r="L123" s="180"/>
      <c r="M123" s="180"/>
      <c r="N123" s="180"/>
      <c r="O123" s="180"/>
      <c r="P123" s="180"/>
      <c r="Q123" s="180"/>
      <c r="R123" s="180"/>
      <c r="S123" s="180"/>
      <c r="T123" s="687" t="b" cm="1">
        <f t="array" ref="T123">T122</f>
        <v>1</v>
      </c>
      <c r="U123" s="180"/>
      <c r="V123" s="180"/>
      <c r="W123" s="180"/>
      <c r="X123" s="1860"/>
      <c r="Y123" s="180"/>
      <c r="Z123" s="1860"/>
      <c r="AA123" s="180"/>
      <c r="AB123" s="278" t="str">
        <f t="shared" si="7"/>
        <v>2063 год</v>
      </c>
      <c r="AC123" s="102"/>
      <c r="AD123" s="103"/>
      <c r="AE123" s="103"/>
      <c r="AF123" s="102"/>
      <c r="AG123" s="102"/>
      <c r="AH123" s="103"/>
      <c r="AI123" s="102"/>
      <c r="AJ123" s="102"/>
      <c r="AK123" s="104"/>
      <c r="AL123" s="180"/>
      <c r="AM123" s="180"/>
      <c r="AN123" s="1030" cm="1">
        <f t="array" ref="AN123">H123</f>
        <v>2063</v>
      </c>
    </row>
    <row r="124" spans="1:40" s="1593" customFormat="1" ht="16.5" hidden="1" customHeight="1">
      <c r="A124" s="180"/>
      <c r="B124" s="805" t="b">
        <f t="shared" si="6"/>
        <v>0</v>
      </c>
      <c r="C124" s="180"/>
      <c r="D124" s="180"/>
      <c r="E124" s="676">
        <v>17.100000000000001</v>
      </c>
      <c r="F124" s="798" t="str" cm="1">
        <f t="array" ref="F124">F123</f>
        <v>1</v>
      </c>
      <c r="G124" s="180"/>
      <c r="H124" s="178">
        <f>first_year+43</f>
        <v>2064</v>
      </c>
      <c r="I124" s="180"/>
      <c r="J124" s="180"/>
      <c r="K124" s="180"/>
      <c r="L124" s="180"/>
      <c r="M124" s="180"/>
      <c r="N124" s="180"/>
      <c r="O124" s="180"/>
      <c r="P124" s="180"/>
      <c r="Q124" s="180"/>
      <c r="R124" s="180"/>
      <c r="S124" s="180"/>
      <c r="T124" s="687" t="b" cm="1">
        <f t="array" ref="T124">T123</f>
        <v>1</v>
      </c>
      <c r="U124" s="180"/>
      <c r="V124" s="180"/>
      <c r="W124" s="180"/>
      <c r="X124" s="1860"/>
      <c r="Y124" s="180"/>
      <c r="Z124" s="1860"/>
      <c r="AA124" s="180"/>
      <c r="AB124" s="278" t="str">
        <f t="shared" si="7"/>
        <v>2064 год</v>
      </c>
      <c r="AC124" s="102"/>
      <c r="AD124" s="103"/>
      <c r="AE124" s="103"/>
      <c r="AF124" s="102"/>
      <c r="AG124" s="102"/>
      <c r="AH124" s="103"/>
      <c r="AI124" s="102"/>
      <c r="AJ124" s="102"/>
      <c r="AK124" s="104"/>
      <c r="AL124" s="180"/>
      <c r="AM124" s="180"/>
      <c r="AN124" s="1030" cm="1">
        <f t="array" ref="AN124">H124</f>
        <v>2064</v>
      </c>
    </row>
    <row r="125" spans="1:40" s="1594" customFormat="1" ht="16.5" hidden="1" customHeight="1">
      <c r="A125" s="180"/>
      <c r="B125" s="805" t="b">
        <f t="shared" si="6"/>
        <v>0</v>
      </c>
      <c r="C125" s="180"/>
      <c r="D125" s="180"/>
      <c r="E125" s="676">
        <v>17.100000000000001</v>
      </c>
      <c r="F125" s="798" t="str" cm="1">
        <f t="array" ref="F125">F124</f>
        <v>1</v>
      </c>
      <c r="G125" s="180"/>
      <c r="H125" s="178">
        <f>first_year+44</f>
        <v>2065</v>
      </c>
      <c r="I125" s="180"/>
      <c r="J125" s="180"/>
      <c r="K125" s="180"/>
      <c r="L125" s="180"/>
      <c r="M125" s="180"/>
      <c r="N125" s="180"/>
      <c r="O125" s="180"/>
      <c r="P125" s="180"/>
      <c r="Q125" s="180"/>
      <c r="R125" s="180"/>
      <c r="S125" s="180"/>
      <c r="T125" s="687" t="b" cm="1">
        <f t="array" ref="T125">T124</f>
        <v>1</v>
      </c>
      <c r="U125" s="180"/>
      <c r="V125" s="180"/>
      <c r="W125" s="180"/>
      <c r="X125" s="1860"/>
      <c r="Y125" s="180"/>
      <c r="Z125" s="1860"/>
      <c r="AA125" s="180"/>
      <c r="AB125" s="278" t="str">
        <f t="shared" si="7"/>
        <v>2065 год</v>
      </c>
      <c r="AC125" s="102"/>
      <c r="AD125" s="103"/>
      <c r="AE125" s="103"/>
      <c r="AF125" s="102"/>
      <c r="AG125" s="102"/>
      <c r="AH125" s="103"/>
      <c r="AI125" s="102"/>
      <c r="AJ125" s="102"/>
      <c r="AK125" s="104"/>
      <c r="AL125" s="180"/>
      <c r="AM125" s="180"/>
      <c r="AN125" s="1030" cm="1">
        <f t="array" ref="AN125">H125</f>
        <v>2065</v>
      </c>
    </row>
    <row r="126" spans="1:40" s="1595" customFormat="1" ht="16.5" hidden="1" customHeight="1">
      <c r="A126" s="180"/>
      <c r="B126" s="805" t="b">
        <f t="shared" si="6"/>
        <v>0</v>
      </c>
      <c r="C126" s="180"/>
      <c r="D126" s="180"/>
      <c r="E126" s="676">
        <v>17.100000000000001</v>
      </c>
      <c r="F126" s="798" t="str" cm="1">
        <f t="array" ref="F126">F125</f>
        <v>1</v>
      </c>
      <c r="G126" s="180"/>
      <c r="H126" s="178">
        <f>first_year+45</f>
        <v>2066</v>
      </c>
      <c r="I126" s="180"/>
      <c r="J126" s="180"/>
      <c r="K126" s="180"/>
      <c r="L126" s="180"/>
      <c r="M126" s="180"/>
      <c r="N126" s="180"/>
      <c r="O126" s="180"/>
      <c r="P126" s="180"/>
      <c r="Q126" s="180"/>
      <c r="R126" s="180"/>
      <c r="S126" s="180"/>
      <c r="T126" s="687" t="b" cm="1">
        <f t="array" ref="T126">T125</f>
        <v>1</v>
      </c>
      <c r="U126" s="180"/>
      <c r="V126" s="180"/>
      <c r="W126" s="180"/>
      <c r="X126" s="1860"/>
      <c r="Y126" s="180"/>
      <c r="Z126" s="1860"/>
      <c r="AA126" s="180"/>
      <c r="AB126" s="278" t="str">
        <f t="shared" si="7"/>
        <v>2066 год</v>
      </c>
      <c r="AC126" s="102"/>
      <c r="AD126" s="103"/>
      <c r="AE126" s="103"/>
      <c r="AF126" s="102"/>
      <c r="AG126" s="102"/>
      <c r="AH126" s="103"/>
      <c r="AI126" s="102"/>
      <c r="AJ126" s="102"/>
      <c r="AK126" s="104"/>
      <c r="AL126" s="180"/>
      <c r="AM126" s="180"/>
      <c r="AN126" s="1030" cm="1">
        <f t="array" ref="AN126">H126</f>
        <v>2066</v>
      </c>
    </row>
    <row r="127" spans="1:40" s="1596" customFormat="1" ht="16.5" hidden="1" customHeight="1">
      <c r="A127" s="180"/>
      <c r="B127" s="805" t="b">
        <f t="shared" si="6"/>
        <v>0</v>
      </c>
      <c r="C127" s="180"/>
      <c r="D127" s="180"/>
      <c r="E127" s="676">
        <v>17.100000000000001</v>
      </c>
      <c r="F127" s="798" t="str" cm="1">
        <f t="array" ref="F127">F126</f>
        <v>1</v>
      </c>
      <c r="G127" s="180"/>
      <c r="H127" s="178">
        <f>first_year+46</f>
        <v>2067</v>
      </c>
      <c r="I127" s="180"/>
      <c r="J127" s="180"/>
      <c r="K127" s="180"/>
      <c r="L127" s="180"/>
      <c r="M127" s="180"/>
      <c r="N127" s="180"/>
      <c r="O127" s="180"/>
      <c r="P127" s="180"/>
      <c r="Q127" s="180"/>
      <c r="R127" s="180"/>
      <c r="S127" s="180"/>
      <c r="T127" s="687" t="b" cm="1">
        <f t="array" ref="T127">T126</f>
        <v>1</v>
      </c>
      <c r="U127" s="180"/>
      <c r="V127" s="180"/>
      <c r="W127" s="180"/>
      <c r="X127" s="1860"/>
      <c r="Y127" s="180"/>
      <c r="Z127" s="1860"/>
      <c r="AA127" s="180"/>
      <c r="AB127" s="278" t="str">
        <f t="shared" si="7"/>
        <v>2067 год</v>
      </c>
      <c r="AC127" s="102"/>
      <c r="AD127" s="103"/>
      <c r="AE127" s="103"/>
      <c r="AF127" s="102"/>
      <c r="AG127" s="102"/>
      <c r="AH127" s="103"/>
      <c r="AI127" s="102"/>
      <c r="AJ127" s="102"/>
      <c r="AK127" s="104"/>
      <c r="AL127" s="180"/>
      <c r="AM127" s="180"/>
      <c r="AN127" s="1030" cm="1">
        <f t="array" ref="AN127">H127</f>
        <v>2067</v>
      </c>
    </row>
    <row r="128" spans="1:40" s="1597" customFormat="1" ht="16.5" hidden="1" customHeight="1">
      <c r="A128" s="180"/>
      <c r="B128" s="805" t="b">
        <f t="shared" si="6"/>
        <v>0</v>
      </c>
      <c r="C128" s="180"/>
      <c r="D128" s="180"/>
      <c r="E128" s="676">
        <v>17.100000000000001</v>
      </c>
      <c r="F128" s="798" t="str" cm="1">
        <f t="array" ref="F128">F127</f>
        <v>1</v>
      </c>
      <c r="G128" s="180"/>
      <c r="H128" s="178">
        <f>first_year+47</f>
        <v>2068</v>
      </c>
      <c r="I128" s="180"/>
      <c r="J128" s="180"/>
      <c r="K128" s="180"/>
      <c r="L128" s="180"/>
      <c r="M128" s="180"/>
      <c r="N128" s="180"/>
      <c r="O128" s="180"/>
      <c r="P128" s="180"/>
      <c r="Q128" s="180"/>
      <c r="R128" s="180"/>
      <c r="S128" s="180"/>
      <c r="T128" s="687" t="b" cm="1">
        <f t="array" ref="T128">T127</f>
        <v>1</v>
      </c>
      <c r="U128" s="180"/>
      <c r="V128" s="180"/>
      <c r="W128" s="180"/>
      <c r="X128" s="1860"/>
      <c r="Y128" s="180"/>
      <c r="Z128" s="1860"/>
      <c r="AA128" s="180"/>
      <c r="AB128" s="278" t="str">
        <f t="shared" si="7"/>
        <v>2068 год</v>
      </c>
      <c r="AC128" s="102"/>
      <c r="AD128" s="103"/>
      <c r="AE128" s="103"/>
      <c r="AF128" s="102"/>
      <c r="AG128" s="102"/>
      <c r="AH128" s="103"/>
      <c r="AI128" s="102"/>
      <c r="AJ128" s="102"/>
      <c r="AK128" s="104"/>
      <c r="AL128" s="180"/>
      <c r="AM128" s="180"/>
      <c r="AN128" s="1030" cm="1">
        <f t="array" ref="AN128">H128</f>
        <v>2068</v>
      </c>
    </row>
    <row r="129" spans="1:40" s="1598" customFormat="1" ht="16.5" hidden="1" customHeight="1">
      <c r="A129" s="180"/>
      <c r="B129" s="805" t="b">
        <f t="shared" si="6"/>
        <v>0</v>
      </c>
      <c r="C129" s="180"/>
      <c r="D129" s="180"/>
      <c r="E129" s="676">
        <v>17.100000000000001</v>
      </c>
      <c r="F129" s="798" t="str" cm="1">
        <f t="array" ref="F129">F128</f>
        <v>1</v>
      </c>
      <c r="G129" s="180"/>
      <c r="H129" s="178">
        <f>first_year+48</f>
        <v>2069</v>
      </c>
      <c r="I129" s="180"/>
      <c r="J129" s="180"/>
      <c r="K129" s="180"/>
      <c r="L129" s="180"/>
      <c r="M129" s="180"/>
      <c r="N129" s="180"/>
      <c r="O129" s="180"/>
      <c r="P129" s="180"/>
      <c r="Q129" s="180"/>
      <c r="R129" s="180"/>
      <c r="S129" s="180"/>
      <c r="T129" s="687" t="b" cm="1">
        <f t="array" ref="T129">T128</f>
        <v>1</v>
      </c>
      <c r="U129" s="180"/>
      <c r="V129" s="180"/>
      <c r="W129" s="180"/>
      <c r="X129" s="1860"/>
      <c r="Y129" s="180"/>
      <c r="Z129" s="1860"/>
      <c r="AA129" s="180"/>
      <c r="AB129" s="278" t="str">
        <f t="shared" si="7"/>
        <v>2069 год</v>
      </c>
      <c r="AC129" s="102"/>
      <c r="AD129" s="103"/>
      <c r="AE129" s="103"/>
      <c r="AF129" s="102"/>
      <c r="AG129" s="102"/>
      <c r="AH129" s="103"/>
      <c r="AI129" s="102"/>
      <c r="AJ129" s="102"/>
      <c r="AK129" s="104"/>
      <c r="AL129" s="180"/>
      <c r="AM129" s="180"/>
      <c r="AN129" s="1030" cm="1">
        <f t="array" ref="AN129">H129</f>
        <v>2069</v>
      </c>
    </row>
    <row r="130" spans="1:40" s="1599" customFormat="1" ht="16.5" hidden="1" customHeight="1">
      <c r="A130" s="180"/>
      <c r="B130" s="805" t="b">
        <f t="shared" si="6"/>
        <v>0</v>
      </c>
      <c r="C130" s="180"/>
      <c r="D130" s="180"/>
      <c r="E130" s="676">
        <v>17.100000000000001</v>
      </c>
      <c r="F130" s="798" t="str" cm="1">
        <f t="array" ref="F130">F129</f>
        <v>1</v>
      </c>
      <c r="G130" s="180"/>
      <c r="H130" s="178">
        <f>first_year+49</f>
        <v>2070</v>
      </c>
      <c r="I130" s="180"/>
      <c r="J130" s="180"/>
      <c r="K130" s="180"/>
      <c r="L130" s="180"/>
      <c r="M130" s="180"/>
      <c r="N130" s="180"/>
      <c r="O130" s="180"/>
      <c r="P130" s="180"/>
      <c r="Q130" s="180"/>
      <c r="R130" s="180"/>
      <c r="S130" s="180"/>
      <c r="T130" s="687" t="b" cm="1">
        <f t="array" ref="T130">T129</f>
        <v>1</v>
      </c>
      <c r="U130" s="180"/>
      <c r="V130" s="180"/>
      <c r="W130" s="180"/>
      <c r="X130" s="1860"/>
      <c r="Y130" s="180"/>
      <c r="Z130" s="1860"/>
      <c r="AA130" s="180"/>
      <c r="AB130" s="278" t="str">
        <f t="shared" si="7"/>
        <v>2070 год</v>
      </c>
      <c r="AC130" s="102"/>
      <c r="AD130" s="103"/>
      <c r="AE130" s="103"/>
      <c r="AF130" s="102"/>
      <c r="AG130" s="102"/>
      <c r="AH130" s="103"/>
      <c r="AI130" s="102"/>
      <c r="AJ130" s="102"/>
      <c r="AK130" s="104"/>
      <c r="AL130" s="180"/>
      <c r="AM130" s="180"/>
      <c r="AN130" s="1030" cm="1">
        <f t="array" ref="AN130">H130</f>
        <v>2070</v>
      </c>
    </row>
    <row r="131" spans="1:40" s="1600" customFormat="1" ht="16.5" customHeight="1">
      <c r="A131" s="170"/>
      <c r="B131" s="170"/>
      <c r="C131" s="170"/>
      <c r="D131" s="170"/>
      <c r="E131" s="676">
        <v>17.100000000000001</v>
      </c>
      <c r="F131" s="779" t="str" cm="1">
        <f t="array" ref="F131">X131</f>
        <v>2</v>
      </c>
      <c r="G131" s="170"/>
      <c r="H131" s="170"/>
      <c r="I131" s="170"/>
      <c r="J131" s="170"/>
      <c r="K131" s="170"/>
      <c r="L131" s="170"/>
      <c r="M131" s="170"/>
      <c r="N131" s="170"/>
      <c r="O131" s="170"/>
      <c r="P131" s="170"/>
      <c r="Q131" s="170"/>
      <c r="R131" s="170"/>
      <c r="S131" s="170"/>
      <c r="T131" s="687" t="b">
        <f>X131&gt;0</f>
        <v>1</v>
      </c>
      <c r="U131" s="170"/>
      <c r="V131" s="126" t="str" cm="1">
        <f t="array" ref="V131">ТМ!$AB$120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31" s="170"/>
      <c r="X131" s="1726" t="s">
        <v>348</v>
      </c>
      <c r="Y131" s="170"/>
      <c r="Z131" s="1724"/>
      <c r="AA131" s="170"/>
      <c r="AB131" s="266" t="str" cm="1">
        <f t="array" ref="AB131">IF(ISBLANK(ТМ!$AB$120),"",ТМ!$AB$120)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1" s="267"/>
      <c r="AD131" s="267"/>
      <c r="AE131" s="267"/>
      <c r="AF131" s="267"/>
      <c r="AG131" s="267"/>
      <c r="AH131" s="267"/>
      <c r="AI131" s="267"/>
      <c r="AJ131" s="267"/>
      <c r="AK131" s="454"/>
      <c r="AL131" s="170"/>
      <c r="AM131" s="170"/>
      <c r="AN131" s="954"/>
    </row>
    <row r="132" spans="1:40" s="1601" customFormat="1" ht="16.5" customHeight="1">
      <c r="A132" s="180"/>
      <c r="B132" s="805" t="b">
        <f t="shared" ref="B132:B163" si="8">H132&lt;first_year+PERIOD_LENGTH</f>
        <v>1</v>
      </c>
      <c r="C132" s="180"/>
      <c r="D132" s="180"/>
      <c r="E132" s="676">
        <v>17.100000000000001</v>
      </c>
      <c r="F132" s="798" t="str" cm="1">
        <f t="array" ref="F132">F131</f>
        <v>2</v>
      </c>
      <c r="G132" s="143" t="s">
        <v>1350</v>
      </c>
      <c r="H132" s="178" cm="1">
        <f t="array" ref="H132">first_year</f>
        <v>2021</v>
      </c>
      <c r="I132" s="180"/>
      <c r="J132" s="180"/>
      <c r="K132" s="180"/>
      <c r="L132" s="180"/>
      <c r="M132" s="180"/>
      <c r="N132" s="180"/>
      <c r="O132" s="180"/>
      <c r="P132" s="180"/>
      <c r="Q132" s="180"/>
      <c r="R132" s="180"/>
      <c r="S132" s="180"/>
      <c r="T132" s="687" t="b" cm="1">
        <f t="array" ref="T132">T131</f>
        <v>1</v>
      </c>
      <c r="U132" s="180"/>
      <c r="V132" s="180"/>
      <c r="W132" s="180"/>
      <c r="X132" s="1860"/>
      <c r="Y132" s="180"/>
      <c r="Z132" s="1860"/>
      <c r="AA132" s="180"/>
      <c r="AB132" s="278" t="str">
        <f t="shared" ref="AB132:AB163" si="9">H132&amp;" год"</f>
        <v>2021 год</v>
      </c>
      <c r="AC132" s="1549" t="str">
        <f>IF(god=first_year,SUMIFS('Калькуляция (5.9)'!AT$26:AT$194,'Калькуляция (5.9)'!$F$26:$F$194,$F132,'Калькуляция (5.9)'!$G$26:$G$194,$G132),"")</f>
        <v/>
      </c>
      <c r="AD132" s="1289"/>
      <c r="AE132" s="1550"/>
      <c r="AF132" s="1549"/>
      <c r="AG132" s="1549"/>
      <c r="AH132" s="1550"/>
      <c r="AI132" s="1549"/>
      <c r="AJ132" s="1549"/>
      <c r="AK132" s="104"/>
      <c r="AL132" s="180"/>
      <c r="AM132" s="180"/>
      <c r="AN132" s="1030" cm="1">
        <f t="array" ref="AN132">H132</f>
        <v>2021</v>
      </c>
    </row>
    <row r="133" spans="1:40" s="1602" customFormat="1" ht="16.5" customHeight="1">
      <c r="A133" s="180"/>
      <c r="B133" s="805" t="b">
        <f t="shared" si="8"/>
        <v>1</v>
      </c>
      <c r="C133" s="180"/>
      <c r="D133" s="180"/>
      <c r="E133" s="676">
        <v>17.100000000000001</v>
      </c>
      <c r="F133" s="798" t="str" cm="1">
        <f t="array" ref="F133">F132</f>
        <v>2</v>
      </c>
      <c r="G133" s="180"/>
      <c r="H133" s="178">
        <f>first_year+1</f>
        <v>2022</v>
      </c>
      <c r="I133" s="180"/>
      <c r="J133" s="180"/>
      <c r="K133" s="180"/>
      <c r="L133" s="180"/>
      <c r="M133" s="180"/>
      <c r="N133" s="180"/>
      <c r="O133" s="180"/>
      <c r="P133" s="180"/>
      <c r="Q133" s="180"/>
      <c r="R133" s="180"/>
      <c r="S133" s="180"/>
      <c r="T133" s="687" t="b" cm="1">
        <f t="array" ref="T133">T132</f>
        <v>1</v>
      </c>
      <c r="U133" s="180"/>
      <c r="V133" s="180"/>
      <c r="W133" s="180"/>
      <c r="X133" s="1860"/>
      <c r="Y133" s="180"/>
      <c r="Z133" s="1860"/>
      <c r="AA133" s="180"/>
      <c r="AB133" s="278" t="str">
        <f t="shared" si="9"/>
        <v>2022 год</v>
      </c>
      <c r="AC133" s="1549"/>
      <c r="AD133" s="1289">
        <f>IFERROR(SUMIFS(INDEX('Операционные (5.2)'!$AT$26:$BC$54,,MATCH($H133,'Операционные (5.2)'!$AT$6:$BC$6,0)),'Операционные (5.2)'!$F$26:$F$54,$F133,'Операционные (5.2)'!$G$26:$G$54,"ИОР"),0)</f>
        <v>0</v>
      </c>
      <c r="AE133" s="1550"/>
      <c r="AF133" s="1549"/>
      <c r="AG133" s="1549"/>
      <c r="AH133" s="1550"/>
      <c r="AI133" s="1549"/>
      <c r="AJ133" s="1549"/>
      <c r="AK133" s="104"/>
      <c r="AL133" s="180"/>
      <c r="AM133" s="180"/>
      <c r="AN133" s="1030" cm="1">
        <f t="array" ref="AN133">H133</f>
        <v>2022</v>
      </c>
    </row>
    <row r="134" spans="1:40" s="1603" customFormat="1" ht="16.5" customHeight="1">
      <c r="A134" s="180"/>
      <c r="B134" s="805" t="b">
        <f t="shared" si="8"/>
        <v>1</v>
      </c>
      <c r="C134" s="180"/>
      <c r="D134" s="180"/>
      <c r="E134" s="676">
        <v>17.100000000000001</v>
      </c>
      <c r="F134" s="798" t="str" cm="1">
        <f t="array" ref="F134">F133</f>
        <v>2</v>
      </c>
      <c r="G134" s="180"/>
      <c r="H134" s="178">
        <f>first_year+2</f>
        <v>2023</v>
      </c>
      <c r="I134" s="180"/>
      <c r="J134" s="180"/>
      <c r="K134" s="180"/>
      <c r="L134" s="180"/>
      <c r="M134" s="180"/>
      <c r="N134" s="180"/>
      <c r="O134" s="180"/>
      <c r="P134" s="180"/>
      <c r="Q134" s="180"/>
      <c r="R134" s="180"/>
      <c r="S134" s="180"/>
      <c r="T134" s="687" t="b" cm="1">
        <f t="array" ref="T134">T133</f>
        <v>1</v>
      </c>
      <c r="U134" s="180"/>
      <c r="V134" s="180"/>
      <c r="W134" s="180"/>
      <c r="X134" s="1860"/>
      <c r="Y134" s="180"/>
      <c r="Z134" s="1860"/>
      <c r="AA134" s="180"/>
      <c r="AB134" s="278" t="str">
        <f t="shared" si="9"/>
        <v>2023 год</v>
      </c>
      <c r="AC134" s="1549"/>
      <c r="AD134" s="1289">
        <f>IFERROR(SUMIFS(INDEX('Операционные (5.2)'!$AT$26:$BC$54,,MATCH($H134,'Операционные (5.2)'!$AT$6:$BC$6,0)),'Операционные (5.2)'!$F$26:$F$54,$F134,'Операционные (5.2)'!$G$26:$G$54,"ИОР"),0)</f>
        <v>0</v>
      </c>
      <c r="AE134" s="1550"/>
      <c r="AF134" s="1549"/>
      <c r="AG134" s="1549"/>
      <c r="AH134" s="1550"/>
      <c r="AI134" s="1549"/>
      <c r="AJ134" s="1549"/>
      <c r="AK134" s="104"/>
      <c r="AL134" s="180"/>
      <c r="AM134" s="180"/>
      <c r="AN134" s="1030" cm="1">
        <f t="array" ref="AN134">H134</f>
        <v>2023</v>
      </c>
    </row>
    <row r="135" spans="1:40" s="1604" customFormat="1" ht="16.5" customHeight="1">
      <c r="A135" s="180"/>
      <c r="B135" s="805" t="b">
        <f t="shared" si="8"/>
        <v>1</v>
      </c>
      <c r="C135" s="180"/>
      <c r="D135" s="180"/>
      <c r="E135" s="676">
        <v>17.100000000000001</v>
      </c>
      <c r="F135" s="798" t="str" cm="1">
        <f t="array" ref="F135">F134</f>
        <v>2</v>
      </c>
      <c r="G135" s="180"/>
      <c r="H135" s="178">
        <f>first_year+3</f>
        <v>2024</v>
      </c>
      <c r="I135" s="180"/>
      <c r="J135" s="180"/>
      <c r="K135" s="180"/>
      <c r="L135" s="180"/>
      <c r="M135" s="180"/>
      <c r="N135" s="180"/>
      <c r="O135" s="180"/>
      <c r="P135" s="180"/>
      <c r="Q135" s="180"/>
      <c r="R135" s="180"/>
      <c r="S135" s="180"/>
      <c r="T135" s="687" t="b" cm="1">
        <f t="array" ref="T135">T134</f>
        <v>1</v>
      </c>
      <c r="U135" s="180"/>
      <c r="V135" s="180"/>
      <c r="W135" s="180"/>
      <c r="X135" s="1860"/>
      <c r="Y135" s="180"/>
      <c r="Z135" s="1860"/>
      <c r="AA135" s="180"/>
      <c r="AB135" s="278" t="str">
        <f t="shared" si="9"/>
        <v>2024 год</v>
      </c>
      <c r="AC135" s="1549"/>
      <c r="AD135" s="1289">
        <f>IFERROR(SUMIFS(INDEX('Операционные (5.2)'!$AT$26:$BC$54,,MATCH($H135,'Операционные (5.2)'!$AT$6:$BC$6,0)),'Операционные (5.2)'!$F$26:$F$54,$F135,'Операционные (5.2)'!$G$26:$G$54,"ИОР"),0)</f>
        <v>0</v>
      </c>
      <c r="AE135" s="1550"/>
      <c r="AF135" s="1549"/>
      <c r="AG135" s="1549"/>
      <c r="AH135" s="1550"/>
      <c r="AI135" s="1549"/>
      <c r="AJ135" s="1549"/>
      <c r="AK135" s="104"/>
      <c r="AL135" s="180"/>
      <c r="AM135" s="180"/>
      <c r="AN135" s="1030" cm="1">
        <f t="array" ref="AN135">H135</f>
        <v>2024</v>
      </c>
    </row>
    <row r="136" spans="1:40" s="1605" customFormat="1" ht="16.5" customHeight="1">
      <c r="A136" s="180"/>
      <c r="B136" s="805" t="b">
        <f t="shared" si="8"/>
        <v>1</v>
      </c>
      <c r="C136" s="180"/>
      <c r="D136" s="180"/>
      <c r="E136" s="676">
        <v>17.100000000000001</v>
      </c>
      <c r="F136" s="798" t="str" cm="1">
        <f t="array" ref="F136">F135</f>
        <v>2</v>
      </c>
      <c r="G136" s="180"/>
      <c r="H136" s="178">
        <f>first_year+4</f>
        <v>2025</v>
      </c>
      <c r="I136" s="180"/>
      <c r="J136" s="180"/>
      <c r="K136" s="180"/>
      <c r="L136" s="180"/>
      <c r="M136" s="180"/>
      <c r="N136" s="180"/>
      <c r="O136" s="180"/>
      <c r="P136" s="180"/>
      <c r="Q136" s="180"/>
      <c r="R136" s="180"/>
      <c r="S136" s="180"/>
      <c r="T136" s="687" t="b" cm="1">
        <f t="array" ref="T136">T135</f>
        <v>1</v>
      </c>
      <c r="U136" s="180"/>
      <c r="V136" s="180"/>
      <c r="W136" s="180"/>
      <c r="X136" s="1860"/>
      <c r="Y136" s="180"/>
      <c r="Z136" s="1860"/>
      <c r="AA136" s="180"/>
      <c r="AB136" s="278" t="str">
        <f t="shared" si="9"/>
        <v>2025 год</v>
      </c>
      <c r="AC136" s="1549"/>
      <c r="AD136" s="1289">
        <f>IFERROR(SUMIFS(INDEX('Операционные (5.2)'!$AT$26:$BC$54,,MATCH($H136,'Операционные (5.2)'!$AT$6:$BC$6,0)),'Операционные (5.2)'!$F$26:$F$54,$F136,'Операционные (5.2)'!$G$26:$G$54,"ИОР"),0)</f>
        <v>0</v>
      </c>
      <c r="AE136" s="1550"/>
      <c r="AF136" s="1549"/>
      <c r="AG136" s="1549"/>
      <c r="AH136" s="1550"/>
      <c r="AI136" s="1549"/>
      <c r="AJ136" s="1549"/>
      <c r="AK136" s="104"/>
      <c r="AL136" s="180"/>
      <c r="AM136" s="180"/>
      <c r="AN136" s="1030" cm="1">
        <f t="array" ref="AN136">H136</f>
        <v>2025</v>
      </c>
    </row>
    <row r="137" spans="1:40" s="1606" customFormat="1" ht="16.5" customHeight="1">
      <c r="A137" s="180"/>
      <c r="B137" s="805" t="b">
        <f t="shared" si="8"/>
        <v>1</v>
      </c>
      <c r="C137" s="180"/>
      <c r="D137" s="180"/>
      <c r="E137" s="676">
        <v>17.100000000000001</v>
      </c>
      <c r="F137" s="798" t="str" cm="1">
        <f t="array" ref="F137">F136</f>
        <v>2</v>
      </c>
      <c r="G137" s="180"/>
      <c r="H137" s="178">
        <f>first_year+5</f>
        <v>2026</v>
      </c>
      <c r="I137" s="180"/>
      <c r="J137" s="180"/>
      <c r="K137" s="180"/>
      <c r="L137" s="180"/>
      <c r="M137" s="180"/>
      <c r="N137" s="180"/>
      <c r="O137" s="180"/>
      <c r="P137" s="180"/>
      <c r="Q137" s="180"/>
      <c r="R137" s="180"/>
      <c r="S137" s="180"/>
      <c r="T137" s="687" t="b" cm="1">
        <f t="array" ref="T137">T136</f>
        <v>1</v>
      </c>
      <c r="U137" s="180"/>
      <c r="V137" s="180"/>
      <c r="W137" s="180"/>
      <c r="X137" s="1860"/>
      <c r="Y137" s="180"/>
      <c r="Z137" s="1860"/>
      <c r="AA137" s="180"/>
      <c r="AB137" s="278" t="str">
        <f t="shared" si="9"/>
        <v>2026 год</v>
      </c>
      <c r="AC137" s="1549"/>
      <c r="AD137" s="1289">
        <f ca="1">IFERROR(SUMIFS(INDEX('Операционные (5.2)'!$AT$26:$BC$54,,MATCH($H137,'Операционные (5.2)'!$AT$6:$BC$6,0)),'Операционные (5.2)'!$F$26:$F$54,$F137,'Операционные (5.2)'!$G$26:$G$54,"ИОР"),0)</f>
        <v>1</v>
      </c>
      <c r="AE137" s="1550"/>
      <c r="AF137" s="1549"/>
      <c r="AG137" s="1549"/>
      <c r="AH137" s="1550"/>
      <c r="AI137" s="1549"/>
      <c r="AJ137" s="1549"/>
      <c r="AK137" s="104">
        <f>IFERROR(SUMIFS(INDEX('Баланс Пр'!$AE$26:$BB$232,,MATCH($H137&amp;"Принято органом регулирования",'Баланс Пр'!$AE$8:$BB$8,0)),'Баланс Пр'!$Q$26:$Q$232,$F137,'Баланс Пр'!$AC$26:$AC$232,"Уровень потерь воды"),0)</f>
        <v>0</v>
      </c>
      <c r="AL137" s="180"/>
      <c r="AM137" s="180"/>
      <c r="AN137" s="1030" cm="1">
        <f t="array" ref="AN137">H137</f>
        <v>2026</v>
      </c>
    </row>
    <row r="138" spans="1:40" s="1607" customFormat="1" ht="16.5" customHeight="1">
      <c r="A138" s="180"/>
      <c r="B138" s="805" t="b">
        <f t="shared" si="8"/>
        <v>1</v>
      </c>
      <c r="C138" s="180"/>
      <c r="D138" s="180"/>
      <c r="E138" s="676">
        <v>17.100000000000001</v>
      </c>
      <c r="F138" s="798" t="str" cm="1">
        <f t="array" ref="F138">F137</f>
        <v>2</v>
      </c>
      <c r="G138" s="180"/>
      <c r="H138" s="178">
        <f>first_year+6</f>
        <v>2027</v>
      </c>
      <c r="I138" s="180"/>
      <c r="J138" s="180"/>
      <c r="K138" s="180"/>
      <c r="L138" s="180"/>
      <c r="M138" s="180"/>
      <c r="N138" s="180"/>
      <c r="O138" s="180"/>
      <c r="P138" s="180"/>
      <c r="Q138" s="180"/>
      <c r="R138" s="180"/>
      <c r="S138" s="180"/>
      <c r="T138" s="687" t="b" cm="1">
        <f t="array" ref="T138">T137</f>
        <v>1</v>
      </c>
      <c r="U138" s="180"/>
      <c r="V138" s="180"/>
      <c r="W138" s="180"/>
      <c r="X138" s="1860"/>
      <c r="Y138" s="180"/>
      <c r="Z138" s="1860"/>
      <c r="AA138" s="180"/>
      <c r="AB138" s="278" t="str">
        <f t="shared" si="9"/>
        <v>2027 год</v>
      </c>
      <c r="AC138" s="1549"/>
      <c r="AD138" s="1289">
        <f ca="1">IFERROR(SUMIFS(INDEX('Операционные (5.2)'!$AT$26:$BC$54,,MATCH($H138,'Операционные (5.2)'!$AT$6:$BC$6,0)),'Операционные (5.2)'!$F$26:$F$54,$F138,'Операционные (5.2)'!$G$26:$G$54,"ИОР"),0)</f>
        <v>1</v>
      </c>
      <c r="AE138" s="1550"/>
      <c r="AF138" s="1549"/>
      <c r="AG138" s="1549"/>
      <c r="AH138" s="1550"/>
      <c r="AI138" s="1549"/>
      <c r="AJ138" s="1549"/>
      <c r="AK138" s="104">
        <f>IFERROR(SUMIFS(INDEX('Баланс Пр'!$AE$26:$BB$232,,MATCH($H138&amp;"Принято органом регулирования",'Баланс Пр'!$AE$8:$BB$8,0)),'Баланс Пр'!$Q$26:$Q$232,$F138,'Баланс Пр'!$AC$26:$AC$232,"Уровень потерь воды"),0)</f>
        <v>0</v>
      </c>
      <c r="AL138" s="180"/>
      <c r="AM138" s="180"/>
      <c r="AN138" s="1030" cm="1">
        <f t="array" ref="AN138">H138</f>
        <v>2027</v>
      </c>
    </row>
    <row r="139" spans="1:40" s="1608" customFormat="1" ht="16.5" customHeight="1">
      <c r="A139" s="180"/>
      <c r="B139" s="805" t="b">
        <f t="shared" si="8"/>
        <v>1</v>
      </c>
      <c r="C139" s="180"/>
      <c r="D139" s="180"/>
      <c r="E139" s="676">
        <v>17.100000000000001</v>
      </c>
      <c r="F139" s="798" t="str" cm="1">
        <f t="array" ref="F139">F138</f>
        <v>2</v>
      </c>
      <c r="G139" s="180"/>
      <c r="H139" s="178">
        <f>first_year+7</f>
        <v>2028</v>
      </c>
      <c r="I139" s="180"/>
      <c r="J139" s="180"/>
      <c r="K139" s="180"/>
      <c r="L139" s="180"/>
      <c r="M139" s="180"/>
      <c r="N139" s="180"/>
      <c r="O139" s="180"/>
      <c r="P139" s="180"/>
      <c r="Q139" s="180"/>
      <c r="R139" s="180"/>
      <c r="S139" s="180"/>
      <c r="T139" s="687" t="b" cm="1">
        <f t="array" ref="T139">T138</f>
        <v>1</v>
      </c>
      <c r="U139" s="180"/>
      <c r="V139" s="180"/>
      <c r="W139" s="180"/>
      <c r="X139" s="1860"/>
      <c r="Y139" s="180"/>
      <c r="Z139" s="1860"/>
      <c r="AA139" s="180"/>
      <c r="AB139" s="278" t="str">
        <f t="shared" si="9"/>
        <v>2028 год</v>
      </c>
      <c r="AC139" s="1549"/>
      <c r="AD139" s="1289">
        <f ca="1">IFERROR(SUMIFS(INDEX('Операционные (5.2)'!$AT$26:$BC$54,,MATCH($H139,'Операционные (5.2)'!$AT$6:$BC$6,0)),'Операционные (5.2)'!$F$26:$F$54,$F139,'Операционные (5.2)'!$G$26:$G$54,"ИОР"),0)</f>
        <v>1</v>
      </c>
      <c r="AE139" s="1550"/>
      <c r="AF139" s="1549"/>
      <c r="AG139" s="1549"/>
      <c r="AH139" s="1550"/>
      <c r="AI139" s="1549"/>
      <c r="AJ139" s="1549"/>
      <c r="AK139" s="104">
        <f>IFERROR(SUMIFS(INDEX('Баланс Пр'!$AE$26:$BB$232,,MATCH($H139&amp;"Принято органом регулирования",'Баланс Пр'!$AE$8:$BB$8,0)),'Баланс Пр'!$Q$26:$Q$232,$F139,'Баланс Пр'!$AC$26:$AC$232,"Уровень потерь воды"),0)</f>
        <v>0</v>
      </c>
      <c r="AL139" s="180"/>
      <c r="AM139" s="180"/>
      <c r="AN139" s="1030" cm="1">
        <f t="array" ref="AN139">H139</f>
        <v>2028</v>
      </c>
    </row>
    <row r="140" spans="1:40" s="1609" customFormat="1" ht="16.5" customHeight="1">
      <c r="A140" s="180"/>
      <c r="B140" s="805" t="b">
        <f t="shared" si="8"/>
        <v>1</v>
      </c>
      <c r="C140" s="180"/>
      <c r="D140" s="180"/>
      <c r="E140" s="676">
        <v>17.100000000000001</v>
      </c>
      <c r="F140" s="798" t="str" cm="1">
        <f t="array" ref="F140">F139</f>
        <v>2</v>
      </c>
      <c r="G140" s="180"/>
      <c r="H140" s="178">
        <f>first_year+8</f>
        <v>2029</v>
      </c>
      <c r="I140" s="180"/>
      <c r="J140" s="180"/>
      <c r="K140" s="180"/>
      <c r="L140" s="180"/>
      <c r="M140" s="180"/>
      <c r="N140" s="180"/>
      <c r="O140" s="180"/>
      <c r="P140" s="180"/>
      <c r="Q140" s="180"/>
      <c r="R140" s="180"/>
      <c r="S140" s="180"/>
      <c r="T140" s="687" t="b" cm="1">
        <f t="array" ref="T140">T139</f>
        <v>1</v>
      </c>
      <c r="U140" s="180"/>
      <c r="V140" s="180"/>
      <c r="W140" s="180"/>
      <c r="X140" s="1860"/>
      <c r="Y140" s="180"/>
      <c r="Z140" s="1860"/>
      <c r="AA140" s="180"/>
      <c r="AB140" s="278" t="str">
        <f t="shared" si="9"/>
        <v>2029 год</v>
      </c>
      <c r="AC140" s="1549"/>
      <c r="AD140" s="1289">
        <f ca="1">IFERROR(SUMIFS(INDEX('Операционные (5.2)'!$AT$26:$BC$54,,MATCH($H140,'Операционные (5.2)'!$AT$6:$BC$6,0)),'Операционные (5.2)'!$F$26:$F$54,$F140,'Операционные (5.2)'!$G$26:$G$54,"ИОР"),0)</f>
        <v>1</v>
      </c>
      <c r="AE140" s="1550"/>
      <c r="AF140" s="1549"/>
      <c r="AG140" s="1549"/>
      <c r="AH140" s="1550"/>
      <c r="AI140" s="1549"/>
      <c r="AJ140" s="1549"/>
      <c r="AK140" s="104">
        <f>IFERROR(SUMIFS(INDEX('Баланс Пр'!$AE$26:$BB$232,,MATCH($H140&amp;"Принято органом регулирования",'Баланс Пр'!$AE$8:$BB$8,0)),'Баланс Пр'!$Q$26:$Q$232,$F140,'Баланс Пр'!$AC$26:$AC$232,"Уровень потерь воды"),0)</f>
        <v>0</v>
      </c>
      <c r="AL140" s="180"/>
      <c r="AM140" s="180"/>
      <c r="AN140" s="1030" cm="1">
        <f t="array" ref="AN140">H140</f>
        <v>2029</v>
      </c>
    </row>
    <row r="141" spans="1:40" s="1610" customFormat="1" ht="16.5" customHeight="1">
      <c r="A141" s="180"/>
      <c r="B141" s="805" t="b">
        <f t="shared" si="8"/>
        <v>1</v>
      </c>
      <c r="C141" s="180"/>
      <c r="D141" s="180"/>
      <c r="E141" s="676">
        <v>17.100000000000001</v>
      </c>
      <c r="F141" s="798" t="str" cm="1">
        <f t="array" ref="F141">F140</f>
        <v>2</v>
      </c>
      <c r="G141" s="180"/>
      <c r="H141" s="178">
        <f>first_year+9</f>
        <v>2030</v>
      </c>
      <c r="I141" s="180"/>
      <c r="J141" s="180"/>
      <c r="K141" s="180"/>
      <c r="L141" s="180"/>
      <c r="M141" s="180"/>
      <c r="N141" s="180"/>
      <c r="O141" s="180"/>
      <c r="P141" s="180"/>
      <c r="Q141" s="180"/>
      <c r="R141" s="180"/>
      <c r="S141" s="180"/>
      <c r="T141" s="687" t="b" cm="1">
        <f t="array" ref="T141">T140</f>
        <v>1</v>
      </c>
      <c r="U141" s="180"/>
      <c r="V141" s="180"/>
      <c r="W141" s="180"/>
      <c r="X141" s="1860"/>
      <c r="Y141" s="180"/>
      <c r="Z141" s="1860"/>
      <c r="AA141" s="180"/>
      <c r="AB141" s="278" t="str">
        <f t="shared" si="9"/>
        <v>2030 год</v>
      </c>
      <c r="AC141" s="1549"/>
      <c r="AD141" s="1289">
        <f ca="1">IFERROR(SUMIFS(INDEX('Операционные (5.2)'!$AT$26:$BC$54,,MATCH($H141,'Операционные (5.2)'!$AT$6:$BC$6,0)),'Операционные (5.2)'!$F$26:$F$54,$F141,'Операционные (5.2)'!$G$26:$G$54,"ИОР"),0)</f>
        <v>1</v>
      </c>
      <c r="AE141" s="1550"/>
      <c r="AF141" s="1549"/>
      <c r="AG141" s="1549"/>
      <c r="AH141" s="1550"/>
      <c r="AI141" s="1549"/>
      <c r="AJ141" s="1549"/>
      <c r="AK141" s="104">
        <f>IFERROR(SUMIFS(INDEX('Баланс Пр'!$AE$26:$BB$232,,MATCH($H141&amp;"Принято органом регулирования",'Баланс Пр'!$AE$8:$BB$8,0)),'Баланс Пр'!$Q$26:$Q$232,$F141,'Баланс Пр'!$AC$26:$AC$232,"Уровень потерь воды"),0)</f>
        <v>0</v>
      </c>
      <c r="AL141" s="180"/>
      <c r="AM141" s="180"/>
      <c r="AN141" s="1030" cm="1">
        <f t="array" ref="AN141">H141</f>
        <v>2030</v>
      </c>
    </row>
    <row r="142" spans="1:40" s="1611" customFormat="1" ht="16.5" hidden="1" customHeight="1">
      <c r="A142" s="180"/>
      <c r="B142" s="805" t="b">
        <f t="shared" si="8"/>
        <v>0</v>
      </c>
      <c r="C142" s="180"/>
      <c r="D142" s="180"/>
      <c r="E142" s="676">
        <v>17.100000000000001</v>
      </c>
      <c r="F142" s="798" t="str" cm="1">
        <f t="array" ref="F142">F141</f>
        <v>2</v>
      </c>
      <c r="G142" s="180"/>
      <c r="H142" s="178">
        <f>first_year+10</f>
        <v>2031</v>
      </c>
      <c r="I142" s="180"/>
      <c r="J142" s="180"/>
      <c r="K142" s="180"/>
      <c r="L142" s="180"/>
      <c r="M142" s="180"/>
      <c r="N142" s="180"/>
      <c r="O142" s="180"/>
      <c r="P142" s="180"/>
      <c r="Q142" s="180"/>
      <c r="R142" s="180"/>
      <c r="S142" s="180"/>
      <c r="T142" s="687" t="b" cm="1">
        <f t="array" ref="T142">T141</f>
        <v>1</v>
      </c>
      <c r="U142" s="180"/>
      <c r="V142" s="180"/>
      <c r="W142" s="180"/>
      <c r="X142" s="1860"/>
      <c r="Y142" s="180"/>
      <c r="Z142" s="1860"/>
      <c r="AA142" s="180"/>
      <c r="AB142" s="278" t="str">
        <f t="shared" si="9"/>
        <v>2031 год</v>
      </c>
      <c r="AC142" s="102"/>
      <c r="AD142" s="103"/>
      <c r="AE142" s="103"/>
      <c r="AF142" s="102"/>
      <c r="AG142" s="102"/>
      <c r="AH142" s="103"/>
      <c r="AI142" s="102"/>
      <c r="AJ142" s="102"/>
      <c r="AK142" s="104"/>
      <c r="AL142" s="180"/>
      <c r="AM142" s="180"/>
      <c r="AN142" s="1030" cm="1">
        <f t="array" ref="AN142">H142</f>
        <v>2031</v>
      </c>
    </row>
    <row r="143" spans="1:40" s="1612" customFormat="1" ht="16.5" hidden="1" customHeight="1">
      <c r="A143" s="180"/>
      <c r="B143" s="805" t="b">
        <f t="shared" si="8"/>
        <v>0</v>
      </c>
      <c r="C143" s="180"/>
      <c r="D143" s="180"/>
      <c r="E143" s="676">
        <v>17.100000000000001</v>
      </c>
      <c r="F143" s="798" t="str" cm="1">
        <f t="array" ref="F143">F142</f>
        <v>2</v>
      </c>
      <c r="G143" s="180"/>
      <c r="H143" s="178">
        <f>first_year+11</f>
        <v>2032</v>
      </c>
      <c r="I143" s="180"/>
      <c r="J143" s="180"/>
      <c r="K143" s="180"/>
      <c r="L143" s="180"/>
      <c r="M143" s="180"/>
      <c r="N143" s="180"/>
      <c r="O143" s="180"/>
      <c r="P143" s="180"/>
      <c r="Q143" s="180"/>
      <c r="R143" s="180"/>
      <c r="S143" s="180"/>
      <c r="T143" s="687" t="b" cm="1">
        <f t="array" ref="T143">T142</f>
        <v>1</v>
      </c>
      <c r="U143" s="180"/>
      <c r="V143" s="180"/>
      <c r="W143" s="180"/>
      <c r="X143" s="1860"/>
      <c r="Y143" s="180"/>
      <c r="Z143" s="1860"/>
      <c r="AA143" s="180"/>
      <c r="AB143" s="278" t="str">
        <f t="shared" si="9"/>
        <v>2032 год</v>
      </c>
      <c r="AC143" s="102"/>
      <c r="AD143" s="103"/>
      <c r="AE143" s="103"/>
      <c r="AF143" s="102"/>
      <c r="AG143" s="102"/>
      <c r="AH143" s="103"/>
      <c r="AI143" s="102"/>
      <c r="AJ143" s="102"/>
      <c r="AK143" s="104"/>
      <c r="AL143" s="180"/>
      <c r="AM143" s="180"/>
      <c r="AN143" s="1030" cm="1">
        <f t="array" ref="AN143">H143</f>
        <v>2032</v>
      </c>
    </row>
    <row r="144" spans="1:40" s="1613" customFormat="1" ht="16.5" hidden="1" customHeight="1">
      <c r="A144" s="180"/>
      <c r="B144" s="805" t="b">
        <f t="shared" si="8"/>
        <v>0</v>
      </c>
      <c r="C144" s="180"/>
      <c r="D144" s="180"/>
      <c r="E144" s="676">
        <v>17.100000000000001</v>
      </c>
      <c r="F144" s="798" t="str" cm="1">
        <f t="array" ref="F144">F143</f>
        <v>2</v>
      </c>
      <c r="G144" s="180"/>
      <c r="H144" s="178">
        <f>first_year+12</f>
        <v>2033</v>
      </c>
      <c r="I144" s="180"/>
      <c r="J144" s="180"/>
      <c r="K144" s="180"/>
      <c r="L144" s="180"/>
      <c r="M144" s="180"/>
      <c r="N144" s="180"/>
      <c r="O144" s="180"/>
      <c r="P144" s="180"/>
      <c r="Q144" s="180"/>
      <c r="R144" s="180"/>
      <c r="S144" s="180"/>
      <c r="T144" s="687" t="b" cm="1">
        <f t="array" ref="T144">T143</f>
        <v>1</v>
      </c>
      <c r="U144" s="180"/>
      <c r="V144" s="180"/>
      <c r="W144" s="180"/>
      <c r="X144" s="1860"/>
      <c r="Y144" s="180"/>
      <c r="Z144" s="1860"/>
      <c r="AA144" s="180"/>
      <c r="AB144" s="278" t="str">
        <f t="shared" si="9"/>
        <v>2033 год</v>
      </c>
      <c r="AC144" s="102"/>
      <c r="AD144" s="103"/>
      <c r="AE144" s="103"/>
      <c r="AF144" s="102"/>
      <c r="AG144" s="102"/>
      <c r="AH144" s="103"/>
      <c r="AI144" s="102"/>
      <c r="AJ144" s="102"/>
      <c r="AK144" s="104"/>
      <c r="AL144" s="180"/>
      <c r="AM144" s="180"/>
      <c r="AN144" s="1030" cm="1">
        <f t="array" ref="AN144">H144</f>
        <v>2033</v>
      </c>
    </row>
    <row r="145" spans="1:40" s="1614" customFormat="1" ht="16.5" hidden="1" customHeight="1">
      <c r="A145" s="180"/>
      <c r="B145" s="805" t="b">
        <f t="shared" si="8"/>
        <v>0</v>
      </c>
      <c r="C145" s="180"/>
      <c r="D145" s="180"/>
      <c r="E145" s="676">
        <v>17.100000000000001</v>
      </c>
      <c r="F145" s="798" t="str" cm="1">
        <f t="array" ref="F145">F144</f>
        <v>2</v>
      </c>
      <c r="G145" s="180"/>
      <c r="H145" s="178">
        <f>first_year+13</f>
        <v>2034</v>
      </c>
      <c r="I145" s="180"/>
      <c r="J145" s="180"/>
      <c r="K145" s="180"/>
      <c r="L145" s="180"/>
      <c r="M145" s="180"/>
      <c r="N145" s="180"/>
      <c r="O145" s="180"/>
      <c r="P145" s="180"/>
      <c r="Q145" s="180"/>
      <c r="R145" s="180"/>
      <c r="S145" s="180"/>
      <c r="T145" s="687" t="b" cm="1">
        <f t="array" ref="T145">T144</f>
        <v>1</v>
      </c>
      <c r="U145" s="180"/>
      <c r="V145" s="180"/>
      <c r="W145" s="180"/>
      <c r="X145" s="1860"/>
      <c r="Y145" s="180"/>
      <c r="Z145" s="1860"/>
      <c r="AA145" s="180"/>
      <c r="AB145" s="278" t="str">
        <f t="shared" si="9"/>
        <v>2034 год</v>
      </c>
      <c r="AC145" s="102"/>
      <c r="AD145" s="103"/>
      <c r="AE145" s="103"/>
      <c r="AF145" s="102"/>
      <c r="AG145" s="102"/>
      <c r="AH145" s="103"/>
      <c r="AI145" s="102"/>
      <c r="AJ145" s="102"/>
      <c r="AK145" s="104"/>
      <c r="AL145" s="180"/>
      <c r="AM145" s="180"/>
      <c r="AN145" s="1030" cm="1">
        <f t="array" ref="AN145">H145</f>
        <v>2034</v>
      </c>
    </row>
    <row r="146" spans="1:40" s="1615" customFormat="1" ht="16.5" hidden="1" customHeight="1">
      <c r="A146" s="180"/>
      <c r="B146" s="805" t="b">
        <f t="shared" si="8"/>
        <v>0</v>
      </c>
      <c r="C146" s="180"/>
      <c r="D146" s="180"/>
      <c r="E146" s="676">
        <v>17.100000000000001</v>
      </c>
      <c r="F146" s="798" t="str" cm="1">
        <f t="array" ref="F146">F145</f>
        <v>2</v>
      </c>
      <c r="G146" s="180"/>
      <c r="H146" s="178">
        <f>first_year+14</f>
        <v>2035</v>
      </c>
      <c r="I146" s="180"/>
      <c r="J146" s="180"/>
      <c r="K146" s="180"/>
      <c r="L146" s="180"/>
      <c r="M146" s="180"/>
      <c r="N146" s="180"/>
      <c r="O146" s="180"/>
      <c r="P146" s="180"/>
      <c r="Q146" s="180"/>
      <c r="R146" s="180"/>
      <c r="S146" s="180"/>
      <c r="T146" s="687" t="b" cm="1">
        <f t="array" ref="T146">T145</f>
        <v>1</v>
      </c>
      <c r="U146" s="180"/>
      <c r="V146" s="180"/>
      <c r="W146" s="180"/>
      <c r="X146" s="1860"/>
      <c r="Y146" s="180"/>
      <c r="Z146" s="1860"/>
      <c r="AA146" s="180"/>
      <c r="AB146" s="278" t="str">
        <f t="shared" si="9"/>
        <v>2035 год</v>
      </c>
      <c r="AC146" s="102"/>
      <c r="AD146" s="103"/>
      <c r="AE146" s="103"/>
      <c r="AF146" s="102"/>
      <c r="AG146" s="102"/>
      <c r="AH146" s="103"/>
      <c r="AI146" s="102"/>
      <c r="AJ146" s="102"/>
      <c r="AK146" s="104"/>
      <c r="AL146" s="180"/>
      <c r="AM146" s="180"/>
      <c r="AN146" s="1030" cm="1">
        <f t="array" ref="AN146">H146</f>
        <v>2035</v>
      </c>
    </row>
    <row r="147" spans="1:40" s="1616" customFormat="1" ht="16.5" hidden="1" customHeight="1">
      <c r="A147" s="180"/>
      <c r="B147" s="805" t="b">
        <f t="shared" si="8"/>
        <v>0</v>
      </c>
      <c r="C147" s="180"/>
      <c r="D147" s="180"/>
      <c r="E147" s="676">
        <v>17.100000000000001</v>
      </c>
      <c r="F147" s="798" t="str" cm="1">
        <f t="array" ref="F147">F146</f>
        <v>2</v>
      </c>
      <c r="G147" s="180"/>
      <c r="H147" s="178">
        <f>first_year+15</f>
        <v>2036</v>
      </c>
      <c r="I147" s="180"/>
      <c r="J147" s="180"/>
      <c r="K147" s="180"/>
      <c r="L147" s="180"/>
      <c r="M147" s="180"/>
      <c r="N147" s="180"/>
      <c r="O147" s="180"/>
      <c r="P147" s="180"/>
      <c r="Q147" s="180"/>
      <c r="R147" s="180"/>
      <c r="S147" s="180"/>
      <c r="T147" s="687" t="b" cm="1">
        <f t="array" ref="T147">T146</f>
        <v>1</v>
      </c>
      <c r="U147" s="180"/>
      <c r="V147" s="180"/>
      <c r="W147" s="180"/>
      <c r="X147" s="1860"/>
      <c r="Y147" s="180"/>
      <c r="Z147" s="1860"/>
      <c r="AA147" s="180"/>
      <c r="AB147" s="278" t="str">
        <f t="shared" si="9"/>
        <v>2036 год</v>
      </c>
      <c r="AC147" s="102"/>
      <c r="AD147" s="103"/>
      <c r="AE147" s="103"/>
      <c r="AF147" s="102"/>
      <c r="AG147" s="102"/>
      <c r="AH147" s="103"/>
      <c r="AI147" s="102"/>
      <c r="AJ147" s="102"/>
      <c r="AK147" s="104"/>
      <c r="AL147" s="180"/>
      <c r="AM147" s="180"/>
      <c r="AN147" s="1030" cm="1">
        <f t="array" ref="AN147">H147</f>
        <v>2036</v>
      </c>
    </row>
    <row r="148" spans="1:40" s="1617" customFormat="1" ht="16.5" hidden="1" customHeight="1">
      <c r="A148" s="180"/>
      <c r="B148" s="805" t="b">
        <f t="shared" si="8"/>
        <v>0</v>
      </c>
      <c r="C148" s="180"/>
      <c r="D148" s="180"/>
      <c r="E148" s="676">
        <v>17.100000000000001</v>
      </c>
      <c r="F148" s="798" t="str" cm="1">
        <f t="array" ref="F148">F147</f>
        <v>2</v>
      </c>
      <c r="G148" s="180"/>
      <c r="H148" s="178">
        <f>first_year+16</f>
        <v>2037</v>
      </c>
      <c r="I148" s="180"/>
      <c r="J148" s="180"/>
      <c r="K148" s="180"/>
      <c r="L148" s="180"/>
      <c r="M148" s="180"/>
      <c r="N148" s="180"/>
      <c r="O148" s="180"/>
      <c r="P148" s="180"/>
      <c r="Q148" s="180"/>
      <c r="R148" s="180"/>
      <c r="S148" s="180"/>
      <c r="T148" s="687" t="b" cm="1">
        <f t="array" ref="T148">T147</f>
        <v>1</v>
      </c>
      <c r="U148" s="180"/>
      <c r="V148" s="180"/>
      <c r="W148" s="180"/>
      <c r="X148" s="1860"/>
      <c r="Y148" s="180"/>
      <c r="Z148" s="1860"/>
      <c r="AA148" s="180"/>
      <c r="AB148" s="278" t="str">
        <f t="shared" si="9"/>
        <v>2037 год</v>
      </c>
      <c r="AC148" s="102"/>
      <c r="AD148" s="103"/>
      <c r="AE148" s="103"/>
      <c r="AF148" s="102"/>
      <c r="AG148" s="102"/>
      <c r="AH148" s="103"/>
      <c r="AI148" s="102"/>
      <c r="AJ148" s="102"/>
      <c r="AK148" s="104"/>
      <c r="AL148" s="180"/>
      <c r="AM148" s="180"/>
      <c r="AN148" s="1030" cm="1">
        <f t="array" ref="AN148">H148</f>
        <v>2037</v>
      </c>
    </row>
    <row r="149" spans="1:40" s="1618" customFormat="1" ht="16.5" hidden="1" customHeight="1">
      <c r="A149" s="180"/>
      <c r="B149" s="805" t="b">
        <f t="shared" si="8"/>
        <v>0</v>
      </c>
      <c r="C149" s="180"/>
      <c r="D149" s="180"/>
      <c r="E149" s="676">
        <v>17.100000000000001</v>
      </c>
      <c r="F149" s="798" t="str" cm="1">
        <f t="array" ref="F149">F148</f>
        <v>2</v>
      </c>
      <c r="G149" s="180"/>
      <c r="H149" s="178">
        <f>first_year+17</f>
        <v>2038</v>
      </c>
      <c r="I149" s="180"/>
      <c r="J149" s="180"/>
      <c r="K149" s="180"/>
      <c r="L149" s="180"/>
      <c r="M149" s="180"/>
      <c r="N149" s="180"/>
      <c r="O149" s="180"/>
      <c r="P149" s="180"/>
      <c r="Q149" s="180"/>
      <c r="R149" s="180"/>
      <c r="S149" s="180"/>
      <c r="T149" s="687" t="b" cm="1">
        <f t="array" ref="T149">T148</f>
        <v>1</v>
      </c>
      <c r="U149" s="180"/>
      <c r="V149" s="180"/>
      <c r="W149" s="180"/>
      <c r="X149" s="1860"/>
      <c r="Y149" s="180"/>
      <c r="Z149" s="1860"/>
      <c r="AA149" s="180"/>
      <c r="AB149" s="278" t="str">
        <f t="shared" si="9"/>
        <v>2038 год</v>
      </c>
      <c r="AC149" s="102"/>
      <c r="AD149" s="103"/>
      <c r="AE149" s="103"/>
      <c r="AF149" s="102"/>
      <c r="AG149" s="102"/>
      <c r="AH149" s="103"/>
      <c r="AI149" s="102"/>
      <c r="AJ149" s="102"/>
      <c r="AK149" s="104"/>
      <c r="AL149" s="180"/>
      <c r="AM149" s="180"/>
      <c r="AN149" s="1030" cm="1">
        <f t="array" ref="AN149">H149</f>
        <v>2038</v>
      </c>
    </row>
    <row r="150" spans="1:40" s="1619" customFormat="1" ht="16.5" hidden="1" customHeight="1">
      <c r="A150" s="180"/>
      <c r="B150" s="805" t="b">
        <f t="shared" si="8"/>
        <v>0</v>
      </c>
      <c r="C150" s="180"/>
      <c r="D150" s="180"/>
      <c r="E150" s="676">
        <v>17.100000000000001</v>
      </c>
      <c r="F150" s="798" t="str" cm="1">
        <f t="array" ref="F150">F149</f>
        <v>2</v>
      </c>
      <c r="G150" s="180"/>
      <c r="H150" s="178">
        <f>first_year+18</f>
        <v>2039</v>
      </c>
      <c r="I150" s="180"/>
      <c r="J150" s="180"/>
      <c r="K150" s="180"/>
      <c r="L150" s="180"/>
      <c r="M150" s="180"/>
      <c r="N150" s="180"/>
      <c r="O150" s="180"/>
      <c r="P150" s="180"/>
      <c r="Q150" s="180"/>
      <c r="R150" s="180"/>
      <c r="S150" s="180"/>
      <c r="T150" s="687" t="b" cm="1">
        <f t="array" ref="T150">T149</f>
        <v>1</v>
      </c>
      <c r="U150" s="180"/>
      <c r="V150" s="180"/>
      <c r="W150" s="180"/>
      <c r="X150" s="1860"/>
      <c r="Y150" s="180"/>
      <c r="Z150" s="1860"/>
      <c r="AA150" s="180"/>
      <c r="AB150" s="278" t="str">
        <f t="shared" si="9"/>
        <v>2039 год</v>
      </c>
      <c r="AC150" s="102"/>
      <c r="AD150" s="103"/>
      <c r="AE150" s="103"/>
      <c r="AF150" s="102"/>
      <c r="AG150" s="102"/>
      <c r="AH150" s="103"/>
      <c r="AI150" s="102"/>
      <c r="AJ150" s="102"/>
      <c r="AK150" s="104"/>
      <c r="AL150" s="180"/>
      <c r="AM150" s="180"/>
      <c r="AN150" s="1030" cm="1">
        <f t="array" ref="AN150">H150</f>
        <v>2039</v>
      </c>
    </row>
    <row r="151" spans="1:40" s="1620" customFormat="1" ht="16.5" hidden="1" customHeight="1">
      <c r="A151" s="180"/>
      <c r="B151" s="805" t="b">
        <f t="shared" si="8"/>
        <v>0</v>
      </c>
      <c r="C151" s="180"/>
      <c r="D151" s="180"/>
      <c r="E151" s="676">
        <v>17.100000000000001</v>
      </c>
      <c r="F151" s="798" t="str" cm="1">
        <f t="array" ref="F151">F150</f>
        <v>2</v>
      </c>
      <c r="G151" s="180"/>
      <c r="H151" s="178">
        <f>first_year+19</f>
        <v>2040</v>
      </c>
      <c r="I151" s="180"/>
      <c r="J151" s="180"/>
      <c r="K151" s="180"/>
      <c r="L151" s="180"/>
      <c r="M151" s="180"/>
      <c r="N151" s="180"/>
      <c r="O151" s="180"/>
      <c r="P151" s="180"/>
      <c r="Q151" s="180"/>
      <c r="R151" s="180"/>
      <c r="S151" s="180"/>
      <c r="T151" s="687" t="b" cm="1">
        <f t="array" ref="T151">T150</f>
        <v>1</v>
      </c>
      <c r="U151" s="180"/>
      <c r="V151" s="180"/>
      <c r="W151" s="180"/>
      <c r="X151" s="1860"/>
      <c r="Y151" s="180"/>
      <c r="Z151" s="1860"/>
      <c r="AA151" s="180"/>
      <c r="AB151" s="278" t="str">
        <f t="shared" si="9"/>
        <v>2040 год</v>
      </c>
      <c r="AC151" s="102"/>
      <c r="AD151" s="103"/>
      <c r="AE151" s="103"/>
      <c r="AF151" s="102"/>
      <c r="AG151" s="102"/>
      <c r="AH151" s="103"/>
      <c r="AI151" s="102"/>
      <c r="AJ151" s="102"/>
      <c r="AK151" s="104"/>
      <c r="AL151" s="180"/>
      <c r="AM151" s="180"/>
      <c r="AN151" s="1030" cm="1">
        <f t="array" ref="AN151">H151</f>
        <v>2040</v>
      </c>
    </row>
    <row r="152" spans="1:40" s="1621" customFormat="1" ht="16.5" hidden="1" customHeight="1">
      <c r="A152" s="180"/>
      <c r="B152" s="805" t="b">
        <f t="shared" si="8"/>
        <v>0</v>
      </c>
      <c r="C152" s="180"/>
      <c r="D152" s="180"/>
      <c r="E152" s="676">
        <v>17.100000000000001</v>
      </c>
      <c r="F152" s="798" t="str" cm="1">
        <f t="array" ref="F152">F151</f>
        <v>2</v>
      </c>
      <c r="G152" s="180"/>
      <c r="H152" s="178">
        <f>first_year+20</f>
        <v>2041</v>
      </c>
      <c r="I152" s="180"/>
      <c r="J152" s="180"/>
      <c r="K152" s="180"/>
      <c r="L152" s="180"/>
      <c r="M152" s="180"/>
      <c r="N152" s="180"/>
      <c r="O152" s="180"/>
      <c r="P152" s="180"/>
      <c r="Q152" s="180"/>
      <c r="R152" s="180"/>
      <c r="S152" s="180"/>
      <c r="T152" s="687" t="b" cm="1">
        <f t="array" ref="T152">T151</f>
        <v>1</v>
      </c>
      <c r="U152" s="180"/>
      <c r="V152" s="180"/>
      <c r="W152" s="180"/>
      <c r="X152" s="1860"/>
      <c r="Y152" s="180"/>
      <c r="Z152" s="1860"/>
      <c r="AA152" s="180"/>
      <c r="AB152" s="278" t="str">
        <f t="shared" si="9"/>
        <v>2041 год</v>
      </c>
      <c r="AC152" s="102"/>
      <c r="AD152" s="103"/>
      <c r="AE152" s="103"/>
      <c r="AF152" s="102"/>
      <c r="AG152" s="102"/>
      <c r="AH152" s="103"/>
      <c r="AI152" s="102"/>
      <c r="AJ152" s="102"/>
      <c r="AK152" s="104"/>
      <c r="AL152" s="180"/>
      <c r="AM152" s="180"/>
      <c r="AN152" s="1030" cm="1">
        <f t="array" ref="AN152">H152</f>
        <v>2041</v>
      </c>
    </row>
    <row r="153" spans="1:40" s="1622" customFormat="1" ht="16.5" hidden="1" customHeight="1">
      <c r="A153" s="180"/>
      <c r="B153" s="805" t="b">
        <f t="shared" si="8"/>
        <v>0</v>
      </c>
      <c r="C153" s="180"/>
      <c r="D153" s="180"/>
      <c r="E153" s="676">
        <v>17.100000000000001</v>
      </c>
      <c r="F153" s="798" t="str" cm="1">
        <f t="array" ref="F153">F152</f>
        <v>2</v>
      </c>
      <c r="G153" s="180"/>
      <c r="H153" s="178">
        <f>first_year+21</f>
        <v>2042</v>
      </c>
      <c r="I153" s="180"/>
      <c r="J153" s="180"/>
      <c r="K153" s="180"/>
      <c r="L153" s="180"/>
      <c r="M153" s="180"/>
      <c r="N153" s="180"/>
      <c r="O153" s="180"/>
      <c r="P153" s="180"/>
      <c r="Q153" s="180"/>
      <c r="R153" s="180"/>
      <c r="S153" s="180"/>
      <c r="T153" s="687" t="b" cm="1">
        <f t="array" ref="T153">T152</f>
        <v>1</v>
      </c>
      <c r="U153" s="180"/>
      <c r="V153" s="180"/>
      <c r="W153" s="180"/>
      <c r="X153" s="1860"/>
      <c r="Y153" s="180"/>
      <c r="Z153" s="1860"/>
      <c r="AA153" s="180"/>
      <c r="AB153" s="278" t="str">
        <f t="shared" si="9"/>
        <v>2042 год</v>
      </c>
      <c r="AC153" s="102"/>
      <c r="AD153" s="103"/>
      <c r="AE153" s="103"/>
      <c r="AF153" s="102"/>
      <c r="AG153" s="102"/>
      <c r="AH153" s="103"/>
      <c r="AI153" s="102"/>
      <c r="AJ153" s="102"/>
      <c r="AK153" s="104"/>
      <c r="AL153" s="180"/>
      <c r="AM153" s="180"/>
      <c r="AN153" s="1030" cm="1">
        <f t="array" ref="AN153">H153</f>
        <v>2042</v>
      </c>
    </row>
    <row r="154" spans="1:40" s="1623" customFormat="1" ht="16.5" hidden="1" customHeight="1">
      <c r="A154" s="180"/>
      <c r="B154" s="805" t="b">
        <f t="shared" si="8"/>
        <v>0</v>
      </c>
      <c r="C154" s="180"/>
      <c r="D154" s="180"/>
      <c r="E154" s="676">
        <v>17.100000000000001</v>
      </c>
      <c r="F154" s="798" t="str" cm="1">
        <f t="array" ref="F154">F153</f>
        <v>2</v>
      </c>
      <c r="G154" s="180"/>
      <c r="H154" s="178">
        <f>first_year+22</f>
        <v>2043</v>
      </c>
      <c r="I154" s="180"/>
      <c r="J154" s="180"/>
      <c r="K154" s="180"/>
      <c r="L154" s="180"/>
      <c r="M154" s="180"/>
      <c r="N154" s="180"/>
      <c r="O154" s="180"/>
      <c r="P154" s="180"/>
      <c r="Q154" s="180"/>
      <c r="R154" s="180"/>
      <c r="S154" s="180"/>
      <c r="T154" s="687" t="b" cm="1">
        <f t="array" ref="T154">T153</f>
        <v>1</v>
      </c>
      <c r="U154" s="180"/>
      <c r="V154" s="180"/>
      <c r="W154" s="180"/>
      <c r="X154" s="1860"/>
      <c r="Y154" s="180"/>
      <c r="Z154" s="1860"/>
      <c r="AA154" s="180"/>
      <c r="AB154" s="278" t="str">
        <f t="shared" si="9"/>
        <v>2043 год</v>
      </c>
      <c r="AC154" s="102"/>
      <c r="AD154" s="103"/>
      <c r="AE154" s="103"/>
      <c r="AF154" s="102"/>
      <c r="AG154" s="102"/>
      <c r="AH154" s="103"/>
      <c r="AI154" s="102"/>
      <c r="AJ154" s="102"/>
      <c r="AK154" s="104"/>
      <c r="AL154" s="180"/>
      <c r="AM154" s="180"/>
      <c r="AN154" s="1030" cm="1">
        <f t="array" ref="AN154">H154</f>
        <v>2043</v>
      </c>
    </row>
    <row r="155" spans="1:40" s="1624" customFormat="1" ht="16.5" hidden="1" customHeight="1">
      <c r="A155" s="180"/>
      <c r="B155" s="805" t="b">
        <f t="shared" si="8"/>
        <v>0</v>
      </c>
      <c r="C155" s="180"/>
      <c r="D155" s="180"/>
      <c r="E155" s="676">
        <v>17.100000000000001</v>
      </c>
      <c r="F155" s="798" t="str" cm="1">
        <f t="array" ref="F155">F154</f>
        <v>2</v>
      </c>
      <c r="G155" s="180"/>
      <c r="H155" s="178">
        <f>first_year+23</f>
        <v>2044</v>
      </c>
      <c r="I155" s="180"/>
      <c r="J155" s="180"/>
      <c r="K155" s="180"/>
      <c r="L155" s="180"/>
      <c r="M155" s="180"/>
      <c r="N155" s="180"/>
      <c r="O155" s="180"/>
      <c r="P155" s="180"/>
      <c r="Q155" s="180"/>
      <c r="R155" s="180"/>
      <c r="S155" s="180"/>
      <c r="T155" s="687" t="b" cm="1">
        <f t="array" ref="T155">T154</f>
        <v>1</v>
      </c>
      <c r="U155" s="180"/>
      <c r="V155" s="180"/>
      <c r="W155" s="180"/>
      <c r="X155" s="1860"/>
      <c r="Y155" s="180"/>
      <c r="Z155" s="1860"/>
      <c r="AA155" s="180"/>
      <c r="AB155" s="278" t="str">
        <f t="shared" si="9"/>
        <v>2044 год</v>
      </c>
      <c r="AC155" s="102"/>
      <c r="AD155" s="103"/>
      <c r="AE155" s="103"/>
      <c r="AF155" s="102"/>
      <c r="AG155" s="102"/>
      <c r="AH155" s="103"/>
      <c r="AI155" s="102"/>
      <c r="AJ155" s="102"/>
      <c r="AK155" s="104"/>
      <c r="AL155" s="180"/>
      <c r="AM155" s="180"/>
      <c r="AN155" s="1030" cm="1">
        <f t="array" ref="AN155">H155</f>
        <v>2044</v>
      </c>
    </row>
    <row r="156" spans="1:40" s="1625" customFormat="1" ht="16.5" hidden="1" customHeight="1">
      <c r="A156" s="180"/>
      <c r="B156" s="805" t="b">
        <f t="shared" si="8"/>
        <v>0</v>
      </c>
      <c r="C156" s="180"/>
      <c r="D156" s="180"/>
      <c r="E156" s="676">
        <v>17.100000000000001</v>
      </c>
      <c r="F156" s="798" t="str" cm="1">
        <f t="array" ref="F156">F155</f>
        <v>2</v>
      </c>
      <c r="G156" s="180"/>
      <c r="H156" s="178">
        <f>first_year+24</f>
        <v>2045</v>
      </c>
      <c r="I156" s="180"/>
      <c r="J156" s="180"/>
      <c r="K156" s="180"/>
      <c r="L156" s="180"/>
      <c r="M156" s="180"/>
      <c r="N156" s="180"/>
      <c r="O156" s="180"/>
      <c r="P156" s="180"/>
      <c r="Q156" s="180"/>
      <c r="R156" s="180"/>
      <c r="S156" s="180"/>
      <c r="T156" s="687" t="b" cm="1">
        <f t="array" ref="T156">T155</f>
        <v>1</v>
      </c>
      <c r="U156" s="180"/>
      <c r="V156" s="180"/>
      <c r="W156" s="180"/>
      <c r="X156" s="1860"/>
      <c r="Y156" s="180"/>
      <c r="Z156" s="1860"/>
      <c r="AA156" s="180"/>
      <c r="AB156" s="278" t="str">
        <f t="shared" si="9"/>
        <v>2045 год</v>
      </c>
      <c r="AC156" s="102"/>
      <c r="AD156" s="103"/>
      <c r="AE156" s="103"/>
      <c r="AF156" s="102"/>
      <c r="AG156" s="102"/>
      <c r="AH156" s="103"/>
      <c r="AI156" s="102"/>
      <c r="AJ156" s="102"/>
      <c r="AK156" s="104"/>
      <c r="AL156" s="180"/>
      <c r="AM156" s="180"/>
      <c r="AN156" s="1030" cm="1">
        <f t="array" ref="AN156">H156</f>
        <v>2045</v>
      </c>
    </row>
    <row r="157" spans="1:40" s="1626" customFormat="1" ht="16.5" hidden="1" customHeight="1">
      <c r="A157" s="180"/>
      <c r="B157" s="805" t="b">
        <f t="shared" si="8"/>
        <v>0</v>
      </c>
      <c r="C157" s="180"/>
      <c r="D157" s="180"/>
      <c r="E157" s="676">
        <v>17.100000000000001</v>
      </c>
      <c r="F157" s="798" t="str" cm="1">
        <f t="array" ref="F157">F156</f>
        <v>2</v>
      </c>
      <c r="G157" s="180"/>
      <c r="H157" s="178">
        <f>first_year+25</f>
        <v>2046</v>
      </c>
      <c r="I157" s="180"/>
      <c r="J157" s="180"/>
      <c r="K157" s="180"/>
      <c r="L157" s="180"/>
      <c r="M157" s="180"/>
      <c r="N157" s="180"/>
      <c r="O157" s="180"/>
      <c r="P157" s="180"/>
      <c r="Q157" s="180"/>
      <c r="R157" s="180"/>
      <c r="S157" s="180"/>
      <c r="T157" s="687" t="b" cm="1">
        <f t="array" ref="T157">T156</f>
        <v>1</v>
      </c>
      <c r="U157" s="180"/>
      <c r="V157" s="180"/>
      <c r="W157" s="180"/>
      <c r="X157" s="1860"/>
      <c r="Y157" s="180"/>
      <c r="Z157" s="1860"/>
      <c r="AA157" s="180"/>
      <c r="AB157" s="278" t="str">
        <f t="shared" si="9"/>
        <v>2046 год</v>
      </c>
      <c r="AC157" s="102"/>
      <c r="AD157" s="103"/>
      <c r="AE157" s="103"/>
      <c r="AF157" s="102"/>
      <c r="AG157" s="102"/>
      <c r="AH157" s="103"/>
      <c r="AI157" s="102"/>
      <c r="AJ157" s="102"/>
      <c r="AK157" s="104"/>
      <c r="AL157" s="180"/>
      <c r="AM157" s="180"/>
      <c r="AN157" s="1030" cm="1">
        <f t="array" ref="AN157">H157</f>
        <v>2046</v>
      </c>
    </row>
    <row r="158" spans="1:40" s="1627" customFormat="1" ht="16.5" hidden="1" customHeight="1">
      <c r="A158" s="180"/>
      <c r="B158" s="805" t="b">
        <f t="shared" si="8"/>
        <v>0</v>
      </c>
      <c r="C158" s="180"/>
      <c r="D158" s="180"/>
      <c r="E158" s="676">
        <v>17.100000000000001</v>
      </c>
      <c r="F158" s="798" t="str" cm="1">
        <f t="array" ref="F158">F157</f>
        <v>2</v>
      </c>
      <c r="G158" s="180"/>
      <c r="H158" s="178">
        <f>first_year+26</f>
        <v>2047</v>
      </c>
      <c r="I158" s="180"/>
      <c r="J158" s="180"/>
      <c r="K158" s="180"/>
      <c r="L158" s="180"/>
      <c r="M158" s="180"/>
      <c r="N158" s="180"/>
      <c r="O158" s="180"/>
      <c r="P158" s="180"/>
      <c r="Q158" s="180"/>
      <c r="R158" s="180"/>
      <c r="S158" s="180"/>
      <c r="T158" s="687" t="b" cm="1">
        <f t="array" ref="T158">T157</f>
        <v>1</v>
      </c>
      <c r="U158" s="180"/>
      <c r="V158" s="180"/>
      <c r="W158" s="180"/>
      <c r="X158" s="1860"/>
      <c r="Y158" s="180"/>
      <c r="Z158" s="1860"/>
      <c r="AA158" s="180"/>
      <c r="AB158" s="278" t="str">
        <f t="shared" si="9"/>
        <v>2047 год</v>
      </c>
      <c r="AC158" s="102"/>
      <c r="AD158" s="103"/>
      <c r="AE158" s="103"/>
      <c r="AF158" s="102"/>
      <c r="AG158" s="102"/>
      <c r="AH158" s="103"/>
      <c r="AI158" s="102"/>
      <c r="AJ158" s="102"/>
      <c r="AK158" s="104"/>
      <c r="AL158" s="180"/>
      <c r="AM158" s="180"/>
      <c r="AN158" s="1030" cm="1">
        <f t="array" ref="AN158">H158</f>
        <v>2047</v>
      </c>
    </row>
    <row r="159" spans="1:40" s="1628" customFormat="1" ht="16.5" hidden="1" customHeight="1">
      <c r="A159" s="180"/>
      <c r="B159" s="805" t="b">
        <f t="shared" si="8"/>
        <v>0</v>
      </c>
      <c r="C159" s="180"/>
      <c r="D159" s="180"/>
      <c r="E159" s="676">
        <v>17.100000000000001</v>
      </c>
      <c r="F159" s="798" t="str" cm="1">
        <f t="array" ref="F159">F158</f>
        <v>2</v>
      </c>
      <c r="G159" s="180"/>
      <c r="H159" s="178">
        <f>first_year+27</f>
        <v>2048</v>
      </c>
      <c r="I159" s="180"/>
      <c r="J159" s="180"/>
      <c r="K159" s="180"/>
      <c r="L159" s="180"/>
      <c r="M159" s="180"/>
      <c r="N159" s="180"/>
      <c r="O159" s="180"/>
      <c r="P159" s="180"/>
      <c r="Q159" s="180"/>
      <c r="R159" s="180"/>
      <c r="S159" s="180"/>
      <c r="T159" s="687" t="b" cm="1">
        <f t="array" ref="T159">T158</f>
        <v>1</v>
      </c>
      <c r="U159" s="180"/>
      <c r="V159" s="180"/>
      <c r="W159" s="180"/>
      <c r="X159" s="1860"/>
      <c r="Y159" s="180"/>
      <c r="Z159" s="1860"/>
      <c r="AA159" s="180"/>
      <c r="AB159" s="278" t="str">
        <f t="shared" si="9"/>
        <v>2048 год</v>
      </c>
      <c r="AC159" s="102"/>
      <c r="AD159" s="103"/>
      <c r="AE159" s="103"/>
      <c r="AF159" s="102"/>
      <c r="AG159" s="102"/>
      <c r="AH159" s="103"/>
      <c r="AI159" s="102"/>
      <c r="AJ159" s="102"/>
      <c r="AK159" s="104"/>
      <c r="AL159" s="180"/>
      <c r="AM159" s="180"/>
      <c r="AN159" s="1030" cm="1">
        <f t="array" ref="AN159">H159</f>
        <v>2048</v>
      </c>
    </row>
    <row r="160" spans="1:40" s="1629" customFormat="1" ht="16.5" hidden="1" customHeight="1">
      <c r="A160" s="180"/>
      <c r="B160" s="805" t="b">
        <f t="shared" si="8"/>
        <v>0</v>
      </c>
      <c r="C160" s="180"/>
      <c r="D160" s="180"/>
      <c r="E160" s="676">
        <v>17.100000000000001</v>
      </c>
      <c r="F160" s="798" t="str" cm="1">
        <f t="array" ref="F160">F159</f>
        <v>2</v>
      </c>
      <c r="G160" s="180"/>
      <c r="H160" s="178">
        <f>first_year+28</f>
        <v>2049</v>
      </c>
      <c r="I160" s="180"/>
      <c r="J160" s="180"/>
      <c r="K160" s="180"/>
      <c r="L160" s="180"/>
      <c r="M160" s="180"/>
      <c r="N160" s="180"/>
      <c r="O160" s="180"/>
      <c r="P160" s="180"/>
      <c r="Q160" s="180"/>
      <c r="R160" s="180"/>
      <c r="S160" s="180"/>
      <c r="T160" s="687" t="b" cm="1">
        <f t="array" ref="T160">T159</f>
        <v>1</v>
      </c>
      <c r="U160" s="180"/>
      <c r="V160" s="180"/>
      <c r="W160" s="180"/>
      <c r="X160" s="1860"/>
      <c r="Y160" s="180"/>
      <c r="Z160" s="1860"/>
      <c r="AA160" s="180"/>
      <c r="AB160" s="278" t="str">
        <f t="shared" si="9"/>
        <v>2049 год</v>
      </c>
      <c r="AC160" s="102"/>
      <c r="AD160" s="103"/>
      <c r="AE160" s="103"/>
      <c r="AF160" s="102"/>
      <c r="AG160" s="102"/>
      <c r="AH160" s="103"/>
      <c r="AI160" s="102"/>
      <c r="AJ160" s="102"/>
      <c r="AK160" s="104"/>
      <c r="AL160" s="180"/>
      <c r="AM160" s="180"/>
      <c r="AN160" s="1030" cm="1">
        <f t="array" ref="AN160">H160</f>
        <v>2049</v>
      </c>
    </row>
    <row r="161" spans="1:40" s="1630" customFormat="1" ht="16.5" hidden="1" customHeight="1">
      <c r="A161" s="180"/>
      <c r="B161" s="805" t="b">
        <f t="shared" si="8"/>
        <v>0</v>
      </c>
      <c r="C161" s="180"/>
      <c r="D161" s="180"/>
      <c r="E161" s="676">
        <v>17.100000000000001</v>
      </c>
      <c r="F161" s="798" t="str" cm="1">
        <f t="array" ref="F161">F160</f>
        <v>2</v>
      </c>
      <c r="G161" s="180"/>
      <c r="H161" s="178">
        <f>first_year+29</f>
        <v>2050</v>
      </c>
      <c r="I161" s="180"/>
      <c r="J161" s="180"/>
      <c r="K161" s="180"/>
      <c r="L161" s="180"/>
      <c r="M161" s="180"/>
      <c r="N161" s="180"/>
      <c r="O161" s="180"/>
      <c r="P161" s="180"/>
      <c r="Q161" s="180"/>
      <c r="R161" s="180"/>
      <c r="S161" s="180"/>
      <c r="T161" s="687" t="b" cm="1">
        <f t="array" ref="T161">T160</f>
        <v>1</v>
      </c>
      <c r="U161" s="180"/>
      <c r="V161" s="180"/>
      <c r="W161" s="180"/>
      <c r="X161" s="1860"/>
      <c r="Y161" s="180"/>
      <c r="Z161" s="1860"/>
      <c r="AA161" s="180"/>
      <c r="AB161" s="278" t="str">
        <f t="shared" si="9"/>
        <v>2050 год</v>
      </c>
      <c r="AC161" s="102"/>
      <c r="AD161" s="103"/>
      <c r="AE161" s="103"/>
      <c r="AF161" s="102"/>
      <c r="AG161" s="102"/>
      <c r="AH161" s="103"/>
      <c r="AI161" s="102"/>
      <c r="AJ161" s="102"/>
      <c r="AK161" s="104"/>
      <c r="AL161" s="180"/>
      <c r="AM161" s="180"/>
      <c r="AN161" s="1030" cm="1">
        <f t="array" ref="AN161">H161</f>
        <v>2050</v>
      </c>
    </row>
    <row r="162" spans="1:40" s="1631" customFormat="1" ht="16.5" hidden="1" customHeight="1">
      <c r="A162" s="180"/>
      <c r="B162" s="805" t="b">
        <f t="shared" si="8"/>
        <v>0</v>
      </c>
      <c r="C162" s="180"/>
      <c r="D162" s="180"/>
      <c r="E162" s="676">
        <v>17.100000000000001</v>
      </c>
      <c r="F162" s="798" t="str" cm="1">
        <f t="array" ref="F162">F161</f>
        <v>2</v>
      </c>
      <c r="G162" s="180"/>
      <c r="H162" s="178">
        <f>first_year+30</f>
        <v>2051</v>
      </c>
      <c r="I162" s="180"/>
      <c r="J162" s="180"/>
      <c r="K162" s="180"/>
      <c r="L162" s="180"/>
      <c r="M162" s="180"/>
      <c r="N162" s="180"/>
      <c r="O162" s="180"/>
      <c r="P162" s="180"/>
      <c r="Q162" s="180"/>
      <c r="R162" s="180"/>
      <c r="S162" s="180"/>
      <c r="T162" s="687" t="b" cm="1">
        <f t="array" ref="T162">T161</f>
        <v>1</v>
      </c>
      <c r="U162" s="180"/>
      <c r="V162" s="180"/>
      <c r="W162" s="180"/>
      <c r="X162" s="1860"/>
      <c r="Y162" s="180"/>
      <c r="Z162" s="1860"/>
      <c r="AA162" s="180"/>
      <c r="AB162" s="278" t="str">
        <f t="shared" si="9"/>
        <v>2051 год</v>
      </c>
      <c r="AC162" s="102"/>
      <c r="AD162" s="103"/>
      <c r="AE162" s="103"/>
      <c r="AF162" s="102"/>
      <c r="AG162" s="102"/>
      <c r="AH162" s="103"/>
      <c r="AI162" s="102"/>
      <c r="AJ162" s="102"/>
      <c r="AK162" s="104"/>
      <c r="AL162" s="180"/>
      <c r="AM162" s="180"/>
      <c r="AN162" s="1030" cm="1">
        <f t="array" ref="AN162">H162</f>
        <v>2051</v>
      </c>
    </row>
    <row r="163" spans="1:40" s="1632" customFormat="1" ht="16.5" hidden="1" customHeight="1">
      <c r="A163" s="180"/>
      <c r="B163" s="805" t="b">
        <f t="shared" si="8"/>
        <v>0</v>
      </c>
      <c r="C163" s="180"/>
      <c r="D163" s="180"/>
      <c r="E163" s="676">
        <v>17.100000000000001</v>
      </c>
      <c r="F163" s="798" t="str" cm="1">
        <f t="array" ref="F163">F162</f>
        <v>2</v>
      </c>
      <c r="G163" s="180"/>
      <c r="H163" s="178">
        <f>first_year+31</f>
        <v>2052</v>
      </c>
      <c r="I163" s="180"/>
      <c r="J163" s="180"/>
      <c r="K163" s="180"/>
      <c r="L163" s="180"/>
      <c r="M163" s="180"/>
      <c r="N163" s="180"/>
      <c r="O163" s="180"/>
      <c r="P163" s="180"/>
      <c r="Q163" s="180"/>
      <c r="R163" s="180"/>
      <c r="S163" s="180"/>
      <c r="T163" s="687" t="b" cm="1">
        <f t="array" ref="T163">T162</f>
        <v>1</v>
      </c>
      <c r="U163" s="180"/>
      <c r="V163" s="180"/>
      <c r="W163" s="180"/>
      <c r="X163" s="1860"/>
      <c r="Y163" s="180"/>
      <c r="Z163" s="1860"/>
      <c r="AA163" s="180"/>
      <c r="AB163" s="278" t="str">
        <f t="shared" si="9"/>
        <v>2052 год</v>
      </c>
      <c r="AC163" s="102"/>
      <c r="AD163" s="103"/>
      <c r="AE163" s="103"/>
      <c r="AF163" s="102"/>
      <c r="AG163" s="102"/>
      <c r="AH163" s="103"/>
      <c r="AI163" s="102"/>
      <c r="AJ163" s="102"/>
      <c r="AK163" s="104"/>
      <c r="AL163" s="180"/>
      <c r="AM163" s="180"/>
      <c r="AN163" s="1030" cm="1">
        <f t="array" ref="AN163">H163</f>
        <v>2052</v>
      </c>
    </row>
    <row r="164" spans="1:40" s="1633" customFormat="1" ht="16.5" hidden="1" customHeight="1">
      <c r="A164" s="180"/>
      <c r="B164" s="805" t="b">
        <f t="shared" ref="B164:B181" si="10">H164&lt;first_year+PERIOD_LENGTH</f>
        <v>0</v>
      </c>
      <c r="C164" s="180"/>
      <c r="D164" s="180"/>
      <c r="E164" s="676">
        <v>17.100000000000001</v>
      </c>
      <c r="F164" s="798" t="str" cm="1">
        <f t="array" ref="F164">F163</f>
        <v>2</v>
      </c>
      <c r="G164" s="180"/>
      <c r="H164" s="178">
        <f>first_year+32</f>
        <v>2053</v>
      </c>
      <c r="I164" s="180"/>
      <c r="J164" s="180"/>
      <c r="K164" s="180"/>
      <c r="L164" s="180"/>
      <c r="M164" s="180"/>
      <c r="N164" s="180"/>
      <c r="O164" s="180"/>
      <c r="P164" s="180"/>
      <c r="Q164" s="180"/>
      <c r="R164" s="180"/>
      <c r="S164" s="180"/>
      <c r="T164" s="687" t="b" cm="1">
        <f t="array" ref="T164">T163</f>
        <v>1</v>
      </c>
      <c r="U164" s="180"/>
      <c r="V164" s="180"/>
      <c r="W164" s="180"/>
      <c r="X164" s="1860"/>
      <c r="Y164" s="180"/>
      <c r="Z164" s="1860"/>
      <c r="AA164" s="180"/>
      <c r="AB164" s="278" t="str">
        <f t="shared" ref="AB164:AB181" si="11">H164&amp;" год"</f>
        <v>2053 год</v>
      </c>
      <c r="AC164" s="102"/>
      <c r="AD164" s="103"/>
      <c r="AE164" s="103"/>
      <c r="AF164" s="102"/>
      <c r="AG164" s="102"/>
      <c r="AH164" s="103"/>
      <c r="AI164" s="102"/>
      <c r="AJ164" s="102"/>
      <c r="AK164" s="104"/>
      <c r="AL164" s="180"/>
      <c r="AM164" s="180"/>
      <c r="AN164" s="1030" cm="1">
        <f t="array" ref="AN164">H164</f>
        <v>2053</v>
      </c>
    </row>
    <row r="165" spans="1:40" s="1634" customFormat="1" ht="16.5" hidden="1" customHeight="1">
      <c r="A165" s="180"/>
      <c r="B165" s="805" t="b">
        <f t="shared" si="10"/>
        <v>0</v>
      </c>
      <c r="C165" s="180"/>
      <c r="D165" s="180"/>
      <c r="E165" s="676">
        <v>17.100000000000001</v>
      </c>
      <c r="F165" s="798" t="str" cm="1">
        <f t="array" ref="F165">F164</f>
        <v>2</v>
      </c>
      <c r="G165" s="180"/>
      <c r="H165" s="178">
        <f>first_year+33</f>
        <v>2054</v>
      </c>
      <c r="I165" s="180"/>
      <c r="J165" s="180"/>
      <c r="K165" s="180"/>
      <c r="L165" s="180"/>
      <c r="M165" s="180"/>
      <c r="N165" s="180"/>
      <c r="O165" s="180"/>
      <c r="P165" s="180"/>
      <c r="Q165" s="180"/>
      <c r="R165" s="180"/>
      <c r="S165" s="180"/>
      <c r="T165" s="687" t="b" cm="1">
        <f t="array" ref="T165">T164</f>
        <v>1</v>
      </c>
      <c r="U165" s="180"/>
      <c r="V165" s="180"/>
      <c r="W165" s="180"/>
      <c r="X165" s="1860"/>
      <c r="Y165" s="180"/>
      <c r="Z165" s="1860"/>
      <c r="AA165" s="180"/>
      <c r="AB165" s="278" t="str">
        <f t="shared" si="11"/>
        <v>2054 год</v>
      </c>
      <c r="AC165" s="102"/>
      <c r="AD165" s="103"/>
      <c r="AE165" s="103"/>
      <c r="AF165" s="102"/>
      <c r="AG165" s="102"/>
      <c r="AH165" s="103"/>
      <c r="AI165" s="102"/>
      <c r="AJ165" s="102"/>
      <c r="AK165" s="104"/>
      <c r="AL165" s="180"/>
      <c r="AM165" s="180"/>
      <c r="AN165" s="1030" cm="1">
        <f t="array" ref="AN165">H165</f>
        <v>2054</v>
      </c>
    </row>
    <row r="166" spans="1:40" s="1635" customFormat="1" ht="16.5" hidden="1" customHeight="1">
      <c r="A166" s="180"/>
      <c r="B166" s="805" t="b">
        <f t="shared" si="10"/>
        <v>0</v>
      </c>
      <c r="C166" s="180"/>
      <c r="D166" s="180"/>
      <c r="E166" s="676">
        <v>17.100000000000001</v>
      </c>
      <c r="F166" s="798" t="str" cm="1">
        <f t="array" ref="F166">F165</f>
        <v>2</v>
      </c>
      <c r="G166" s="180"/>
      <c r="H166" s="178">
        <f>first_year+34</f>
        <v>2055</v>
      </c>
      <c r="I166" s="180"/>
      <c r="J166" s="180"/>
      <c r="K166" s="180"/>
      <c r="L166" s="180"/>
      <c r="M166" s="180"/>
      <c r="N166" s="180"/>
      <c r="O166" s="180"/>
      <c r="P166" s="180"/>
      <c r="Q166" s="180"/>
      <c r="R166" s="180"/>
      <c r="S166" s="180"/>
      <c r="T166" s="687" t="b" cm="1">
        <f t="array" ref="T166">T165</f>
        <v>1</v>
      </c>
      <c r="U166" s="180"/>
      <c r="V166" s="180"/>
      <c r="W166" s="180"/>
      <c r="X166" s="1860"/>
      <c r="Y166" s="180"/>
      <c r="Z166" s="1860"/>
      <c r="AA166" s="180"/>
      <c r="AB166" s="278" t="str">
        <f t="shared" si="11"/>
        <v>2055 год</v>
      </c>
      <c r="AC166" s="102"/>
      <c r="AD166" s="103"/>
      <c r="AE166" s="103"/>
      <c r="AF166" s="102"/>
      <c r="AG166" s="102"/>
      <c r="AH166" s="103"/>
      <c r="AI166" s="102"/>
      <c r="AJ166" s="102"/>
      <c r="AK166" s="104"/>
      <c r="AL166" s="180"/>
      <c r="AM166" s="180"/>
      <c r="AN166" s="1030" cm="1">
        <f t="array" ref="AN166">H166</f>
        <v>2055</v>
      </c>
    </row>
    <row r="167" spans="1:40" s="1636" customFormat="1" ht="16.5" hidden="1" customHeight="1">
      <c r="A167" s="180"/>
      <c r="B167" s="805" t="b">
        <f t="shared" si="10"/>
        <v>0</v>
      </c>
      <c r="C167" s="180"/>
      <c r="D167" s="180"/>
      <c r="E167" s="676">
        <v>17.100000000000001</v>
      </c>
      <c r="F167" s="798" t="str" cm="1">
        <f t="array" ref="F167">F166</f>
        <v>2</v>
      </c>
      <c r="G167" s="180"/>
      <c r="H167" s="178">
        <f>first_year+35</f>
        <v>2056</v>
      </c>
      <c r="I167" s="180"/>
      <c r="J167" s="180"/>
      <c r="K167" s="180"/>
      <c r="L167" s="180"/>
      <c r="M167" s="180"/>
      <c r="N167" s="180"/>
      <c r="O167" s="180"/>
      <c r="P167" s="180"/>
      <c r="Q167" s="180"/>
      <c r="R167" s="180"/>
      <c r="S167" s="180"/>
      <c r="T167" s="687" t="b" cm="1">
        <f t="array" ref="T167">T166</f>
        <v>1</v>
      </c>
      <c r="U167" s="180"/>
      <c r="V167" s="180"/>
      <c r="W167" s="180"/>
      <c r="X167" s="1860"/>
      <c r="Y167" s="180"/>
      <c r="Z167" s="1860"/>
      <c r="AA167" s="180"/>
      <c r="AB167" s="278" t="str">
        <f t="shared" si="11"/>
        <v>2056 год</v>
      </c>
      <c r="AC167" s="102"/>
      <c r="AD167" s="103"/>
      <c r="AE167" s="103"/>
      <c r="AF167" s="102"/>
      <c r="AG167" s="102"/>
      <c r="AH167" s="103"/>
      <c r="AI167" s="102"/>
      <c r="AJ167" s="102"/>
      <c r="AK167" s="104"/>
      <c r="AL167" s="180"/>
      <c r="AM167" s="180"/>
      <c r="AN167" s="1030" cm="1">
        <f t="array" ref="AN167">H167</f>
        <v>2056</v>
      </c>
    </row>
    <row r="168" spans="1:40" s="1637" customFormat="1" ht="16.5" hidden="1" customHeight="1">
      <c r="A168" s="180"/>
      <c r="B168" s="805" t="b">
        <f t="shared" si="10"/>
        <v>0</v>
      </c>
      <c r="C168" s="180"/>
      <c r="D168" s="180"/>
      <c r="E168" s="676">
        <v>17.100000000000001</v>
      </c>
      <c r="F168" s="798" t="str" cm="1">
        <f t="array" ref="F168">F167</f>
        <v>2</v>
      </c>
      <c r="G168" s="180"/>
      <c r="H168" s="178">
        <f>first_year+36</f>
        <v>2057</v>
      </c>
      <c r="I168" s="180"/>
      <c r="J168" s="180"/>
      <c r="K168" s="180"/>
      <c r="L168" s="180"/>
      <c r="M168" s="180"/>
      <c r="N168" s="180"/>
      <c r="O168" s="180"/>
      <c r="P168" s="180"/>
      <c r="Q168" s="180"/>
      <c r="R168" s="180"/>
      <c r="S168" s="180"/>
      <c r="T168" s="687" t="b" cm="1">
        <f t="array" ref="T168">T167</f>
        <v>1</v>
      </c>
      <c r="U168" s="180"/>
      <c r="V168" s="180"/>
      <c r="W168" s="180"/>
      <c r="X168" s="1860"/>
      <c r="Y168" s="180"/>
      <c r="Z168" s="1860"/>
      <c r="AA168" s="180"/>
      <c r="AB168" s="278" t="str">
        <f t="shared" si="11"/>
        <v>2057 год</v>
      </c>
      <c r="AC168" s="102"/>
      <c r="AD168" s="103"/>
      <c r="AE168" s="103"/>
      <c r="AF168" s="102"/>
      <c r="AG168" s="102"/>
      <c r="AH168" s="103"/>
      <c r="AI168" s="102"/>
      <c r="AJ168" s="102"/>
      <c r="AK168" s="104"/>
      <c r="AL168" s="180"/>
      <c r="AM168" s="180"/>
      <c r="AN168" s="1030" cm="1">
        <f t="array" ref="AN168">H168</f>
        <v>2057</v>
      </c>
    </row>
    <row r="169" spans="1:40" s="1638" customFormat="1" ht="16.5" hidden="1" customHeight="1">
      <c r="A169" s="180"/>
      <c r="B169" s="805" t="b">
        <f t="shared" si="10"/>
        <v>0</v>
      </c>
      <c r="C169" s="180"/>
      <c r="D169" s="180"/>
      <c r="E169" s="676">
        <v>17.100000000000001</v>
      </c>
      <c r="F169" s="798" t="str" cm="1">
        <f t="array" ref="F169">F168</f>
        <v>2</v>
      </c>
      <c r="G169" s="180"/>
      <c r="H169" s="178">
        <f>first_year+37</f>
        <v>2058</v>
      </c>
      <c r="I169" s="180"/>
      <c r="J169" s="180"/>
      <c r="K169" s="180"/>
      <c r="L169" s="180"/>
      <c r="M169" s="180"/>
      <c r="N169" s="180"/>
      <c r="O169" s="180"/>
      <c r="P169" s="180"/>
      <c r="Q169" s="180"/>
      <c r="R169" s="180"/>
      <c r="S169" s="180"/>
      <c r="T169" s="687" t="b" cm="1">
        <f t="array" ref="T169">T168</f>
        <v>1</v>
      </c>
      <c r="U169" s="180"/>
      <c r="V169" s="180"/>
      <c r="W169" s="180"/>
      <c r="X169" s="1860"/>
      <c r="Y169" s="180"/>
      <c r="Z169" s="1860"/>
      <c r="AA169" s="180"/>
      <c r="AB169" s="278" t="str">
        <f t="shared" si="11"/>
        <v>2058 год</v>
      </c>
      <c r="AC169" s="102"/>
      <c r="AD169" s="103"/>
      <c r="AE169" s="103"/>
      <c r="AF169" s="102"/>
      <c r="AG169" s="102"/>
      <c r="AH169" s="103"/>
      <c r="AI169" s="102"/>
      <c r="AJ169" s="102"/>
      <c r="AK169" s="104"/>
      <c r="AL169" s="180"/>
      <c r="AM169" s="180"/>
      <c r="AN169" s="1030" cm="1">
        <f t="array" ref="AN169">H169</f>
        <v>2058</v>
      </c>
    </row>
    <row r="170" spans="1:40" s="1639" customFormat="1" ht="16.5" hidden="1" customHeight="1">
      <c r="A170" s="180"/>
      <c r="B170" s="805" t="b">
        <f t="shared" si="10"/>
        <v>0</v>
      </c>
      <c r="C170" s="180"/>
      <c r="D170" s="180"/>
      <c r="E170" s="676">
        <v>17.100000000000001</v>
      </c>
      <c r="F170" s="798" t="str" cm="1">
        <f t="array" ref="F170">F169</f>
        <v>2</v>
      </c>
      <c r="G170" s="180"/>
      <c r="H170" s="178">
        <f>first_year+38</f>
        <v>2059</v>
      </c>
      <c r="I170" s="180"/>
      <c r="J170" s="180"/>
      <c r="K170" s="180"/>
      <c r="L170" s="180"/>
      <c r="M170" s="180"/>
      <c r="N170" s="180"/>
      <c r="O170" s="180"/>
      <c r="P170" s="180"/>
      <c r="Q170" s="180"/>
      <c r="R170" s="180"/>
      <c r="S170" s="180"/>
      <c r="T170" s="687" t="b" cm="1">
        <f t="array" ref="T170">T169</f>
        <v>1</v>
      </c>
      <c r="U170" s="180"/>
      <c r="V170" s="180"/>
      <c r="W170" s="180"/>
      <c r="X170" s="1860"/>
      <c r="Y170" s="180"/>
      <c r="Z170" s="1860"/>
      <c r="AA170" s="180"/>
      <c r="AB170" s="278" t="str">
        <f t="shared" si="11"/>
        <v>2059 год</v>
      </c>
      <c r="AC170" s="102"/>
      <c r="AD170" s="103"/>
      <c r="AE170" s="103"/>
      <c r="AF170" s="102"/>
      <c r="AG170" s="102"/>
      <c r="AH170" s="103"/>
      <c r="AI170" s="102"/>
      <c r="AJ170" s="102"/>
      <c r="AK170" s="104"/>
      <c r="AL170" s="180"/>
      <c r="AM170" s="180"/>
      <c r="AN170" s="1030" cm="1">
        <f t="array" ref="AN170">H170</f>
        <v>2059</v>
      </c>
    </row>
    <row r="171" spans="1:40" s="1640" customFormat="1" ht="16.5" hidden="1" customHeight="1">
      <c r="A171" s="180"/>
      <c r="B171" s="805" t="b">
        <f t="shared" si="10"/>
        <v>0</v>
      </c>
      <c r="C171" s="180"/>
      <c r="D171" s="180"/>
      <c r="E171" s="676">
        <v>17.100000000000001</v>
      </c>
      <c r="F171" s="798" t="str" cm="1">
        <f t="array" ref="F171">F170</f>
        <v>2</v>
      </c>
      <c r="G171" s="180"/>
      <c r="H171" s="178">
        <f>first_year+39</f>
        <v>2060</v>
      </c>
      <c r="I171" s="180"/>
      <c r="J171" s="180"/>
      <c r="K171" s="180"/>
      <c r="L171" s="180"/>
      <c r="M171" s="180"/>
      <c r="N171" s="180"/>
      <c r="O171" s="180"/>
      <c r="P171" s="180"/>
      <c r="Q171" s="180"/>
      <c r="R171" s="180"/>
      <c r="S171" s="180"/>
      <c r="T171" s="687" t="b" cm="1">
        <f t="array" ref="T171">T170</f>
        <v>1</v>
      </c>
      <c r="U171" s="180"/>
      <c r="V171" s="180"/>
      <c r="W171" s="180"/>
      <c r="X171" s="1860"/>
      <c r="Y171" s="180"/>
      <c r="Z171" s="1860"/>
      <c r="AA171" s="180"/>
      <c r="AB171" s="278" t="str">
        <f t="shared" si="11"/>
        <v>2060 год</v>
      </c>
      <c r="AC171" s="102"/>
      <c r="AD171" s="103"/>
      <c r="AE171" s="103"/>
      <c r="AF171" s="102"/>
      <c r="AG171" s="102"/>
      <c r="AH171" s="103"/>
      <c r="AI171" s="102"/>
      <c r="AJ171" s="102"/>
      <c r="AK171" s="104"/>
      <c r="AL171" s="180"/>
      <c r="AM171" s="180"/>
      <c r="AN171" s="1030" cm="1">
        <f t="array" ref="AN171">H171</f>
        <v>2060</v>
      </c>
    </row>
    <row r="172" spans="1:40" s="1641" customFormat="1" ht="16.5" hidden="1" customHeight="1">
      <c r="A172" s="180"/>
      <c r="B172" s="805" t="b">
        <f t="shared" si="10"/>
        <v>0</v>
      </c>
      <c r="C172" s="180"/>
      <c r="D172" s="180"/>
      <c r="E172" s="676">
        <v>17.100000000000001</v>
      </c>
      <c r="F172" s="798" t="str" cm="1">
        <f t="array" ref="F172">F171</f>
        <v>2</v>
      </c>
      <c r="G172" s="180"/>
      <c r="H172" s="178">
        <f>first_year+40</f>
        <v>2061</v>
      </c>
      <c r="I172" s="180"/>
      <c r="J172" s="180"/>
      <c r="K172" s="180"/>
      <c r="L172" s="180"/>
      <c r="M172" s="180"/>
      <c r="N172" s="180"/>
      <c r="O172" s="180"/>
      <c r="P172" s="180"/>
      <c r="Q172" s="180"/>
      <c r="R172" s="180"/>
      <c r="S172" s="180"/>
      <c r="T172" s="687" t="b" cm="1">
        <f t="array" ref="T172">T171</f>
        <v>1</v>
      </c>
      <c r="U172" s="180"/>
      <c r="V172" s="180"/>
      <c r="W172" s="180"/>
      <c r="X172" s="1860"/>
      <c r="Y172" s="180"/>
      <c r="Z172" s="1860"/>
      <c r="AA172" s="180"/>
      <c r="AB172" s="278" t="str">
        <f t="shared" si="11"/>
        <v>2061 год</v>
      </c>
      <c r="AC172" s="102"/>
      <c r="AD172" s="103"/>
      <c r="AE172" s="103"/>
      <c r="AF172" s="102"/>
      <c r="AG172" s="102"/>
      <c r="AH172" s="103"/>
      <c r="AI172" s="102"/>
      <c r="AJ172" s="102"/>
      <c r="AK172" s="104"/>
      <c r="AL172" s="180"/>
      <c r="AM172" s="180"/>
      <c r="AN172" s="1030" cm="1">
        <f t="array" ref="AN172">H172</f>
        <v>2061</v>
      </c>
    </row>
    <row r="173" spans="1:40" s="1642" customFormat="1" ht="16.5" hidden="1" customHeight="1">
      <c r="A173" s="180"/>
      <c r="B173" s="805" t="b">
        <f t="shared" si="10"/>
        <v>0</v>
      </c>
      <c r="C173" s="180"/>
      <c r="D173" s="180"/>
      <c r="E173" s="676">
        <v>17.100000000000001</v>
      </c>
      <c r="F173" s="798" t="str" cm="1">
        <f t="array" ref="F173">F172</f>
        <v>2</v>
      </c>
      <c r="G173" s="180"/>
      <c r="H173" s="178">
        <f>first_year+41</f>
        <v>2062</v>
      </c>
      <c r="I173" s="180"/>
      <c r="J173" s="180"/>
      <c r="K173" s="180"/>
      <c r="L173" s="180"/>
      <c r="M173" s="180"/>
      <c r="N173" s="180"/>
      <c r="O173" s="180"/>
      <c r="P173" s="180"/>
      <c r="Q173" s="180"/>
      <c r="R173" s="180"/>
      <c r="S173" s="180"/>
      <c r="T173" s="687" t="b" cm="1">
        <f t="array" ref="T173">T172</f>
        <v>1</v>
      </c>
      <c r="U173" s="180"/>
      <c r="V173" s="180"/>
      <c r="W173" s="180"/>
      <c r="X173" s="1860"/>
      <c r="Y173" s="180"/>
      <c r="Z173" s="1860"/>
      <c r="AA173" s="180"/>
      <c r="AB173" s="278" t="str">
        <f t="shared" si="11"/>
        <v>2062 год</v>
      </c>
      <c r="AC173" s="102"/>
      <c r="AD173" s="103"/>
      <c r="AE173" s="103"/>
      <c r="AF173" s="102"/>
      <c r="AG173" s="102"/>
      <c r="AH173" s="103"/>
      <c r="AI173" s="102"/>
      <c r="AJ173" s="102"/>
      <c r="AK173" s="104"/>
      <c r="AL173" s="180"/>
      <c r="AM173" s="180"/>
      <c r="AN173" s="1030" cm="1">
        <f t="array" ref="AN173">H173</f>
        <v>2062</v>
      </c>
    </row>
    <row r="174" spans="1:40" s="1643" customFormat="1" ht="16.5" hidden="1" customHeight="1">
      <c r="A174" s="180"/>
      <c r="B174" s="805" t="b">
        <f t="shared" si="10"/>
        <v>0</v>
      </c>
      <c r="C174" s="180"/>
      <c r="D174" s="180"/>
      <c r="E174" s="676">
        <v>17.100000000000001</v>
      </c>
      <c r="F174" s="798" t="str" cm="1">
        <f t="array" ref="F174">F173</f>
        <v>2</v>
      </c>
      <c r="G174" s="180"/>
      <c r="H174" s="178">
        <f>first_year+42</f>
        <v>2063</v>
      </c>
      <c r="I174" s="180"/>
      <c r="J174" s="180"/>
      <c r="K174" s="180"/>
      <c r="L174" s="180"/>
      <c r="M174" s="180"/>
      <c r="N174" s="180"/>
      <c r="O174" s="180"/>
      <c r="P174" s="180"/>
      <c r="Q174" s="180"/>
      <c r="R174" s="180"/>
      <c r="S174" s="180"/>
      <c r="T174" s="687" t="b" cm="1">
        <f t="array" ref="T174">T173</f>
        <v>1</v>
      </c>
      <c r="U174" s="180"/>
      <c r="V174" s="180"/>
      <c r="W174" s="180"/>
      <c r="X174" s="1860"/>
      <c r="Y174" s="180"/>
      <c r="Z174" s="1860"/>
      <c r="AA174" s="180"/>
      <c r="AB174" s="278" t="str">
        <f t="shared" si="11"/>
        <v>2063 год</v>
      </c>
      <c r="AC174" s="102"/>
      <c r="AD174" s="103"/>
      <c r="AE174" s="103"/>
      <c r="AF174" s="102"/>
      <c r="AG174" s="102"/>
      <c r="AH174" s="103"/>
      <c r="AI174" s="102"/>
      <c r="AJ174" s="102"/>
      <c r="AK174" s="104"/>
      <c r="AL174" s="180"/>
      <c r="AM174" s="180"/>
      <c r="AN174" s="1030" cm="1">
        <f t="array" ref="AN174">H174</f>
        <v>2063</v>
      </c>
    </row>
    <row r="175" spans="1:40" s="1644" customFormat="1" ht="16.5" hidden="1" customHeight="1">
      <c r="A175" s="180"/>
      <c r="B175" s="805" t="b">
        <f t="shared" si="10"/>
        <v>0</v>
      </c>
      <c r="C175" s="180"/>
      <c r="D175" s="180"/>
      <c r="E175" s="676">
        <v>17.100000000000001</v>
      </c>
      <c r="F175" s="798" t="str" cm="1">
        <f t="array" ref="F175">F174</f>
        <v>2</v>
      </c>
      <c r="G175" s="180"/>
      <c r="H175" s="178">
        <f>first_year+43</f>
        <v>2064</v>
      </c>
      <c r="I175" s="180"/>
      <c r="J175" s="180"/>
      <c r="K175" s="180"/>
      <c r="L175" s="180"/>
      <c r="M175" s="180"/>
      <c r="N175" s="180"/>
      <c r="O175" s="180"/>
      <c r="P175" s="180"/>
      <c r="Q175" s="180"/>
      <c r="R175" s="180"/>
      <c r="S175" s="180"/>
      <c r="T175" s="687" t="b" cm="1">
        <f t="array" ref="T175">T174</f>
        <v>1</v>
      </c>
      <c r="U175" s="180"/>
      <c r="V175" s="180"/>
      <c r="W175" s="180"/>
      <c r="X175" s="1860"/>
      <c r="Y175" s="180"/>
      <c r="Z175" s="1860"/>
      <c r="AA175" s="180"/>
      <c r="AB175" s="278" t="str">
        <f t="shared" si="11"/>
        <v>2064 год</v>
      </c>
      <c r="AC175" s="102"/>
      <c r="AD175" s="103"/>
      <c r="AE175" s="103"/>
      <c r="AF175" s="102"/>
      <c r="AG175" s="102"/>
      <c r="AH175" s="103"/>
      <c r="AI175" s="102"/>
      <c r="AJ175" s="102"/>
      <c r="AK175" s="104"/>
      <c r="AL175" s="180"/>
      <c r="AM175" s="180"/>
      <c r="AN175" s="1030" cm="1">
        <f t="array" ref="AN175">H175</f>
        <v>2064</v>
      </c>
    </row>
    <row r="176" spans="1:40" s="1645" customFormat="1" ht="16.5" hidden="1" customHeight="1">
      <c r="A176" s="180"/>
      <c r="B176" s="805" t="b">
        <f t="shared" si="10"/>
        <v>0</v>
      </c>
      <c r="C176" s="180"/>
      <c r="D176" s="180"/>
      <c r="E176" s="676">
        <v>17.100000000000001</v>
      </c>
      <c r="F176" s="798" t="str" cm="1">
        <f t="array" ref="F176">F175</f>
        <v>2</v>
      </c>
      <c r="G176" s="180"/>
      <c r="H176" s="178">
        <f>first_year+44</f>
        <v>2065</v>
      </c>
      <c r="I176" s="180"/>
      <c r="J176" s="180"/>
      <c r="K176" s="180"/>
      <c r="L176" s="180"/>
      <c r="M176" s="180"/>
      <c r="N176" s="180"/>
      <c r="O176" s="180"/>
      <c r="P176" s="180"/>
      <c r="Q176" s="180"/>
      <c r="R176" s="180"/>
      <c r="S176" s="180"/>
      <c r="T176" s="687" t="b" cm="1">
        <f t="array" ref="T176">T175</f>
        <v>1</v>
      </c>
      <c r="U176" s="180"/>
      <c r="V176" s="180"/>
      <c r="W176" s="180"/>
      <c r="X176" s="1860"/>
      <c r="Y176" s="180"/>
      <c r="Z176" s="1860"/>
      <c r="AA176" s="180"/>
      <c r="AB176" s="278" t="str">
        <f t="shared" si="11"/>
        <v>2065 год</v>
      </c>
      <c r="AC176" s="102"/>
      <c r="AD176" s="103"/>
      <c r="AE176" s="103"/>
      <c r="AF176" s="102"/>
      <c r="AG176" s="102"/>
      <c r="AH176" s="103"/>
      <c r="AI176" s="102"/>
      <c r="AJ176" s="102"/>
      <c r="AK176" s="104"/>
      <c r="AL176" s="180"/>
      <c r="AM176" s="180"/>
      <c r="AN176" s="1030" cm="1">
        <f t="array" ref="AN176">H176</f>
        <v>2065</v>
      </c>
    </row>
    <row r="177" spans="1:40" s="1646" customFormat="1" ht="16.5" hidden="1" customHeight="1">
      <c r="A177" s="180"/>
      <c r="B177" s="805" t="b">
        <f t="shared" si="10"/>
        <v>0</v>
      </c>
      <c r="C177" s="180"/>
      <c r="D177" s="180"/>
      <c r="E177" s="676">
        <v>17.100000000000001</v>
      </c>
      <c r="F177" s="798" t="str" cm="1">
        <f t="array" ref="F177">F176</f>
        <v>2</v>
      </c>
      <c r="G177" s="180"/>
      <c r="H177" s="178">
        <f>first_year+45</f>
        <v>2066</v>
      </c>
      <c r="I177" s="180"/>
      <c r="J177" s="180"/>
      <c r="K177" s="180"/>
      <c r="L177" s="180"/>
      <c r="M177" s="180"/>
      <c r="N177" s="180"/>
      <c r="O177" s="180"/>
      <c r="P177" s="180"/>
      <c r="Q177" s="180"/>
      <c r="R177" s="180"/>
      <c r="S177" s="180"/>
      <c r="T177" s="687" t="b" cm="1">
        <f t="array" ref="T177">T176</f>
        <v>1</v>
      </c>
      <c r="U177" s="180"/>
      <c r="V177" s="180"/>
      <c r="W177" s="180"/>
      <c r="X177" s="1860"/>
      <c r="Y177" s="180"/>
      <c r="Z177" s="1860"/>
      <c r="AA177" s="180"/>
      <c r="AB177" s="278" t="str">
        <f t="shared" si="11"/>
        <v>2066 год</v>
      </c>
      <c r="AC177" s="102"/>
      <c r="AD177" s="103"/>
      <c r="AE177" s="103"/>
      <c r="AF177" s="102"/>
      <c r="AG177" s="102"/>
      <c r="AH177" s="103"/>
      <c r="AI177" s="102"/>
      <c r="AJ177" s="102"/>
      <c r="AK177" s="104"/>
      <c r="AL177" s="180"/>
      <c r="AM177" s="180"/>
      <c r="AN177" s="1030" cm="1">
        <f t="array" ref="AN177">H177</f>
        <v>2066</v>
      </c>
    </row>
    <row r="178" spans="1:40" s="1647" customFormat="1" ht="16.5" hidden="1" customHeight="1">
      <c r="A178" s="180"/>
      <c r="B178" s="805" t="b">
        <f t="shared" si="10"/>
        <v>0</v>
      </c>
      <c r="C178" s="180"/>
      <c r="D178" s="180"/>
      <c r="E178" s="676">
        <v>17.100000000000001</v>
      </c>
      <c r="F178" s="798" t="str" cm="1">
        <f t="array" ref="F178">F177</f>
        <v>2</v>
      </c>
      <c r="G178" s="180"/>
      <c r="H178" s="178">
        <f>first_year+46</f>
        <v>2067</v>
      </c>
      <c r="I178" s="180"/>
      <c r="J178" s="180"/>
      <c r="K178" s="180"/>
      <c r="L178" s="180"/>
      <c r="M178" s="180"/>
      <c r="N178" s="180"/>
      <c r="O178" s="180"/>
      <c r="P178" s="180"/>
      <c r="Q178" s="180"/>
      <c r="R178" s="180"/>
      <c r="S178" s="180"/>
      <c r="T178" s="687" t="b" cm="1">
        <f t="array" ref="T178">T177</f>
        <v>1</v>
      </c>
      <c r="U178" s="180"/>
      <c r="V178" s="180"/>
      <c r="W178" s="180"/>
      <c r="X178" s="1860"/>
      <c r="Y178" s="180"/>
      <c r="Z178" s="1860"/>
      <c r="AA178" s="180"/>
      <c r="AB178" s="278" t="str">
        <f t="shared" si="11"/>
        <v>2067 год</v>
      </c>
      <c r="AC178" s="102"/>
      <c r="AD178" s="103"/>
      <c r="AE178" s="103"/>
      <c r="AF178" s="102"/>
      <c r="AG178" s="102"/>
      <c r="AH178" s="103"/>
      <c r="AI178" s="102"/>
      <c r="AJ178" s="102"/>
      <c r="AK178" s="104"/>
      <c r="AL178" s="180"/>
      <c r="AM178" s="180"/>
      <c r="AN178" s="1030" cm="1">
        <f t="array" ref="AN178">H178</f>
        <v>2067</v>
      </c>
    </row>
    <row r="179" spans="1:40" s="1648" customFormat="1" ht="16.5" hidden="1" customHeight="1">
      <c r="A179" s="180"/>
      <c r="B179" s="805" t="b">
        <f t="shared" si="10"/>
        <v>0</v>
      </c>
      <c r="C179" s="180"/>
      <c r="D179" s="180"/>
      <c r="E179" s="676">
        <v>17.100000000000001</v>
      </c>
      <c r="F179" s="798" t="str" cm="1">
        <f t="array" ref="F179">F178</f>
        <v>2</v>
      </c>
      <c r="G179" s="180"/>
      <c r="H179" s="178">
        <f>first_year+47</f>
        <v>2068</v>
      </c>
      <c r="I179" s="180"/>
      <c r="J179" s="180"/>
      <c r="K179" s="180"/>
      <c r="L179" s="180"/>
      <c r="M179" s="180"/>
      <c r="N179" s="180"/>
      <c r="O179" s="180"/>
      <c r="P179" s="180"/>
      <c r="Q179" s="180"/>
      <c r="R179" s="180"/>
      <c r="S179" s="180"/>
      <c r="T179" s="687" t="b" cm="1">
        <f t="array" ref="T179">T178</f>
        <v>1</v>
      </c>
      <c r="U179" s="180"/>
      <c r="V179" s="180"/>
      <c r="W179" s="180"/>
      <c r="X179" s="1860"/>
      <c r="Y179" s="180"/>
      <c r="Z179" s="1860"/>
      <c r="AA179" s="180"/>
      <c r="AB179" s="278" t="str">
        <f t="shared" si="11"/>
        <v>2068 год</v>
      </c>
      <c r="AC179" s="102"/>
      <c r="AD179" s="103"/>
      <c r="AE179" s="103"/>
      <c r="AF179" s="102"/>
      <c r="AG179" s="102"/>
      <c r="AH179" s="103"/>
      <c r="AI179" s="102"/>
      <c r="AJ179" s="102"/>
      <c r="AK179" s="104"/>
      <c r="AL179" s="180"/>
      <c r="AM179" s="180"/>
      <c r="AN179" s="1030" cm="1">
        <f t="array" ref="AN179">H179</f>
        <v>2068</v>
      </c>
    </row>
    <row r="180" spans="1:40" s="1649" customFormat="1" ht="16.5" hidden="1" customHeight="1">
      <c r="A180" s="180"/>
      <c r="B180" s="805" t="b">
        <f t="shared" si="10"/>
        <v>0</v>
      </c>
      <c r="C180" s="180"/>
      <c r="D180" s="180"/>
      <c r="E180" s="676">
        <v>17.100000000000001</v>
      </c>
      <c r="F180" s="798" t="str" cm="1">
        <f t="array" ref="F180">F179</f>
        <v>2</v>
      </c>
      <c r="G180" s="180"/>
      <c r="H180" s="178">
        <f>first_year+48</f>
        <v>2069</v>
      </c>
      <c r="I180" s="180"/>
      <c r="J180" s="180"/>
      <c r="K180" s="180"/>
      <c r="L180" s="180"/>
      <c r="M180" s="180"/>
      <c r="N180" s="180"/>
      <c r="O180" s="180"/>
      <c r="P180" s="180"/>
      <c r="Q180" s="180"/>
      <c r="R180" s="180"/>
      <c r="S180" s="180"/>
      <c r="T180" s="687" t="b" cm="1">
        <f t="array" ref="T180">T179</f>
        <v>1</v>
      </c>
      <c r="U180" s="180"/>
      <c r="V180" s="180"/>
      <c r="W180" s="180"/>
      <c r="X180" s="1860"/>
      <c r="Y180" s="180"/>
      <c r="Z180" s="1860"/>
      <c r="AA180" s="180"/>
      <c r="AB180" s="278" t="str">
        <f t="shared" si="11"/>
        <v>2069 год</v>
      </c>
      <c r="AC180" s="102"/>
      <c r="AD180" s="103"/>
      <c r="AE180" s="103"/>
      <c r="AF180" s="102"/>
      <c r="AG180" s="102"/>
      <c r="AH180" s="103"/>
      <c r="AI180" s="102"/>
      <c r="AJ180" s="102"/>
      <c r="AK180" s="104"/>
      <c r="AL180" s="180"/>
      <c r="AM180" s="180"/>
      <c r="AN180" s="1030" cm="1">
        <f t="array" ref="AN180">H180</f>
        <v>2069</v>
      </c>
    </row>
    <row r="181" spans="1:40" s="1650" customFormat="1" ht="16.5" hidden="1" customHeight="1">
      <c r="A181" s="180"/>
      <c r="B181" s="805" t="b">
        <f t="shared" si="10"/>
        <v>0</v>
      </c>
      <c r="C181" s="180"/>
      <c r="D181" s="180"/>
      <c r="E181" s="676">
        <v>17.100000000000001</v>
      </c>
      <c r="F181" s="798" t="str" cm="1">
        <f t="array" ref="F181">F180</f>
        <v>2</v>
      </c>
      <c r="G181" s="180"/>
      <c r="H181" s="178">
        <f>first_year+49</f>
        <v>2070</v>
      </c>
      <c r="I181" s="180"/>
      <c r="J181" s="180"/>
      <c r="K181" s="180"/>
      <c r="L181" s="180"/>
      <c r="M181" s="180"/>
      <c r="N181" s="180"/>
      <c r="O181" s="180"/>
      <c r="P181" s="180"/>
      <c r="Q181" s="180"/>
      <c r="R181" s="180"/>
      <c r="S181" s="180"/>
      <c r="T181" s="687" t="b" cm="1">
        <f t="array" ref="T181">T180</f>
        <v>1</v>
      </c>
      <c r="U181" s="180"/>
      <c r="V181" s="180"/>
      <c r="W181" s="180"/>
      <c r="X181" s="1860"/>
      <c r="Y181" s="180"/>
      <c r="Z181" s="1860"/>
      <c r="AA181" s="180"/>
      <c r="AB181" s="278" t="str">
        <f t="shared" si="11"/>
        <v>2070 год</v>
      </c>
      <c r="AC181" s="102"/>
      <c r="AD181" s="103"/>
      <c r="AE181" s="103"/>
      <c r="AF181" s="102"/>
      <c r="AG181" s="102"/>
      <c r="AH181" s="103"/>
      <c r="AI181" s="102"/>
      <c r="AJ181" s="102"/>
      <c r="AK181" s="104"/>
      <c r="AL181" s="180"/>
      <c r="AM181" s="180"/>
      <c r="AN181" s="1030" cm="1">
        <f t="array" ref="AN181">H181</f>
        <v>2070</v>
      </c>
    </row>
    <row r="182" spans="1:40" ht="11.65" customHeight="1">
      <c r="E182" s="676">
        <v>12</v>
      </c>
      <c r="U182" s="129" t="s">
        <v>238</v>
      </c>
      <c r="V182" s="122" t="s">
        <v>2256</v>
      </c>
    </row>
    <row r="183" spans="1:40" ht="14.65" customHeight="1">
      <c r="E183" s="676">
        <v>15</v>
      </c>
      <c r="AB183" s="1738" t="s">
        <v>734</v>
      </c>
      <c r="AC183" s="1738"/>
      <c r="AD183" s="1738"/>
      <c r="AE183" s="1738"/>
      <c r="AF183" s="1738"/>
      <c r="AG183" s="1738"/>
      <c r="AH183" s="1738"/>
      <c r="AI183" s="1738"/>
      <c r="AJ183" s="1738"/>
      <c r="AK183" s="1738"/>
    </row>
    <row r="184" spans="1:40" ht="14.65" customHeight="1">
      <c r="E184" s="676">
        <v>15</v>
      </c>
      <c r="AA184" s="778"/>
      <c r="AB184" s="1862"/>
      <c r="AC184" s="1862"/>
      <c r="AD184" s="1862"/>
      <c r="AE184" s="1862"/>
      <c r="AF184" s="1862"/>
      <c r="AG184" s="1862"/>
      <c r="AH184" s="1862"/>
      <c r="AI184" s="1862"/>
      <c r="AJ184" s="1862"/>
      <c r="AK184" s="1862"/>
    </row>
    <row r="185" spans="1:40" ht="14.65" hidden="1" customHeight="1">
      <c r="E185" s="676">
        <v>15</v>
      </c>
      <c r="T185" s="687" t="b">
        <f>ROW(W185)&gt;ROW(W$185)</f>
        <v>0</v>
      </c>
      <c r="W185" s="126" t="s">
        <v>236</v>
      </c>
      <c r="AA185" s="774" t="s">
        <v>218</v>
      </c>
      <c r="AB185" s="1861"/>
      <c r="AC185" s="1861"/>
      <c r="AD185" s="1861"/>
      <c r="AE185" s="1861"/>
      <c r="AF185" s="1861"/>
      <c r="AG185" s="1861"/>
      <c r="AH185" s="1861"/>
      <c r="AI185" s="1861"/>
      <c r="AJ185" s="1861"/>
      <c r="AK185" s="1861"/>
    </row>
    <row r="186" spans="1:40" ht="14.65" customHeight="1">
      <c r="E186" s="676">
        <v>15</v>
      </c>
      <c r="W186" s="122" t="s">
        <v>237</v>
      </c>
      <c r="AB186" s="1736" t="s">
        <v>735</v>
      </c>
      <c r="AC186" s="1737"/>
      <c r="AD186" s="327"/>
      <c r="AE186" s="327"/>
      <c r="AF186" s="327"/>
      <c r="AG186" s="327"/>
      <c r="AH186" s="327"/>
      <c r="AI186" s="327"/>
      <c r="AJ186" s="327"/>
      <c r="AK186" s="455"/>
    </row>
    <row r="187" spans="1:40" ht="11.25" customHeight="1">
      <c r="AL187" s="163"/>
    </row>
  </sheetData>
  <sheetProtection formatColumns="0" formatRows="0" insertRows="0" deleteColumns="0" deleteRows="0" sort="0" autoFilter="0"/>
  <mergeCells count="17">
    <mergeCell ref="Z131:Z181"/>
    <mergeCell ref="X29:X79"/>
    <mergeCell ref="Z29:Z79"/>
    <mergeCell ref="AB185:AK185"/>
    <mergeCell ref="AB24:AE24"/>
    <mergeCell ref="AB186:AC186"/>
    <mergeCell ref="AB183:AK183"/>
    <mergeCell ref="AB184:AK184"/>
    <mergeCell ref="AC26:AC27"/>
    <mergeCell ref="AD26:AD27"/>
    <mergeCell ref="AE26:AE27"/>
    <mergeCell ref="AB26:AB27"/>
    <mergeCell ref="AJ26:AJ27"/>
    <mergeCell ref="AF26:AI26"/>
    <mergeCell ref="X80:X130"/>
    <mergeCell ref="Z80:Z130"/>
    <mergeCell ref="X131:X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1C48-FDA8-0198-E842-DE49734BB8A8}">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55" hidden="1" customWidth="1"/>
    <col min="2" max="2" width="8.5703125" style="783" hidden="1" customWidth="1"/>
    <col min="3" max="4" width="3.5703125" style="1155" hidden="1" customWidth="1"/>
    <col min="5" max="5" width="8.42578125" style="782" hidden="1" customWidth="1"/>
    <col min="6" max="21" width="3.5703125" style="1155" hidden="1" customWidth="1"/>
    <col min="22" max="22" width="6" style="1155" hidden="1" customWidth="1"/>
    <col min="23" max="23" width="3.5703125" style="1155" hidden="1" customWidth="1"/>
    <col min="24" max="25" width="6.28515625" style="1155" hidden="1" customWidth="1"/>
    <col min="26" max="26" width="5.7109375" style="1155" hidden="1" customWidth="1"/>
    <col min="27" max="27" width="3" style="791" customWidth="1"/>
    <col min="28" max="28" width="94.28515625" style="791" customWidth="1"/>
    <col min="29" max="29" width="3" style="791" customWidth="1"/>
  </cols>
  <sheetData>
    <row r="1" spans="1:29" s="1155" customFormat="1" ht="12" hidden="1" customHeight="1">
      <c r="B1" s="667"/>
      <c r="E1" s="667"/>
      <c r="W1" s="667"/>
      <c r="X1" s="687" t="s">
        <v>86</v>
      </c>
      <c r="Y1" s="687" t="s">
        <v>87</v>
      </c>
      <c r="Z1" s="687" t="s">
        <v>89</v>
      </c>
      <c r="AA1" s="687" t="s">
        <v>93</v>
      </c>
      <c r="AB1" s="687" t="s">
        <v>91</v>
      </c>
    </row>
    <row r="2" spans="1:29" s="783" customFormat="1" ht="12" hidden="1" customHeight="1">
      <c r="B2" s="768" t="s">
        <v>15</v>
      </c>
    </row>
    <row r="3" spans="1:29" s="1155" customFormat="1" ht="12" hidden="1" customHeight="1">
      <c r="B3" s="667"/>
      <c r="E3" s="667"/>
    </row>
    <row r="4" spans="1:29" s="1155" customFormat="1" ht="12" hidden="1" customHeight="1">
      <c r="B4" s="667"/>
      <c r="E4" s="667"/>
    </row>
    <row r="5" spans="1:29" s="782" customFormat="1" ht="12" hidden="1" customHeight="1">
      <c r="A5" s="667"/>
      <c r="B5" s="667"/>
      <c r="C5" s="667"/>
      <c r="D5" s="667"/>
      <c r="E5" s="676" t="s">
        <v>16</v>
      </c>
      <c r="AA5" s="676">
        <v>3</v>
      </c>
      <c r="AB5" s="676">
        <v>94.25</v>
      </c>
      <c r="AC5" s="676">
        <v>3</v>
      </c>
    </row>
    <row r="6" spans="1:29" s="1155" customFormat="1" ht="12" hidden="1" customHeight="1">
      <c r="B6" s="667"/>
      <c r="E6" s="676"/>
    </row>
    <row r="7" spans="1:29" s="814" customFormat="1" ht="12" hidden="1" customHeight="1">
      <c r="A7" s="129"/>
      <c r="B7" s="667"/>
      <c r="C7" s="129"/>
      <c r="D7" s="129"/>
      <c r="E7" s="676"/>
    </row>
    <row r="8" spans="1:29" s="814" customFormat="1" ht="12" hidden="1" customHeight="1">
      <c r="A8" s="129"/>
      <c r="B8" s="667"/>
      <c r="C8" s="129"/>
      <c r="D8" s="129"/>
      <c r="E8" s="676"/>
    </row>
    <row r="9" spans="1:29" s="1155" customFormat="1" ht="12" hidden="1" customHeight="1">
      <c r="B9" s="667"/>
      <c r="E9" s="676"/>
    </row>
    <row r="10" spans="1:29" s="1155" customFormat="1" ht="12" hidden="1" customHeight="1">
      <c r="B10" s="667"/>
      <c r="E10" s="676"/>
    </row>
    <row r="11" spans="1:29" s="1155" customFormat="1" ht="12" hidden="1" customHeight="1">
      <c r="B11" s="667"/>
      <c r="E11" s="676"/>
    </row>
    <row r="12" spans="1:29" s="1155" customFormat="1" ht="12" hidden="1" customHeight="1">
      <c r="B12" s="667"/>
      <c r="E12" s="676"/>
    </row>
    <row r="13" spans="1:29" s="1155" customFormat="1" ht="12" hidden="1" customHeight="1">
      <c r="B13" s="667"/>
      <c r="E13" s="676"/>
    </row>
    <row r="14" spans="1:29" s="1155" customFormat="1" ht="12" hidden="1" customHeight="1">
      <c r="B14" s="667"/>
      <c r="E14" s="676"/>
    </row>
    <row r="15" spans="1:29" s="1155" customFormat="1" ht="12" hidden="1" customHeight="1">
      <c r="B15" s="667"/>
      <c r="E15" s="676"/>
    </row>
    <row r="16" spans="1:29" s="1155" customFormat="1" ht="12" hidden="1" customHeight="1">
      <c r="B16" s="667"/>
      <c r="E16" s="676"/>
    </row>
    <row r="17" spans="2:28" s="1155" customFormat="1" ht="12" hidden="1" customHeight="1">
      <c r="B17" s="667"/>
      <c r="E17" s="676"/>
    </row>
    <row r="18" spans="2:28" s="1155" customFormat="1" ht="12" hidden="1" customHeight="1">
      <c r="B18" s="667"/>
      <c r="E18" s="676"/>
    </row>
    <row r="19" spans="2:28" s="1155" customFormat="1" ht="12" hidden="1" customHeight="1">
      <c r="B19" s="667"/>
      <c r="E19" s="676"/>
    </row>
    <row r="20" spans="2:28" s="1155" customFormat="1" ht="12" hidden="1" customHeight="1">
      <c r="B20" s="667"/>
      <c r="E20" s="676"/>
    </row>
    <row r="21" spans="2:28" ht="11.1" customHeight="1">
      <c r="E21" s="676">
        <v>11.4</v>
      </c>
      <c r="AA21" s="699"/>
      <c r="AB21" s="138"/>
    </row>
    <row r="22" spans="2:28" ht="19.5" customHeight="1">
      <c r="E22" s="676">
        <v>20.100000000000001</v>
      </c>
      <c r="AA22" s="138"/>
      <c r="AB22" s="136" t="s">
        <v>477</v>
      </c>
    </row>
    <row r="23" spans="2:28" ht="11.1" customHeight="1">
      <c r="E23" s="676">
        <v>11.4</v>
      </c>
      <c r="AA23" s="138"/>
      <c r="AB23" s="138"/>
    </row>
    <row r="24" spans="2:28" ht="19.5" customHeight="1">
      <c r="E24" s="676">
        <v>20.100000000000001</v>
      </c>
      <c r="AA24" s="138"/>
      <c r="AB24" s="139"/>
    </row>
    <row r="25" spans="2:28" ht="19.5" customHeight="1">
      <c r="E25" s="676">
        <v>20.100000000000001</v>
      </c>
      <c r="V25" s="122"/>
      <c r="W25" s="122"/>
      <c r="X25" s="122"/>
      <c r="Z25" s="122"/>
      <c r="AA25" s="138"/>
      <c r="AB25" s="139"/>
    </row>
    <row r="26" spans="2:28" ht="19.5" customHeight="1">
      <c r="E26" s="676">
        <v>20.100000000000001</v>
      </c>
      <c r="V26" s="126"/>
      <c r="W26" s="126"/>
      <c r="X26" s="126"/>
      <c r="Y26" s="126"/>
      <c r="Z26" s="122"/>
      <c r="AA26" s="138"/>
      <c r="AB26" s="139"/>
    </row>
    <row r="27" spans="2:28" ht="19.5" customHeight="1">
      <c r="E27" s="676">
        <v>20.100000000000001</v>
      </c>
      <c r="V27" s="126"/>
      <c r="W27" s="126"/>
      <c r="X27" s="126"/>
      <c r="Y27" s="126"/>
      <c r="Z27" s="122"/>
      <c r="AA27" s="138"/>
      <c r="AB27" s="139"/>
    </row>
    <row r="28" spans="2:28" ht="19.5" customHeight="1">
      <c r="E28" s="676">
        <v>20.100000000000001</v>
      </c>
      <c r="V28" s="126"/>
      <c r="W28" s="126"/>
      <c r="X28" s="126"/>
      <c r="Y28" s="126"/>
      <c r="Z28" s="122"/>
      <c r="AA28" s="138"/>
      <c r="AB28" s="139"/>
    </row>
    <row r="29" spans="2:28" ht="19.5" customHeight="1">
      <c r="E29" s="676">
        <v>20.100000000000001</v>
      </c>
      <c r="V29" s="126"/>
      <c r="W29" s="126"/>
      <c r="X29" s="126"/>
      <c r="Y29" s="126"/>
      <c r="Z29" s="122"/>
      <c r="AA29" s="138"/>
      <c r="AB29" s="139"/>
    </row>
    <row r="30" spans="2:28" ht="19.5" customHeight="1">
      <c r="E30" s="676">
        <v>20.100000000000001</v>
      </c>
      <c r="V30" s="126"/>
      <c r="W30" s="126"/>
      <c r="X30" s="126"/>
      <c r="Y30" s="126"/>
      <c r="Z30" s="122"/>
      <c r="AA30" s="138"/>
      <c r="AB30" s="139"/>
    </row>
    <row r="31" spans="2:28" ht="19.5" customHeight="1">
      <c r="E31" s="676">
        <v>20.100000000000001</v>
      </c>
      <c r="V31" s="126"/>
      <c r="W31" s="126"/>
      <c r="X31" s="126"/>
      <c r="Y31" s="126"/>
      <c r="Z31" s="122"/>
      <c r="AA31" s="138"/>
      <c r="AB31" s="139"/>
    </row>
    <row r="32" spans="2:28" ht="19.5" customHeight="1">
      <c r="E32" s="676">
        <v>20.100000000000001</v>
      </c>
      <c r="V32" s="126"/>
      <c r="W32" s="126"/>
      <c r="X32" s="126"/>
      <c r="Y32" s="126"/>
      <c r="Z32" s="122"/>
      <c r="AA32" s="138"/>
      <c r="AB32" s="139"/>
    </row>
    <row r="33" spans="5:29" ht="19.5" customHeight="1">
      <c r="E33" s="676">
        <v>20.100000000000001</v>
      </c>
      <c r="V33" s="126"/>
      <c r="W33" s="126"/>
      <c r="X33" s="126"/>
      <c r="Y33" s="122"/>
      <c r="Z33" s="122"/>
      <c r="AA33" s="138"/>
      <c r="AB33" s="139"/>
    </row>
    <row r="34" spans="5:29" ht="19.5" hidden="1" customHeight="1">
      <c r="E34" s="676">
        <v>20.100000000000001</v>
      </c>
      <c r="V34" s="126"/>
      <c r="W34" s="126"/>
      <c r="X34" s="687" t="b">
        <f>Z34&gt;0</f>
        <v>0</v>
      </c>
      <c r="Y34" s="129" t="s">
        <v>315</v>
      </c>
      <c r="Z34" s="126">
        <v>0</v>
      </c>
      <c r="AA34" s="774" t="s">
        <v>218</v>
      </c>
      <c r="AB34" s="1651"/>
    </row>
    <row r="35" spans="5:29" ht="11.1" customHeight="1">
      <c r="E35" s="676">
        <v>11.4</v>
      </c>
      <c r="Y35" s="122" t="s">
        <v>237</v>
      </c>
      <c r="AB35" s="761" t="s">
        <v>238</v>
      </c>
    </row>
    <row r="36" spans="5:29" ht="11.25" customHeight="1">
      <c r="AC36" s="137"/>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1BBE-081C-46C8-F0F8-318FEA1ED448}">
  <sheetPr>
    <tabColor rgb="FFFFCC99"/>
  </sheetPr>
  <dimension ref="A1:AC175"/>
  <sheetViews>
    <sheetView showGridLines="0" workbookViewId="0"/>
  </sheetViews>
  <sheetFormatPr defaultColWidth="9.140625" defaultRowHeight="12" customHeight="1"/>
  <cols>
    <col min="1" max="1" width="42.7109375" style="189" customWidth="1"/>
    <col min="2" max="2" width="6.7109375" style="189" customWidth="1"/>
    <col min="3" max="3" width="40.7109375" style="189" customWidth="1"/>
    <col min="4" max="6" width="3.7109375" style="189" customWidth="1"/>
    <col min="7" max="7" width="23.7109375" style="189" customWidth="1"/>
    <col min="8" max="9" width="3.7109375" style="189" customWidth="1"/>
    <col min="10" max="10" width="4.7109375" style="189" customWidth="1"/>
    <col min="11" max="11" width="40.7109375" style="189" customWidth="1"/>
    <col min="12" max="12" width="4.7109375" style="189" customWidth="1"/>
    <col min="13" max="13" width="18.5703125" style="189" customWidth="1"/>
    <col min="14" max="15" width="4.7109375" style="189" customWidth="1"/>
    <col min="16" max="16" width="16.5703125" style="189" customWidth="1"/>
    <col min="17" max="18" width="12.5703125" style="189" customWidth="1"/>
    <col min="19" max="19" width="14.5703125" style="189" customWidth="1"/>
    <col min="20" max="20" width="18.85546875" style="189" customWidth="1"/>
    <col min="21" max="21" width="19.28515625" style="189" customWidth="1"/>
    <col min="22" max="22" width="39.140625" style="189" customWidth="1"/>
    <col min="23" max="23" width="41.7109375" style="189" customWidth="1"/>
    <col min="24" max="24" width="54.85546875" style="189" customWidth="1"/>
    <col min="25" max="26" width="22.85546875" style="189" customWidth="1"/>
    <col min="27" max="27" width="9.140625" style="189"/>
    <col min="28" max="28" width="29.7109375" style="189" customWidth="1"/>
    <col min="29" max="29" width="15.5703125" style="189" customWidth="1"/>
  </cols>
  <sheetData>
    <row r="1" spans="1:29" ht="12" customHeight="1">
      <c r="A1" s="186" t="s">
        <v>2257</v>
      </c>
      <c r="B1" s="187" t="s">
        <v>2258</v>
      </c>
      <c r="C1" s="186" t="s">
        <v>2257</v>
      </c>
      <c r="D1" s="659" t="s">
        <v>2259</v>
      </c>
      <c r="E1" s="186"/>
      <c r="F1" s="186"/>
      <c r="G1" s="188" t="s">
        <v>2260</v>
      </c>
      <c r="H1" s="186"/>
      <c r="I1" s="186"/>
      <c r="J1" s="186"/>
      <c r="K1" s="188" t="s">
        <v>2261</v>
      </c>
      <c r="L1" s="140"/>
      <c r="M1" s="188" t="s">
        <v>2262</v>
      </c>
      <c r="N1" s="186"/>
      <c r="O1" s="140"/>
      <c r="P1" s="188" t="s">
        <v>2263</v>
      </c>
      <c r="Q1" s="188" t="s">
        <v>2264</v>
      </c>
      <c r="R1" s="188" t="s">
        <v>2265</v>
      </c>
      <c r="S1" s="188" t="s">
        <v>2266</v>
      </c>
      <c r="T1" s="188" t="s">
        <v>2267</v>
      </c>
      <c r="U1" s="188" t="s">
        <v>2268</v>
      </c>
      <c r="V1" s="203" t="s">
        <v>2269</v>
      </c>
      <c r="W1" s="203" t="s">
        <v>2270</v>
      </c>
      <c r="X1" s="203" t="s">
        <v>2271</v>
      </c>
      <c r="Y1" s="203" t="s">
        <v>2272</v>
      </c>
      <c r="Z1" s="203" t="s">
        <v>2273</v>
      </c>
      <c r="AB1" s="203" t="s">
        <v>2274</v>
      </c>
      <c r="AC1" s="203" t="s">
        <v>2275</v>
      </c>
    </row>
    <row r="2" spans="1:29" ht="12" customHeight="1">
      <c r="A2" s="186" t="s">
        <v>2276</v>
      </c>
      <c r="B2" s="187" t="s">
        <v>2277</v>
      </c>
      <c r="C2" s="186" t="s">
        <v>2276</v>
      </c>
      <c r="D2" s="658" t="s">
        <v>2278</v>
      </c>
      <c r="E2" s="186"/>
      <c r="F2" s="186"/>
      <c r="G2" s="190" t="s">
        <v>200</v>
      </c>
      <c r="H2" s="186"/>
      <c r="I2" s="186"/>
      <c r="J2" s="186"/>
      <c r="K2" s="703" t="s">
        <v>117</v>
      </c>
      <c r="L2" s="186"/>
      <c r="M2" s="191" t="s">
        <v>2279</v>
      </c>
      <c r="N2" s="186"/>
      <c r="O2" s="186"/>
      <c r="P2" s="190">
        <v>2025</v>
      </c>
      <c r="Q2" s="190">
        <v>2012</v>
      </c>
      <c r="R2" s="190" t="s">
        <v>2280</v>
      </c>
      <c r="S2" s="190">
        <v>3</v>
      </c>
      <c r="T2" s="202" t="s">
        <v>2281</v>
      </c>
      <c r="U2" s="202" t="s">
        <v>345</v>
      </c>
      <c r="V2" s="212" t="s">
        <v>2282</v>
      </c>
      <c r="W2" s="212" t="s">
        <v>2283</v>
      </c>
      <c r="X2" s="212" t="s">
        <v>470</v>
      </c>
      <c r="Y2" s="212" t="s">
        <v>1046</v>
      </c>
      <c r="Z2" s="212" t="s">
        <v>1046</v>
      </c>
      <c r="AB2" s="742" t="s">
        <v>2284</v>
      </c>
      <c r="AC2" s="743" t="s">
        <v>2285</v>
      </c>
    </row>
    <row r="3" spans="1:29" ht="12" customHeight="1">
      <c r="A3" s="186" t="s">
        <v>2286</v>
      </c>
      <c r="B3" s="187" t="s">
        <v>2287</v>
      </c>
      <c r="C3" s="186" t="s">
        <v>2286</v>
      </c>
      <c r="D3" s="186"/>
      <c r="E3" s="186"/>
      <c r="F3" s="186"/>
      <c r="G3" s="190" t="s">
        <v>190</v>
      </c>
      <c r="H3" s="186"/>
      <c r="I3" s="186"/>
      <c r="J3" s="186"/>
      <c r="K3" s="703" t="s">
        <v>2288</v>
      </c>
      <c r="L3" s="186"/>
      <c r="M3" s="186"/>
      <c r="N3" s="186"/>
      <c r="O3" s="186"/>
      <c r="P3" s="190">
        <v>2026</v>
      </c>
      <c r="Q3" s="190">
        <v>2013</v>
      </c>
      <c r="R3" s="190" t="s">
        <v>2289</v>
      </c>
      <c r="S3" s="190">
        <v>4</v>
      </c>
      <c r="T3" s="202" t="s">
        <v>2290</v>
      </c>
      <c r="U3" s="202" t="s">
        <v>1021</v>
      </c>
      <c r="V3" s="212" t="s">
        <v>2291</v>
      </c>
      <c r="W3" s="212" t="s">
        <v>2292</v>
      </c>
      <c r="X3" s="212" t="s">
        <v>2293</v>
      </c>
      <c r="Y3" s="212" t="s">
        <v>2294</v>
      </c>
      <c r="Z3" s="212" t="s">
        <v>2295</v>
      </c>
      <c r="AB3" s="742" t="s">
        <v>2296</v>
      </c>
      <c r="AC3" s="743" t="s">
        <v>2285</v>
      </c>
    </row>
    <row r="4" spans="1:29" ht="12" customHeight="1">
      <c r="A4" s="186" t="s">
        <v>2297</v>
      </c>
      <c r="B4" s="187" t="s">
        <v>2298</v>
      </c>
      <c r="C4" s="186" t="s">
        <v>2297</v>
      </c>
      <c r="D4" s="186"/>
      <c r="E4" s="186"/>
      <c r="F4" s="186"/>
      <c r="G4" s="186"/>
      <c r="H4" s="186"/>
      <c r="I4" s="186"/>
      <c r="J4" s="186"/>
      <c r="K4" s="703" t="s">
        <v>2299</v>
      </c>
      <c r="L4" s="186"/>
      <c r="M4" s="188" t="s">
        <v>2300</v>
      </c>
      <c r="N4" s="186"/>
      <c r="O4" s="186"/>
      <c r="P4" s="186"/>
      <c r="Q4" s="190">
        <v>2014</v>
      </c>
      <c r="R4" s="190" t="s">
        <v>2301</v>
      </c>
      <c r="S4" s="190">
        <v>5</v>
      </c>
      <c r="V4" s="212" t="s">
        <v>2302</v>
      </c>
      <c r="X4" s="212" t="s">
        <v>430</v>
      </c>
      <c r="Y4" s="502" t="s">
        <v>2295</v>
      </c>
      <c r="Z4" s="212" t="s">
        <v>2303</v>
      </c>
      <c r="AB4" s="742" t="s">
        <v>2304</v>
      </c>
      <c r="AC4" s="743" t="s">
        <v>2285</v>
      </c>
    </row>
    <row r="5" spans="1:29" ht="12" customHeight="1">
      <c r="A5" s="186" t="s">
        <v>2305</v>
      </c>
      <c r="B5" s="187" t="s">
        <v>2306</v>
      </c>
      <c r="C5" s="186" t="s">
        <v>2305</v>
      </c>
      <c r="D5" s="186"/>
      <c r="E5" s="186"/>
      <c r="F5" s="186"/>
      <c r="G5" s="188" t="s">
        <v>2307</v>
      </c>
      <c r="H5" s="186"/>
      <c r="I5" s="186"/>
      <c r="J5" s="186"/>
      <c r="K5" s="703" t="s">
        <v>2308</v>
      </c>
      <c r="L5" s="186"/>
      <c r="M5" s="191">
        <v>1.2</v>
      </c>
      <c r="N5" s="186"/>
      <c r="O5" s="186"/>
      <c r="P5" s="186"/>
      <c r="Q5" s="190">
        <v>2015</v>
      </c>
      <c r="R5" s="190" t="s">
        <v>2309</v>
      </c>
      <c r="S5" s="190">
        <v>6</v>
      </c>
      <c r="V5" s="203" t="s">
        <v>2310</v>
      </c>
      <c r="W5" s="203" t="s">
        <v>2311</v>
      </c>
      <c r="X5" s="212" t="s">
        <v>2312</v>
      </c>
      <c r="Y5" s="212" t="s">
        <v>2303</v>
      </c>
      <c r="Z5" s="212" t="s">
        <v>2313</v>
      </c>
      <c r="AB5" s="742" t="s">
        <v>2314</v>
      </c>
      <c r="AC5" s="743" t="s">
        <v>2285</v>
      </c>
    </row>
    <row r="6" spans="1:29" ht="12" customHeight="1">
      <c r="A6" s="186" t="s">
        <v>2315</v>
      </c>
      <c r="B6" s="187" t="s">
        <v>2316</v>
      </c>
      <c r="C6" s="186" t="s">
        <v>2315</v>
      </c>
      <c r="D6" s="186"/>
      <c r="E6" s="186"/>
      <c r="F6" s="186"/>
      <c r="G6" s="188" t="s">
        <v>2317</v>
      </c>
      <c r="H6" s="186"/>
      <c r="I6" s="186"/>
      <c r="J6" s="186"/>
      <c r="K6" s="186"/>
      <c r="L6" s="186"/>
      <c r="M6" s="186"/>
      <c r="N6" s="186"/>
      <c r="O6" s="186"/>
      <c r="P6" s="186"/>
      <c r="Q6" s="190">
        <v>2016</v>
      </c>
      <c r="R6" s="190" t="s">
        <v>2318</v>
      </c>
      <c r="S6" s="190">
        <v>7</v>
      </c>
      <c r="V6" s="212" t="s">
        <v>2319</v>
      </c>
      <c r="W6" s="282" t="s">
        <v>2320</v>
      </c>
      <c r="X6" s="212" t="s">
        <v>2321</v>
      </c>
      <c r="Y6" s="212" t="s">
        <v>2313</v>
      </c>
      <c r="Z6" s="212" t="s">
        <v>2322</v>
      </c>
      <c r="AB6" s="742" t="s">
        <v>2323</v>
      </c>
      <c r="AC6" s="743" t="s">
        <v>2285</v>
      </c>
    </row>
    <row r="7" spans="1:29" ht="12" customHeight="1">
      <c r="A7" s="186" t="s">
        <v>2324</v>
      </c>
      <c r="B7" s="187" t="s">
        <v>2325</v>
      </c>
      <c r="C7" s="186" t="s">
        <v>2324</v>
      </c>
      <c r="D7" s="186"/>
      <c r="E7" s="186"/>
      <c r="F7" s="186"/>
      <c r="G7" s="192" t="s">
        <v>2326</v>
      </c>
      <c r="H7" s="186"/>
      <c r="I7" s="186"/>
      <c r="J7" s="186"/>
      <c r="K7" s="188" t="s">
        <v>2327</v>
      </c>
      <c r="L7" s="186"/>
      <c r="M7" s="188" t="s">
        <v>2328</v>
      </c>
      <c r="N7" s="186"/>
      <c r="O7" s="186"/>
      <c r="P7" s="186"/>
      <c r="Q7" s="190">
        <v>2017</v>
      </c>
      <c r="R7" s="190" t="s">
        <v>2329</v>
      </c>
      <c r="S7" s="190">
        <v>8</v>
      </c>
      <c r="V7" s="212" t="s">
        <v>2330</v>
      </c>
      <c r="X7" s="212" t="s">
        <v>2331</v>
      </c>
      <c r="Y7" s="212" t="s">
        <v>2322</v>
      </c>
      <c r="Z7" s="212" t="s">
        <v>2332</v>
      </c>
      <c r="AB7" s="742" t="s">
        <v>2333</v>
      </c>
      <c r="AC7" s="743" t="s">
        <v>2285</v>
      </c>
    </row>
    <row r="8" spans="1:29" ht="12" customHeight="1">
      <c r="A8" s="186" t="s">
        <v>2334</v>
      </c>
      <c r="B8" s="187" t="s">
        <v>2335</v>
      </c>
      <c r="C8" s="186" t="s">
        <v>2334</v>
      </c>
      <c r="D8" s="186"/>
      <c r="E8" s="186"/>
      <c r="F8" s="186"/>
      <c r="G8" s="192" t="s">
        <v>2336</v>
      </c>
      <c r="H8" s="186"/>
      <c r="I8" s="186"/>
      <c r="J8" s="186"/>
      <c r="K8" s="702" t="s">
        <v>204</v>
      </c>
      <c r="L8" s="186"/>
      <c r="M8" s="191">
        <v>2021</v>
      </c>
      <c r="N8" s="186"/>
      <c r="O8" s="186"/>
      <c r="P8" s="186"/>
      <c r="Q8" s="190">
        <v>2018</v>
      </c>
      <c r="R8" s="190" t="s">
        <v>2337</v>
      </c>
      <c r="S8" s="190">
        <v>9</v>
      </c>
      <c r="V8" s="212" t="s">
        <v>2338</v>
      </c>
      <c r="X8" s="212" t="s">
        <v>2339</v>
      </c>
      <c r="Y8" s="212" t="s">
        <v>2332</v>
      </c>
      <c r="Z8" s="212" t="s">
        <v>2340</v>
      </c>
      <c r="AB8" s="742" t="s">
        <v>2341</v>
      </c>
      <c r="AC8" s="743" t="s">
        <v>2285</v>
      </c>
    </row>
    <row r="9" spans="1:29" ht="12" customHeight="1">
      <c r="A9" s="186" t="s">
        <v>2342</v>
      </c>
      <c r="B9" s="187" t="s">
        <v>2343</v>
      </c>
      <c r="C9" s="186" t="s">
        <v>2342</v>
      </c>
      <c r="D9" s="186"/>
      <c r="E9" s="186"/>
      <c r="F9" s="186"/>
      <c r="G9" s="192" t="s">
        <v>2344</v>
      </c>
      <c r="H9" s="186"/>
      <c r="I9" s="186"/>
      <c r="J9" s="186"/>
      <c r="K9" s="702" t="s">
        <v>2345</v>
      </c>
      <c r="L9" s="186"/>
      <c r="M9" s="186"/>
      <c r="N9" s="186"/>
      <c r="O9" s="186"/>
      <c r="P9" s="186"/>
      <c r="Q9" s="190">
        <v>2019</v>
      </c>
      <c r="R9" s="190" t="s">
        <v>2346</v>
      </c>
      <c r="S9" s="190">
        <v>10</v>
      </c>
      <c r="V9" s="212" t="s">
        <v>2347</v>
      </c>
      <c r="X9" s="212" t="s">
        <v>2348</v>
      </c>
      <c r="AB9" s="742" t="s">
        <v>2349</v>
      </c>
      <c r="AC9" s="743" t="s">
        <v>2285</v>
      </c>
    </row>
    <row r="10" spans="1:29" ht="12" customHeight="1">
      <c r="A10" s="186" t="s">
        <v>2350</v>
      </c>
      <c r="B10" s="187" t="s">
        <v>2351</v>
      </c>
      <c r="C10" s="186" t="s">
        <v>2350</v>
      </c>
      <c r="D10" s="186"/>
      <c r="E10" s="186"/>
      <c r="F10" s="186"/>
      <c r="G10" s="194"/>
      <c r="H10" s="186"/>
      <c r="I10" s="186"/>
      <c r="J10" s="186"/>
      <c r="K10" s="186"/>
      <c r="L10" s="186"/>
      <c r="M10" s="188" t="s">
        <v>2352</v>
      </c>
      <c r="N10" s="186"/>
      <c r="O10" s="186"/>
      <c r="P10" s="186"/>
      <c r="Q10" s="190">
        <v>2020</v>
      </c>
      <c r="R10" s="190" t="s">
        <v>2353</v>
      </c>
      <c r="S10" s="190">
        <v>11</v>
      </c>
      <c r="V10" s="212" t="s">
        <v>2354</v>
      </c>
      <c r="X10" s="212" t="s">
        <v>2355</v>
      </c>
      <c r="AB10" s="742" t="s">
        <v>2356</v>
      </c>
      <c r="AC10" s="743" t="s">
        <v>2285</v>
      </c>
    </row>
    <row r="11" spans="1:29" ht="12" customHeight="1">
      <c r="A11" s="280" t="s">
        <v>2357</v>
      </c>
      <c r="B11" s="187" t="s">
        <v>2358</v>
      </c>
      <c r="C11" s="193" t="s">
        <v>2359</v>
      </c>
      <c r="D11" s="186"/>
      <c r="E11" s="186"/>
      <c r="F11" s="186"/>
      <c r="G11" s="188" t="s">
        <v>2360</v>
      </c>
      <c r="H11" s="186"/>
      <c r="I11" s="186"/>
      <c r="J11" s="186"/>
      <c r="K11" s="188" t="s">
        <v>2361</v>
      </c>
      <c r="L11" s="186"/>
      <c r="M11" s="191" t="str">
        <f>"01.01."&amp;PERIOD</f>
        <v>01.01.2021</v>
      </c>
      <c r="N11" s="186"/>
      <c r="O11" s="186"/>
      <c r="P11" s="186"/>
      <c r="Q11" s="190">
        <v>2021</v>
      </c>
      <c r="R11" s="190" t="s">
        <v>2362</v>
      </c>
      <c r="S11" s="190">
        <v>12</v>
      </c>
      <c r="V11" s="212" t="s">
        <v>2363</v>
      </c>
      <c r="X11" s="212" t="s">
        <v>2364</v>
      </c>
      <c r="AB11" s="742" t="s">
        <v>2365</v>
      </c>
      <c r="AC11" s="743" t="s">
        <v>2285</v>
      </c>
    </row>
    <row r="12" spans="1:29" ht="12" customHeight="1">
      <c r="A12" s="280" t="s">
        <v>2366</v>
      </c>
      <c r="B12" s="187" t="s">
        <v>2367</v>
      </c>
      <c r="C12" s="193"/>
      <c r="D12" s="186"/>
      <c r="E12" s="186"/>
      <c r="F12" s="186"/>
      <c r="G12" s="188" t="s">
        <v>2368</v>
      </c>
      <c r="H12" s="186"/>
      <c r="I12" s="186"/>
      <c r="J12" s="186"/>
      <c r="K12" s="711" t="s">
        <v>343</v>
      </c>
      <c r="L12" s="186"/>
      <c r="M12" s="191" t="str">
        <f>"31.12."&amp;PERIOD</f>
        <v>31.12.2021</v>
      </c>
      <c r="N12" s="186"/>
      <c r="O12" s="186"/>
      <c r="P12" s="186"/>
      <c r="Q12" s="190">
        <v>2022</v>
      </c>
      <c r="R12" s="190" t="s">
        <v>2369</v>
      </c>
      <c r="S12" s="190">
        <v>13</v>
      </c>
      <c r="X12" s="212" t="s">
        <v>2370</v>
      </c>
      <c r="AB12" s="742" t="s">
        <v>2371</v>
      </c>
      <c r="AC12" s="743" t="s">
        <v>2285</v>
      </c>
    </row>
    <row r="13" spans="1:29" ht="12" customHeight="1">
      <c r="A13" s="280" t="s">
        <v>2372</v>
      </c>
      <c r="B13" s="187" t="s">
        <v>2373</v>
      </c>
      <c r="C13" s="193" t="s">
        <v>2374</v>
      </c>
      <c r="D13" s="186"/>
      <c r="E13" s="186"/>
      <c r="F13" s="186"/>
      <c r="G13" s="192" t="s">
        <v>2375</v>
      </c>
      <c r="H13" s="186"/>
      <c r="I13" s="186"/>
      <c r="J13" s="186"/>
      <c r="K13" s="711" t="s">
        <v>2376</v>
      </c>
      <c r="L13" s="186"/>
      <c r="M13" s="186"/>
      <c r="N13" s="186"/>
      <c r="O13" s="186"/>
      <c r="P13" s="186"/>
      <c r="Q13" s="190">
        <v>2023</v>
      </c>
      <c r="R13" s="190" t="s">
        <v>2377</v>
      </c>
      <c r="S13" s="190">
        <v>14</v>
      </c>
      <c r="X13" s="212" t="s">
        <v>2378</v>
      </c>
      <c r="AB13" s="742" t="s">
        <v>2379</v>
      </c>
      <c r="AC13" s="743" t="s">
        <v>2285</v>
      </c>
    </row>
    <row r="14" spans="1:29" ht="12" customHeight="1">
      <c r="A14" s="280" t="s">
        <v>2380</v>
      </c>
      <c r="B14" s="195" t="s">
        <v>2381</v>
      </c>
      <c r="C14" s="196" t="s">
        <v>2382</v>
      </c>
      <c r="D14" s="186"/>
      <c r="E14" s="186"/>
      <c r="F14" s="186"/>
      <c r="G14" s="192" t="s">
        <v>2383</v>
      </c>
      <c r="H14" s="186"/>
      <c r="I14" s="186"/>
      <c r="J14" s="186"/>
      <c r="K14" s="711" t="s">
        <v>350</v>
      </c>
      <c r="L14" s="186"/>
      <c r="M14" s="188" t="s">
        <v>2384</v>
      </c>
      <c r="N14" s="186"/>
      <c r="O14" s="186"/>
      <c r="P14" s="186"/>
      <c r="Q14" s="190">
        <v>2024</v>
      </c>
      <c r="R14" s="186"/>
      <c r="S14" s="190">
        <v>15</v>
      </c>
      <c r="X14" s="212" t="s">
        <v>2385</v>
      </c>
      <c r="AB14" s="742" t="s">
        <v>2386</v>
      </c>
      <c r="AC14" s="743" t="s">
        <v>2285</v>
      </c>
    </row>
    <row r="15" spans="1:29" ht="12" customHeight="1">
      <c r="A15" s="186" t="s">
        <v>2387</v>
      </c>
      <c r="B15" s="187" t="s">
        <v>2388</v>
      </c>
      <c r="C15" s="186" t="s">
        <v>2387</v>
      </c>
      <c r="D15" s="186"/>
      <c r="E15" s="186"/>
      <c r="F15" s="186"/>
      <c r="G15" s="192" t="s">
        <v>2389</v>
      </c>
      <c r="H15" s="186"/>
      <c r="I15" s="186"/>
      <c r="J15" s="186"/>
      <c r="K15" s="711" t="s">
        <v>2390</v>
      </c>
      <c r="L15" s="186"/>
      <c r="M15" s="191" t="str">
        <f>"01.01."&amp;PERIOD</f>
        <v>01.01.2021</v>
      </c>
      <c r="N15" s="186"/>
      <c r="O15" s="186"/>
      <c r="P15" s="186"/>
      <c r="Q15" s="190">
        <v>2025</v>
      </c>
      <c r="R15" s="186"/>
      <c r="S15" s="190">
        <v>16</v>
      </c>
      <c r="AB15" s="742" t="s">
        <v>2391</v>
      </c>
      <c r="AC15" s="743" t="s">
        <v>2285</v>
      </c>
    </row>
    <row r="16" spans="1:29" ht="12" customHeight="1">
      <c r="A16" s="186" t="s">
        <v>2392</v>
      </c>
      <c r="B16" s="187" t="s">
        <v>2393</v>
      </c>
      <c r="C16" s="186" t="s">
        <v>2392</v>
      </c>
      <c r="D16" s="186"/>
      <c r="E16" s="186"/>
      <c r="F16" s="186"/>
      <c r="G16" s="192" t="s">
        <v>2394</v>
      </c>
      <c r="H16" s="186"/>
      <c r="I16" s="186"/>
      <c r="J16" s="186"/>
      <c r="K16" s="711" t="s">
        <v>2395</v>
      </c>
      <c r="L16" s="186"/>
      <c r="M16" s="191" t="str">
        <f>"31.12."&amp;PERIOD</f>
        <v>31.12.2021</v>
      </c>
      <c r="N16" s="186"/>
      <c r="O16" s="186"/>
      <c r="P16" s="186"/>
      <c r="Q16" s="190">
        <v>2026</v>
      </c>
      <c r="R16" s="186"/>
      <c r="S16" s="190">
        <v>17</v>
      </c>
      <c r="X16" s="203" t="s">
        <v>2396</v>
      </c>
      <c r="AB16" s="742" t="s">
        <v>2397</v>
      </c>
      <c r="AC16" s="743" t="s">
        <v>2285</v>
      </c>
    </row>
    <row r="17" spans="1:29" ht="12" customHeight="1">
      <c r="A17" s="186" t="s">
        <v>2398</v>
      </c>
      <c r="B17" s="187" t="s">
        <v>2399</v>
      </c>
      <c r="C17" s="186" t="s">
        <v>2398</v>
      </c>
      <c r="D17" s="186"/>
      <c r="E17" s="186"/>
      <c r="F17" s="186"/>
      <c r="G17" s="186"/>
      <c r="H17" s="186"/>
      <c r="I17" s="186"/>
      <c r="J17" s="186"/>
      <c r="K17" s="186"/>
      <c r="L17" s="186"/>
      <c r="M17" s="173"/>
      <c r="N17" s="186"/>
      <c r="O17" s="186"/>
      <c r="P17" s="186"/>
      <c r="Q17" s="190">
        <v>2027</v>
      </c>
      <c r="R17" s="186"/>
      <c r="S17" s="190">
        <v>18</v>
      </c>
      <c r="X17" s="212" t="s">
        <v>431</v>
      </c>
      <c r="AB17" s="743" t="s">
        <v>2400</v>
      </c>
      <c r="AC17" s="743" t="s">
        <v>2285</v>
      </c>
    </row>
    <row r="18" spans="1:29" ht="12" customHeight="1">
      <c r="A18" s="186" t="s">
        <v>2401</v>
      </c>
      <c r="B18" s="187" t="s">
        <v>2402</v>
      </c>
      <c r="C18" s="186" t="s">
        <v>2401</v>
      </c>
      <c r="D18" s="186"/>
      <c r="E18" s="186"/>
      <c r="F18" s="186"/>
      <c r="G18" s="186"/>
      <c r="H18" s="186"/>
      <c r="I18" s="186"/>
      <c r="J18" s="186"/>
      <c r="K18" s="188" t="s">
        <v>2403</v>
      </c>
      <c r="L18" s="186"/>
      <c r="M18" s="188" t="s">
        <v>2404</v>
      </c>
      <c r="N18" s="186"/>
      <c r="O18" s="186"/>
      <c r="P18" s="186"/>
      <c r="Q18" s="190">
        <v>2028</v>
      </c>
      <c r="R18" s="186"/>
      <c r="S18" s="190">
        <v>19</v>
      </c>
      <c r="X18" s="212" t="s">
        <v>2405</v>
      </c>
      <c r="AB18" s="743" t="s">
        <v>2406</v>
      </c>
      <c r="AC18" s="743" t="s">
        <v>2285</v>
      </c>
    </row>
    <row r="19" spans="1:29" ht="12" customHeight="1">
      <c r="A19" s="186" t="s">
        <v>2407</v>
      </c>
      <c r="B19" s="187" t="s">
        <v>2408</v>
      </c>
      <c r="C19" s="193" t="s">
        <v>2409</v>
      </c>
      <c r="D19" s="186"/>
      <c r="E19" s="186"/>
      <c r="F19" s="186"/>
      <c r="G19" s="186"/>
      <c r="H19" s="186"/>
      <c r="I19" s="186"/>
      <c r="J19" s="186"/>
      <c r="K19" s="702" t="s">
        <v>344</v>
      </c>
      <c r="L19" s="186"/>
      <c r="M19" s="191" t="str">
        <f>"01.01."&amp;PERIOD</f>
        <v>01.01.2021</v>
      </c>
      <c r="N19" s="186"/>
      <c r="O19" s="186"/>
      <c r="P19" s="186"/>
      <c r="Q19" s="190">
        <v>2029</v>
      </c>
      <c r="R19" s="186"/>
      <c r="S19" s="190">
        <v>20</v>
      </c>
      <c r="X19" s="212" t="s">
        <v>266</v>
      </c>
      <c r="AB19" s="743" t="s">
        <v>2410</v>
      </c>
      <c r="AC19" s="743" t="s">
        <v>2285</v>
      </c>
    </row>
    <row r="20" spans="1:29" ht="12" customHeight="1">
      <c r="A20" s="186" t="s">
        <v>2411</v>
      </c>
      <c r="B20" s="187" t="s">
        <v>2412</v>
      </c>
      <c r="C20" s="186" t="s">
        <v>2411</v>
      </c>
      <c r="D20" s="186"/>
      <c r="E20" s="186"/>
      <c r="F20" s="186"/>
      <c r="G20" s="186"/>
      <c r="H20" s="186"/>
      <c r="I20" s="186"/>
      <c r="J20" s="186"/>
      <c r="K20" s="702" t="s">
        <v>2413</v>
      </c>
      <c r="L20" s="186"/>
      <c r="M20" s="191" t="str">
        <f>"31.12."&amp;PERIOD</f>
        <v>31.12.2021</v>
      </c>
      <c r="N20" s="186"/>
      <c r="O20" s="186"/>
      <c r="P20" s="186"/>
      <c r="Q20" s="190">
        <v>2030</v>
      </c>
      <c r="R20" s="186"/>
      <c r="S20" s="190">
        <v>21</v>
      </c>
      <c r="X20" s="212" t="s">
        <v>251</v>
      </c>
      <c r="AB20" s="743" t="s">
        <v>2414</v>
      </c>
      <c r="AC20" s="743" t="s">
        <v>2285</v>
      </c>
    </row>
    <row r="21" spans="1:29" ht="12" customHeight="1">
      <c r="A21" s="186" t="s">
        <v>2415</v>
      </c>
      <c r="B21" s="187" t="s">
        <v>2416</v>
      </c>
      <c r="C21" s="186" t="s">
        <v>2415</v>
      </c>
      <c r="D21" s="186"/>
      <c r="E21" s="186"/>
      <c r="F21" s="186"/>
      <c r="G21" s="186"/>
      <c r="H21" s="186"/>
      <c r="I21" s="186"/>
      <c r="J21" s="186"/>
      <c r="K21" s="702" t="s">
        <v>2417</v>
      </c>
      <c r="L21" s="186"/>
      <c r="M21" s="186"/>
      <c r="N21" s="186"/>
      <c r="O21" s="186"/>
      <c r="P21" s="186"/>
      <c r="Q21" s="186"/>
      <c r="R21" s="186"/>
      <c r="S21" s="190">
        <v>22</v>
      </c>
      <c r="X21" s="212" t="s">
        <v>2418</v>
      </c>
      <c r="AB21" s="743" t="s">
        <v>2419</v>
      </c>
      <c r="AC21" s="743" t="s">
        <v>2420</v>
      </c>
    </row>
    <row r="22" spans="1:29" ht="12" customHeight="1">
      <c r="A22" s="186" t="s">
        <v>2421</v>
      </c>
      <c r="B22" s="187" t="s">
        <v>2422</v>
      </c>
      <c r="C22" s="186" t="s">
        <v>2421</v>
      </c>
      <c r="D22" s="186"/>
      <c r="E22" s="186"/>
      <c r="F22" s="186"/>
      <c r="G22" s="186"/>
      <c r="H22" s="186"/>
      <c r="I22" s="186"/>
      <c r="J22" s="186"/>
      <c r="K22" s="186"/>
      <c r="L22" s="186"/>
      <c r="M22" s="186"/>
      <c r="N22" s="186"/>
      <c r="O22" s="186"/>
      <c r="P22" s="186"/>
      <c r="Q22" s="186"/>
      <c r="R22" s="186"/>
      <c r="S22" s="190">
        <v>23</v>
      </c>
      <c r="X22" s="212" t="s">
        <v>228</v>
      </c>
      <c r="AB22" s="743" t="s">
        <v>2423</v>
      </c>
      <c r="AC22" s="743" t="s">
        <v>2420</v>
      </c>
    </row>
    <row r="23" spans="1:29" ht="12" customHeight="1">
      <c r="A23" s="186" t="s">
        <v>2424</v>
      </c>
      <c r="B23" s="187" t="s">
        <v>2425</v>
      </c>
      <c r="C23" s="193" t="s">
        <v>2426</v>
      </c>
      <c r="D23" s="186"/>
      <c r="E23" s="186"/>
      <c r="F23" s="186"/>
      <c r="G23" s="186"/>
      <c r="H23" s="186"/>
      <c r="I23" s="186"/>
      <c r="J23" s="186"/>
      <c r="K23" s="188" t="s">
        <v>2427</v>
      </c>
      <c r="L23" s="186"/>
      <c r="M23" s="186"/>
      <c r="N23" s="186"/>
      <c r="O23" s="186"/>
      <c r="P23" s="186"/>
      <c r="Q23" s="186"/>
      <c r="R23" s="186"/>
      <c r="S23" s="190">
        <v>24</v>
      </c>
      <c r="X23" s="212" t="s">
        <v>2428</v>
      </c>
      <c r="AB23" s="742" t="s">
        <v>2429</v>
      </c>
      <c r="AC23" s="743" t="s">
        <v>2420</v>
      </c>
    </row>
    <row r="24" spans="1:29" ht="12" customHeight="1">
      <c r="A24" s="186" t="s">
        <v>114</v>
      </c>
      <c r="B24" s="187" t="s">
        <v>2430</v>
      </c>
      <c r="C24" s="186" t="s">
        <v>114</v>
      </c>
      <c r="D24" s="186"/>
      <c r="E24" s="186"/>
      <c r="F24" s="186"/>
      <c r="G24" s="186"/>
      <c r="H24" s="186"/>
      <c r="I24" s="186"/>
      <c r="J24" s="186"/>
      <c r="K24" s="703" t="s">
        <v>2431</v>
      </c>
      <c r="L24" s="186"/>
      <c r="M24" s="186"/>
      <c r="N24" s="186"/>
      <c r="O24" s="186"/>
      <c r="P24" s="186"/>
      <c r="Q24" s="186"/>
      <c r="R24" s="186"/>
      <c r="S24" s="190">
        <v>25</v>
      </c>
      <c r="X24" s="212" t="s">
        <v>2432</v>
      </c>
      <c r="AB24" s="742" t="s">
        <v>2433</v>
      </c>
      <c r="AC24" s="743" t="s">
        <v>2420</v>
      </c>
    </row>
    <row r="25" spans="1:29" ht="12" customHeight="1">
      <c r="A25" s="186" t="s">
        <v>2434</v>
      </c>
      <c r="B25" s="187" t="s">
        <v>2435</v>
      </c>
      <c r="C25" s="186" t="s">
        <v>2434</v>
      </c>
      <c r="D25" s="186"/>
      <c r="E25" s="186"/>
      <c r="F25" s="186"/>
      <c r="G25" s="186"/>
      <c r="H25" s="186"/>
      <c r="I25" s="186"/>
      <c r="J25" s="186"/>
      <c r="K25" s="703" t="s">
        <v>2436</v>
      </c>
      <c r="L25" s="186"/>
      <c r="M25" s="186"/>
      <c r="N25" s="186"/>
      <c r="O25" s="186"/>
      <c r="P25" s="186"/>
      <c r="Q25" s="186"/>
      <c r="R25" s="186"/>
      <c r="S25" s="190">
        <v>26</v>
      </c>
      <c r="X25" s="212" t="s">
        <v>2437</v>
      </c>
      <c r="AB25" s="742" t="s">
        <v>2438</v>
      </c>
      <c r="AC25" s="743" t="s">
        <v>2420</v>
      </c>
    </row>
    <row r="26" spans="1:29" ht="12" customHeight="1">
      <c r="A26" s="186" t="s">
        <v>2439</v>
      </c>
      <c r="B26" s="187" t="s">
        <v>2440</v>
      </c>
      <c r="C26" s="186" t="s">
        <v>2439</v>
      </c>
      <c r="D26" s="186"/>
      <c r="E26" s="186"/>
      <c r="F26" s="186"/>
      <c r="G26" s="186"/>
      <c r="H26" s="186"/>
      <c r="I26" s="186"/>
      <c r="J26" s="186"/>
      <c r="K26" s="703" t="s">
        <v>2441</v>
      </c>
      <c r="L26" s="186"/>
      <c r="M26" s="186"/>
      <c r="N26" s="186"/>
      <c r="O26" s="186"/>
      <c r="P26" s="186"/>
      <c r="Q26" s="186"/>
      <c r="R26" s="186"/>
      <c r="S26" s="190">
        <v>27</v>
      </c>
      <c r="X26" s="212" t="s">
        <v>2442</v>
      </c>
      <c r="AB26" s="742" t="s">
        <v>2443</v>
      </c>
      <c r="AC26" s="743" t="s">
        <v>2420</v>
      </c>
    </row>
    <row r="27" spans="1:29" ht="12" customHeight="1">
      <c r="A27" s="186" t="s">
        <v>2444</v>
      </c>
      <c r="B27" s="187" t="s">
        <v>2445</v>
      </c>
      <c r="C27" s="186" t="s">
        <v>2444</v>
      </c>
      <c r="D27" s="186"/>
      <c r="E27" s="186"/>
      <c r="F27" s="186"/>
      <c r="G27" s="186"/>
      <c r="H27" s="186"/>
      <c r="I27" s="186"/>
      <c r="J27" s="186"/>
      <c r="K27" s="703" t="s">
        <v>2446</v>
      </c>
      <c r="L27" s="186"/>
      <c r="M27" s="186"/>
      <c r="N27" s="186"/>
      <c r="O27" s="186"/>
      <c r="P27" s="186"/>
      <c r="Q27" s="186"/>
      <c r="R27" s="186"/>
      <c r="S27" s="190">
        <v>28</v>
      </c>
      <c r="X27" s="212" t="s">
        <v>2447</v>
      </c>
      <c r="AB27" s="742" t="s">
        <v>2448</v>
      </c>
      <c r="AC27" s="743" t="s">
        <v>2420</v>
      </c>
    </row>
    <row r="28" spans="1:29" ht="12" customHeight="1">
      <c r="A28" s="186" t="s">
        <v>2449</v>
      </c>
      <c r="B28" s="187" t="s">
        <v>2450</v>
      </c>
      <c r="C28" s="186" t="s">
        <v>2449</v>
      </c>
      <c r="D28" s="186"/>
      <c r="E28" s="186"/>
      <c r="F28" s="186"/>
      <c r="G28" s="186"/>
      <c r="H28" s="186"/>
      <c r="I28" s="186"/>
      <c r="J28" s="186"/>
      <c r="K28" s="703" t="s">
        <v>2451</v>
      </c>
      <c r="L28" s="186"/>
      <c r="M28" s="186"/>
      <c r="N28" s="186"/>
      <c r="O28" s="186"/>
      <c r="P28" s="186"/>
      <c r="Q28" s="186"/>
      <c r="R28" s="186"/>
      <c r="S28" s="190">
        <v>29</v>
      </c>
      <c r="X28" s="212" t="s">
        <v>2452</v>
      </c>
      <c r="AB28" s="742" t="s">
        <v>2453</v>
      </c>
      <c r="AC28" s="743" t="s">
        <v>2420</v>
      </c>
    </row>
    <row r="29" spans="1:29" ht="12" customHeight="1">
      <c r="A29" s="186" t="s">
        <v>2454</v>
      </c>
      <c r="B29" s="187" t="s">
        <v>2455</v>
      </c>
      <c r="C29" s="186" t="s">
        <v>2454</v>
      </c>
      <c r="D29" s="186"/>
      <c r="E29" s="186"/>
      <c r="F29" s="186"/>
      <c r="G29" s="186"/>
      <c r="H29" s="186"/>
      <c r="I29" s="186"/>
      <c r="J29" s="186"/>
      <c r="K29" s="186"/>
      <c r="L29" s="186"/>
      <c r="M29" s="186"/>
      <c r="N29" s="186"/>
      <c r="O29" s="186"/>
      <c r="P29" s="186"/>
      <c r="Q29" s="186"/>
      <c r="R29" s="186"/>
      <c r="S29" s="190">
        <v>30</v>
      </c>
      <c r="X29" s="212" t="s">
        <v>2456</v>
      </c>
      <c r="AB29" s="742" t="s">
        <v>2457</v>
      </c>
      <c r="AC29" s="743" t="s">
        <v>2420</v>
      </c>
    </row>
    <row r="30" spans="1:29" ht="12" customHeight="1">
      <c r="A30" s="186" t="s">
        <v>2458</v>
      </c>
      <c r="B30" s="187" t="s">
        <v>2459</v>
      </c>
      <c r="C30" s="186" t="s">
        <v>2458</v>
      </c>
      <c r="D30" s="186"/>
      <c r="E30" s="186"/>
      <c r="F30" s="186"/>
      <c r="G30" s="186"/>
      <c r="H30" s="186"/>
      <c r="I30" s="186"/>
      <c r="J30" s="186"/>
      <c r="K30" s="188" t="s">
        <v>2460</v>
      </c>
      <c r="L30" s="186"/>
      <c r="M30" s="186"/>
      <c r="N30" s="186"/>
      <c r="O30" s="186"/>
      <c r="P30" s="186"/>
      <c r="Q30" s="186"/>
      <c r="R30" s="186"/>
      <c r="S30" s="190">
        <v>31</v>
      </c>
      <c r="X30" s="212" t="s">
        <v>2461</v>
      </c>
      <c r="AB30" s="742" t="s">
        <v>2462</v>
      </c>
      <c r="AC30" s="743" t="s">
        <v>2420</v>
      </c>
    </row>
    <row r="31" spans="1:29" ht="12" customHeight="1">
      <c r="A31" s="186" t="s">
        <v>2463</v>
      </c>
      <c r="B31" s="187" t="s">
        <v>2464</v>
      </c>
      <c r="C31" s="186" t="s">
        <v>2463</v>
      </c>
      <c r="D31" s="186"/>
      <c r="E31" s="186"/>
      <c r="F31" s="186"/>
      <c r="G31" s="186"/>
      <c r="H31" s="186"/>
      <c r="I31" s="186"/>
      <c r="J31" s="186"/>
      <c r="K31" s="703" t="s">
        <v>2465</v>
      </c>
      <c r="L31" s="186"/>
      <c r="M31" s="186"/>
      <c r="N31" s="186"/>
      <c r="O31" s="186"/>
      <c r="P31" s="186"/>
      <c r="Q31" s="186"/>
      <c r="R31" s="186"/>
      <c r="S31" s="190">
        <v>32</v>
      </c>
      <c r="X31" s="212" t="s">
        <v>2466</v>
      </c>
      <c r="AB31" s="742" t="s">
        <v>2467</v>
      </c>
      <c r="AC31" s="743" t="s">
        <v>2420</v>
      </c>
    </row>
    <row r="32" spans="1:29" ht="12" customHeight="1">
      <c r="A32" s="186" t="s">
        <v>2468</v>
      </c>
      <c r="B32" s="187" t="s">
        <v>2469</v>
      </c>
      <c r="C32" s="186" t="s">
        <v>2468</v>
      </c>
      <c r="D32" s="186"/>
      <c r="E32" s="186"/>
      <c r="F32" s="186"/>
      <c r="G32" s="186"/>
      <c r="H32" s="186"/>
      <c r="I32" s="186"/>
      <c r="J32" s="186"/>
      <c r="K32" s="703" t="s">
        <v>2470</v>
      </c>
      <c r="L32" s="186"/>
      <c r="M32" s="186"/>
      <c r="N32" s="186"/>
      <c r="O32" s="186"/>
      <c r="P32" s="186"/>
      <c r="Q32" s="186"/>
      <c r="R32" s="186"/>
      <c r="S32" s="190">
        <v>33</v>
      </c>
      <c r="X32" s="212" t="s">
        <v>2471</v>
      </c>
      <c r="AB32" s="742" t="s">
        <v>2472</v>
      </c>
      <c r="AC32" s="743" t="s">
        <v>2420</v>
      </c>
    </row>
    <row r="33" spans="1:29" ht="12" customHeight="1">
      <c r="A33" s="186" t="s">
        <v>2473</v>
      </c>
      <c r="B33" s="187" t="s">
        <v>2474</v>
      </c>
      <c r="C33" s="186" t="s">
        <v>2473</v>
      </c>
      <c r="D33" s="186"/>
      <c r="E33" s="186"/>
      <c r="F33" s="186"/>
      <c r="G33" s="186"/>
      <c r="H33" s="186"/>
      <c r="I33" s="186"/>
      <c r="J33" s="186"/>
      <c r="K33" s="703" t="s">
        <v>2475</v>
      </c>
      <c r="L33" s="186"/>
      <c r="M33" s="186"/>
      <c r="N33" s="186"/>
      <c r="O33" s="186"/>
      <c r="P33" s="186"/>
      <c r="Q33" s="186"/>
      <c r="R33" s="186"/>
      <c r="S33" s="190">
        <v>34</v>
      </c>
      <c r="X33" s="212" t="s">
        <v>2476</v>
      </c>
      <c r="AB33" s="743" t="s">
        <v>2477</v>
      </c>
      <c r="AC33" s="743" t="s">
        <v>2420</v>
      </c>
    </row>
    <row r="34" spans="1:29" ht="12" customHeight="1">
      <c r="A34" s="186" t="s">
        <v>2478</v>
      </c>
      <c r="B34" s="187" t="s">
        <v>2479</v>
      </c>
      <c r="C34" s="186" t="s">
        <v>2478</v>
      </c>
      <c r="D34" s="186"/>
      <c r="E34" s="186"/>
      <c r="F34" s="186"/>
      <c r="G34" s="186"/>
      <c r="H34" s="186"/>
      <c r="I34" s="186"/>
      <c r="J34" s="186"/>
      <c r="K34" s="186"/>
      <c r="L34" s="186"/>
      <c r="M34" s="186"/>
      <c r="N34" s="186"/>
      <c r="O34" s="186"/>
      <c r="P34" s="186"/>
      <c r="Q34" s="186"/>
      <c r="R34" s="186"/>
      <c r="S34" s="190">
        <v>35</v>
      </c>
      <c r="X34" s="212" t="s">
        <v>2480</v>
      </c>
      <c r="AB34" s="743" t="s">
        <v>2481</v>
      </c>
      <c r="AC34" s="743" t="s">
        <v>2420</v>
      </c>
    </row>
    <row r="35" spans="1:29" ht="12" customHeight="1">
      <c r="A35" s="186" t="s">
        <v>2482</v>
      </c>
      <c r="B35" s="187" t="s">
        <v>2483</v>
      </c>
      <c r="C35" s="186" t="s">
        <v>2482</v>
      </c>
      <c r="D35" s="186"/>
      <c r="E35" s="186"/>
      <c r="F35" s="186"/>
      <c r="G35" s="186"/>
      <c r="H35" s="186"/>
      <c r="I35" s="186"/>
      <c r="J35" s="186"/>
      <c r="K35" s="186"/>
      <c r="L35" s="186"/>
      <c r="M35" s="186"/>
      <c r="N35" s="186"/>
      <c r="O35" s="186"/>
      <c r="P35" s="186"/>
      <c r="Q35" s="186"/>
      <c r="R35" s="186"/>
      <c r="S35" s="190">
        <v>36</v>
      </c>
      <c r="X35" s="212" t="s">
        <v>2484</v>
      </c>
      <c r="AB35" s="743" t="s">
        <v>932</v>
      </c>
      <c r="AC35" s="743" t="s">
        <v>2420</v>
      </c>
    </row>
    <row r="36" spans="1:29" ht="12" customHeight="1">
      <c r="A36" s="186" t="s">
        <v>2485</v>
      </c>
      <c r="B36" s="187" t="s">
        <v>2486</v>
      </c>
      <c r="C36" s="186" t="s">
        <v>2485</v>
      </c>
      <c r="D36" s="186"/>
      <c r="E36" s="186"/>
      <c r="F36" s="186"/>
      <c r="G36" s="186"/>
      <c r="H36" s="186"/>
      <c r="I36" s="186"/>
      <c r="J36" s="186"/>
      <c r="K36" s="186"/>
      <c r="L36" s="186"/>
      <c r="M36" s="186"/>
      <c r="N36" s="186"/>
      <c r="O36" s="186"/>
      <c r="P36" s="186"/>
      <c r="Q36" s="186"/>
      <c r="R36" s="186"/>
      <c r="S36" s="190">
        <v>37</v>
      </c>
      <c r="X36" s="212" t="s">
        <v>2487</v>
      </c>
      <c r="AB36" s="743" t="s">
        <v>2488</v>
      </c>
      <c r="AC36" s="743" t="s">
        <v>2420</v>
      </c>
    </row>
    <row r="37" spans="1:29" ht="12" customHeight="1">
      <c r="A37" s="186" t="s">
        <v>2489</v>
      </c>
      <c r="B37" s="187" t="s">
        <v>2490</v>
      </c>
      <c r="C37" s="186" t="s">
        <v>2489</v>
      </c>
      <c r="D37" s="186"/>
      <c r="E37" s="186"/>
      <c r="F37" s="186"/>
      <c r="G37" s="186"/>
      <c r="H37" s="186"/>
      <c r="I37" s="186"/>
      <c r="J37" s="186"/>
      <c r="K37" s="186"/>
      <c r="L37" s="186"/>
      <c r="M37" s="186"/>
      <c r="N37" s="186"/>
      <c r="O37" s="186"/>
      <c r="P37" s="186"/>
      <c r="Q37" s="186"/>
      <c r="R37" s="186"/>
      <c r="S37" s="190">
        <v>38</v>
      </c>
      <c r="AB37" s="743" t="s">
        <v>931</v>
      </c>
      <c r="AC37" s="743" t="s">
        <v>2420</v>
      </c>
    </row>
    <row r="38" spans="1:29" ht="12" customHeight="1">
      <c r="A38" s="186" t="s">
        <v>2491</v>
      </c>
      <c r="B38" s="187" t="s">
        <v>2492</v>
      </c>
      <c r="C38" s="186" t="s">
        <v>2491</v>
      </c>
      <c r="D38" s="186"/>
      <c r="E38" s="186"/>
      <c r="F38" s="186"/>
      <c r="G38" s="186"/>
      <c r="H38" s="186"/>
      <c r="I38" s="186"/>
      <c r="J38" s="186"/>
      <c r="K38" s="188" t="s">
        <v>2493</v>
      </c>
      <c r="L38" s="186"/>
      <c r="M38" s="186"/>
      <c r="N38" s="186"/>
      <c r="O38" s="186"/>
      <c r="P38" s="186"/>
      <c r="Q38" s="186"/>
      <c r="R38" s="186"/>
      <c r="S38" s="190">
        <v>39</v>
      </c>
      <c r="AB38" s="743" t="s">
        <v>2494</v>
      </c>
      <c r="AC38" s="743" t="s">
        <v>2420</v>
      </c>
    </row>
    <row r="39" spans="1:29" ht="12" customHeight="1">
      <c r="A39" s="186" t="s">
        <v>2495</v>
      </c>
      <c r="B39" s="187" t="s">
        <v>2496</v>
      </c>
      <c r="C39" s="186" t="s">
        <v>2495</v>
      </c>
      <c r="D39" s="186"/>
      <c r="E39" s="186"/>
      <c r="F39" s="186"/>
      <c r="G39" s="186"/>
      <c r="H39" s="186"/>
      <c r="I39" s="186"/>
      <c r="J39" s="186"/>
      <c r="K39" s="192" t="s">
        <v>2497</v>
      </c>
      <c r="L39" s="186"/>
      <c r="M39" s="186"/>
      <c r="N39" s="186"/>
      <c r="O39" s="186"/>
      <c r="P39" s="186"/>
      <c r="Q39" s="186"/>
      <c r="R39" s="186"/>
      <c r="S39" s="190">
        <v>40</v>
      </c>
      <c r="AB39" s="743" t="s">
        <v>2498</v>
      </c>
      <c r="AC39" s="743" t="s">
        <v>2420</v>
      </c>
    </row>
    <row r="40" spans="1:29" ht="12" customHeight="1">
      <c r="A40" s="186" t="s">
        <v>2499</v>
      </c>
      <c r="B40" s="187" t="s">
        <v>2500</v>
      </c>
      <c r="C40" s="186" t="s">
        <v>2499</v>
      </c>
      <c r="D40" s="186"/>
      <c r="E40" s="186"/>
      <c r="F40" s="186"/>
      <c r="G40" s="186"/>
      <c r="H40" s="186"/>
      <c r="I40" s="186"/>
      <c r="J40" s="186"/>
      <c r="K40" s="192" t="s">
        <v>2501</v>
      </c>
      <c r="L40" s="186"/>
      <c r="M40" s="186"/>
      <c r="N40" s="186"/>
      <c r="O40" s="186"/>
      <c r="P40" s="186"/>
      <c r="Q40" s="186"/>
      <c r="R40" s="186"/>
      <c r="S40" s="190">
        <v>41</v>
      </c>
      <c r="AB40" s="743" t="s">
        <v>2502</v>
      </c>
      <c r="AC40" s="743" t="s">
        <v>2420</v>
      </c>
    </row>
    <row r="41" spans="1:29" ht="12" customHeight="1">
      <c r="A41" s="186" t="s">
        <v>2503</v>
      </c>
      <c r="B41" s="187" t="s">
        <v>2504</v>
      </c>
      <c r="C41" s="186" t="s">
        <v>2503</v>
      </c>
      <c r="D41" s="186"/>
      <c r="E41" s="186"/>
      <c r="F41" s="186"/>
      <c r="G41" s="186"/>
      <c r="H41" s="186"/>
      <c r="I41" s="186"/>
      <c r="J41" s="186"/>
      <c r="K41" s="192" t="s">
        <v>2505</v>
      </c>
      <c r="L41" s="186"/>
      <c r="M41" s="186"/>
      <c r="N41" s="186"/>
      <c r="O41" s="186"/>
      <c r="P41" s="186"/>
      <c r="Q41" s="186"/>
      <c r="R41" s="186"/>
      <c r="S41" s="190">
        <v>42</v>
      </c>
      <c r="AB41" s="743" t="s">
        <v>2506</v>
      </c>
      <c r="AC41" s="743" t="s">
        <v>2420</v>
      </c>
    </row>
    <row r="42" spans="1:29" ht="12" customHeight="1">
      <c r="A42" s="186" t="s">
        <v>2507</v>
      </c>
      <c r="B42" s="187" t="s">
        <v>2508</v>
      </c>
      <c r="C42" s="186" t="s">
        <v>2507</v>
      </c>
      <c r="D42" s="186"/>
      <c r="E42" s="186"/>
      <c r="F42" s="186"/>
      <c r="G42" s="186"/>
      <c r="H42" s="186"/>
      <c r="I42" s="186"/>
      <c r="J42" s="186"/>
      <c r="K42" s="192" t="s">
        <v>2509</v>
      </c>
      <c r="L42" s="186"/>
      <c r="M42" s="186"/>
      <c r="N42" s="186"/>
      <c r="O42" s="186"/>
      <c r="P42" s="186"/>
      <c r="Q42" s="186"/>
      <c r="R42" s="186"/>
      <c r="S42" s="190">
        <v>43</v>
      </c>
      <c r="AB42" s="743" t="s">
        <v>2510</v>
      </c>
      <c r="AC42" s="743" t="s">
        <v>2420</v>
      </c>
    </row>
    <row r="43" spans="1:29" ht="12" customHeight="1">
      <c r="A43" s="186" t="s">
        <v>2511</v>
      </c>
      <c r="B43" s="187" t="s">
        <v>2512</v>
      </c>
      <c r="C43" s="186" t="s">
        <v>2511</v>
      </c>
      <c r="D43" s="186"/>
      <c r="E43" s="186"/>
      <c r="F43" s="186"/>
      <c r="G43" s="186"/>
      <c r="H43" s="186"/>
      <c r="I43" s="186"/>
      <c r="J43" s="186"/>
      <c r="K43" s="186"/>
      <c r="L43" s="186"/>
      <c r="M43" s="186"/>
      <c r="N43" s="186"/>
      <c r="O43" s="186"/>
      <c r="P43" s="186"/>
      <c r="Q43" s="186"/>
      <c r="R43" s="186"/>
      <c r="S43" s="190">
        <v>44</v>
      </c>
      <c r="AB43" s="743" t="s">
        <v>2513</v>
      </c>
      <c r="AC43" s="743" t="s">
        <v>2514</v>
      </c>
    </row>
    <row r="44" spans="1:29" ht="12" customHeight="1">
      <c r="A44" s="186" t="s">
        <v>2515</v>
      </c>
      <c r="B44" s="187" t="s">
        <v>2516</v>
      </c>
      <c r="C44" s="186" t="s">
        <v>2515</v>
      </c>
      <c r="D44" s="186"/>
      <c r="E44" s="186"/>
      <c r="F44" s="186"/>
      <c r="G44" s="186"/>
      <c r="H44" s="186"/>
      <c r="I44" s="186"/>
      <c r="J44" s="186"/>
      <c r="K44" s="186"/>
      <c r="L44" s="186"/>
      <c r="M44" s="186"/>
      <c r="N44" s="186"/>
      <c r="O44" s="186"/>
      <c r="P44" s="186"/>
      <c r="Q44" s="186"/>
      <c r="R44" s="186"/>
      <c r="S44" s="190">
        <v>45</v>
      </c>
      <c r="AB44" s="743" t="s">
        <v>2517</v>
      </c>
      <c r="AC44" s="743" t="s">
        <v>2518</v>
      </c>
    </row>
    <row r="45" spans="1:29" ht="12" customHeight="1">
      <c r="A45" s="186" t="s">
        <v>2519</v>
      </c>
      <c r="B45" s="187" t="s">
        <v>2520</v>
      </c>
      <c r="C45" s="186" t="s">
        <v>2519</v>
      </c>
      <c r="D45" s="186"/>
      <c r="E45" s="186"/>
      <c r="F45" s="186"/>
      <c r="G45" s="186"/>
      <c r="H45" s="186"/>
      <c r="I45" s="186"/>
      <c r="J45" s="186"/>
      <c r="K45" s="188" t="s">
        <v>2521</v>
      </c>
      <c r="L45" s="186"/>
      <c r="M45" s="186"/>
      <c r="N45" s="186"/>
      <c r="O45" s="186"/>
      <c r="P45" s="186"/>
      <c r="Q45" s="186"/>
      <c r="R45" s="186"/>
      <c r="S45" s="190">
        <v>46</v>
      </c>
      <c r="AB45" s="743" t="s">
        <v>2522</v>
      </c>
      <c r="AC45" s="743" t="s">
        <v>2420</v>
      </c>
    </row>
    <row r="46" spans="1:29" ht="12" customHeight="1">
      <c r="A46" s="186" t="s">
        <v>2523</v>
      </c>
      <c r="B46" s="187" t="s">
        <v>2524</v>
      </c>
      <c r="C46" s="186" t="s">
        <v>2523</v>
      </c>
      <c r="D46" s="186"/>
      <c r="E46" s="186"/>
      <c r="F46" s="186"/>
      <c r="G46" s="186"/>
      <c r="H46" s="186"/>
      <c r="I46" s="186"/>
      <c r="J46" s="186"/>
      <c r="K46" s="192" t="s">
        <v>251</v>
      </c>
      <c r="L46" s="186"/>
      <c r="M46" s="186"/>
      <c r="N46" s="186"/>
      <c r="O46" s="186"/>
      <c r="P46" s="186"/>
      <c r="Q46" s="186"/>
      <c r="R46" s="186"/>
      <c r="S46" s="190">
        <v>47</v>
      </c>
      <c r="AB46" s="743" t="s">
        <v>2525</v>
      </c>
      <c r="AC46" s="743" t="s">
        <v>2420</v>
      </c>
    </row>
    <row r="47" spans="1:29" ht="12" customHeight="1">
      <c r="A47" s="186" t="s">
        <v>2526</v>
      </c>
      <c r="B47" s="187" t="s">
        <v>2527</v>
      </c>
      <c r="C47" s="186" t="s">
        <v>2526</v>
      </c>
      <c r="D47" s="186"/>
      <c r="E47" s="186"/>
      <c r="F47" s="186"/>
      <c r="G47" s="186"/>
      <c r="H47" s="186"/>
      <c r="I47" s="186"/>
      <c r="J47" s="186"/>
      <c r="K47" s="192" t="s">
        <v>2418</v>
      </c>
      <c r="L47" s="186"/>
      <c r="M47" s="186"/>
      <c r="N47" s="186"/>
      <c r="O47" s="186"/>
      <c r="P47" s="186"/>
      <c r="Q47" s="186"/>
      <c r="R47" s="186"/>
      <c r="S47" s="190">
        <v>48</v>
      </c>
      <c r="AB47" s="743" t="s">
        <v>2528</v>
      </c>
      <c r="AC47" s="743" t="s">
        <v>2420</v>
      </c>
    </row>
    <row r="48" spans="1:29" ht="12" customHeight="1">
      <c r="A48" s="186" t="s">
        <v>2529</v>
      </c>
      <c r="B48" s="187" t="s">
        <v>2530</v>
      </c>
      <c r="C48" s="186" t="s">
        <v>2529</v>
      </c>
      <c r="D48" s="186"/>
      <c r="E48" s="186"/>
      <c r="F48" s="186"/>
      <c r="G48" s="186"/>
      <c r="H48" s="186"/>
      <c r="I48" s="186"/>
      <c r="J48" s="186"/>
      <c r="K48" s="192" t="s">
        <v>228</v>
      </c>
      <c r="L48" s="186"/>
      <c r="M48" s="186"/>
      <c r="N48" s="186"/>
      <c r="O48" s="186"/>
      <c r="P48" s="186"/>
      <c r="Q48" s="186"/>
      <c r="R48" s="186"/>
      <c r="S48" s="190">
        <v>49</v>
      </c>
      <c r="AB48" s="743" t="s">
        <v>2531</v>
      </c>
      <c r="AC48" s="743" t="s">
        <v>2420</v>
      </c>
    </row>
    <row r="49" spans="1:29" ht="12" customHeight="1">
      <c r="A49" s="186" t="s">
        <v>2532</v>
      </c>
      <c r="B49" s="187" t="s">
        <v>2533</v>
      </c>
      <c r="C49" s="186" t="s">
        <v>2532</v>
      </c>
      <c r="D49" s="186"/>
      <c r="E49" s="186"/>
      <c r="F49" s="186"/>
      <c r="G49" s="186"/>
      <c r="H49" s="186"/>
      <c r="I49" s="186"/>
      <c r="J49" s="186"/>
      <c r="K49" s="192" t="s">
        <v>2428</v>
      </c>
      <c r="L49" s="186"/>
      <c r="M49" s="186"/>
      <c r="N49" s="186"/>
      <c r="O49" s="186"/>
      <c r="P49" s="186"/>
      <c r="Q49" s="186"/>
      <c r="R49" s="186"/>
      <c r="S49" s="190">
        <v>50</v>
      </c>
      <c r="AB49" s="743" t="s">
        <v>2534</v>
      </c>
      <c r="AC49" s="743" t="s">
        <v>2420</v>
      </c>
    </row>
    <row r="50" spans="1:29" ht="12" customHeight="1">
      <c r="A50" s="186" t="s">
        <v>2535</v>
      </c>
      <c r="B50" s="187" t="s">
        <v>2536</v>
      </c>
      <c r="C50" s="186" t="s">
        <v>2535</v>
      </c>
      <c r="D50" s="186"/>
      <c r="E50" s="186"/>
      <c r="F50" s="186"/>
      <c r="G50" s="186"/>
      <c r="H50" s="186"/>
      <c r="I50" s="186"/>
      <c r="J50" s="186"/>
      <c r="K50" s="192" t="s">
        <v>244</v>
      </c>
      <c r="L50" s="186"/>
      <c r="M50" s="186"/>
      <c r="N50" s="186"/>
      <c r="O50" s="186"/>
      <c r="P50" s="186"/>
      <c r="Q50" s="186"/>
      <c r="R50" s="186"/>
      <c r="AB50" s="743" t="s">
        <v>2537</v>
      </c>
      <c r="AC50" s="743" t="s">
        <v>2420</v>
      </c>
    </row>
    <row r="51" spans="1:29" ht="12" customHeight="1">
      <c r="A51" s="186" t="s">
        <v>2538</v>
      </c>
      <c r="B51" s="187" t="s">
        <v>2539</v>
      </c>
      <c r="C51" s="186" t="s">
        <v>2538</v>
      </c>
      <c r="D51" s="186"/>
      <c r="E51" s="186"/>
      <c r="F51" s="186"/>
      <c r="G51" s="186"/>
      <c r="H51" s="186"/>
      <c r="I51" s="186"/>
      <c r="J51" s="186"/>
      <c r="K51" s="192" t="s">
        <v>266</v>
      </c>
      <c r="L51" s="186"/>
      <c r="M51" s="186"/>
      <c r="N51" s="186"/>
      <c r="O51" s="186"/>
      <c r="P51" s="186"/>
      <c r="Q51" s="186"/>
      <c r="R51" s="186"/>
      <c r="AB51" s="743" t="s">
        <v>2540</v>
      </c>
      <c r="AC51" s="743" t="s">
        <v>2420</v>
      </c>
    </row>
    <row r="52" spans="1:29" ht="12" customHeight="1">
      <c r="A52" s="186" t="s">
        <v>2541</v>
      </c>
      <c r="B52" s="187" t="s">
        <v>2542</v>
      </c>
      <c r="C52" s="186" t="s">
        <v>2541</v>
      </c>
      <c r="D52" s="186"/>
      <c r="E52" s="186"/>
      <c r="F52" s="186"/>
      <c r="G52" s="186"/>
      <c r="H52" s="186"/>
      <c r="I52" s="186"/>
      <c r="J52" s="186"/>
      <c r="K52" s="192" t="s">
        <v>2543</v>
      </c>
      <c r="L52" s="186"/>
      <c r="M52" s="186"/>
      <c r="N52" s="186"/>
      <c r="O52" s="186"/>
      <c r="P52" s="186"/>
      <c r="Q52" s="186"/>
      <c r="R52" s="186"/>
      <c r="AB52" s="743" t="s">
        <v>2544</v>
      </c>
      <c r="AC52" s="863" t="s">
        <v>2420</v>
      </c>
    </row>
    <row r="53" spans="1:29" ht="12" customHeight="1">
      <c r="A53" s="186" t="s">
        <v>2545</v>
      </c>
      <c r="B53" s="187" t="s">
        <v>2546</v>
      </c>
      <c r="C53" s="186" t="s">
        <v>2545</v>
      </c>
      <c r="D53" s="186"/>
      <c r="E53" s="186"/>
      <c r="F53" s="186"/>
      <c r="G53" s="186"/>
      <c r="H53" s="186"/>
      <c r="I53" s="186"/>
      <c r="J53" s="186"/>
      <c r="K53" s="186"/>
      <c r="L53" s="186"/>
      <c r="M53" s="186"/>
      <c r="N53" s="186"/>
      <c r="O53" s="186"/>
      <c r="P53" s="186"/>
      <c r="Q53" s="186"/>
      <c r="R53" s="186"/>
      <c r="AB53" s="743" t="s">
        <v>2547</v>
      </c>
      <c r="AC53" s="743" t="s">
        <v>2285</v>
      </c>
    </row>
    <row r="54" spans="1:29" ht="12" customHeight="1">
      <c r="A54" s="186" t="s">
        <v>2548</v>
      </c>
      <c r="B54" s="187" t="s">
        <v>2549</v>
      </c>
      <c r="C54" s="186" t="s">
        <v>2548</v>
      </c>
      <c r="D54" s="186"/>
      <c r="E54" s="186"/>
      <c r="F54" s="186"/>
      <c r="G54" s="186"/>
      <c r="H54" s="186"/>
      <c r="I54" s="186"/>
      <c r="J54" s="186"/>
      <c r="K54" s="186"/>
      <c r="L54" s="186"/>
      <c r="M54" s="186"/>
      <c r="N54" s="186"/>
      <c r="O54" s="186"/>
      <c r="P54" s="186"/>
      <c r="Q54" s="186"/>
      <c r="R54" s="186"/>
      <c r="AB54" s="742" t="s">
        <v>2550</v>
      </c>
      <c r="AC54" s="743" t="s">
        <v>2285</v>
      </c>
    </row>
    <row r="55" spans="1:29" ht="12" customHeight="1">
      <c r="A55" s="186" t="s">
        <v>2551</v>
      </c>
      <c r="B55" s="187" t="s">
        <v>2552</v>
      </c>
      <c r="C55" s="186" t="s">
        <v>2551</v>
      </c>
      <c r="D55" s="186"/>
      <c r="E55" s="186"/>
      <c r="F55" s="186"/>
      <c r="G55" s="186"/>
      <c r="H55" s="186"/>
      <c r="I55" s="186"/>
      <c r="J55" s="186"/>
      <c r="K55" s="186"/>
      <c r="L55" s="186"/>
      <c r="M55" s="186"/>
      <c r="N55" s="186"/>
      <c r="O55" s="186"/>
      <c r="P55" s="186"/>
      <c r="Q55" s="186"/>
      <c r="R55" s="186"/>
      <c r="AB55" s="742" t="s">
        <v>2553</v>
      </c>
      <c r="AC55" s="743" t="s">
        <v>2420</v>
      </c>
    </row>
    <row r="56" spans="1:29" ht="12" customHeight="1">
      <c r="A56" s="186" t="s">
        <v>2554</v>
      </c>
      <c r="B56" s="195" t="s">
        <v>2555</v>
      </c>
      <c r="C56" s="197" t="s">
        <v>2556</v>
      </c>
      <c r="D56" s="186"/>
      <c r="E56" s="186"/>
      <c r="F56" s="186"/>
      <c r="G56" s="186"/>
      <c r="H56" s="186"/>
      <c r="I56" s="186"/>
      <c r="J56" s="186"/>
      <c r="K56" s="186"/>
      <c r="L56" s="186"/>
      <c r="M56" s="186"/>
      <c r="N56" s="186"/>
      <c r="O56" s="186"/>
      <c r="P56" s="186"/>
      <c r="Q56" s="186"/>
      <c r="R56" s="186"/>
      <c r="AB56" s="742" t="s">
        <v>2557</v>
      </c>
      <c r="AC56" s="743" t="s">
        <v>2420</v>
      </c>
    </row>
    <row r="57" spans="1:29" ht="12" customHeight="1">
      <c r="A57" s="186" t="s">
        <v>2558</v>
      </c>
      <c r="B57" s="187" t="s">
        <v>2559</v>
      </c>
      <c r="C57" s="186" t="s">
        <v>2558</v>
      </c>
      <c r="D57" s="186"/>
      <c r="E57" s="186"/>
      <c r="F57" s="186"/>
      <c r="G57" s="186"/>
      <c r="H57" s="186"/>
      <c r="I57" s="186"/>
      <c r="J57" s="186"/>
      <c r="K57" s="186"/>
      <c r="L57" s="186"/>
      <c r="M57" s="186"/>
      <c r="N57" s="186"/>
      <c r="O57" s="186"/>
      <c r="P57" s="186"/>
      <c r="Q57" s="186"/>
      <c r="R57" s="186"/>
      <c r="AB57" s="742" t="s">
        <v>2560</v>
      </c>
      <c r="AC57" s="743" t="s">
        <v>2285</v>
      </c>
    </row>
    <row r="58" spans="1:29" ht="12" customHeight="1">
      <c r="A58" s="186" t="s">
        <v>2561</v>
      </c>
      <c r="B58" s="187" t="s">
        <v>2562</v>
      </c>
      <c r="C58" s="186" t="s">
        <v>2561</v>
      </c>
      <c r="D58" s="186"/>
      <c r="E58" s="186"/>
      <c r="F58" s="186"/>
      <c r="G58" s="186"/>
      <c r="H58" s="186"/>
      <c r="I58" s="186"/>
      <c r="J58" s="186"/>
      <c r="K58" s="186"/>
      <c r="L58" s="186"/>
      <c r="M58" s="186"/>
      <c r="N58" s="186"/>
      <c r="O58" s="186"/>
      <c r="P58" s="186"/>
      <c r="Q58" s="186"/>
      <c r="R58" s="186"/>
    </row>
    <row r="59" spans="1:29" ht="12" customHeight="1">
      <c r="A59" s="186" t="s">
        <v>2563</v>
      </c>
      <c r="B59" s="187" t="s">
        <v>2564</v>
      </c>
      <c r="C59" s="186" t="s">
        <v>2563</v>
      </c>
      <c r="D59" s="186"/>
      <c r="E59" s="186"/>
      <c r="F59" s="186"/>
      <c r="G59" s="186"/>
      <c r="H59" s="186"/>
      <c r="I59" s="186"/>
      <c r="J59" s="186"/>
      <c r="K59" s="186"/>
      <c r="L59" s="186"/>
      <c r="M59" s="186"/>
      <c r="N59" s="186"/>
      <c r="O59" s="186"/>
      <c r="P59" s="186"/>
      <c r="Q59" s="186"/>
      <c r="R59" s="186"/>
    </row>
    <row r="60" spans="1:29" ht="12" customHeight="1">
      <c r="A60" s="186" t="s">
        <v>2565</v>
      </c>
      <c r="B60" s="187" t="s">
        <v>2566</v>
      </c>
      <c r="C60" s="193" t="s">
        <v>2567</v>
      </c>
      <c r="D60" s="186"/>
      <c r="E60" s="186"/>
      <c r="F60" s="186"/>
      <c r="G60" s="186"/>
      <c r="H60" s="186"/>
      <c r="I60" s="186"/>
      <c r="J60" s="186"/>
      <c r="K60" s="186"/>
      <c r="L60" s="186"/>
      <c r="M60" s="186"/>
      <c r="N60" s="186"/>
      <c r="O60" s="186"/>
      <c r="P60" s="186"/>
      <c r="Q60" s="186"/>
      <c r="R60" s="186"/>
    </row>
    <row r="61" spans="1:29" ht="12" customHeight="1">
      <c r="A61" s="186" t="s">
        <v>2568</v>
      </c>
      <c r="B61" s="187" t="s">
        <v>2569</v>
      </c>
      <c r="C61" s="186" t="s">
        <v>2568</v>
      </c>
      <c r="D61" s="186"/>
      <c r="E61" s="186"/>
      <c r="F61" s="186"/>
      <c r="G61" s="186"/>
      <c r="H61" s="186"/>
      <c r="I61" s="186"/>
      <c r="J61" s="186"/>
      <c r="K61" s="186"/>
      <c r="L61" s="186"/>
      <c r="M61" s="186"/>
      <c r="N61" s="186"/>
      <c r="O61" s="186"/>
      <c r="P61" s="186"/>
      <c r="Q61" s="186"/>
      <c r="R61" s="186"/>
    </row>
    <row r="62" spans="1:29" ht="12" customHeight="1">
      <c r="A62" s="186" t="s">
        <v>2570</v>
      </c>
      <c r="B62" s="187" t="s">
        <v>2571</v>
      </c>
      <c r="C62" s="193" t="s">
        <v>2572</v>
      </c>
      <c r="D62" s="186"/>
      <c r="E62" s="186"/>
      <c r="F62" s="186"/>
      <c r="G62" s="186"/>
      <c r="H62" s="186"/>
      <c r="I62" s="186"/>
      <c r="J62" s="186"/>
      <c r="K62" s="186"/>
      <c r="L62" s="186"/>
      <c r="M62" s="186"/>
      <c r="N62" s="186"/>
      <c r="O62" s="186"/>
      <c r="P62" s="186"/>
      <c r="Q62" s="186"/>
      <c r="R62" s="186"/>
    </row>
    <row r="63" spans="1:29" ht="12" customHeight="1">
      <c r="A63" s="186" t="s">
        <v>2573</v>
      </c>
      <c r="B63" s="187" t="s">
        <v>2574</v>
      </c>
      <c r="C63" s="186" t="s">
        <v>2573</v>
      </c>
      <c r="D63" s="186"/>
      <c r="E63" s="186"/>
      <c r="F63" s="186"/>
      <c r="G63" s="186"/>
      <c r="H63" s="186"/>
      <c r="I63" s="186"/>
      <c r="J63" s="186"/>
      <c r="K63" s="186"/>
      <c r="L63" s="186"/>
      <c r="M63" s="186"/>
      <c r="N63" s="186"/>
      <c r="O63" s="186"/>
      <c r="P63" s="186"/>
      <c r="Q63" s="186"/>
      <c r="R63" s="186"/>
    </row>
    <row r="64" spans="1:29" ht="12" customHeight="1">
      <c r="A64" s="186" t="s">
        <v>2575</v>
      </c>
      <c r="B64" s="187" t="s">
        <v>2576</v>
      </c>
      <c r="C64" s="186" t="s">
        <v>2575</v>
      </c>
      <c r="D64" s="186"/>
      <c r="E64" s="186"/>
      <c r="F64" s="186"/>
      <c r="G64" s="186"/>
      <c r="H64" s="186"/>
      <c r="I64" s="186"/>
      <c r="J64" s="186"/>
      <c r="K64" s="186"/>
      <c r="L64" s="186"/>
      <c r="M64" s="186"/>
      <c r="N64" s="186"/>
      <c r="O64" s="186"/>
      <c r="P64" s="186"/>
      <c r="Q64" s="186"/>
      <c r="R64" s="186"/>
    </row>
    <row r="65" spans="1:18" ht="12" customHeight="1">
      <c r="A65" s="186" t="s">
        <v>2577</v>
      </c>
      <c r="B65" s="187" t="s">
        <v>2578</v>
      </c>
      <c r="C65" s="186" t="s">
        <v>2577</v>
      </c>
      <c r="D65" s="186"/>
      <c r="E65" s="186"/>
      <c r="F65" s="186"/>
      <c r="G65" s="186"/>
      <c r="H65" s="186"/>
      <c r="I65" s="186"/>
      <c r="J65" s="186"/>
      <c r="K65" s="186"/>
      <c r="L65" s="186"/>
      <c r="M65" s="186"/>
      <c r="N65" s="186"/>
      <c r="O65" s="186"/>
      <c r="P65" s="186"/>
      <c r="Q65" s="186"/>
      <c r="R65" s="186"/>
    </row>
    <row r="66" spans="1:18" ht="12" customHeight="1">
      <c r="A66" s="186" t="s">
        <v>2579</v>
      </c>
      <c r="B66" s="187" t="s">
        <v>2580</v>
      </c>
      <c r="C66" s="186" t="s">
        <v>2579</v>
      </c>
      <c r="D66" s="186"/>
      <c r="E66" s="186"/>
      <c r="F66" s="186"/>
      <c r="G66" s="186"/>
      <c r="H66" s="186"/>
      <c r="I66" s="186"/>
      <c r="J66" s="186"/>
      <c r="K66" s="186"/>
      <c r="L66" s="186"/>
      <c r="M66" s="186"/>
      <c r="N66" s="186"/>
      <c r="O66" s="186"/>
      <c r="P66" s="186"/>
      <c r="Q66" s="186"/>
      <c r="R66" s="186"/>
    </row>
    <row r="67" spans="1:18" ht="12" customHeight="1">
      <c r="A67" s="186" t="s">
        <v>2581</v>
      </c>
      <c r="B67" s="187" t="s">
        <v>2582</v>
      </c>
      <c r="C67" s="186" t="s">
        <v>2581</v>
      </c>
      <c r="D67" s="186"/>
      <c r="E67" s="186"/>
      <c r="F67" s="186"/>
      <c r="G67" s="186"/>
      <c r="H67" s="186"/>
      <c r="I67" s="186"/>
      <c r="J67" s="186"/>
      <c r="K67" s="186"/>
      <c r="L67" s="186"/>
      <c r="M67" s="186"/>
      <c r="N67" s="186"/>
      <c r="O67" s="186"/>
      <c r="P67" s="186"/>
      <c r="Q67" s="186"/>
      <c r="R67" s="186"/>
    </row>
    <row r="68" spans="1:18" ht="12" customHeight="1">
      <c r="A68" s="186" t="s">
        <v>2583</v>
      </c>
      <c r="B68" s="187" t="s">
        <v>2584</v>
      </c>
      <c r="C68" s="186" t="s">
        <v>2583</v>
      </c>
      <c r="D68" s="186"/>
      <c r="E68" s="186"/>
      <c r="F68" s="186"/>
      <c r="G68" s="186"/>
      <c r="H68" s="186"/>
      <c r="I68" s="186"/>
      <c r="J68" s="186"/>
      <c r="K68" s="186"/>
      <c r="L68" s="186"/>
      <c r="M68" s="186"/>
      <c r="N68" s="186"/>
      <c r="O68" s="186"/>
      <c r="P68" s="186"/>
      <c r="Q68" s="186"/>
      <c r="R68" s="186"/>
    </row>
    <row r="69" spans="1:18" ht="12" customHeight="1">
      <c r="A69" s="186" t="s">
        <v>2585</v>
      </c>
      <c r="B69" s="187" t="s">
        <v>2586</v>
      </c>
      <c r="C69" s="186" t="s">
        <v>2585</v>
      </c>
      <c r="D69" s="186"/>
      <c r="E69" s="186"/>
      <c r="F69" s="186"/>
      <c r="G69" s="186"/>
      <c r="H69" s="186"/>
      <c r="I69" s="186"/>
      <c r="J69" s="186"/>
      <c r="K69" s="186"/>
      <c r="L69" s="186"/>
      <c r="M69" s="186"/>
      <c r="N69" s="186"/>
      <c r="O69" s="186"/>
      <c r="P69" s="186"/>
      <c r="Q69" s="186"/>
      <c r="R69" s="186"/>
    </row>
    <row r="70" spans="1:18" ht="12" customHeight="1">
      <c r="A70" s="186" t="s">
        <v>2587</v>
      </c>
      <c r="B70" s="187" t="s">
        <v>2588</v>
      </c>
      <c r="C70" s="186" t="s">
        <v>2587</v>
      </c>
      <c r="D70" s="186"/>
      <c r="E70" s="186"/>
      <c r="F70" s="186"/>
      <c r="G70" s="186"/>
      <c r="H70" s="186"/>
      <c r="I70" s="186"/>
      <c r="J70" s="186"/>
      <c r="K70" s="186"/>
      <c r="L70" s="186"/>
      <c r="M70" s="186"/>
      <c r="N70" s="186"/>
      <c r="O70" s="186"/>
      <c r="P70" s="186"/>
      <c r="Q70" s="186"/>
      <c r="R70" s="186"/>
    </row>
    <row r="71" spans="1:18" ht="12" customHeight="1">
      <c r="A71" s="186" t="s">
        <v>2589</v>
      </c>
      <c r="B71" s="187" t="s">
        <v>2590</v>
      </c>
      <c r="C71" s="186" t="s">
        <v>2589</v>
      </c>
      <c r="D71" s="186"/>
      <c r="E71" s="186"/>
      <c r="F71" s="186"/>
      <c r="G71" s="186"/>
      <c r="H71" s="186"/>
      <c r="I71" s="186"/>
      <c r="J71" s="186"/>
      <c r="K71" s="186"/>
      <c r="L71" s="186"/>
      <c r="M71" s="186"/>
      <c r="N71" s="186"/>
      <c r="O71" s="186"/>
      <c r="P71" s="186"/>
      <c r="Q71" s="186"/>
      <c r="R71" s="186"/>
    </row>
    <row r="72" spans="1:18" ht="12" customHeight="1">
      <c r="A72" s="186" t="s">
        <v>2591</v>
      </c>
      <c r="B72" s="187" t="s">
        <v>2592</v>
      </c>
      <c r="C72" s="186" t="s">
        <v>2591</v>
      </c>
      <c r="D72" s="186"/>
      <c r="E72" s="186"/>
      <c r="F72" s="186"/>
      <c r="G72" s="186"/>
      <c r="H72" s="186"/>
      <c r="I72" s="186"/>
      <c r="J72" s="186"/>
      <c r="K72" s="186"/>
      <c r="L72" s="186"/>
      <c r="M72" s="186"/>
      <c r="N72" s="186"/>
      <c r="O72" s="186"/>
      <c r="P72" s="186"/>
      <c r="Q72" s="186"/>
      <c r="R72" s="186"/>
    </row>
    <row r="73" spans="1:18" ht="12" customHeight="1">
      <c r="A73" s="186" t="s">
        <v>2593</v>
      </c>
      <c r="B73" s="187" t="s">
        <v>2594</v>
      </c>
      <c r="C73" s="186" t="s">
        <v>2593</v>
      </c>
      <c r="D73" s="186"/>
      <c r="E73" s="186"/>
      <c r="F73" s="186"/>
      <c r="G73" s="186"/>
      <c r="H73" s="186"/>
      <c r="I73" s="186"/>
      <c r="J73" s="186"/>
      <c r="K73" s="186"/>
      <c r="L73" s="186"/>
      <c r="M73" s="186"/>
      <c r="N73" s="186"/>
      <c r="O73" s="186"/>
      <c r="P73" s="186"/>
      <c r="Q73" s="186"/>
      <c r="R73" s="186"/>
    </row>
    <row r="74" spans="1:18" ht="12" customHeight="1">
      <c r="A74" s="186" t="s">
        <v>2595</v>
      </c>
      <c r="B74" s="187" t="s">
        <v>2596</v>
      </c>
      <c r="C74" s="186" t="s">
        <v>2595</v>
      </c>
      <c r="D74" s="186"/>
      <c r="E74" s="186"/>
      <c r="F74" s="186"/>
      <c r="G74" s="186"/>
      <c r="H74" s="186"/>
      <c r="I74" s="186"/>
      <c r="J74" s="186"/>
      <c r="K74" s="186"/>
      <c r="L74" s="186"/>
      <c r="M74" s="186"/>
      <c r="N74" s="186"/>
      <c r="O74" s="186"/>
      <c r="P74" s="186"/>
      <c r="Q74" s="186"/>
      <c r="R74" s="186"/>
    </row>
    <row r="75" spans="1:18" ht="12" customHeight="1">
      <c r="A75" s="186" t="s">
        <v>2597</v>
      </c>
      <c r="B75" s="187" t="s">
        <v>2598</v>
      </c>
      <c r="C75" s="186" t="s">
        <v>2597</v>
      </c>
      <c r="D75" s="186"/>
      <c r="E75" s="186"/>
      <c r="F75" s="186"/>
      <c r="G75" s="186"/>
      <c r="H75" s="186"/>
      <c r="I75" s="186"/>
      <c r="J75" s="186"/>
      <c r="K75" s="186"/>
      <c r="L75" s="186"/>
      <c r="M75" s="186"/>
      <c r="N75" s="186"/>
      <c r="O75" s="186"/>
      <c r="P75" s="186"/>
      <c r="Q75" s="186"/>
      <c r="R75" s="186"/>
    </row>
    <row r="76" spans="1:18" ht="12" customHeight="1">
      <c r="A76" s="186" t="s">
        <v>2599</v>
      </c>
      <c r="B76" s="187" t="s">
        <v>2600</v>
      </c>
      <c r="C76" s="186" t="s">
        <v>2599</v>
      </c>
      <c r="D76" s="186"/>
      <c r="E76" s="186"/>
      <c r="F76" s="186"/>
      <c r="G76" s="186"/>
      <c r="H76" s="186"/>
      <c r="I76" s="186"/>
      <c r="J76" s="186"/>
      <c r="K76" s="186"/>
      <c r="L76" s="186"/>
      <c r="M76" s="186"/>
      <c r="N76" s="186"/>
      <c r="O76" s="186"/>
      <c r="P76" s="186"/>
      <c r="Q76" s="186"/>
      <c r="R76" s="186"/>
    </row>
    <row r="77" spans="1:18" ht="12" customHeight="1">
      <c r="A77" s="186" t="s">
        <v>2601</v>
      </c>
      <c r="B77" s="187" t="s">
        <v>2602</v>
      </c>
      <c r="C77" s="193" t="s">
        <v>2603</v>
      </c>
      <c r="D77" s="186"/>
      <c r="E77" s="186"/>
      <c r="F77" s="186"/>
      <c r="G77" s="186"/>
      <c r="H77" s="186"/>
      <c r="I77" s="186"/>
      <c r="J77" s="186"/>
      <c r="K77" s="186"/>
      <c r="L77" s="186"/>
      <c r="M77" s="186"/>
      <c r="N77" s="186"/>
      <c r="O77" s="186"/>
      <c r="P77" s="186"/>
      <c r="Q77" s="186"/>
      <c r="R77" s="186"/>
    </row>
    <row r="78" spans="1:18" ht="12" customHeight="1">
      <c r="A78" s="186" t="s">
        <v>2604</v>
      </c>
      <c r="B78" s="187" t="s">
        <v>2605</v>
      </c>
      <c r="C78" s="186" t="s">
        <v>2604</v>
      </c>
      <c r="D78" s="186"/>
      <c r="E78" s="186"/>
      <c r="F78" s="186"/>
      <c r="G78" s="186"/>
      <c r="H78" s="186"/>
      <c r="I78" s="186"/>
      <c r="J78" s="186"/>
      <c r="K78" s="186"/>
      <c r="L78" s="186"/>
      <c r="M78" s="186"/>
      <c r="N78" s="186"/>
      <c r="O78" s="186"/>
      <c r="P78" s="186"/>
      <c r="Q78" s="186"/>
      <c r="R78" s="186"/>
    </row>
    <row r="79" spans="1:18" ht="12" customHeight="1">
      <c r="A79" s="186" t="s">
        <v>2606</v>
      </c>
      <c r="B79" s="187" t="s">
        <v>2607</v>
      </c>
      <c r="C79" s="186" t="s">
        <v>2606</v>
      </c>
      <c r="D79" s="186"/>
      <c r="E79" s="186"/>
      <c r="F79" s="186"/>
      <c r="G79" s="186"/>
      <c r="H79" s="186"/>
      <c r="I79" s="186"/>
      <c r="J79" s="186"/>
      <c r="K79" s="186"/>
      <c r="L79" s="186"/>
      <c r="M79" s="186"/>
      <c r="N79" s="186"/>
      <c r="O79" s="186"/>
      <c r="P79" s="186"/>
      <c r="Q79" s="186"/>
      <c r="R79" s="186"/>
    </row>
    <row r="80" spans="1:18" ht="12" customHeight="1">
      <c r="A80" s="186" t="s">
        <v>2608</v>
      </c>
      <c r="B80" s="187" t="s">
        <v>2609</v>
      </c>
      <c r="C80" s="186" t="s">
        <v>2608</v>
      </c>
      <c r="D80" s="186"/>
      <c r="E80" s="186"/>
      <c r="F80" s="186"/>
      <c r="G80" s="186"/>
      <c r="H80" s="186"/>
      <c r="I80" s="186"/>
      <c r="J80" s="186"/>
      <c r="K80" s="186"/>
      <c r="L80" s="186"/>
      <c r="M80" s="186"/>
      <c r="N80" s="186"/>
      <c r="O80" s="186"/>
      <c r="P80" s="186"/>
      <c r="Q80" s="186"/>
      <c r="R80" s="186"/>
    </row>
    <row r="81" spans="1:18" ht="12" customHeight="1">
      <c r="A81" s="186" t="s">
        <v>2610</v>
      </c>
      <c r="B81" s="187" t="s">
        <v>2611</v>
      </c>
      <c r="C81" s="186" t="s">
        <v>2610</v>
      </c>
      <c r="D81" s="186"/>
      <c r="E81" s="186"/>
      <c r="F81" s="186"/>
      <c r="G81" s="186"/>
      <c r="H81" s="186"/>
      <c r="I81" s="186"/>
      <c r="J81" s="186"/>
      <c r="K81" s="186"/>
      <c r="L81" s="186"/>
      <c r="M81" s="186"/>
      <c r="N81" s="186"/>
      <c r="O81" s="186"/>
      <c r="P81" s="186"/>
      <c r="Q81" s="186"/>
      <c r="R81" s="186"/>
    </row>
    <row r="82" spans="1:18" ht="12" customHeight="1">
      <c r="A82" s="186" t="s">
        <v>2612</v>
      </c>
      <c r="B82" s="187" t="s">
        <v>2613</v>
      </c>
      <c r="C82" s="193" t="s">
        <v>2614</v>
      </c>
      <c r="D82" s="186"/>
      <c r="E82" s="186"/>
      <c r="F82" s="186"/>
      <c r="G82" s="186"/>
      <c r="H82" s="186"/>
      <c r="I82" s="186"/>
      <c r="J82" s="186"/>
      <c r="K82" s="186"/>
      <c r="L82" s="186"/>
      <c r="M82" s="186"/>
      <c r="N82" s="186"/>
      <c r="O82" s="186"/>
      <c r="P82" s="186"/>
      <c r="Q82" s="186"/>
      <c r="R82" s="186"/>
    </row>
    <row r="83" spans="1:18" ht="12" customHeight="1">
      <c r="A83" s="186" t="s">
        <v>2615</v>
      </c>
      <c r="B83" s="187" t="s">
        <v>2616</v>
      </c>
      <c r="C83" s="193" t="s">
        <v>2617</v>
      </c>
      <c r="D83" s="186"/>
      <c r="E83" s="186"/>
      <c r="F83" s="186"/>
      <c r="G83" s="186"/>
      <c r="H83" s="186"/>
      <c r="I83" s="186"/>
      <c r="J83" s="186"/>
      <c r="K83" s="186"/>
      <c r="L83" s="186"/>
      <c r="M83" s="186"/>
      <c r="N83" s="186"/>
      <c r="O83" s="186"/>
      <c r="P83" s="186"/>
      <c r="Q83" s="186"/>
      <c r="R83" s="186"/>
    </row>
    <row r="84" spans="1:18" ht="12" customHeight="1">
      <c r="A84" s="186" t="s">
        <v>2618</v>
      </c>
      <c r="B84" s="187" t="s">
        <v>2619</v>
      </c>
      <c r="C84" s="186" t="s">
        <v>2618</v>
      </c>
      <c r="D84" s="186"/>
      <c r="E84" s="186"/>
      <c r="F84" s="186"/>
      <c r="G84" s="186"/>
      <c r="H84" s="186"/>
      <c r="I84" s="186"/>
      <c r="J84" s="186"/>
      <c r="K84" s="186"/>
      <c r="L84" s="186"/>
      <c r="M84" s="186"/>
      <c r="N84" s="186"/>
      <c r="O84" s="186"/>
      <c r="P84" s="186"/>
      <c r="Q84" s="186"/>
      <c r="R84" s="186"/>
    </row>
    <row r="85" spans="1:18" ht="12" customHeight="1">
      <c r="A85" s="186" t="s">
        <v>2620</v>
      </c>
      <c r="B85" s="187" t="s">
        <v>2621</v>
      </c>
      <c r="C85" s="186" t="s">
        <v>2620</v>
      </c>
      <c r="D85" s="186"/>
      <c r="E85" s="186"/>
      <c r="F85" s="186"/>
      <c r="G85" s="186"/>
      <c r="H85" s="186"/>
      <c r="I85" s="186"/>
      <c r="J85" s="186"/>
      <c r="K85" s="186"/>
      <c r="L85" s="186"/>
      <c r="M85" s="186"/>
      <c r="N85" s="186"/>
      <c r="O85" s="186"/>
      <c r="P85" s="186"/>
      <c r="Q85" s="186"/>
      <c r="R85" s="186"/>
    </row>
    <row r="86" spans="1:18" ht="12" customHeight="1">
      <c r="A86" s="186" t="s">
        <v>2622</v>
      </c>
      <c r="B86" s="187" t="s">
        <v>2623</v>
      </c>
      <c r="C86" s="186" t="s">
        <v>2622</v>
      </c>
      <c r="D86" s="186"/>
      <c r="E86" s="186"/>
      <c r="F86" s="186"/>
      <c r="G86" s="186"/>
      <c r="H86" s="186"/>
      <c r="I86" s="186"/>
      <c r="J86" s="186"/>
      <c r="K86" s="186"/>
      <c r="L86" s="186"/>
      <c r="M86" s="186"/>
      <c r="N86" s="186"/>
      <c r="O86" s="186"/>
      <c r="P86" s="186"/>
      <c r="Q86" s="186"/>
      <c r="R86" s="186"/>
    </row>
    <row r="87" spans="1:18" ht="12" customHeight="1">
      <c r="A87" s="187"/>
      <c r="B87" s="198"/>
      <c r="C87" s="199" t="s">
        <v>2489</v>
      </c>
      <c r="D87" s="186"/>
      <c r="E87" s="186"/>
      <c r="F87" s="186"/>
      <c r="G87" s="186"/>
      <c r="H87" s="186"/>
      <c r="I87" s="186"/>
      <c r="J87" s="186"/>
      <c r="K87" s="186"/>
      <c r="L87" s="186"/>
      <c r="M87" s="186"/>
      <c r="N87" s="186"/>
      <c r="O87" s="186"/>
      <c r="P87" s="186"/>
      <c r="Q87" s="186"/>
      <c r="R87" s="186"/>
    </row>
    <row r="88" spans="1:18" ht="12" customHeight="1">
      <c r="A88" s="186"/>
      <c r="B88" s="186"/>
      <c r="C88" s="186"/>
      <c r="D88" s="186"/>
      <c r="E88" s="186"/>
      <c r="F88" s="186"/>
      <c r="G88" s="186"/>
      <c r="H88" s="186"/>
      <c r="I88" s="186"/>
      <c r="J88" s="186"/>
      <c r="K88" s="186"/>
      <c r="L88" s="186"/>
      <c r="M88" s="186"/>
      <c r="N88" s="186"/>
      <c r="O88" s="186"/>
      <c r="P88" s="186"/>
      <c r="Q88" s="186"/>
      <c r="R88" s="186"/>
    </row>
    <row r="89" spans="1:18" ht="12" customHeight="1">
      <c r="A89" s="186"/>
      <c r="B89" s="186"/>
      <c r="C89" s="186"/>
      <c r="D89" s="186"/>
      <c r="E89" s="186"/>
      <c r="F89" s="186"/>
      <c r="G89" s="186"/>
      <c r="H89" s="186"/>
      <c r="I89" s="186"/>
      <c r="J89" s="186"/>
      <c r="K89" s="186"/>
      <c r="L89" s="186"/>
      <c r="M89" s="186"/>
      <c r="N89" s="186"/>
      <c r="O89" s="186"/>
      <c r="P89" s="186"/>
      <c r="Q89" s="186"/>
      <c r="R89" s="186"/>
    </row>
    <row r="90" spans="1:18" ht="12" customHeight="1">
      <c r="A90" s="186" t="s">
        <v>2257</v>
      </c>
      <c r="B90" s="187" t="s">
        <v>2624</v>
      </c>
      <c r="C90" s="186"/>
      <c r="D90" s="186"/>
      <c r="E90" s="186"/>
      <c r="F90" s="186"/>
      <c r="G90" s="186"/>
      <c r="H90" s="186"/>
      <c r="I90" s="186"/>
      <c r="J90" s="186"/>
      <c r="K90" s="186"/>
      <c r="L90" s="186"/>
      <c r="M90" s="186"/>
      <c r="N90" s="186"/>
      <c r="O90" s="186"/>
      <c r="P90" s="186"/>
      <c r="Q90" s="186"/>
      <c r="R90" s="186"/>
    </row>
    <row r="91" spans="1:18" ht="12" customHeight="1">
      <c r="A91" s="186" t="s">
        <v>2276</v>
      </c>
      <c r="B91" s="187" t="s">
        <v>2625</v>
      </c>
      <c r="C91" s="186"/>
      <c r="D91" s="186"/>
      <c r="E91" s="186"/>
      <c r="F91" s="186"/>
      <c r="G91" s="186"/>
      <c r="H91" s="186"/>
      <c r="I91" s="186"/>
      <c r="J91" s="186"/>
      <c r="K91" s="186"/>
      <c r="L91" s="186"/>
      <c r="M91" s="186"/>
      <c r="N91" s="186"/>
      <c r="O91" s="186"/>
      <c r="P91" s="186"/>
      <c r="Q91" s="186"/>
      <c r="R91" s="186"/>
    </row>
    <row r="92" spans="1:18" ht="12" customHeight="1">
      <c r="A92" s="186" t="s">
        <v>2286</v>
      </c>
      <c r="B92" s="187" t="s">
        <v>2626</v>
      </c>
      <c r="C92" s="186"/>
      <c r="D92" s="186"/>
      <c r="E92" s="186"/>
      <c r="F92" s="186"/>
      <c r="G92" s="186"/>
      <c r="H92" s="186"/>
      <c r="I92" s="186"/>
      <c r="J92" s="186"/>
      <c r="K92" s="186"/>
      <c r="L92" s="186"/>
      <c r="M92" s="186"/>
      <c r="N92" s="186"/>
      <c r="O92" s="186"/>
      <c r="P92" s="186"/>
      <c r="Q92" s="186"/>
      <c r="R92" s="186"/>
    </row>
    <row r="93" spans="1:18" ht="12" customHeight="1">
      <c r="A93" s="186" t="s">
        <v>2297</v>
      </c>
      <c r="B93" s="187" t="s">
        <v>2627</v>
      </c>
      <c r="C93" s="186"/>
      <c r="D93" s="186"/>
      <c r="E93" s="186"/>
      <c r="F93" s="186"/>
      <c r="G93" s="186"/>
      <c r="H93" s="186"/>
      <c r="I93" s="186"/>
      <c r="J93" s="186"/>
      <c r="K93" s="186"/>
      <c r="L93" s="186"/>
      <c r="M93" s="186"/>
      <c r="N93" s="186"/>
      <c r="O93" s="186"/>
      <c r="P93" s="186"/>
      <c r="Q93" s="186"/>
      <c r="R93" s="186"/>
    </row>
    <row r="94" spans="1:18" ht="12" customHeight="1">
      <c r="A94" s="186" t="s">
        <v>2305</v>
      </c>
      <c r="B94" s="187" t="s">
        <v>2628</v>
      </c>
      <c r="C94" s="186"/>
      <c r="D94" s="186"/>
      <c r="E94" s="186"/>
      <c r="F94" s="186"/>
      <c r="G94" s="186"/>
      <c r="H94" s="186"/>
      <c r="I94" s="186"/>
      <c r="J94" s="186"/>
      <c r="K94" s="186"/>
      <c r="L94" s="186"/>
      <c r="M94" s="186"/>
      <c r="N94" s="186"/>
      <c r="O94" s="186"/>
      <c r="P94" s="186"/>
      <c r="Q94" s="186"/>
      <c r="R94" s="186"/>
    </row>
    <row r="95" spans="1:18" ht="12" customHeight="1">
      <c r="A95" s="186" t="s">
        <v>2315</v>
      </c>
      <c r="B95" s="187" t="s">
        <v>2629</v>
      </c>
      <c r="C95" s="186"/>
      <c r="D95" s="186"/>
      <c r="E95" s="186"/>
      <c r="F95" s="186"/>
      <c r="G95" s="186"/>
      <c r="H95" s="186"/>
      <c r="I95" s="186"/>
      <c r="J95" s="186"/>
      <c r="K95" s="186"/>
      <c r="L95" s="186"/>
      <c r="M95" s="186"/>
      <c r="N95" s="186"/>
      <c r="O95" s="186"/>
      <c r="P95" s="186"/>
      <c r="Q95" s="186"/>
      <c r="R95" s="186"/>
    </row>
    <row r="96" spans="1:18" ht="12" customHeight="1">
      <c r="A96" s="186" t="s">
        <v>2324</v>
      </c>
      <c r="B96" s="187" t="s">
        <v>2630</v>
      </c>
      <c r="C96" s="186"/>
      <c r="D96" s="186"/>
      <c r="E96" s="186"/>
      <c r="F96" s="186"/>
      <c r="G96" s="186"/>
      <c r="H96" s="186"/>
      <c r="I96" s="186"/>
      <c r="J96" s="186"/>
      <c r="K96" s="186"/>
      <c r="L96" s="186"/>
      <c r="M96" s="186"/>
      <c r="N96" s="186"/>
      <c r="O96" s="186"/>
      <c r="P96" s="186"/>
      <c r="Q96" s="186"/>
      <c r="R96" s="186"/>
    </row>
    <row r="97" spans="1:18" ht="12" customHeight="1">
      <c r="A97" s="186" t="s">
        <v>2334</v>
      </c>
      <c r="B97" s="187" t="s">
        <v>2631</v>
      </c>
      <c r="C97" s="186"/>
      <c r="D97" s="186"/>
      <c r="E97" s="186"/>
      <c r="F97" s="186"/>
      <c r="G97" s="186"/>
      <c r="H97" s="186"/>
      <c r="I97" s="186"/>
      <c r="J97" s="186"/>
      <c r="K97" s="186"/>
      <c r="L97" s="186"/>
      <c r="M97" s="186"/>
      <c r="N97" s="186"/>
      <c r="O97" s="186"/>
      <c r="P97" s="186"/>
      <c r="Q97" s="186"/>
      <c r="R97" s="186"/>
    </row>
    <row r="98" spans="1:18" ht="12" customHeight="1">
      <c r="A98" s="186" t="s">
        <v>2342</v>
      </c>
      <c r="B98" s="187" t="s">
        <v>2632</v>
      </c>
      <c r="C98" s="186"/>
      <c r="D98" s="186"/>
      <c r="E98" s="186"/>
      <c r="F98" s="186"/>
      <c r="G98" s="186"/>
      <c r="H98" s="186"/>
      <c r="I98" s="186"/>
      <c r="J98" s="186"/>
      <c r="K98" s="186"/>
      <c r="L98" s="186"/>
      <c r="M98" s="186"/>
      <c r="N98" s="186"/>
      <c r="O98" s="186"/>
      <c r="P98" s="186"/>
      <c r="Q98" s="186"/>
      <c r="R98" s="186"/>
    </row>
    <row r="99" spans="1:18" ht="12" customHeight="1">
      <c r="A99" s="186" t="s">
        <v>2350</v>
      </c>
      <c r="B99" s="187" t="s">
        <v>2633</v>
      </c>
      <c r="C99" s="186"/>
      <c r="D99" s="186"/>
      <c r="E99" s="186"/>
      <c r="F99" s="186"/>
      <c r="G99" s="186"/>
      <c r="H99" s="186"/>
      <c r="I99" s="186"/>
      <c r="J99" s="186"/>
      <c r="K99" s="186"/>
      <c r="L99" s="186"/>
      <c r="M99" s="186"/>
      <c r="N99" s="186"/>
      <c r="O99" s="186"/>
      <c r="P99" s="186"/>
      <c r="Q99" s="186"/>
      <c r="R99" s="186"/>
    </row>
    <row r="100" spans="1:18" ht="12" customHeight="1">
      <c r="A100" s="280" t="s">
        <v>2357</v>
      </c>
      <c r="B100" s="187" t="s">
        <v>2634</v>
      </c>
      <c r="C100" s="186"/>
      <c r="D100" s="186"/>
      <c r="E100" s="186"/>
      <c r="F100" s="186"/>
      <c r="G100" s="186"/>
      <c r="H100" s="186"/>
      <c r="I100" s="186"/>
      <c r="J100" s="186"/>
      <c r="K100" s="186"/>
      <c r="L100" s="186"/>
      <c r="M100" s="186"/>
      <c r="N100" s="186"/>
      <c r="O100" s="200"/>
      <c r="P100" s="186"/>
      <c r="Q100" s="186"/>
      <c r="R100" s="186"/>
    </row>
    <row r="101" spans="1:18" ht="12" customHeight="1">
      <c r="A101" s="280" t="s">
        <v>2635</v>
      </c>
      <c r="B101" s="187" t="s">
        <v>2636</v>
      </c>
      <c r="C101" s="186"/>
      <c r="D101" s="186"/>
      <c r="E101" s="186"/>
      <c r="F101" s="186"/>
      <c r="G101" s="186"/>
      <c r="H101" s="186"/>
      <c r="I101" s="186"/>
      <c r="J101" s="186"/>
      <c r="K101" s="186"/>
      <c r="L101" s="186"/>
      <c r="M101" s="186"/>
      <c r="N101" s="186"/>
      <c r="O101" s="200"/>
      <c r="P101" s="186"/>
      <c r="Q101" s="186"/>
      <c r="R101" s="186"/>
    </row>
    <row r="102" spans="1:18" ht="12" customHeight="1">
      <c r="A102" s="280" t="s">
        <v>2637</v>
      </c>
      <c r="B102" s="187" t="s">
        <v>2638</v>
      </c>
      <c r="C102" s="186"/>
      <c r="D102" s="186"/>
      <c r="E102" s="186"/>
      <c r="F102" s="186"/>
      <c r="G102" s="186"/>
      <c r="H102" s="186"/>
      <c r="I102" s="186"/>
      <c r="J102" s="186"/>
      <c r="K102" s="186"/>
      <c r="L102" s="186"/>
      <c r="M102" s="186"/>
      <c r="N102" s="186"/>
      <c r="O102" s="200"/>
      <c r="P102" s="186"/>
      <c r="Q102" s="186"/>
      <c r="R102" s="186"/>
    </row>
    <row r="103" spans="1:18" ht="12" customHeight="1">
      <c r="A103" s="280" t="s">
        <v>2639</v>
      </c>
      <c r="B103" s="187" t="s">
        <v>2640</v>
      </c>
      <c r="C103" s="186"/>
      <c r="D103" s="186"/>
      <c r="E103" s="186"/>
      <c r="F103" s="186"/>
      <c r="G103" s="186"/>
      <c r="H103" s="186"/>
      <c r="I103" s="186"/>
      <c r="J103" s="186"/>
      <c r="K103" s="186"/>
      <c r="L103" s="186"/>
      <c r="M103" s="186"/>
      <c r="N103" s="186"/>
      <c r="O103" s="200"/>
      <c r="P103" s="186"/>
      <c r="Q103" s="186"/>
      <c r="R103" s="186"/>
    </row>
    <row r="104" spans="1:18" ht="12" customHeight="1">
      <c r="A104" s="186" t="s">
        <v>2387</v>
      </c>
      <c r="B104" s="187" t="s">
        <v>2641</v>
      </c>
      <c r="C104" s="186"/>
      <c r="D104" s="186"/>
      <c r="E104" s="186"/>
      <c r="F104" s="186"/>
      <c r="G104" s="186"/>
      <c r="H104" s="186"/>
      <c r="I104" s="186"/>
      <c r="J104" s="186"/>
      <c r="K104" s="186"/>
      <c r="L104" s="186"/>
      <c r="M104" s="186"/>
      <c r="N104" s="186"/>
      <c r="O104" s="200"/>
      <c r="P104" s="186"/>
      <c r="Q104" s="186"/>
      <c r="R104" s="186"/>
    </row>
    <row r="105" spans="1:18" ht="12" customHeight="1">
      <c r="A105" s="186" t="s">
        <v>2392</v>
      </c>
      <c r="B105" s="187" t="s">
        <v>2642</v>
      </c>
      <c r="C105" s="186"/>
      <c r="D105" s="186"/>
      <c r="E105" s="186"/>
      <c r="F105" s="186"/>
      <c r="G105" s="186"/>
      <c r="H105" s="186"/>
      <c r="I105" s="186"/>
      <c r="J105" s="186"/>
      <c r="K105" s="186"/>
      <c r="L105" s="186"/>
      <c r="M105" s="186"/>
      <c r="N105" s="186"/>
      <c r="O105" s="200"/>
      <c r="P105" s="186"/>
      <c r="Q105" s="186"/>
      <c r="R105" s="186"/>
    </row>
    <row r="106" spans="1:18" ht="12" customHeight="1">
      <c r="A106" s="186" t="s">
        <v>2398</v>
      </c>
      <c r="B106" s="187" t="s">
        <v>2643</v>
      </c>
      <c r="C106" s="186"/>
      <c r="D106" s="186"/>
      <c r="E106" s="186"/>
      <c r="F106" s="186"/>
      <c r="G106" s="186"/>
      <c r="H106" s="186"/>
      <c r="I106" s="186"/>
      <c r="J106" s="186"/>
      <c r="K106" s="186"/>
      <c r="L106" s="186"/>
      <c r="M106" s="186"/>
      <c r="N106" s="186"/>
      <c r="O106" s="200"/>
      <c r="P106" s="186"/>
      <c r="Q106" s="186"/>
      <c r="R106" s="186"/>
    </row>
    <row r="107" spans="1:18" ht="12" customHeight="1">
      <c r="A107" s="186" t="s">
        <v>2401</v>
      </c>
      <c r="B107" s="187" t="s">
        <v>2644</v>
      </c>
      <c r="C107" s="186"/>
      <c r="D107" s="186"/>
      <c r="E107" s="186"/>
      <c r="F107" s="186"/>
      <c r="G107" s="186"/>
      <c r="H107" s="186"/>
      <c r="I107" s="186"/>
      <c r="J107" s="186"/>
      <c r="K107" s="186"/>
      <c r="L107" s="186"/>
      <c r="M107" s="186"/>
      <c r="N107" s="186"/>
      <c r="O107" s="200"/>
      <c r="P107" s="186"/>
      <c r="Q107" s="186"/>
      <c r="R107" s="186"/>
    </row>
    <row r="108" spans="1:18" ht="12" customHeight="1">
      <c r="A108" s="186" t="s">
        <v>2407</v>
      </c>
      <c r="B108" s="187" t="s">
        <v>2645</v>
      </c>
      <c r="C108" s="186"/>
      <c r="D108" s="186"/>
      <c r="E108" s="186"/>
      <c r="F108" s="186"/>
      <c r="G108" s="186"/>
      <c r="H108" s="186"/>
      <c r="I108" s="186"/>
      <c r="J108" s="186"/>
      <c r="K108" s="186"/>
      <c r="L108" s="186"/>
      <c r="M108" s="200"/>
      <c r="N108" s="186"/>
      <c r="O108" s="200"/>
      <c r="P108" s="186"/>
      <c r="Q108" s="186"/>
      <c r="R108" s="186"/>
    </row>
    <row r="109" spans="1:18" ht="12" customHeight="1">
      <c r="A109" s="186" t="s">
        <v>2411</v>
      </c>
      <c r="B109" s="187" t="s">
        <v>2646</v>
      </c>
      <c r="C109" s="186"/>
      <c r="D109" s="186"/>
      <c r="E109" s="186"/>
      <c r="F109" s="186"/>
      <c r="G109" s="186"/>
      <c r="H109" s="186"/>
      <c r="I109" s="186"/>
      <c r="J109" s="186"/>
      <c r="K109" s="186"/>
      <c r="L109" s="186"/>
      <c r="M109" s="200"/>
      <c r="N109" s="186"/>
      <c r="O109" s="200"/>
      <c r="P109" s="186"/>
      <c r="Q109" s="186"/>
      <c r="R109" s="186"/>
    </row>
    <row r="110" spans="1:18" ht="12" customHeight="1">
      <c r="A110" s="186" t="s">
        <v>2415</v>
      </c>
      <c r="B110" s="187" t="s">
        <v>2647</v>
      </c>
      <c r="C110" s="186"/>
      <c r="D110" s="186"/>
      <c r="E110" s="186"/>
      <c r="F110" s="186"/>
      <c r="G110" s="186"/>
      <c r="H110" s="186"/>
      <c r="I110" s="186"/>
      <c r="J110" s="186"/>
      <c r="K110" s="186"/>
      <c r="L110" s="186"/>
      <c r="M110" s="200"/>
      <c r="N110" s="186"/>
      <c r="O110" s="200"/>
      <c r="P110" s="186"/>
      <c r="Q110" s="186"/>
      <c r="R110" s="186"/>
    </row>
    <row r="111" spans="1:18" ht="12" customHeight="1">
      <c r="A111" s="186" t="s">
        <v>2421</v>
      </c>
      <c r="B111" s="187" t="s">
        <v>2648</v>
      </c>
      <c r="C111" s="186"/>
      <c r="D111" s="186"/>
      <c r="E111" s="186"/>
      <c r="F111" s="186"/>
      <c r="G111" s="186"/>
      <c r="H111" s="186"/>
      <c r="I111" s="186"/>
      <c r="J111" s="186"/>
      <c r="K111" s="186"/>
      <c r="L111" s="186"/>
      <c r="M111" s="200"/>
      <c r="N111" s="186"/>
      <c r="O111" s="200"/>
      <c r="P111" s="186"/>
      <c r="Q111" s="186"/>
      <c r="R111" s="186"/>
    </row>
    <row r="112" spans="1:18" ht="12" customHeight="1">
      <c r="A112" s="186" t="s">
        <v>2424</v>
      </c>
      <c r="B112" s="187" t="s">
        <v>2649</v>
      </c>
      <c r="C112" s="186"/>
      <c r="D112" s="186"/>
      <c r="E112" s="186"/>
      <c r="F112" s="186"/>
      <c r="G112" s="186"/>
      <c r="H112" s="186"/>
      <c r="I112" s="186"/>
      <c r="J112" s="186"/>
      <c r="K112" s="186"/>
      <c r="L112" s="186"/>
      <c r="M112" s="200"/>
      <c r="N112" s="186"/>
      <c r="O112" s="200"/>
      <c r="P112" s="186"/>
      <c r="Q112" s="186"/>
      <c r="R112" s="186"/>
    </row>
    <row r="113" spans="1:18" ht="12" customHeight="1">
      <c r="A113" s="186" t="s">
        <v>114</v>
      </c>
      <c r="B113" s="187" t="s">
        <v>2650</v>
      </c>
      <c r="C113" s="186"/>
      <c r="D113" s="186"/>
      <c r="E113" s="186"/>
      <c r="F113" s="186"/>
      <c r="G113" s="186"/>
      <c r="H113" s="186"/>
      <c r="I113" s="186"/>
      <c r="J113" s="186"/>
      <c r="K113" s="186"/>
      <c r="L113" s="186"/>
      <c r="M113" s="200"/>
      <c r="N113" s="186"/>
      <c r="O113" s="200"/>
      <c r="P113" s="186"/>
      <c r="Q113" s="186"/>
      <c r="R113" s="186"/>
    </row>
    <row r="114" spans="1:18" ht="12" customHeight="1">
      <c r="A114" s="186" t="s">
        <v>2434</v>
      </c>
      <c r="B114" s="187" t="s">
        <v>2651</v>
      </c>
      <c r="C114" s="186"/>
      <c r="D114" s="186"/>
      <c r="E114" s="186"/>
      <c r="F114" s="186"/>
      <c r="G114" s="186"/>
      <c r="H114" s="186"/>
      <c r="I114" s="186"/>
      <c r="J114" s="186"/>
      <c r="K114" s="186"/>
      <c r="L114" s="186"/>
      <c r="M114" s="200"/>
      <c r="N114" s="186"/>
      <c r="O114" s="200"/>
      <c r="P114" s="186"/>
      <c r="Q114" s="186"/>
      <c r="R114" s="186"/>
    </row>
    <row r="115" spans="1:18" ht="12" customHeight="1">
      <c r="A115" s="186" t="s">
        <v>2439</v>
      </c>
      <c r="B115" s="187" t="s">
        <v>2652</v>
      </c>
      <c r="C115" s="186"/>
      <c r="D115" s="186"/>
      <c r="E115" s="186"/>
      <c r="F115" s="186"/>
      <c r="G115" s="186"/>
      <c r="H115" s="186"/>
      <c r="I115" s="186"/>
      <c r="J115" s="186"/>
      <c r="K115" s="186"/>
      <c r="L115" s="186"/>
      <c r="M115" s="200"/>
      <c r="N115" s="186"/>
      <c r="O115" s="200"/>
      <c r="P115" s="186"/>
      <c r="Q115" s="186"/>
      <c r="R115" s="186"/>
    </row>
    <row r="116" spans="1:18" ht="12" customHeight="1">
      <c r="A116" s="186" t="s">
        <v>2444</v>
      </c>
      <c r="B116" s="187" t="s">
        <v>2653</v>
      </c>
      <c r="C116" s="186"/>
      <c r="D116" s="186"/>
      <c r="E116" s="186"/>
      <c r="F116" s="186"/>
      <c r="G116" s="186"/>
      <c r="H116" s="186"/>
      <c r="I116" s="186"/>
      <c r="J116" s="186"/>
      <c r="K116" s="186"/>
      <c r="L116" s="186"/>
      <c r="M116" s="200"/>
      <c r="N116" s="186"/>
      <c r="O116" s="200"/>
      <c r="P116" s="186"/>
      <c r="Q116" s="186"/>
      <c r="R116" s="186"/>
    </row>
    <row r="117" spans="1:18" ht="12" customHeight="1">
      <c r="A117" s="186" t="s">
        <v>2449</v>
      </c>
      <c r="B117" s="187" t="s">
        <v>2654</v>
      </c>
      <c r="C117" s="186"/>
      <c r="D117" s="186"/>
      <c r="E117" s="186"/>
      <c r="F117" s="186"/>
      <c r="G117" s="186"/>
      <c r="H117" s="186"/>
      <c r="I117" s="186"/>
      <c r="J117" s="186"/>
      <c r="K117" s="186"/>
      <c r="L117" s="186"/>
      <c r="M117" s="200"/>
      <c r="N117" s="186"/>
      <c r="O117" s="200"/>
      <c r="P117" s="186"/>
      <c r="Q117" s="186"/>
      <c r="R117" s="186"/>
    </row>
    <row r="118" spans="1:18" ht="12" customHeight="1">
      <c r="A118" s="186" t="s">
        <v>2454</v>
      </c>
      <c r="B118" s="187" t="s">
        <v>2655</v>
      </c>
      <c r="C118" s="186"/>
      <c r="D118" s="186"/>
      <c r="E118" s="186"/>
      <c r="F118" s="186"/>
      <c r="G118" s="186"/>
      <c r="H118" s="186"/>
      <c r="I118" s="186"/>
      <c r="J118" s="186"/>
      <c r="K118" s="186"/>
      <c r="L118" s="186"/>
      <c r="M118" s="200"/>
      <c r="N118" s="186"/>
      <c r="O118" s="200"/>
      <c r="P118" s="186"/>
      <c r="Q118" s="186"/>
      <c r="R118" s="186"/>
    </row>
    <row r="119" spans="1:18" ht="12" customHeight="1">
      <c r="A119" s="186" t="s">
        <v>2458</v>
      </c>
      <c r="B119" s="187" t="s">
        <v>2656</v>
      </c>
      <c r="C119" s="186"/>
      <c r="D119" s="186"/>
      <c r="E119" s="186"/>
      <c r="F119" s="186"/>
      <c r="G119" s="186"/>
      <c r="H119" s="186"/>
      <c r="I119" s="186"/>
      <c r="J119" s="186"/>
      <c r="K119" s="186"/>
      <c r="L119" s="186"/>
      <c r="M119" s="200"/>
      <c r="N119" s="186"/>
      <c r="O119" s="200"/>
      <c r="P119" s="186"/>
      <c r="Q119" s="186"/>
      <c r="R119" s="186"/>
    </row>
    <row r="120" spans="1:18" ht="12" customHeight="1">
      <c r="A120" s="186" t="s">
        <v>2463</v>
      </c>
      <c r="B120" s="187" t="s">
        <v>2657</v>
      </c>
      <c r="C120" s="186"/>
      <c r="D120" s="186"/>
      <c r="E120" s="186"/>
      <c r="F120" s="186"/>
      <c r="G120" s="186"/>
      <c r="H120" s="186"/>
      <c r="I120" s="186"/>
      <c r="J120" s="186"/>
      <c r="K120" s="186"/>
      <c r="L120" s="186"/>
      <c r="M120" s="200"/>
      <c r="N120" s="186"/>
      <c r="O120" s="200"/>
      <c r="P120" s="186"/>
      <c r="Q120" s="186"/>
      <c r="R120" s="186"/>
    </row>
    <row r="121" spans="1:18" ht="12" customHeight="1">
      <c r="A121" s="186" t="s">
        <v>2468</v>
      </c>
      <c r="B121" s="187" t="s">
        <v>2658</v>
      </c>
      <c r="C121" s="186"/>
      <c r="D121" s="186"/>
      <c r="E121" s="186"/>
      <c r="F121" s="186"/>
      <c r="G121" s="186"/>
      <c r="H121" s="186"/>
      <c r="I121" s="186"/>
      <c r="J121" s="186"/>
      <c r="K121" s="186"/>
      <c r="L121" s="186"/>
      <c r="M121" s="200"/>
      <c r="N121" s="186"/>
      <c r="O121" s="200"/>
      <c r="P121" s="186"/>
      <c r="Q121" s="186"/>
      <c r="R121" s="186"/>
    </row>
    <row r="122" spans="1:18" ht="12" customHeight="1">
      <c r="A122" s="186" t="s">
        <v>2473</v>
      </c>
      <c r="B122" s="187" t="s">
        <v>2659</v>
      </c>
      <c r="C122" s="186"/>
      <c r="D122" s="186"/>
      <c r="E122" s="186"/>
      <c r="F122" s="186"/>
      <c r="G122" s="186"/>
      <c r="H122" s="186"/>
      <c r="I122" s="186"/>
      <c r="J122" s="186"/>
      <c r="K122" s="186"/>
      <c r="L122" s="186"/>
      <c r="M122" s="200"/>
      <c r="N122" s="186"/>
      <c r="O122" s="200"/>
      <c r="P122" s="186"/>
      <c r="Q122" s="186"/>
      <c r="R122" s="186"/>
    </row>
    <row r="123" spans="1:18" ht="12" customHeight="1">
      <c r="A123" s="186" t="s">
        <v>2478</v>
      </c>
      <c r="B123" s="187" t="s">
        <v>2660</v>
      </c>
      <c r="C123" s="186"/>
      <c r="D123" s="186"/>
      <c r="E123" s="186"/>
      <c r="F123" s="186"/>
      <c r="G123" s="186"/>
      <c r="H123" s="186"/>
      <c r="I123" s="186"/>
      <c r="J123" s="186"/>
      <c r="K123" s="186"/>
      <c r="L123" s="186"/>
      <c r="M123" s="200"/>
      <c r="N123" s="186"/>
      <c r="O123" s="200"/>
      <c r="P123" s="186"/>
      <c r="Q123" s="186"/>
      <c r="R123" s="186"/>
    </row>
    <row r="124" spans="1:18" ht="12" customHeight="1">
      <c r="A124" s="186" t="s">
        <v>2482</v>
      </c>
      <c r="B124" s="187" t="s">
        <v>2661</v>
      </c>
      <c r="C124" s="186"/>
      <c r="D124" s="186"/>
      <c r="E124" s="186"/>
      <c r="F124" s="186"/>
      <c r="G124" s="186"/>
      <c r="H124" s="186"/>
      <c r="I124" s="186"/>
      <c r="J124" s="186"/>
      <c r="K124" s="186"/>
      <c r="L124" s="186"/>
      <c r="M124" s="200"/>
      <c r="N124" s="186"/>
      <c r="O124" s="200"/>
      <c r="P124" s="186"/>
      <c r="Q124" s="186"/>
      <c r="R124" s="186"/>
    </row>
    <row r="125" spans="1:18" ht="12" customHeight="1">
      <c r="A125" s="186" t="s">
        <v>2485</v>
      </c>
      <c r="B125" s="187" t="s">
        <v>2662</v>
      </c>
      <c r="C125" s="186"/>
      <c r="D125" s="186"/>
      <c r="E125" s="186"/>
      <c r="F125" s="186"/>
      <c r="G125" s="186"/>
      <c r="H125" s="186"/>
      <c r="I125" s="186"/>
      <c r="J125" s="186"/>
      <c r="K125" s="186"/>
      <c r="L125" s="186"/>
      <c r="M125" s="200"/>
      <c r="N125" s="186"/>
      <c r="O125" s="200"/>
      <c r="P125" s="186"/>
      <c r="Q125" s="186"/>
      <c r="R125" s="186"/>
    </row>
    <row r="126" spans="1:18" ht="12" customHeight="1">
      <c r="A126" s="186" t="s">
        <v>2489</v>
      </c>
      <c r="B126" s="187" t="s">
        <v>2663</v>
      </c>
      <c r="C126" s="186"/>
      <c r="D126" s="186"/>
      <c r="E126" s="186"/>
      <c r="F126" s="186"/>
      <c r="G126" s="186"/>
      <c r="H126" s="186"/>
      <c r="I126" s="186"/>
      <c r="J126" s="186"/>
      <c r="K126" s="186"/>
      <c r="L126" s="186"/>
      <c r="M126" s="200"/>
      <c r="N126" s="186"/>
      <c r="O126" s="200"/>
      <c r="P126" s="186"/>
      <c r="Q126" s="186"/>
      <c r="R126" s="186"/>
    </row>
    <row r="127" spans="1:18" ht="12" customHeight="1">
      <c r="A127" s="186" t="s">
        <v>2491</v>
      </c>
      <c r="B127" s="187" t="s">
        <v>2664</v>
      </c>
      <c r="C127" s="186"/>
      <c r="D127" s="186"/>
      <c r="E127" s="186"/>
      <c r="F127" s="186"/>
      <c r="G127" s="186"/>
      <c r="H127" s="186"/>
      <c r="I127" s="186"/>
      <c r="J127" s="186"/>
      <c r="K127" s="186"/>
      <c r="L127" s="186"/>
      <c r="M127" s="200"/>
      <c r="N127" s="186"/>
      <c r="O127" s="200"/>
      <c r="P127" s="186"/>
      <c r="Q127" s="186"/>
      <c r="R127" s="186"/>
    </row>
    <row r="128" spans="1:18" ht="12" customHeight="1">
      <c r="A128" s="186" t="s">
        <v>2495</v>
      </c>
      <c r="B128" s="187" t="s">
        <v>2665</v>
      </c>
      <c r="C128" s="186"/>
      <c r="D128" s="186"/>
      <c r="E128" s="186"/>
      <c r="F128" s="186"/>
      <c r="G128" s="186"/>
      <c r="H128" s="186"/>
      <c r="I128" s="186"/>
      <c r="J128" s="186"/>
      <c r="K128" s="186"/>
      <c r="L128" s="186"/>
      <c r="M128" s="200"/>
      <c r="N128" s="186"/>
      <c r="O128" s="200"/>
      <c r="P128" s="186"/>
      <c r="Q128" s="186"/>
      <c r="R128" s="186"/>
    </row>
    <row r="129" spans="1:18" ht="12" customHeight="1">
      <c r="A129" s="186" t="s">
        <v>2499</v>
      </c>
      <c r="B129" s="187" t="s">
        <v>2666</v>
      </c>
      <c r="C129" s="186"/>
      <c r="D129" s="186"/>
      <c r="E129" s="186"/>
      <c r="F129" s="186"/>
      <c r="G129" s="186"/>
      <c r="H129" s="186"/>
      <c r="I129" s="186"/>
      <c r="J129" s="186"/>
      <c r="K129" s="186"/>
      <c r="L129" s="186"/>
      <c r="M129" s="200"/>
      <c r="N129" s="186"/>
      <c r="O129" s="200"/>
      <c r="P129" s="186"/>
      <c r="Q129" s="186"/>
      <c r="R129" s="186"/>
    </row>
    <row r="130" spans="1:18" ht="12" customHeight="1">
      <c r="A130" s="186" t="s">
        <v>2503</v>
      </c>
      <c r="B130" s="187" t="s">
        <v>2667</v>
      </c>
      <c r="C130" s="186"/>
      <c r="D130" s="186"/>
      <c r="E130" s="186"/>
      <c r="F130" s="186"/>
      <c r="G130" s="186"/>
      <c r="H130" s="186"/>
      <c r="I130" s="186"/>
      <c r="J130" s="186"/>
      <c r="K130" s="186"/>
      <c r="L130" s="200"/>
      <c r="M130" s="200"/>
      <c r="N130" s="186"/>
      <c r="O130" s="186"/>
      <c r="P130" s="186"/>
      <c r="Q130" s="186"/>
      <c r="R130" s="186"/>
    </row>
    <row r="131" spans="1:18" ht="12" customHeight="1">
      <c r="A131" s="186" t="s">
        <v>2507</v>
      </c>
      <c r="B131" s="187" t="s">
        <v>2668</v>
      </c>
      <c r="C131" s="186"/>
      <c r="D131" s="186"/>
      <c r="E131" s="186"/>
      <c r="F131" s="186"/>
      <c r="G131" s="186"/>
      <c r="H131" s="186"/>
      <c r="I131" s="186"/>
      <c r="J131" s="186"/>
      <c r="K131" s="186"/>
      <c r="L131" s="200"/>
      <c r="M131" s="200"/>
      <c r="N131" s="186"/>
      <c r="O131" s="186"/>
      <c r="P131" s="186"/>
      <c r="Q131" s="186"/>
      <c r="R131" s="186"/>
    </row>
    <row r="132" spans="1:18" ht="12" customHeight="1">
      <c r="A132" s="186" t="s">
        <v>2511</v>
      </c>
      <c r="B132" s="187" t="s">
        <v>2669</v>
      </c>
      <c r="C132" s="186"/>
      <c r="D132" s="186"/>
      <c r="E132" s="186"/>
      <c r="F132" s="186"/>
      <c r="G132" s="186"/>
      <c r="H132" s="186"/>
      <c r="I132" s="186"/>
      <c r="J132" s="186"/>
      <c r="K132" s="186"/>
      <c r="L132" s="200"/>
      <c r="M132" s="200"/>
      <c r="N132" s="186"/>
      <c r="O132" s="186"/>
      <c r="P132" s="186"/>
      <c r="Q132" s="186"/>
      <c r="R132" s="186"/>
    </row>
    <row r="133" spans="1:18" ht="12" customHeight="1">
      <c r="A133" s="186" t="s">
        <v>2515</v>
      </c>
      <c r="B133" s="187" t="s">
        <v>2670</v>
      </c>
      <c r="C133" s="186"/>
      <c r="D133" s="186"/>
      <c r="E133" s="186"/>
      <c r="F133" s="186"/>
      <c r="G133" s="186"/>
      <c r="H133" s="186"/>
      <c r="I133" s="186"/>
      <c r="J133" s="186"/>
      <c r="K133" s="186"/>
      <c r="L133" s="200"/>
      <c r="M133" s="200"/>
      <c r="N133" s="186"/>
      <c r="O133" s="186"/>
      <c r="P133" s="186"/>
      <c r="Q133" s="186"/>
      <c r="R133" s="186"/>
    </row>
    <row r="134" spans="1:18" ht="12" customHeight="1">
      <c r="A134" s="186" t="s">
        <v>2519</v>
      </c>
      <c r="B134" s="187" t="s">
        <v>2671</v>
      </c>
      <c r="C134" s="186"/>
      <c r="D134" s="186"/>
      <c r="E134" s="186"/>
      <c r="F134" s="186"/>
      <c r="G134" s="186"/>
      <c r="H134" s="186"/>
      <c r="I134" s="186"/>
      <c r="J134" s="186"/>
      <c r="K134" s="186"/>
      <c r="L134" s="200"/>
      <c r="M134" s="200"/>
      <c r="N134" s="186"/>
      <c r="O134" s="186"/>
      <c r="P134" s="186"/>
      <c r="Q134" s="186"/>
      <c r="R134" s="186"/>
    </row>
    <row r="135" spans="1:18" ht="12" customHeight="1">
      <c r="A135" s="186" t="s">
        <v>2523</v>
      </c>
      <c r="B135" s="187" t="s">
        <v>2672</v>
      </c>
      <c r="C135" s="186"/>
      <c r="D135" s="186"/>
      <c r="E135" s="186"/>
      <c r="F135" s="186"/>
      <c r="G135" s="186"/>
      <c r="H135" s="186"/>
      <c r="I135" s="186"/>
      <c r="J135" s="186"/>
      <c r="K135" s="200"/>
      <c r="L135" s="200"/>
      <c r="M135" s="200"/>
      <c r="N135" s="186"/>
      <c r="O135" s="186"/>
      <c r="P135" s="186"/>
      <c r="Q135" s="186"/>
      <c r="R135" s="186"/>
    </row>
    <row r="136" spans="1:18" ht="12" customHeight="1">
      <c r="A136" s="186" t="s">
        <v>2526</v>
      </c>
      <c r="B136" s="187" t="s">
        <v>2673</v>
      </c>
      <c r="C136" s="186"/>
      <c r="D136" s="186"/>
      <c r="E136" s="186"/>
      <c r="F136" s="186"/>
      <c r="G136" s="186"/>
      <c r="H136" s="186"/>
      <c r="I136" s="186"/>
      <c r="J136" s="186"/>
      <c r="K136" s="200"/>
      <c r="L136" s="200"/>
      <c r="M136" s="200"/>
      <c r="N136" s="186"/>
      <c r="O136" s="186"/>
      <c r="P136" s="186"/>
      <c r="Q136" s="186"/>
      <c r="R136" s="186"/>
    </row>
    <row r="137" spans="1:18" ht="12" customHeight="1">
      <c r="A137" s="186" t="s">
        <v>2529</v>
      </c>
      <c r="B137" s="187" t="s">
        <v>2674</v>
      </c>
      <c r="C137" s="186"/>
      <c r="D137" s="186"/>
      <c r="E137" s="186"/>
      <c r="F137" s="186"/>
      <c r="G137" s="186"/>
      <c r="H137" s="186"/>
      <c r="I137" s="186"/>
      <c r="J137" s="186"/>
      <c r="K137" s="200"/>
      <c r="L137" s="200"/>
      <c r="M137" s="200"/>
      <c r="N137" s="186"/>
      <c r="O137" s="186"/>
      <c r="P137" s="186"/>
      <c r="Q137" s="186"/>
      <c r="R137" s="186"/>
    </row>
    <row r="138" spans="1:18" ht="12" customHeight="1">
      <c r="A138" s="186" t="s">
        <v>2532</v>
      </c>
      <c r="B138" s="187" t="s">
        <v>2675</v>
      </c>
      <c r="C138" s="186"/>
      <c r="D138" s="186"/>
      <c r="E138" s="186"/>
      <c r="F138" s="186"/>
      <c r="G138" s="186"/>
      <c r="H138" s="186"/>
      <c r="I138" s="186"/>
      <c r="J138" s="186"/>
      <c r="K138" s="200"/>
      <c r="L138" s="200"/>
      <c r="M138" s="200"/>
      <c r="N138" s="186"/>
      <c r="O138" s="186"/>
      <c r="P138" s="186"/>
      <c r="Q138" s="186"/>
      <c r="R138" s="186"/>
    </row>
    <row r="139" spans="1:18" ht="12" customHeight="1">
      <c r="A139" s="186" t="s">
        <v>2535</v>
      </c>
      <c r="B139" s="187" t="s">
        <v>2676</v>
      </c>
      <c r="C139" s="186"/>
      <c r="D139" s="186"/>
      <c r="E139" s="186"/>
      <c r="F139" s="186"/>
      <c r="G139" s="186"/>
      <c r="H139" s="186"/>
      <c r="I139" s="186"/>
      <c r="J139" s="186"/>
      <c r="K139" s="200"/>
      <c r="L139" s="200"/>
      <c r="M139" s="200"/>
      <c r="N139" s="186"/>
      <c r="O139" s="186"/>
      <c r="P139" s="186"/>
      <c r="Q139" s="186"/>
      <c r="R139" s="186"/>
    </row>
    <row r="140" spans="1:18" ht="12" customHeight="1">
      <c r="A140" s="186" t="s">
        <v>2538</v>
      </c>
      <c r="B140" s="187" t="s">
        <v>2677</v>
      </c>
      <c r="C140" s="186"/>
      <c r="D140" s="186"/>
      <c r="E140" s="186"/>
      <c r="F140" s="186"/>
      <c r="G140" s="186"/>
      <c r="H140" s="186"/>
      <c r="I140" s="186"/>
      <c r="J140" s="186"/>
      <c r="K140" s="200"/>
      <c r="L140" s="200"/>
      <c r="M140" s="200"/>
      <c r="N140" s="186"/>
      <c r="O140" s="186"/>
      <c r="P140" s="186"/>
      <c r="Q140" s="186"/>
      <c r="R140" s="186"/>
    </row>
    <row r="141" spans="1:18" ht="12" customHeight="1">
      <c r="A141" s="186" t="s">
        <v>2541</v>
      </c>
      <c r="B141" s="187" t="s">
        <v>2678</v>
      </c>
      <c r="C141" s="186"/>
      <c r="D141" s="186"/>
      <c r="E141" s="186"/>
      <c r="F141" s="186"/>
      <c r="G141" s="186"/>
      <c r="H141" s="186"/>
      <c r="I141" s="186"/>
      <c r="J141" s="186"/>
      <c r="K141" s="200"/>
      <c r="L141" s="200"/>
      <c r="M141" s="200"/>
      <c r="N141" s="186"/>
      <c r="O141" s="186"/>
      <c r="P141" s="186"/>
      <c r="Q141" s="186"/>
      <c r="R141" s="186"/>
    </row>
    <row r="142" spans="1:18" ht="12" customHeight="1">
      <c r="A142" s="186" t="s">
        <v>2545</v>
      </c>
      <c r="B142" s="187" t="s">
        <v>2679</v>
      </c>
      <c r="C142" s="186"/>
      <c r="D142" s="186"/>
      <c r="E142" s="186"/>
      <c r="F142" s="186"/>
      <c r="G142" s="186"/>
      <c r="H142" s="186"/>
      <c r="I142" s="186"/>
      <c r="J142" s="186"/>
      <c r="K142" s="200"/>
      <c r="L142" s="200"/>
      <c r="M142" s="200"/>
      <c r="N142" s="186"/>
      <c r="O142" s="186"/>
      <c r="P142" s="186"/>
      <c r="Q142" s="186"/>
      <c r="R142" s="186"/>
    </row>
    <row r="143" spans="1:18" ht="12" customHeight="1">
      <c r="A143" s="186" t="s">
        <v>2548</v>
      </c>
      <c r="B143" s="187" t="s">
        <v>2680</v>
      </c>
      <c r="C143" s="186"/>
      <c r="D143" s="186"/>
      <c r="E143" s="186"/>
      <c r="F143" s="186"/>
      <c r="G143" s="186"/>
      <c r="H143" s="186"/>
      <c r="I143" s="186"/>
      <c r="J143" s="186"/>
      <c r="K143" s="200"/>
      <c r="L143" s="200"/>
      <c r="M143" s="200"/>
      <c r="N143" s="186"/>
      <c r="O143" s="186"/>
      <c r="P143" s="186"/>
      <c r="Q143" s="186"/>
      <c r="R143" s="186"/>
    </row>
    <row r="144" spans="1:18" ht="12" customHeight="1">
      <c r="A144" s="186" t="s">
        <v>2551</v>
      </c>
      <c r="B144" s="187" t="s">
        <v>2681</v>
      </c>
      <c r="C144" s="186"/>
      <c r="D144" s="186"/>
      <c r="E144" s="186"/>
      <c r="F144" s="186"/>
      <c r="G144" s="186"/>
      <c r="H144" s="186"/>
      <c r="I144" s="186"/>
      <c r="J144" s="186"/>
      <c r="K144" s="200"/>
      <c r="L144" s="200"/>
      <c r="M144" s="200"/>
      <c r="N144" s="186"/>
      <c r="O144" s="186"/>
      <c r="P144" s="186"/>
      <c r="Q144" s="186"/>
      <c r="R144" s="186"/>
    </row>
    <row r="145" spans="1:18" ht="12" customHeight="1">
      <c r="A145" s="186" t="s">
        <v>2554</v>
      </c>
      <c r="B145" s="187" t="s">
        <v>2682</v>
      </c>
      <c r="C145" s="186"/>
      <c r="D145" s="186"/>
      <c r="E145" s="186"/>
      <c r="F145" s="186"/>
      <c r="G145" s="186"/>
      <c r="H145" s="186"/>
      <c r="I145" s="186"/>
      <c r="J145" s="186"/>
      <c r="K145" s="200"/>
      <c r="L145" s="200"/>
      <c r="M145" s="200"/>
      <c r="N145" s="186"/>
      <c r="O145" s="186"/>
      <c r="P145" s="186"/>
      <c r="R145" s="186"/>
    </row>
    <row r="146" spans="1:18" ht="12" customHeight="1">
      <c r="A146" s="186" t="s">
        <v>2558</v>
      </c>
      <c r="B146" s="187" t="s">
        <v>2683</v>
      </c>
      <c r="C146" s="186"/>
      <c r="D146" s="186"/>
      <c r="E146" s="186"/>
      <c r="F146" s="186"/>
      <c r="G146" s="186"/>
      <c r="H146" s="186"/>
      <c r="I146" s="186"/>
      <c r="J146" s="186"/>
      <c r="K146" s="200"/>
      <c r="L146" s="200"/>
      <c r="M146" s="200"/>
      <c r="N146" s="186"/>
      <c r="O146" s="186"/>
      <c r="P146" s="186"/>
      <c r="R146" s="186"/>
    </row>
    <row r="147" spans="1:18" ht="12" customHeight="1">
      <c r="A147" s="186" t="s">
        <v>2561</v>
      </c>
      <c r="B147" s="187" t="s">
        <v>2684</v>
      </c>
      <c r="C147" s="186"/>
      <c r="D147" s="186"/>
      <c r="E147" s="186"/>
      <c r="F147" s="186"/>
      <c r="G147" s="186"/>
      <c r="H147" s="186"/>
      <c r="I147" s="186"/>
      <c r="J147" s="186"/>
      <c r="K147" s="200"/>
      <c r="L147" s="200"/>
      <c r="M147" s="200"/>
      <c r="N147" s="186"/>
      <c r="O147" s="186"/>
      <c r="P147" s="186"/>
      <c r="R147" s="186"/>
    </row>
    <row r="148" spans="1:18" ht="12" customHeight="1">
      <c r="A148" s="186" t="s">
        <v>2563</v>
      </c>
      <c r="B148" s="187" t="s">
        <v>2685</v>
      </c>
      <c r="C148" s="186"/>
      <c r="D148" s="186"/>
      <c r="E148" s="186"/>
      <c r="F148" s="186"/>
      <c r="G148" s="186"/>
      <c r="H148" s="186"/>
      <c r="I148" s="186"/>
      <c r="J148" s="186"/>
      <c r="K148" s="200"/>
      <c r="L148" s="200"/>
      <c r="M148" s="200"/>
      <c r="N148" s="186"/>
      <c r="O148" s="186"/>
      <c r="P148" s="186"/>
      <c r="R148" s="186"/>
    </row>
    <row r="149" spans="1:18" ht="12" customHeight="1">
      <c r="A149" s="186" t="s">
        <v>2565</v>
      </c>
      <c r="B149" s="187" t="s">
        <v>2686</v>
      </c>
      <c r="C149" s="186"/>
      <c r="D149" s="186"/>
      <c r="E149" s="186"/>
      <c r="F149" s="186"/>
      <c r="G149" s="186"/>
      <c r="H149" s="186"/>
      <c r="I149" s="186"/>
      <c r="J149" s="186"/>
      <c r="K149" s="200"/>
      <c r="L149" s="200"/>
      <c r="M149" s="200"/>
      <c r="N149" s="186"/>
      <c r="O149" s="186"/>
      <c r="P149" s="186"/>
      <c r="R149" s="186"/>
    </row>
    <row r="150" spans="1:18" ht="12" customHeight="1">
      <c r="A150" s="186" t="s">
        <v>2568</v>
      </c>
      <c r="B150" s="187" t="s">
        <v>2687</v>
      </c>
      <c r="C150" s="186"/>
      <c r="D150" s="186"/>
      <c r="E150" s="186"/>
      <c r="F150" s="186"/>
      <c r="G150" s="186"/>
      <c r="H150" s="186"/>
      <c r="I150" s="186"/>
      <c r="J150" s="186"/>
      <c r="K150" s="200"/>
      <c r="L150" s="200"/>
      <c r="M150" s="200"/>
      <c r="N150" s="186"/>
      <c r="O150" s="186"/>
      <c r="P150" s="186"/>
      <c r="R150" s="186"/>
    </row>
    <row r="151" spans="1:18" ht="12" customHeight="1">
      <c r="A151" s="186" t="s">
        <v>2570</v>
      </c>
      <c r="B151" s="187" t="s">
        <v>2688</v>
      </c>
      <c r="C151" s="186"/>
      <c r="D151" s="186"/>
      <c r="E151" s="186"/>
      <c r="F151" s="186"/>
      <c r="G151" s="186"/>
      <c r="H151" s="186"/>
      <c r="I151" s="186"/>
      <c r="J151" s="186"/>
      <c r="K151" s="200"/>
      <c r="L151" s="200"/>
      <c r="M151" s="200"/>
      <c r="N151" s="186"/>
      <c r="O151" s="186"/>
      <c r="P151" s="186"/>
      <c r="R151" s="186"/>
    </row>
    <row r="152" spans="1:18" ht="12" customHeight="1">
      <c r="A152" s="186" t="s">
        <v>2573</v>
      </c>
      <c r="B152" s="187" t="s">
        <v>2689</v>
      </c>
      <c r="C152" s="186"/>
      <c r="D152" s="186"/>
      <c r="E152" s="186"/>
      <c r="F152" s="186"/>
      <c r="G152" s="186"/>
      <c r="H152" s="186"/>
      <c r="I152" s="186"/>
      <c r="J152" s="186"/>
      <c r="K152" s="200"/>
      <c r="L152" s="200"/>
      <c r="M152" s="200"/>
      <c r="N152" s="186"/>
      <c r="O152" s="186"/>
      <c r="P152" s="186"/>
      <c r="R152" s="186"/>
    </row>
    <row r="153" spans="1:18" ht="12" customHeight="1">
      <c r="A153" s="186" t="s">
        <v>2575</v>
      </c>
      <c r="B153" s="187" t="s">
        <v>2690</v>
      </c>
      <c r="C153" s="186"/>
      <c r="D153" s="186"/>
      <c r="E153" s="186"/>
      <c r="F153" s="186"/>
      <c r="G153" s="186"/>
      <c r="H153" s="186"/>
      <c r="I153" s="186"/>
      <c r="J153" s="186"/>
      <c r="K153" s="200"/>
      <c r="L153" s="200"/>
      <c r="M153" s="200"/>
      <c r="N153" s="186"/>
      <c r="O153" s="186"/>
      <c r="P153" s="186"/>
      <c r="R153" s="186"/>
    </row>
    <row r="154" spans="1:18" ht="12" customHeight="1">
      <c r="A154" s="186" t="s">
        <v>2577</v>
      </c>
      <c r="B154" s="187" t="s">
        <v>2691</v>
      </c>
      <c r="C154" s="186"/>
      <c r="D154" s="186"/>
      <c r="E154" s="186"/>
      <c r="F154" s="186"/>
      <c r="G154" s="186"/>
      <c r="H154" s="186"/>
      <c r="I154" s="186"/>
      <c r="J154" s="186"/>
      <c r="K154" s="200"/>
      <c r="L154" s="200"/>
      <c r="M154" s="200"/>
      <c r="N154" s="186"/>
      <c r="O154" s="186"/>
      <c r="P154" s="186"/>
      <c r="R154" s="186"/>
    </row>
    <row r="155" spans="1:18" ht="12" customHeight="1">
      <c r="A155" s="186" t="s">
        <v>2579</v>
      </c>
      <c r="B155" s="187" t="s">
        <v>2692</v>
      </c>
      <c r="C155" s="186"/>
      <c r="D155" s="186"/>
      <c r="E155" s="186"/>
      <c r="F155" s="186"/>
      <c r="G155" s="186"/>
      <c r="H155" s="186"/>
      <c r="I155" s="186"/>
      <c r="J155" s="186"/>
      <c r="K155" s="200"/>
      <c r="L155" s="200"/>
      <c r="M155" s="200"/>
      <c r="N155" s="186"/>
      <c r="O155" s="186"/>
      <c r="P155" s="186"/>
      <c r="R155" s="186"/>
    </row>
    <row r="156" spans="1:18" ht="12" customHeight="1">
      <c r="A156" s="186" t="s">
        <v>2581</v>
      </c>
      <c r="B156" s="187" t="s">
        <v>2693</v>
      </c>
      <c r="C156" s="186"/>
      <c r="D156" s="186"/>
      <c r="E156" s="186"/>
      <c r="F156" s="186"/>
      <c r="G156" s="186"/>
      <c r="H156" s="186"/>
      <c r="I156" s="186"/>
      <c r="J156" s="186"/>
      <c r="K156" s="200"/>
      <c r="L156" s="200"/>
      <c r="M156" s="200"/>
      <c r="N156" s="186"/>
      <c r="O156" s="186"/>
      <c r="P156" s="186"/>
      <c r="R156" s="186"/>
    </row>
    <row r="157" spans="1:18" ht="12" customHeight="1">
      <c r="A157" s="186" t="s">
        <v>2583</v>
      </c>
      <c r="B157" s="187" t="s">
        <v>2694</v>
      </c>
      <c r="C157" s="186"/>
      <c r="D157" s="186"/>
      <c r="E157" s="186"/>
      <c r="F157" s="186"/>
      <c r="G157" s="186"/>
      <c r="H157" s="186"/>
      <c r="I157" s="186"/>
      <c r="J157" s="186"/>
      <c r="K157" s="200"/>
      <c r="L157" s="200"/>
      <c r="M157" s="200"/>
      <c r="N157" s="186"/>
      <c r="O157" s="186"/>
      <c r="P157" s="186"/>
      <c r="R157" s="186"/>
    </row>
    <row r="158" spans="1:18" ht="12" customHeight="1">
      <c r="A158" s="186" t="s">
        <v>2585</v>
      </c>
      <c r="B158" s="187" t="s">
        <v>2695</v>
      </c>
      <c r="C158" s="186"/>
      <c r="D158" s="186"/>
      <c r="E158" s="186"/>
      <c r="F158" s="186"/>
      <c r="G158" s="186"/>
      <c r="H158" s="186"/>
      <c r="I158" s="186"/>
      <c r="J158" s="186"/>
      <c r="K158" s="200"/>
      <c r="L158" s="200"/>
      <c r="M158" s="200"/>
      <c r="N158" s="186"/>
      <c r="O158" s="186"/>
      <c r="P158" s="186"/>
      <c r="R158" s="186"/>
    </row>
    <row r="159" spans="1:18" ht="12" customHeight="1">
      <c r="A159" s="186" t="s">
        <v>2587</v>
      </c>
      <c r="B159" s="187" t="s">
        <v>2696</v>
      </c>
      <c r="C159" s="186"/>
      <c r="D159" s="186"/>
      <c r="E159" s="186"/>
      <c r="F159" s="186"/>
      <c r="G159" s="186"/>
      <c r="H159" s="186"/>
      <c r="I159" s="186"/>
      <c r="J159" s="186"/>
      <c r="K159" s="200"/>
      <c r="L159" s="200"/>
      <c r="M159" s="200"/>
      <c r="N159" s="186"/>
      <c r="O159" s="186"/>
      <c r="P159" s="186"/>
      <c r="R159" s="186"/>
    </row>
    <row r="160" spans="1:18" ht="12" customHeight="1">
      <c r="A160" s="186" t="s">
        <v>2589</v>
      </c>
      <c r="B160" s="187" t="s">
        <v>2697</v>
      </c>
      <c r="C160" s="186"/>
      <c r="D160" s="186"/>
      <c r="E160" s="186"/>
      <c r="F160" s="186"/>
      <c r="G160" s="186"/>
      <c r="H160" s="186"/>
      <c r="I160" s="186"/>
      <c r="J160" s="186"/>
      <c r="K160" s="200"/>
      <c r="L160" s="200"/>
      <c r="M160" s="200"/>
      <c r="N160" s="186"/>
      <c r="O160" s="186"/>
      <c r="P160" s="186"/>
      <c r="R160" s="186"/>
    </row>
    <row r="161" spans="1:18" ht="12" customHeight="1">
      <c r="A161" s="186" t="s">
        <v>2591</v>
      </c>
      <c r="B161" s="187" t="s">
        <v>2698</v>
      </c>
      <c r="C161" s="186"/>
      <c r="D161" s="186"/>
      <c r="E161" s="186"/>
      <c r="F161" s="186"/>
      <c r="G161" s="186"/>
      <c r="H161" s="186"/>
      <c r="I161" s="186"/>
      <c r="J161" s="186"/>
      <c r="K161" s="200"/>
      <c r="L161" s="200"/>
      <c r="M161" s="200"/>
      <c r="N161" s="186"/>
      <c r="O161" s="186"/>
      <c r="P161" s="186"/>
      <c r="R161" s="186"/>
    </row>
    <row r="162" spans="1:18" ht="12" customHeight="1">
      <c r="A162" s="186" t="s">
        <v>2593</v>
      </c>
      <c r="B162" s="187" t="s">
        <v>2699</v>
      </c>
      <c r="C162" s="186"/>
      <c r="D162" s="186"/>
      <c r="E162" s="186"/>
      <c r="F162" s="186"/>
      <c r="G162" s="186"/>
      <c r="H162" s="186"/>
      <c r="I162" s="186"/>
      <c r="J162" s="186"/>
      <c r="K162" s="200"/>
      <c r="L162" s="200"/>
      <c r="M162" s="200"/>
      <c r="N162" s="186"/>
      <c r="O162" s="186"/>
      <c r="P162" s="186"/>
      <c r="R162" s="186"/>
    </row>
    <row r="163" spans="1:18" ht="12" customHeight="1">
      <c r="A163" s="186" t="s">
        <v>2595</v>
      </c>
      <c r="B163" s="187" t="s">
        <v>2700</v>
      </c>
      <c r="C163" s="186"/>
      <c r="D163" s="186"/>
      <c r="E163" s="186"/>
      <c r="F163" s="186"/>
      <c r="G163" s="186"/>
      <c r="H163" s="186"/>
      <c r="I163" s="186"/>
      <c r="J163" s="186"/>
      <c r="K163" s="200"/>
      <c r="L163" s="200"/>
      <c r="M163" s="200"/>
      <c r="N163" s="186"/>
      <c r="O163" s="186"/>
      <c r="P163" s="186"/>
      <c r="R163" s="186"/>
    </row>
    <row r="164" spans="1:18" ht="12" customHeight="1">
      <c r="A164" s="186" t="s">
        <v>2597</v>
      </c>
      <c r="B164" s="187" t="s">
        <v>2701</v>
      </c>
      <c r="C164" s="186"/>
      <c r="D164" s="186"/>
      <c r="E164" s="186"/>
      <c r="F164" s="186"/>
      <c r="G164" s="186"/>
      <c r="H164" s="186"/>
      <c r="I164" s="186"/>
      <c r="J164" s="186"/>
      <c r="L164" s="200"/>
      <c r="M164" s="200"/>
      <c r="N164" s="186"/>
      <c r="O164" s="186"/>
      <c r="P164" s="186"/>
      <c r="R164" s="186"/>
    </row>
    <row r="165" spans="1:18" ht="12" customHeight="1">
      <c r="A165" s="186" t="s">
        <v>2599</v>
      </c>
      <c r="B165" s="187" t="s">
        <v>2702</v>
      </c>
      <c r="C165" s="186"/>
      <c r="D165" s="186"/>
      <c r="E165" s="186"/>
      <c r="F165" s="186"/>
      <c r="G165" s="186"/>
      <c r="H165" s="186"/>
      <c r="I165" s="186"/>
      <c r="J165" s="186"/>
      <c r="L165" s="200"/>
      <c r="M165" s="200"/>
      <c r="N165" s="186"/>
      <c r="O165" s="186"/>
      <c r="P165" s="186"/>
      <c r="R165" s="186"/>
    </row>
    <row r="166" spans="1:18" ht="12" customHeight="1">
      <c r="A166" s="186" t="s">
        <v>2601</v>
      </c>
      <c r="B166" s="187" t="s">
        <v>2703</v>
      </c>
      <c r="C166" s="186"/>
      <c r="D166" s="186"/>
      <c r="E166" s="186"/>
      <c r="F166" s="186"/>
      <c r="G166" s="186"/>
      <c r="H166" s="186"/>
      <c r="I166" s="186"/>
      <c r="J166" s="186"/>
      <c r="L166" s="200"/>
      <c r="M166" s="200"/>
      <c r="N166" s="186"/>
      <c r="O166" s="186"/>
      <c r="P166" s="186"/>
      <c r="R166" s="186"/>
    </row>
    <row r="167" spans="1:18" ht="12" customHeight="1">
      <c r="A167" s="186" t="s">
        <v>2604</v>
      </c>
      <c r="B167" s="187" t="s">
        <v>2704</v>
      </c>
      <c r="C167" s="186"/>
      <c r="D167" s="186"/>
      <c r="E167" s="186"/>
      <c r="F167" s="186"/>
      <c r="G167" s="186"/>
      <c r="H167" s="186"/>
      <c r="I167" s="186"/>
      <c r="J167" s="186"/>
      <c r="L167" s="200"/>
      <c r="M167" s="200"/>
      <c r="N167" s="186"/>
      <c r="O167" s="186"/>
      <c r="P167" s="186"/>
      <c r="R167" s="186"/>
    </row>
    <row r="168" spans="1:18" ht="12" customHeight="1">
      <c r="A168" s="186" t="s">
        <v>2606</v>
      </c>
      <c r="B168" s="187" t="s">
        <v>2705</v>
      </c>
      <c r="C168" s="186"/>
      <c r="D168" s="186"/>
      <c r="E168" s="186"/>
      <c r="F168" s="186"/>
      <c r="G168" s="186"/>
      <c r="H168" s="186"/>
      <c r="I168" s="186"/>
      <c r="J168" s="186"/>
      <c r="L168" s="200"/>
      <c r="M168" s="200"/>
      <c r="N168" s="186"/>
      <c r="O168" s="186"/>
      <c r="P168" s="186"/>
      <c r="R168" s="186"/>
    </row>
    <row r="169" spans="1:18" ht="12" customHeight="1">
      <c r="A169" s="186" t="s">
        <v>2608</v>
      </c>
      <c r="B169" s="187" t="s">
        <v>2706</v>
      </c>
      <c r="C169" s="186"/>
      <c r="D169" s="186"/>
      <c r="E169" s="186"/>
      <c r="F169" s="186"/>
      <c r="H169" s="186"/>
      <c r="I169" s="186"/>
      <c r="J169" s="186"/>
      <c r="L169" s="200"/>
      <c r="M169" s="200"/>
      <c r="N169" s="186"/>
      <c r="O169" s="186"/>
      <c r="P169" s="186"/>
      <c r="R169" s="186"/>
    </row>
    <row r="170" spans="1:18" ht="12" customHeight="1">
      <c r="A170" s="186" t="s">
        <v>2610</v>
      </c>
      <c r="B170" s="187" t="s">
        <v>2707</v>
      </c>
      <c r="C170" s="186"/>
      <c r="D170" s="186"/>
      <c r="E170" s="186"/>
      <c r="F170" s="186"/>
      <c r="H170" s="186"/>
      <c r="I170" s="186"/>
      <c r="J170" s="186"/>
      <c r="L170" s="200"/>
      <c r="M170" s="200"/>
      <c r="N170" s="186"/>
      <c r="O170" s="186"/>
      <c r="P170" s="186"/>
      <c r="R170" s="186"/>
    </row>
    <row r="171" spans="1:18" ht="12" customHeight="1">
      <c r="A171" s="186" t="s">
        <v>2612</v>
      </c>
      <c r="B171" s="187" t="s">
        <v>2708</v>
      </c>
      <c r="C171" s="186"/>
      <c r="D171" s="186"/>
      <c r="E171" s="186"/>
      <c r="F171" s="186"/>
      <c r="H171" s="186"/>
      <c r="I171" s="186"/>
      <c r="J171" s="186"/>
      <c r="L171" s="200"/>
      <c r="M171" s="200"/>
      <c r="N171" s="186"/>
      <c r="O171" s="186"/>
      <c r="P171" s="186"/>
      <c r="R171" s="186"/>
    </row>
    <row r="172" spans="1:18" ht="12" customHeight="1">
      <c r="A172" s="186" t="s">
        <v>2615</v>
      </c>
      <c r="B172" s="187" t="s">
        <v>2709</v>
      </c>
      <c r="C172" s="186"/>
      <c r="D172" s="186"/>
      <c r="E172" s="186"/>
      <c r="F172" s="186"/>
      <c r="H172" s="186"/>
      <c r="I172" s="186"/>
      <c r="J172" s="186"/>
      <c r="L172" s="200"/>
      <c r="M172" s="200"/>
      <c r="N172" s="186"/>
      <c r="O172" s="186"/>
      <c r="P172" s="186"/>
      <c r="R172" s="186"/>
    </row>
    <row r="173" spans="1:18" ht="12" customHeight="1">
      <c r="A173" s="186" t="s">
        <v>2618</v>
      </c>
      <c r="B173" s="187" t="s">
        <v>2710</v>
      </c>
      <c r="C173" s="186"/>
      <c r="D173" s="186"/>
      <c r="E173" s="186"/>
      <c r="F173" s="186"/>
      <c r="H173" s="186"/>
      <c r="I173" s="186"/>
      <c r="J173" s="186"/>
      <c r="L173" s="200"/>
      <c r="M173" s="200"/>
      <c r="N173" s="186"/>
      <c r="O173" s="186"/>
      <c r="P173" s="186"/>
      <c r="R173" s="186"/>
    </row>
    <row r="174" spans="1:18" ht="12" customHeight="1">
      <c r="A174" s="186" t="s">
        <v>2620</v>
      </c>
      <c r="B174" s="187" t="s">
        <v>2711</v>
      </c>
      <c r="C174" s="186"/>
      <c r="D174" s="186"/>
      <c r="E174" s="186"/>
      <c r="F174" s="186"/>
      <c r="H174" s="186"/>
      <c r="I174" s="186"/>
      <c r="J174" s="186"/>
      <c r="L174" s="200"/>
      <c r="M174" s="200"/>
      <c r="N174" s="186"/>
      <c r="O174" s="186"/>
      <c r="P174" s="186"/>
      <c r="R174" s="186"/>
    </row>
    <row r="175" spans="1:18" ht="12" customHeight="1">
      <c r="A175" s="186" t="s">
        <v>2622</v>
      </c>
      <c r="B175" s="187" t="s">
        <v>2712</v>
      </c>
      <c r="C175" s="186"/>
      <c r="D175" s="186"/>
      <c r="E175" s="186"/>
      <c r="F175" s="186"/>
      <c r="H175" s="186"/>
      <c r="I175" s="186"/>
      <c r="J175" s="186"/>
      <c r="L175" s="200"/>
      <c r="M175" s="200"/>
      <c r="N175" s="186"/>
      <c r="O175" s="186"/>
      <c r="P175" s="186"/>
      <c r="R175" s="18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C29D-7A28-88C6-A238-1A2B0F911338}">
  <sheetPr>
    <tabColor rgb="FFFFCC99"/>
  </sheetPr>
  <dimension ref="A1:CY549"/>
  <sheetViews>
    <sheetView showGridLines="0" workbookViewId="0"/>
  </sheetViews>
  <sheetFormatPr defaultRowHeight="11.25" customHeight="1"/>
  <sheetData>
    <row r="1" spans="1:103" ht="11.25" customHeight="1">
      <c r="A1" t="s">
        <v>2713</v>
      </c>
      <c r="B1" t="s">
        <v>2714</v>
      </c>
      <c r="C1" t="s">
        <v>2715</v>
      </c>
      <c r="D1" t="s">
        <v>2716</v>
      </c>
      <c r="E1" t="s">
        <v>2717</v>
      </c>
      <c r="F1" t="s">
        <v>2718</v>
      </c>
      <c r="G1" t="s">
        <v>2719</v>
      </c>
      <c r="H1" t="s">
        <v>2720</v>
      </c>
      <c r="I1" t="s">
        <v>2721</v>
      </c>
      <c r="J1" t="s">
        <v>2722</v>
      </c>
      <c r="K1" t="s">
        <v>2723</v>
      </c>
      <c r="L1" t="s">
        <v>2724</v>
      </c>
      <c r="M1" t="s">
        <v>2725</v>
      </c>
      <c r="N1" t="s">
        <v>2726</v>
      </c>
      <c r="O1" t="s">
        <v>2727</v>
      </c>
      <c r="P1" t="s">
        <v>2728</v>
      </c>
      <c r="Q1" t="s">
        <v>2729</v>
      </c>
      <c r="R1" t="s">
        <v>2730</v>
      </c>
      <c r="S1" t="s">
        <v>2731</v>
      </c>
      <c r="T1" t="s">
        <v>2732</v>
      </c>
      <c r="U1" t="s">
        <v>2733</v>
      </c>
      <c r="V1" t="s">
        <v>2734</v>
      </c>
      <c r="W1" t="s">
        <v>2735</v>
      </c>
      <c r="X1" t="s">
        <v>2736</v>
      </c>
      <c r="Y1" t="s">
        <v>2737</v>
      </c>
      <c r="Z1" t="s">
        <v>2738</v>
      </c>
      <c r="AA1" t="s">
        <v>2739</v>
      </c>
      <c r="AB1" t="s">
        <v>2740</v>
      </c>
      <c r="AC1" t="s">
        <v>2741</v>
      </c>
      <c r="AD1" t="s">
        <v>2742</v>
      </c>
      <c r="AE1" t="s">
        <v>2743</v>
      </c>
      <c r="AF1" t="s">
        <v>2744</v>
      </c>
      <c r="AG1" t="s">
        <v>2745</v>
      </c>
      <c r="AH1" t="s">
        <v>2746</v>
      </c>
      <c r="AI1" t="s">
        <v>2747</v>
      </c>
      <c r="AJ1" t="s">
        <v>2748</v>
      </c>
      <c r="AK1" t="s">
        <v>2749</v>
      </c>
      <c r="AL1" t="s">
        <v>2750</v>
      </c>
      <c r="AM1" t="s">
        <v>2751</v>
      </c>
      <c r="AN1" t="s">
        <v>2752</v>
      </c>
      <c r="AO1" t="s">
        <v>2753</v>
      </c>
      <c r="AP1" t="s">
        <v>2754</v>
      </c>
      <c r="AQ1" t="s">
        <v>2755</v>
      </c>
      <c r="AR1" t="s">
        <v>2756</v>
      </c>
      <c r="AS1" t="s">
        <v>2757</v>
      </c>
      <c r="AT1" t="s">
        <v>2758</v>
      </c>
      <c r="AU1" t="s">
        <v>2759</v>
      </c>
      <c r="AV1" t="s">
        <v>2760</v>
      </c>
      <c r="AW1" t="s">
        <v>2761</v>
      </c>
      <c r="AX1" t="s">
        <v>2762</v>
      </c>
      <c r="AY1" t="s">
        <v>2763</v>
      </c>
      <c r="AZ1" t="s">
        <v>2764</v>
      </c>
      <c r="BA1" t="s">
        <v>2765</v>
      </c>
      <c r="BB1" t="s">
        <v>2766</v>
      </c>
      <c r="BC1" t="s">
        <v>2767</v>
      </c>
      <c r="BD1" t="s">
        <v>2768</v>
      </c>
      <c r="BE1" t="s">
        <v>2769</v>
      </c>
      <c r="BF1" t="s">
        <v>2770</v>
      </c>
      <c r="BG1" t="s">
        <v>2771</v>
      </c>
      <c r="BH1" t="s">
        <v>2772</v>
      </c>
      <c r="BI1" t="s">
        <v>2773</v>
      </c>
      <c r="BJ1" t="s">
        <v>2774</v>
      </c>
      <c r="BK1" t="s">
        <v>2775</v>
      </c>
      <c r="BL1" t="s">
        <v>2776</v>
      </c>
      <c r="BM1" t="s">
        <v>2777</v>
      </c>
      <c r="BN1" t="s">
        <v>2778</v>
      </c>
      <c r="BO1" t="s">
        <v>2779</v>
      </c>
      <c r="BP1" t="s">
        <v>2780</v>
      </c>
      <c r="BQ1" t="s">
        <v>2781</v>
      </c>
      <c r="BR1" t="s">
        <v>2782</v>
      </c>
      <c r="BS1" t="s">
        <v>2783</v>
      </c>
      <c r="BT1" t="s">
        <v>2784</v>
      </c>
      <c r="BU1" t="s">
        <v>2785</v>
      </c>
      <c r="BV1" t="s">
        <v>2786</v>
      </c>
      <c r="BW1" t="s">
        <v>2787</v>
      </c>
      <c r="BX1" t="s">
        <v>2788</v>
      </c>
      <c r="BY1" t="s">
        <v>2789</v>
      </c>
      <c r="BZ1" t="s">
        <v>2790</v>
      </c>
      <c r="CA1" t="s">
        <v>2791</v>
      </c>
      <c r="CB1" t="s">
        <v>2792</v>
      </c>
      <c r="CC1" t="s">
        <v>2793</v>
      </c>
      <c r="CD1" t="s">
        <v>2794</v>
      </c>
      <c r="CE1" t="s">
        <v>2795</v>
      </c>
      <c r="CF1" t="s">
        <v>2796</v>
      </c>
      <c r="CG1" t="s">
        <v>2797</v>
      </c>
      <c r="CH1" t="s">
        <v>2798</v>
      </c>
      <c r="CI1" t="s">
        <v>2799</v>
      </c>
      <c r="CJ1" t="s">
        <v>2800</v>
      </c>
      <c r="CK1" t="s">
        <v>2801</v>
      </c>
      <c r="CL1" t="s">
        <v>2802</v>
      </c>
      <c r="CM1" t="s">
        <v>2803</v>
      </c>
      <c r="CN1" t="s">
        <v>2804</v>
      </c>
      <c r="CO1" t="s">
        <v>2805</v>
      </c>
      <c r="CP1" t="s">
        <v>2806</v>
      </c>
      <c r="CQ1" t="s">
        <v>2807</v>
      </c>
      <c r="CR1" t="s">
        <v>2808</v>
      </c>
      <c r="CS1" t="s">
        <v>2809</v>
      </c>
      <c r="CT1" t="s">
        <v>2810</v>
      </c>
      <c r="CU1" t="s">
        <v>2811</v>
      </c>
      <c r="CV1" t="s">
        <v>2812</v>
      </c>
      <c r="CW1" t="s">
        <v>2813</v>
      </c>
      <c r="CX1" t="s">
        <v>2814</v>
      </c>
      <c r="CY1" t="s">
        <v>2815</v>
      </c>
    </row>
    <row r="2" spans="1:103" ht="11.25" customHeight="1">
      <c r="A2" t="s">
        <v>243</v>
      </c>
      <c r="B2" t="s">
        <v>243</v>
      </c>
      <c r="C2" t="s">
        <v>243</v>
      </c>
      <c r="D2" t="s">
        <v>243</v>
      </c>
      <c r="E2" t="s">
        <v>243</v>
      </c>
      <c r="F2" t="s">
        <v>2816</v>
      </c>
      <c r="G2" t="s">
        <v>243</v>
      </c>
      <c r="H2" t="s">
        <v>243</v>
      </c>
      <c r="I2" t="s">
        <v>2817</v>
      </c>
      <c r="J2" t="s">
        <v>243</v>
      </c>
      <c r="K2" t="s">
        <v>2818</v>
      </c>
      <c r="L2" t="s">
        <v>243</v>
      </c>
      <c r="M2" t="s">
        <v>114</v>
      </c>
      <c r="N2" t="s">
        <v>243</v>
      </c>
      <c r="O2" t="s">
        <v>2819</v>
      </c>
      <c r="P2" t="s">
        <v>2820</v>
      </c>
      <c r="Q2" t="s">
        <v>2821</v>
      </c>
      <c r="R2" t="s">
        <v>200</v>
      </c>
      <c r="S2" t="s">
        <v>200</v>
      </c>
      <c r="T2" t="s">
        <v>2822</v>
      </c>
      <c r="U2" t="s">
        <v>2822</v>
      </c>
      <c r="V2" t="s">
        <v>2823</v>
      </c>
      <c r="W2" t="s">
        <v>2824</v>
      </c>
      <c r="X2" t="s">
        <v>2825</v>
      </c>
      <c r="Y2" t="s">
        <v>2826</v>
      </c>
      <c r="Z2" t="s">
        <v>443</v>
      </c>
      <c r="AA2" t="s">
        <v>2827</v>
      </c>
      <c r="AB2" t="s">
        <v>2828</v>
      </c>
      <c r="AC2" t="s">
        <v>2829</v>
      </c>
      <c r="AD2" t="s">
        <v>2830</v>
      </c>
      <c r="AE2" t="s">
        <v>2831</v>
      </c>
      <c r="AF2" t="s">
        <v>2832</v>
      </c>
      <c r="AG2" t="s">
        <v>2833</v>
      </c>
      <c r="AH2" t="s">
        <v>2834</v>
      </c>
      <c r="AI2" t="s">
        <v>2835</v>
      </c>
      <c r="AJ2" t="s">
        <v>2836</v>
      </c>
      <c r="AK2" t="s">
        <v>2837</v>
      </c>
      <c r="AL2" t="s">
        <v>2827</v>
      </c>
      <c r="AM2" t="s">
        <v>2838</v>
      </c>
      <c r="AN2" t="s">
        <v>2829</v>
      </c>
      <c r="AO2" t="s">
        <v>2839</v>
      </c>
      <c r="AP2" t="s">
        <v>2840</v>
      </c>
      <c r="AQ2" t="s">
        <v>2841</v>
      </c>
      <c r="AR2" t="s">
        <v>2842</v>
      </c>
      <c r="AS2" t="s">
        <v>2842</v>
      </c>
      <c r="AT2" t="s">
        <v>2829</v>
      </c>
      <c r="AU2" t="s">
        <v>2829</v>
      </c>
      <c r="AV2" t="s">
        <v>2829</v>
      </c>
      <c r="AW2" t="s">
        <v>2829</v>
      </c>
      <c r="AX2" t="s">
        <v>2829</v>
      </c>
      <c r="AY2" t="s">
        <v>2829</v>
      </c>
      <c r="AZ2" t="s">
        <v>2829</v>
      </c>
      <c r="BA2" t="s">
        <v>2829</v>
      </c>
      <c r="BB2" t="s">
        <v>2829</v>
      </c>
      <c r="BC2" t="s">
        <v>2829</v>
      </c>
      <c r="BD2" t="s">
        <v>2842</v>
      </c>
      <c r="BE2" t="s">
        <v>2842</v>
      </c>
      <c r="BF2" t="s">
        <v>243</v>
      </c>
      <c r="BG2" t="s">
        <v>243</v>
      </c>
      <c r="BH2" t="s">
        <v>243</v>
      </c>
      <c r="BI2" t="s">
        <v>243</v>
      </c>
      <c r="BJ2" t="s">
        <v>2829</v>
      </c>
      <c r="BK2" t="s">
        <v>243</v>
      </c>
      <c r="BL2" t="s">
        <v>243</v>
      </c>
      <c r="BM2" t="s">
        <v>243</v>
      </c>
      <c r="BN2" t="s">
        <v>243</v>
      </c>
      <c r="BO2" t="s">
        <v>243</v>
      </c>
      <c r="BP2" t="s">
        <v>2829</v>
      </c>
      <c r="BQ2" t="s">
        <v>243</v>
      </c>
      <c r="BR2" t="s">
        <v>243</v>
      </c>
      <c r="BS2" t="s">
        <v>243</v>
      </c>
      <c r="BT2" t="s">
        <v>243</v>
      </c>
      <c r="BU2" t="s">
        <v>243</v>
      </c>
      <c r="BV2" t="s">
        <v>2829</v>
      </c>
      <c r="BW2" t="s">
        <v>243</v>
      </c>
      <c r="BX2" t="s">
        <v>243</v>
      </c>
      <c r="BY2" t="s">
        <v>243</v>
      </c>
      <c r="BZ2" t="s">
        <v>243</v>
      </c>
      <c r="CA2" t="s">
        <v>243</v>
      </c>
      <c r="CB2" t="s">
        <v>2829</v>
      </c>
      <c r="CC2" t="s">
        <v>243</v>
      </c>
      <c r="CD2" t="s">
        <v>243</v>
      </c>
      <c r="CE2" t="s">
        <v>243</v>
      </c>
      <c r="CF2" t="s">
        <v>243</v>
      </c>
      <c r="CG2" t="s">
        <v>243</v>
      </c>
      <c r="CH2" t="s">
        <v>2829</v>
      </c>
      <c r="CI2" t="s">
        <v>243</v>
      </c>
      <c r="CJ2" t="s">
        <v>243</v>
      </c>
      <c r="CK2" t="s">
        <v>243</v>
      </c>
      <c r="CL2" t="s">
        <v>243</v>
      </c>
      <c r="CM2" t="s">
        <v>243</v>
      </c>
      <c r="CN2" t="s">
        <v>2836</v>
      </c>
      <c r="CO2" t="s">
        <v>2843</v>
      </c>
      <c r="CP2" t="s">
        <v>2844</v>
      </c>
      <c r="CQ2" t="s">
        <v>430</v>
      </c>
      <c r="CR2" t="s">
        <v>2845</v>
      </c>
      <c r="CS2" t="s">
        <v>431</v>
      </c>
      <c r="CT2" t="s">
        <v>430</v>
      </c>
      <c r="CU2" t="s">
        <v>2846</v>
      </c>
      <c r="CV2" t="s">
        <v>2847</v>
      </c>
      <c r="CW2" t="s">
        <v>2845</v>
      </c>
      <c r="CX2" t="s">
        <v>2848</v>
      </c>
      <c r="CY2" t="s">
        <v>2849</v>
      </c>
    </row>
    <row r="3" spans="1:103" ht="11.25" customHeight="1">
      <c r="A3" t="s">
        <v>243</v>
      </c>
      <c r="B3" t="s">
        <v>243</v>
      </c>
      <c r="C3" t="s">
        <v>243</v>
      </c>
      <c r="D3" t="s">
        <v>243</v>
      </c>
      <c r="E3" t="s">
        <v>243</v>
      </c>
      <c r="F3" t="s">
        <v>2816</v>
      </c>
      <c r="G3" t="s">
        <v>243</v>
      </c>
      <c r="H3" t="s">
        <v>243</v>
      </c>
      <c r="I3" t="s">
        <v>2850</v>
      </c>
      <c r="J3" t="s">
        <v>243</v>
      </c>
      <c r="K3" t="s">
        <v>2818</v>
      </c>
      <c r="L3" t="s">
        <v>243</v>
      </c>
      <c r="M3" t="s">
        <v>114</v>
      </c>
      <c r="N3" t="s">
        <v>243</v>
      </c>
      <c r="O3" t="s">
        <v>2819</v>
      </c>
      <c r="P3" t="s">
        <v>2820</v>
      </c>
      <c r="Q3" t="s">
        <v>2821</v>
      </c>
      <c r="R3" t="s">
        <v>200</v>
      </c>
      <c r="S3" t="s">
        <v>200</v>
      </c>
      <c r="T3" t="s">
        <v>2822</v>
      </c>
      <c r="U3" t="s">
        <v>2822</v>
      </c>
      <c r="V3" t="s">
        <v>2823</v>
      </c>
      <c r="W3" t="s">
        <v>2851</v>
      </c>
      <c r="X3" t="s">
        <v>2852</v>
      </c>
      <c r="Y3" t="s">
        <v>2853</v>
      </c>
      <c r="Z3" t="s">
        <v>2854</v>
      </c>
      <c r="AA3" t="s">
        <v>2855</v>
      </c>
      <c r="AB3" t="s">
        <v>2856</v>
      </c>
      <c r="AC3" t="s">
        <v>2829</v>
      </c>
      <c r="AD3" t="s">
        <v>2830</v>
      </c>
      <c r="AE3" t="s">
        <v>2857</v>
      </c>
      <c r="AF3" t="s">
        <v>2858</v>
      </c>
      <c r="AG3" t="s">
        <v>2858</v>
      </c>
      <c r="AH3" t="s">
        <v>2834</v>
      </c>
      <c r="AI3" t="s">
        <v>2835</v>
      </c>
      <c r="AJ3" t="s">
        <v>2836</v>
      </c>
      <c r="AK3" t="s">
        <v>2837</v>
      </c>
      <c r="AL3" t="s">
        <v>2855</v>
      </c>
      <c r="AM3" t="s">
        <v>2859</v>
      </c>
      <c r="AN3" t="s">
        <v>2829</v>
      </c>
      <c r="AO3" t="s">
        <v>2839</v>
      </c>
      <c r="AP3" t="s">
        <v>2840</v>
      </c>
      <c r="AQ3" t="s">
        <v>2841</v>
      </c>
      <c r="AR3" t="s">
        <v>2842</v>
      </c>
      <c r="AS3" t="s">
        <v>2842</v>
      </c>
      <c r="AT3" t="s">
        <v>2829</v>
      </c>
      <c r="AU3" t="s">
        <v>2829</v>
      </c>
      <c r="AV3" t="s">
        <v>2829</v>
      </c>
      <c r="AW3" t="s">
        <v>2829</v>
      </c>
      <c r="AX3" t="s">
        <v>2829</v>
      </c>
      <c r="AY3" t="s">
        <v>2829</v>
      </c>
      <c r="AZ3" t="s">
        <v>2829</v>
      </c>
      <c r="BA3" t="s">
        <v>2829</v>
      </c>
      <c r="BB3" t="s">
        <v>2829</v>
      </c>
      <c r="BC3" t="s">
        <v>2829</v>
      </c>
      <c r="BD3" t="s">
        <v>2842</v>
      </c>
      <c r="BE3" t="s">
        <v>2842</v>
      </c>
      <c r="BF3" t="s">
        <v>243</v>
      </c>
      <c r="BG3" t="s">
        <v>243</v>
      </c>
      <c r="BH3" t="s">
        <v>243</v>
      </c>
      <c r="BI3" t="s">
        <v>243</v>
      </c>
      <c r="BJ3" t="s">
        <v>2829</v>
      </c>
      <c r="BK3" t="s">
        <v>243</v>
      </c>
      <c r="BL3" t="s">
        <v>243</v>
      </c>
      <c r="BM3" t="s">
        <v>243</v>
      </c>
      <c r="BN3" t="s">
        <v>243</v>
      </c>
      <c r="BO3" t="s">
        <v>243</v>
      </c>
      <c r="BP3" t="s">
        <v>2829</v>
      </c>
      <c r="BQ3" t="s">
        <v>243</v>
      </c>
      <c r="BR3" t="s">
        <v>243</v>
      </c>
      <c r="BS3" t="s">
        <v>243</v>
      </c>
      <c r="BT3" t="s">
        <v>243</v>
      </c>
      <c r="BU3" t="s">
        <v>243</v>
      </c>
      <c r="BV3" t="s">
        <v>2829</v>
      </c>
      <c r="BW3" t="s">
        <v>243</v>
      </c>
      <c r="BX3" t="s">
        <v>243</v>
      </c>
      <c r="BY3" t="s">
        <v>243</v>
      </c>
      <c r="BZ3" t="s">
        <v>243</v>
      </c>
      <c r="CA3" t="s">
        <v>243</v>
      </c>
      <c r="CB3" t="s">
        <v>2829</v>
      </c>
      <c r="CC3" t="s">
        <v>243</v>
      </c>
      <c r="CD3" t="s">
        <v>243</v>
      </c>
      <c r="CE3" t="s">
        <v>243</v>
      </c>
      <c r="CF3" t="s">
        <v>243</v>
      </c>
      <c r="CG3" t="s">
        <v>243</v>
      </c>
      <c r="CH3" t="s">
        <v>2829</v>
      </c>
      <c r="CI3" t="s">
        <v>243</v>
      </c>
      <c r="CJ3" t="s">
        <v>243</v>
      </c>
      <c r="CK3" t="s">
        <v>243</v>
      </c>
      <c r="CL3" t="s">
        <v>243</v>
      </c>
      <c r="CM3" t="s">
        <v>243</v>
      </c>
      <c r="CN3" t="s">
        <v>2836</v>
      </c>
      <c r="CO3" t="s">
        <v>2843</v>
      </c>
      <c r="CP3" t="s">
        <v>2844</v>
      </c>
      <c r="CQ3" t="s">
        <v>430</v>
      </c>
      <c r="CR3" t="s">
        <v>2845</v>
      </c>
      <c r="CS3" t="s">
        <v>431</v>
      </c>
      <c r="CT3" t="s">
        <v>430</v>
      </c>
      <c r="CU3" t="s">
        <v>2846</v>
      </c>
      <c r="CV3" t="s">
        <v>2847</v>
      </c>
      <c r="CW3" t="s">
        <v>2845</v>
      </c>
      <c r="CX3" t="s">
        <v>2848</v>
      </c>
      <c r="CY3" t="s">
        <v>2860</v>
      </c>
    </row>
    <row r="4" spans="1:103" ht="11.25" customHeight="1">
      <c r="A4" t="s">
        <v>243</v>
      </c>
      <c r="B4" t="s">
        <v>243</v>
      </c>
      <c r="C4" t="s">
        <v>243</v>
      </c>
      <c r="D4" t="s">
        <v>243</v>
      </c>
      <c r="E4" t="s">
        <v>243</v>
      </c>
      <c r="F4" t="s">
        <v>2816</v>
      </c>
      <c r="G4" t="s">
        <v>243</v>
      </c>
      <c r="H4" t="s">
        <v>243</v>
      </c>
      <c r="I4" t="s">
        <v>2861</v>
      </c>
      <c r="J4" t="s">
        <v>243</v>
      </c>
      <c r="K4" t="s">
        <v>2818</v>
      </c>
      <c r="L4" t="s">
        <v>243</v>
      </c>
      <c r="M4" t="s">
        <v>114</v>
      </c>
      <c r="N4" t="s">
        <v>243</v>
      </c>
      <c r="O4" t="s">
        <v>2819</v>
      </c>
      <c r="P4" t="s">
        <v>2820</v>
      </c>
      <c r="Q4" t="s">
        <v>2821</v>
      </c>
      <c r="R4" t="s">
        <v>200</v>
      </c>
      <c r="S4" t="s">
        <v>200</v>
      </c>
      <c r="T4" t="s">
        <v>2822</v>
      </c>
      <c r="U4" t="s">
        <v>2822</v>
      </c>
      <c r="V4" t="s">
        <v>2823</v>
      </c>
      <c r="W4" t="s">
        <v>2862</v>
      </c>
      <c r="X4" t="s">
        <v>2863</v>
      </c>
      <c r="Y4" t="s">
        <v>2864</v>
      </c>
      <c r="Z4" t="s">
        <v>460</v>
      </c>
      <c r="AA4" t="s">
        <v>2865</v>
      </c>
      <c r="AB4" t="s">
        <v>2866</v>
      </c>
      <c r="AC4" t="s">
        <v>2829</v>
      </c>
      <c r="AD4" t="s">
        <v>2830</v>
      </c>
      <c r="AE4" t="s">
        <v>2857</v>
      </c>
      <c r="AF4" t="s">
        <v>2867</v>
      </c>
      <c r="AG4" t="s">
        <v>2867</v>
      </c>
      <c r="AH4" t="s">
        <v>2834</v>
      </c>
      <c r="AI4" t="s">
        <v>2835</v>
      </c>
      <c r="AJ4" t="s">
        <v>2829</v>
      </c>
      <c r="AK4" t="s">
        <v>2868</v>
      </c>
      <c r="AL4" t="s">
        <v>2865</v>
      </c>
      <c r="AM4" t="s">
        <v>2838</v>
      </c>
      <c r="AN4" t="s">
        <v>2829</v>
      </c>
      <c r="AO4" t="s">
        <v>2839</v>
      </c>
      <c r="AP4" t="s">
        <v>2840</v>
      </c>
      <c r="AQ4" t="s">
        <v>2841</v>
      </c>
      <c r="AR4" t="s">
        <v>2869</v>
      </c>
      <c r="AS4" t="s">
        <v>2869</v>
      </c>
      <c r="AT4" t="s">
        <v>2829</v>
      </c>
      <c r="AU4" t="s">
        <v>2829</v>
      </c>
      <c r="AV4" t="s">
        <v>2829</v>
      </c>
      <c r="AW4" t="s">
        <v>2829</v>
      </c>
      <c r="AX4" t="s">
        <v>2829</v>
      </c>
      <c r="AY4" t="s">
        <v>2829</v>
      </c>
      <c r="AZ4" t="s">
        <v>2829</v>
      </c>
      <c r="BA4" t="s">
        <v>2829</v>
      </c>
      <c r="BB4" t="s">
        <v>2829</v>
      </c>
      <c r="BC4" t="s">
        <v>2829</v>
      </c>
      <c r="BD4" t="s">
        <v>2870</v>
      </c>
      <c r="BE4" t="s">
        <v>2870</v>
      </c>
      <c r="BF4" t="s">
        <v>243</v>
      </c>
      <c r="BG4" t="s">
        <v>243</v>
      </c>
      <c r="BH4" t="s">
        <v>243</v>
      </c>
      <c r="BI4" t="s">
        <v>243</v>
      </c>
      <c r="BJ4" t="s">
        <v>2829</v>
      </c>
      <c r="BK4" t="s">
        <v>243</v>
      </c>
      <c r="BL4" t="s">
        <v>243</v>
      </c>
      <c r="BM4" t="s">
        <v>243</v>
      </c>
      <c r="BN4" t="s">
        <v>243</v>
      </c>
      <c r="BO4" t="s">
        <v>243</v>
      </c>
      <c r="BP4" t="s">
        <v>2871</v>
      </c>
      <c r="BQ4" t="s">
        <v>2871</v>
      </c>
      <c r="BR4" t="s">
        <v>243</v>
      </c>
      <c r="BS4" t="s">
        <v>243</v>
      </c>
      <c r="BT4" t="s">
        <v>243</v>
      </c>
      <c r="BU4" t="s">
        <v>243</v>
      </c>
      <c r="BV4" t="s">
        <v>2829</v>
      </c>
      <c r="BW4" t="s">
        <v>243</v>
      </c>
      <c r="BX4" t="s">
        <v>243</v>
      </c>
      <c r="BY4" t="s">
        <v>243</v>
      </c>
      <c r="BZ4" t="s">
        <v>243</v>
      </c>
      <c r="CA4" t="s">
        <v>243</v>
      </c>
      <c r="CB4" t="s">
        <v>2829</v>
      </c>
      <c r="CC4" t="s">
        <v>243</v>
      </c>
      <c r="CD4" t="s">
        <v>243</v>
      </c>
      <c r="CE4" t="s">
        <v>243</v>
      </c>
      <c r="CF4" t="s">
        <v>243</v>
      </c>
      <c r="CG4" t="s">
        <v>243</v>
      </c>
      <c r="CH4" t="s">
        <v>2829</v>
      </c>
      <c r="CI4" t="s">
        <v>243</v>
      </c>
      <c r="CJ4" t="s">
        <v>243</v>
      </c>
      <c r="CK4" t="s">
        <v>243</v>
      </c>
      <c r="CL4" t="s">
        <v>243</v>
      </c>
      <c r="CM4" t="s">
        <v>243</v>
      </c>
      <c r="CN4" t="s">
        <v>2829</v>
      </c>
      <c r="CO4" t="s">
        <v>2843</v>
      </c>
      <c r="CP4" t="s">
        <v>2844</v>
      </c>
      <c r="CQ4" t="s">
        <v>430</v>
      </c>
      <c r="CR4" t="s">
        <v>2872</v>
      </c>
      <c r="CS4" t="s">
        <v>431</v>
      </c>
      <c r="CT4" t="s">
        <v>430</v>
      </c>
      <c r="CU4" t="s">
        <v>2846</v>
      </c>
      <c r="CV4" t="s">
        <v>2873</v>
      </c>
      <c r="CW4" t="s">
        <v>2872</v>
      </c>
      <c r="CX4" t="s">
        <v>2848</v>
      </c>
      <c r="CY4" t="s">
        <v>2874</v>
      </c>
    </row>
    <row r="5" spans="1:103" ht="11.25" customHeight="1">
      <c r="A5" t="s">
        <v>243</v>
      </c>
      <c r="B5" t="s">
        <v>243</v>
      </c>
      <c r="C5" t="s">
        <v>243</v>
      </c>
      <c r="D5" t="s">
        <v>243</v>
      </c>
      <c r="E5" t="s">
        <v>243</v>
      </c>
      <c r="F5" t="s">
        <v>2816</v>
      </c>
      <c r="G5" t="s">
        <v>243</v>
      </c>
      <c r="H5" t="s">
        <v>243</v>
      </c>
      <c r="I5" t="s">
        <v>448</v>
      </c>
      <c r="J5" t="s">
        <v>243</v>
      </c>
      <c r="K5" t="s">
        <v>464</v>
      </c>
      <c r="L5" t="s">
        <v>243</v>
      </c>
      <c r="M5" t="s">
        <v>114</v>
      </c>
      <c r="N5" t="s">
        <v>243</v>
      </c>
      <c r="O5" t="s">
        <v>2819</v>
      </c>
      <c r="P5" t="s">
        <v>2820</v>
      </c>
      <c r="Q5" t="s">
        <v>2821</v>
      </c>
      <c r="R5" t="s">
        <v>200</v>
      </c>
      <c r="S5" t="s">
        <v>200</v>
      </c>
      <c r="T5" t="s">
        <v>2875</v>
      </c>
      <c r="U5" t="s">
        <v>2875</v>
      </c>
      <c r="V5" t="s">
        <v>2876</v>
      </c>
      <c r="W5" t="s">
        <v>2877</v>
      </c>
      <c r="X5" t="s">
        <v>2878</v>
      </c>
      <c r="Y5" t="s">
        <v>2879</v>
      </c>
      <c r="Z5" t="s">
        <v>2880</v>
      </c>
      <c r="AA5" t="s">
        <v>2881</v>
      </c>
      <c r="AB5" t="s">
        <v>2882</v>
      </c>
      <c r="AC5" t="s">
        <v>2829</v>
      </c>
      <c r="AD5" t="s">
        <v>2883</v>
      </c>
      <c r="AE5" t="s">
        <v>2884</v>
      </c>
      <c r="AF5" t="s">
        <v>2885</v>
      </c>
      <c r="AG5" t="s">
        <v>2886</v>
      </c>
      <c r="AH5" t="s">
        <v>2834</v>
      </c>
      <c r="AI5" t="s">
        <v>2887</v>
      </c>
      <c r="AJ5" t="s">
        <v>2888</v>
      </c>
      <c r="AK5" t="s">
        <v>2889</v>
      </c>
      <c r="AL5" t="s">
        <v>2881</v>
      </c>
      <c r="AM5" t="s">
        <v>2882</v>
      </c>
      <c r="AN5" t="s">
        <v>2829</v>
      </c>
      <c r="AO5" t="s">
        <v>2839</v>
      </c>
      <c r="AP5" t="s">
        <v>2840</v>
      </c>
      <c r="AQ5" t="s">
        <v>2841</v>
      </c>
      <c r="AR5" t="s">
        <v>2890</v>
      </c>
      <c r="AS5" t="s">
        <v>2891</v>
      </c>
      <c r="AT5" t="s">
        <v>2892</v>
      </c>
      <c r="AU5" t="s">
        <v>2829</v>
      </c>
      <c r="AV5" t="s">
        <v>2829</v>
      </c>
      <c r="AW5" t="s">
        <v>2829</v>
      </c>
      <c r="AX5" t="s">
        <v>2829</v>
      </c>
      <c r="AY5" t="s">
        <v>2829</v>
      </c>
      <c r="AZ5" t="s">
        <v>2829</v>
      </c>
      <c r="BA5" t="s">
        <v>2829</v>
      </c>
      <c r="BB5" t="s">
        <v>2829</v>
      </c>
      <c r="BC5" t="s">
        <v>2829</v>
      </c>
      <c r="BD5" t="s">
        <v>2893</v>
      </c>
      <c r="BE5" t="s">
        <v>2894</v>
      </c>
      <c r="BF5" t="s">
        <v>2895</v>
      </c>
      <c r="BG5" t="s">
        <v>243</v>
      </c>
      <c r="BH5" t="s">
        <v>243</v>
      </c>
      <c r="BI5" t="s">
        <v>243</v>
      </c>
      <c r="BJ5" t="s">
        <v>2829</v>
      </c>
      <c r="BK5" t="s">
        <v>243</v>
      </c>
      <c r="BL5" t="s">
        <v>243</v>
      </c>
      <c r="BM5" t="s">
        <v>243</v>
      </c>
      <c r="BN5" t="s">
        <v>243</v>
      </c>
      <c r="BO5" t="s">
        <v>243</v>
      </c>
      <c r="BP5" t="s">
        <v>2896</v>
      </c>
      <c r="BQ5" t="s">
        <v>2897</v>
      </c>
      <c r="BR5" t="s">
        <v>2898</v>
      </c>
      <c r="BS5" t="s">
        <v>243</v>
      </c>
      <c r="BT5" t="s">
        <v>243</v>
      </c>
      <c r="BU5" t="s">
        <v>243</v>
      </c>
      <c r="BV5" t="s">
        <v>2829</v>
      </c>
      <c r="BW5" t="s">
        <v>243</v>
      </c>
      <c r="BX5" t="s">
        <v>243</v>
      </c>
      <c r="BY5" t="s">
        <v>243</v>
      </c>
      <c r="BZ5" t="s">
        <v>243</v>
      </c>
      <c r="CA5" t="s">
        <v>243</v>
      </c>
      <c r="CB5" t="s">
        <v>2829</v>
      </c>
      <c r="CC5" t="s">
        <v>243</v>
      </c>
      <c r="CD5" t="s">
        <v>243</v>
      </c>
      <c r="CE5" t="s">
        <v>243</v>
      </c>
      <c r="CF5" t="s">
        <v>243</v>
      </c>
      <c r="CG5" t="s">
        <v>243</v>
      </c>
      <c r="CH5" t="s">
        <v>2829</v>
      </c>
      <c r="CI5" t="s">
        <v>243</v>
      </c>
      <c r="CJ5" t="s">
        <v>243</v>
      </c>
      <c r="CK5" t="s">
        <v>243</v>
      </c>
      <c r="CL5" t="s">
        <v>243</v>
      </c>
      <c r="CM5" t="s">
        <v>243</v>
      </c>
      <c r="CN5" t="s">
        <v>2888</v>
      </c>
      <c r="CO5" t="s">
        <v>2843</v>
      </c>
      <c r="CP5" t="s">
        <v>2844</v>
      </c>
      <c r="CQ5" t="s">
        <v>430</v>
      </c>
      <c r="CR5" t="s">
        <v>2899</v>
      </c>
      <c r="CS5" t="s">
        <v>431</v>
      </c>
      <c r="CT5" t="s">
        <v>430</v>
      </c>
      <c r="CU5" t="s">
        <v>2846</v>
      </c>
      <c r="CV5" t="s">
        <v>2900</v>
      </c>
      <c r="CW5" t="s">
        <v>2899</v>
      </c>
      <c r="CX5" t="s">
        <v>2848</v>
      </c>
      <c r="CY5" t="s">
        <v>2901</v>
      </c>
    </row>
    <row r="6" spans="1:103" ht="11.25" customHeight="1">
      <c r="A6" t="s">
        <v>243</v>
      </c>
      <c r="B6" t="s">
        <v>243</v>
      </c>
      <c r="C6" t="s">
        <v>243</v>
      </c>
      <c r="D6" t="s">
        <v>243</v>
      </c>
      <c r="E6" t="s">
        <v>243</v>
      </c>
      <c r="F6" t="s">
        <v>2816</v>
      </c>
      <c r="G6" t="s">
        <v>243</v>
      </c>
      <c r="H6" t="s">
        <v>243</v>
      </c>
      <c r="I6" t="s">
        <v>2902</v>
      </c>
      <c r="J6" t="s">
        <v>243</v>
      </c>
      <c r="K6" t="s">
        <v>2818</v>
      </c>
      <c r="L6" t="s">
        <v>243</v>
      </c>
      <c r="M6" t="s">
        <v>114</v>
      </c>
      <c r="N6" t="s">
        <v>243</v>
      </c>
      <c r="O6" t="s">
        <v>2819</v>
      </c>
      <c r="P6" t="s">
        <v>2820</v>
      </c>
      <c r="Q6" t="s">
        <v>2821</v>
      </c>
      <c r="R6" t="s">
        <v>200</v>
      </c>
      <c r="S6" t="s">
        <v>200</v>
      </c>
      <c r="T6" t="s">
        <v>2822</v>
      </c>
      <c r="U6" t="s">
        <v>2822</v>
      </c>
      <c r="V6" t="s">
        <v>2823</v>
      </c>
      <c r="W6" t="s">
        <v>2862</v>
      </c>
      <c r="X6" t="s">
        <v>2863</v>
      </c>
      <c r="Y6" t="s">
        <v>2903</v>
      </c>
      <c r="Z6" t="s">
        <v>341</v>
      </c>
      <c r="AA6" t="s">
        <v>2904</v>
      </c>
      <c r="AB6" t="s">
        <v>2905</v>
      </c>
      <c r="AC6" t="s">
        <v>2829</v>
      </c>
      <c r="AD6" t="s">
        <v>2830</v>
      </c>
      <c r="AE6" t="s">
        <v>2857</v>
      </c>
      <c r="AF6" t="s">
        <v>2906</v>
      </c>
      <c r="AG6" t="s">
        <v>2906</v>
      </c>
      <c r="AH6" t="s">
        <v>2834</v>
      </c>
      <c r="AI6" t="s">
        <v>2835</v>
      </c>
      <c r="AJ6" t="s">
        <v>2829</v>
      </c>
      <c r="AK6" t="s">
        <v>2868</v>
      </c>
      <c r="AL6" t="s">
        <v>2904</v>
      </c>
      <c r="AM6" t="s">
        <v>2907</v>
      </c>
      <c r="AN6" t="s">
        <v>2829</v>
      </c>
      <c r="AO6" t="s">
        <v>2839</v>
      </c>
      <c r="AP6" t="s">
        <v>2840</v>
      </c>
      <c r="AQ6" t="s">
        <v>2841</v>
      </c>
      <c r="AR6" t="s">
        <v>2908</v>
      </c>
      <c r="AS6" t="s">
        <v>2908</v>
      </c>
      <c r="AT6" t="s">
        <v>2829</v>
      </c>
      <c r="AU6" t="s">
        <v>2829</v>
      </c>
      <c r="AV6" t="s">
        <v>2829</v>
      </c>
      <c r="AW6" t="s">
        <v>2829</v>
      </c>
      <c r="AX6" t="s">
        <v>2829</v>
      </c>
      <c r="AY6" t="s">
        <v>2829</v>
      </c>
      <c r="AZ6" t="s">
        <v>2829</v>
      </c>
      <c r="BA6" t="s">
        <v>2829</v>
      </c>
      <c r="BB6" t="s">
        <v>2829</v>
      </c>
      <c r="BC6" t="s">
        <v>2829</v>
      </c>
      <c r="BD6" t="s">
        <v>2908</v>
      </c>
      <c r="BE6" t="s">
        <v>2908</v>
      </c>
      <c r="BF6" t="s">
        <v>243</v>
      </c>
      <c r="BG6" t="s">
        <v>243</v>
      </c>
      <c r="BH6" t="s">
        <v>243</v>
      </c>
      <c r="BI6" t="s">
        <v>243</v>
      </c>
      <c r="BJ6" t="s">
        <v>2829</v>
      </c>
      <c r="BK6" t="s">
        <v>243</v>
      </c>
      <c r="BL6" t="s">
        <v>243</v>
      </c>
      <c r="BM6" t="s">
        <v>243</v>
      </c>
      <c r="BN6" t="s">
        <v>243</v>
      </c>
      <c r="BO6" t="s">
        <v>243</v>
      </c>
      <c r="BP6" t="s">
        <v>2829</v>
      </c>
      <c r="BQ6" t="s">
        <v>243</v>
      </c>
      <c r="BR6" t="s">
        <v>243</v>
      </c>
      <c r="BS6" t="s">
        <v>243</v>
      </c>
      <c r="BT6" t="s">
        <v>243</v>
      </c>
      <c r="BU6" t="s">
        <v>243</v>
      </c>
      <c r="BV6" t="s">
        <v>2829</v>
      </c>
      <c r="BW6" t="s">
        <v>243</v>
      </c>
      <c r="BX6" t="s">
        <v>243</v>
      </c>
      <c r="BY6" t="s">
        <v>243</v>
      </c>
      <c r="BZ6" t="s">
        <v>243</v>
      </c>
      <c r="CA6" t="s">
        <v>243</v>
      </c>
      <c r="CB6" t="s">
        <v>2829</v>
      </c>
      <c r="CC6" t="s">
        <v>243</v>
      </c>
      <c r="CD6" t="s">
        <v>243</v>
      </c>
      <c r="CE6" t="s">
        <v>243</v>
      </c>
      <c r="CF6" t="s">
        <v>243</v>
      </c>
      <c r="CG6" t="s">
        <v>243</v>
      </c>
      <c r="CH6" t="s">
        <v>2829</v>
      </c>
      <c r="CI6" t="s">
        <v>243</v>
      </c>
      <c r="CJ6" t="s">
        <v>243</v>
      </c>
      <c r="CK6" t="s">
        <v>243</v>
      </c>
      <c r="CL6" t="s">
        <v>243</v>
      </c>
      <c r="CM6" t="s">
        <v>243</v>
      </c>
      <c r="CN6" t="s">
        <v>2829</v>
      </c>
      <c r="CO6" t="s">
        <v>2843</v>
      </c>
      <c r="CP6" t="s">
        <v>2844</v>
      </c>
      <c r="CQ6" t="s">
        <v>430</v>
      </c>
      <c r="CR6" t="s">
        <v>2872</v>
      </c>
      <c r="CS6" t="s">
        <v>431</v>
      </c>
      <c r="CT6" t="s">
        <v>430</v>
      </c>
      <c r="CU6" t="s">
        <v>2846</v>
      </c>
      <c r="CV6" t="s">
        <v>2873</v>
      </c>
      <c r="CW6" t="s">
        <v>2872</v>
      </c>
      <c r="CX6" t="s">
        <v>2848</v>
      </c>
      <c r="CY6" t="s">
        <v>2909</v>
      </c>
    </row>
    <row r="7" spans="1:103" ht="11.25" customHeight="1">
      <c r="A7" t="s">
        <v>243</v>
      </c>
      <c r="B7" t="s">
        <v>243</v>
      </c>
      <c r="C7" t="s">
        <v>243</v>
      </c>
      <c r="D7" t="s">
        <v>243</v>
      </c>
      <c r="E7" t="s">
        <v>243</v>
      </c>
      <c r="F7" t="s">
        <v>2816</v>
      </c>
      <c r="G7" t="s">
        <v>243</v>
      </c>
      <c r="H7" t="s">
        <v>243</v>
      </c>
      <c r="I7" t="s">
        <v>2910</v>
      </c>
      <c r="J7" t="s">
        <v>243</v>
      </c>
      <c r="K7" t="s">
        <v>2818</v>
      </c>
      <c r="L7" t="s">
        <v>243</v>
      </c>
      <c r="M7" t="s">
        <v>114</v>
      </c>
      <c r="N7" t="s">
        <v>243</v>
      </c>
      <c r="O7" t="s">
        <v>2819</v>
      </c>
      <c r="P7" t="s">
        <v>2820</v>
      </c>
      <c r="Q7" t="s">
        <v>2821</v>
      </c>
      <c r="R7" t="s">
        <v>200</v>
      </c>
      <c r="S7" t="s">
        <v>200</v>
      </c>
      <c r="T7" t="s">
        <v>2822</v>
      </c>
      <c r="U7" t="s">
        <v>2822</v>
      </c>
      <c r="V7" t="s">
        <v>2823</v>
      </c>
      <c r="W7" t="s">
        <v>2911</v>
      </c>
      <c r="X7" t="s">
        <v>2912</v>
      </c>
      <c r="Y7" t="s">
        <v>2913</v>
      </c>
      <c r="Z7" t="s">
        <v>348</v>
      </c>
      <c r="AA7" t="s">
        <v>2865</v>
      </c>
      <c r="AB7" t="s">
        <v>2838</v>
      </c>
      <c r="AC7" t="s">
        <v>2829</v>
      </c>
      <c r="AD7" t="s">
        <v>2830</v>
      </c>
      <c r="AE7" t="s">
        <v>2857</v>
      </c>
      <c r="AF7" t="s">
        <v>2914</v>
      </c>
      <c r="AG7" t="s">
        <v>2914</v>
      </c>
      <c r="AH7" t="s">
        <v>2834</v>
      </c>
      <c r="AI7" t="s">
        <v>2835</v>
      </c>
      <c r="AJ7" t="s">
        <v>2829</v>
      </c>
      <c r="AK7" t="s">
        <v>2868</v>
      </c>
      <c r="AL7" t="s">
        <v>2865</v>
      </c>
      <c r="AM7" t="s">
        <v>2838</v>
      </c>
      <c r="AN7" t="s">
        <v>2829</v>
      </c>
      <c r="AO7" t="s">
        <v>2839</v>
      </c>
      <c r="AP7" t="s">
        <v>2840</v>
      </c>
      <c r="AQ7" t="s">
        <v>2841</v>
      </c>
      <c r="AR7" t="s">
        <v>2915</v>
      </c>
      <c r="AS7" t="s">
        <v>2915</v>
      </c>
      <c r="AT7" t="s">
        <v>2829</v>
      </c>
      <c r="AU7" t="s">
        <v>2829</v>
      </c>
      <c r="AV7" t="s">
        <v>2829</v>
      </c>
      <c r="AW7" t="s">
        <v>2829</v>
      </c>
      <c r="AX7" t="s">
        <v>2829</v>
      </c>
      <c r="AY7" t="s">
        <v>2829</v>
      </c>
      <c r="AZ7" t="s">
        <v>2829</v>
      </c>
      <c r="BA7" t="s">
        <v>2829</v>
      </c>
      <c r="BB7" t="s">
        <v>2829</v>
      </c>
      <c r="BC7" t="s">
        <v>2829</v>
      </c>
      <c r="BD7" t="s">
        <v>2915</v>
      </c>
      <c r="BE7" t="s">
        <v>2915</v>
      </c>
      <c r="BF7" t="s">
        <v>243</v>
      </c>
      <c r="BG7" t="s">
        <v>243</v>
      </c>
      <c r="BH7" t="s">
        <v>243</v>
      </c>
      <c r="BI7" t="s">
        <v>243</v>
      </c>
      <c r="BJ7" t="s">
        <v>2829</v>
      </c>
      <c r="BK7" t="s">
        <v>243</v>
      </c>
      <c r="BL7" t="s">
        <v>243</v>
      </c>
      <c r="BM7" t="s">
        <v>243</v>
      </c>
      <c r="BN7" t="s">
        <v>243</v>
      </c>
      <c r="BO7" t="s">
        <v>243</v>
      </c>
      <c r="BP7" t="s">
        <v>2829</v>
      </c>
      <c r="BQ7" t="s">
        <v>243</v>
      </c>
      <c r="BR7" t="s">
        <v>243</v>
      </c>
      <c r="BS7" t="s">
        <v>243</v>
      </c>
      <c r="BT7" t="s">
        <v>243</v>
      </c>
      <c r="BU7" t="s">
        <v>243</v>
      </c>
      <c r="BV7" t="s">
        <v>2829</v>
      </c>
      <c r="BW7" t="s">
        <v>243</v>
      </c>
      <c r="BX7" t="s">
        <v>243</v>
      </c>
      <c r="BY7" t="s">
        <v>243</v>
      </c>
      <c r="BZ7" t="s">
        <v>243</v>
      </c>
      <c r="CA7" t="s">
        <v>243</v>
      </c>
      <c r="CB7" t="s">
        <v>2829</v>
      </c>
      <c r="CC7" t="s">
        <v>243</v>
      </c>
      <c r="CD7" t="s">
        <v>243</v>
      </c>
      <c r="CE7" t="s">
        <v>243</v>
      </c>
      <c r="CF7" t="s">
        <v>243</v>
      </c>
      <c r="CG7" t="s">
        <v>243</v>
      </c>
      <c r="CH7" t="s">
        <v>2829</v>
      </c>
      <c r="CI7" t="s">
        <v>243</v>
      </c>
      <c r="CJ7" t="s">
        <v>243</v>
      </c>
      <c r="CK7" t="s">
        <v>243</v>
      </c>
      <c r="CL7" t="s">
        <v>243</v>
      </c>
      <c r="CM7" t="s">
        <v>243</v>
      </c>
      <c r="CN7" t="s">
        <v>2829</v>
      </c>
      <c r="CO7" t="s">
        <v>2843</v>
      </c>
      <c r="CP7" t="s">
        <v>2844</v>
      </c>
      <c r="CQ7" t="s">
        <v>430</v>
      </c>
      <c r="CR7" t="s">
        <v>2872</v>
      </c>
      <c r="CS7" t="s">
        <v>431</v>
      </c>
      <c r="CT7" t="s">
        <v>430</v>
      </c>
      <c r="CU7" t="s">
        <v>2846</v>
      </c>
      <c r="CV7" t="s">
        <v>2873</v>
      </c>
      <c r="CW7" t="s">
        <v>2872</v>
      </c>
      <c r="CX7" t="s">
        <v>2848</v>
      </c>
      <c r="CY7" t="s">
        <v>2916</v>
      </c>
    </row>
    <row r="8" spans="1:103" ht="11.25" customHeight="1">
      <c r="A8" t="s">
        <v>243</v>
      </c>
      <c r="B8" t="s">
        <v>243</v>
      </c>
      <c r="C8" t="s">
        <v>243</v>
      </c>
      <c r="D8" t="s">
        <v>243</v>
      </c>
      <c r="E8" t="s">
        <v>243</v>
      </c>
      <c r="F8" t="s">
        <v>2816</v>
      </c>
      <c r="G8" t="s">
        <v>243</v>
      </c>
      <c r="H8" t="s">
        <v>243</v>
      </c>
      <c r="I8" t="s">
        <v>2917</v>
      </c>
      <c r="J8" t="s">
        <v>243</v>
      </c>
      <c r="K8" t="s">
        <v>2818</v>
      </c>
      <c r="L8" t="s">
        <v>243</v>
      </c>
      <c r="M8" t="s">
        <v>114</v>
      </c>
      <c r="N8" t="s">
        <v>243</v>
      </c>
      <c r="O8" t="s">
        <v>2819</v>
      </c>
      <c r="P8" t="s">
        <v>2820</v>
      </c>
      <c r="Q8" t="s">
        <v>2821</v>
      </c>
      <c r="R8" t="s">
        <v>200</v>
      </c>
      <c r="S8" t="s">
        <v>200</v>
      </c>
      <c r="T8" t="s">
        <v>2822</v>
      </c>
      <c r="U8" t="s">
        <v>2822</v>
      </c>
      <c r="V8" t="s">
        <v>2823</v>
      </c>
      <c r="W8" t="s">
        <v>2824</v>
      </c>
      <c r="X8" t="s">
        <v>2825</v>
      </c>
      <c r="Y8" t="s">
        <v>2918</v>
      </c>
      <c r="Z8" t="s">
        <v>2919</v>
      </c>
      <c r="AA8" t="s">
        <v>2865</v>
      </c>
      <c r="AB8" t="s">
        <v>2920</v>
      </c>
      <c r="AC8" t="s">
        <v>2829</v>
      </c>
      <c r="AD8" t="s">
        <v>2830</v>
      </c>
      <c r="AE8" t="s">
        <v>2857</v>
      </c>
      <c r="AF8" t="s">
        <v>2921</v>
      </c>
      <c r="AG8" t="s">
        <v>2921</v>
      </c>
      <c r="AH8" t="s">
        <v>2834</v>
      </c>
      <c r="AI8" t="s">
        <v>2835</v>
      </c>
      <c r="AJ8" t="s">
        <v>2829</v>
      </c>
      <c r="AK8" t="s">
        <v>2922</v>
      </c>
      <c r="AL8" t="s">
        <v>2865</v>
      </c>
      <c r="AM8" t="s">
        <v>2920</v>
      </c>
      <c r="AN8" t="s">
        <v>2829</v>
      </c>
      <c r="AO8" t="s">
        <v>2839</v>
      </c>
      <c r="AP8" t="s">
        <v>2840</v>
      </c>
      <c r="AQ8" t="s">
        <v>2841</v>
      </c>
      <c r="AR8" t="s">
        <v>2923</v>
      </c>
      <c r="AS8" t="s">
        <v>2923</v>
      </c>
      <c r="AT8" t="s">
        <v>2829</v>
      </c>
      <c r="AU8" t="s">
        <v>2829</v>
      </c>
      <c r="AV8" t="s">
        <v>2829</v>
      </c>
      <c r="AW8" t="s">
        <v>2829</v>
      </c>
      <c r="AX8" t="s">
        <v>2829</v>
      </c>
      <c r="AY8" t="s">
        <v>2829</v>
      </c>
      <c r="AZ8" t="s">
        <v>2829</v>
      </c>
      <c r="BA8" t="s">
        <v>2829</v>
      </c>
      <c r="BB8" t="s">
        <v>2829</v>
      </c>
      <c r="BC8" t="s">
        <v>2829</v>
      </c>
      <c r="BD8" t="s">
        <v>2923</v>
      </c>
      <c r="BE8" t="s">
        <v>2923</v>
      </c>
      <c r="BF8" t="s">
        <v>243</v>
      </c>
      <c r="BG8" t="s">
        <v>243</v>
      </c>
      <c r="BH8" t="s">
        <v>243</v>
      </c>
      <c r="BI8" t="s">
        <v>243</v>
      </c>
      <c r="BJ8" t="s">
        <v>2829</v>
      </c>
      <c r="BK8" t="s">
        <v>243</v>
      </c>
      <c r="BL8" t="s">
        <v>243</v>
      </c>
      <c r="BM8" t="s">
        <v>243</v>
      </c>
      <c r="BN8" t="s">
        <v>243</v>
      </c>
      <c r="BO8" t="s">
        <v>243</v>
      </c>
      <c r="BP8" t="s">
        <v>2829</v>
      </c>
      <c r="BQ8" t="s">
        <v>243</v>
      </c>
      <c r="BR8" t="s">
        <v>243</v>
      </c>
      <c r="BS8" t="s">
        <v>243</v>
      </c>
      <c r="BT8" t="s">
        <v>243</v>
      </c>
      <c r="BU8" t="s">
        <v>243</v>
      </c>
      <c r="BV8" t="s">
        <v>2829</v>
      </c>
      <c r="BW8" t="s">
        <v>243</v>
      </c>
      <c r="BX8" t="s">
        <v>243</v>
      </c>
      <c r="BY8" t="s">
        <v>243</v>
      </c>
      <c r="BZ8" t="s">
        <v>243</v>
      </c>
      <c r="CA8" t="s">
        <v>243</v>
      </c>
      <c r="CB8" t="s">
        <v>2829</v>
      </c>
      <c r="CC8" t="s">
        <v>243</v>
      </c>
      <c r="CD8" t="s">
        <v>243</v>
      </c>
      <c r="CE8" t="s">
        <v>243</v>
      </c>
      <c r="CF8" t="s">
        <v>243</v>
      </c>
      <c r="CG8" t="s">
        <v>243</v>
      </c>
      <c r="CH8" t="s">
        <v>2829</v>
      </c>
      <c r="CI8" t="s">
        <v>243</v>
      </c>
      <c r="CJ8" t="s">
        <v>243</v>
      </c>
      <c r="CK8" t="s">
        <v>243</v>
      </c>
      <c r="CL8" t="s">
        <v>243</v>
      </c>
      <c r="CM8" t="s">
        <v>243</v>
      </c>
      <c r="CN8" t="s">
        <v>2829</v>
      </c>
      <c r="CO8" t="s">
        <v>2924</v>
      </c>
      <c r="CP8" t="s">
        <v>2844</v>
      </c>
      <c r="CQ8" t="s">
        <v>430</v>
      </c>
      <c r="CR8" t="s">
        <v>2872</v>
      </c>
      <c r="CS8" t="s">
        <v>431</v>
      </c>
      <c r="CT8" t="s">
        <v>430</v>
      </c>
      <c r="CU8" t="s">
        <v>2846</v>
      </c>
      <c r="CV8" t="s">
        <v>2873</v>
      </c>
      <c r="CW8" t="s">
        <v>2872</v>
      </c>
      <c r="CX8" t="s">
        <v>2848</v>
      </c>
      <c r="CY8" t="s">
        <v>2925</v>
      </c>
    </row>
    <row r="9" spans="1:103" ht="11.25" customHeight="1">
      <c r="A9" t="s">
        <v>243</v>
      </c>
      <c r="B9" t="s">
        <v>243</v>
      </c>
      <c r="C9" t="s">
        <v>243</v>
      </c>
      <c r="D9" t="s">
        <v>243</v>
      </c>
      <c r="E9" t="s">
        <v>243</v>
      </c>
      <c r="F9" t="s">
        <v>2816</v>
      </c>
      <c r="G9" t="s">
        <v>243</v>
      </c>
      <c r="H9" t="s">
        <v>243</v>
      </c>
      <c r="I9" t="s">
        <v>2926</v>
      </c>
      <c r="J9" t="s">
        <v>243</v>
      </c>
      <c r="K9" t="s">
        <v>2818</v>
      </c>
      <c r="L9" t="s">
        <v>243</v>
      </c>
      <c r="M9" t="s">
        <v>114</v>
      </c>
      <c r="N9" t="s">
        <v>243</v>
      </c>
      <c r="O9" t="s">
        <v>2819</v>
      </c>
      <c r="P9" t="s">
        <v>2820</v>
      </c>
      <c r="Q9" t="s">
        <v>2821</v>
      </c>
      <c r="R9" t="s">
        <v>200</v>
      </c>
      <c r="S9" t="s">
        <v>200</v>
      </c>
      <c r="T9" t="s">
        <v>2822</v>
      </c>
      <c r="U9" t="s">
        <v>2822</v>
      </c>
      <c r="V9" t="s">
        <v>2823</v>
      </c>
      <c r="W9" t="s">
        <v>2927</v>
      </c>
      <c r="X9" t="s">
        <v>2928</v>
      </c>
      <c r="Y9" t="s">
        <v>2929</v>
      </c>
      <c r="Z9" t="s">
        <v>2930</v>
      </c>
      <c r="AA9" t="s">
        <v>2865</v>
      </c>
      <c r="AB9" t="s">
        <v>2838</v>
      </c>
      <c r="AC9" t="s">
        <v>2829</v>
      </c>
      <c r="AD9" t="s">
        <v>2830</v>
      </c>
      <c r="AE9" t="s">
        <v>2857</v>
      </c>
      <c r="AF9" t="s">
        <v>2867</v>
      </c>
      <c r="AG9" t="s">
        <v>2867</v>
      </c>
      <c r="AH9" t="s">
        <v>2834</v>
      </c>
      <c r="AI9" t="s">
        <v>2835</v>
      </c>
      <c r="AJ9" t="s">
        <v>2829</v>
      </c>
      <c r="AK9" t="s">
        <v>2922</v>
      </c>
      <c r="AL9" t="s">
        <v>2865</v>
      </c>
      <c r="AM9" t="s">
        <v>2838</v>
      </c>
      <c r="AN9" t="s">
        <v>2829</v>
      </c>
      <c r="AO9" t="s">
        <v>2839</v>
      </c>
      <c r="AP9" t="s">
        <v>2840</v>
      </c>
      <c r="AQ9" t="s">
        <v>2841</v>
      </c>
      <c r="AR9" t="s">
        <v>2923</v>
      </c>
      <c r="AS9" t="s">
        <v>2923</v>
      </c>
      <c r="AT9" t="s">
        <v>2829</v>
      </c>
      <c r="AU9" t="s">
        <v>2829</v>
      </c>
      <c r="AV9" t="s">
        <v>2829</v>
      </c>
      <c r="AW9" t="s">
        <v>2829</v>
      </c>
      <c r="AX9" t="s">
        <v>2829</v>
      </c>
      <c r="AY9" t="s">
        <v>2829</v>
      </c>
      <c r="AZ9" t="s">
        <v>2829</v>
      </c>
      <c r="BA9" t="s">
        <v>2829</v>
      </c>
      <c r="BB9" t="s">
        <v>2829</v>
      </c>
      <c r="BC9" t="s">
        <v>2829</v>
      </c>
      <c r="BD9" t="s">
        <v>2923</v>
      </c>
      <c r="BE9" t="s">
        <v>2923</v>
      </c>
      <c r="BF9" t="s">
        <v>243</v>
      </c>
      <c r="BG9" t="s">
        <v>243</v>
      </c>
      <c r="BH9" t="s">
        <v>243</v>
      </c>
      <c r="BI9" t="s">
        <v>243</v>
      </c>
      <c r="BJ9" t="s">
        <v>2829</v>
      </c>
      <c r="BK9" t="s">
        <v>243</v>
      </c>
      <c r="BL9" t="s">
        <v>243</v>
      </c>
      <c r="BM9" t="s">
        <v>243</v>
      </c>
      <c r="BN9" t="s">
        <v>243</v>
      </c>
      <c r="BO9" t="s">
        <v>243</v>
      </c>
      <c r="BP9" t="s">
        <v>2829</v>
      </c>
      <c r="BQ9" t="s">
        <v>243</v>
      </c>
      <c r="BR9" t="s">
        <v>243</v>
      </c>
      <c r="BS9" t="s">
        <v>243</v>
      </c>
      <c r="BT9" t="s">
        <v>243</v>
      </c>
      <c r="BU9" t="s">
        <v>243</v>
      </c>
      <c r="BV9" t="s">
        <v>2829</v>
      </c>
      <c r="BW9" t="s">
        <v>243</v>
      </c>
      <c r="BX9" t="s">
        <v>243</v>
      </c>
      <c r="BY9" t="s">
        <v>243</v>
      </c>
      <c r="BZ9" t="s">
        <v>243</v>
      </c>
      <c r="CA9" t="s">
        <v>243</v>
      </c>
      <c r="CB9" t="s">
        <v>2829</v>
      </c>
      <c r="CC9" t="s">
        <v>243</v>
      </c>
      <c r="CD9" t="s">
        <v>243</v>
      </c>
      <c r="CE9" t="s">
        <v>243</v>
      </c>
      <c r="CF9" t="s">
        <v>243</v>
      </c>
      <c r="CG9" t="s">
        <v>243</v>
      </c>
      <c r="CH9" t="s">
        <v>2829</v>
      </c>
      <c r="CI9" t="s">
        <v>243</v>
      </c>
      <c r="CJ9" t="s">
        <v>243</v>
      </c>
      <c r="CK9" t="s">
        <v>243</v>
      </c>
      <c r="CL9" t="s">
        <v>243</v>
      </c>
      <c r="CM9" t="s">
        <v>243</v>
      </c>
      <c r="CN9" t="s">
        <v>2829</v>
      </c>
      <c r="CO9" t="s">
        <v>2924</v>
      </c>
      <c r="CP9" t="s">
        <v>2844</v>
      </c>
      <c r="CQ9" t="s">
        <v>430</v>
      </c>
      <c r="CR9" t="s">
        <v>2872</v>
      </c>
      <c r="CS9" t="s">
        <v>431</v>
      </c>
      <c r="CT9" t="s">
        <v>430</v>
      </c>
      <c r="CU9" t="s">
        <v>2846</v>
      </c>
      <c r="CV9" t="s">
        <v>2873</v>
      </c>
      <c r="CW9" t="s">
        <v>2872</v>
      </c>
      <c r="CX9" t="s">
        <v>2848</v>
      </c>
      <c r="CY9" t="s">
        <v>2931</v>
      </c>
    </row>
    <row r="10" spans="1:103" ht="11.25" customHeight="1">
      <c r="A10" t="s">
        <v>243</v>
      </c>
      <c r="B10" t="s">
        <v>243</v>
      </c>
      <c r="C10" t="s">
        <v>243</v>
      </c>
      <c r="D10" t="s">
        <v>243</v>
      </c>
      <c r="E10" t="s">
        <v>243</v>
      </c>
      <c r="F10" t="s">
        <v>2816</v>
      </c>
      <c r="G10" t="s">
        <v>243</v>
      </c>
      <c r="H10" t="s">
        <v>243</v>
      </c>
      <c r="I10" t="s">
        <v>2932</v>
      </c>
      <c r="J10" t="s">
        <v>243</v>
      </c>
      <c r="K10" t="s">
        <v>428</v>
      </c>
      <c r="L10" t="s">
        <v>243</v>
      </c>
      <c r="M10" t="s">
        <v>114</v>
      </c>
      <c r="N10" t="s">
        <v>243</v>
      </c>
      <c r="O10" t="s">
        <v>2819</v>
      </c>
      <c r="P10" t="s">
        <v>2820</v>
      </c>
      <c r="Q10" t="s">
        <v>2821</v>
      </c>
      <c r="R10" t="s">
        <v>200</v>
      </c>
      <c r="S10" t="s">
        <v>200</v>
      </c>
      <c r="T10" t="s">
        <v>2933</v>
      </c>
      <c r="U10" t="s">
        <v>2933</v>
      </c>
      <c r="V10" t="s">
        <v>2934</v>
      </c>
      <c r="W10" t="s">
        <v>2935</v>
      </c>
      <c r="X10" t="s">
        <v>2936</v>
      </c>
      <c r="Y10" t="s">
        <v>2937</v>
      </c>
      <c r="Z10" t="s">
        <v>2938</v>
      </c>
      <c r="AA10" t="s">
        <v>2939</v>
      </c>
      <c r="AB10" t="s">
        <v>2940</v>
      </c>
      <c r="AC10" t="s">
        <v>2829</v>
      </c>
      <c r="AD10" t="s">
        <v>2883</v>
      </c>
      <c r="AE10" t="s">
        <v>2831</v>
      </c>
      <c r="AF10" t="s">
        <v>2941</v>
      </c>
      <c r="AG10" t="s">
        <v>2941</v>
      </c>
      <c r="AH10" t="s">
        <v>2834</v>
      </c>
      <c r="AI10" t="s">
        <v>2835</v>
      </c>
      <c r="AJ10" t="s">
        <v>2942</v>
      </c>
      <c r="AK10" t="s">
        <v>2943</v>
      </c>
      <c r="AL10" t="s">
        <v>2939</v>
      </c>
      <c r="AM10" t="s">
        <v>2940</v>
      </c>
      <c r="AN10" t="s">
        <v>243</v>
      </c>
      <c r="AO10" t="s">
        <v>2839</v>
      </c>
      <c r="AP10" t="s">
        <v>2840</v>
      </c>
      <c r="AQ10" t="s">
        <v>2841</v>
      </c>
      <c r="AR10" t="s">
        <v>2944</v>
      </c>
      <c r="AS10" t="s">
        <v>2944</v>
      </c>
      <c r="AT10" t="s">
        <v>2829</v>
      </c>
      <c r="AU10" t="s">
        <v>2829</v>
      </c>
      <c r="AV10" t="s">
        <v>2829</v>
      </c>
      <c r="AW10" t="s">
        <v>2829</v>
      </c>
      <c r="AX10" t="s">
        <v>2829</v>
      </c>
      <c r="AY10" t="s">
        <v>2829</v>
      </c>
      <c r="AZ10" t="s">
        <v>2829</v>
      </c>
      <c r="BA10" t="s">
        <v>2829</v>
      </c>
      <c r="BB10" t="s">
        <v>2829</v>
      </c>
      <c r="BC10" t="s">
        <v>2829</v>
      </c>
      <c r="BD10" t="s">
        <v>2945</v>
      </c>
      <c r="BE10" t="s">
        <v>2945</v>
      </c>
      <c r="BF10" t="s">
        <v>243</v>
      </c>
      <c r="BG10" t="s">
        <v>243</v>
      </c>
      <c r="BH10" t="s">
        <v>243</v>
      </c>
      <c r="BI10" t="s">
        <v>243</v>
      </c>
      <c r="BJ10" t="s">
        <v>2829</v>
      </c>
      <c r="BK10" t="s">
        <v>243</v>
      </c>
      <c r="BL10" t="s">
        <v>243</v>
      </c>
      <c r="BM10" t="s">
        <v>243</v>
      </c>
      <c r="BN10" t="s">
        <v>243</v>
      </c>
      <c r="BO10" t="s">
        <v>243</v>
      </c>
      <c r="BP10" t="s">
        <v>2946</v>
      </c>
      <c r="BQ10" t="s">
        <v>2946</v>
      </c>
      <c r="BR10" t="s">
        <v>243</v>
      </c>
      <c r="BS10" t="s">
        <v>243</v>
      </c>
      <c r="BT10" t="s">
        <v>243</v>
      </c>
      <c r="BU10" t="s">
        <v>243</v>
      </c>
      <c r="BV10" t="s">
        <v>2829</v>
      </c>
      <c r="BW10" t="s">
        <v>243</v>
      </c>
      <c r="BX10" t="s">
        <v>243</v>
      </c>
      <c r="BY10" t="s">
        <v>243</v>
      </c>
      <c r="BZ10" t="s">
        <v>243</v>
      </c>
      <c r="CA10" t="s">
        <v>243</v>
      </c>
      <c r="CB10" t="s">
        <v>2829</v>
      </c>
      <c r="CC10" t="s">
        <v>243</v>
      </c>
      <c r="CD10" t="s">
        <v>243</v>
      </c>
      <c r="CE10" t="s">
        <v>243</v>
      </c>
      <c r="CF10" t="s">
        <v>243</v>
      </c>
      <c r="CG10" t="s">
        <v>243</v>
      </c>
      <c r="CH10" t="s">
        <v>2829</v>
      </c>
      <c r="CI10" t="s">
        <v>243</v>
      </c>
      <c r="CJ10" t="s">
        <v>243</v>
      </c>
      <c r="CK10" t="s">
        <v>243</v>
      </c>
      <c r="CL10" t="s">
        <v>243</v>
      </c>
      <c r="CM10" t="s">
        <v>243</v>
      </c>
      <c r="CN10" t="s">
        <v>2942</v>
      </c>
      <c r="CO10" t="s">
        <v>2843</v>
      </c>
      <c r="CP10" t="s">
        <v>2844</v>
      </c>
      <c r="CQ10" t="s">
        <v>430</v>
      </c>
      <c r="CR10" t="s">
        <v>2947</v>
      </c>
      <c r="CS10" t="s">
        <v>431</v>
      </c>
      <c r="CT10" t="s">
        <v>430</v>
      </c>
      <c r="CU10" t="s">
        <v>2948</v>
      </c>
      <c r="CV10" t="s">
        <v>2949</v>
      </c>
      <c r="CW10" t="s">
        <v>2947</v>
      </c>
      <c r="CX10" t="s">
        <v>2848</v>
      </c>
      <c r="CY10" t="s">
        <v>2950</v>
      </c>
    </row>
    <row r="11" spans="1:103" ht="11.25" customHeight="1">
      <c r="A11" t="s">
        <v>243</v>
      </c>
      <c r="B11" t="s">
        <v>243</v>
      </c>
      <c r="C11" t="s">
        <v>243</v>
      </c>
      <c r="D11" t="s">
        <v>243</v>
      </c>
      <c r="E11" t="s">
        <v>243</v>
      </c>
      <c r="F11" t="s">
        <v>2816</v>
      </c>
      <c r="G11" t="s">
        <v>243</v>
      </c>
      <c r="H11" t="s">
        <v>243</v>
      </c>
      <c r="I11" t="s">
        <v>457</v>
      </c>
      <c r="J11" t="s">
        <v>243</v>
      </c>
      <c r="K11" t="s">
        <v>2951</v>
      </c>
      <c r="L11" t="s">
        <v>243</v>
      </c>
      <c r="M11" t="s">
        <v>114</v>
      </c>
      <c r="N11" t="s">
        <v>243</v>
      </c>
      <c r="O11" t="s">
        <v>2819</v>
      </c>
      <c r="P11" t="s">
        <v>2820</v>
      </c>
      <c r="Q11" t="s">
        <v>2821</v>
      </c>
      <c r="R11" t="s">
        <v>200</v>
      </c>
      <c r="S11" t="s">
        <v>200</v>
      </c>
      <c r="T11" t="s">
        <v>2822</v>
      </c>
      <c r="U11" t="s">
        <v>2822</v>
      </c>
      <c r="V11" t="s">
        <v>2823</v>
      </c>
      <c r="W11" t="s">
        <v>2952</v>
      </c>
      <c r="X11" t="s">
        <v>2953</v>
      </c>
      <c r="Y11" t="s">
        <v>2954</v>
      </c>
      <c r="Z11" t="s">
        <v>2955</v>
      </c>
      <c r="AA11" t="s">
        <v>2956</v>
      </c>
      <c r="AB11" t="s">
        <v>2957</v>
      </c>
      <c r="AC11" t="s">
        <v>2829</v>
      </c>
      <c r="AD11" t="s">
        <v>2830</v>
      </c>
      <c r="AE11" t="s">
        <v>2831</v>
      </c>
      <c r="AF11" t="s">
        <v>2958</v>
      </c>
      <c r="AG11" t="s">
        <v>2959</v>
      </c>
      <c r="AH11" t="s">
        <v>2834</v>
      </c>
      <c r="AI11" t="s">
        <v>2835</v>
      </c>
      <c r="AJ11" t="s">
        <v>2960</v>
      </c>
      <c r="AK11" t="s">
        <v>2961</v>
      </c>
      <c r="AL11" t="s">
        <v>2956</v>
      </c>
      <c r="AM11" t="s">
        <v>2962</v>
      </c>
      <c r="AN11" t="s">
        <v>2829</v>
      </c>
      <c r="AO11" t="s">
        <v>2839</v>
      </c>
      <c r="AP11" t="s">
        <v>2840</v>
      </c>
      <c r="AQ11" t="s">
        <v>2841</v>
      </c>
      <c r="AR11" t="s">
        <v>2963</v>
      </c>
      <c r="AS11" t="s">
        <v>2964</v>
      </c>
      <c r="AT11" t="s">
        <v>2842</v>
      </c>
      <c r="AU11" t="s">
        <v>2829</v>
      </c>
      <c r="AV11" t="s">
        <v>2829</v>
      </c>
      <c r="AW11" t="s">
        <v>2829</v>
      </c>
      <c r="AX11" t="s">
        <v>2829</v>
      </c>
      <c r="AY11" t="s">
        <v>2829</v>
      </c>
      <c r="AZ11" t="s">
        <v>2829</v>
      </c>
      <c r="BA11" t="s">
        <v>2829</v>
      </c>
      <c r="BB11" t="s">
        <v>2829</v>
      </c>
      <c r="BC11" t="s">
        <v>2829</v>
      </c>
      <c r="BD11" t="s">
        <v>2965</v>
      </c>
      <c r="BE11" t="s">
        <v>2966</v>
      </c>
      <c r="BF11" t="s">
        <v>2842</v>
      </c>
      <c r="BG11" t="s">
        <v>243</v>
      </c>
      <c r="BH11" t="s">
        <v>243</v>
      </c>
      <c r="BI11" t="s">
        <v>243</v>
      </c>
      <c r="BJ11" t="s">
        <v>2829</v>
      </c>
      <c r="BK11" t="s">
        <v>243</v>
      </c>
      <c r="BL11" t="s">
        <v>243</v>
      </c>
      <c r="BM11" t="s">
        <v>243</v>
      </c>
      <c r="BN11" t="s">
        <v>243</v>
      </c>
      <c r="BO11" t="s">
        <v>243</v>
      </c>
      <c r="BP11" t="s">
        <v>2966</v>
      </c>
      <c r="BQ11" t="s">
        <v>2966</v>
      </c>
      <c r="BR11" t="s">
        <v>243</v>
      </c>
      <c r="BS11" t="s">
        <v>243</v>
      </c>
      <c r="BT11" t="s">
        <v>243</v>
      </c>
      <c r="BU11" t="s">
        <v>243</v>
      </c>
      <c r="BV11" t="s">
        <v>2829</v>
      </c>
      <c r="BW11" t="s">
        <v>243</v>
      </c>
      <c r="BX11" t="s">
        <v>243</v>
      </c>
      <c r="BY11" t="s">
        <v>243</v>
      </c>
      <c r="BZ11" t="s">
        <v>243</v>
      </c>
      <c r="CA11" t="s">
        <v>243</v>
      </c>
      <c r="CB11" t="s">
        <v>2829</v>
      </c>
      <c r="CC11" t="s">
        <v>243</v>
      </c>
      <c r="CD11" t="s">
        <v>243</v>
      </c>
      <c r="CE11" t="s">
        <v>243</v>
      </c>
      <c r="CF11" t="s">
        <v>243</v>
      </c>
      <c r="CG11" t="s">
        <v>243</v>
      </c>
      <c r="CH11" t="s">
        <v>2829</v>
      </c>
      <c r="CI11" t="s">
        <v>243</v>
      </c>
      <c r="CJ11" t="s">
        <v>243</v>
      </c>
      <c r="CK11" t="s">
        <v>243</v>
      </c>
      <c r="CL11" t="s">
        <v>243</v>
      </c>
      <c r="CM11" t="s">
        <v>243</v>
      </c>
      <c r="CN11" t="s">
        <v>2960</v>
      </c>
      <c r="CO11" t="s">
        <v>2843</v>
      </c>
      <c r="CP11" t="s">
        <v>2844</v>
      </c>
      <c r="CQ11" t="s">
        <v>430</v>
      </c>
      <c r="CR11" t="s">
        <v>2845</v>
      </c>
      <c r="CS11" t="s">
        <v>431</v>
      </c>
      <c r="CT11" t="s">
        <v>430</v>
      </c>
      <c r="CU11" t="s">
        <v>2846</v>
      </c>
      <c r="CV11" t="s">
        <v>2847</v>
      </c>
      <c r="CW11" t="s">
        <v>2845</v>
      </c>
      <c r="CX11" t="s">
        <v>2848</v>
      </c>
      <c r="CY11" t="s">
        <v>2967</v>
      </c>
    </row>
    <row r="12" spans="1:103" ht="11.25" customHeight="1">
      <c r="A12" t="s">
        <v>243</v>
      </c>
      <c r="B12" t="s">
        <v>243</v>
      </c>
      <c r="C12" t="s">
        <v>243</v>
      </c>
      <c r="D12" t="s">
        <v>243</v>
      </c>
      <c r="E12" t="s">
        <v>243</v>
      </c>
      <c r="F12" t="s">
        <v>2816</v>
      </c>
      <c r="G12" t="s">
        <v>243</v>
      </c>
      <c r="H12" t="s">
        <v>243</v>
      </c>
      <c r="I12" t="s">
        <v>252</v>
      </c>
      <c r="J12" t="s">
        <v>243</v>
      </c>
      <c r="K12" t="s">
        <v>458</v>
      </c>
      <c r="L12" t="s">
        <v>243</v>
      </c>
      <c r="M12" t="s">
        <v>114</v>
      </c>
      <c r="N12" t="s">
        <v>243</v>
      </c>
      <c r="O12" t="s">
        <v>2819</v>
      </c>
      <c r="P12" t="s">
        <v>2820</v>
      </c>
      <c r="Q12" t="s">
        <v>2821</v>
      </c>
      <c r="R12" t="s">
        <v>200</v>
      </c>
      <c r="S12" t="s">
        <v>200</v>
      </c>
      <c r="T12" t="s">
        <v>2968</v>
      </c>
      <c r="U12" t="s">
        <v>2968</v>
      </c>
      <c r="V12" t="s">
        <v>2969</v>
      </c>
      <c r="W12" t="s">
        <v>2970</v>
      </c>
      <c r="X12" t="s">
        <v>2971</v>
      </c>
      <c r="Y12" t="s">
        <v>2929</v>
      </c>
      <c r="Z12" t="s">
        <v>2972</v>
      </c>
      <c r="AA12" t="s">
        <v>2973</v>
      </c>
      <c r="AB12" t="s">
        <v>2974</v>
      </c>
      <c r="AC12" t="s">
        <v>2829</v>
      </c>
      <c r="AD12" t="s">
        <v>2883</v>
      </c>
      <c r="AE12" t="s">
        <v>2975</v>
      </c>
      <c r="AF12" t="s">
        <v>2976</v>
      </c>
      <c r="AG12" t="s">
        <v>2976</v>
      </c>
      <c r="AH12" t="s">
        <v>2834</v>
      </c>
      <c r="AI12" t="s">
        <v>2835</v>
      </c>
      <c r="AJ12" t="s">
        <v>2977</v>
      </c>
      <c r="AK12" t="s">
        <v>2978</v>
      </c>
      <c r="AL12" t="s">
        <v>2973</v>
      </c>
      <c r="AM12" t="s">
        <v>2979</v>
      </c>
      <c r="AN12" t="s">
        <v>2829</v>
      </c>
      <c r="AO12" t="s">
        <v>2839</v>
      </c>
      <c r="AP12" t="s">
        <v>2840</v>
      </c>
      <c r="AQ12" t="s">
        <v>2841</v>
      </c>
      <c r="AR12" t="s">
        <v>2980</v>
      </c>
      <c r="AS12" t="s">
        <v>2980</v>
      </c>
      <c r="AT12" t="s">
        <v>2829</v>
      </c>
      <c r="AU12" t="s">
        <v>2829</v>
      </c>
      <c r="AV12" t="s">
        <v>2829</v>
      </c>
      <c r="AW12" t="s">
        <v>2829</v>
      </c>
      <c r="AX12" t="s">
        <v>2829</v>
      </c>
      <c r="AY12" t="s">
        <v>2829</v>
      </c>
      <c r="AZ12" t="s">
        <v>2829</v>
      </c>
      <c r="BA12" t="s">
        <v>2829</v>
      </c>
      <c r="BB12" t="s">
        <v>2829</v>
      </c>
      <c r="BC12" t="s">
        <v>2829</v>
      </c>
      <c r="BD12" t="s">
        <v>2981</v>
      </c>
      <c r="BE12" t="s">
        <v>2981</v>
      </c>
      <c r="BF12" t="s">
        <v>243</v>
      </c>
      <c r="BG12" t="s">
        <v>243</v>
      </c>
      <c r="BH12" t="s">
        <v>243</v>
      </c>
      <c r="BI12" t="s">
        <v>243</v>
      </c>
      <c r="BJ12" t="s">
        <v>2829</v>
      </c>
      <c r="BK12" t="s">
        <v>243</v>
      </c>
      <c r="BL12" t="s">
        <v>243</v>
      </c>
      <c r="BM12" t="s">
        <v>243</v>
      </c>
      <c r="BN12" t="s">
        <v>243</v>
      </c>
      <c r="BO12" t="s">
        <v>243</v>
      </c>
      <c r="BP12" t="s">
        <v>2982</v>
      </c>
      <c r="BQ12" t="s">
        <v>2982</v>
      </c>
      <c r="BR12" t="s">
        <v>243</v>
      </c>
      <c r="BS12" t="s">
        <v>243</v>
      </c>
      <c r="BT12" t="s">
        <v>243</v>
      </c>
      <c r="BU12" t="s">
        <v>243</v>
      </c>
      <c r="BV12" t="s">
        <v>2829</v>
      </c>
      <c r="BW12" t="s">
        <v>243</v>
      </c>
      <c r="BX12" t="s">
        <v>243</v>
      </c>
      <c r="BY12" t="s">
        <v>243</v>
      </c>
      <c r="BZ12" t="s">
        <v>243</v>
      </c>
      <c r="CA12" t="s">
        <v>243</v>
      </c>
      <c r="CB12" t="s">
        <v>2829</v>
      </c>
      <c r="CC12" t="s">
        <v>243</v>
      </c>
      <c r="CD12" t="s">
        <v>243</v>
      </c>
      <c r="CE12" t="s">
        <v>243</v>
      </c>
      <c r="CF12" t="s">
        <v>243</v>
      </c>
      <c r="CG12" t="s">
        <v>243</v>
      </c>
      <c r="CH12" t="s">
        <v>2829</v>
      </c>
      <c r="CI12" t="s">
        <v>243</v>
      </c>
      <c r="CJ12" t="s">
        <v>243</v>
      </c>
      <c r="CK12" t="s">
        <v>243</v>
      </c>
      <c r="CL12" t="s">
        <v>243</v>
      </c>
      <c r="CM12" t="s">
        <v>243</v>
      </c>
      <c r="CN12" t="s">
        <v>2983</v>
      </c>
      <c r="CO12" t="s">
        <v>2843</v>
      </c>
      <c r="CP12" t="s">
        <v>2844</v>
      </c>
      <c r="CQ12" t="s">
        <v>430</v>
      </c>
      <c r="CR12" t="s">
        <v>2984</v>
      </c>
      <c r="CS12" t="s">
        <v>431</v>
      </c>
      <c r="CT12" t="s">
        <v>430</v>
      </c>
      <c r="CU12" t="s">
        <v>2985</v>
      </c>
      <c r="CV12" t="s">
        <v>2986</v>
      </c>
      <c r="CW12" t="s">
        <v>2984</v>
      </c>
      <c r="CX12" t="s">
        <v>2848</v>
      </c>
      <c r="CY12" t="s">
        <v>2987</v>
      </c>
    </row>
    <row r="13" spans="1:103" ht="11.25" customHeight="1">
      <c r="A13" t="s">
        <v>243</v>
      </c>
      <c r="B13" t="s">
        <v>243</v>
      </c>
      <c r="C13" t="s">
        <v>243</v>
      </c>
      <c r="D13" t="s">
        <v>243</v>
      </c>
      <c r="E13" t="s">
        <v>243</v>
      </c>
      <c r="F13" t="s">
        <v>2816</v>
      </c>
      <c r="G13" t="s">
        <v>243</v>
      </c>
      <c r="H13" t="s">
        <v>243</v>
      </c>
      <c r="I13" t="s">
        <v>2988</v>
      </c>
      <c r="J13" t="s">
        <v>243</v>
      </c>
      <c r="K13" t="s">
        <v>2989</v>
      </c>
      <c r="L13" t="s">
        <v>243</v>
      </c>
      <c r="M13" t="s">
        <v>114</v>
      </c>
      <c r="N13" t="s">
        <v>243</v>
      </c>
      <c r="O13" t="s">
        <v>2819</v>
      </c>
      <c r="P13" t="s">
        <v>2820</v>
      </c>
      <c r="Q13" t="s">
        <v>2821</v>
      </c>
      <c r="R13" t="s">
        <v>200</v>
      </c>
      <c r="S13" t="s">
        <v>200</v>
      </c>
      <c r="T13" t="s">
        <v>2968</v>
      </c>
      <c r="U13" t="s">
        <v>2968</v>
      </c>
      <c r="V13" t="s">
        <v>2969</v>
      </c>
      <c r="W13" t="s">
        <v>2990</v>
      </c>
      <c r="X13" t="s">
        <v>2991</v>
      </c>
      <c r="Y13" t="s">
        <v>2992</v>
      </c>
      <c r="Z13" t="s">
        <v>2993</v>
      </c>
      <c r="AA13" t="s">
        <v>2994</v>
      </c>
      <c r="AB13" t="s">
        <v>2995</v>
      </c>
      <c r="AC13" t="s">
        <v>2829</v>
      </c>
      <c r="AD13" t="s">
        <v>2883</v>
      </c>
      <c r="AE13" t="s">
        <v>2857</v>
      </c>
      <c r="AF13" t="s">
        <v>2996</v>
      </c>
      <c r="AG13" t="s">
        <v>2996</v>
      </c>
      <c r="AH13" t="s">
        <v>2834</v>
      </c>
      <c r="AI13" t="s">
        <v>2835</v>
      </c>
      <c r="AJ13" t="s">
        <v>2997</v>
      </c>
      <c r="AK13" t="s">
        <v>2998</v>
      </c>
      <c r="AL13" t="s">
        <v>2994</v>
      </c>
      <c r="AM13" t="s">
        <v>2995</v>
      </c>
      <c r="AN13" t="s">
        <v>2829</v>
      </c>
      <c r="AO13" t="s">
        <v>2839</v>
      </c>
      <c r="AP13" t="s">
        <v>2840</v>
      </c>
      <c r="AQ13" t="s">
        <v>2841</v>
      </c>
      <c r="AR13" t="s">
        <v>2999</v>
      </c>
      <c r="AS13" t="s">
        <v>2999</v>
      </c>
      <c r="AT13" t="s">
        <v>2829</v>
      </c>
      <c r="AU13" t="s">
        <v>2829</v>
      </c>
      <c r="AV13" t="s">
        <v>2829</v>
      </c>
      <c r="AW13" t="s">
        <v>2829</v>
      </c>
      <c r="AX13" t="s">
        <v>2829</v>
      </c>
      <c r="AY13" t="s">
        <v>2829</v>
      </c>
      <c r="AZ13" t="s">
        <v>2829</v>
      </c>
      <c r="BA13" t="s">
        <v>2829</v>
      </c>
      <c r="BB13" t="s">
        <v>2829</v>
      </c>
      <c r="BC13" t="s">
        <v>2829</v>
      </c>
      <c r="BD13" t="s">
        <v>2829</v>
      </c>
      <c r="BE13" t="s">
        <v>243</v>
      </c>
      <c r="BF13" t="s">
        <v>243</v>
      </c>
      <c r="BG13" t="s">
        <v>243</v>
      </c>
      <c r="BH13" t="s">
        <v>243</v>
      </c>
      <c r="BI13" t="s">
        <v>243</v>
      </c>
      <c r="BJ13" t="s">
        <v>2829</v>
      </c>
      <c r="BK13" t="s">
        <v>243</v>
      </c>
      <c r="BL13" t="s">
        <v>243</v>
      </c>
      <c r="BM13" t="s">
        <v>243</v>
      </c>
      <c r="BN13" t="s">
        <v>243</v>
      </c>
      <c r="BO13" t="s">
        <v>243</v>
      </c>
      <c r="BP13" t="s">
        <v>2999</v>
      </c>
      <c r="BQ13" t="s">
        <v>2999</v>
      </c>
      <c r="BR13" t="s">
        <v>243</v>
      </c>
      <c r="BS13" t="s">
        <v>243</v>
      </c>
      <c r="BT13" t="s">
        <v>243</v>
      </c>
      <c r="BU13" t="s">
        <v>243</v>
      </c>
      <c r="BV13" t="s">
        <v>2829</v>
      </c>
      <c r="BW13" t="s">
        <v>243</v>
      </c>
      <c r="BX13" t="s">
        <v>243</v>
      </c>
      <c r="BY13" t="s">
        <v>243</v>
      </c>
      <c r="BZ13" t="s">
        <v>243</v>
      </c>
      <c r="CA13" t="s">
        <v>243</v>
      </c>
      <c r="CB13" t="s">
        <v>2829</v>
      </c>
      <c r="CC13" t="s">
        <v>243</v>
      </c>
      <c r="CD13" t="s">
        <v>243</v>
      </c>
      <c r="CE13" t="s">
        <v>243</v>
      </c>
      <c r="CF13" t="s">
        <v>243</v>
      </c>
      <c r="CG13" t="s">
        <v>243</v>
      </c>
      <c r="CH13" t="s">
        <v>2829</v>
      </c>
      <c r="CI13" t="s">
        <v>243</v>
      </c>
      <c r="CJ13" t="s">
        <v>243</v>
      </c>
      <c r="CK13" t="s">
        <v>243</v>
      </c>
      <c r="CL13" t="s">
        <v>243</v>
      </c>
      <c r="CM13" t="s">
        <v>243</v>
      </c>
      <c r="CN13" t="s">
        <v>2997</v>
      </c>
      <c r="CO13" t="s">
        <v>2843</v>
      </c>
      <c r="CP13" t="s">
        <v>2844</v>
      </c>
      <c r="CQ13" t="s">
        <v>430</v>
      </c>
      <c r="CR13" t="s">
        <v>2984</v>
      </c>
      <c r="CS13" t="s">
        <v>431</v>
      </c>
      <c r="CT13" t="s">
        <v>430</v>
      </c>
      <c r="CU13" t="s">
        <v>2985</v>
      </c>
      <c r="CV13" t="s">
        <v>2986</v>
      </c>
      <c r="CW13" t="s">
        <v>2984</v>
      </c>
      <c r="CX13" t="s">
        <v>2848</v>
      </c>
      <c r="CY13" t="s">
        <v>3000</v>
      </c>
    </row>
    <row r="14" spans="1:103" ht="11.25" customHeight="1">
      <c r="A14" t="s">
        <v>243</v>
      </c>
      <c r="B14" t="s">
        <v>243</v>
      </c>
      <c r="C14" t="s">
        <v>243</v>
      </c>
      <c r="D14" t="s">
        <v>243</v>
      </c>
      <c r="E14" t="s">
        <v>243</v>
      </c>
      <c r="F14" t="s">
        <v>2816</v>
      </c>
      <c r="G14" t="s">
        <v>243</v>
      </c>
      <c r="H14" t="s">
        <v>243</v>
      </c>
      <c r="I14" t="s">
        <v>3001</v>
      </c>
      <c r="J14" t="s">
        <v>243</v>
      </c>
      <c r="K14" t="s">
        <v>3002</v>
      </c>
      <c r="L14" t="s">
        <v>243</v>
      </c>
      <c r="M14" t="s">
        <v>114</v>
      </c>
      <c r="N14" t="s">
        <v>243</v>
      </c>
      <c r="O14" t="s">
        <v>2819</v>
      </c>
      <c r="P14" t="s">
        <v>2820</v>
      </c>
      <c r="Q14" t="s">
        <v>2821</v>
      </c>
      <c r="R14" t="s">
        <v>200</v>
      </c>
      <c r="S14" t="s">
        <v>200</v>
      </c>
      <c r="T14" t="s">
        <v>2968</v>
      </c>
      <c r="U14" t="s">
        <v>2968</v>
      </c>
      <c r="V14" t="s">
        <v>2969</v>
      </c>
      <c r="W14" t="s">
        <v>3003</v>
      </c>
      <c r="X14" t="s">
        <v>3004</v>
      </c>
      <c r="Y14" t="s">
        <v>2918</v>
      </c>
      <c r="Z14" t="s">
        <v>2972</v>
      </c>
      <c r="AA14" t="s">
        <v>3005</v>
      </c>
      <c r="AB14" t="s">
        <v>3006</v>
      </c>
      <c r="AC14" t="s">
        <v>2829</v>
      </c>
      <c r="AD14" t="s">
        <v>2883</v>
      </c>
      <c r="AE14" t="s">
        <v>2975</v>
      </c>
      <c r="AF14" t="s">
        <v>3007</v>
      </c>
      <c r="AG14" t="s">
        <v>3007</v>
      </c>
      <c r="AH14" t="s">
        <v>2834</v>
      </c>
      <c r="AI14" t="s">
        <v>2835</v>
      </c>
      <c r="AJ14" t="s">
        <v>3008</v>
      </c>
      <c r="AK14" t="s">
        <v>3009</v>
      </c>
      <c r="AL14" t="s">
        <v>3005</v>
      </c>
      <c r="AM14" t="s">
        <v>3006</v>
      </c>
      <c r="AN14" t="s">
        <v>2829</v>
      </c>
      <c r="AO14" t="s">
        <v>2839</v>
      </c>
      <c r="AP14" t="s">
        <v>2840</v>
      </c>
      <c r="AQ14" t="s">
        <v>2841</v>
      </c>
      <c r="AR14" t="s">
        <v>2842</v>
      </c>
      <c r="AS14" t="s">
        <v>2842</v>
      </c>
      <c r="AT14" t="s">
        <v>2829</v>
      </c>
      <c r="AU14" t="s">
        <v>2829</v>
      </c>
      <c r="AV14" t="s">
        <v>2829</v>
      </c>
      <c r="AW14" t="s">
        <v>2829</v>
      </c>
      <c r="AX14" t="s">
        <v>2829</v>
      </c>
      <c r="AY14" t="s">
        <v>2829</v>
      </c>
      <c r="AZ14" t="s">
        <v>2829</v>
      </c>
      <c r="BA14" t="s">
        <v>2829</v>
      </c>
      <c r="BB14" t="s">
        <v>2829</v>
      </c>
      <c r="BC14" t="s">
        <v>2829</v>
      </c>
      <c r="BD14" t="s">
        <v>2829</v>
      </c>
      <c r="BE14" t="s">
        <v>243</v>
      </c>
      <c r="BF14" t="s">
        <v>243</v>
      </c>
      <c r="BG14" t="s">
        <v>243</v>
      </c>
      <c r="BH14" t="s">
        <v>243</v>
      </c>
      <c r="BI14" t="s">
        <v>243</v>
      </c>
      <c r="BJ14" t="s">
        <v>2829</v>
      </c>
      <c r="BK14" t="s">
        <v>243</v>
      </c>
      <c r="BL14" t="s">
        <v>243</v>
      </c>
      <c r="BM14" t="s">
        <v>243</v>
      </c>
      <c r="BN14" t="s">
        <v>243</v>
      </c>
      <c r="BO14" t="s">
        <v>243</v>
      </c>
      <c r="BP14" t="s">
        <v>2842</v>
      </c>
      <c r="BQ14" t="s">
        <v>2842</v>
      </c>
      <c r="BR14" t="s">
        <v>243</v>
      </c>
      <c r="BS14" t="s">
        <v>243</v>
      </c>
      <c r="BT14" t="s">
        <v>243</v>
      </c>
      <c r="BU14" t="s">
        <v>243</v>
      </c>
      <c r="BV14" t="s">
        <v>2829</v>
      </c>
      <c r="BW14" t="s">
        <v>243</v>
      </c>
      <c r="BX14" t="s">
        <v>243</v>
      </c>
      <c r="BY14" t="s">
        <v>243</v>
      </c>
      <c r="BZ14" t="s">
        <v>243</v>
      </c>
      <c r="CA14" t="s">
        <v>243</v>
      </c>
      <c r="CB14" t="s">
        <v>2829</v>
      </c>
      <c r="CC14" t="s">
        <v>243</v>
      </c>
      <c r="CD14" t="s">
        <v>243</v>
      </c>
      <c r="CE14" t="s">
        <v>243</v>
      </c>
      <c r="CF14" t="s">
        <v>243</v>
      </c>
      <c r="CG14" t="s">
        <v>243</v>
      </c>
      <c r="CH14" t="s">
        <v>2829</v>
      </c>
      <c r="CI14" t="s">
        <v>243</v>
      </c>
      <c r="CJ14" t="s">
        <v>243</v>
      </c>
      <c r="CK14" t="s">
        <v>243</v>
      </c>
      <c r="CL14" t="s">
        <v>243</v>
      </c>
      <c r="CM14" t="s">
        <v>243</v>
      </c>
      <c r="CN14" t="s">
        <v>3010</v>
      </c>
      <c r="CO14" t="s">
        <v>2843</v>
      </c>
      <c r="CP14" t="s">
        <v>2844</v>
      </c>
      <c r="CQ14" t="s">
        <v>430</v>
      </c>
      <c r="CR14" t="s">
        <v>2984</v>
      </c>
      <c r="CS14" t="s">
        <v>431</v>
      </c>
      <c r="CT14" t="s">
        <v>430</v>
      </c>
      <c r="CU14" t="s">
        <v>2985</v>
      </c>
      <c r="CV14" t="s">
        <v>2986</v>
      </c>
      <c r="CW14" t="s">
        <v>2984</v>
      </c>
      <c r="CX14" t="s">
        <v>2848</v>
      </c>
      <c r="CY14" t="s">
        <v>3011</v>
      </c>
    </row>
    <row r="15" spans="1:103" ht="11.25" customHeight="1">
      <c r="A15" t="s">
        <v>243</v>
      </c>
      <c r="B15" t="s">
        <v>243</v>
      </c>
      <c r="C15" t="s">
        <v>243</v>
      </c>
      <c r="D15" t="s">
        <v>243</v>
      </c>
      <c r="E15" t="s">
        <v>243</v>
      </c>
      <c r="F15" t="s">
        <v>2816</v>
      </c>
      <c r="G15" t="s">
        <v>243</v>
      </c>
      <c r="H15" t="s">
        <v>243</v>
      </c>
      <c r="I15" t="s">
        <v>3012</v>
      </c>
      <c r="J15" t="s">
        <v>243</v>
      </c>
      <c r="K15" t="s">
        <v>3013</v>
      </c>
      <c r="L15" t="s">
        <v>243</v>
      </c>
      <c r="M15" t="s">
        <v>114</v>
      </c>
      <c r="N15" t="s">
        <v>243</v>
      </c>
      <c r="O15" t="s">
        <v>2819</v>
      </c>
      <c r="P15" t="s">
        <v>2820</v>
      </c>
      <c r="Q15" t="s">
        <v>2821</v>
      </c>
      <c r="R15" t="s">
        <v>200</v>
      </c>
      <c r="S15" t="s">
        <v>200</v>
      </c>
      <c r="T15" t="s">
        <v>2968</v>
      </c>
      <c r="U15" t="s">
        <v>2968</v>
      </c>
      <c r="V15" t="s">
        <v>2969</v>
      </c>
      <c r="W15" t="s">
        <v>3003</v>
      </c>
      <c r="X15" t="s">
        <v>3004</v>
      </c>
      <c r="Y15" t="s">
        <v>3014</v>
      </c>
      <c r="Z15" t="s">
        <v>3015</v>
      </c>
      <c r="AA15" t="s">
        <v>3005</v>
      </c>
      <c r="AB15" t="s">
        <v>3016</v>
      </c>
      <c r="AC15" t="s">
        <v>2829</v>
      </c>
      <c r="AD15" t="s">
        <v>2883</v>
      </c>
      <c r="AE15" t="s">
        <v>2975</v>
      </c>
      <c r="AF15" t="s">
        <v>3017</v>
      </c>
      <c r="AG15" t="s">
        <v>3017</v>
      </c>
      <c r="AH15" t="s">
        <v>2834</v>
      </c>
      <c r="AI15" t="s">
        <v>2835</v>
      </c>
      <c r="AJ15" t="s">
        <v>3008</v>
      </c>
      <c r="AK15" t="s">
        <v>3018</v>
      </c>
      <c r="AL15" t="s">
        <v>3005</v>
      </c>
      <c r="AM15" t="s">
        <v>3016</v>
      </c>
      <c r="AN15" t="s">
        <v>2829</v>
      </c>
      <c r="AO15" t="s">
        <v>2839</v>
      </c>
      <c r="AP15" t="s">
        <v>2840</v>
      </c>
      <c r="AQ15" t="s">
        <v>2841</v>
      </c>
      <c r="AR15" t="s">
        <v>2842</v>
      </c>
      <c r="AS15" t="s">
        <v>2842</v>
      </c>
      <c r="AT15" t="s">
        <v>2829</v>
      </c>
      <c r="AU15" t="s">
        <v>2829</v>
      </c>
      <c r="AV15" t="s">
        <v>2829</v>
      </c>
      <c r="AW15" t="s">
        <v>2829</v>
      </c>
      <c r="AX15" t="s">
        <v>2829</v>
      </c>
      <c r="AY15" t="s">
        <v>2829</v>
      </c>
      <c r="AZ15" t="s">
        <v>2829</v>
      </c>
      <c r="BA15" t="s">
        <v>2829</v>
      </c>
      <c r="BB15" t="s">
        <v>2829</v>
      </c>
      <c r="BC15" t="s">
        <v>2829</v>
      </c>
      <c r="BD15" t="s">
        <v>2829</v>
      </c>
      <c r="BE15" t="s">
        <v>243</v>
      </c>
      <c r="BF15" t="s">
        <v>243</v>
      </c>
      <c r="BG15" t="s">
        <v>243</v>
      </c>
      <c r="BH15" t="s">
        <v>243</v>
      </c>
      <c r="BI15" t="s">
        <v>243</v>
      </c>
      <c r="BJ15" t="s">
        <v>2829</v>
      </c>
      <c r="BK15" t="s">
        <v>243</v>
      </c>
      <c r="BL15" t="s">
        <v>243</v>
      </c>
      <c r="BM15" t="s">
        <v>243</v>
      </c>
      <c r="BN15" t="s">
        <v>243</v>
      </c>
      <c r="BO15" t="s">
        <v>243</v>
      </c>
      <c r="BP15" t="s">
        <v>2842</v>
      </c>
      <c r="BQ15" t="s">
        <v>2842</v>
      </c>
      <c r="BR15" t="s">
        <v>243</v>
      </c>
      <c r="BS15" t="s">
        <v>243</v>
      </c>
      <c r="BT15" t="s">
        <v>243</v>
      </c>
      <c r="BU15" t="s">
        <v>243</v>
      </c>
      <c r="BV15" t="s">
        <v>2829</v>
      </c>
      <c r="BW15" t="s">
        <v>243</v>
      </c>
      <c r="BX15" t="s">
        <v>243</v>
      </c>
      <c r="BY15" t="s">
        <v>243</v>
      </c>
      <c r="BZ15" t="s">
        <v>243</v>
      </c>
      <c r="CA15" t="s">
        <v>243</v>
      </c>
      <c r="CB15" t="s">
        <v>2829</v>
      </c>
      <c r="CC15" t="s">
        <v>243</v>
      </c>
      <c r="CD15" t="s">
        <v>243</v>
      </c>
      <c r="CE15" t="s">
        <v>243</v>
      </c>
      <c r="CF15" t="s">
        <v>243</v>
      </c>
      <c r="CG15" t="s">
        <v>243</v>
      </c>
      <c r="CH15" t="s">
        <v>2829</v>
      </c>
      <c r="CI15" t="s">
        <v>243</v>
      </c>
      <c r="CJ15" t="s">
        <v>243</v>
      </c>
      <c r="CK15" t="s">
        <v>243</v>
      </c>
      <c r="CL15" t="s">
        <v>243</v>
      </c>
      <c r="CM15" t="s">
        <v>243</v>
      </c>
      <c r="CN15" t="s">
        <v>3010</v>
      </c>
      <c r="CO15" t="s">
        <v>2843</v>
      </c>
      <c r="CP15" t="s">
        <v>2844</v>
      </c>
      <c r="CQ15" t="s">
        <v>430</v>
      </c>
      <c r="CR15" t="s">
        <v>2984</v>
      </c>
      <c r="CS15" t="s">
        <v>431</v>
      </c>
      <c r="CT15" t="s">
        <v>430</v>
      </c>
      <c r="CU15" t="s">
        <v>2985</v>
      </c>
      <c r="CV15" t="s">
        <v>2986</v>
      </c>
      <c r="CW15" t="s">
        <v>2984</v>
      </c>
      <c r="CX15" t="s">
        <v>2848</v>
      </c>
      <c r="CY15" t="s">
        <v>3019</v>
      </c>
    </row>
    <row r="16" spans="1:103" ht="11.25" customHeight="1">
      <c r="A16" t="s">
        <v>243</v>
      </c>
      <c r="B16" t="s">
        <v>243</v>
      </c>
      <c r="C16" t="s">
        <v>243</v>
      </c>
      <c r="D16" t="s">
        <v>243</v>
      </c>
      <c r="E16" t="s">
        <v>243</v>
      </c>
      <c r="F16" t="s">
        <v>2816</v>
      </c>
      <c r="G16" t="s">
        <v>243</v>
      </c>
      <c r="H16" t="s">
        <v>243</v>
      </c>
      <c r="I16" t="s">
        <v>3020</v>
      </c>
      <c r="J16" t="s">
        <v>243</v>
      </c>
      <c r="K16" t="s">
        <v>3021</v>
      </c>
      <c r="L16" t="s">
        <v>243</v>
      </c>
      <c r="M16" t="s">
        <v>114</v>
      </c>
      <c r="N16" t="s">
        <v>243</v>
      </c>
      <c r="O16" t="s">
        <v>2819</v>
      </c>
      <c r="P16" t="s">
        <v>2820</v>
      </c>
      <c r="Q16" t="s">
        <v>2821</v>
      </c>
      <c r="R16" t="s">
        <v>200</v>
      </c>
      <c r="S16" t="s">
        <v>200</v>
      </c>
      <c r="T16" t="s">
        <v>3022</v>
      </c>
      <c r="U16" t="s">
        <v>3022</v>
      </c>
      <c r="V16" t="s">
        <v>3023</v>
      </c>
      <c r="W16" t="s">
        <v>3024</v>
      </c>
      <c r="X16" t="s">
        <v>3025</v>
      </c>
      <c r="Y16" t="s">
        <v>3026</v>
      </c>
      <c r="Z16" t="s">
        <v>2972</v>
      </c>
      <c r="AA16" t="s">
        <v>3027</v>
      </c>
      <c r="AB16" t="s">
        <v>3028</v>
      </c>
      <c r="AC16" t="s">
        <v>2829</v>
      </c>
      <c r="AD16" t="s">
        <v>2883</v>
      </c>
      <c r="AE16" t="s">
        <v>2831</v>
      </c>
      <c r="AF16" t="s">
        <v>3029</v>
      </c>
      <c r="AG16" t="s">
        <v>3029</v>
      </c>
      <c r="AH16" t="s">
        <v>2834</v>
      </c>
      <c r="AI16" t="s">
        <v>2835</v>
      </c>
      <c r="AJ16" t="s">
        <v>3030</v>
      </c>
      <c r="AK16" t="s">
        <v>3031</v>
      </c>
      <c r="AL16" t="s">
        <v>3027</v>
      </c>
      <c r="AM16" t="s">
        <v>3028</v>
      </c>
      <c r="AN16" t="s">
        <v>2829</v>
      </c>
      <c r="AO16" t="s">
        <v>2839</v>
      </c>
      <c r="AP16" t="s">
        <v>2840</v>
      </c>
      <c r="AQ16" t="s">
        <v>2841</v>
      </c>
      <c r="AR16" t="s">
        <v>3032</v>
      </c>
      <c r="AS16" t="s">
        <v>3032</v>
      </c>
      <c r="AT16" t="s">
        <v>2829</v>
      </c>
      <c r="AU16" t="s">
        <v>2829</v>
      </c>
      <c r="AV16" t="s">
        <v>2829</v>
      </c>
      <c r="AW16" t="s">
        <v>2829</v>
      </c>
      <c r="AX16" t="s">
        <v>2829</v>
      </c>
      <c r="AY16" t="s">
        <v>2829</v>
      </c>
      <c r="AZ16" t="s">
        <v>2829</v>
      </c>
      <c r="BA16" t="s">
        <v>2829</v>
      </c>
      <c r="BB16" t="s">
        <v>2829</v>
      </c>
      <c r="BC16" t="s">
        <v>2829</v>
      </c>
      <c r="BD16" t="s">
        <v>2829</v>
      </c>
      <c r="BE16" t="s">
        <v>243</v>
      </c>
      <c r="BF16" t="s">
        <v>243</v>
      </c>
      <c r="BG16" t="s">
        <v>243</v>
      </c>
      <c r="BH16" t="s">
        <v>243</v>
      </c>
      <c r="BI16" t="s">
        <v>243</v>
      </c>
      <c r="BJ16" t="s">
        <v>2829</v>
      </c>
      <c r="BK16" t="s">
        <v>243</v>
      </c>
      <c r="BL16" t="s">
        <v>243</v>
      </c>
      <c r="BM16" t="s">
        <v>243</v>
      </c>
      <c r="BN16" t="s">
        <v>243</v>
      </c>
      <c r="BO16" t="s">
        <v>243</v>
      </c>
      <c r="BP16" t="s">
        <v>3032</v>
      </c>
      <c r="BQ16" t="s">
        <v>3032</v>
      </c>
      <c r="BR16" t="s">
        <v>243</v>
      </c>
      <c r="BS16" t="s">
        <v>243</v>
      </c>
      <c r="BT16" t="s">
        <v>243</v>
      </c>
      <c r="BU16" t="s">
        <v>243</v>
      </c>
      <c r="BV16" t="s">
        <v>2829</v>
      </c>
      <c r="BW16" t="s">
        <v>243</v>
      </c>
      <c r="BX16" t="s">
        <v>243</v>
      </c>
      <c r="BY16" t="s">
        <v>243</v>
      </c>
      <c r="BZ16" t="s">
        <v>243</v>
      </c>
      <c r="CA16" t="s">
        <v>243</v>
      </c>
      <c r="CB16" t="s">
        <v>2829</v>
      </c>
      <c r="CC16" t="s">
        <v>243</v>
      </c>
      <c r="CD16" t="s">
        <v>243</v>
      </c>
      <c r="CE16" t="s">
        <v>243</v>
      </c>
      <c r="CF16" t="s">
        <v>243</v>
      </c>
      <c r="CG16" t="s">
        <v>243</v>
      </c>
      <c r="CH16" t="s">
        <v>2829</v>
      </c>
      <c r="CI16" t="s">
        <v>243</v>
      </c>
      <c r="CJ16" t="s">
        <v>243</v>
      </c>
      <c r="CK16" t="s">
        <v>243</v>
      </c>
      <c r="CL16" t="s">
        <v>243</v>
      </c>
      <c r="CM16" t="s">
        <v>243</v>
      </c>
      <c r="CN16" t="s">
        <v>2997</v>
      </c>
      <c r="CO16" t="s">
        <v>2843</v>
      </c>
      <c r="CP16" t="s">
        <v>2844</v>
      </c>
      <c r="CQ16" t="s">
        <v>430</v>
      </c>
      <c r="CR16" t="s">
        <v>3033</v>
      </c>
      <c r="CS16" t="s">
        <v>431</v>
      </c>
      <c r="CT16" t="s">
        <v>430</v>
      </c>
      <c r="CU16" t="s">
        <v>3034</v>
      </c>
      <c r="CV16" t="s">
        <v>432</v>
      </c>
      <c r="CW16" t="s">
        <v>3033</v>
      </c>
      <c r="CX16" t="s">
        <v>2848</v>
      </c>
      <c r="CY16" t="s">
        <v>3035</v>
      </c>
    </row>
    <row r="17" spans="1:103" ht="11.25" customHeight="1">
      <c r="A17" t="s">
        <v>243</v>
      </c>
      <c r="B17" t="s">
        <v>243</v>
      </c>
      <c r="C17" t="s">
        <v>243</v>
      </c>
      <c r="D17" t="s">
        <v>243</v>
      </c>
      <c r="E17" t="s">
        <v>243</v>
      </c>
      <c r="F17" t="s">
        <v>2816</v>
      </c>
      <c r="G17" t="s">
        <v>243</v>
      </c>
      <c r="H17" t="s">
        <v>243</v>
      </c>
      <c r="I17" t="s">
        <v>3036</v>
      </c>
      <c r="J17" t="s">
        <v>243</v>
      </c>
      <c r="K17" t="s">
        <v>3037</v>
      </c>
      <c r="L17" t="s">
        <v>243</v>
      </c>
      <c r="M17" t="s">
        <v>114</v>
      </c>
      <c r="N17" t="s">
        <v>243</v>
      </c>
      <c r="O17" t="s">
        <v>2819</v>
      </c>
      <c r="P17" t="s">
        <v>2820</v>
      </c>
      <c r="Q17" t="s">
        <v>2821</v>
      </c>
      <c r="R17" t="s">
        <v>200</v>
      </c>
      <c r="S17" t="s">
        <v>200</v>
      </c>
      <c r="T17" t="s">
        <v>3022</v>
      </c>
      <c r="U17" t="s">
        <v>3022</v>
      </c>
      <c r="V17" t="s">
        <v>3023</v>
      </c>
      <c r="W17" t="s">
        <v>3024</v>
      </c>
      <c r="X17" t="s">
        <v>3025</v>
      </c>
      <c r="Y17" t="s">
        <v>2918</v>
      </c>
      <c r="Z17" t="s">
        <v>469</v>
      </c>
      <c r="AA17" t="s">
        <v>3038</v>
      </c>
      <c r="AB17" t="s">
        <v>3039</v>
      </c>
      <c r="AC17" t="s">
        <v>2829</v>
      </c>
      <c r="AD17" t="s">
        <v>2883</v>
      </c>
      <c r="AE17" t="s">
        <v>2831</v>
      </c>
      <c r="AF17" t="s">
        <v>3040</v>
      </c>
      <c r="AG17" t="s">
        <v>3040</v>
      </c>
      <c r="AH17" t="s">
        <v>2834</v>
      </c>
      <c r="AI17" t="s">
        <v>2835</v>
      </c>
      <c r="AJ17" t="s">
        <v>3041</v>
      </c>
      <c r="AK17" t="s">
        <v>3042</v>
      </c>
      <c r="AL17" t="s">
        <v>3038</v>
      </c>
      <c r="AM17" t="s">
        <v>3039</v>
      </c>
      <c r="AN17" t="s">
        <v>2829</v>
      </c>
      <c r="AO17" t="s">
        <v>2839</v>
      </c>
      <c r="AP17" t="s">
        <v>2840</v>
      </c>
      <c r="AQ17" t="s">
        <v>2841</v>
      </c>
      <c r="AR17" t="s">
        <v>3043</v>
      </c>
      <c r="AS17" t="s">
        <v>3043</v>
      </c>
      <c r="AT17" t="s">
        <v>2829</v>
      </c>
      <c r="AU17" t="s">
        <v>2829</v>
      </c>
      <c r="AV17" t="s">
        <v>2829</v>
      </c>
      <c r="AW17" t="s">
        <v>2829</v>
      </c>
      <c r="AX17" t="s">
        <v>2829</v>
      </c>
      <c r="AY17" t="s">
        <v>2829</v>
      </c>
      <c r="AZ17" t="s">
        <v>2829</v>
      </c>
      <c r="BA17" t="s">
        <v>2829</v>
      </c>
      <c r="BB17" t="s">
        <v>2829</v>
      </c>
      <c r="BC17" t="s">
        <v>2829</v>
      </c>
      <c r="BD17" t="s">
        <v>2829</v>
      </c>
      <c r="BE17" t="s">
        <v>243</v>
      </c>
      <c r="BF17" t="s">
        <v>243</v>
      </c>
      <c r="BG17" t="s">
        <v>243</v>
      </c>
      <c r="BH17" t="s">
        <v>243</v>
      </c>
      <c r="BI17" t="s">
        <v>243</v>
      </c>
      <c r="BJ17" t="s">
        <v>2829</v>
      </c>
      <c r="BK17" t="s">
        <v>243</v>
      </c>
      <c r="BL17" t="s">
        <v>243</v>
      </c>
      <c r="BM17" t="s">
        <v>243</v>
      </c>
      <c r="BN17" t="s">
        <v>243</v>
      </c>
      <c r="BO17" t="s">
        <v>243</v>
      </c>
      <c r="BP17" t="s">
        <v>3043</v>
      </c>
      <c r="BQ17" t="s">
        <v>3043</v>
      </c>
      <c r="BR17" t="s">
        <v>243</v>
      </c>
      <c r="BS17" t="s">
        <v>243</v>
      </c>
      <c r="BT17" t="s">
        <v>243</v>
      </c>
      <c r="BU17" t="s">
        <v>243</v>
      </c>
      <c r="BV17" t="s">
        <v>2829</v>
      </c>
      <c r="BW17" t="s">
        <v>243</v>
      </c>
      <c r="BX17" t="s">
        <v>243</v>
      </c>
      <c r="BY17" t="s">
        <v>243</v>
      </c>
      <c r="BZ17" t="s">
        <v>243</v>
      </c>
      <c r="CA17" t="s">
        <v>243</v>
      </c>
      <c r="CB17" t="s">
        <v>2829</v>
      </c>
      <c r="CC17" t="s">
        <v>243</v>
      </c>
      <c r="CD17" t="s">
        <v>243</v>
      </c>
      <c r="CE17" t="s">
        <v>243</v>
      </c>
      <c r="CF17" t="s">
        <v>243</v>
      </c>
      <c r="CG17" t="s">
        <v>243</v>
      </c>
      <c r="CH17" t="s">
        <v>2829</v>
      </c>
      <c r="CI17" t="s">
        <v>243</v>
      </c>
      <c r="CJ17" t="s">
        <v>243</v>
      </c>
      <c r="CK17" t="s">
        <v>243</v>
      </c>
      <c r="CL17" t="s">
        <v>243</v>
      </c>
      <c r="CM17" t="s">
        <v>243</v>
      </c>
      <c r="CN17" t="s">
        <v>3044</v>
      </c>
      <c r="CO17" t="s">
        <v>2843</v>
      </c>
      <c r="CP17" t="s">
        <v>2844</v>
      </c>
      <c r="CQ17" t="s">
        <v>430</v>
      </c>
      <c r="CR17" t="s">
        <v>3033</v>
      </c>
      <c r="CS17" t="s">
        <v>431</v>
      </c>
      <c r="CT17" t="s">
        <v>430</v>
      </c>
      <c r="CU17" t="s">
        <v>3034</v>
      </c>
      <c r="CV17" t="s">
        <v>432</v>
      </c>
      <c r="CW17" t="s">
        <v>3033</v>
      </c>
      <c r="CX17" t="s">
        <v>2848</v>
      </c>
      <c r="CY17" t="s">
        <v>3045</v>
      </c>
    </row>
    <row r="18" spans="1:103" ht="11.25" customHeight="1">
      <c r="A18" t="s">
        <v>243</v>
      </c>
      <c r="B18" t="s">
        <v>243</v>
      </c>
      <c r="C18" t="s">
        <v>243</v>
      </c>
      <c r="D18" t="s">
        <v>243</v>
      </c>
      <c r="E18" t="s">
        <v>243</v>
      </c>
      <c r="F18" t="s">
        <v>2816</v>
      </c>
      <c r="G18" t="s">
        <v>243</v>
      </c>
      <c r="H18" t="s">
        <v>243</v>
      </c>
      <c r="I18" t="s">
        <v>3046</v>
      </c>
      <c r="J18" t="s">
        <v>243</v>
      </c>
      <c r="K18" t="s">
        <v>3047</v>
      </c>
      <c r="L18" t="s">
        <v>243</v>
      </c>
      <c r="M18" t="s">
        <v>114</v>
      </c>
      <c r="N18" t="s">
        <v>243</v>
      </c>
      <c r="O18" t="s">
        <v>2819</v>
      </c>
      <c r="P18" t="s">
        <v>2820</v>
      </c>
      <c r="Q18" t="s">
        <v>2821</v>
      </c>
      <c r="R18" t="s">
        <v>200</v>
      </c>
      <c r="S18" t="s">
        <v>200</v>
      </c>
      <c r="T18" t="s">
        <v>3048</v>
      </c>
      <c r="U18" t="s">
        <v>3048</v>
      </c>
      <c r="V18" t="s">
        <v>3049</v>
      </c>
      <c r="W18" t="s">
        <v>3050</v>
      </c>
      <c r="X18" t="s">
        <v>3051</v>
      </c>
      <c r="Y18" t="s">
        <v>3052</v>
      </c>
      <c r="Z18" t="s">
        <v>3053</v>
      </c>
      <c r="AA18" t="s">
        <v>2966</v>
      </c>
      <c r="AB18" t="s">
        <v>3054</v>
      </c>
      <c r="AC18" t="s">
        <v>2829</v>
      </c>
      <c r="AD18" t="s">
        <v>2883</v>
      </c>
      <c r="AE18" t="s">
        <v>2831</v>
      </c>
      <c r="AF18" t="s">
        <v>3055</v>
      </c>
      <c r="AG18" t="s">
        <v>3055</v>
      </c>
      <c r="AH18" t="s">
        <v>2834</v>
      </c>
      <c r="AI18" t="s">
        <v>2835</v>
      </c>
      <c r="AJ18" t="s">
        <v>3056</v>
      </c>
      <c r="AK18" t="s">
        <v>3057</v>
      </c>
      <c r="AL18" t="s">
        <v>2966</v>
      </c>
      <c r="AM18" t="s">
        <v>3058</v>
      </c>
      <c r="AN18" t="s">
        <v>2829</v>
      </c>
      <c r="AO18" t="s">
        <v>2839</v>
      </c>
      <c r="AP18" t="s">
        <v>2840</v>
      </c>
      <c r="AQ18" t="s">
        <v>2841</v>
      </c>
      <c r="AR18" t="s">
        <v>3059</v>
      </c>
      <c r="AS18" t="s">
        <v>3059</v>
      </c>
      <c r="AT18" t="s">
        <v>2829</v>
      </c>
      <c r="AU18" t="s">
        <v>2829</v>
      </c>
      <c r="AV18" t="s">
        <v>2829</v>
      </c>
      <c r="AW18" t="s">
        <v>2829</v>
      </c>
      <c r="AX18" t="s">
        <v>2829</v>
      </c>
      <c r="AY18" t="s">
        <v>2829</v>
      </c>
      <c r="AZ18" t="s">
        <v>2829</v>
      </c>
      <c r="BA18" t="s">
        <v>2829</v>
      </c>
      <c r="BB18" t="s">
        <v>2829</v>
      </c>
      <c r="BC18" t="s">
        <v>2829</v>
      </c>
      <c r="BD18" t="s">
        <v>3059</v>
      </c>
      <c r="BE18" t="s">
        <v>3059</v>
      </c>
      <c r="BF18" t="s">
        <v>243</v>
      </c>
      <c r="BG18" t="s">
        <v>243</v>
      </c>
      <c r="BH18" t="s">
        <v>243</v>
      </c>
      <c r="BI18" t="s">
        <v>243</v>
      </c>
      <c r="BJ18" t="s">
        <v>2829</v>
      </c>
      <c r="BK18" t="s">
        <v>243</v>
      </c>
      <c r="BL18" t="s">
        <v>243</v>
      </c>
      <c r="BM18" t="s">
        <v>243</v>
      </c>
      <c r="BN18" t="s">
        <v>243</v>
      </c>
      <c r="BO18" t="s">
        <v>243</v>
      </c>
      <c r="BP18" t="s">
        <v>2829</v>
      </c>
      <c r="BQ18" t="s">
        <v>243</v>
      </c>
      <c r="BR18" t="s">
        <v>243</v>
      </c>
      <c r="BS18" t="s">
        <v>243</v>
      </c>
      <c r="BT18" t="s">
        <v>243</v>
      </c>
      <c r="BU18" t="s">
        <v>243</v>
      </c>
      <c r="BV18" t="s">
        <v>2829</v>
      </c>
      <c r="BW18" t="s">
        <v>243</v>
      </c>
      <c r="BX18" t="s">
        <v>243</v>
      </c>
      <c r="BY18" t="s">
        <v>243</v>
      </c>
      <c r="BZ18" t="s">
        <v>243</v>
      </c>
      <c r="CA18" t="s">
        <v>243</v>
      </c>
      <c r="CB18" t="s">
        <v>2829</v>
      </c>
      <c r="CC18" t="s">
        <v>243</v>
      </c>
      <c r="CD18" t="s">
        <v>243</v>
      </c>
      <c r="CE18" t="s">
        <v>243</v>
      </c>
      <c r="CF18" t="s">
        <v>243</v>
      </c>
      <c r="CG18" t="s">
        <v>243</v>
      </c>
      <c r="CH18" t="s">
        <v>2829</v>
      </c>
      <c r="CI18" t="s">
        <v>243</v>
      </c>
      <c r="CJ18" t="s">
        <v>243</v>
      </c>
      <c r="CK18" t="s">
        <v>243</v>
      </c>
      <c r="CL18" t="s">
        <v>243</v>
      </c>
      <c r="CM18" t="s">
        <v>243</v>
      </c>
      <c r="CN18" t="s">
        <v>3060</v>
      </c>
      <c r="CO18" t="s">
        <v>2843</v>
      </c>
      <c r="CP18" t="s">
        <v>2844</v>
      </c>
      <c r="CQ18" t="s">
        <v>470</v>
      </c>
      <c r="CR18" t="s">
        <v>2872</v>
      </c>
      <c r="CS18" t="s">
        <v>431</v>
      </c>
      <c r="CT18" t="s">
        <v>470</v>
      </c>
      <c r="CU18" t="s">
        <v>3061</v>
      </c>
      <c r="CV18" t="s">
        <v>3062</v>
      </c>
      <c r="CW18" t="s">
        <v>2872</v>
      </c>
      <c r="CX18" t="s">
        <v>2848</v>
      </c>
      <c r="CY18" t="s">
        <v>3063</v>
      </c>
    </row>
    <row r="19" spans="1:103" ht="11.25" customHeight="1">
      <c r="A19" t="s">
        <v>243</v>
      </c>
      <c r="B19" t="s">
        <v>243</v>
      </c>
      <c r="C19" t="s">
        <v>243</v>
      </c>
      <c r="D19" t="s">
        <v>243</v>
      </c>
      <c r="E19" t="s">
        <v>243</v>
      </c>
      <c r="F19" t="s">
        <v>2816</v>
      </c>
      <c r="G19" t="s">
        <v>243</v>
      </c>
      <c r="H19" t="s">
        <v>243</v>
      </c>
      <c r="I19" t="s">
        <v>1815</v>
      </c>
      <c r="J19" t="s">
        <v>243</v>
      </c>
      <c r="K19" t="s">
        <v>428</v>
      </c>
      <c r="L19" t="s">
        <v>243</v>
      </c>
      <c r="M19" t="s">
        <v>114</v>
      </c>
      <c r="N19" t="s">
        <v>243</v>
      </c>
      <c r="O19" t="s">
        <v>2819</v>
      </c>
      <c r="P19" t="s">
        <v>2820</v>
      </c>
      <c r="Q19" t="s">
        <v>2821</v>
      </c>
      <c r="R19" t="s">
        <v>200</v>
      </c>
      <c r="S19" t="s">
        <v>200</v>
      </c>
      <c r="T19" t="s">
        <v>2822</v>
      </c>
      <c r="U19" t="s">
        <v>2822</v>
      </c>
      <c r="V19" t="s">
        <v>2823</v>
      </c>
      <c r="W19" t="s">
        <v>2952</v>
      </c>
      <c r="X19" t="s">
        <v>2953</v>
      </c>
      <c r="Y19" t="s">
        <v>3064</v>
      </c>
      <c r="Z19" t="s">
        <v>3065</v>
      </c>
      <c r="AA19" t="s">
        <v>3066</v>
      </c>
      <c r="AB19" t="s">
        <v>3067</v>
      </c>
      <c r="AC19" t="s">
        <v>2829</v>
      </c>
      <c r="AD19" t="s">
        <v>2830</v>
      </c>
      <c r="AE19" t="s">
        <v>2831</v>
      </c>
      <c r="AF19" t="s">
        <v>3068</v>
      </c>
      <c r="AG19" t="s">
        <v>3069</v>
      </c>
      <c r="AH19" t="s">
        <v>2834</v>
      </c>
      <c r="AI19" t="s">
        <v>2835</v>
      </c>
      <c r="AJ19" t="s">
        <v>2960</v>
      </c>
      <c r="AK19" t="s">
        <v>3070</v>
      </c>
      <c r="AL19" t="s">
        <v>3071</v>
      </c>
      <c r="AM19" t="s">
        <v>3072</v>
      </c>
      <c r="AN19" t="s">
        <v>2829</v>
      </c>
      <c r="AO19" t="s">
        <v>2839</v>
      </c>
      <c r="AP19" t="s">
        <v>2840</v>
      </c>
      <c r="AQ19" t="s">
        <v>2841</v>
      </c>
      <c r="AR19" t="s">
        <v>3073</v>
      </c>
      <c r="AS19" t="s">
        <v>3073</v>
      </c>
      <c r="AT19" t="s">
        <v>2829</v>
      </c>
      <c r="AU19" t="s">
        <v>2829</v>
      </c>
      <c r="AV19" t="s">
        <v>2829</v>
      </c>
      <c r="AW19" t="s">
        <v>2829</v>
      </c>
      <c r="AX19" t="s">
        <v>2829</v>
      </c>
      <c r="AY19" t="s">
        <v>2829</v>
      </c>
      <c r="AZ19" t="s">
        <v>2829</v>
      </c>
      <c r="BA19" t="s">
        <v>2829</v>
      </c>
      <c r="BB19" t="s">
        <v>2829</v>
      </c>
      <c r="BC19" t="s">
        <v>2829</v>
      </c>
      <c r="BD19" t="s">
        <v>2829</v>
      </c>
      <c r="BE19" t="s">
        <v>243</v>
      </c>
      <c r="BF19" t="s">
        <v>243</v>
      </c>
      <c r="BG19" t="s">
        <v>243</v>
      </c>
      <c r="BH19" t="s">
        <v>243</v>
      </c>
      <c r="BI19" t="s">
        <v>243</v>
      </c>
      <c r="BJ19" t="s">
        <v>2829</v>
      </c>
      <c r="BK19" t="s">
        <v>243</v>
      </c>
      <c r="BL19" t="s">
        <v>243</v>
      </c>
      <c r="BM19" t="s">
        <v>243</v>
      </c>
      <c r="BN19" t="s">
        <v>243</v>
      </c>
      <c r="BO19" t="s">
        <v>243</v>
      </c>
      <c r="BP19" t="s">
        <v>3073</v>
      </c>
      <c r="BQ19" t="s">
        <v>3073</v>
      </c>
      <c r="BR19" t="s">
        <v>243</v>
      </c>
      <c r="BS19" t="s">
        <v>243</v>
      </c>
      <c r="BT19" t="s">
        <v>243</v>
      </c>
      <c r="BU19" t="s">
        <v>243</v>
      </c>
      <c r="BV19" t="s">
        <v>2829</v>
      </c>
      <c r="BW19" t="s">
        <v>243</v>
      </c>
      <c r="BX19" t="s">
        <v>243</v>
      </c>
      <c r="BY19" t="s">
        <v>243</v>
      </c>
      <c r="BZ19" t="s">
        <v>243</v>
      </c>
      <c r="CA19" t="s">
        <v>243</v>
      </c>
      <c r="CB19" t="s">
        <v>2829</v>
      </c>
      <c r="CC19" t="s">
        <v>243</v>
      </c>
      <c r="CD19" t="s">
        <v>243</v>
      </c>
      <c r="CE19" t="s">
        <v>243</v>
      </c>
      <c r="CF19" t="s">
        <v>243</v>
      </c>
      <c r="CG19" t="s">
        <v>243</v>
      </c>
      <c r="CH19" t="s">
        <v>2829</v>
      </c>
      <c r="CI19" t="s">
        <v>243</v>
      </c>
      <c r="CJ19" t="s">
        <v>243</v>
      </c>
      <c r="CK19" t="s">
        <v>243</v>
      </c>
      <c r="CL19" t="s">
        <v>243</v>
      </c>
      <c r="CM19" t="s">
        <v>243</v>
      </c>
      <c r="CN19" t="s">
        <v>2960</v>
      </c>
      <c r="CO19" t="s">
        <v>2843</v>
      </c>
      <c r="CP19" t="s">
        <v>2844</v>
      </c>
      <c r="CQ19" t="s">
        <v>430</v>
      </c>
      <c r="CR19" t="s">
        <v>2845</v>
      </c>
      <c r="CS19" t="s">
        <v>431</v>
      </c>
      <c r="CT19" t="s">
        <v>430</v>
      </c>
      <c r="CU19" t="s">
        <v>2846</v>
      </c>
      <c r="CV19" t="s">
        <v>2847</v>
      </c>
      <c r="CW19" t="s">
        <v>2845</v>
      </c>
      <c r="CX19" t="s">
        <v>2848</v>
      </c>
      <c r="CY19" t="s">
        <v>3074</v>
      </c>
    </row>
    <row r="20" spans="1:103" ht="11.25" customHeight="1">
      <c r="A20" t="s">
        <v>243</v>
      </c>
      <c r="B20" t="s">
        <v>243</v>
      </c>
      <c r="C20" t="s">
        <v>243</v>
      </c>
      <c r="D20" t="s">
        <v>243</v>
      </c>
      <c r="E20" t="s">
        <v>243</v>
      </c>
      <c r="F20" t="s">
        <v>2816</v>
      </c>
      <c r="G20" t="s">
        <v>243</v>
      </c>
      <c r="H20" t="s">
        <v>243</v>
      </c>
      <c r="I20" t="s">
        <v>3075</v>
      </c>
      <c r="J20" t="s">
        <v>243</v>
      </c>
      <c r="K20" t="s">
        <v>3076</v>
      </c>
      <c r="L20" t="s">
        <v>243</v>
      </c>
      <c r="M20" t="s">
        <v>114</v>
      </c>
      <c r="N20" t="s">
        <v>243</v>
      </c>
      <c r="O20" t="s">
        <v>2819</v>
      </c>
      <c r="P20" t="s">
        <v>2820</v>
      </c>
      <c r="Q20" t="s">
        <v>2821</v>
      </c>
      <c r="R20" t="s">
        <v>200</v>
      </c>
      <c r="S20" t="s">
        <v>200</v>
      </c>
      <c r="T20" t="s">
        <v>3048</v>
      </c>
      <c r="U20" t="s">
        <v>3048</v>
      </c>
      <c r="V20" t="s">
        <v>3049</v>
      </c>
      <c r="W20" t="s">
        <v>3050</v>
      </c>
      <c r="X20" t="s">
        <v>3051</v>
      </c>
      <c r="Y20" t="s">
        <v>3077</v>
      </c>
      <c r="Z20" t="s">
        <v>2848</v>
      </c>
      <c r="AA20" t="s">
        <v>3078</v>
      </c>
      <c r="AB20" t="s">
        <v>3079</v>
      </c>
      <c r="AC20" t="s">
        <v>2829</v>
      </c>
      <c r="AD20" t="s">
        <v>2883</v>
      </c>
      <c r="AE20" t="s">
        <v>2831</v>
      </c>
      <c r="AF20" t="s">
        <v>3055</v>
      </c>
      <c r="AG20" t="s">
        <v>3055</v>
      </c>
      <c r="AH20" t="s">
        <v>2834</v>
      </c>
      <c r="AI20" t="s">
        <v>2835</v>
      </c>
      <c r="AJ20" t="s">
        <v>2888</v>
      </c>
      <c r="AK20" t="s">
        <v>3080</v>
      </c>
      <c r="AL20" t="s">
        <v>3078</v>
      </c>
      <c r="AM20" t="s">
        <v>3079</v>
      </c>
      <c r="AN20" t="s">
        <v>243</v>
      </c>
      <c r="AO20" t="s">
        <v>3081</v>
      </c>
      <c r="AP20" t="s">
        <v>2840</v>
      </c>
      <c r="AQ20" t="s">
        <v>2841</v>
      </c>
      <c r="AR20" t="s">
        <v>3082</v>
      </c>
      <c r="AS20" t="s">
        <v>3082</v>
      </c>
      <c r="AT20" t="s">
        <v>2829</v>
      </c>
      <c r="AU20" t="s">
        <v>2829</v>
      </c>
      <c r="AV20" t="s">
        <v>2829</v>
      </c>
      <c r="AW20" t="s">
        <v>2829</v>
      </c>
      <c r="AX20" t="s">
        <v>2829</v>
      </c>
      <c r="AY20" t="s">
        <v>2829</v>
      </c>
      <c r="AZ20" t="s">
        <v>2829</v>
      </c>
      <c r="BA20" t="s">
        <v>2829</v>
      </c>
      <c r="BB20" t="s">
        <v>2829</v>
      </c>
      <c r="BC20" t="s">
        <v>2829</v>
      </c>
      <c r="BD20" t="s">
        <v>3082</v>
      </c>
      <c r="BE20" t="s">
        <v>3082</v>
      </c>
      <c r="BF20" t="s">
        <v>243</v>
      </c>
      <c r="BG20" t="s">
        <v>243</v>
      </c>
      <c r="BH20" t="s">
        <v>243</v>
      </c>
      <c r="BI20" t="s">
        <v>243</v>
      </c>
      <c r="BJ20" t="s">
        <v>2829</v>
      </c>
      <c r="BK20" t="s">
        <v>243</v>
      </c>
      <c r="BL20" t="s">
        <v>243</v>
      </c>
      <c r="BM20" t="s">
        <v>243</v>
      </c>
      <c r="BN20" t="s">
        <v>243</v>
      </c>
      <c r="BO20" t="s">
        <v>243</v>
      </c>
      <c r="BP20" t="s">
        <v>2829</v>
      </c>
      <c r="BQ20" t="s">
        <v>243</v>
      </c>
      <c r="BR20" t="s">
        <v>243</v>
      </c>
      <c r="BS20" t="s">
        <v>243</v>
      </c>
      <c r="BT20" t="s">
        <v>243</v>
      </c>
      <c r="BU20" t="s">
        <v>243</v>
      </c>
      <c r="BV20" t="s">
        <v>2829</v>
      </c>
      <c r="BW20" t="s">
        <v>243</v>
      </c>
      <c r="BX20" t="s">
        <v>243</v>
      </c>
      <c r="BY20" t="s">
        <v>243</v>
      </c>
      <c r="BZ20" t="s">
        <v>243</v>
      </c>
      <c r="CA20" t="s">
        <v>243</v>
      </c>
      <c r="CB20" t="s">
        <v>2829</v>
      </c>
      <c r="CC20" t="s">
        <v>243</v>
      </c>
      <c r="CD20" t="s">
        <v>243</v>
      </c>
      <c r="CE20" t="s">
        <v>243</v>
      </c>
      <c r="CF20" t="s">
        <v>243</v>
      </c>
      <c r="CG20" t="s">
        <v>243</v>
      </c>
      <c r="CH20" t="s">
        <v>2829</v>
      </c>
      <c r="CI20" t="s">
        <v>243</v>
      </c>
      <c r="CJ20" t="s">
        <v>243</v>
      </c>
      <c r="CK20" t="s">
        <v>243</v>
      </c>
      <c r="CL20" t="s">
        <v>243</v>
      </c>
      <c r="CM20" t="s">
        <v>243</v>
      </c>
      <c r="CN20" t="s">
        <v>2888</v>
      </c>
      <c r="CO20" t="s">
        <v>2843</v>
      </c>
      <c r="CP20" t="s">
        <v>2844</v>
      </c>
      <c r="CQ20" t="s">
        <v>470</v>
      </c>
      <c r="CR20" t="s">
        <v>2872</v>
      </c>
      <c r="CS20" t="s">
        <v>431</v>
      </c>
      <c r="CT20" t="s">
        <v>470</v>
      </c>
      <c r="CU20" t="s">
        <v>3061</v>
      </c>
      <c r="CV20" t="s">
        <v>3062</v>
      </c>
      <c r="CW20" t="s">
        <v>2872</v>
      </c>
      <c r="CX20" t="s">
        <v>2848</v>
      </c>
      <c r="CY20" t="s">
        <v>3083</v>
      </c>
    </row>
    <row r="21" spans="1:103" ht="11.25" customHeight="1">
      <c r="A21" t="s">
        <v>243</v>
      </c>
      <c r="B21" t="s">
        <v>243</v>
      </c>
      <c r="C21" t="s">
        <v>243</v>
      </c>
      <c r="D21" t="s">
        <v>243</v>
      </c>
      <c r="E21" t="s">
        <v>243</v>
      </c>
      <c r="F21" t="s">
        <v>2816</v>
      </c>
      <c r="G21" t="s">
        <v>243</v>
      </c>
      <c r="H21" t="s">
        <v>243</v>
      </c>
      <c r="I21" t="s">
        <v>3084</v>
      </c>
      <c r="J21" t="s">
        <v>243</v>
      </c>
      <c r="K21" t="s">
        <v>3085</v>
      </c>
      <c r="L21" t="s">
        <v>243</v>
      </c>
      <c r="M21" t="s">
        <v>114</v>
      </c>
      <c r="N21" t="s">
        <v>243</v>
      </c>
      <c r="O21" t="s">
        <v>2819</v>
      </c>
      <c r="P21" t="s">
        <v>2820</v>
      </c>
      <c r="Q21" t="s">
        <v>2821</v>
      </c>
      <c r="R21" t="s">
        <v>200</v>
      </c>
      <c r="S21" t="s">
        <v>200</v>
      </c>
      <c r="T21" t="s">
        <v>3048</v>
      </c>
      <c r="U21" t="s">
        <v>3048</v>
      </c>
      <c r="V21" t="s">
        <v>3049</v>
      </c>
      <c r="W21" t="s">
        <v>3086</v>
      </c>
      <c r="X21" t="s">
        <v>3087</v>
      </c>
      <c r="Y21" t="s">
        <v>3088</v>
      </c>
      <c r="Z21" t="s">
        <v>2848</v>
      </c>
      <c r="AA21" t="s">
        <v>2923</v>
      </c>
      <c r="AB21" t="s">
        <v>2923</v>
      </c>
      <c r="AC21" t="s">
        <v>2829</v>
      </c>
      <c r="AD21" t="s">
        <v>2883</v>
      </c>
      <c r="AE21" t="s">
        <v>2831</v>
      </c>
      <c r="AF21" t="s">
        <v>3055</v>
      </c>
      <c r="AG21" t="s">
        <v>3055</v>
      </c>
      <c r="AH21" t="s">
        <v>2834</v>
      </c>
      <c r="AI21" t="s">
        <v>2835</v>
      </c>
      <c r="AJ21" t="s">
        <v>2888</v>
      </c>
      <c r="AK21" t="s">
        <v>3080</v>
      </c>
      <c r="AL21" t="s">
        <v>2923</v>
      </c>
      <c r="AM21" t="s">
        <v>2923</v>
      </c>
      <c r="AN21" t="s">
        <v>243</v>
      </c>
      <c r="AO21" t="s">
        <v>3081</v>
      </c>
      <c r="AP21" t="s">
        <v>2840</v>
      </c>
      <c r="AQ21" t="s">
        <v>2841</v>
      </c>
      <c r="AR21" t="s">
        <v>2829</v>
      </c>
      <c r="AS21" t="s">
        <v>2829</v>
      </c>
      <c r="AT21" t="s">
        <v>2829</v>
      </c>
      <c r="AU21" t="s">
        <v>2829</v>
      </c>
      <c r="AV21" t="s">
        <v>2829</v>
      </c>
      <c r="AW21" t="s">
        <v>2829</v>
      </c>
      <c r="AX21" t="s">
        <v>2829</v>
      </c>
      <c r="AY21" t="s">
        <v>2829</v>
      </c>
      <c r="AZ21" t="s">
        <v>2829</v>
      </c>
      <c r="BA21" t="s">
        <v>2829</v>
      </c>
      <c r="BB21" t="s">
        <v>2829</v>
      </c>
      <c r="BC21" t="s">
        <v>2829</v>
      </c>
      <c r="BD21" t="s">
        <v>2829</v>
      </c>
      <c r="BE21" t="s">
        <v>2829</v>
      </c>
      <c r="BF21" t="s">
        <v>243</v>
      </c>
      <c r="BG21" t="s">
        <v>243</v>
      </c>
      <c r="BH21" t="s">
        <v>243</v>
      </c>
      <c r="BI21" t="s">
        <v>243</v>
      </c>
      <c r="BJ21" t="s">
        <v>2829</v>
      </c>
      <c r="BK21" t="s">
        <v>243</v>
      </c>
      <c r="BL21" t="s">
        <v>243</v>
      </c>
      <c r="BM21" t="s">
        <v>243</v>
      </c>
      <c r="BN21" t="s">
        <v>243</v>
      </c>
      <c r="BO21" t="s">
        <v>243</v>
      </c>
      <c r="BP21" t="s">
        <v>2829</v>
      </c>
      <c r="BQ21" t="s">
        <v>243</v>
      </c>
      <c r="BR21" t="s">
        <v>243</v>
      </c>
      <c r="BS21" t="s">
        <v>243</v>
      </c>
      <c r="BT21" t="s">
        <v>243</v>
      </c>
      <c r="BU21" t="s">
        <v>243</v>
      </c>
      <c r="BV21" t="s">
        <v>2829</v>
      </c>
      <c r="BW21" t="s">
        <v>243</v>
      </c>
      <c r="BX21" t="s">
        <v>243</v>
      </c>
      <c r="BY21" t="s">
        <v>243</v>
      </c>
      <c r="BZ21" t="s">
        <v>243</v>
      </c>
      <c r="CA21" t="s">
        <v>243</v>
      </c>
      <c r="CB21" t="s">
        <v>2829</v>
      </c>
      <c r="CC21" t="s">
        <v>243</v>
      </c>
      <c r="CD21" t="s">
        <v>243</v>
      </c>
      <c r="CE21" t="s">
        <v>243</v>
      </c>
      <c r="CF21" t="s">
        <v>243</v>
      </c>
      <c r="CG21" t="s">
        <v>243</v>
      </c>
      <c r="CH21" t="s">
        <v>2829</v>
      </c>
      <c r="CI21" t="s">
        <v>243</v>
      </c>
      <c r="CJ21" t="s">
        <v>243</v>
      </c>
      <c r="CK21" t="s">
        <v>243</v>
      </c>
      <c r="CL21" t="s">
        <v>243</v>
      </c>
      <c r="CM21" t="s">
        <v>243</v>
      </c>
      <c r="CN21" t="s">
        <v>2888</v>
      </c>
      <c r="CO21" t="s">
        <v>2843</v>
      </c>
      <c r="CP21" t="s">
        <v>2844</v>
      </c>
      <c r="CQ21" t="s">
        <v>470</v>
      </c>
      <c r="CR21" t="s">
        <v>2872</v>
      </c>
      <c r="CS21" t="s">
        <v>431</v>
      </c>
      <c r="CT21" t="s">
        <v>470</v>
      </c>
      <c r="CU21" t="s">
        <v>3061</v>
      </c>
      <c r="CV21" t="s">
        <v>3062</v>
      </c>
      <c r="CW21" t="s">
        <v>2872</v>
      </c>
      <c r="CX21" t="s">
        <v>2848</v>
      </c>
      <c r="CY21" t="s">
        <v>3089</v>
      </c>
    </row>
    <row r="22" spans="1:103" ht="11.25" customHeight="1">
      <c r="A22" t="s">
        <v>243</v>
      </c>
      <c r="B22" t="s">
        <v>243</v>
      </c>
      <c r="C22" t="s">
        <v>243</v>
      </c>
      <c r="D22" t="s">
        <v>243</v>
      </c>
      <c r="E22" t="s">
        <v>243</v>
      </c>
      <c r="F22" t="s">
        <v>2816</v>
      </c>
      <c r="G22" t="s">
        <v>243</v>
      </c>
      <c r="H22" t="s">
        <v>243</v>
      </c>
      <c r="I22" t="s">
        <v>3090</v>
      </c>
      <c r="J22" t="s">
        <v>243</v>
      </c>
      <c r="K22" t="s">
        <v>3091</v>
      </c>
      <c r="L22" t="s">
        <v>243</v>
      </c>
      <c r="M22" t="s">
        <v>114</v>
      </c>
      <c r="N22" t="s">
        <v>243</v>
      </c>
      <c r="O22" t="s">
        <v>2819</v>
      </c>
      <c r="P22" t="s">
        <v>2820</v>
      </c>
      <c r="Q22" t="s">
        <v>2821</v>
      </c>
      <c r="R22" t="s">
        <v>200</v>
      </c>
      <c r="S22" t="s">
        <v>200</v>
      </c>
      <c r="T22" t="s">
        <v>2933</v>
      </c>
      <c r="U22" t="s">
        <v>2933</v>
      </c>
      <c r="V22" t="s">
        <v>2934</v>
      </c>
      <c r="W22" t="s">
        <v>2935</v>
      </c>
      <c r="X22" t="s">
        <v>2936</v>
      </c>
      <c r="Y22" t="s">
        <v>3092</v>
      </c>
      <c r="Z22" t="s">
        <v>3093</v>
      </c>
      <c r="AA22" t="s">
        <v>3094</v>
      </c>
      <c r="AB22" t="s">
        <v>3095</v>
      </c>
      <c r="AC22" t="s">
        <v>2829</v>
      </c>
      <c r="AD22" t="s">
        <v>2883</v>
      </c>
      <c r="AE22" t="s">
        <v>2831</v>
      </c>
      <c r="AF22" t="s">
        <v>3096</v>
      </c>
      <c r="AG22" t="s">
        <v>3096</v>
      </c>
      <c r="AH22" t="s">
        <v>2834</v>
      </c>
      <c r="AI22" t="s">
        <v>2835</v>
      </c>
      <c r="AJ22" t="s">
        <v>2942</v>
      </c>
      <c r="AK22" t="s">
        <v>3097</v>
      </c>
      <c r="AL22" t="s">
        <v>3094</v>
      </c>
      <c r="AM22" t="s">
        <v>3095</v>
      </c>
      <c r="AN22" t="s">
        <v>243</v>
      </c>
      <c r="AO22" t="s">
        <v>2839</v>
      </c>
      <c r="AP22" t="s">
        <v>2840</v>
      </c>
      <c r="AQ22" t="s">
        <v>2841</v>
      </c>
      <c r="AR22" t="s">
        <v>3098</v>
      </c>
      <c r="AS22" t="s">
        <v>3098</v>
      </c>
      <c r="AT22" t="s">
        <v>2829</v>
      </c>
      <c r="AU22" t="s">
        <v>2829</v>
      </c>
      <c r="AV22" t="s">
        <v>2829</v>
      </c>
      <c r="AW22" t="s">
        <v>2829</v>
      </c>
      <c r="AX22" t="s">
        <v>2829</v>
      </c>
      <c r="AY22" t="s">
        <v>2829</v>
      </c>
      <c r="AZ22" t="s">
        <v>2829</v>
      </c>
      <c r="BA22" t="s">
        <v>2829</v>
      </c>
      <c r="BB22" t="s">
        <v>2829</v>
      </c>
      <c r="BC22" t="s">
        <v>2829</v>
      </c>
      <c r="BD22" t="s">
        <v>3099</v>
      </c>
      <c r="BE22" t="s">
        <v>3099</v>
      </c>
      <c r="BF22" t="s">
        <v>243</v>
      </c>
      <c r="BG22" t="s">
        <v>243</v>
      </c>
      <c r="BH22" t="s">
        <v>243</v>
      </c>
      <c r="BI22" t="s">
        <v>243</v>
      </c>
      <c r="BJ22" t="s">
        <v>2829</v>
      </c>
      <c r="BK22" t="s">
        <v>243</v>
      </c>
      <c r="BL22" t="s">
        <v>243</v>
      </c>
      <c r="BM22" t="s">
        <v>243</v>
      </c>
      <c r="BN22" t="s">
        <v>243</v>
      </c>
      <c r="BO22" t="s">
        <v>243</v>
      </c>
      <c r="BP22" t="s">
        <v>3100</v>
      </c>
      <c r="BQ22" t="s">
        <v>3100</v>
      </c>
      <c r="BR22" t="s">
        <v>243</v>
      </c>
      <c r="BS22" t="s">
        <v>243</v>
      </c>
      <c r="BT22" t="s">
        <v>243</v>
      </c>
      <c r="BU22" t="s">
        <v>243</v>
      </c>
      <c r="BV22" t="s">
        <v>2829</v>
      </c>
      <c r="BW22" t="s">
        <v>243</v>
      </c>
      <c r="BX22" t="s">
        <v>243</v>
      </c>
      <c r="BY22" t="s">
        <v>243</v>
      </c>
      <c r="BZ22" t="s">
        <v>243</v>
      </c>
      <c r="CA22" t="s">
        <v>243</v>
      </c>
      <c r="CB22" t="s">
        <v>2829</v>
      </c>
      <c r="CC22" t="s">
        <v>243</v>
      </c>
      <c r="CD22" t="s">
        <v>243</v>
      </c>
      <c r="CE22" t="s">
        <v>243</v>
      </c>
      <c r="CF22" t="s">
        <v>243</v>
      </c>
      <c r="CG22" t="s">
        <v>243</v>
      </c>
      <c r="CH22" t="s">
        <v>2829</v>
      </c>
      <c r="CI22" t="s">
        <v>243</v>
      </c>
      <c r="CJ22" t="s">
        <v>243</v>
      </c>
      <c r="CK22" t="s">
        <v>243</v>
      </c>
      <c r="CL22" t="s">
        <v>243</v>
      </c>
      <c r="CM22" t="s">
        <v>243</v>
      </c>
      <c r="CN22" t="s">
        <v>2942</v>
      </c>
      <c r="CO22" t="s">
        <v>2843</v>
      </c>
      <c r="CP22" t="s">
        <v>2844</v>
      </c>
      <c r="CQ22" t="s">
        <v>430</v>
      </c>
      <c r="CR22" t="s">
        <v>2947</v>
      </c>
      <c r="CS22" t="s">
        <v>431</v>
      </c>
      <c r="CT22" t="s">
        <v>430</v>
      </c>
      <c r="CU22" t="s">
        <v>2948</v>
      </c>
      <c r="CV22" t="s">
        <v>2949</v>
      </c>
      <c r="CW22" t="s">
        <v>2947</v>
      </c>
      <c r="CX22" t="s">
        <v>2848</v>
      </c>
      <c r="CY22" t="s">
        <v>3101</v>
      </c>
    </row>
    <row r="23" spans="1:103" ht="11.25" customHeight="1">
      <c r="A23" t="s">
        <v>243</v>
      </c>
      <c r="B23" t="s">
        <v>243</v>
      </c>
      <c r="C23" t="s">
        <v>243</v>
      </c>
      <c r="D23" t="s">
        <v>243</v>
      </c>
      <c r="E23" t="s">
        <v>243</v>
      </c>
      <c r="F23" t="s">
        <v>2816</v>
      </c>
      <c r="G23" t="s">
        <v>243</v>
      </c>
      <c r="H23" t="s">
        <v>243</v>
      </c>
      <c r="I23" t="s">
        <v>258</v>
      </c>
      <c r="J23" t="s">
        <v>243</v>
      </c>
      <c r="K23" t="s">
        <v>433</v>
      </c>
      <c r="L23" t="s">
        <v>243</v>
      </c>
      <c r="M23" t="s">
        <v>114</v>
      </c>
      <c r="N23" t="s">
        <v>243</v>
      </c>
      <c r="O23" t="s">
        <v>2819</v>
      </c>
      <c r="P23" t="s">
        <v>2820</v>
      </c>
      <c r="Q23" t="s">
        <v>2821</v>
      </c>
      <c r="R23" t="s">
        <v>200</v>
      </c>
      <c r="S23" t="s">
        <v>200</v>
      </c>
      <c r="T23" t="s">
        <v>2968</v>
      </c>
      <c r="U23" t="s">
        <v>2968</v>
      </c>
      <c r="V23" t="s">
        <v>2969</v>
      </c>
      <c r="W23" t="s">
        <v>3102</v>
      </c>
      <c r="X23" t="s">
        <v>3103</v>
      </c>
      <c r="Y23" t="s">
        <v>3104</v>
      </c>
      <c r="Z23" t="s">
        <v>3105</v>
      </c>
      <c r="AA23" t="s">
        <v>3106</v>
      </c>
      <c r="AB23" t="s">
        <v>3107</v>
      </c>
      <c r="AC23" t="s">
        <v>2829</v>
      </c>
      <c r="AD23" t="s">
        <v>2883</v>
      </c>
      <c r="AE23" t="s">
        <v>2857</v>
      </c>
      <c r="AF23" t="s">
        <v>3108</v>
      </c>
      <c r="AG23" t="s">
        <v>3108</v>
      </c>
      <c r="AH23" t="s">
        <v>2834</v>
      </c>
      <c r="AI23" t="s">
        <v>2835</v>
      </c>
      <c r="AJ23" t="s">
        <v>3109</v>
      </c>
      <c r="AK23" t="s">
        <v>2978</v>
      </c>
      <c r="AL23" t="s">
        <v>3106</v>
      </c>
      <c r="AM23" t="s">
        <v>3107</v>
      </c>
      <c r="AN23" t="s">
        <v>2829</v>
      </c>
      <c r="AO23" t="s">
        <v>2839</v>
      </c>
      <c r="AP23" t="s">
        <v>2840</v>
      </c>
      <c r="AQ23" t="s">
        <v>2841</v>
      </c>
      <c r="AR23" t="s">
        <v>3110</v>
      </c>
      <c r="AS23" t="s">
        <v>3110</v>
      </c>
      <c r="AT23" t="s">
        <v>2829</v>
      </c>
      <c r="AU23" t="s">
        <v>2829</v>
      </c>
      <c r="AV23" t="s">
        <v>2829</v>
      </c>
      <c r="AW23" t="s">
        <v>2829</v>
      </c>
      <c r="AX23" t="s">
        <v>2829</v>
      </c>
      <c r="AY23" t="s">
        <v>2829</v>
      </c>
      <c r="AZ23" t="s">
        <v>2829</v>
      </c>
      <c r="BA23" t="s">
        <v>2829</v>
      </c>
      <c r="BB23" t="s">
        <v>2829</v>
      </c>
      <c r="BC23" t="s">
        <v>2829</v>
      </c>
      <c r="BD23" t="s">
        <v>3111</v>
      </c>
      <c r="BE23" t="s">
        <v>3111</v>
      </c>
      <c r="BF23" t="s">
        <v>243</v>
      </c>
      <c r="BG23" t="s">
        <v>243</v>
      </c>
      <c r="BH23" t="s">
        <v>243</v>
      </c>
      <c r="BI23" t="s">
        <v>243</v>
      </c>
      <c r="BJ23" t="s">
        <v>2829</v>
      </c>
      <c r="BK23" t="s">
        <v>243</v>
      </c>
      <c r="BL23" t="s">
        <v>243</v>
      </c>
      <c r="BM23" t="s">
        <v>243</v>
      </c>
      <c r="BN23" t="s">
        <v>243</v>
      </c>
      <c r="BO23" t="s">
        <v>243</v>
      </c>
      <c r="BP23" t="s">
        <v>3112</v>
      </c>
      <c r="BQ23" t="s">
        <v>3112</v>
      </c>
      <c r="BR23" t="s">
        <v>243</v>
      </c>
      <c r="BS23" t="s">
        <v>243</v>
      </c>
      <c r="BT23" t="s">
        <v>243</v>
      </c>
      <c r="BU23" t="s">
        <v>243</v>
      </c>
      <c r="BV23" t="s">
        <v>2829</v>
      </c>
      <c r="BW23" t="s">
        <v>243</v>
      </c>
      <c r="BX23" t="s">
        <v>243</v>
      </c>
      <c r="BY23" t="s">
        <v>243</v>
      </c>
      <c r="BZ23" t="s">
        <v>243</v>
      </c>
      <c r="CA23" t="s">
        <v>243</v>
      </c>
      <c r="CB23" t="s">
        <v>2829</v>
      </c>
      <c r="CC23" t="s">
        <v>243</v>
      </c>
      <c r="CD23" t="s">
        <v>243</v>
      </c>
      <c r="CE23" t="s">
        <v>243</v>
      </c>
      <c r="CF23" t="s">
        <v>243</v>
      </c>
      <c r="CG23" t="s">
        <v>243</v>
      </c>
      <c r="CH23" t="s">
        <v>2829</v>
      </c>
      <c r="CI23" t="s">
        <v>243</v>
      </c>
      <c r="CJ23" t="s">
        <v>243</v>
      </c>
      <c r="CK23" t="s">
        <v>243</v>
      </c>
      <c r="CL23" t="s">
        <v>243</v>
      </c>
      <c r="CM23" t="s">
        <v>243</v>
      </c>
      <c r="CN23" t="s">
        <v>2983</v>
      </c>
      <c r="CO23" t="s">
        <v>2843</v>
      </c>
      <c r="CP23" t="s">
        <v>2844</v>
      </c>
      <c r="CQ23" t="s">
        <v>430</v>
      </c>
      <c r="CR23" t="s">
        <v>2984</v>
      </c>
      <c r="CS23" t="s">
        <v>431</v>
      </c>
      <c r="CT23" t="s">
        <v>430</v>
      </c>
      <c r="CU23" t="s">
        <v>2985</v>
      </c>
      <c r="CV23" t="s">
        <v>2986</v>
      </c>
      <c r="CW23" t="s">
        <v>2984</v>
      </c>
      <c r="CX23" t="s">
        <v>2848</v>
      </c>
      <c r="CY23" t="s">
        <v>3113</v>
      </c>
    </row>
    <row r="24" spans="1:103" ht="11.25" customHeight="1">
      <c r="A24" t="s">
        <v>243</v>
      </c>
      <c r="B24" t="s">
        <v>243</v>
      </c>
      <c r="C24" t="s">
        <v>243</v>
      </c>
      <c r="D24" t="s">
        <v>243</v>
      </c>
      <c r="E24" t="s">
        <v>243</v>
      </c>
      <c r="F24" t="s">
        <v>2816</v>
      </c>
      <c r="G24" t="s">
        <v>243</v>
      </c>
      <c r="H24" t="s">
        <v>243</v>
      </c>
      <c r="I24" t="s">
        <v>3114</v>
      </c>
      <c r="J24" t="s">
        <v>243</v>
      </c>
      <c r="K24" t="s">
        <v>3115</v>
      </c>
      <c r="L24" t="s">
        <v>243</v>
      </c>
      <c r="M24" t="s">
        <v>114</v>
      </c>
      <c r="N24" t="s">
        <v>243</v>
      </c>
      <c r="O24" t="s">
        <v>2819</v>
      </c>
      <c r="P24" t="s">
        <v>2820</v>
      </c>
      <c r="Q24" t="s">
        <v>2821</v>
      </c>
      <c r="R24" t="s">
        <v>200</v>
      </c>
      <c r="S24" t="s">
        <v>200</v>
      </c>
      <c r="T24" t="s">
        <v>2968</v>
      </c>
      <c r="U24" t="s">
        <v>2968</v>
      </c>
      <c r="V24" t="s">
        <v>2969</v>
      </c>
      <c r="W24" t="s">
        <v>3102</v>
      </c>
      <c r="X24" t="s">
        <v>3103</v>
      </c>
      <c r="Y24" t="s">
        <v>3104</v>
      </c>
      <c r="Z24" t="s">
        <v>3116</v>
      </c>
      <c r="AA24" t="s">
        <v>3117</v>
      </c>
      <c r="AB24" t="s">
        <v>3118</v>
      </c>
      <c r="AC24" t="s">
        <v>2829</v>
      </c>
      <c r="AD24" t="s">
        <v>2883</v>
      </c>
      <c r="AE24" t="s">
        <v>2857</v>
      </c>
      <c r="AF24" t="s">
        <v>3119</v>
      </c>
      <c r="AG24" t="s">
        <v>3119</v>
      </c>
      <c r="AH24" t="s">
        <v>2834</v>
      </c>
      <c r="AI24" t="s">
        <v>2835</v>
      </c>
      <c r="AJ24" t="s">
        <v>3008</v>
      </c>
      <c r="AK24" t="s">
        <v>3120</v>
      </c>
      <c r="AL24" t="s">
        <v>3117</v>
      </c>
      <c r="AM24" t="s">
        <v>3118</v>
      </c>
      <c r="AN24" t="s">
        <v>2829</v>
      </c>
      <c r="AO24" t="s">
        <v>2839</v>
      </c>
      <c r="AP24" t="s">
        <v>2840</v>
      </c>
      <c r="AQ24" t="s">
        <v>2841</v>
      </c>
      <c r="AR24" t="s">
        <v>3121</v>
      </c>
      <c r="AS24" t="s">
        <v>3121</v>
      </c>
      <c r="AT24" t="s">
        <v>2829</v>
      </c>
      <c r="AU24" t="s">
        <v>2829</v>
      </c>
      <c r="AV24" t="s">
        <v>2829</v>
      </c>
      <c r="AW24" t="s">
        <v>2829</v>
      </c>
      <c r="AX24" t="s">
        <v>2829</v>
      </c>
      <c r="AY24" t="s">
        <v>2829</v>
      </c>
      <c r="AZ24" t="s">
        <v>2829</v>
      </c>
      <c r="BA24" t="s">
        <v>2829</v>
      </c>
      <c r="BB24" t="s">
        <v>2829</v>
      </c>
      <c r="BC24" t="s">
        <v>2829</v>
      </c>
      <c r="BD24" t="s">
        <v>2829</v>
      </c>
      <c r="BE24" t="s">
        <v>243</v>
      </c>
      <c r="BF24" t="s">
        <v>243</v>
      </c>
      <c r="BG24" t="s">
        <v>243</v>
      </c>
      <c r="BH24" t="s">
        <v>243</v>
      </c>
      <c r="BI24" t="s">
        <v>243</v>
      </c>
      <c r="BJ24" t="s">
        <v>2829</v>
      </c>
      <c r="BK24" t="s">
        <v>243</v>
      </c>
      <c r="BL24" t="s">
        <v>243</v>
      </c>
      <c r="BM24" t="s">
        <v>243</v>
      </c>
      <c r="BN24" t="s">
        <v>243</v>
      </c>
      <c r="BO24" t="s">
        <v>243</v>
      </c>
      <c r="BP24" t="s">
        <v>3121</v>
      </c>
      <c r="BQ24" t="s">
        <v>3121</v>
      </c>
      <c r="BR24" t="s">
        <v>243</v>
      </c>
      <c r="BS24" t="s">
        <v>243</v>
      </c>
      <c r="BT24" t="s">
        <v>243</v>
      </c>
      <c r="BU24" t="s">
        <v>243</v>
      </c>
      <c r="BV24" t="s">
        <v>2829</v>
      </c>
      <c r="BW24" t="s">
        <v>243</v>
      </c>
      <c r="BX24" t="s">
        <v>243</v>
      </c>
      <c r="BY24" t="s">
        <v>243</v>
      </c>
      <c r="BZ24" t="s">
        <v>243</v>
      </c>
      <c r="CA24" t="s">
        <v>243</v>
      </c>
      <c r="CB24" t="s">
        <v>2829</v>
      </c>
      <c r="CC24" t="s">
        <v>243</v>
      </c>
      <c r="CD24" t="s">
        <v>243</v>
      </c>
      <c r="CE24" t="s">
        <v>243</v>
      </c>
      <c r="CF24" t="s">
        <v>243</v>
      </c>
      <c r="CG24" t="s">
        <v>243</v>
      </c>
      <c r="CH24" t="s">
        <v>2829</v>
      </c>
      <c r="CI24" t="s">
        <v>243</v>
      </c>
      <c r="CJ24" t="s">
        <v>243</v>
      </c>
      <c r="CK24" t="s">
        <v>243</v>
      </c>
      <c r="CL24" t="s">
        <v>243</v>
      </c>
      <c r="CM24" t="s">
        <v>243</v>
      </c>
      <c r="CN24" t="s">
        <v>3008</v>
      </c>
      <c r="CO24" t="s">
        <v>2843</v>
      </c>
      <c r="CP24" t="s">
        <v>2844</v>
      </c>
      <c r="CQ24" t="s">
        <v>430</v>
      </c>
      <c r="CR24" t="s">
        <v>2984</v>
      </c>
      <c r="CS24" t="s">
        <v>431</v>
      </c>
      <c r="CT24" t="s">
        <v>430</v>
      </c>
      <c r="CU24" t="s">
        <v>2985</v>
      </c>
      <c r="CV24" t="s">
        <v>2986</v>
      </c>
      <c r="CW24" t="s">
        <v>2984</v>
      </c>
      <c r="CX24" t="s">
        <v>2848</v>
      </c>
      <c r="CY24" t="s">
        <v>3122</v>
      </c>
    </row>
    <row r="25" spans="1:103" ht="11.25" customHeight="1">
      <c r="A25" t="s">
        <v>243</v>
      </c>
      <c r="B25" t="s">
        <v>243</v>
      </c>
      <c r="C25" t="s">
        <v>243</v>
      </c>
      <c r="D25" t="s">
        <v>243</v>
      </c>
      <c r="E25" t="s">
        <v>243</v>
      </c>
      <c r="F25" t="s">
        <v>2816</v>
      </c>
      <c r="G25" t="s">
        <v>243</v>
      </c>
      <c r="H25" t="s">
        <v>243</v>
      </c>
      <c r="I25" t="s">
        <v>3123</v>
      </c>
      <c r="J25" t="s">
        <v>243</v>
      </c>
      <c r="K25" t="s">
        <v>3124</v>
      </c>
      <c r="L25" t="s">
        <v>243</v>
      </c>
      <c r="M25" t="s">
        <v>114</v>
      </c>
      <c r="N25" t="s">
        <v>243</v>
      </c>
      <c r="O25" t="s">
        <v>2819</v>
      </c>
      <c r="P25" t="s">
        <v>2820</v>
      </c>
      <c r="Q25" t="s">
        <v>2821</v>
      </c>
      <c r="R25" t="s">
        <v>200</v>
      </c>
      <c r="S25" t="s">
        <v>200</v>
      </c>
      <c r="T25" t="s">
        <v>3022</v>
      </c>
      <c r="U25" t="s">
        <v>3022</v>
      </c>
      <c r="V25" t="s">
        <v>3023</v>
      </c>
      <c r="W25" t="s">
        <v>3125</v>
      </c>
      <c r="X25" t="s">
        <v>3126</v>
      </c>
      <c r="Y25" t="s">
        <v>3127</v>
      </c>
      <c r="Z25" t="s">
        <v>454</v>
      </c>
      <c r="AA25" t="s">
        <v>3109</v>
      </c>
      <c r="AB25" t="s">
        <v>3128</v>
      </c>
      <c r="AC25" t="s">
        <v>2829</v>
      </c>
      <c r="AD25" t="s">
        <v>2883</v>
      </c>
      <c r="AE25" t="s">
        <v>2831</v>
      </c>
      <c r="AF25" t="s">
        <v>3129</v>
      </c>
      <c r="AG25" t="s">
        <v>3129</v>
      </c>
      <c r="AH25" t="s">
        <v>2834</v>
      </c>
      <c r="AI25" t="s">
        <v>2835</v>
      </c>
      <c r="AJ25" t="s">
        <v>3130</v>
      </c>
      <c r="AK25" t="s">
        <v>3131</v>
      </c>
      <c r="AL25" t="s">
        <v>3109</v>
      </c>
      <c r="AM25" t="s">
        <v>3128</v>
      </c>
      <c r="AN25" t="s">
        <v>2829</v>
      </c>
      <c r="AO25" t="s">
        <v>2839</v>
      </c>
      <c r="AP25" t="s">
        <v>2840</v>
      </c>
      <c r="AQ25" t="s">
        <v>2841</v>
      </c>
      <c r="AR25" t="s">
        <v>3132</v>
      </c>
      <c r="AS25" t="s">
        <v>3132</v>
      </c>
      <c r="AT25" t="s">
        <v>2829</v>
      </c>
      <c r="AU25" t="s">
        <v>2829</v>
      </c>
      <c r="AV25" t="s">
        <v>2829</v>
      </c>
      <c r="AW25" t="s">
        <v>2829</v>
      </c>
      <c r="AX25" t="s">
        <v>2829</v>
      </c>
      <c r="AY25" t="s">
        <v>2829</v>
      </c>
      <c r="AZ25" t="s">
        <v>2829</v>
      </c>
      <c r="BA25" t="s">
        <v>2829</v>
      </c>
      <c r="BB25" t="s">
        <v>2829</v>
      </c>
      <c r="BC25" t="s">
        <v>2829</v>
      </c>
      <c r="BD25" t="s">
        <v>3133</v>
      </c>
      <c r="BE25" t="s">
        <v>3133</v>
      </c>
      <c r="BF25" t="s">
        <v>243</v>
      </c>
      <c r="BG25" t="s">
        <v>243</v>
      </c>
      <c r="BH25" t="s">
        <v>243</v>
      </c>
      <c r="BI25" t="s">
        <v>243</v>
      </c>
      <c r="BJ25" t="s">
        <v>2829</v>
      </c>
      <c r="BK25" t="s">
        <v>243</v>
      </c>
      <c r="BL25" t="s">
        <v>243</v>
      </c>
      <c r="BM25" t="s">
        <v>243</v>
      </c>
      <c r="BN25" t="s">
        <v>243</v>
      </c>
      <c r="BO25" t="s">
        <v>243</v>
      </c>
      <c r="BP25" t="s">
        <v>2829</v>
      </c>
      <c r="BQ25" t="s">
        <v>243</v>
      </c>
      <c r="BR25" t="s">
        <v>243</v>
      </c>
      <c r="BS25" t="s">
        <v>243</v>
      </c>
      <c r="BT25" t="s">
        <v>243</v>
      </c>
      <c r="BU25" t="s">
        <v>243</v>
      </c>
      <c r="BV25" t="s">
        <v>2829</v>
      </c>
      <c r="BW25" t="s">
        <v>243</v>
      </c>
      <c r="BX25" t="s">
        <v>243</v>
      </c>
      <c r="BY25" t="s">
        <v>243</v>
      </c>
      <c r="BZ25" t="s">
        <v>243</v>
      </c>
      <c r="CA25" t="s">
        <v>243</v>
      </c>
      <c r="CB25" t="s">
        <v>3134</v>
      </c>
      <c r="CC25" t="s">
        <v>3134</v>
      </c>
      <c r="CD25" t="s">
        <v>243</v>
      </c>
      <c r="CE25" t="s">
        <v>243</v>
      </c>
      <c r="CF25" t="s">
        <v>243</v>
      </c>
      <c r="CG25" t="s">
        <v>243</v>
      </c>
      <c r="CH25" t="s">
        <v>2829</v>
      </c>
      <c r="CI25" t="s">
        <v>243</v>
      </c>
      <c r="CJ25" t="s">
        <v>243</v>
      </c>
      <c r="CK25" t="s">
        <v>243</v>
      </c>
      <c r="CL25" t="s">
        <v>243</v>
      </c>
      <c r="CM25" t="s">
        <v>243</v>
      </c>
      <c r="CN25" t="s">
        <v>3030</v>
      </c>
      <c r="CO25" t="s">
        <v>2843</v>
      </c>
      <c r="CP25" t="s">
        <v>2844</v>
      </c>
      <c r="CQ25" t="s">
        <v>430</v>
      </c>
      <c r="CR25" t="s">
        <v>3033</v>
      </c>
      <c r="CS25" t="s">
        <v>431</v>
      </c>
      <c r="CT25" t="s">
        <v>430</v>
      </c>
      <c r="CU25" t="s">
        <v>3034</v>
      </c>
      <c r="CV25" t="s">
        <v>432</v>
      </c>
      <c r="CW25" t="s">
        <v>3033</v>
      </c>
      <c r="CX25" t="s">
        <v>2848</v>
      </c>
      <c r="CY25" t="s">
        <v>3135</v>
      </c>
    </row>
    <row r="26" spans="1:103" ht="11.25" customHeight="1">
      <c r="A26" t="s">
        <v>243</v>
      </c>
      <c r="B26" t="s">
        <v>243</v>
      </c>
      <c r="C26" t="s">
        <v>243</v>
      </c>
      <c r="D26" t="s">
        <v>243</v>
      </c>
      <c r="E26" t="s">
        <v>243</v>
      </c>
      <c r="F26" t="s">
        <v>2816</v>
      </c>
      <c r="G26" t="s">
        <v>243</v>
      </c>
      <c r="H26" t="s">
        <v>243</v>
      </c>
      <c r="I26" t="s">
        <v>3136</v>
      </c>
      <c r="J26" t="s">
        <v>243</v>
      </c>
      <c r="K26" t="s">
        <v>3137</v>
      </c>
      <c r="L26" t="s">
        <v>243</v>
      </c>
      <c r="M26" t="s">
        <v>114</v>
      </c>
      <c r="N26" t="s">
        <v>243</v>
      </c>
      <c r="O26" t="s">
        <v>2819</v>
      </c>
      <c r="P26" t="s">
        <v>2820</v>
      </c>
      <c r="Q26" t="s">
        <v>2821</v>
      </c>
      <c r="R26" t="s">
        <v>200</v>
      </c>
      <c r="S26" t="s">
        <v>200</v>
      </c>
      <c r="T26" t="s">
        <v>2933</v>
      </c>
      <c r="U26" t="s">
        <v>2933</v>
      </c>
      <c r="V26" t="s">
        <v>2934</v>
      </c>
      <c r="W26" t="s">
        <v>3138</v>
      </c>
      <c r="X26" t="s">
        <v>3139</v>
      </c>
      <c r="Y26" t="s">
        <v>3140</v>
      </c>
      <c r="Z26" t="s">
        <v>3141</v>
      </c>
      <c r="AA26" t="s">
        <v>3142</v>
      </c>
      <c r="AB26" t="s">
        <v>3143</v>
      </c>
      <c r="AC26" t="s">
        <v>2829</v>
      </c>
      <c r="AD26" t="s">
        <v>2883</v>
      </c>
      <c r="AE26" t="s">
        <v>2831</v>
      </c>
      <c r="AF26" t="s">
        <v>3144</v>
      </c>
      <c r="AG26" t="s">
        <v>3145</v>
      </c>
      <c r="AH26" t="s">
        <v>2834</v>
      </c>
      <c r="AI26" t="s">
        <v>2835</v>
      </c>
      <c r="AJ26" t="s">
        <v>3146</v>
      </c>
      <c r="AK26" t="s">
        <v>3147</v>
      </c>
      <c r="AL26" t="s">
        <v>3005</v>
      </c>
      <c r="AM26" t="s">
        <v>3148</v>
      </c>
      <c r="AN26" t="s">
        <v>2829</v>
      </c>
      <c r="AO26" t="s">
        <v>2839</v>
      </c>
      <c r="AP26" t="s">
        <v>2840</v>
      </c>
      <c r="AQ26" t="s">
        <v>2841</v>
      </c>
      <c r="AR26" t="s">
        <v>3149</v>
      </c>
      <c r="AS26" t="s">
        <v>3149</v>
      </c>
      <c r="AT26" t="s">
        <v>2829</v>
      </c>
      <c r="AU26" t="s">
        <v>2829</v>
      </c>
      <c r="AV26" t="s">
        <v>2829</v>
      </c>
      <c r="AW26" t="s">
        <v>2829</v>
      </c>
      <c r="AX26" t="s">
        <v>2829</v>
      </c>
      <c r="AY26" t="s">
        <v>2829</v>
      </c>
      <c r="AZ26" t="s">
        <v>2829</v>
      </c>
      <c r="BA26" t="s">
        <v>2829</v>
      </c>
      <c r="BB26" t="s">
        <v>2829</v>
      </c>
      <c r="BC26" t="s">
        <v>2829</v>
      </c>
      <c r="BD26" t="s">
        <v>3066</v>
      </c>
      <c r="BE26" t="s">
        <v>3066</v>
      </c>
      <c r="BF26" t="s">
        <v>243</v>
      </c>
      <c r="BG26" t="s">
        <v>243</v>
      </c>
      <c r="BH26" t="s">
        <v>243</v>
      </c>
      <c r="BI26" t="s">
        <v>243</v>
      </c>
      <c r="BJ26" t="s">
        <v>2829</v>
      </c>
      <c r="BK26" t="s">
        <v>243</v>
      </c>
      <c r="BL26" t="s">
        <v>243</v>
      </c>
      <c r="BM26" t="s">
        <v>243</v>
      </c>
      <c r="BN26" t="s">
        <v>243</v>
      </c>
      <c r="BO26" t="s">
        <v>243</v>
      </c>
      <c r="BP26" t="s">
        <v>3058</v>
      </c>
      <c r="BQ26" t="s">
        <v>3058</v>
      </c>
      <c r="BR26" t="s">
        <v>243</v>
      </c>
      <c r="BS26" t="s">
        <v>243</v>
      </c>
      <c r="BT26" t="s">
        <v>243</v>
      </c>
      <c r="BU26" t="s">
        <v>243</v>
      </c>
      <c r="BV26" t="s">
        <v>2829</v>
      </c>
      <c r="BW26" t="s">
        <v>243</v>
      </c>
      <c r="BX26" t="s">
        <v>243</v>
      </c>
      <c r="BY26" t="s">
        <v>243</v>
      </c>
      <c r="BZ26" t="s">
        <v>243</v>
      </c>
      <c r="CA26" t="s">
        <v>243</v>
      </c>
      <c r="CB26" t="s">
        <v>2829</v>
      </c>
      <c r="CC26" t="s">
        <v>243</v>
      </c>
      <c r="CD26" t="s">
        <v>243</v>
      </c>
      <c r="CE26" t="s">
        <v>243</v>
      </c>
      <c r="CF26" t="s">
        <v>243</v>
      </c>
      <c r="CG26" t="s">
        <v>243</v>
      </c>
      <c r="CH26" t="s">
        <v>2829</v>
      </c>
      <c r="CI26" t="s">
        <v>243</v>
      </c>
      <c r="CJ26" t="s">
        <v>243</v>
      </c>
      <c r="CK26" t="s">
        <v>243</v>
      </c>
      <c r="CL26" t="s">
        <v>243</v>
      </c>
      <c r="CM26" t="s">
        <v>243</v>
      </c>
      <c r="CN26" t="s">
        <v>3150</v>
      </c>
      <c r="CO26" t="s">
        <v>2843</v>
      </c>
      <c r="CP26" t="s">
        <v>2844</v>
      </c>
      <c r="CQ26" t="s">
        <v>430</v>
      </c>
      <c r="CR26" t="s">
        <v>3151</v>
      </c>
      <c r="CS26" t="s">
        <v>266</v>
      </c>
      <c r="CT26" t="s">
        <v>430</v>
      </c>
      <c r="CU26" t="s">
        <v>440</v>
      </c>
      <c r="CV26" t="s">
        <v>3152</v>
      </c>
      <c r="CW26" t="s">
        <v>3151</v>
      </c>
      <c r="CX26" t="s">
        <v>2848</v>
      </c>
      <c r="CY26" t="s">
        <v>3153</v>
      </c>
    </row>
    <row r="27" spans="1:103" ht="11.25" customHeight="1">
      <c r="A27" t="s">
        <v>243</v>
      </c>
      <c r="B27" t="s">
        <v>243</v>
      </c>
      <c r="C27" t="s">
        <v>243</v>
      </c>
      <c r="D27" t="s">
        <v>243</v>
      </c>
      <c r="E27" t="s">
        <v>243</v>
      </c>
      <c r="F27" t="s">
        <v>2816</v>
      </c>
      <c r="G27" t="s">
        <v>243</v>
      </c>
      <c r="H27" t="s">
        <v>243</v>
      </c>
      <c r="I27" t="s">
        <v>3154</v>
      </c>
      <c r="J27" t="s">
        <v>243</v>
      </c>
      <c r="K27" t="s">
        <v>433</v>
      </c>
      <c r="L27" t="s">
        <v>243</v>
      </c>
      <c r="M27" t="s">
        <v>114</v>
      </c>
      <c r="N27" t="s">
        <v>243</v>
      </c>
      <c r="O27" t="s">
        <v>2819</v>
      </c>
      <c r="P27" t="s">
        <v>2820</v>
      </c>
      <c r="Q27" t="s">
        <v>2821</v>
      </c>
      <c r="R27" t="s">
        <v>200</v>
      </c>
      <c r="S27" t="s">
        <v>200</v>
      </c>
      <c r="T27" t="s">
        <v>405</v>
      </c>
      <c r="U27" t="s">
        <v>405</v>
      </c>
      <c r="V27" t="s">
        <v>406</v>
      </c>
      <c r="W27" t="s">
        <v>3155</v>
      </c>
      <c r="X27" t="s">
        <v>3156</v>
      </c>
      <c r="Y27" t="s">
        <v>3157</v>
      </c>
      <c r="Z27" t="s">
        <v>463</v>
      </c>
      <c r="AA27" t="s">
        <v>3158</v>
      </c>
      <c r="AB27" t="s">
        <v>3159</v>
      </c>
      <c r="AC27" t="s">
        <v>3160</v>
      </c>
      <c r="AD27" t="s">
        <v>2830</v>
      </c>
      <c r="AE27" t="s">
        <v>2831</v>
      </c>
      <c r="AF27" t="s">
        <v>3161</v>
      </c>
      <c r="AG27" t="s">
        <v>3162</v>
      </c>
      <c r="AH27" t="s">
        <v>2834</v>
      </c>
      <c r="AI27" t="s">
        <v>2887</v>
      </c>
      <c r="AJ27" t="s">
        <v>3163</v>
      </c>
      <c r="AK27" t="s">
        <v>3164</v>
      </c>
      <c r="AL27" t="s">
        <v>3165</v>
      </c>
      <c r="AM27" t="s">
        <v>3159</v>
      </c>
      <c r="AN27" t="s">
        <v>3160</v>
      </c>
      <c r="AO27" t="s">
        <v>2839</v>
      </c>
      <c r="AP27" t="s">
        <v>3166</v>
      </c>
      <c r="AQ27" t="s">
        <v>2841</v>
      </c>
      <c r="AR27" t="s">
        <v>3167</v>
      </c>
      <c r="AS27" t="s">
        <v>3168</v>
      </c>
      <c r="AT27" t="s">
        <v>3169</v>
      </c>
      <c r="AU27" t="s">
        <v>2829</v>
      </c>
      <c r="AV27" t="s">
        <v>2829</v>
      </c>
      <c r="AW27" t="s">
        <v>2829</v>
      </c>
      <c r="AX27" t="s">
        <v>3170</v>
      </c>
      <c r="AY27" t="s">
        <v>3170</v>
      </c>
      <c r="AZ27" t="s">
        <v>2829</v>
      </c>
      <c r="BA27" t="s">
        <v>2829</v>
      </c>
      <c r="BB27" t="s">
        <v>2829</v>
      </c>
      <c r="BC27" t="s">
        <v>2829</v>
      </c>
      <c r="BD27" t="s">
        <v>3171</v>
      </c>
      <c r="BE27" t="s">
        <v>3172</v>
      </c>
      <c r="BF27" t="s">
        <v>3169</v>
      </c>
      <c r="BG27" t="s">
        <v>2829</v>
      </c>
      <c r="BH27" t="s">
        <v>2829</v>
      </c>
      <c r="BI27" t="s">
        <v>2829</v>
      </c>
      <c r="BJ27" t="s">
        <v>3173</v>
      </c>
      <c r="BK27" t="s">
        <v>3173</v>
      </c>
      <c r="BL27" t="s">
        <v>2829</v>
      </c>
      <c r="BM27" t="s">
        <v>2829</v>
      </c>
      <c r="BN27" t="s">
        <v>2829</v>
      </c>
      <c r="BO27" t="s">
        <v>2829</v>
      </c>
      <c r="BP27" t="s">
        <v>3174</v>
      </c>
      <c r="BQ27" t="s">
        <v>3174</v>
      </c>
      <c r="BR27" t="s">
        <v>2829</v>
      </c>
      <c r="BS27" t="s">
        <v>2829</v>
      </c>
      <c r="BT27" t="s">
        <v>2829</v>
      </c>
      <c r="BU27" t="s">
        <v>2829</v>
      </c>
      <c r="BV27" t="s">
        <v>3175</v>
      </c>
      <c r="BW27" t="s">
        <v>3175</v>
      </c>
      <c r="BX27" t="s">
        <v>2829</v>
      </c>
      <c r="BY27" t="s">
        <v>2829</v>
      </c>
      <c r="BZ27" t="s">
        <v>2829</v>
      </c>
      <c r="CA27" t="s">
        <v>2829</v>
      </c>
      <c r="CB27" t="s">
        <v>2829</v>
      </c>
      <c r="CC27" t="s">
        <v>243</v>
      </c>
      <c r="CD27" t="s">
        <v>243</v>
      </c>
      <c r="CE27" t="s">
        <v>243</v>
      </c>
      <c r="CF27" t="s">
        <v>243</v>
      </c>
      <c r="CG27" t="s">
        <v>243</v>
      </c>
      <c r="CH27" t="s">
        <v>2829</v>
      </c>
      <c r="CI27" t="s">
        <v>243</v>
      </c>
      <c r="CJ27" t="s">
        <v>243</v>
      </c>
      <c r="CK27" t="s">
        <v>243</v>
      </c>
      <c r="CL27" t="s">
        <v>243</v>
      </c>
      <c r="CM27" t="s">
        <v>243</v>
      </c>
      <c r="CN27" t="s">
        <v>3176</v>
      </c>
      <c r="CO27" t="s">
        <v>2843</v>
      </c>
      <c r="CP27" t="s">
        <v>2844</v>
      </c>
      <c r="CQ27" t="s">
        <v>430</v>
      </c>
      <c r="CR27" t="s">
        <v>3151</v>
      </c>
      <c r="CS27" t="s">
        <v>431</v>
      </c>
      <c r="CT27" t="s">
        <v>430</v>
      </c>
      <c r="CU27" t="s">
        <v>268</v>
      </c>
      <c r="CV27" t="s">
        <v>432</v>
      </c>
      <c r="CW27" t="s">
        <v>3151</v>
      </c>
      <c r="CX27" t="s">
        <v>2848</v>
      </c>
      <c r="CY27" t="s">
        <v>434</v>
      </c>
    </row>
    <row r="28" spans="1:103" ht="11.25" customHeight="1">
      <c r="A28" t="s">
        <v>243</v>
      </c>
      <c r="B28" t="s">
        <v>243</v>
      </c>
      <c r="C28" t="s">
        <v>243</v>
      </c>
      <c r="D28" t="s">
        <v>243</v>
      </c>
      <c r="E28" t="s">
        <v>243</v>
      </c>
      <c r="F28" t="s">
        <v>2816</v>
      </c>
      <c r="G28" t="s">
        <v>243</v>
      </c>
      <c r="H28" t="s">
        <v>243</v>
      </c>
      <c r="I28" t="s">
        <v>3177</v>
      </c>
      <c r="J28" t="s">
        <v>243</v>
      </c>
      <c r="K28" t="s">
        <v>3178</v>
      </c>
      <c r="L28" t="s">
        <v>243</v>
      </c>
      <c r="M28" t="s">
        <v>114</v>
      </c>
      <c r="N28" t="s">
        <v>243</v>
      </c>
      <c r="O28" t="s">
        <v>2819</v>
      </c>
      <c r="P28" t="s">
        <v>2820</v>
      </c>
      <c r="Q28" t="s">
        <v>2821</v>
      </c>
      <c r="R28" t="s">
        <v>200</v>
      </c>
      <c r="S28" t="s">
        <v>200</v>
      </c>
      <c r="T28" t="s">
        <v>3048</v>
      </c>
      <c r="U28" t="s">
        <v>3048</v>
      </c>
      <c r="V28" t="s">
        <v>3049</v>
      </c>
      <c r="W28" t="s">
        <v>3179</v>
      </c>
      <c r="X28" t="s">
        <v>3180</v>
      </c>
      <c r="Y28" t="s">
        <v>3181</v>
      </c>
      <c r="Z28" t="s">
        <v>440</v>
      </c>
      <c r="AA28" t="s">
        <v>3182</v>
      </c>
      <c r="AB28" t="s">
        <v>3183</v>
      </c>
      <c r="AC28" t="s">
        <v>2829</v>
      </c>
      <c r="AD28" t="s">
        <v>2883</v>
      </c>
      <c r="AE28" t="s">
        <v>2831</v>
      </c>
      <c r="AF28" t="s">
        <v>3055</v>
      </c>
      <c r="AG28" t="s">
        <v>3055</v>
      </c>
      <c r="AH28" t="s">
        <v>2834</v>
      </c>
      <c r="AI28" t="s">
        <v>2835</v>
      </c>
      <c r="AJ28" t="s">
        <v>3184</v>
      </c>
      <c r="AK28" t="s">
        <v>3185</v>
      </c>
      <c r="AL28" t="s">
        <v>3182</v>
      </c>
      <c r="AM28" t="s">
        <v>3183</v>
      </c>
      <c r="AN28" t="s">
        <v>2829</v>
      </c>
      <c r="AO28" t="s">
        <v>2839</v>
      </c>
      <c r="AP28" t="s">
        <v>2840</v>
      </c>
      <c r="AQ28" t="s">
        <v>2841</v>
      </c>
      <c r="AR28" t="s">
        <v>3186</v>
      </c>
      <c r="AS28" t="s">
        <v>3186</v>
      </c>
      <c r="AT28" t="s">
        <v>2829</v>
      </c>
      <c r="AU28" t="s">
        <v>2829</v>
      </c>
      <c r="AV28" t="s">
        <v>2829</v>
      </c>
      <c r="AW28" t="s">
        <v>2829</v>
      </c>
      <c r="AX28" t="s">
        <v>2829</v>
      </c>
      <c r="AY28" t="s">
        <v>2829</v>
      </c>
      <c r="AZ28" t="s">
        <v>2829</v>
      </c>
      <c r="BA28" t="s">
        <v>2829</v>
      </c>
      <c r="BB28" t="s">
        <v>2829</v>
      </c>
      <c r="BC28" t="s">
        <v>2829</v>
      </c>
      <c r="BD28" t="s">
        <v>3186</v>
      </c>
      <c r="BE28" t="s">
        <v>3186</v>
      </c>
      <c r="BF28" t="s">
        <v>243</v>
      </c>
      <c r="BG28" t="s">
        <v>243</v>
      </c>
      <c r="BH28" t="s">
        <v>243</v>
      </c>
      <c r="BI28" t="s">
        <v>243</v>
      </c>
      <c r="BJ28" t="s">
        <v>2829</v>
      </c>
      <c r="BK28" t="s">
        <v>243</v>
      </c>
      <c r="BL28" t="s">
        <v>243</v>
      </c>
      <c r="BM28" t="s">
        <v>243</v>
      </c>
      <c r="BN28" t="s">
        <v>243</v>
      </c>
      <c r="BO28" t="s">
        <v>243</v>
      </c>
      <c r="BP28" t="s">
        <v>2829</v>
      </c>
      <c r="BQ28" t="s">
        <v>243</v>
      </c>
      <c r="BR28" t="s">
        <v>243</v>
      </c>
      <c r="BS28" t="s">
        <v>243</v>
      </c>
      <c r="BT28" t="s">
        <v>243</v>
      </c>
      <c r="BU28" t="s">
        <v>243</v>
      </c>
      <c r="BV28" t="s">
        <v>2829</v>
      </c>
      <c r="BW28" t="s">
        <v>243</v>
      </c>
      <c r="BX28" t="s">
        <v>243</v>
      </c>
      <c r="BY28" t="s">
        <v>243</v>
      </c>
      <c r="BZ28" t="s">
        <v>243</v>
      </c>
      <c r="CA28" t="s">
        <v>243</v>
      </c>
      <c r="CB28" t="s">
        <v>2829</v>
      </c>
      <c r="CC28" t="s">
        <v>243</v>
      </c>
      <c r="CD28" t="s">
        <v>243</v>
      </c>
      <c r="CE28" t="s">
        <v>243</v>
      </c>
      <c r="CF28" t="s">
        <v>243</v>
      </c>
      <c r="CG28" t="s">
        <v>243</v>
      </c>
      <c r="CH28" t="s">
        <v>2829</v>
      </c>
      <c r="CI28" t="s">
        <v>243</v>
      </c>
      <c r="CJ28" t="s">
        <v>243</v>
      </c>
      <c r="CK28" t="s">
        <v>243</v>
      </c>
      <c r="CL28" t="s">
        <v>243</v>
      </c>
      <c r="CM28" t="s">
        <v>243</v>
      </c>
      <c r="CN28" t="s">
        <v>3187</v>
      </c>
      <c r="CO28" t="s">
        <v>2843</v>
      </c>
      <c r="CP28" t="s">
        <v>2844</v>
      </c>
      <c r="CQ28" t="s">
        <v>470</v>
      </c>
      <c r="CR28" t="s">
        <v>2872</v>
      </c>
      <c r="CS28" t="s">
        <v>431</v>
      </c>
      <c r="CT28" t="s">
        <v>470</v>
      </c>
      <c r="CU28" t="s">
        <v>3061</v>
      </c>
      <c r="CV28" t="s">
        <v>3062</v>
      </c>
      <c r="CW28" t="s">
        <v>2872</v>
      </c>
      <c r="CX28" t="s">
        <v>2848</v>
      </c>
      <c r="CY28" t="s">
        <v>3188</v>
      </c>
    </row>
    <row r="29" spans="1:103" ht="11.25" customHeight="1">
      <c r="A29" t="s">
        <v>243</v>
      </c>
      <c r="B29" t="s">
        <v>243</v>
      </c>
      <c r="C29" t="s">
        <v>243</v>
      </c>
      <c r="D29" t="s">
        <v>243</v>
      </c>
      <c r="E29" t="s">
        <v>243</v>
      </c>
      <c r="F29" t="s">
        <v>2816</v>
      </c>
      <c r="G29" t="s">
        <v>243</v>
      </c>
      <c r="H29" t="s">
        <v>243</v>
      </c>
      <c r="I29" t="s">
        <v>3189</v>
      </c>
      <c r="J29" t="s">
        <v>243</v>
      </c>
      <c r="K29" t="s">
        <v>452</v>
      </c>
      <c r="L29" t="s">
        <v>243</v>
      </c>
      <c r="M29" t="s">
        <v>114</v>
      </c>
      <c r="N29" t="s">
        <v>243</v>
      </c>
      <c r="O29" t="s">
        <v>2819</v>
      </c>
      <c r="P29" t="s">
        <v>2820</v>
      </c>
      <c r="Q29" t="s">
        <v>2821</v>
      </c>
      <c r="R29" t="s">
        <v>200</v>
      </c>
      <c r="S29" t="s">
        <v>200</v>
      </c>
      <c r="T29" t="s">
        <v>2822</v>
      </c>
      <c r="U29" t="s">
        <v>2822</v>
      </c>
      <c r="V29" t="s">
        <v>2823</v>
      </c>
      <c r="W29" t="s">
        <v>3190</v>
      </c>
      <c r="X29" t="s">
        <v>3191</v>
      </c>
      <c r="Y29" t="s">
        <v>3192</v>
      </c>
      <c r="Z29" t="s">
        <v>466</v>
      </c>
      <c r="AA29" t="s">
        <v>3193</v>
      </c>
      <c r="AB29" t="s">
        <v>3194</v>
      </c>
      <c r="AC29" t="s">
        <v>2829</v>
      </c>
      <c r="AD29" t="s">
        <v>2830</v>
      </c>
      <c r="AE29" t="s">
        <v>2831</v>
      </c>
      <c r="AF29" t="s">
        <v>3195</v>
      </c>
      <c r="AG29" t="s">
        <v>3195</v>
      </c>
      <c r="AH29" t="s">
        <v>2834</v>
      </c>
      <c r="AI29" t="s">
        <v>2835</v>
      </c>
      <c r="AJ29" t="s">
        <v>2960</v>
      </c>
      <c r="AK29" t="s">
        <v>3196</v>
      </c>
      <c r="AL29" t="s">
        <v>3193</v>
      </c>
      <c r="AM29" t="s">
        <v>3194</v>
      </c>
      <c r="AN29" t="s">
        <v>2829</v>
      </c>
      <c r="AO29" t="s">
        <v>2839</v>
      </c>
      <c r="AP29" t="s">
        <v>2840</v>
      </c>
      <c r="AQ29" t="s">
        <v>2841</v>
      </c>
      <c r="AR29" t="s">
        <v>3197</v>
      </c>
      <c r="AS29" t="s">
        <v>3197</v>
      </c>
      <c r="AT29" t="s">
        <v>2829</v>
      </c>
      <c r="AU29" t="s">
        <v>2829</v>
      </c>
      <c r="AV29" t="s">
        <v>2829</v>
      </c>
      <c r="AW29" t="s">
        <v>2829</v>
      </c>
      <c r="AX29" t="s">
        <v>2829</v>
      </c>
      <c r="AY29" t="s">
        <v>2829</v>
      </c>
      <c r="AZ29" t="s">
        <v>2829</v>
      </c>
      <c r="BA29" t="s">
        <v>2829</v>
      </c>
      <c r="BB29" t="s">
        <v>2829</v>
      </c>
      <c r="BC29" t="s">
        <v>2829</v>
      </c>
      <c r="BD29" t="s">
        <v>3197</v>
      </c>
      <c r="BE29" t="s">
        <v>3197</v>
      </c>
      <c r="BF29" t="s">
        <v>243</v>
      </c>
      <c r="BG29" t="s">
        <v>243</v>
      </c>
      <c r="BH29" t="s">
        <v>243</v>
      </c>
      <c r="BI29" t="s">
        <v>243</v>
      </c>
      <c r="BJ29" t="s">
        <v>2829</v>
      </c>
      <c r="BK29" t="s">
        <v>243</v>
      </c>
      <c r="BL29" t="s">
        <v>243</v>
      </c>
      <c r="BM29" t="s">
        <v>243</v>
      </c>
      <c r="BN29" t="s">
        <v>243</v>
      </c>
      <c r="BO29" t="s">
        <v>243</v>
      </c>
      <c r="BP29" t="s">
        <v>2829</v>
      </c>
      <c r="BQ29" t="s">
        <v>243</v>
      </c>
      <c r="BR29" t="s">
        <v>243</v>
      </c>
      <c r="BS29" t="s">
        <v>243</v>
      </c>
      <c r="BT29" t="s">
        <v>243</v>
      </c>
      <c r="BU29" t="s">
        <v>243</v>
      </c>
      <c r="BV29" t="s">
        <v>2829</v>
      </c>
      <c r="BW29" t="s">
        <v>243</v>
      </c>
      <c r="BX29" t="s">
        <v>243</v>
      </c>
      <c r="BY29" t="s">
        <v>243</v>
      </c>
      <c r="BZ29" t="s">
        <v>243</v>
      </c>
      <c r="CA29" t="s">
        <v>243</v>
      </c>
      <c r="CB29" t="s">
        <v>2829</v>
      </c>
      <c r="CC29" t="s">
        <v>243</v>
      </c>
      <c r="CD29" t="s">
        <v>243</v>
      </c>
      <c r="CE29" t="s">
        <v>243</v>
      </c>
      <c r="CF29" t="s">
        <v>243</v>
      </c>
      <c r="CG29" t="s">
        <v>243</v>
      </c>
      <c r="CH29" t="s">
        <v>2829</v>
      </c>
      <c r="CI29" t="s">
        <v>243</v>
      </c>
      <c r="CJ29" t="s">
        <v>243</v>
      </c>
      <c r="CK29" t="s">
        <v>243</v>
      </c>
      <c r="CL29" t="s">
        <v>243</v>
      </c>
      <c r="CM29" t="s">
        <v>243</v>
      </c>
      <c r="CN29" t="s">
        <v>2960</v>
      </c>
      <c r="CO29" t="s">
        <v>2843</v>
      </c>
      <c r="CP29" t="s">
        <v>2844</v>
      </c>
      <c r="CQ29" t="s">
        <v>430</v>
      </c>
      <c r="CR29" t="s">
        <v>2845</v>
      </c>
      <c r="CS29" t="s">
        <v>431</v>
      </c>
      <c r="CT29" t="s">
        <v>430</v>
      </c>
      <c r="CU29" t="s">
        <v>2846</v>
      </c>
      <c r="CV29" t="s">
        <v>2847</v>
      </c>
      <c r="CW29" t="s">
        <v>2845</v>
      </c>
      <c r="CX29" t="s">
        <v>2848</v>
      </c>
      <c r="CY29" t="s">
        <v>3198</v>
      </c>
    </row>
    <row r="30" spans="1:103" ht="11.25" customHeight="1">
      <c r="A30" t="s">
        <v>243</v>
      </c>
      <c r="B30" t="s">
        <v>243</v>
      </c>
      <c r="C30" t="s">
        <v>243</v>
      </c>
      <c r="D30" t="s">
        <v>243</v>
      </c>
      <c r="E30" t="s">
        <v>243</v>
      </c>
      <c r="F30" t="s">
        <v>2816</v>
      </c>
      <c r="G30" t="s">
        <v>243</v>
      </c>
      <c r="H30" t="s">
        <v>243</v>
      </c>
      <c r="I30" t="s">
        <v>3199</v>
      </c>
      <c r="J30" t="s">
        <v>243</v>
      </c>
      <c r="K30" t="s">
        <v>2818</v>
      </c>
      <c r="L30" t="s">
        <v>243</v>
      </c>
      <c r="M30" t="s">
        <v>114</v>
      </c>
      <c r="N30" t="s">
        <v>243</v>
      </c>
      <c r="O30" t="s">
        <v>2819</v>
      </c>
      <c r="P30" t="s">
        <v>2820</v>
      </c>
      <c r="Q30" t="s">
        <v>2821</v>
      </c>
      <c r="R30" t="s">
        <v>200</v>
      </c>
      <c r="S30" t="s">
        <v>200</v>
      </c>
      <c r="T30" t="s">
        <v>2822</v>
      </c>
      <c r="U30" t="s">
        <v>2822</v>
      </c>
      <c r="V30" t="s">
        <v>2823</v>
      </c>
      <c r="W30" t="s">
        <v>3200</v>
      </c>
      <c r="X30" t="s">
        <v>3201</v>
      </c>
      <c r="Y30" t="s">
        <v>2929</v>
      </c>
      <c r="Z30" t="s">
        <v>3202</v>
      </c>
      <c r="AA30" t="s">
        <v>2865</v>
      </c>
      <c r="AB30" t="s">
        <v>3203</v>
      </c>
      <c r="AC30" t="s">
        <v>2829</v>
      </c>
      <c r="AD30" t="s">
        <v>2830</v>
      </c>
      <c r="AE30" t="s">
        <v>2857</v>
      </c>
      <c r="AF30" t="s">
        <v>2867</v>
      </c>
      <c r="AG30" t="s">
        <v>2867</v>
      </c>
      <c r="AH30" t="s">
        <v>2834</v>
      </c>
      <c r="AI30" t="s">
        <v>2835</v>
      </c>
      <c r="AJ30" t="s">
        <v>2829</v>
      </c>
      <c r="AK30" t="s">
        <v>2868</v>
      </c>
      <c r="AL30" t="s">
        <v>2865</v>
      </c>
      <c r="AM30" t="s">
        <v>2923</v>
      </c>
      <c r="AN30" t="s">
        <v>2829</v>
      </c>
      <c r="AO30" t="s">
        <v>2839</v>
      </c>
      <c r="AP30" t="s">
        <v>2840</v>
      </c>
      <c r="AQ30" t="s">
        <v>2841</v>
      </c>
      <c r="AR30" t="s">
        <v>3204</v>
      </c>
      <c r="AS30" t="s">
        <v>3204</v>
      </c>
      <c r="AT30" t="s">
        <v>2829</v>
      </c>
      <c r="AU30" t="s">
        <v>2829</v>
      </c>
      <c r="AV30" t="s">
        <v>2829</v>
      </c>
      <c r="AW30" t="s">
        <v>2829</v>
      </c>
      <c r="AX30" t="s">
        <v>3205</v>
      </c>
      <c r="AY30" t="s">
        <v>3205</v>
      </c>
      <c r="AZ30" t="s">
        <v>2829</v>
      </c>
      <c r="BA30" t="s">
        <v>2829</v>
      </c>
      <c r="BB30" t="s">
        <v>2829</v>
      </c>
      <c r="BC30" t="s">
        <v>2829</v>
      </c>
      <c r="BD30" t="s">
        <v>3206</v>
      </c>
      <c r="BE30" t="s">
        <v>3206</v>
      </c>
      <c r="BF30" t="s">
        <v>243</v>
      </c>
      <c r="BG30" t="s">
        <v>243</v>
      </c>
      <c r="BH30" t="s">
        <v>243</v>
      </c>
      <c r="BI30" t="s">
        <v>243</v>
      </c>
      <c r="BJ30" t="s">
        <v>3206</v>
      </c>
      <c r="BK30" t="s">
        <v>3206</v>
      </c>
      <c r="BL30" t="s">
        <v>243</v>
      </c>
      <c r="BM30" t="s">
        <v>243</v>
      </c>
      <c r="BN30" t="s">
        <v>243</v>
      </c>
      <c r="BO30" t="s">
        <v>243</v>
      </c>
      <c r="BP30" t="s">
        <v>3207</v>
      </c>
      <c r="BQ30" t="s">
        <v>3207</v>
      </c>
      <c r="BR30" t="s">
        <v>243</v>
      </c>
      <c r="BS30" t="s">
        <v>243</v>
      </c>
      <c r="BT30" t="s">
        <v>243</v>
      </c>
      <c r="BU30" t="s">
        <v>243</v>
      </c>
      <c r="BV30" t="s">
        <v>3208</v>
      </c>
      <c r="BW30" t="s">
        <v>3208</v>
      </c>
      <c r="BX30" t="s">
        <v>243</v>
      </c>
      <c r="BY30" t="s">
        <v>243</v>
      </c>
      <c r="BZ30" t="s">
        <v>243</v>
      </c>
      <c r="CA30" t="s">
        <v>243</v>
      </c>
      <c r="CB30" t="s">
        <v>2829</v>
      </c>
      <c r="CC30" t="s">
        <v>243</v>
      </c>
      <c r="CD30" t="s">
        <v>243</v>
      </c>
      <c r="CE30" t="s">
        <v>243</v>
      </c>
      <c r="CF30" t="s">
        <v>243</v>
      </c>
      <c r="CG30" t="s">
        <v>243</v>
      </c>
      <c r="CH30" t="s">
        <v>2829</v>
      </c>
      <c r="CI30" t="s">
        <v>243</v>
      </c>
      <c r="CJ30" t="s">
        <v>243</v>
      </c>
      <c r="CK30" t="s">
        <v>243</v>
      </c>
      <c r="CL30" t="s">
        <v>243</v>
      </c>
      <c r="CM30" t="s">
        <v>243</v>
      </c>
      <c r="CN30" t="s">
        <v>2829</v>
      </c>
      <c r="CO30" t="s">
        <v>2843</v>
      </c>
      <c r="CP30" t="s">
        <v>2844</v>
      </c>
      <c r="CQ30" t="s">
        <v>430</v>
      </c>
      <c r="CR30" t="s">
        <v>2872</v>
      </c>
      <c r="CS30" t="s">
        <v>431</v>
      </c>
      <c r="CT30" t="s">
        <v>430</v>
      </c>
      <c r="CU30" t="s">
        <v>2846</v>
      </c>
      <c r="CV30" t="s">
        <v>2873</v>
      </c>
      <c r="CW30" t="s">
        <v>2872</v>
      </c>
      <c r="CX30" t="s">
        <v>2848</v>
      </c>
      <c r="CY30" t="s">
        <v>3209</v>
      </c>
    </row>
    <row r="31" spans="1:103" ht="11.25" customHeight="1">
      <c r="A31" t="s">
        <v>243</v>
      </c>
      <c r="B31" t="s">
        <v>243</v>
      </c>
      <c r="C31" t="s">
        <v>243</v>
      </c>
      <c r="D31" t="s">
        <v>243</v>
      </c>
      <c r="E31" t="s">
        <v>243</v>
      </c>
      <c r="F31" t="s">
        <v>2816</v>
      </c>
      <c r="G31" t="s">
        <v>243</v>
      </c>
      <c r="H31" t="s">
        <v>243</v>
      </c>
      <c r="I31" t="s">
        <v>451</v>
      </c>
      <c r="J31" t="s">
        <v>243</v>
      </c>
      <c r="K31" t="s">
        <v>3210</v>
      </c>
      <c r="L31" t="s">
        <v>243</v>
      </c>
      <c r="M31" t="s">
        <v>114</v>
      </c>
      <c r="N31" t="s">
        <v>243</v>
      </c>
      <c r="O31" t="s">
        <v>2819</v>
      </c>
      <c r="P31" t="s">
        <v>2820</v>
      </c>
      <c r="Q31" t="s">
        <v>2821</v>
      </c>
      <c r="R31" t="s">
        <v>200</v>
      </c>
      <c r="S31" t="s">
        <v>200</v>
      </c>
      <c r="T31" t="s">
        <v>2875</v>
      </c>
      <c r="U31" t="s">
        <v>2875</v>
      </c>
      <c r="V31" t="s">
        <v>2876</v>
      </c>
      <c r="W31" t="s">
        <v>2877</v>
      </c>
      <c r="X31" t="s">
        <v>2878</v>
      </c>
      <c r="Y31" t="s">
        <v>3211</v>
      </c>
      <c r="Z31" t="s">
        <v>341</v>
      </c>
      <c r="AA31" t="s">
        <v>2966</v>
      </c>
      <c r="AB31" t="s">
        <v>3212</v>
      </c>
      <c r="AC31" t="s">
        <v>2829</v>
      </c>
      <c r="AD31" t="s">
        <v>2883</v>
      </c>
      <c r="AE31" t="s">
        <v>2884</v>
      </c>
      <c r="AF31" t="s">
        <v>3213</v>
      </c>
      <c r="AG31" t="s">
        <v>3214</v>
      </c>
      <c r="AH31" t="s">
        <v>2834</v>
      </c>
      <c r="AI31" t="s">
        <v>2887</v>
      </c>
      <c r="AJ31" t="s">
        <v>2888</v>
      </c>
      <c r="AK31" t="s">
        <v>3196</v>
      </c>
      <c r="AL31" t="s">
        <v>2966</v>
      </c>
      <c r="AM31" t="s">
        <v>3212</v>
      </c>
      <c r="AN31" t="s">
        <v>2829</v>
      </c>
      <c r="AO31" t="s">
        <v>2839</v>
      </c>
      <c r="AP31" t="s">
        <v>2840</v>
      </c>
      <c r="AQ31" t="s">
        <v>2841</v>
      </c>
      <c r="AR31" t="s">
        <v>3215</v>
      </c>
      <c r="AS31" t="s">
        <v>3215</v>
      </c>
      <c r="AT31" t="s">
        <v>2829</v>
      </c>
      <c r="AU31" t="s">
        <v>2829</v>
      </c>
      <c r="AV31" t="s">
        <v>2829</v>
      </c>
      <c r="AW31" t="s">
        <v>2829</v>
      </c>
      <c r="AX31" t="s">
        <v>2829</v>
      </c>
      <c r="AY31" t="s">
        <v>2829</v>
      </c>
      <c r="AZ31" t="s">
        <v>2829</v>
      </c>
      <c r="BA31" t="s">
        <v>2829</v>
      </c>
      <c r="BB31" t="s">
        <v>2829</v>
      </c>
      <c r="BC31" t="s">
        <v>2829</v>
      </c>
      <c r="BD31" t="s">
        <v>3216</v>
      </c>
      <c r="BE31" t="s">
        <v>3216</v>
      </c>
      <c r="BF31" t="s">
        <v>243</v>
      </c>
      <c r="BG31" t="s">
        <v>243</v>
      </c>
      <c r="BH31" t="s">
        <v>243</v>
      </c>
      <c r="BI31" t="s">
        <v>243</v>
      </c>
      <c r="BJ31" t="s">
        <v>2829</v>
      </c>
      <c r="BK31" t="s">
        <v>243</v>
      </c>
      <c r="BL31" t="s">
        <v>243</v>
      </c>
      <c r="BM31" t="s">
        <v>243</v>
      </c>
      <c r="BN31" t="s">
        <v>243</v>
      </c>
      <c r="BO31" t="s">
        <v>243</v>
      </c>
      <c r="BP31" t="s">
        <v>3217</v>
      </c>
      <c r="BQ31" t="s">
        <v>3217</v>
      </c>
      <c r="BR31" t="s">
        <v>243</v>
      </c>
      <c r="BS31" t="s">
        <v>243</v>
      </c>
      <c r="BT31" t="s">
        <v>243</v>
      </c>
      <c r="BU31" t="s">
        <v>243</v>
      </c>
      <c r="BV31" t="s">
        <v>2829</v>
      </c>
      <c r="BW31" t="s">
        <v>243</v>
      </c>
      <c r="BX31" t="s">
        <v>243</v>
      </c>
      <c r="BY31" t="s">
        <v>243</v>
      </c>
      <c r="BZ31" t="s">
        <v>243</v>
      </c>
      <c r="CA31" t="s">
        <v>243</v>
      </c>
      <c r="CB31" t="s">
        <v>2829</v>
      </c>
      <c r="CC31" t="s">
        <v>243</v>
      </c>
      <c r="CD31" t="s">
        <v>243</v>
      </c>
      <c r="CE31" t="s">
        <v>243</v>
      </c>
      <c r="CF31" t="s">
        <v>243</v>
      </c>
      <c r="CG31" t="s">
        <v>243</v>
      </c>
      <c r="CH31" t="s">
        <v>2829</v>
      </c>
      <c r="CI31" t="s">
        <v>243</v>
      </c>
      <c r="CJ31" t="s">
        <v>243</v>
      </c>
      <c r="CK31" t="s">
        <v>243</v>
      </c>
      <c r="CL31" t="s">
        <v>243</v>
      </c>
      <c r="CM31" t="s">
        <v>243</v>
      </c>
      <c r="CN31" t="s">
        <v>2888</v>
      </c>
      <c r="CO31" t="s">
        <v>2843</v>
      </c>
      <c r="CP31" t="s">
        <v>2844</v>
      </c>
      <c r="CQ31" t="s">
        <v>430</v>
      </c>
      <c r="CR31" t="s">
        <v>2899</v>
      </c>
      <c r="CS31" t="s">
        <v>431</v>
      </c>
      <c r="CT31" t="s">
        <v>430</v>
      </c>
      <c r="CU31" t="s">
        <v>2846</v>
      </c>
      <c r="CV31" t="s">
        <v>2900</v>
      </c>
      <c r="CW31" t="s">
        <v>2899</v>
      </c>
      <c r="CX31" t="s">
        <v>2848</v>
      </c>
      <c r="CY31" t="s">
        <v>3218</v>
      </c>
    </row>
    <row r="32" spans="1:103" ht="11.25" customHeight="1">
      <c r="A32" t="s">
        <v>243</v>
      </c>
      <c r="B32" t="s">
        <v>243</v>
      </c>
      <c r="C32" t="s">
        <v>243</v>
      </c>
      <c r="D32" t="s">
        <v>243</v>
      </c>
      <c r="E32" t="s">
        <v>243</v>
      </c>
      <c r="F32" t="s">
        <v>2816</v>
      </c>
      <c r="G32" t="s">
        <v>243</v>
      </c>
      <c r="H32" t="s">
        <v>243</v>
      </c>
      <c r="I32" t="s">
        <v>3219</v>
      </c>
      <c r="J32" t="s">
        <v>243</v>
      </c>
      <c r="K32" t="s">
        <v>2818</v>
      </c>
      <c r="L32" t="s">
        <v>243</v>
      </c>
      <c r="M32" t="s">
        <v>114</v>
      </c>
      <c r="N32" t="s">
        <v>243</v>
      </c>
      <c r="O32" t="s">
        <v>2819</v>
      </c>
      <c r="P32" t="s">
        <v>2820</v>
      </c>
      <c r="Q32" t="s">
        <v>2821</v>
      </c>
      <c r="R32" t="s">
        <v>200</v>
      </c>
      <c r="S32" t="s">
        <v>200</v>
      </c>
      <c r="T32" t="s">
        <v>2822</v>
      </c>
      <c r="U32" t="s">
        <v>2822</v>
      </c>
      <c r="V32" t="s">
        <v>2823</v>
      </c>
      <c r="W32" t="s">
        <v>3220</v>
      </c>
      <c r="X32" t="s">
        <v>3221</v>
      </c>
      <c r="Y32" t="s">
        <v>2918</v>
      </c>
      <c r="Z32" t="s">
        <v>3222</v>
      </c>
      <c r="AA32" t="s">
        <v>2865</v>
      </c>
      <c r="AB32" t="s">
        <v>2838</v>
      </c>
      <c r="AC32" t="s">
        <v>2829</v>
      </c>
      <c r="AD32" t="s">
        <v>2830</v>
      </c>
      <c r="AE32" t="s">
        <v>2857</v>
      </c>
      <c r="AF32" t="s">
        <v>2867</v>
      </c>
      <c r="AG32" t="s">
        <v>2867</v>
      </c>
      <c r="AH32" t="s">
        <v>2834</v>
      </c>
      <c r="AI32" t="s">
        <v>2835</v>
      </c>
      <c r="AJ32" t="s">
        <v>2829</v>
      </c>
      <c r="AK32" t="s">
        <v>2922</v>
      </c>
      <c r="AL32" t="s">
        <v>2865</v>
      </c>
      <c r="AM32" t="s">
        <v>2838</v>
      </c>
      <c r="AN32" t="s">
        <v>2829</v>
      </c>
      <c r="AO32" t="s">
        <v>2839</v>
      </c>
      <c r="AP32" t="s">
        <v>2840</v>
      </c>
      <c r="AQ32" t="s">
        <v>2841</v>
      </c>
      <c r="AR32" t="s">
        <v>2923</v>
      </c>
      <c r="AS32" t="s">
        <v>2923</v>
      </c>
      <c r="AT32" t="s">
        <v>2829</v>
      </c>
      <c r="AU32" t="s">
        <v>2829</v>
      </c>
      <c r="AV32" t="s">
        <v>2829</v>
      </c>
      <c r="AW32" t="s">
        <v>2829</v>
      </c>
      <c r="AX32" t="s">
        <v>2829</v>
      </c>
      <c r="AY32" t="s">
        <v>2829</v>
      </c>
      <c r="AZ32" t="s">
        <v>2829</v>
      </c>
      <c r="BA32" t="s">
        <v>2829</v>
      </c>
      <c r="BB32" t="s">
        <v>2829</v>
      </c>
      <c r="BC32" t="s">
        <v>2829</v>
      </c>
      <c r="BD32" t="s">
        <v>2923</v>
      </c>
      <c r="BE32" t="s">
        <v>2923</v>
      </c>
      <c r="BF32" t="s">
        <v>243</v>
      </c>
      <c r="BG32" t="s">
        <v>243</v>
      </c>
      <c r="BH32" t="s">
        <v>243</v>
      </c>
      <c r="BI32" t="s">
        <v>243</v>
      </c>
      <c r="BJ32" t="s">
        <v>2829</v>
      </c>
      <c r="BK32" t="s">
        <v>243</v>
      </c>
      <c r="BL32" t="s">
        <v>243</v>
      </c>
      <c r="BM32" t="s">
        <v>243</v>
      </c>
      <c r="BN32" t="s">
        <v>243</v>
      </c>
      <c r="BO32" t="s">
        <v>243</v>
      </c>
      <c r="BP32" t="s">
        <v>2829</v>
      </c>
      <c r="BQ32" t="s">
        <v>243</v>
      </c>
      <c r="BR32" t="s">
        <v>243</v>
      </c>
      <c r="BS32" t="s">
        <v>243</v>
      </c>
      <c r="BT32" t="s">
        <v>243</v>
      </c>
      <c r="BU32" t="s">
        <v>243</v>
      </c>
      <c r="BV32" t="s">
        <v>2829</v>
      </c>
      <c r="BW32" t="s">
        <v>243</v>
      </c>
      <c r="BX32" t="s">
        <v>243</v>
      </c>
      <c r="BY32" t="s">
        <v>243</v>
      </c>
      <c r="BZ32" t="s">
        <v>243</v>
      </c>
      <c r="CA32" t="s">
        <v>243</v>
      </c>
      <c r="CB32" t="s">
        <v>2829</v>
      </c>
      <c r="CC32" t="s">
        <v>243</v>
      </c>
      <c r="CD32" t="s">
        <v>243</v>
      </c>
      <c r="CE32" t="s">
        <v>243</v>
      </c>
      <c r="CF32" t="s">
        <v>243</v>
      </c>
      <c r="CG32" t="s">
        <v>243</v>
      </c>
      <c r="CH32" t="s">
        <v>2829</v>
      </c>
      <c r="CI32" t="s">
        <v>243</v>
      </c>
      <c r="CJ32" t="s">
        <v>243</v>
      </c>
      <c r="CK32" t="s">
        <v>243</v>
      </c>
      <c r="CL32" t="s">
        <v>243</v>
      </c>
      <c r="CM32" t="s">
        <v>243</v>
      </c>
      <c r="CN32" t="s">
        <v>2829</v>
      </c>
      <c r="CO32" t="s">
        <v>2924</v>
      </c>
      <c r="CP32" t="s">
        <v>2844</v>
      </c>
      <c r="CQ32" t="s">
        <v>430</v>
      </c>
      <c r="CR32" t="s">
        <v>2872</v>
      </c>
      <c r="CS32" t="s">
        <v>431</v>
      </c>
      <c r="CT32" t="s">
        <v>430</v>
      </c>
      <c r="CU32" t="s">
        <v>2846</v>
      </c>
      <c r="CV32" t="s">
        <v>2873</v>
      </c>
      <c r="CW32" t="s">
        <v>2872</v>
      </c>
      <c r="CX32" t="s">
        <v>2848</v>
      </c>
      <c r="CY32" t="s">
        <v>3223</v>
      </c>
    </row>
    <row r="33" spans="1:103" ht="11.25" customHeight="1">
      <c r="A33" t="s">
        <v>243</v>
      </c>
      <c r="B33" t="s">
        <v>243</v>
      </c>
      <c r="C33" t="s">
        <v>243</v>
      </c>
      <c r="D33" t="s">
        <v>243</v>
      </c>
      <c r="E33" t="s">
        <v>243</v>
      </c>
      <c r="F33" t="s">
        <v>2816</v>
      </c>
      <c r="G33" t="s">
        <v>243</v>
      </c>
      <c r="H33" t="s">
        <v>243</v>
      </c>
      <c r="I33" t="s">
        <v>3224</v>
      </c>
      <c r="J33" t="s">
        <v>243</v>
      </c>
      <c r="K33" t="s">
        <v>2818</v>
      </c>
      <c r="L33" t="s">
        <v>243</v>
      </c>
      <c r="M33" t="s">
        <v>114</v>
      </c>
      <c r="N33" t="s">
        <v>243</v>
      </c>
      <c r="O33" t="s">
        <v>2819</v>
      </c>
      <c r="P33" t="s">
        <v>2820</v>
      </c>
      <c r="Q33" t="s">
        <v>2821</v>
      </c>
      <c r="R33" t="s">
        <v>200</v>
      </c>
      <c r="S33" t="s">
        <v>200</v>
      </c>
      <c r="T33" t="s">
        <v>2822</v>
      </c>
      <c r="U33" t="s">
        <v>2822</v>
      </c>
      <c r="V33" t="s">
        <v>2823</v>
      </c>
      <c r="W33" t="s">
        <v>3225</v>
      </c>
      <c r="X33" t="s">
        <v>3226</v>
      </c>
      <c r="Y33" t="s">
        <v>3227</v>
      </c>
      <c r="Z33" t="s">
        <v>2917</v>
      </c>
      <c r="AA33" t="s">
        <v>3228</v>
      </c>
      <c r="AB33" t="s">
        <v>3229</v>
      </c>
      <c r="AC33" t="s">
        <v>2829</v>
      </c>
      <c r="AD33" t="s">
        <v>2830</v>
      </c>
      <c r="AE33" t="s">
        <v>2857</v>
      </c>
      <c r="AF33" t="s">
        <v>3230</v>
      </c>
      <c r="AG33" t="s">
        <v>3230</v>
      </c>
      <c r="AH33" t="s">
        <v>2834</v>
      </c>
      <c r="AI33" t="s">
        <v>2835</v>
      </c>
      <c r="AJ33" t="s">
        <v>2829</v>
      </c>
      <c r="AK33" t="s">
        <v>2922</v>
      </c>
      <c r="AL33" t="s">
        <v>3228</v>
      </c>
      <c r="AM33" t="s">
        <v>3229</v>
      </c>
      <c r="AN33" t="s">
        <v>2829</v>
      </c>
      <c r="AO33" t="s">
        <v>2839</v>
      </c>
      <c r="AP33" t="s">
        <v>2840</v>
      </c>
      <c r="AQ33" t="s">
        <v>2841</v>
      </c>
      <c r="AR33" t="s">
        <v>2923</v>
      </c>
      <c r="AS33" t="s">
        <v>2923</v>
      </c>
      <c r="AT33" t="s">
        <v>2829</v>
      </c>
      <c r="AU33" t="s">
        <v>2829</v>
      </c>
      <c r="AV33" t="s">
        <v>2829</v>
      </c>
      <c r="AW33" t="s">
        <v>2829</v>
      </c>
      <c r="AX33" t="s">
        <v>2829</v>
      </c>
      <c r="AY33" t="s">
        <v>2829</v>
      </c>
      <c r="AZ33" t="s">
        <v>2829</v>
      </c>
      <c r="BA33" t="s">
        <v>2829</v>
      </c>
      <c r="BB33" t="s">
        <v>2829</v>
      </c>
      <c r="BC33" t="s">
        <v>2829</v>
      </c>
      <c r="BD33" t="s">
        <v>2923</v>
      </c>
      <c r="BE33" t="s">
        <v>2923</v>
      </c>
      <c r="BF33" t="s">
        <v>243</v>
      </c>
      <c r="BG33" t="s">
        <v>243</v>
      </c>
      <c r="BH33" t="s">
        <v>243</v>
      </c>
      <c r="BI33" t="s">
        <v>243</v>
      </c>
      <c r="BJ33" t="s">
        <v>2829</v>
      </c>
      <c r="BK33" t="s">
        <v>243</v>
      </c>
      <c r="BL33" t="s">
        <v>243</v>
      </c>
      <c r="BM33" t="s">
        <v>243</v>
      </c>
      <c r="BN33" t="s">
        <v>243</v>
      </c>
      <c r="BO33" t="s">
        <v>243</v>
      </c>
      <c r="BP33" t="s">
        <v>2829</v>
      </c>
      <c r="BQ33" t="s">
        <v>243</v>
      </c>
      <c r="BR33" t="s">
        <v>243</v>
      </c>
      <c r="BS33" t="s">
        <v>243</v>
      </c>
      <c r="BT33" t="s">
        <v>243</v>
      </c>
      <c r="BU33" t="s">
        <v>243</v>
      </c>
      <c r="BV33" t="s">
        <v>2829</v>
      </c>
      <c r="BW33" t="s">
        <v>243</v>
      </c>
      <c r="BX33" t="s">
        <v>243</v>
      </c>
      <c r="BY33" t="s">
        <v>243</v>
      </c>
      <c r="BZ33" t="s">
        <v>243</v>
      </c>
      <c r="CA33" t="s">
        <v>243</v>
      </c>
      <c r="CB33" t="s">
        <v>2829</v>
      </c>
      <c r="CC33" t="s">
        <v>243</v>
      </c>
      <c r="CD33" t="s">
        <v>243</v>
      </c>
      <c r="CE33" t="s">
        <v>243</v>
      </c>
      <c r="CF33" t="s">
        <v>243</v>
      </c>
      <c r="CG33" t="s">
        <v>243</v>
      </c>
      <c r="CH33" t="s">
        <v>2829</v>
      </c>
      <c r="CI33" t="s">
        <v>243</v>
      </c>
      <c r="CJ33" t="s">
        <v>243</v>
      </c>
      <c r="CK33" t="s">
        <v>243</v>
      </c>
      <c r="CL33" t="s">
        <v>243</v>
      </c>
      <c r="CM33" t="s">
        <v>243</v>
      </c>
      <c r="CN33" t="s">
        <v>2829</v>
      </c>
      <c r="CO33" t="s">
        <v>2924</v>
      </c>
      <c r="CP33" t="s">
        <v>2844</v>
      </c>
      <c r="CQ33" t="s">
        <v>430</v>
      </c>
      <c r="CR33" t="s">
        <v>2872</v>
      </c>
      <c r="CS33" t="s">
        <v>431</v>
      </c>
      <c r="CT33" t="s">
        <v>430</v>
      </c>
      <c r="CU33" t="s">
        <v>2846</v>
      </c>
      <c r="CV33" t="s">
        <v>2873</v>
      </c>
      <c r="CW33" t="s">
        <v>2872</v>
      </c>
      <c r="CX33" t="s">
        <v>2848</v>
      </c>
      <c r="CY33" t="s">
        <v>3231</v>
      </c>
    </row>
    <row r="34" spans="1:103" ht="11.25" customHeight="1">
      <c r="A34" t="s">
        <v>243</v>
      </c>
      <c r="B34" t="s">
        <v>243</v>
      </c>
      <c r="C34" t="s">
        <v>243</v>
      </c>
      <c r="D34" t="s">
        <v>243</v>
      </c>
      <c r="E34" t="s">
        <v>243</v>
      </c>
      <c r="F34" t="s">
        <v>2816</v>
      </c>
      <c r="G34" t="s">
        <v>243</v>
      </c>
      <c r="H34" t="s">
        <v>243</v>
      </c>
      <c r="I34" t="s">
        <v>3232</v>
      </c>
      <c r="J34" t="s">
        <v>243</v>
      </c>
      <c r="K34" t="s">
        <v>3233</v>
      </c>
      <c r="L34" t="s">
        <v>243</v>
      </c>
      <c r="M34" t="s">
        <v>114</v>
      </c>
      <c r="N34" t="s">
        <v>243</v>
      </c>
      <c r="O34" t="s">
        <v>2819</v>
      </c>
      <c r="P34" t="s">
        <v>2820</v>
      </c>
      <c r="Q34" t="s">
        <v>2821</v>
      </c>
      <c r="R34" t="s">
        <v>200</v>
      </c>
      <c r="S34" t="s">
        <v>200</v>
      </c>
      <c r="T34" t="s">
        <v>2933</v>
      </c>
      <c r="U34" t="s">
        <v>2933</v>
      </c>
      <c r="V34" t="s">
        <v>2934</v>
      </c>
      <c r="W34" t="s">
        <v>2935</v>
      </c>
      <c r="X34" t="s">
        <v>2936</v>
      </c>
      <c r="Y34" t="s">
        <v>3234</v>
      </c>
      <c r="Z34" t="s">
        <v>3235</v>
      </c>
      <c r="AA34" t="s">
        <v>3236</v>
      </c>
      <c r="AB34" t="s">
        <v>3237</v>
      </c>
      <c r="AC34" t="s">
        <v>2829</v>
      </c>
      <c r="AD34" t="s">
        <v>2883</v>
      </c>
      <c r="AE34" t="s">
        <v>2831</v>
      </c>
      <c r="AF34" t="s">
        <v>3238</v>
      </c>
      <c r="AG34" t="s">
        <v>3238</v>
      </c>
      <c r="AH34" t="s">
        <v>2834</v>
      </c>
      <c r="AI34" t="s">
        <v>2835</v>
      </c>
      <c r="AJ34" t="s">
        <v>2942</v>
      </c>
      <c r="AK34" t="s">
        <v>3239</v>
      </c>
      <c r="AL34" t="s">
        <v>3236</v>
      </c>
      <c r="AM34" t="s">
        <v>3237</v>
      </c>
      <c r="AN34" t="s">
        <v>243</v>
      </c>
      <c r="AO34" t="s">
        <v>2839</v>
      </c>
      <c r="AP34" t="s">
        <v>2840</v>
      </c>
      <c r="AQ34" t="s">
        <v>2841</v>
      </c>
      <c r="AR34" t="s">
        <v>3240</v>
      </c>
      <c r="AS34" t="s">
        <v>3240</v>
      </c>
      <c r="AT34" t="s">
        <v>2829</v>
      </c>
      <c r="AU34" t="s">
        <v>2829</v>
      </c>
      <c r="AV34" t="s">
        <v>2829</v>
      </c>
      <c r="AW34" t="s">
        <v>2829</v>
      </c>
      <c r="AX34" t="s">
        <v>2829</v>
      </c>
      <c r="AY34" t="s">
        <v>2829</v>
      </c>
      <c r="AZ34" t="s">
        <v>2829</v>
      </c>
      <c r="BA34" t="s">
        <v>2829</v>
      </c>
      <c r="BB34" t="s">
        <v>2829</v>
      </c>
      <c r="BC34" t="s">
        <v>2829</v>
      </c>
      <c r="BD34" t="s">
        <v>3241</v>
      </c>
      <c r="BE34" t="s">
        <v>3241</v>
      </c>
      <c r="BF34" t="s">
        <v>243</v>
      </c>
      <c r="BG34" t="s">
        <v>243</v>
      </c>
      <c r="BH34" t="s">
        <v>243</v>
      </c>
      <c r="BI34" t="s">
        <v>243</v>
      </c>
      <c r="BJ34" t="s">
        <v>2829</v>
      </c>
      <c r="BK34" t="s">
        <v>243</v>
      </c>
      <c r="BL34" t="s">
        <v>243</v>
      </c>
      <c r="BM34" t="s">
        <v>243</v>
      </c>
      <c r="BN34" t="s">
        <v>243</v>
      </c>
      <c r="BO34" t="s">
        <v>243</v>
      </c>
      <c r="BP34" t="s">
        <v>3242</v>
      </c>
      <c r="BQ34" t="s">
        <v>3242</v>
      </c>
      <c r="BR34" t="s">
        <v>243</v>
      </c>
      <c r="BS34" t="s">
        <v>243</v>
      </c>
      <c r="BT34" t="s">
        <v>243</v>
      </c>
      <c r="BU34" t="s">
        <v>243</v>
      </c>
      <c r="BV34" t="s">
        <v>2829</v>
      </c>
      <c r="BW34" t="s">
        <v>243</v>
      </c>
      <c r="BX34" t="s">
        <v>243</v>
      </c>
      <c r="BY34" t="s">
        <v>243</v>
      </c>
      <c r="BZ34" t="s">
        <v>243</v>
      </c>
      <c r="CA34" t="s">
        <v>243</v>
      </c>
      <c r="CB34" t="s">
        <v>2829</v>
      </c>
      <c r="CC34" t="s">
        <v>243</v>
      </c>
      <c r="CD34" t="s">
        <v>243</v>
      </c>
      <c r="CE34" t="s">
        <v>243</v>
      </c>
      <c r="CF34" t="s">
        <v>243</v>
      </c>
      <c r="CG34" t="s">
        <v>243</v>
      </c>
      <c r="CH34" t="s">
        <v>2829</v>
      </c>
      <c r="CI34" t="s">
        <v>243</v>
      </c>
      <c r="CJ34" t="s">
        <v>243</v>
      </c>
      <c r="CK34" t="s">
        <v>243</v>
      </c>
      <c r="CL34" t="s">
        <v>243</v>
      </c>
      <c r="CM34" t="s">
        <v>243</v>
      </c>
      <c r="CN34" t="s">
        <v>2942</v>
      </c>
      <c r="CO34" t="s">
        <v>2843</v>
      </c>
      <c r="CP34" t="s">
        <v>2844</v>
      </c>
      <c r="CQ34" t="s">
        <v>430</v>
      </c>
      <c r="CR34" t="s">
        <v>2947</v>
      </c>
      <c r="CS34" t="s">
        <v>431</v>
      </c>
      <c r="CT34" t="s">
        <v>430</v>
      </c>
      <c r="CU34" t="s">
        <v>2948</v>
      </c>
      <c r="CV34" t="s">
        <v>2949</v>
      </c>
      <c r="CW34" t="s">
        <v>2947</v>
      </c>
      <c r="CX34" t="s">
        <v>2848</v>
      </c>
      <c r="CY34" t="s">
        <v>3243</v>
      </c>
    </row>
    <row r="35" spans="1:103" ht="11.25" customHeight="1">
      <c r="A35" t="s">
        <v>243</v>
      </c>
      <c r="B35" t="s">
        <v>243</v>
      </c>
      <c r="C35" t="s">
        <v>243</v>
      </c>
      <c r="D35" t="s">
        <v>243</v>
      </c>
      <c r="E35" t="s">
        <v>243</v>
      </c>
      <c r="F35" t="s">
        <v>2816</v>
      </c>
      <c r="G35" t="s">
        <v>243</v>
      </c>
      <c r="H35" t="s">
        <v>243</v>
      </c>
      <c r="I35" t="s">
        <v>3244</v>
      </c>
      <c r="J35" t="s">
        <v>243</v>
      </c>
      <c r="K35" t="s">
        <v>3245</v>
      </c>
      <c r="L35" t="s">
        <v>243</v>
      </c>
      <c r="M35" t="s">
        <v>114</v>
      </c>
      <c r="N35" t="s">
        <v>243</v>
      </c>
      <c r="O35" t="s">
        <v>2819</v>
      </c>
      <c r="P35" t="s">
        <v>2820</v>
      </c>
      <c r="Q35" t="s">
        <v>2821</v>
      </c>
      <c r="R35" t="s">
        <v>200</v>
      </c>
      <c r="S35" t="s">
        <v>200</v>
      </c>
      <c r="T35" t="s">
        <v>3022</v>
      </c>
      <c r="U35" t="s">
        <v>3022</v>
      </c>
      <c r="V35" t="s">
        <v>3023</v>
      </c>
      <c r="W35" t="s">
        <v>3246</v>
      </c>
      <c r="X35" t="s">
        <v>3247</v>
      </c>
      <c r="Y35" t="s">
        <v>3248</v>
      </c>
      <c r="Z35" t="s">
        <v>3249</v>
      </c>
      <c r="AA35" t="s">
        <v>3250</v>
      </c>
      <c r="AB35" t="s">
        <v>3251</v>
      </c>
      <c r="AC35" t="s">
        <v>2829</v>
      </c>
      <c r="AD35" t="s">
        <v>2883</v>
      </c>
      <c r="AE35" t="s">
        <v>2831</v>
      </c>
      <c r="AF35" t="s">
        <v>3252</v>
      </c>
      <c r="AG35" t="s">
        <v>3252</v>
      </c>
      <c r="AH35" t="s">
        <v>2834</v>
      </c>
      <c r="AI35" t="s">
        <v>2835</v>
      </c>
      <c r="AJ35" t="s">
        <v>3041</v>
      </c>
      <c r="AK35" t="s">
        <v>3253</v>
      </c>
      <c r="AL35" t="s">
        <v>3250</v>
      </c>
      <c r="AM35" t="s">
        <v>3251</v>
      </c>
      <c r="AN35" t="s">
        <v>2829</v>
      </c>
      <c r="AO35" t="s">
        <v>2839</v>
      </c>
      <c r="AP35" t="s">
        <v>2840</v>
      </c>
      <c r="AQ35" t="s">
        <v>2841</v>
      </c>
      <c r="AR35" t="s">
        <v>3254</v>
      </c>
      <c r="AS35" t="s">
        <v>3255</v>
      </c>
      <c r="AT35" t="s">
        <v>3107</v>
      </c>
      <c r="AU35" t="s">
        <v>2829</v>
      </c>
      <c r="AV35" t="s">
        <v>2829</v>
      </c>
      <c r="AW35" t="s">
        <v>2829</v>
      </c>
      <c r="AX35" t="s">
        <v>2829</v>
      </c>
      <c r="AY35" t="s">
        <v>2829</v>
      </c>
      <c r="AZ35" t="s">
        <v>2829</v>
      </c>
      <c r="BA35" t="s">
        <v>2829</v>
      </c>
      <c r="BB35" t="s">
        <v>2829</v>
      </c>
      <c r="BC35" t="s">
        <v>2829</v>
      </c>
      <c r="BD35" t="s">
        <v>3256</v>
      </c>
      <c r="BE35" t="s">
        <v>3257</v>
      </c>
      <c r="BF35" t="s">
        <v>3107</v>
      </c>
      <c r="BG35" t="s">
        <v>243</v>
      </c>
      <c r="BH35" t="s">
        <v>243</v>
      </c>
      <c r="BI35" t="s">
        <v>243</v>
      </c>
      <c r="BJ35" t="s">
        <v>2829</v>
      </c>
      <c r="BK35" t="s">
        <v>243</v>
      </c>
      <c r="BL35" t="s">
        <v>243</v>
      </c>
      <c r="BM35" t="s">
        <v>243</v>
      </c>
      <c r="BN35" t="s">
        <v>243</v>
      </c>
      <c r="BO35" t="s">
        <v>243</v>
      </c>
      <c r="BP35" t="s">
        <v>3005</v>
      </c>
      <c r="BQ35" t="s">
        <v>3005</v>
      </c>
      <c r="BR35" t="s">
        <v>243</v>
      </c>
      <c r="BS35" t="s">
        <v>243</v>
      </c>
      <c r="BT35" t="s">
        <v>243</v>
      </c>
      <c r="BU35" t="s">
        <v>243</v>
      </c>
      <c r="BV35" t="s">
        <v>2829</v>
      </c>
      <c r="BW35" t="s">
        <v>243</v>
      </c>
      <c r="BX35" t="s">
        <v>243</v>
      </c>
      <c r="BY35" t="s">
        <v>243</v>
      </c>
      <c r="BZ35" t="s">
        <v>243</v>
      </c>
      <c r="CA35" t="s">
        <v>243</v>
      </c>
      <c r="CB35" t="s">
        <v>2829</v>
      </c>
      <c r="CC35" t="s">
        <v>243</v>
      </c>
      <c r="CD35" t="s">
        <v>243</v>
      </c>
      <c r="CE35" t="s">
        <v>243</v>
      </c>
      <c r="CF35" t="s">
        <v>243</v>
      </c>
      <c r="CG35" t="s">
        <v>243</v>
      </c>
      <c r="CH35" t="s">
        <v>2829</v>
      </c>
      <c r="CI35" t="s">
        <v>243</v>
      </c>
      <c r="CJ35" t="s">
        <v>243</v>
      </c>
      <c r="CK35" t="s">
        <v>243</v>
      </c>
      <c r="CL35" t="s">
        <v>243</v>
      </c>
      <c r="CM35" t="s">
        <v>243</v>
      </c>
      <c r="CN35" t="s">
        <v>3030</v>
      </c>
      <c r="CO35" t="s">
        <v>2843</v>
      </c>
      <c r="CP35" t="s">
        <v>2844</v>
      </c>
      <c r="CQ35" t="s">
        <v>430</v>
      </c>
      <c r="CR35" t="s">
        <v>3033</v>
      </c>
      <c r="CS35" t="s">
        <v>431</v>
      </c>
      <c r="CT35" t="s">
        <v>430</v>
      </c>
      <c r="CU35" t="s">
        <v>3034</v>
      </c>
      <c r="CV35" t="s">
        <v>432</v>
      </c>
      <c r="CW35" t="s">
        <v>3033</v>
      </c>
      <c r="CX35" t="s">
        <v>2848</v>
      </c>
      <c r="CY35" t="s">
        <v>3258</v>
      </c>
    </row>
    <row r="36" spans="1:103" ht="11.25" customHeight="1">
      <c r="A36" t="s">
        <v>243</v>
      </c>
      <c r="B36" t="s">
        <v>243</v>
      </c>
      <c r="C36" t="s">
        <v>243</v>
      </c>
      <c r="D36" t="s">
        <v>243</v>
      </c>
      <c r="E36" t="s">
        <v>243</v>
      </c>
      <c r="F36" t="s">
        <v>2816</v>
      </c>
      <c r="G36" t="s">
        <v>243</v>
      </c>
      <c r="H36" t="s">
        <v>243</v>
      </c>
      <c r="I36" t="s">
        <v>1763</v>
      </c>
      <c r="J36" t="s">
        <v>243</v>
      </c>
      <c r="K36" t="s">
        <v>3210</v>
      </c>
      <c r="L36" t="s">
        <v>243</v>
      </c>
      <c r="M36" t="s">
        <v>114</v>
      </c>
      <c r="N36" t="s">
        <v>243</v>
      </c>
      <c r="O36" t="s">
        <v>2819</v>
      </c>
      <c r="P36" t="s">
        <v>2820</v>
      </c>
      <c r="Q36" t="s">
        <v>2821</v>
      </c>
      <c r="R36" t="s">
        <v>200</v>
      </c>
      <c r="S36" t="s">
        <v>200</v>
      </c>
      <c r="T36" t="s">
        <v>2822</v>
      </c>
      <c r="U36" t="s">
        <v>2822</v>
      </c>
      <c r="V36" t="s">
        <v>2823</v>
      </c>
      <c r="W36" t="s">
        <v>2952</v>
      </c>
      <c r="X36" t="s">
        <v>2953</v>
      </c>
      <c r="Y36" t="s">
        <v>3104</v>
      </c>
      <c r="Z36" t="s">
        <v>3259</v>
      </c>
      <c r="AA36" t="s">
        <v>3260</v>
      </c>
      <c r="AB36" t="s">
        <v>3261</v>
      </c>
      <c r="AC36" t="s">
        <v>2829</v>
      </c>
      <c r="AD36" t="s">
        <v>2830</v>
      </c>
      <c r="AE36" t="s">
        <v>2831</v>
      </c>
      <c r="AF36" t="s">
        <v>3262</v>
      </c>
      <c r="AG36" t="s">
        <v>3263</v>
      </c>
      <c r="AH36" t="s">
        <v>2834</v>
      </c>
      <c r="AI36" t="s">
        <v>2835</v>
      </c>
      <c r="AJ36" t="s">
        <v>2960</v>
      </c>
      <c r="AK36" t="s">
        <v>3264</v>
      </c>
      <c r="AL36" t="s">
        <v>3265</v>
      </c>
      <c r="AM36" t="s">
        <v>3266</v>
      </c>
      <c r="AN36" t="s">
        <v>2829</v>
      </c>
      <c r="AO36" t="s">
        <v>2839</v>
      </c>
      <c r="AP36" t="s">
        <v>2840</v>
      </c>
      <c r="AQ36" t="s">
        <v>2841</v>
      </c>
      <c r="AR36" t="s">
        <v>3267</v>
      </c>
      <c r="AS36" t="s">
        <v>3267</v>
      </c>
      <c r="AT36" t="s">
        <v>2829</v>
      </c>
      <c r="AU36" t="s">
        <v>2829</v>
      </c>
      <c r="AV36" t="s">
        <v>2829</v>
      </c>
      <c r="AW36" t="s">
        <v>2829</v>
      </c>
      <c r="AX36" t="s">
        <v>2829</v>
      </c>
      <c r="AY36" t="s">
        <v>2829</v>
      </c>
      <c r="AZ36" t="s">
        <v>2829</v>
      </c>
      <c r="BA36" t="s">
        <v>2829</v>
      </c>
      <c r="BB36" t="s">
        <v>2829</v>
      </c>
      <c r="BC36" t="s">
        <v>2829</v>
      </c>
      <c r="BD36" t="s">
        <v>2829</v>
      </c>
      <c r="BE36" t="s">
        <v>243</v>
      </c>
      <c r="BF36" t="s">
        <v>243</v>
      </c>
      <c r="BG36" t="s">
        <v>243</v>
      </c>
      <c r="BH36" t="s">
        <v>243</v>
      </c>
      <c r="BI36" t="s">
        <v>243</v>
      </c>
      <c r="BJ36" t="s">
        <v>2829</v>
      </c>
      <c r="BK36" t="s">
        <v>243</v>
      </c>
      <c r="BL36" t="s">
        <v>243</v>
      </c>
      <c r="BM36" t="s">
        <v>243</v>
      </c>
      <c r="BN36" t="s">
        <v>243</v>
      </c>
      <c r="BO36" t="s">
        <v>243</v>
      </c>
      <c r="BP36" t="s">
        <v>3267</v>
      </c>
      <c r="BQ36" t="s">
        <v>3267</v>
      </c>
      <c r="BR36" t="s">
        <v>243</v>
      </c>
      <c r="BS36" t="s">
        <v>243</v>
      </c>
      <c r="BT36" t="s">
        <v>243</v>
      </c>
      <c r="BU36" t="s">
        <v>243</v>
      </c>
      <c r="BV36" t="s">
        <v>2829</v>
      </c>
      <c r="BW36" t="s">
        <v>243</v>
      </c>
      <c r="BX36" t="s">
        <v>243</v>
      </c>
      <c r="BY36" t="s">
        <v>243</v>
      </c>
      <c r="BZ36" t="s">
        <v>243</v>
      </c>
      <c r="CA36" t="s">
        <v>243</v>
      </c>
      <c r="CB36" t="s">
        <v>2829</v>
      </c>
      <c r="CC36" t="s">
        <v>243</v>
      </c>
      <c r="CD36" t="s">
        <v>243</v>
      </c>
      <c r="CE36" t="s">
        <v>243</v>
      </c>
      <c r="CF36" t="s">
        <v>243</v>
      </c>
      <c r="CG36" t="s">
        <v>243</v>
      </c>
      <c r="CH36" t="s">
        <v>2829</v>
      </c>
      <c r="CI36" t="s">
        <v>243</v>
      </c>
      <c r="CJ36" t="s">
        <v>243</v>
      </c>
      <c r="CK36" t="s">
        <v>243</v>
      </c>
      <c r="CL36" t="s">
        <v>243</v>
      </c>
      <c r="CM36" t="s">
        <v>243</v>
      </c>
      <c r="CN36" t="s">
        <v>2960</v>
      </c>
      <c r="CO36" t="s">
        <v>2843</v>
      </c>
      <c r="CP36" t="s">
        <v>2844</v>
      </c>
      <c r="CQ36" t="s">
        <v>430</v>
      </c>
      <c r="CR36" t="s">
        <v>2845</v>
      </c>
      <c r="CS36" t="s">
        <v>431</v>
      </c>
      <c r="CT36" t="s">
        <v>430</v>
      </c>
      <c r="CU36" t="s">
        <v>2846</v>
      </c>
      <c r="CV36" t="s">
        <v>2847</v>
      </c>
      <c r="CW36" t="s">
        <v>2845</v>
      </c>
      <c r="CX36" t="s">
        <v>2848</v>
      </c>
      <c r="CY36" t="s">
        <v>3268</v>
      </c>
    </row>
    <row r="37" spans="1:103" ht="11.25" customHeight="1">
      <c r="A37" t="s">
        <v>243</v>
      </c>
      <c r="B37" t="s">
        <v>243</v>
      </c>
      <c r="C37" t="s">
        <v>243</v>
      </c>
      <c r="D37" t="s">
        <v>243</v>
      </c>
      <c r="E37" t="s">
        <v>243</v>
      </c>
      <c r="F37" t="s">
        <v>2816</v>
      </c>
      <c r="G37" t="s">
        <v>243</v>
      </c>
      <c r="H37" t="s">
        <v>243</v>
      </c>
      <c r="I37" t="s">
        <v>3269</v>
      </c>
      <c r="J37" t="s">
        <v>243</v>
      </c>
      <c r="K37" t="s">
        <v>3270</v>
      </c>
      <c r="L37" t="s">
        <v>243</v>
      </c>
      <c r="M37" t="s">
        <v>114</v>
      </c>
      <c r="N37" t="s">
        <v>243</v>
      </c>
      <c r="O37" t="s">
        <v>2819</v>
      </c>
      <c r="P37" t="s">
        <v>2820</v>
      </c>
      <c r="Q37" t="s">
        <v>2821</v>
      </c>
      <c r="R37" t="s">
        <v>200</v>
      </c>
      <c r="S37" t="s">
        <v>200</v>
      </c>
      <c r="T37" t="s">
        <v>2933</v>
      </c>
      <c r="U37" t="s">
        <v>2933</v>
      </c>
      <c r="V37" t="s">
        <v>2934</v>
      </c>
      <c r="W37" t="s">
        <v>3138</v>
      </c>
      <c r="X37" t="s">
        <v>3139</v>
      </c>
      <c r="Y37" t="s">
        <v>3271</v>
      </c>
      <c r="Z37" t="s">
        <v>2880</v>
      </c>
      <c r="AA37" t="s">
        <v>3272</v>
      </c>
      <c r="AB37" t="s">
        <v>3273</v>
      </c>
      <c r="AC37" t="s">
        <v>2829</v>
      </c>
      <c r="AD37" t="s">
        <v>2883</v>
      </c>
      <c r="AE37" t="s">
        <v>2831</v>
      </c>
      <c r="AF37" t="s">
        <v>3144</v>
      </c>
      <c r="AG37" t="s">
        <v>3274</v>
      </c>
      <c r="AH37" t="s">
        <v>2834</v>
      </c>
      <c r="AI37" t="s">
        <v>2835</v>
      </c>
      <c r="AJ37" t="s">
        <v>3146</v>
      </c>
      <c r="AK37" t="s">
        <v>3275</v>
      </c>
      <c r="AL37" t="s">
        <v>3272</v>
      </c>
      <c r="AM37" t="s">
        <v>3276</v>
      </c>
      <c r="AN37" t="s">
        <v>2829</v>
      </c>
      <c r="AO37" t="s">
        <v>2839</v>
      </c>
      <c r="AP37" t="s">
        <v>2840</v>
      </c>
      <c r="AQ37" t="s">
        <v>2841</v>
      </c>
      <c r="AR37" t="s">
        <v>3277</v>
      </c>
      <c r="AS37" t="s">
        <v>3277</v>
      </c>
      <c r="AT37" t="s">
        <v>2829</v>
      </c>
      <c r="AU37" t="s">
        <v>2829</v>
      </c>
      <c r="AV37" t="s">
        <v>2829</v>
      </c>
      <c r="AW37" t="s">
        <v>2829</v>
      </c>
      <c r="AX37" t="s">
        <v>2829</v>
      </c>
      <c r="AY37" t="s">
        <v>2829</v>
      </c>
      <c r="AZ37" t="s">
        <v>2829</v>
      </c>
      <c r="BA37" t="s">
        <v>2829</v>
      </c>
      <c r="BB37" t="s">
        <v>2829</v>
      </c>
      <c r="BC37" t="s">
        <v>2829</v>
      </c>
      <c r="BD37" t="s">
        <v>3278</v>
      </c>
      <c r="BE37" t="s">
        <v>3278</v>
      </c>
      <c r="BF37" t="s">
        <v>243</v>
      </c>
      <c r="BG37" t="s">
        <v>243</v>
      </c>
      <c r="BH37" t="s">
        <v>243</v>
      </c>
      <c r="BI37" t="s">
        <v>243</v>
      </c>
      <c r="BJ37" t="s">
        <v>2829</v>
      </c>
      <c r="BK37" t="s">
        <v>243</v>
      </c>
      <c r="BL37" t="s">
        <v>243</v>
      </c>
      <c r="BM37" t="s">
        <v>243</v>
      </c>
      <c r="BN37" t="s">
        <v>243</v>
      </c>
      <c r="BO37" t="s">
        <v>243</v>
      </c>
      <c r="BP37" t="s">
        <v>3279</v>
      </c>
      <c r="BQ37" t="s">
        <v>3279</v>
      </c>
      <c r="BR37" t="s">
        <v>243</v>
      </c>
      <c r="BS37" t="s">
        <v>243</v>
      </c>
      <c r="BT37" t="s">
        <v>243</v>
      </c>
      <c r="BU37" t="s">
        <v>243</v>
      </c>
      <c r="BV37" t="s">
        <v>2829</v>
      </c>
      <c r="BW37" t="s">
        <v>243</v>
      </c>
      <c r="BX37" t="s">
        <v>243</v>
      </c>
      <c r="BY37" t="s">
        <v>243</v>
      </c>
      <c r="BZ37" t="s">
        <v>243</v>
      </c>
      <c r="CA37" t="s">
        <v>243</v>
      </c>
      <c r="CB37" t="s">
        <v>2829</v>
      </c>
      <c r="CC37" t="s">
        <v>243</v>
      </c>
      <c r="CD37" t="s">
        <v>243</v>
      </c>
      <c r="CE37" t="s">
        <v>243</v>
      </c>
      <c r="CF37" t="s">
        <v>243</v>
      </c>
      <c r="CG37" t="s">
        <v>243</v>
      </c>
      <c r="CH37" t="s">
        <v>2829</v>
      </c>
      <c r="CI37" t="s">
        <v>243</v>
      </c>
      <c r="CJ37" t="s">
        <v>243</v>
      </c>
      <c r="CK37" t="s">
        <v>243</v>
      </c>
      <c r="CL37" t="s">
        <v>243</v>
      </c>
      <c r="CM37" t="s">
        <v>243</v>
      </c>
      <c r="CN37" t="s">
        <v>3150</v>
      </c>
      <c r="CO37" t="s">
        <v>2843</v>
      </c>
      <c r="CP37" t="s">
        <v>2844</v>
      </c>
      <c r="CQ37" t="s">
        <v>430</v>
      </c>
      <c r="CR37" t="s">
        <v>3151</v>
      </c>
      <c r="CS37" t="s">
        <v>266</v>
      </c>
      <c r="CT37" t="s">
        <v>430</v>
      </c>
      <c r="CU37" t="s">
        <v>440</v>
      </c>
      <c r="CV37" t="s">
        <v>3152</v>
      </c>
      <c r="CW37" t="s">
        <v>3151</v>
      </c>
      <c r="CX37" t="s">
        <v>2848</v>
      </c>
      <c r="CY37" t="s">
        <v>3280</v>
      </c>
    </row>
    <row r="38" spans="1:103" ht="11.25" customHeight="1">
      <c r="A38" t="s">
        <v>243</v>
      </c>
      <c r="B38" t="s">
        <v>243</v>
      </c>
      <c r="C38" t="s">
        <v>243</v>
      </c>
      <c r="D38" t="s">
        <v>243</v>
      </c>
      <c r="E38" t="s">
        <v>243</v>
      </c>
      <c r="F38" t="s">
        <v>2816</v>
      </c>
      <c r="G38" t="s">
        <v>243</v>
      </c>
      <c r="H38" t="s">
        <v>243</v>
      </c>
      <c r="I38" t="s">
        <v>348</v>
      </c>
      <c r="J38" t="s">
        <v>243</v>
      </c>
      <c r="K38" t="s">
        <v>3281</v>
      </c>
      <c r="L38" t="s">
        <v>243</v>
      </c>
      <c r="M38" t="s">
        <v>114</v>
      </c>
      <c r="N38" t="s">
        <v>243</v>
      </c>
      <c r="O38" t="s">
        <v>2819</v>
      </c>
      <c r="P38" t="s">
        <v>2820</v>
      </c>
      <c r="Q38" t="s">
        <v>2821</v>
      </c>
      <c r="R38" t="s">
        <v>200</v>
      </c>
      <c r="S38" t="s">
        <v>200</v>
      </c>
      <c r="T38" t="s">
        <v>3282</v>
      </c>
      <c r="U38" t="s">
        <v>3282</v>
      </c>
      <c r="V38" t="s">
        <v>3283</v>
      </c>
      <c r="W38" t="s">
        <v>3284</v>
      </c>
      <c r="X38" t="s">
        <v>3285</v>
      </c>
      <c r="Y38" t="s">
        <v>3286</v>
      </c>
      <c r="Z38" t="s">
        <v>902</v>
      </c>
      <c r="AA38" t="s">
        <v>3287</v>
      </c>
      <c r="AB38" t="s">
        <v>3288</v>
      </c>
      <c r="AC38" t="s">
        <v>3260</v>
      </c>
      <c r="AD38" t="s">
        <v>2883</v>
      </c>
      <c r="AE38" t="s">
        <v>2975</v>
      </c>
      <c r="AF38" t="s">
        <v>3289</v>
      </c>
      <c r="AG38" t="s">
        <v>3290</v>
      </c>
      <c r="AH38" t="s">
        <v>2834</v>
      </c>
      <c r="AI38" t="s">
        <v>2887</v>
      </c>
      <c r="AJ38" t="s">
        <v>2888</v>
      </c>
      <c r="AK38" t="s">
        <v>2889</v>
      </c>
      <c r="AL38" t="s">
        <v>3287</v>
      </c>
      <c r="AM38" t="s">
        <v>3288</v>
      </c>
      <c r="AN38" t="s">
        <v>3260</v>
      </c>
      <c r="AO38" t="s">
        <v>2839</v>
      </c>
      <c r="AP38" t="s">
        <v>2840</v>
      </c>
      <c r="AQ38" t="s">
        <v>2841</v>
      </c>
      <c r="AR38" t="s">
        <v>3291</v>
      </c>
      <c r="AS38" t="s">
        <v>3292</v>
      </c>
      <c r="AT38" t="s">
        <v>3293</v>
      </c>
      <c r="AU38" t="s">
        <v>2829</v>
      </c>
      <c r="AV38" t="s">
        <v>2829</v>
      </c>
      <c r="AW38" t="s">
        <v>2829</v>
      </c>
      <c r="AX38" t="s">
        <v>2829</v>
      </c>
      <c r="AY38" t="s">
        <v>2829</v>
      </c>
      <c r="AZ38" t="s">
        <v>2829</v>
      </c>
      <c r="BA38" t="s">
        <v>2829</v>
      </c>
      <c r="BB38" t="s">
        <v>2829</v>
      </c>
      <c r="BC38" t="s">
        <v>2829</v>
      </c>
      <c r="BD38" t="s">
        <v>3294</v>
      </c>
      <c r="BE38" t="s">
        <v>3295</v>
      </c>
      <c r="BF38" t="s">
        <v>3293</v>
      </c>
      <c r="BG38" t="s">
        <v>243</v>
      </c>
      <c r="BH38" t="s">
        <v>243</v>
      </c>
      <c r="BI38" t="s">
        <v>243</v>
      </c>
      <c r="BJ38" t="s">
        <v>2829</v>
      </c>
      <c r="BK38" t="s">
        <v>243</v>
      </c>
      <c r="BL38" t="s">
        <v>243</v>
      </c>
      <c r="BM38" t="s">
        <v>243</v>
      </c>
      <c r="BN38" t="s">
        <v>243</v>
      </c>
      <c r="BO38" t="s">
        <v>243</v>
      </c>
      <c r="BP38" t="s">
        <v>3296</v>
      </c>
      <c r="BQ38" t="s">
        <v>3296</v>
      </c>
      <c r="BR38" t="s">
        <v>243</v>
      </c>
      <c r="BS38" t="s">
        <v>243</v>
      </c>
      <c r="BT38" t="s">
        <v>243</v>
      </c>
      <c r="BU38" t="s">
        <v>243</v>
      </c>
      <c r="BV38" t="s">
        <v>2829</v>
      </c>
      <c r="BW38" t="s">
        <v>243</v>
      </c>
      <c r="BX38" t="s">
        <v>243</v>
      </c>
      <c r="BY38" t="s">
        <v>243</v>
      </c>
      <c r="BZ38" t="s">
        <v>243</v>
      </c>
      <c r="CA38" t="s">
        <v>243</v>
      </c>
      <c r="CB38" t="s">
        <v>2829</v>
      </c>
      <c r="CC38" t="s">
        <v>243</v>
      </c>
      <c r="CD38" t="s">
        <v>243</v>
      </c>
      <c r="CE38" t="s">
        <v>243</v>
      </c>
      <c r="CF38" t="s">
        <v>243</v>
      </c>
      <c r="CG38" t="s">
        <v>243</v>
      </c>
      <c r="CH38" t="s">
        <v>2829</v>
      </c>
      <c r="CI38" t="s">
        <v>243</v>
      </c>
      <c r="CJ38" t="s">
        <v>243</v>
      </c>
      <c r="CK38" t="s">
        <v>243</v>
      </c>
      <c r="CL38" t="s">
        <v>243</v>
      </c>
      <c r="CM38" t="s">
        <v>243</v>
      </c>
      <c r="CN38" t="s">
        <v>2888</v>
      </c>
      <c r="CO38" t="s">
        <v>2843</v>
      </c>
      <c r="CP38" t="s">
        <v>2844</v>
      </c>
      <c r="CQ38" t="s">
        <v>430</v>
      </c>
      <c r="CR38" t="s">
        <v>3297</v>
      </c>
      <c r="CS38" t="s">
        <v>431</v>
      </c>
      <c r="CT38" t="s">
        <v>430</v>
      </c>
      <c r="CU38" t="s">
        <v>341</v>
      </c>
      <c r="CV38" t="s">
        <v>2900</v>
      </c>
      <c r="CW38" t="s">
        <v>3297</v>
      </c>
      <c r="CX38" t="s">
        <v>2848</v>
      </c>
      <c r="CY38" t="s">
        <v>3298</v>
      </c>
    </row>
    <row r="39" spans="1:103" ht="11.25" customHeight="1">
      <c r="A39" t="s">
        <v>243</v>
      </c>
      <c r="B39" t="s">
        <v>243</v>
      </c>
      <c r="C39" t="s">
        <v>243</v>
      </c>
      <c r="D39" t="s">
        <v>243</v>
      </c>
      <c r="E39" t="s">
        <v>243</v>
      </c>
      <c r="F39" t="s">
        <v>2816</v>
      </c>
      <c r="G39" t="s">
        <v>243</v>
      </c>
      <c r="H39" t="s">
        <v>243</v>
      </c>
      <c r="I39" t="s">
        <v>3299</v>
      </c>
      <c r="J39" t="s">
        <v>243</v>
      </c>
      <c r="K39" t="s">
        <v>428</v>
      </c>
      <c r="L39" t="s">
        <v>243</v>
      </c>
      <c r="M39" t="s">
        <v>114</v>
      </c>
      <c r="N39" t="s">
        <v>243</v>
      </c>
      <c r="O39" t="s">
        <v>2819</v>
      </c>
      <c r="P39" t="s">
        <v>2820</v>
      </c>
      <c r="Q39" t="s">
        <v>2821</v>
      </c>
      <c r="R39" t="s">
        <v>200</v>
      </c>
      <c r="S39" t="s">
        <v>200</v>
      </c>
      <c r="T39" t="s">
        <v>3048</v>
      </c>
      <c r="U39" t="s">
        <v>3048</v>
      </c>
      <c r="V39" t="s">
        <v>3049</v>
      </c>
      <c r="W39" t="s">
        <v>3050</v>
      </c>
      <c r="X39" t="s">
        <v>3051</v>
      </c>
      <c r="Y39" t="s">
        <v>3300</v>
      </c>
      <c r="Z39" t="s">
        <v>1763</v>
      </c>
      <c r="AA39" t="s">
        <v>3301</v>
      </c>
      <c r="AB39" t="s">
        <v>3302</v>
      </c>
      <c r="AC39" t="s">
        <v>2829</v>
      </c>
      <c r="AD39" t="s">
        <v>2883</v>
      </c>
      <c r="AE39" t="s">
        <v>2831</v>
      </c>
      <c r="AF39" t="s">
        <v>3055</v>
      </c>
      <c r="AG39" t="s">
        <v>3055</v>
      </c>
      <c r="AH39" t="s">
        <v>2834</v>
      </c>
      <c r="AI39" t="s">
        <v>2835</v>
      </c>
      <c r="AJ39" t="s">
        <v>3060</v>
      </c>
      <c r="AK39" t="s">
        <v>2961</v>
      </c>
      <c r="AL39" t="s">
        <v>3301</v>
      </c>
      <c r="AM39" t="s">
        <v>3303</v>
      </c>
      <c r="AN39" t="s">
        <v>2829</v>
      </c>
      <c r="AO39" t="s">
        <v>2839</v>
      </c>
      <c r="AP39" t="s">
        <v>2840</v>
      </c>
      <c r="AQ39" t="s">
        <v>2841</v>
      </c>
      <c r="AR39" t="s">
        <v>3005</v>
      </c>
      <c r="AS39" t="s">
        <v>3005</v>
      </c>
      <c r="AT39" t="s">
        <v>2829</v>
      </c>
      <c r="AU39" t="s">
        <v>2829</v>
      </c>
      <c r="AV39" t="s">
        <v>2829</v>
      </c>
      <c r="AW39" t="s">
        <v>2829</v>
      </c>
      <c r="AX39" t="s">
        <v>2829</v>
      </c>
      <c r="AY39" t="s">
        <v>2829</v>
      </c>
      <c r="AZ39" t="s">
        <v>2829</v>
      </c>
      <c r="BA39" t="s">
        <v>2829</v>
      </c>
      <c r="BB39" t="s">
        <v>2829</v>
      </c>
      <c r="BC39" t="s">
        <v>2829</v>
      </c>
      <c r="BD39" t="s">
        <v>3005</v>
      </c>
      <c r="BE39" t="s">
        <v>3005</v>
      </c>
      <c r="BF39" t="s">
        <v>243</v>
      </c>
      <c r="BG39" t="s">
        <v>243</v>
      </c>
      <c r="BH39" t="s">
        <v>243</v>
      </c>
      <c r="BI39" t="s">
        <v>243</v>
      </c>
      <c r="BJ39" t="s">
        <v>2829</v>
      </c>
      <c r="BK39" t="s">
        <v>243</v>
      </c>
      <c r="BL39" t="s">
        <v>243</v>
      </c>
      <c r="BM39" t="s">
        <v>243</v>
      </c>
      <c r="BN39" t="s">
        <v>243</v>
      </c>
      <c r="BO39" t="s">
        <v>243</v>
      </c>
      <c r="BP39" t="s">
        <v>2829</v>
      </c>
      <c r="BQ39" t="s">
        <v>243</v>
      </c>
      <c r="BR39" t="s">
        <v>243</v>
      </c>
      <c r="BS39" t="s">
        <v>243</v>
      </c>
      <c r="BT39" t="s">
        <v>243</v>
      </c>
      <c r="BU39" t="s">
        <v>243</v>
      </c>
      <c r="BV39" t="s">
        <v>2829</v>
      </c>
      <c r="BW39" t="s">
        <v>243</v>
      </c>
      <c r="BX39" t="s">
        <v>243</v>
      </c>
      <c r="BY39" t="s">
        <v>243</v>
      </c>
      <c r="BZ39" t="s">
        <v>243</v>
      </c>
      <c r="CA39" t="s">
        <v>243</v>
      </c>
      <c r="CB39" t="s">
        <v>2829</v>
      </c>
      <c r="CC39" t="s">
        <v>243</v>
      </c>
      <c r="CD39" t="s">
        <v>243</v>
      </c>
      <c r="CE39" t="s">
        <v>243</v>
      </c>
      <c r="CF39" t="s">
        <v>243</v>
      </c>
      <c r="CG39" t="s">
        <v>243</v>
      </c>
      <c r="CH39" t="s">
        <v>2829</v>
      </c>
      <c r="CI39" t="s">
        <v>243</v>
      </c>
      <c r="CJ39" t="s">
        <v>243</v>
      </c>
      <c r="CK39" t="s">
        <v>243</v>
      </c>
      <c r="CL39" t="s">
        <v>243</v>
      </c>
      <c r="CM39" t="s">
        <v>243</v>
      </c>
      <c r="CN39" t="s">
        <v>3187</v>
      </c>
      <c r="CO39" t="s">
        <v>2843</v>
      </c>
      <c r="CP39" t="s">
        <v>2844</v>
      </c>
      <c r="CQ39" t="s">
        <v>470</v>
      </c>
      <c r="CR39" t="s">
        <v>2872</v>
      </c>
      <c r="CS39" t="s">
        <v>431</v>
      </c>
      <c r="CT39" t="s">
        <v>470</v>
      </c>
      <c r="CU39" t="s">
        <v>3061</v>
      </c>
      <c r="CV39" t="s">
        <v>3062</v>
      </c>
      <c r="CW39" t="s">
        <v>2872</v>
      </c>
      <c r="CX39" t="s">
        <v>2848</v>
      </c>
      <c r="CY39" t="s">
        <v>3304</v>
      </c>
    </row>
    <row r="40" spans="1:103" ht="11.25" customHeight="1">
      <c r="A40" t="s">
        <v>243</v>
      </c>
      <c r="B40" t="s">
        <v>243</v>
      </c>
      <c r="C40" t="s">
        <v>243</v>
      </c>
      <c r="D40" t="s">
        <v>243</v>
      </c>
      <c r="E40" t="s">
        <v>243</v>
      </c>
      <c r="F40" t="s">
        <v>2816</v>
      </c>
      <c r="G40" t="s">
        <v>243</v>
      </c>
      <c r="H40" t="s">
        <v>243</v>
      </c>
      <c r="I40" t="s">
        <v>3305</v>
      </c>
      <c r="J40" t="s">
        <v>243</v>
      </c>
      <c r="K40" t="s">
        <v>455</v>
      </c>
      <c r="L40" t="s">
        <v>243</v>
      </c>
      <c r="M40" t="s">
        <v>114</v>
      </c>
      <c r="N40" t="s">
        <v>243</v>
      </c>
      <c r="O40" t="s">
        <v>2819</v>
      </c>
      <c r="P40" t="s">
        <v>2820</v>
      </c>
      <c r="Q40" t="s">
        <v>2821</v>
      </c>
      <c r="R40" t="s">
        <v>200</v>
      </c>
      <c r="S40" t="s">
        <v>200</v>
      </c>
      <c r="T40" t="s">
        <v>3048</v>
      </c>
      <c r="U40" t="s">
        <v>3048</v>
      </c>
      <c r="V40" t="s">
        <v>3049</v>
      </c>
      <c r="W40" t="s">
        <v>3050</v>
      </c>
      <c r="X40" t="s">
        <v>3051</v>
      </c>
      <c r="Y40" t="s">
        <v>3306</v>
      </c>
      <c r="Z40" t="s">
        <v>3307</v>
      </c>
      <c r="AA40" t="s">
        <v>3128</v>
      </c>
      <c r="AB40" t="s">
        <v>3193</v>
      </c>
      <c r="AC40" t="s">
        <v>2829</v>
      </c>
      <c r="AD40" t="s">
        <v>2883</v>
      </c>
      <c r="AE40" t="s">
        <v>2831</v>
      </c>
      <c r="AF40" t="s">
        <v>3055</v>
      </c>
      <c r="AG40" t="s">
        <v>3055</v>
      </c>
      <c r="AH40" t="s">
        <v>2834</v>
      </c>
      <c r="AI40" t="s">
        <v>2835</v>
      </c>
      <c r="AJ40" t="s">
        <v>3184</v>
      </c>
      <c r="AK40" t="s">
        <v>3308</v>
      </c>
      <c r="AL40" t="s">
        <v>3128</v>
      </c>
      <c r="AM40" t="s">
        <v>3193</v>
      </c>
      <c r="AN40" t="s">
        <v>2829</v>
      </c>
      <c r="AO40" t="s">
        <v>2839</v>
      </c>
      <c r="AP40" t="s">
        <v>2840</v>
      </c>
      <c r="AQ40" t="s">
        <v>2841</v>
      </c>
      <c r="AR40" t="s">
        <v>3005</v>
      </c>
      <c r="AS40" t="s">
        <v>3005</v>
      </c>
      <c r="AT40" t="s">
        <v>2829</v>
      </c>
      <c r="AU40" t="s">
        <v>2829</v>
      </c>
      <c r="AV40" t="s">
        <v>2829</v>
      </c>
      <c r="AW40" t="s">
        <v>2829</v>
      </c>
      <c r="AX40" t="s">
        <v>2829</v>
      </c>
      <c r="AY40" t="s">
        <v>2829</v>
      </c>
      <c r="AZ40" t="s">
        <v>2829</v>
      </c>
      <c r="BA40" t="s">
        <v>2829</v>
      </c>
      <c r="BB40" t="s">
        <v>2829</v>
      </c>
      <c r="BC40" t="s">
        <v>2829</v>
      </c>
      <c r="BD40" t="s">
        <v>3005</v>
      </c>
      <c r="BE40" t="s">
        <v>3005</v>
      </c>
      <c r="BF40" t="s">
        <v>243</v>
      </c>
      <c r="BG40" t="s">
        <v>243</v>
      </c>
      <c r="BH40" t="s">
        <v>243</v>
      </c>
      <c r="BI40" t="s">
        <v>243</v>
      </c>
      <c r="BJ40" t="s">
        <v>2829</v>
      </c>
      <c r="BK40" t="s">
        <v>243</v>
      </c>
      <c r="BL40" t="s">
        <v>243</v>
      </c>
      <c r="BM40" t="s">
        <v>243</v>
      </c>
      <c r="BN40" t="s">
        <v>243</v>
      </c>
      <c r="BO40" t="s">
        <v>243</v>
      </c>
      <c r="BP40" t="s">
        <v>2829</v>
      </c>
      <c r="BQ40" t="s">
        <v>243</v>
      </c>
      <c r="BR40" t="s">
        <v>243</v>
      </c>
      <c r="BS40" t="s">
        <v>243</v>
      </c>
      <c r="BT40" t="s">
        <v>243</v>
      </c>
      <c r="BU40" t="s">
        <v>243</v>
      </c>
      <c r="BV40" t="s">
        <v>2829</v>
      </c>
      <c r="BW40" t="s">
        <v>243</v>
      </c>
      <c r="BX40" t="s">
        <v>243</v>
      </c>
      <c r="BY40" t="s">
        <v>243</v>
      </c>
      <c r="BZ40" t="s">
        <v>243</v>
      </c>
      <c r="CA40" t="s">
        <v>243</v>
      </c>
      <c r="CB40" t="s">
        <v>2829</v>
      </c>
      <c r="CC40" t="s">
        <v>243</v>
      </c>
      <c r="CD40" t="s">
        <v>243</v>
      </c>
      <c r="CE40" t="s">
        <v>243</v>
      </c>
      <c r="CF40" t="s">
        <v>243</v>
      </c>
      <c r="CG40" t="s">
        <v>243</v>
      </c>
      <c r="CH40" t="s">
        <v>2829</v>
      </c>
      <c r="CI40" t="s">
        <v>243</v>
      </c>
      <c r="CJ40" t="s">
        <v>243</v>
      </c>
      <c r="CK40" t="s">
        <v>243</v>
      </c>
      <c r="CL40" t="s">
        <v>243</v>
      </c>
      <c r="CM40" t="s">
        <v>243</v>
      </c>
      <c r="CN40" t="s">
        <v>2942</v>
      </c>
      <c r="CO40" t="s">
        <v>2843</v>
      </c>
      <c r="CP40" t="s">
        <v>2844</v>
      </c>
      <c r="CQ40" t="s">
        <v>470</v>
      </c>
      <c r="CR40" t="s">
        <v>2872</v>
      </c>
      <c r="CS40" t="s">
        <v>431</v>
      </c>
      <c r="CT40" t="s">
        <v>470</v>
      </c>
      <c r="CU40" t="s">
        <v>3061</v>
      </c>
      <c r="CV40" t="s">
        <v>3062</v>
      </c>
      <c r="CW40" t="s">
        <v>2872</v>
      </c>
      <c r="CX40" t="s">
        <v>2848</v>
      </c>
      <c r="CY40" t="s">
        <v>3309</v>
      </c>
    </row>
    <row r="41" spans="1:103" ht="11.25" customHeight="1">
      <c r="A41" t="s">
        <v>243</v>
      </c>
      <c r="B41" t="s">
        <v>243</v>
      </c>
      <c r="C41" t="s">
        <v>243</v>
      </c>
      <c r="D41" t="s">
        <v>243</v>
      </c>
      <c r="E41" t="s">
        <v>243</v>
      </c>
      <c r="F41" t="s">
        <v>2816</v>
      </c>
      <c r="G41" t="s">
        <v>243</v>
      </c>
      <c r="H41" t="s">
        <v>243</v>
      </c>
      <c r="I41" t="s">
        <v>3310</v>
      </c>
      <c r="J41" t="s">
        <v>243</v>
      </c>
      <c r="K41" t="s">
        <v>3311</v>
      </c>
      <c r="L41" t="s">
        <v>243</v>
      </c>
      <c r="M41" t="s">
        <v>114</v>
      </c>
      <c r="N41" t="s">
        <v>243</v>
      </c>
      <c r="O41" t="s">
        <v>2819</v>
      </c>
      <c r="P41" t="s">
        <v>2820</v>
      </c>
      <c r="Q41" t="s">
        <v>2821</v>
      </c>
      <c r="R41" t="s">
        <v>200</v>
      </c>
      <c r="S41" t="s">
        <v>200</v>
      </c>
      <c r="T41" t="s">
        <v>3048</v>
      </c>
      <c r="U41" t="s">
        <v>3048</v>
      </c>
      <c r="V41" t="s">
        <v>3049</v>
      </c>
      <c r="W41" t="s">
        <v>3050</v>
      </c>
      <c r="X41" t="s">
        <v>3051</v>
      </c>
      <c r="Y41" t="s">
        <v>3312</v>
      </c>
      <c r="Z41" t="s">
        <v>3202</v>
      </c>
      <c r="AA41" t="s">
        <v>3313</v>
      </c>
      <c r="AB41" t="s">
        <v>3095</v>
      </c>
      <c r="AC41" t="s">
        <v>2829</v>
      </c>
      <c r="AD41" t="s">
        <v>2883</v>
      </c>
      <c r="AE41" t="s">
        <v>2831</v>
      </c>
      <c r="AF41" t="s">
        <v>3055</v>
      </c>
      <c r="AG41" t="s">
        <v>3055</v>
      </c>
      <c r="AH41" t="s">
        <v>2834</v>
      </c>
      <c r="AI41" t="s">
        <v>2835</v>
      </c>
      <c r="AJ41" t="s">
        <v>3314</v>
      </c>
      <c r="AK41" t="s">
        <v>3315</v>
      </c>
      <c r="AL41" t="s">
        <v>3313</v>
      </c>
      <c r="AM41" t="s">
        <v>3095</v>
      </c>
      <c r="AN41" t="s">
        <v>2829</v>
      </c>
      <c r="AO41" t="s">
        <v>2839</v>
      </c>
      <c r="AP41" t="s">
        <v>2840</v>
      </c>
      <c r="AQ41" t="s">
        <v>2841</v>
      </c>
      <c r="AR41" t="s">
        <v>3316</v>
      </c>
      <c r="AS41" t="s">
        <v>3316</v>
      </c>
      <c r="AT41" t="s">
        <v>2829</v>
      </c>
      <c r="AU41" t="s">
        <v>2829</v>
      </c>
      <c r="AV41" t="s">
        <v>2829</v>
      </c>
      <c r="AW41" t="s">
        <v>2829</v>
      </c>
      <c r="AX41" t="s">
        <v>2829</v>
      </c>
      <c r="AY41" t="s">
        <v>2829</v>
      </c>
      <c r="AZ41" t="s">
        <v>2829</v>
      </c>
      <c r="BA41" t="s">
        <v>2829</v>
      </c>
      <c r="BB41" t="s">
        <v>2829</v>
      </c>
      <c r="BC41" t="s">
        <v>2829</v>
      </c>
      <c r="BD41" t="s">
        <v>3316</v>
      </c>
      <c r="BE41" t="s">
        <v>3316</v>
      </c>
      <c r="BF41" t="s">
        <v>243</v>
      </c>
      <c r="BG41" t="s">
        <v>243</v>
      </c>
      <c r="BH41" t="s">
        <v>243</v>
      </c>
      <c r="BI41" t="s">
        <v>243</v>
      </c>
      <c r="BJ41" t="s">
        <v>2829</v>
      </c>
      <c r="BK41" t="s">
        <v>243</v>
      </c>
      <c r="BL41" t="s">
        <v>243</v>
      </c>
      <c r="BM41" t="s">
        <v>243</v>
      </c>
      <c r="BN41" t="s">
        <v>243</v>
      </c>
      <c r="BO41" t="s">
        <v>243</v>
      </c>
      <c r="BP41" t="s">
        <v>2829</v>
      </c>
      <c r="BQ41" t="s">
        <v>243</v>
      </c>
      <c r="BR41" t="s">
        <v>243</v>
      </c>
      <c r="BS41" t="s">
        <v>243</v>
      </c>
      <c r="BT41" t="s">
        <v>243</v>
      </c>
      <c r="BU41" t="s">
        <v>243</v>
      </c>
      <c r="BV41" t="s">
        <v>2829</v>
      </c>
      <c r="BW41" t="s">
        <v>243</v>
      </c>
      <c r="BX41" t="s">
        <v>243</v>
      </c>
      <c r="BY41" t="s">
        <v>243</v>
      </c>
      <c r="BZ41" t="s">
        <v>243</v>
      </c>
      <c r="CA41" t="s">
        <v>243</v>
      </c>
      <c r="CB41" t="s">
        <v>2829</v>
      </c>
      <c r="CC41" t="s">
        <v>243</v>
      </c>
      <c r="CD41" t="s">
        <v>243</v>
      </c>
      <c r="CE41" t="s">
        <v>243</v>
      </c>
      <c r="CF41" t="s">
        <v>243</v>
      </c>
      <c r="CG41" t="s">
        <v>243</v>
      </c>
      <c r="CH41" t="s">
        <v>2829</v>
      </c>
      <c r="CI41" t="s">
        <v>243</v>
      </c>
      <c r="CJ41" t="s">
        <v>243</v>
      </c>
      <c r="CK41" t="s">
        <v>243</v>
      </c>
      <c r="CL41" t="s">
        <v>243</v>
      </c>
      <c r="CM41" t="s">
        <v>243</v>
      </c>
      <c r="CN41" t="s">
        <v>3317</v>
      </c>
      <c r="CO41" t="s">
        <v>2843</v>
      </c>
      <c r="CP41" t="s">
        <v>2844</v>
      </c>
      <c r="CQ41" t="s">
        <v>470</v>
      </c>
      <c r="CR41" t="s">
        <v>2872</v>
      </c>
      <c r="CS41" t="s">
        <v>431</v>
      </c>
      <c r="CT41" t="s">
        <v>470</v>
      </c>
      <c r="CU41" t="s">
        <v>3061</v>
      </c>
      <c r="CV41" t="s">
        <v>3062</v>
      </c>
      <c r="CW41" t="s">
        <v>2872</v>
      </c>
      <c r="CX41" t="s">
        <v>2848</v>
      </c>
      <c r="CY41" t="s">
        <v>3318</v>
      </c>
    </row>
    <row r="42" spans="1:103" ht="11.25" customHeight="1">
      <c r="A42" t="s">
        <v>243</v>
      </c>
      <c r="B42" t="s">
        <v>243</v>
      </c>
      <c r="C42" t="s">
        <v>243</v>
      </c>
      <c r="D42" t="s">
        <v>243</v>
      </c>
      <c r="E42" t="s">
        <v>243</v>
      </c>
      <c r="F42" t="s">
        <v>2816</v>
      </c>
      <c r="G42" t="s">
        <v>243</v>
      </c>
      <c r="H42" t="s">
        <v>243</v>
      </c>
      <c r="I42" t="s">
        <v>3319</v>
      </c>
      <c r="J42" t="s">
        <v>243</v>
      </c>
      <c r="K42" t="s">
        <v>3320</v>
      </c>
      <c r="L42" t="s">
        <v>243</v>
      </c>
      <c r="M42" t="s">
        <v>114</v>
      </c>
      <c r="N42" t="s">
        <v>243</v>
      </c>
      <c r="O42" t="s">
        <v>2819</v>
      </c>
      <c r="P42" t="s">
        <v>2820</v>
      </c>
      <c r="Q42" t="s">
        <v>2821</v>
      </c>
      <c r="R42" t="s">
        <v>200</v>
      </c>
      <c r="S42" t="s">
        <v>200</v>
      </c>
      <c r="T42" t="s">
        <v>3048</v>
      </c>
      <c r="U42" t="s">
        <v>3048</v>
      </c>
      <c r="V42" t="s">
        <v>3049</v>
      </c>
      <c r="W42" t="s">
        <v>3050</v>
      </c>
      <c r="X42" t="s">
        <v>3051</v>
      </c>
      <c r="Y42" t="s">
        <v>3321</v>
      </c>
      <c r="Z42" t="s">
        <v>3322</v>
      </c>
      <c r="AA42" t="s">
        <v>3323</v>
      </c>
      <c r="AB42" t="s">
        <v>3324</v>
      </c>
      <c r="AC42" t="s">
        <v>2829</v>
      </c>
      <c r="AD42" t="s">
        <v>2883</v>
      </c>
      <c r="AE42" t="s">
        <v>2831</v>
      </c>
      <c r="AF42" t="s">
        <v>3055</v>
      </c>
      <c r="AG42" t="s">
        <v>3055</v>
      </c>
      <c r="AH42" t="s">
        <v>2834</v>
      </c>
      <c r="AI42" t="s">
        <v>2835</v>
      </c>
      <c r="AJ42" t="s">
        <v>3030</v>
      </c>
      <c r="AK42" t="s">
        <v>3325</v>
      </c>
      <c r="AL42" t="s">
        <v>3323</v>
      </c>
      <c r="AM42" t="s">
        <v>3324</v>
      </c>
      <c r="AN42" t="s">
        <v>2829</v>
      </c>
      <c r="AO42" t="s">
        <v>2839</v>
      </c>
      <c r="AP42" t="s">
        <v>2840</v>
      </c>
      <c r="AQ42" t="s">
        <v>2841</v>
      </c>
      <c r="AR42" t="s">
        <v>3326</v>
      </c>
      <c r="AS42" t="s">
        <v>3326</v>
      </c>
      <c r="AT42" t="s">
        <v>2829</v>
      </c>
      <c r="AU42" t="s">
        <v>2829</v>
      </c>
      <c r="AV42" t="s">
        <v>2829</v>
      </c>
      <c r="AW42" t="s">
        <v>2829</v>
      </c>
      <c r="AX42" t="s">
        <v>2829</v>
      </c>
      <c r="AY42" t="s">
        <v>2829</v>
      </c>
      <c r="AZ42" t="s">
        <v>2829</v>
      </c>
      <c r="BA42" t="s">
        <v>2829</v>
      </c>
      <c r="BB42" t="s">
        <v>2829</v>
      </c>
      <c r="BC42" t="s">
        <v>2829</v>
      </c>
      <c r="BD42" t="s">
        <v>3326</v>
      </c>
      <c r="BE42" t="s">
        <v>3326</v>
      </c>
      <c r="BF42" t="s">
        <v>243</v>
      </c>
      <c r="BG42" t="s">
        <v>243</v>
      </c>
      <c r="BH42" t="s">
        <v>243</v>
      </c>
      <c r="BI42" t="s">
        <v>243</v>
      </c>
      <c r="BJ42" t="s">
        <v>2829</v>
      </c>
      <c r="BK42" t="s">
        <v>243</v>
      </c>
      <c r="BL42" t="s">
        <v>243</v>
      </c>
      <c r="BM42" t="s">
        <v>243</v>
      </c>
      <c r="BN42" t="s">
        <v>243</v>
      </c>
      <c r="BO42" t="s">
        <v>243</v>
      </c>
      <c r="BP42" t="s">
        <v>2829</v>
      </c>
      <c r="BQ42" t="s">
        <v>243</v>
      </c>
      <c r="BR42" t="s">
        <v>243</v>
      </c>
      <c r="BS42" t="s">
        <v>243</v>
      </c>
      <c r="BT42" t="s">
        <v>243</v>
      </c>
      <c r="BU42" t="s">
        <v>243</v>
      </c>
      <c r="BV42" t="s">
        <v>2829</v>
      </c>
      <c r="BW42" t="s">
        <v>243</v>
      </c>
      <c r="BX42" t="s">
        <v>243</v>
      </c>
      <c r="BY42" t="s">
        <v>243</v>
      </c>
      <c r="BZ42" t="s">
        <v>243</v>
      </c>
      <c r="CA42" t="s">
        <v>243</v>
      </c>
      <c r="CB42" t="s">
        <v>2829</v>
      </c>
      <c r="CC42" t="s">
        <v>243</v>
      </c>
      <c r="CD42" t="s">
        <v>243</v>
      </c>
      <c r="CE42" t="s">
        <v>243</v>
      </c>
      <c r="CF42" t="s">
        <v>243</v>
      </c>
      <c r="CG42" t="s">
        <v>243</v>
      </c>
      <c r="CH42" t="s">
        <v>2829</v>
      </c>
      <c r="CI42" t="s">
        <v>243</v>
      </c>
      <c r="CJ42" t="s">
        <v>243</v>
      </c>
      <c r="CK42" t="s">
        <v>243</v>
      </c>
      <c r="CL42" t="s">
        <v>243</v>
      </c>
      <c r="CM42" t="s">
        <v>243</v>
      </c>
      <c r="CN42" t="s">
        <v>3150</v>
      </c>
      <c r="CO42" t="s">
        <v>2843</v>
      </c>
      <c r="CP42" t="s">
        <v>2844</v>
      </c>
      <c r="CQ42" t="s">
        <v>470</v>
      </c>
      <c r="CR42" t="s">
        <v>2872</v>
      </c>
      <c r="CS42" t="s">
        <v>431</v>
      </c>
      <c r="CT42" t="s">
        <v>470</v>
      </c>
      <c r="CU42" t="s">
        <v>3061</v>
      </c>
      <c r="CV42" t="s">
        <v>3062</v>
      </c>
      <c r="CW42" t="s">
        <v>2872</v>
      </c>
      <c r="CX42" t="s">
        <v>2848</v>
      </c>
      <c r="CY42" t="s">
        <v>3327</v>
      </c>
    </row>
    <row r="43" spans="1:103" ht="11.25" customHeight="1">
      <c r="A43" t="s">
        <v>243</v>
      </c>
      <c r="B43" t="s">
        <v>243</v>
      </c>
      <c r="C43" t="s">
        <v>243</v>
      </c>
      <c r="D43" t="s">
        <v>243</v>
      </c>
      <c r="E43" t="s">
        <v>243</v>
      </c>
      <c r="F43" t="s">
        <v>2816</v>
      </c>
      <c r="G43" t="s">
        <v>243</v>
      </c>
      <c r="H43" t="s">
        <v>243</v>
      </c>
      <c r="I43" t="s">
        <v>3328</v>
      </c>
      <c r="J43" t="s">
        <v>243</v>
      </c>
      <c r="K43" t="s">
        <v>3329</v>
      </c>
      <c r="L43" t="s">
        <v>243</v>
      </c>
      <c r="M43" t="s">
        <v>114</v>
      </c>
      <c r="N43" t="s">
        <v>243</v>
      </c>
      <c r="O43" t="s">
        <v>2819</v>
      </c>
      <c r="P43" t="s">
        <v>2820</v>
      </c>
      <c r="Q43" t="s">
        <v>2821</v>
      </c>
      <c r="R43" t="s">
        <v>200</v>
      </c>
      <c r="S43" t="s">
        <v>200</v>
      </c>
      <c r="T43" t="s">
        <v>3048</v>
      </c>
      <c r="U43" t="s">
        <v>3048</v>
      </c>
      <c r="V43" t="s">
        <v>3049</v>
      </c>
      <c r="W43" t="s">
        <v>3050</v>
      </c>
      <c r="X43" t="s">
        <v>3051</v>
      </c>
      <c r="Y43" t="s">
        <v>3330</v>
      </c>
      <c r="Z43" t="s">
        <v>1776</v>
      </c>
      <c r="AA43" t="s">
        <v>3331</v>
      </c>
      <c r="AB43" t="s">
        <v>3332</v>
      </c>
      <c r="AC43" t="s">
        <v>2829</v>
      </c>
      <c r="AD43" t="s">
        <v>2883</v>
      </c>
      <c r="AE43" t="s">
        <v>2831</v>
      </c>
      <c r="AF43" t="s">
        <v>3055</v>
      </c>
      <c r="AG43" t="s">
        <v>3055</v>
      </c>
      <c r="AH43" t="s">
        <v>2834</v>
      </c>
      <c r="AI43" t="s">
        <v>2835</v>
      </c>
      <c r="AJ43" t="s">
        <v>3184</v>
      </c>
      <c r="AK43" t="s">
        <v>3325</v>
      </c>
      <c r="AL43" t="s">
        <v>3331</v>
      </c>
      <c r="AM43" t="s">
        <v>3332</v>
      </c>
      <c r="AN43" t="s">
        <v>2829</v>
      </c>
      <c r="AO43" t="s">
        <v>2839</v>
      </c>
      <c r="AP43" t="s">
        <v>2840</v>
      </c>
      <c r="AQ43" t="s">
        <v>2841</v>
      </c>
      <c r="AR43" t="s">
        <v>3333</v>
      </c>
      <c r="AS43" t="s">
        <v>3333</v>
      </c>
      <c r="AT43" t="s">
        <v>2829</v>
      </c>
      <c r="AU43" t="s">
        <v>2829</v>
      </c>
      <c r="AV43" t="s">
        <v>2829</v>
      </c>
      <c r="AW43" t="s">
        <v>2829</v>
      </c>
      <c r="AX43" t="s">
        <v>2829</v>
      </c>
      <c r="AY43" t="s">
        <v>2829</v>
      </c>
      <c r="AZ43" t="s">
        <v>2829</v>
      </c>
      <c r="BA43" t="s">
        <v>2829</v>
      </c>
      <c r="BB43" t="s">
        <v>2829</v>
      </c>
      <c r="BC43" t="s">
        <v>2829</v>
      </c>
      <c r="BD43" t="s">
        <v>3333</v>
      </c>
      <c r="BE43" t="s">
        <v>3333</v>
      </c>
      <c r="BF43" t="s">
        <v>243</v>
      </c>
      <c r="BG43" t="s">
        <v>243</v>
      </c>
      <c r="BH43" t="s">
        <v>243</v>
      </c>
      <c r="BI43" t="s">
        <v>243</v>
      </c>
      <c r="BJ43" t="s">
        <v>2829</v>
      </c>
      <c r="BK43" t="s">
        <v>243</v>
      </c>
      <c r="BL43" t="s">
        <v>243</v>
      </c>
      <c r="BM43" t="s">
        <v>243</v>
      </c>
      <c r="BN43" t="s">
        <v>243</v>
      </c>
      <c r="BO43" t="s">
        <v>243</v>
      </c>
      <c r="BP43" t="s">
        <v>2829</v>
      </c>
      <c r="BQ43" t="s">
        <v>243</v>
      </c>
      <c r="BR43" t="s">
        <v>243</v>
      </c>
      <c r="BS43" t="s">
        <v>243</v>
      </c>
      <c r="BT43" t="s">
        <v>243</v>
      </c>
      <c r="BU43" t="s">
        <v>243</v>
      </c>
      <c r="BV43" t="s">
        <v>2829</v>
      </c>
      <c r="BW43" t="s">
        <v>243</v>
      </c>
      <c r="BX43" t="s">
        <v>243</v>
      </c>
      <c r="BY43" t="s">
        <v>243</v>
      </c>
      <c r="BZ43" t="s">
        <v>243</v>
      </c>
      <c r="CA43" t="s">
        <v>243</v>
      </c>
      <c r="CB43" t="s">
        <v>2829</v>
      </c>
      <c r="CC43" t="s">
        <v>243</v>
      </c>
      <c r="CD43" t="s">
        <v>243</v>
      </c>
      <c r="CE43" t="s">
        <v>243</v>
      </c>
      <c r="CF43" t="s">
        <v>243</v>
      </c>
      <c r="CG43" t="s">
        <v>243</v>
      </c>
      <c r="CH43" t="s">
        <v>2829</v>
      </c>
      <c r="CI43" t="s">
        <v>243</v>
      </c>
      <c r="CJ43" t="s">
        <v>243</v>
      </c>
      <c r="CK43" t="s">
        <v>243</v>
      </c>
      <c r="CL43" t="s">
        <v>243</v>
      </c>
      <c r="CM43" t="s">
        <v>243</v>
      </c>
      <c r="CN43" t="s">
        <v>3334</v>
      </c>
      <c r="CO43" t="s">
        <v>2843</v>
      </c>
      <c r="CP43" t="s">
        <v>2844</v>
      </c>
      <c r="CQ43" t="s">
        <v>470</v>
      </c>
      <c r="CR43" t="s">
        <v>2872</v>
      </c>
      <c r="CS43" t="s">
        <v>431</v>
      </c>
      <c r="CT43" t="s">
        <v>470</v>
      </c>
      <c r="CU43" t="s">
        <v>3061</v>
      </c>
      <c r="CV43" t="s">
        <v>3062</v>
      </c>
      <c r="CW43" t="s">
        <v>2872</v>
      </c>
      <c r="CX43" t="s">
        <v>2848</v>
      </c>
      <c r="CY43" t="s">
        <v>3335</v>
      </c>
    </row>
    <row r="44" spans="1:103" ht="11.25" customHeight="1">
      <c r="A44" t="s">
        <v>243</v>
      </c>
      <c r="B44" t="s">
        <v>243</v>
      </c>
      <c r="C44" t="s">
        <v>243</v>
      </c>
      <c r="D44" t="s">
        <v>243</v>
      </c>
      <c r="E44" t="s">
        <v>243</v>
      </c>
      <c r="F44" t="s">
        <v>2816</v>
      </c>
      <c r="G44" t="s">
        <v>243</v>
      </c>
      <c r="H44" t="s">
        <v>243</v>
      </c>
      <c r="I44" t="s">
        <v>3336</v>
      </c>
      <c r="J44" t="s">
        <v>243</v>
      </c>
      <c r="K44" t="s">
        <v>3178</v>
      </c>
      <c r="L44" t="s">
        <v>243</v>
      </c>
      <c r="M44" t="s">
        <v>114</v>
      </c>
      <c r="N44" t="s">
        <v>243</v>
      </c>
      <c r="O44" t="s">
        <v>2819</v>
      </c>
      <c r="P44" t="s">
        <v>2820</v>
      </c>
      <c r="Q44" t="s">
        <v>2821</v>
      </c>
      <c r="R44" t="s">
        <v>200</v>
      </c>
      <c r="S44" t="s">
        <v>200</v>
      </c>
      <c r="T44" t="s">
        <v>3048</v>
      </c>
      <c r="U44" t="s">
        <v>3048</v>
      </c>
      <c r="V44" t="s">
        <v>3049</v>
      </c>
      <c r="W44" t="s">
        <v>3337</v>
      </c>
      <c r="X44" t="s">
        <v>3338</v>
      </c>
      <c r="Y44" t="s">
        <v>2913</v>
      </c>
      <c r="Z44" t="s">
        <v>454</v>
      </c>
      <c r="AA44" t="s">
        <v>3078</v>
      </c>
      <c r="AB44" t="s">
        <v>2907</v>
      </c>
      <c r="AC44" t="s">
        <v>2829</v>
      </c>
      <c r="AD44" t="s">
        <v>2883</v>
      </c>
      <c r="AE44" t="s">
        <v>2831</v>
      </c>
      <c r="AF44" t="s">
        <v>3055</v>
      </c>
      <c r="AG44" t="s">
        <v>3055</v>
      </c>
      <c r="AH44" t="s">
        <v>2834</v>
      </c>
      <c r="AI44" t="s">
        <v>2835</v>
      </c>
      <c r="AJ44" t="s">
        <v>3187</v>
      </c>
      <c r="AK44" t="s">
        <v>3325</v>
      </c>
      <c r="AL44" t="s">
        <v>3078</v>
      </c>
      <c r="AM44" t="s">
        <v>2907</v>
      </c>
      <c r="AN44" t="s">
        <v>2829</v>
      </c>
      <c r="AO44" t="s">
        <v>2839</v>
      </c>
      <c r="AP44" t="s">
        <v>2840</v>
      </c>
      <c r="AQ44" t="s">
        <v>2841</v>
      </c>
      <c r="AR44" t="s">
        <v>3005</v>
      </c>
      <c r="AS44" t="s">
        <v>3005</v>
      </c>
      <c r="AT44" t="s">
        <v>2829</v>
      </c>
      <c r="AU44" t="s">
        <v>2829</v>
      </c>
      <c r="AV44" t="s">
        <v>2829</v>
      </c>
      <c r="AW44" t="s">
        <v>2829</v>
      </c>
      <c r="AX44" t="s">
        <v>2829</v>
      </c>
      <c r="AY44" t="s">
        <v>2829</v>
      </c>
      <c r="AZ44" t="s">
        <v>2829</v>
      </c>
      <c r="BA44" t="s">
        <v>2829</v>
      </c>
      <c r="BB44" t="s">
        <v>2829</v>
      </c>
      <c r="BC44" t="s">
        <v>2829</v>
      </c>
      <c r="BD44" t="s">
        <v>3005</v>
      </c>
      <c r="BE44" t="s">
        <v>3005</v>
      </c>
      <c r="BF44" t="s">
        <v>243</v>
      </c>
      <c r="BG44" t="s">
        <v>243</v>
      </c>
      <c r="BH44" t="s">
        <v>243</v>
      </c>
      <c r="BI44" t="s">
        <v>243</v>
      </c>
      <c r="BJ44" t="s">
        <v>2829</v>
      </c>
      <c r="BK44" t="s">
        <v>243</v>
      </c>
      <c r="BL44" t="s">
        <v>243</v>
      </c>
      <c r="BM44" t="s">
        <v>243</v>
      </c>
      <c r="BN44" t="s">
        <v>243</v>
      </c>
      <c r="BO44" t="s">
        <v>243</v>
      </c>
      <c r="BP44" t="s">
        <v>2829</v>
      </c>
      <c r="BQ44" t="s">
        <v>243</v>
      </c>
      <c r="BR44" t="s">
        <v>243</v>
      </c>
      <c r="BS44" t="s">
        <v>243</v>
      </c>
      <c r="BT44" t="s">
        <v>243</v>
      </c>
      <c r="BU44" t="s">
        <v>243</v>
      </c>
      <c r="BV44" t="s">
        <v>2829</v>
      </c>
      <c r="BW44" t="s">
        <v>243</v>
      </c>
      <c r="BX44" t="s">
        <v>243</v>
      </c>
      <c r="BY44" t="s">
        <v>243</v>
      </c>
      <c r="BZ44" t="s">
        <v>243</v>
      </c>
      <c r="CA44" t="s">
        <v>243</v>
      </c>
      <c r="CB44" t="s">
        <v>2829</v>
      </c>
      <c r="CC44" t="s">
        <v>243</v>
      </c>
      <c r="CD44" t="s">
        <v>243</v>
      </c>
      <c r="CE44" t="s">
        <v>243</v>
      </c>
      <c r="CF44" t="s">
        <v>243</v>
      </c>
      <c r="CG44" t="s">
        <v>243</v>
      </c>
      <c r="CH44" t="s">
        <v>2829</v>
      </c>
      <c r="CI44" t="s">
        <v>243</v>
      </c>
      <c r="CJ44" t="s">
        <v>243</v>
      </c>
      <c r="CK44" t="s">
        <v>243</v>
      </c>
      <c r="CL44" t="s">
        <v>243</v>
      </c>
      <c r="CM44" t="s">
        <v>243</v>
      </c>
      <c r="CN44" t="s">
        <v>2888</v>
      </c>
      <c r="CO44" t="s">
        <v>2843</v>
      </c>
      <c r="CP44" t="s">
        <v>2844</v>
      </c>
      <c r="CQ44" t="s">
        <v>470</v>
      </c>
      <c r="CR44" t="s">
        <v>2872</v>
      </c>
      <c r="CS44" t="s">
        <v>431</v>
      </c>
      <c r="CT44" t="s">
        <v>470</v>
      </c>
      <c r="CU44" t="s">
        <v>3061</v>
      </c>
      <c r="CV44" t="s">
        <v>3062</v>
      </c>
      <c r="CW44" t="s">
        <v>2872</v>
      </c>
      <c r="CX44" t="s">
        <v>2848</v>
      </c>
      <c r="CY44" t="s">
        <v>3339</v>
      </c>
    </row>
    <row r="45" spans="1:103" ht="11.25" customHeight="1">
      <c r="A45" t="s">
        <v>243</v>
      </c>
      <c r="B45" t="s">
        <v>243</v>
      </c>
      <c r="C45" t="s">
        <v>243</v>
      </c>
      <c r="D45" t="s">
        <v>243</v>
      </c>
      <c r="E45" t="s">
        <v>243</v>
      </c>
      <c r="F45" t="s">
        <v>2816</v>
      </c>
      <c r="G45" t="s">
        <v>243</v>
      </c>
      <c r="H45" t="s">
        <v>243</v>
      </c>
      <c r="I45" t="s">
        <v>3340</v>
      </c>
      <c r="J45" t="s">
        <v>243</v>
      </c>
      <c r="K45" t="s">
        <v>3341</v>
      </c>
      <c r="L45" t="s">
        <v>243</v>
      </c>
      <c r="M45" t="s">
        <v>114</v>
      </c>
      <c r="N45" t="s">
        <v>243</v>
      </c>
      <c r="O45" t="s">
        <v>2819</v>
      </c>
      <c r="P45" t="s">
        <v>2820</v>
      </c>
      <c r="Q45" t="s">
        <v>2821</v>
      </c>
      <c r="R45" t="s">
        <v>200</v>
      </c>
      <c r="S45" t="s">
        <v>200</v>
      </c>
      <c r="T45" t="s">
        <v>3048</v>
      </c>
      <c r="U45" t="s">
        <v>3048</v>
      </c>
      <c r="V45" t="s">
        <v>3049</v>
      </c>
      <c r="W45" t="s">
        <v>3342</v>
      </c>
      <c r="X45" t="s">
        <v>3343</v>
      </c>
      <c r="Y45" t="s">
        <v>3088</v>
      </c>
      <c r="Z45" t="s">
        <v>2848</v>
      </c>
      <c r="AA45" t="s">
        <v>3078</v>
      </c>
      <c r="AB45" t="s">
        <v>3324</v>
      </c>
      <c r="AC45" t="s">
        <v>2829</v>
      </c>
      <c r="AD45" t="s">
        <v>2883</v>
      </c>
      <c r="AE45" t="s">
        <v>2831</v>
      </c>
      <c r="AF45" t="s">
        <v>3055</v>
      </c>
      <c r="AG45" t="s">
        <v>3055</v>
      </c>
      <c r="AH45" t="s">
        <v>2834</v>
      </c>
      <c r="AI45" t="s">
        <v>2835</v>
      </c>
      <c r="AJ45" t="s">
        <v>2888</v>
      </c>
      <c r="AK45" t="s">
        <v>3080</v>
      </c>
      <c r="AL45" t="s">
        <v>3078</v>
      </c>
      <c r="AM45" t="s">
        <v>3324</v>
      </c>
      <c r="AN45" t="s">
        <v>243</v>
      </c>
      <c r="AO45" t="s">
        <v>2839</v>
      </c>
      <c r="AP45" t="s">
        <v>2840</v>
      </c>
      <c r="AQ45" t="s">
        <v>2841</v>
      </c>
      <c r="AR45" t="s">
        <v>3324</v>
      </c>
      <c r="AS45" t="s">
        <v>3324</v>
      </c>
      <c r="AT45" t="s">
        <v>2829</v>
      </c>
      <c r="AU45" t="s">
        <v>2829</v>
      </c>
      <c r="AV45" t="s">
        <v>2829</v>
      </c>
      <c r="AW45" t="s">
        <v>2829</v>
      </c>
      <c r="AX45" t="s">
        <v>2829</v>
      </c>
      <c r="AY45" t="s">
        <v>2829</v>
      </c>
      <c r="AZ45" t="s">
        <v>2829</v>
      </c>
      <c r="BA45" t="s">
        <v>2829</v>
      </c>
      <c r="BB45" t="s">
        <v>2829</v>
      </c>
      <c r="BC45" t="s">
        <v>2829</v>
      </c>
      <c r="BD45" t="s">
        <v>3324</v>
      </c>
      <c r="BE45" t="s">
        <v>3324</v>
      </c>
      <c r="BF45" t="s">
        <v>243</v>
      </c>
      <c r="BG45" t="s">
        <v>243</v>
      </c>
      <c r="BH45" t="s">
        <v>243</v>
      </c>
      <c r="BI45" t="s">
        <v>243</v>
      </c>
      <c r="BJ45" t="s">
        <v>2829</v>
      </c>
      <c r="BK45" t="s">
        <v>243</v>
      </c>
      <c r="BL45" t="s">
        <v>243</v>
      </c>
      <c r="BM45" t="s">
        <v>243</v>
      </c>
      <c r="BN45" t="s">
        <v>243</v>
      </c>
      <c r="BO45" t="s">
        <v>243</v>
      </c>
      <c r="BP45" t="s">
        <v>2829</v>
      </c>
      <c r="BQ45" t="s">
        <v>243</v>
      </c>
      <c r="BR45" t="s">
        <v>243</v>
      </c>
      <c r="BS45" t="s">
        <v>243</v>
      </c>
      <c r="BT45" t="s">
        <v>243</v>
      </c>
      <c r="BU45" t="s">
        <v>243</v>
      </c>
      <c r="BV45" t="s">
        <v>2829</v>
      </c>
      <c r="BW45" t="s">
        <v>243</v>
      </c>
      <c r="BX45" t="s">
        <v>243</v>
      </c>
      <c r="BY45" t="s">
        <v>243</v>
      </c>
      <c r="BZ45" t="s">
        <v>243</v>
      </c>
      <c r="CA45" t="s">
        <v>243</v>
      </c>
      <c r="CB45" t="s">
        <v>2829</v>
      </c>
      <c r="CC45" t="s">
        <v>243</v>
      </c>
      <c r="CD45" t="s">
        <v>243</v>
      </c>
      <c r="CE45" t="s">
        <v>243</v>
      </c>
      <c r="CF45" t="s">
        <v>243</v>
      </c>
      <c r="CG45" t="s">
        <v>243</v>
      </c>
      <c r="CH45" t="s">
        <v>2829</v>
      </c>
      <c r="CI45" t="s">
        <v>243</v>
      </c>
      <c r="CJ45" t="s">
        <v>243</v>
      </c>
      <c r="CK45" t="s">
        <v>243</v>
      </c>
      <c r="CL45" t="s">
        <v>243</v>
      </c>
      <c r="CM45" t="s">
        <v>243</v>
      </c>
      <c r="CN45" t="s">
        <v>2888</v>
      </c>
      <c r="CO45" t="s">
        <v>2843</v>
      </c>
      <c r="CP45" t="s">
        <v>2844</v>
      </c>
      <c r="CQ45" t="s">
        <v>470</v>
      </c>
      <c r="CR45" t="s">
        <v>2872</v>
      </c>
      <c r="CS45" t="s">
        <v>431</v>
      </c>
      <c r="CT45" t="s">
        <v>470</v>
      </c>
      <c r="CU45" t="s">
        <v>3061</v>
      </c>
      <c r="CV45" t="s">
        <v>3062</v>
      </c>
      <c r="CW45" t="s">
        <v>2872</v>
      </c>
      <c r="CX45" t="s">
        <v>2848</v>
      </c>
      <c r="CY45" t="s">
        <v>3344</v>
      </c>
    </row>
    <row r="46" spans="1:103" ht="11.25" customHeight="1">
      <c r="A46" t="s">
        <v>243</v>
      </c>
      <c r="B46" t="s">
        <v>243</v>
      </c>
      <c r="C46" t="s">
        <v>243</v>
      </c>
      <c r="D46" t="s">
        <v>243</v>
      </c>
      <c r="E46" t="s">
        <v>243</v>
      </c>
      <c r="F46" t="s">
        <v>2816</v>
      </c>
      <c r="G46" t="s">
        <v>243</v>
      </c>
      <c r="H46" t="s">
        <v>243</v>
      </c>
      <c r="I46" t="s">
        <v>3345</v>
      </c>
      <c r="J46" t="s">
        <v>243</v>
      </c>
      <c r="K46" t="s">
        <v>2818</v>
      </c>
      <c r="L46" t="s">
        <v>243</v>
      </c>
      <c r="M46" t="s">
        <v>114</v>
      </c>
      <c r="N46" t="s">
        <v>243</v>
      </c>
      <c r="O46" t="s">
        <v>2819</v>
      </c>
      <c r="P46" t="s">
        <v>2820</v>
      </c>
      <c r="Q46" t="s">
        <v>2821</v>
      </c>
      <c r="R46" t="s">
        <v>200</v>
      </c>
      <c r="S46" t="s">
        <v>200</v>
      </c>
      <c r="T46" t="s">
        <v>2822</v>
      </c>
      <c r="U46" t="s">
        <v>2822</v>
      </c>
      <c r="V46" t="s">
        <v>2823</v>
      </c>
      <c r="W46" t="s">
        <v>3346</v>
      </c>
      <c r="X46" t="s">
        <v>3347</v>
      </c>
      <c r="Y46" t="s">
        <v>3348</v>
      </c>
      <c r="Z46" t="s">
        <v>3189</v>
      </c>
      <c r="AA46" t="s">
        <v>3228</v>
      </c>
      <c r="AB46" t="s">
        <v>3016</v>
      </c>
      <c r="AC46" t="s">
        <v>2829</v>
      </c>
      <c r="AD46" t="s">
        <v>2830</v>
      </c>
      <c r="AE46" t="s">
        <v>2857</v>
      </c>
      <c r="AF46" t="s">
        <v>3349</v>
      </c>
      <c r="AG46" t="s">
        <v>3349</v>
      </c>
      <c r="AH46" t="s">
        <v>2834</v>
      </c>
      <c r="AI46" t="s">
        <v>2835</v>
      </c>
      <c r="AJ46" t="s">
        <v>2829</v>
      </c>
      <c r="AK46" t="s">
        <v>2868</v>
      </c>
      <c r="AL46" t="s">
        <v>3228</v>
      </c>
      <c r="AM46" t="s">
        <v>3350</v>
      </c>
      <c r="AN46" t="s">
        <v>2829</v>
      </c>
      <c r="AO46" t="s">
        <v>2839</v>
      </c>
      <c r="AP46" t="s">
        <v>2840</v>
      </c>
      <c r="AQ46" t="s">
        <v>2841</v>
      </c>
      <c r="AR46" t="s">
        <v>3351</v>
      </c>
      <c r="AS46" t="s">
        <v>3351</v>
      </c>
      <c r="AT46" t="s">
        <v>2829</v>
      </c>
      <c r="AU46" t="s">
        <v>2829</v>
      </c>
      <c r="AV46" t="s">
        <v>2829</v>
      </c>
      <c r="AW46" t="s">
        <v>2829</v>
      </c>
      <c r="AX46" t="s">
        <v>2829</v>
      </c>
      <c r="AY46" t="s">
        <v>2829</v>
      </c>
      <c r="AZ46" t="s">
        <v>2829</v>
      </c>
      <c r="BA46" t="s">
        <v>2829</v>
      </c>
      <c r="BB46" t="s">
        <v>2829</v>
      </c>
      <c r="BC46" t="s">
        <v>2829</v>
      </c>
      <c r="BD46" t="s">
        <v>3352</v>
      </c>
      <c r="BE46" t="s">
        <v>3352</v>
      </c>
      <c r="BF46" t="s">
        <v>243</v>
      </c>
      <c r="BG46" t="s">
        <v>243</v>
      </c>
      <c r="BH46" t="s">
        <v>243</v>
      </c>
      <c r="BI46" t="s">
        <v>243</v>
      </c>
      <c r="BJ46" t="s">
        <v>2829</v>
      </c>
      <c r="BK46" t="s">
        <v>243</v>
      </c>
      <c r="BL46" t="s">
        <v>243</v>
      </c>
      <c r="BM46" t="s">
        <v>243</v>
      </c>
      <c r="BN46" t="s">
        <v>243</v>
      </c>
      <c r="BO46" t="s">
        <v>243</v>
      </c>
      <c r="BP46" t="s">
        <v>3353</v>
      </c>
      <c r="BQ46" t="s">
        <v>3353</v>
      </c>
      <c r="BR46" t="s">
        <v>243</v>
      </c>
      <c r="BS46" t="s">
        <v>243</v>
      </c>
      <c r="BT46" t="s">
        <v>243</v>
      </c>
      <c r="BU46" t="s">
        <v>243</v>
      </c>
      <c r="BV46" t="s">
        <v>2829</v>
      </c>
      <c r="BW46" t="s">
        <v>243</v>
      </c>
      <c r="BX46" t="s">
        <v>243</v>
      </c>
      <c r="BY46" t="s">
        <v>243</v>
      </c>
      <c r="BZ46" t="s">
        <v>243</v>
      </c>
      <c r="CA46" t="s">
        <v>243</v>
      </c>
      <c r="CB46" t="s">
        <v>2829</v>
      </c>
      <c r="CC46" t="s">
        <v>243</v>
      </c>
      <c r="CD46" t="s">
        <v>243</v>
      </c>
      <c r="CE46" t="s">
        <v>243</v>
      </c>
      <c r="CF46" t="s">
        <v>243</v>
      </c>
      <c r="CG46" t="s">
        <v>243</v>
      </c>
      <c r="CH46" t="s">
        <v>2829</v>
      </c>
      <c r="CI46" t="s">
        <v>243</v>
      </c>
      <c r="CJ46" t="s">
        <v>243</v>
      </c>
      <c r="CK46" t="s">
        <v>243</v>
      </c>
      <c r="CL46" t="s">
        <v>243</v>
      </c>
      <c r="CM46" t="s">
        <v>243</v>
      </c>
      <c r="CN46" t="s">
        <v>2829</v>
      </c>
      <c r="CO46" t="s">
        <v>2843</v>
      </c>
      <c r="CP46" t="s">
        <v>2844</v>
      </c>
      <c r="CQ46" t="s">
        <v>430</v>
      </c>
      <c r="CR46" t="s">
        <v>2872</v>
      </c>
      <c r="CS46" t="s">
        <v>431</v>
      </c>
      <c r="CT46" t="s">
        <v>430</v>
      </c>
      <c r="CU46" t="s">
        <v>2846</v>
      </c>
      <c r="CV46" t="s">
        <v>2873</v>
      </c>
      <c r="CW46" t="s">
        <v>2872</v>
      </c>
      <c r="CX46" t="s">
        <v>2848</v>
      </c>
      <c r="CY46" t="s">
        <v>3354</v>
      </c>
    </row>
    <row r="47" spans="1:103" ht="11.25" customHeight="1">
      <c r="A47" t="s">
        <v>243</v>
      </c>
      <c r="B47" t="s">
        <v>243</v>
      </c>
      <c r="C47" t="s">
        <v>243</v>
      </c>
      <c r="D47" t="s">
        <v>243</v>
      </c>
      <c r="E47" t="s">
        <v>243</v>
      </c>
      <c r="F47" t="s">
        <v>2816</v>
      </c>
      <c r="G47" t="s">
        <v>243</v>
      </c>
      <c r="H47" t="s">
        <v>243</v>
      </c>
      <c r="I47" t="s">
        <v>3355</v>
      </c>
      <c r="J47" t="s">
        <v>243</v>
      </c>
      <c r="K47" t="s">
        <v>428</v>
      </c>
      <c r="L47" t="s">
        <v>243</v>
      </c>
      <c r="M47" t="s">
        <v>114</v>
      </c>
      <c r="N47" t="s">
        <v>243</v>
      </c>
      <c r="O47" t="s">
        <v>3356</v>
      </c>
      <c r="P47" t="s">
        <v>2820</v>
      </c>
      <c r="Q47" t="s">
        <v>2821</v>
      </c>
      <c r="R47" t="s">
        <v>190</v>
      </c>
      <c r="S47" t="s">
        <v>190</v>
      </c>
      <c r="T47" t="s">
        <v>405</v>
      </c>
      <c r="U47" t="s">
        <v>405</v>
      </c>
      <c r="V47" t="s">
        <v>406</v>
      </c>
      <c r="W47" t="s">
        <v>3155</v>
      </c>
      <c r="X47" t="s">
        <v>3156</v>
      </c>
      <c r="Y47" t="s">
        <v>3357</v>
      </c>
      <c r="Z47" t="s">
        <v>3358</v>
      </c>
      <c r="AA47" t="s">
        <v>3359</v>
      </c>
      <c r="AB47" t="s">
        <v>3111</v>
      </c>
      <c r="AC47" t="s">
        <v>3160</v>
      </c>
      <c r="AD47" t="s">
        <v>2883</v>
      </c>
      <c r="AE47" t="s">
        <v>2831</v>
      </c>
      <c r="AF47" t="s">
        <v>3161</v>
      </c>
      <c r="AG47" t="s">
        <v>3162</v>
      </c>
      <c r="AH47" t="s">
        <v>2834</v>
      </c>
      <c r="AI47" t="s">
        <v>2835</v>
      </c>
      <c r="AJ47" t="s">
        <v>2829</v>
      </c>
      <c r="AK47" t="s">
        <v>3360</v>
      </c>
      <c r="AL47" t="s">
        <v>243</v>
      </c>
      <c r="AM47" t="s">
        <v>243</v>
      </c>
      <c r="AN47" t="s">
        <v>243</v>
      </c>
      <c r="AR47" t="s">
        <v>243</v>
      </c>
      <c r="AS47" t="s">
        <v>243</v>
      </c>
      <c r="AT47" t="s">
        <v>243</v>
      </c>
      <c r="AU47" t="s">
        <v>243</v>
      </c>
      <c r="AV47" t="s">
        <v>243</v>
      </c>
      <c r="AW47" t="s">
        <v>243</v>
      </c>
      <c r="AX47" t="s">
        <v>243</v>
      </c>
      <c r="AY47" t="s">
        <v>243</v>
      </c>
      <c r="AZ47" t="s">
        <v>243</v>
      </c>
      <c r="BA47" t="s">
        <v>243</v>
      </c>
      <c r="BB47" t="s">
        <v>243</v>
      </c>
      <c r="BC47" t="s">
        <v>243</v>
      </c>
      <c r="BD47" t="s">
        <v>243</v>
      </c>
      <c r="BE47" t="s">
        <v>243</v>
      </c>
      <c r="BF47" t="s">
        <v>243</v>
      </c>
      <c r="BG47" t="s">
        <v>243</v>
      </c>
      <c r="BH47" t="s">
        <v>243</v>
      </c>
      <c r="BI47" t="s">
        <v>243</v>
      </c>
      <c r="BJ47" t="s">
        <v>243</v>
      </c>
      <c r="BK47" t="s">
        <v>243</v>
      </c>
      <c r="BL47" t="s">
        <v>243</v>
      </c>
      <c r="BM47" t="s">
        <v>243</v>
      </c>
      <c r="BN47" t="s">
        <v>243</v>
      </c>
      <c r="BO47" t="s">
        <v>243</v>
      </c>
      <c r="BP47" t="s">
        <v>243</v>
      </c>
      <c r="BQ47" t="s">
        <v>243</v>
      </c>
      <c r="BR47" t="s">
        <v>243</v>
      </c>
      <c r="BS47" t="s">
        <v>243</v>
      </c>
      <c r="BT47" t="s">
        <v>243</v>
      </c>
      <c r="BU47" t="s">
        <v>243</v>
      </c>
      <c r="BV47" t="s">
        <v>243</v>
      </c>
      <c r="BW47" t="s">
        <v>243</v>
      </c>
      <c r="BX47" t="s">
        <v>243</v>
      </c>
      <c r="BY47" t="s">
        <v>243</v>
      </c>
      <c r="BZ47" t="s">
        <v>243</v>
      </c>
      <c r="CA47" t="s">
        <v>243</v>
      </c>
      <c r="CB47" t="s">
        <v>243</v>
      </c>
      <c r="CC47" t="s">
        <v>243</v>
      </c>
      <c r="CD47" t="s">
        <v>243</v>
      </c>
      <c r="CE47" t="s">
        <v>243</v>
      </c>
      <c r="CF47" t="s">
        <v>243</v>
      </c>
      <c r="CG47" t="s">
        <v>243</v>
      </c>
      <c r="CH47" t="s">
        <v>243</v>
      </c>
      <c r="CI47" t="s">
        <v>243</v>
      </c>
      <c r="CJ47" t="s">
        <v>243</v>
      </c>
      <c r="CK47" t="s">
        <v>243</v>
      </c>
      <c r="CL47" t="s">
        <v>243</v>
      </c>
      <c r="CM47" t="s">
        <v>243</v>
      </c>
      <c r="CN47" t="s">
        <v>243</v>
      </c>
      <c r="CO47" t="s">
        <v>2843</v>
      </c>
      <c r="CP47" t="s">
        <v>2844</v>
      </c>
      <c r="CQ47" t="s">
        <v>430</v>
      </c>
      <c r="CR47" t="s">
        <v>3361</v>
      </c>
      <c r="CS47" t="s">
        <v>431</v>
      </c>
      <c r="CT47" t="s">
        <v>430</v>
      </c>
      <c r="CU47" t="s">
        <v>268</v>
      </c>
      <c r="CV47" t="s">
        <v>432</v>
      </c>
      <c r="CW47" t="s">
        <v>3361</v>
      </c>
      <c r="CX47" t="s">
        <v>2848</v>
      </c>
      <c r="CY47" t="s">
        <v>429</v>
      </c>
    </row>
    <row r="48" spans="1:103" ht="11.25" customHeight="1">
      <c r="A48" t="s">
        <v>243</v>
      </c>
      <c r="B48" t="s">
        <v>243</v>
      </c>
      <c r="C48" t="s">
        <v>243</v>
      </c>
      <c r="D48" t="s">
        <v>243</v>
      </c>
      <c r="E48" t="s">
        <v>243</v>
      </c>
      <c r="F48" t="s">
        <v>2816</v>
      </c>
      <c r="G48" t="s">
        <v>243</v>
      </c>
      <c r="H48" t="s">
        <v>243</v>
      </c>
      <c r="I48" t="s">
        <v>3362</v>
      </c>
      <c r="J48" t="s">
        <v>243</v>
      </c>
      <c r="K48" t="s">
        <v>435</v>
      </c>
      <c r="L48" t="s">
        <v>243</v>
      </c>
      <c r="M48" t="s">
        <v>114</v>
      </c>
      <c r="N48" t="s">
        <v>243</v>
      </c>
      <c r="O48" t="s">
        <v>3356</v>
      </c>
      <c r="P48" t="s">
        <v>2820</v>
      </c>
      <c r="Q48" t="s">
        <v>2821</v>
      </c>
      <c r="R48" t="s">
        <v>190</v>
      </c>
      <c r="S48" t="s">
        <v>190</v>
      </c>
      <c r="T48" t="s">
        <v>405</v>
      </c>
      <c r="U48" t="s">
        <v>405</v>
      </c>
      <c r="V48" t="s">
        <v>406</v>
      </c>
      <c r="W48" t="s">
        <v>3155</v>
      </c>
      <c r="X48" t="s">
        <v>3156</v>
      </c>
      <c r="Y48" t="s">
        <v>3363</v>
      </c>
      <c r="Z48" t="s">
        <v>3364</v>
      </c>
      <c r="AA48" t="s">
        <v>2920</v>
      </c>
      <c r="AB48" t="s">
        <v>2920</v>
      </c>
      <c r="AC48" t="s">
        <v>243</v>
      </c>
      <c r="AD48" t="s">
        <v>2883</v>
      </c>
      <c r="AE48" t="s">
        <v>2831</v>
      </c>
      <c r="AF48" t="s">
        <v>3161</v>
      </c>
      <c r="AG48" t="s">
        <v>3162</v>
      </c>
      <c r="AH48" t="s">
        <v>2834</v>
      </c>
      <c r="AI48" t="s">
        <v>2835</v>
      </c>
      <c r="AJ48" t="s">
        <v>3184</v>
      </c>
      <c r="AK48" t="s">
        <v>3365</v>
      </c>
      <c r="AL48" t="s">
        <v>243</v>
      </c>
      <c r="AM48" t="s">
        <v>243</v>
      </c>
      <c r="AN48" t="s">
        <v>243</v>
      </c>
      <c r="AR48" t="s">
        <v>243</v>
      </c>
      <c r="AS48" t="s">
        <v>243</v>
      </c>
      <c r="AT48" t="s">
        <v>243</v>
      </c>
      <c r="AU48" t="s">
        <v>243</v>
      </c>
      <c r="AV48" t="s">
        <v>243</v>
      </c>
      <c r="AW48" t="s">
        <v>243</v>
      </c>
      <c r="AX48" t="s">
        <v>243</v>
      </c>
      <c r="AY48" t="s">
        <v>243</v>
      </c>
      <c r="AZ48" t="s">
        <v>243</v>
      </c>
      <c r="BA48" t="s">
        <v>243</v>
      </c>
      <c r="BB48" t="s">
        <v>243</v>
      </c>
      <c r="BC48" t="s">
        <v>243</v>
      </c>
      <c r="BD48" t="s">
        <v>243</v>
      </c>
      <c r="BE48" t="s">
        <v>243</v>
      </c>
      <c r="BF48" t="s">
        <v>243</v>
      </c>
      <c r="BG48" t="s">
        <v>243</v>
      </c>
      <c r="BH48" t="s">
        <v>243</v>
      </c>
      <c r="BI48" t="s">
        <v>243</v>
      </c>
      <c r="BJ48" t="s">
        <v>243</v>
      </c>
      <c r="BK48" t="s">
        <v>243</v>
      </c>
      <c r="BL48" t="s">
        <v>243</v>
      </c>
      <c r="BM48" t="s">
        <v>243</v>
      </c>
      <c r="BN48" t="s">
        <v>243</v>
      </c>
      <c r="BO48" t="s">
        <v>243</v>
      </c>
      <c r="BP48" t="s">
        <v>243</v>
      </c>
      <c r="BQ48" t="s">
        <v>243</v>
      </c>
      <c r="BR48" t="s">
        <v>243</v>
      </c>
      <c r="BS48" t="s">
        <v>243</v>
      </c>
      <c r="BT48" t="s">
        <v>243</v>
      </c>
      <c r="BU48" t="s">
        <v>243</v>
      </c>
      <c r="BV48" t="s">
        <v>243</v>
      </c>
      <c r="BW48" t="s">
        <v>243</v>
      </c>
      <c r="BX48" t="s">
        <v>243</v>
      </c>
      <c r="BY48" t="s">
        <v>243</v>
      </c>
      <c r="BZ48" t="s">
        <v>243</v>
      </c>
      <c r="CA48" t="s">
        <v>243</v>
      </c>
      <c r="CB48" t="s">
        <v>243</v>
      </c>
      <c r="CC48" t="s">
        <v>243</v>
      </c>
      <c r="CD48" t="s">
        <v>243</v>
      </c>
      <c r="CE48" t="s">
        <v>243</v>
      </c>
      <c r="CF48" t="s">
        <v>243</v>
      </c>
      <c r="CG48" t="s">
        <v>243</v>
      </c>
      <c r="CH48" t="s">
        <v>243</v>
      </c>
      <c r="CI48" t="s">
        <v>243</v>
      </c>
      <c r="CJ48" t="s">
        <v>243</v>
      </c>
      <c r="CK48" t="s">
        <v>243</v>
      </c>
      <c r="CL48" t="s">
        <v>243</v>
      </c>
      <c r="CM48" t="s">
        <v>243</v>
      </c>
      <c r="CN48" t="s">
        <v>243</v>
      </c>
      <c r="CO48" t="s">
        <v>2843</v>
      </c>
      <c r="CP48" t="s">
        <v>2844</v>
      </c>
      <c r="CQ48" t="s">
        <v>430</v>
      </c>
      <c r="CR48" t="s">
        <v>3361</v>
      </c>
      <c r="CS48" t="s">
        <v>431</v>
      </c>
      <c r="CT48" t="s">
        <v>430</v>
      </c>
      <c r="CU48" t="s">
        <v>268</v>
      </c>
      <c r="CV48" t="s">
        <v>432</v>
      </c>
      <c r="CW48" t="s">
        <v>3361</v>
      </c>
      <c r="CX48" t="s">
        <v>2848</v>
      </c>
      <c r="CY48" t="s">
        <v>436</v>
      </c>
    </row>
    <row r="49" spans="1:103" ht="11.25" customHeight="1">
      <c r="A49" t="s">
        <v>243</v>
      </c>
      <c r="B49" t="s">
        <v>243</v>
      </c>
      <c r="C49" t="s">
        <v>243</v>
      </c>
      <c r="D49" t="s">
        <v>243</v>
      </c>
      <c r="E49" t="s">
        <v>243</v>
      </c>
      <c r="F49" t="s">
        <v>2816</v>
      </c>
      <c r="G49" t="s">
        <v>243</v>
      </c>
      <c r="H49" t="s">
        <v>243</v>
      </c>
      <c r="I49" t="s">
        <v>3366</v>
      </c>
      <c r="J49" t="s">
        <v>243</v>
      </c>
      <c r="K49" t="s">
        <v>449</v>
      </c>
      <c r="L49" t="s">
        <v>243</v>
      </c>
      <c r="M49" t="s">
        <v>114</v>
      </c>
      <c r="N49" t="s">
        <v>243</v>
      </c>
      <c r="O49" t="s">
        <v>3356</v>
      </c>
      <c r="P49" t="s">
        <v>2820</v>
      </c>
      <c r="Q49" t="s">
        <v>2821</v>
      </c>
      <c r="R49" t="s">
        <v>190</v>
      </c>
      <c r="S49" t="s">
        <v>190</v>
      </c>
      <c r="T49" t="s">
        <v>405</v>
      </c>
      <c r="U49" t="s">
        <v>405</v>
      </c>
      <c r="V49" t="s">
        <v>406</v>
      </c>
      <c r="W49" t="s">
        <v>3367</v>
      </c>
      <c r="X49" t="s">
        <v>3368</v>
      </c>
      <c r="Y49" t="s">
        <v>3369</v>
      </c>
      <c r="Z49" t="s">
        <v>3370</v>
      </c>
      <c r="AA49" t="s">
        <v>3078</v>
      </c>
      <c r="AB49" t="s">
        <v>3371</v>
      </c>
      <c r="AC49" t="s">
        <v>243</v>
      </c>
      <c r="AD49" t="s">
        <v>2883</v>
      </c>
      <c r="AE49" t="s">
        <v>3372</v>
      </c>
      <c r="AF49" t="s">
        <v>3373</v>
      </c>
      <c r="AG49" t="s">
        <v>3374</v>
      </c>
      <c r="AH49" t="s">
        <v>2834</v>
      </c>
      <c r="AI49" t="s">
        <v>2835</v>
      </c>
      <c r="AJ49" t="s">
        <v>3317</v>
      </c>
      <c r="AK49" t="s">
        <v>3375</v>
      </c>
      <c r="AL49" t="s">
        <v>243</v>
      </c>
      <c r="AM49" t="s">
        <v>243</v>
      </c>
      <c r="AN49" t="s">
        <v>243</v>
      </c>
      <c r="AR49" t="s">
        <v>243</v>
      </c>
      <c r="AS49" t="s">
        <v>243</v>
      </c>
      <c r="AT49" t="s">
        <v>243</v>
      </c>
      <c r="AU49" t="s">
        <v>243</v>
      </c>
      <c r="AV49" t="s">
        <v>243</v>
      </c>
      <c r="AW49" t="s">
        <v>243</v>
      </c>
      <c r="AX49" t="s">
        <v>243</v>
      </c>
      <c r="AY49" t="s">
        <v>243</v>
      </c>
      <c r="AZ49" t="s">
        <v>243</v>
      </c>
      <c r="BA49" t="s">
        <v>243</v>
      </c>
      <c r="BB49" t="s">
        <v>243</v>
      </c>
      <c r="BC49" t="s">
        <v>243</v>
      </c>
      <c r="BD49" t="s">
        <v>243</v>
      </c>
      <c r="BE49" t="s">
        <v>243</v>
      </c>
      <c r="BF49" t="s">
        <v>243</v>
      </c>
      <c r="BG49" t="s">
        <v>243</v>
      </c>
      <c r="BH49" t="s">
        <v>243</v>
      </c>
      <c r="BI49" t="s">
        <v>243</v>
      </c>
      <c r="BJ49" t="s">
        <v>243</v>
      </c>
      <c r="BK49" t="s">
        <v>243</v>
      </c>
      <c r="BL49" t="s">
        <v>243</v>
      </c>
      <c r="BM49" t="s">
        <v>243</v>
      </c>
      <c r="BN49" t="s">
        <v>243</v>
      </c>
      <c r="BO49" t="s">
        <v>243</v>
      </c>
      <c r="BP49" t="s">
        <v>243</v>
      </c>
      <c r="BQ49" t="s">
        <v>243</v>
      </c>
      <c r="BR49" t="s">
        <v>243</v>
      </c>
      <c r="BS49" t="s">
        <v>243</v>
      </c>
      <c r="BT49" t="s">
        <v>243</v>
      </c>
      <c r="BU49" t="s">
        <v>243</v>
      </c>
      <c r="BV49" t="s">
        <v>243</v>
      </c>
      <c r="BW49" t="s">
        <v>243</v>
      </c>
      <c r="BX49" t="s">
        <v>243</v>
      </c>
      <c r="BY49" t="s">
        <v>243</v>
      </c>
      <c r="BZ49" t="s">
        <v>243</v>
      </c>
      <c r="CA49" t="s">
        <v>243</v>
      </c>
      <c r="CB49" t="s">
        <v>243</v>
      </c>
      <c r="CC49" t="s">
        <v>243</v>
      </c>
      <c r="CD49" t="s">
        <v>243</v>
      </c>
      <c r="CE49" t="s">
        <v>243</v>
      </c>
      <c r="CF49" t="s">
        <v>243</v>
      </c>
      <c r="CG49" t="s">
        <v>243</v>
      </c>
      <c r="CH49" t="s">
        <v>243</v>
      </c>
      <c r="CI49" t="s">
        <v>243</v>
      </c>
      <c r="CJ49" t="s">
        <v>243</v>
      </c>
      <c r="CK49" t="s">
        <v>243</v>
      </c>
      <c r="CL49" t="s">
        <v>243</v>
      </c>
      <c r="CM49" t="s">
        <v>243</v>
      </c>
      <c r="CN49" t="s">
        <v>243</v>
      </c>
      <c r="CO49" t="s">
        <v>2843</v>
      </c>
      <c r="CP49" t="s">
        <v>2844</v>
      </c>
      <c r="CQ49" t="s">
        <v>430</v>
      </c>
      <c r="CR49" t="s">
        <v>3361</v>
      </c>
      <c r="CS49" t="s">
        <v>431</v>
      </c>
      <c r="CT49" t="s">
        <v>430</v>
      </c>
      <c r="CU49" t="s">
        <v>268</v>
      </c>
      <c r="CV49" t="s">
        <v>432</v>
      </c>
      <c r="CW49" t="s">
        <v>3361</v>
      </c>
      <c r="CX49" t="s">
        <v>2848</v>
      </c>
      <c r="CY49" t="s">
        <v>450</v>
      </c>
    </row>
    <row r="50" spans="1:103" ht="11.25" customHeight="1">
      <c r="A50" t="s">
        <v>243</v>
      </c>
      <c r="B50" t="s">
        <v>243</v>
      </c>
      <c r="C50" t="s">
        <v>243</v>
      </c>
      <c r="D50" t="s">
        <v>243</v>
      </c>
      <c r="E50" t="s">
        <v>243</v>
      </c>
      <c r="F50" t="s">
        <v>2816</v>
      </c>
      <c r="G50" t="s">
        <v>243</v>
      </c>
      <c r="H50" t="s">
        <v>243</v>
      </c>
      <c r="I50" t="s">
        <v>3376</v>
      </c>
      <c r="J50" t="s">
        <v>243</v>
      </c>
      <c r="K50" t="s">
        <v>3377</v>
      </c>
      <c r="L50" t="s">
        <v>243</v>
      </c>
      <c r="M50" t="s">
        <v>114</v>
      </c>
      <c r="N50" t="s">
        <v>243</v>
      </c>
      <c r="O50" t="s">
        <v>2819</v>
      </c>
      <c r="P50" t="s">
        <v>2820</v>
      </c>
      <c r="Q50" t="s">
        <v>2821</v>
      </c>
      <c r="R50" t="s">
        <v>200</v>
      </c>
      <c r="S50" t="s">
        <v>200</v>
      </c>
      <c r="T50" t="s">
        <v>3022</v>
      </c>
      <c r="U50" t="s">
        <v>3022</v>
      </c>
      <c r="V50" t="s">
        <v>3023</v>
      </c>
      <c r="W50" t="s">
        <v>3378</v>
      </c>
      <c r="X50" t="s">
        <v>3379</v>
      </c>
      <c r="Y50" t="s">
        <v>3380</v>
      </c>
      <c r="Z50" t="s">
        <v>1815</v>
      </c>
      <c r="AA50" t="s">
        <v>3381</v>
      </c>
      <c r="AB50" t="s">
        <v>3382</v>
      </c>
      <c r="AC50" t="s">
        <v>2829</v>
      </c>
      <c r="AD50" t="s">
        <v>2883</v>
      </c>
      <c r="AE50" t="s">
        <v>2831</v>
      </c>
      <c r="AF50" t="s">
        <v>3383</v>
      </c>
      <c r="AG50" t="s">
        <v>3383</v>
      </c>
      <c r="AH50" t="s">
        <v>2834</v>
      </c>
      <c r="AI50" t="s">
        <v>2835</v>
      </c>
      <c r="AJ50" t="s">
        <v>3030</v>
      </c>
      <c r="AK50" t="s">
        <v>3384</v>
      </c>
      <c r="AL50" t="s">
        <v>3381</v>
      </c>
      <c r="AM50" t="s">
        <v>3382</v>
      </c>
      <c r="AN50" t="s">
        <v>2829</v>
      </c>
      <c r="AO50" t="s">
        <v>2839</v>
      </c>
      <c r="AP50" t="s">
        <v>2840</v>
      </c>
      <c r="AQ50" t="s">
        <v>2841</v>
      </c>
      <c r="AR50" t="s">
        <v>3385</v>
      </c>
      <c r="AS50" t="s">
        <v>3385</v>
      </c>
      <c r="AT50" t="s">
        <v>2829</v>
      </c>
      <c r="AU50" t="s">
        <v>2829</v>
      </c>
      <c r="AV50" t="s">
        <v>2829</v>
      </c>
      <c r="AW50" t="s">
        <v>2829</v>
      </c>
      <c r="AX50" t="s">
        <v>2829</v>
      </c>
      <c r="AY50" t="s">
        <v>2829</v>
      </c>
      <c r="AZ50" t="s">
        <v>2829</v>
      </c>
      <c r="BA50" t="s">
        <v>2829</v>
      </c>
      <c r="BB50" t="s">
        <v>2829</v>
      </c>
      <c r="BC50" t="s">
        <v>2829</v>
      </c>
      <c r="BD50" t="s">
        <v>2829</v>
      </c>
      <c r="BE50" t="s">
        <v>243</v>
      </c>
      <c r="BF50" t="s">
        <v>243</v>
      </c>
      <c r="BG50" t="s">
        <v>243</v>
      </c>
      <c r="BH50" t="s">
        <v>243</v>
      </c>
      <c r="BI50" t="s">
        <v>243</v>
      </c>
      <c r="BJ50" t="s">
        <v>2829</v>
      </c>
      <c r="BK50" t="s">
        <v>243</v>
      </c>
      <c r="BL50" t="s">
        <v>243</v>
      </c>
      <c r="BM50" t="s">
        <v>243</v>
      </c>
      <c r="BN50" t="s">
        <v>243</v>
      </c>
      <c r="BO50" t="s">
        <v>243</v>
      </c>
      <c r="BP50" t="s">
        <v>3385</v>
      </c>
      <c r="BQ50" t="s">
        <v>3385</v>
      </c>
      <c r="BR50" t="s">
        <v>243</v>
      </c>
      <c r="BS50" t="s">
        <v>243</v>
      </c>
      <c r="BT50" t="s">
        <v>243</v>
      </c>
      <c r="BU50" t="s">
        <v>243</v>
      </c>
      <c r="BV50" t="s">
        <v>2829</v>
      </c>
      <c r="BW50" t="s">
        <v>243</v>
      </c>
      <c r="BX50" t="s">
        <v>243</v>
      </c>
      <c r="BY50" t="s">
        <v>243</v>
      </c>
      <c r="BZ50" t="s">
        <v>243</v>
      </c>
      <c r="CA50" t="s">
        <v>243</v>
      </c>
      <c r="CB50" t="s">
        <v>2829</v>
      </c>
      <c r="CC50" t="s">
        <v>243</v>
      </c>
      <c r="CD50" t="s">
        <v>243</v>
      </c>
      <c r="CE50" t="s">
        <v>243</v>
      </c>
      <c r="CF50" t="s">
        <v>243</v>
      </c>
      <c r="CG50" t="s">
        <v>243</v>
      </c>
      <c r="CH50" t="s">
        <v>2829</v>
      </c>
      <c r="CI50" t="s">
        <v>243</v>
      </c>
      <c r="CJ50" t="s">
        <v>243</v>
      </c>
      <c r="CK50" t="s">
        <v>243</v>
      </c>
      <c r="CL50" t="s">
        <v>243</v>
      </c>
      <c r="CM50" t="s">
        <v>243</v>
      </c>
      <c r="CN50" t="s">
        <v>3030</v>
      </c>
      <c r="CO50" t="s">
        <v>2843</v>
      </c>
      <c r="CP50" t="s">
        <v>2844</v>
      </c>
      <c r="CQ50" t="s">
        <v>430</v>
      </c>
      <c r="CR50" t="s">
        <v>3033</v>
      </c>
      <c r="CS50" t="s">
        <v>431</v>
      </c>
      <c r="CT50" t="s">
        <v>430</v>
      </c>
      <c r="CU50" t="s">
        <v>3034</v>
      </c>
      <c r="CV50" t="s">
        <v>432</v>
      </c>
      <c r="CW50" t="s">
        <v>3033</v>
      </c>
      <c r="CX50" t="s">
        <v>2848</v>
      </c>
      <c r="CY50" t="s">
        <v>3386</v>
      </c>
    </row>
    <row r="51" spans="1:103" ht="11.25" customHeight="1">
      <c r="A51" t="s">
        <v>243</v>
      </c>
      <c r="B51" t="s">
        <v>243</v>
      </c>
      <c r="C51" t="s">
        <v>243</v>
      </c>
      <c r="D51" t="s">
        <v>243</v>
      </c>
      <c r="E51" t="s">
        <v>243</v>
      </c>
      <c r="F51" t="s">
        <v>2816</v>
      </c>
      <c r="G51" t="s">
        <v>243</v>
      </c>
      <c r="H51" t="s">
        <v>243</v>
      </c>
      <c r="I51" t="s">
        <v>3387</v>
      </c>
      <c r="J51" t="s">
        <v>243</v>
      </c>
      <c r="K51" t="s">
        <v>3388</v>
      </c>
      <c r="L51" t="s">
        <v>243</v>
      </c>
      <c r="M51" t="s">
        <v>114</v>
      </c>
      <c r="N51" t="s">
        <v>243</v>
      </c>
      <c r="O51" t="s">
        <v>2819</v>
      </c>
      <c r="P51" t="s">
        <v>2820</v>
      </c>
      <c r="Q51" t="s">
        <v>2821</v>
      </c>
      <c r="R51" t="s">
        <v>200</v>
      </c>
      <c r="S51" t="s">
        <v>200</v>
      </c>
      <c r="T51" t="s">
        <v>3022</v>
      </c>
      <c r="U51" t="s">
        <v>3022</v>
      </c>
      <c r="V51" t="s">
        <v>3023</v>
      </c>
      <c r="W51" t="s">
        <v>3389</v>
      </c>
      <c r="X51" t="s">
        <v>3390</v>
      </c>
      <c r="Y51" t="s">
        <v>3391</v>
      </c>
      <c r="Z51" t="s">
        <v>1847</v>
      </c>
      <c r="AA51" t="s">
        <v>3392</v>
      </c>
      <c r="AB51" t="s">
        <v>3393</v>
      </c>
      <c r="AC51" t="s">
        <v>2829</v>
      </c>
      <c r="AD51" t="s">
        <v>2883</v>
      </c>
      <c r="AE51" t="s">
        <v>2831</v>
      </c>
      <c r="AF51" t="s">
        <v>3394</v>
      </c>
      <c r="AG51" t="s">
        <v>3394</v>
      </c>
      <c r="AH51" t="s">
        <v>2834</v>
      </c>
      <c r="AI51" t="s">
        <v>2835</v>
      </c>
      <c r="AJ51" t="s">
        <v>3030</v>
      </c>
      <c r="AK51" t="s">
        <v>3185</v>
      </c>
      <c r="AL51" t="s">
        <v>3392</v>
      </c>
      <c r="AM51" t="s">
        <v>3393</v>
      </c>
      <c r="AN51" t="s">
        <v>2829</v>
      </c>
      <c r="AO51" t="s">
        <v>2839</v>
      </c>
      <c r="AP51" t="s">
        <v>2840</v>
      </c>
      <c r="AQ51" t="s">
        <v>2841</v>
      </c>
      <c r="AR51" t="s">
        <v>3395</v>
      </c>
      <c r="AS51" t="s">
        <v>3395</v>
      </c>
      <c r="AT51" t="s">
        <v>2829</v>
      </c>
      <c r="AU51" t="s">
        <v>2829</v>
      </c>
      <c r="AV51" t="s">
        <v>2829</v>
      </c>
      <c r="AW51" t="s">
        <v>2829</v>
      </c>
      <c r="AX51" t="s">
        <v>2829</v>
      </c>
      <c r="AY51" t="s">
        <v>2829</v>
      </c>
      <c r="AZ51" t="s">
        <v>2829</v>
      </c>
      <c r="BA51" t="s">
        <v>2829</v>
      </c>
      <c r="BB51" t="s">
        <v>2829</v>
      </c>
      <c r="BC51" t="s">
        <v>2829</v>
      </c>
      <c r="BD51" t="s">
        <v>2829</v>
      </c>
      <c r="BE51" t="s">
        <v>243</v>
      </c>
      <c r="BF51" t="s">
        <v>243</v>
      </c>
      <c r="BG51" t="s">
        <v>243</v>
      </c>
      <c r="BH51" t="s">
        <v>243</v>
      </c>
      <c r="BI51" t="s">
        <v>243</v>
      </c>
      <c r="BJ51" t="s">
        <v>2829</v>
      </c>
      <c r="BK51" t="s">
        <v>243</v>
      </c>
      <c r="BL51" t="s">
        <v>243</v>
      </c>
      <c r="BM51" t="s">
        <v>243</v>
      </c>
      <c r="BN51" t="s">
        <v>243</v>
      </c>
      <c r="BO51" t="s">
        <v>243</v>
      </c>
      <c r="BP51" t="s">
        <v>3395</v>
      </c>
      <c r="BQ51" t="s">
        <v>3395</v>
      </c>
      <c r="BR51" t="s">
        <v>243</v>
      </c>
      <c r="BS51" t="s">
        <v>243</v>
      </c>
      <c r="BT51" t="s">
        <v>243</v>
      </c>
      <c r="BU51" t="s">
        <v>243</v>
      </c>
      <c r="BV51" t="s">
        <v>2829</v>
      </c>
      <c r="BW51" t="s">
        <v>243</v>
      </c>
      <c r="BX51" t="s">
        <v>243</v>
      </c>
      <c r="BY51" t="s">
        <v>243</v>
      </c>
      <c r="BZ51" t="s">
        <v>243</v>
      </c>
      <c r="CA51" t="s">
        <v>243</v>
      </c>
      <c r="CB51" t="s">
        <v>2829</v>
      </c>
      <c r="CC51" t="s">
        <v>243</v>
      </c>
      <c r="CD51" t="s">
        <v>243</v>
      </c>
      <c r="CE51" t="s">
        <v>243</v>
      </c>
      <c r="CF51" t="s">
        <v>243</v>
      </c>
      <c r="CG51" t="s">
        <v>243</v>
      </c>
      <c r="CH51" t="s">
        <v>2829</v>
      </c>
      <c r="CI51" t="s">
        <v>243</v>
      </c>
      <c r="CJ51" t="s">
        <v>243</v>
      </c>
      <c r="CK51" t="s">
        <v>243</v>
      </c>
      <c r="CL51" t="s">
        <v>243</v>
      </c>
      <c r="CM51" t="s">
        <v>243</v>
      </c>
      <c r="CN51" t="s">
        <v>3030</v>
      </c>
      <c r="CO51" t="s">
        <v>2843</v>
      </c>
      <c r="CP51" t="s">
        <v>2844</v>
      </c>
      <c r="CQ51" t="s">
        <v>430</v>
      </c>
      <c r="CR51" t="s">
        <v>3033</v>
      </c>
      <c r="CS51" t="s">
        <v>431</v>
      </c>
      <c r="CT51" t="s">
        <v>430</v>
      </c>
      <c r="CU51" t="s">
        <v>3034</v>
      </c>
      <c r="CV51" t="s">
        <v>432</v>
      </c>
      <c r="CW51" t="s">
        <v>3033</v>
      </c>
      <c r="CX51" t="s">
        <v>2848</v>
      </c>
      <c r="CY51" t="s">
        <v>3396</v>
      </c>
    </row>
    <row r="52" spans="1:103" ht="11.25" customHeight="1">
      <c r="A52" t="s">
        <v>243</v>
      </c>
      <c r="B52" t="s">
        <v>243</v>
      </c>
      <c r="C52" t="s">
        <v>243</v>
      </c>
      <c r="D52" t="s">
        <v>243</v>
      </c>
      <c r="E52" t="s">
        <v>243</v>
      </c>
      <c r="F52" t="s">
        <v>2816</v>
      </c>
      <c r="G52" t="s">
        <v>243</v>
      </c>
      <c r="H52" t="s">
        <v>243</v>
      </c>
      <c r="I52" t="s">
        <v>3397</v>
      </c>
      <c r="J52" t="s">
        <v>243</v>
      </c>
      <c r="K52" t="s">
        <v>452</v>
      </c>
      <c r="L52" t="s">
        <v>243</v>
      </c>
      <c r="M52" t="s">
        <v>114</v>
      </c>
      <c r="N52" t="s">
        <v>243</v>
      </c>
      <c r="O52" t="s">
        <v>2819</v>
      </c>
      <c r="P52" t="s">
        <v>2820</v>
      </c>
      <c r="Q52" t="s">
        <v>2821</v>
      </c>
      <c r="R52" t="s">
        <v>200</v>
      </c>
      <c r="S52" t="s">
        <v>200</v>
      </c>
      <c r="T52" t="s">
        <v>405</v>
      </c>
      <c r="U52" t="s">
        <v>405</v>
      </c>
      <c r="V52" t="s">
        <v>406</v>
      </c>
      <c r="W52" t="s">
        <v>3155</v>
      </c>
      <c r="X52" t="s">
        <v>3156</v>
      </c>
      <c r="Y52" t="s">
        <v>3398</v>
      </c>
      <c r="Z52" t="s">
        <v>3399</v>
      </c>
      <c r="AA52" t="s">
        <v>2964</v>
      </c>
      <c r="AB52" t="s">
        <v>3400</v>
      </c>
      <c r="AC52" t="s">
        <v>243</v>
      </c>
      <c r="AD52" t="s">
        <v>2830</v>
      </c>
      <c r="AE52" t="s">
        <v>2831</v>
      </c>
      <c r="AF52" t="s">
        <v>3401</v>
      </c>
      <c r="AG52" t="s">
        <v>3401</v>
      </c>
      <c r="AH52" t="s">
        <v>2834</v>
      </c>
      <c r="AI52" t="s">
        <v>2835</v>
      </c>
      <c r="AJ52" t="s">
        <v>2888</v>
      </c>
      <c r="AK52" t="s">
        <v>3402</v>
      </c>
      <c r="AL52" t="s">
        <v>2964</v>
      </c>
      <c r="AM52" t="s">
        <v>3400</v>
      </c>
      <c r="AN52" t="s">
        <v>243</v>
      </c>
      <c r="AO52" t="s">
        <v>2839</v>
      </c>
      <c r="AP52" t="s">
        <v>2840</v>
      </c>
      <c r="AQ52" t="s">
        <v>2841</v>
      </c>
      <c r="AR52" t="s">
        <v>3403</v>
      </c>
      <c r="AS52" t="s">
        <v>3403</v>
      </c>
      <c r="AT52" t="s">
        <v>2829</v>
      </c>
      <c r="AU52" t="s">
        <v>2829</v>
      </c>
      <c r="AV52" t="s">
        <v>2829</v>
      </c>
      <c r="AW52" t="s">
        <v>2829</v>
      </c>
      <c r="AX52" t="s">
        <v>2829</v>
      </c>
      <c r="AY52" t="s">
        <v>2829</v>
      </c>
      <c r="AZ52" t="s">
        <v>2829</v>
      </c>
      <c r="BA52" t="s">
        <v>2829</v>
      </c>
      <c r="BB52" t="s">
        <v>2829</v>
      </c>
      <c r="BC52" t="s">
        <v>2829</v>
      </c>
      <c r="BD52" t="s">
        <v>3403</v>
      </c>
      <c r="BE52" t="s">
        <v>3403</v>
      </c>
      <c r="BF52" t="s">
        <v>243</v>
      </c>
      <c r="BG52" t="s">
        <v>243</v>
      </c>
      <c r="BH52" t="s">
        <v>243</v>
      </c>
      <c r="BI52" t="s">
        <v>243</v>
      </c>
      <c r="BJ52" t="s">
        <v>2829</v>
      </c>
      <c r="BK52" t="s">
        <v>243</v>
      </c>
      <c r="BL52" t="s">
        <v>243</v>
      </c>
      <c r="BM52" t="s">
        <v>243</v>
      </c>
      <c r="BN52" t="s">
        <v>243</v>
      </c>
      <c r="BO52" t="s">
        <v>243</v>
      </c>
      <c r="BP52" t="s">
        <v>2829</v>
      </c>
      <c r="BQ52" t="s">
        <v>243</v>
      </c>
      <c r="BR52" t="s">
        <v>243</v>
      </c>
      <c r="BS52" t="s">
        <v>243</v>
      </c>
      <c r="BT52" t="s">
        <v>243</v>
      </c>
      <c r="BU52" t="s">
        <v>243</v>
      </c>
      <c r="BV52" t="s">
        <v>2829</v>
      </c>
      <c r="BW52" t="s">
        <v>243</v>
      </c>
      <c r="BX52" t="s">
        <v>243</v>
      </c>
      <c r="BY52" t="s">
        <v>243</v>
      </c>
      <c r="BZ52" t="s">
        <v>243</v>
      </c>
      <c r="CA52" t="s">
        <v>243</v>
      </c>
      <c r="CB52" t="s">
        <v>2829</v>
      </c>
      <c r="CC52" t="s">
        <v>243</v>
      </c>
      <c r="CD52" t="s">
        <v>243</v>
      </c>
      <c r="CE52" t="s">
        <v>243</v>
      </c>
      <c r="CF52" t="s">
        <v>243</v>
      </c>
      <c r="CG52" t="s">
        <v>243</v>
      </c>
      <c r="CH52" t="s">
        <v>2829</v>
      </c>
      <c r="CI52" t="s">
        <v>243</v>
      </c>
      <c r="CJ52" t="s">
        <v>243</v>
      </c>
      <c r="CK52" t="s">
        <v>243</v>
      </c>
      <c r="CL52" t="s">
        <v>243</v>
      </c>
      <c r="CM52" t="s">
        <v>243</v>
      </c>
      <c r="CN52" t="s">
        <v>2888</v>
      </c>
      <c r="CO52" t="s">
        <v>2843</v>
      </c>
      <c r="CP52" t="s">
        <v>2844</v>
      </c>
      <c r="CQ52" t="s">
        <v>430</v>
      </c>
      <c r="CR52" t="s">
        <v>2872</v>
      </c>
      <c r="CS52" t="s">
        <v>431</v>
      </c>
      <c r="CT52" t="s">
        <v>470</v>
      </c>
      <c r="CU52" t="s">
        <v>444</v>
      </c>
      <c r="CV52" t="s">
        <v>445</v>
      </c>
      <c r="CW52" t="s">
        <v>2872</v>
      </c>
      <c r="CX52" t="s">
        <v>2848</v>
      </c>
      <c r="CY52" t="s">
        <v>453</v>
      </c>
    </row>
    <row r="53" spans="1:103" ht="11.25" customHeight="1">
      <c r="A53" t="s">
        <v>243</v>
      </c>
      <c r="B53" t="s">
        <v>243</v>
      </c>
      <c r="C53" t="s">
        <v>243</v>
      </c>
      <c r="D53" t="s">
        <v>243</v>
      </c>
      <c r="E53" t="s">
        <v>243</v>
      </c>
      <c r="F53" t="s">
        <v>2816</v>
      </c>
      <c r="G53" t="s">
        <v>243</v>
      </c>
      <c r="H53" t="s">
        <v>243</v>
      </c>
      <c r="I53" t="s">
        <v>3404</v>
      </c>
      <c r="J53" t="s">
        <v>243</v>
      </c>
      <c r="K53" t="s">
        <v>433</v>
      </c>
      <c r="L53" t="s">
        <v>243</v>
      </c>
      <c r="M53" t="s">
        <v>114</v>
      </c>
      <c r="N53" t="s">
        <v>243</v>
      </c>
      <c r="O53" t="s">
        <v>2819</v>
      </c>
      <c r="P53" t="s">
        <v>2820</v>
      </c>
      <c r="Q53" t="s">
        <v>2821</v>
      </c>
      <c r="R53" t="s">
        <v>200</v>
      </c>
      <c r="S53" t="s">
        <v>200</v>
      </c>
      <c r="T53" t="s">
        <v>2933</v>
      </c>
      <c r="U53" t="s">
        <v>2933</v>
      </c>
      <c r="V53" t="s">
        <v>2934</v>
      </c>
      <c r="W53" t="s">
        <v>2935</v>
      </c>
      <c r="X53" t="s">
        <v>2936</v>
      </c>
      <c r="Y53" t="s">
        <v>3405</v>
      </c>
      <c r="Z53" t="s">
        <v>3406</v>
      </c>
      <c r="AA53" t="s">
        <v>3010</v>
      </c>
      <c r="AB53" t="s">
        <v>3407</v>
      </c>
      <c r="AC53" t="s">
        <v>2829</v>
      </c>
      <c r="AD53" t="s">
        <v>2883</v>
      </c>
      <c r="AE53" t="s">
        <v>2831</v>
      </c>
      <c r="AF53" t="s">
        <v>3408</v>
      </c>
      <c r="AG53" t="s">
        <v>3408</v>
      </c>
      <c r="AH53" t="s">
        <v>2834</v>
      </c>
      <c r="AI53" t="s">
        <v>2887</v>
      </c>
      <c r="AJ53" t="s">
        <v>2942</v>
      </c>
      <c r="AK53" t="s">
        <v>3409</v>
      </c>
      <c r="AL53" t="s">
        <v>2983</v>
      </c>
      <c r="AM53" t="s">
        <v>3407</v>
      </c>
      <c r="AN53" t="s">
        <v>243</v>
      </c>
      <c r="AO53" t="s">
        <v>2839</v>
      </c>
      <c r="AP53" t="s">
        <v>2840</v>
      </c>
      <c r="AQ53" t="s">
        <v>2841</v>
      </c>
      <c r="AR53" t="s">
        <v>3410</v>
      </c>
      <c r="AS53" t="s">
        <v>3411</v>
      </c>
      <c r="AT53" t="s">
        <v>3412</v>
      </c>
      <c r="AU53" t="s">
        <v>2829</v>
      </c>
      <c r="AV53" t="s">
        <v>2829</v>
      </c>
      <c r="AW53" t="s">
        <v>2829</v>
      </c>
      <c r="AX53" t="s">
        <v>2829</v>
      </c>
      <c r="AY53" t="s">
        <v>2829</v>
      </c>
      <c r="AZ53" t="s">
        <v>2829</v>
      </c>
      <c r="BA53" t="s">
        <v>2829</v>
      </c>
      <c r="BB53" t="s">
        <v>2829</v>
      </c>
      <c r="BC53" t="s">
        <v>2829</v>
      </c>
      <c r="BD53" t="s">
        <v>3413</v>
      </c>
      <c r="BE53" t="s">
        <v>3414</v>
      </c>
      <c r="BF53" t="s">
        <v>3415</v>
      </c>
      <c r="BG53" t="s">
        <v>243</v>
      </c>
      <c r="BH53" t="s">
        <v>243</v>
      </c>
      <c r="BI53" t="s">
        <v>243</v>
      </c>
      <c r="BJ53" t="s">
        <v>2829</v>
      </c>
      <c r="BK53" t="s">
        <v>243</v>
      </c>
      <c r="BL53" t="s">
        <v>243</v>
      </c>
      <c r="BM53" t="s">
        <v>243</v>
      </c>
      <c r="BN53" t="s">
        <v>243</v>
      </c>
      <c r="BO53" t="s">
        <v>243</v>
      </c>
      <c r="BP53" t="s">
        <v>3416</v>
      </c>
      <c r="BQ53" t="s">
        <v>3417</v>
      </c>
      <c r="BR53" t="s">
        <v>3418</v>
      </c>
      <c r="BS53" t="s">
        <v>243</v>
      </c>
      <c r="BT53" t="s">
        <v>243</v>
      </c>
      <c r="BU53" t="s">
        <v>243</v>
      </c>
      <c r="BV53" t="s">
        <v>2829</v>
      </c>
      <c r="BW53" t="s">
        <v>243</v>
      </c>
      <c r="BX53" t="s">
        <v>243</v>
      </c>
      <c r="BY53" t="s">
        <v>243</v>
      </c>
      <c r="BZ53" t="s">
        <v>243</v>
      </c>
      <c r="CA53" t="s">
        <v>243</v>
      </c>
      <c r="CB53" t="s">
        <v>2829</v>
      </c>
      <c r="CC53" t="s">
        <v>243</v>
      </c>
      <c r="CD53" t="s">
        <v>243</v>
      </c>
      <c r="CE53" t="s">
        <v>243</v>
      </c>
      <c r="CF53" t="s">
        <v>243</v>
      </c>
      <c r="CG53" t="s">
        <v>243</v>
      </c>
      <c r="CH53" t="s">
        <v>2829</v>
      </c>
      <c r="CI53" t="s">
        <v>243</v>
      </c>
      <c r="CJ53" t="s">
        <v>243</v>
      </c>
      <c r="CK53" t="s">
        <v>243</v>
      </c>
      <c r="CL53" t="s">
        <v>243</v>
      </c>
      <c r="CM53" t="s">
        <v>243</v>
      </c>
      <c r="CN53" t="s">
        <v>2942</v>
      </c>
      <c r="CO53" t="s">
        <v>2843</v>
      </c>
      <c r="CP53" t="s">
        <v>2844</v>
      </c>
      <c r="CQ53" t="s">
        <v>430</v>
      </c>
      <c r="CR53" t="s">
        <v>2947</v>
      </c>
      <c r="CS53" t="s">
        <v>431</v>
      </c>
      <c r="CT53" t="s">
        <v>430</v>
      </c>
      <c r="CU53" t="s">
        <v>2948</v>
      </c>
      <c r="CV53" t="s">
        <v>2949</v>
      </c>
      <c r="CW53" t="s">
        <v>2947</v>
      </c>
      <c r="CX53" t="s">
        <v>2848</v>
      </c>
      <c r="CY53" t="s">
        <v>3419</v>
      </c>
    </row>
    <row r="54" spans="1:103" ht="11.25" customHeight="1">
      <c r="A54" t="s">
        <v>243</v>
      </c>
      <c r="B54" t="s">
        <v>243</v>
      </c>
      <c r="C54" t="s">
        <v>243</v>
      </c>
      <c r="D54" t="s">
        <v>243</v>
      </c>
      <c r="E54" t="s">
        <v>243</v>
      </c>
      <c r="F54" t="s">
        <v>2816</v>
      </c>
      <c r="G54" t="s">
        <v>243</v>
      </c>
      <c r="H54" t="s">
        <v>243</v>
      </c>
      <c r="I54" t="s">
        <v>3420</v>
      </c>
      <c r="J54" t="s">
        <v>243</v>
      </c>
      <c r="K54" t="s">
        <v>452</v>
      </c>
      <c r="L54" t="s">
        <v>243</v>
      </c>
      <c r="M54" t="s">
        <v>114</v>
      </c>
      <c r="N54" t="s">
        <v>243</v>
      </c>
      <c r="O54" t="s">
        <v>2819</v>
      </c>
      <c r="P54" t="s">
        <v>2820</v>
      </c>
      <c r="Q54" t="s">
        <v>2821</v>
      </c>
      <c r="R54" t="s">
        <v>200</v>
      </c>
      <c r="S54" t="s">
        <v>200</v>
      </c>
      <c r="T54" t="s">
        <v>2968</v>
      </c>
      <c r="U54" t="s">
        <v>2968</v>
      </c>
      <c r="V54" t="s">
        <v>2969</v>
      </c>
      <c r="W54" t="s">
        <v>2970</v>
      </c>
      <c r="X54" t="s">
        <v>2971</v>
      </c>
      <c r="Y54" t="s">
        <v>3104</v>
      </c>
      <c r="Z54" t="s">
        <v>3421</v>
      </c>
      <c r="AA54" t="s">
        <v>3422</v>
      </c>
      <c r="AB54" t="s">
        <v>3423</v>
      </c>
      <c r="AC54" t="s">
        <v>2829</v>
      </c>
      <c r="AD54" t="s">
        <v>2883</v>
      </c>
      <c r="AE54" t="s">
        <v>2975</v>
      </c>
      <c r="AF54" t="s">
        <v>3424</v>
      </c>
      <c r="AG54" t="s">
        <v>3424</v>
      </c>
      <c r="AH54" t="s">
        <v>2834</v>
      </c>
      <c r="AI54" t="s">
        <v>2835</v>
      </c>
      <c r="AJ54" t="s">
        <v>2888</v>
      </c>
      <c r="AK54" t="s">
        <v>3425</v>
      </c>
      <c r="AL54" t="s">
        <v>3422</v>
      </c>
      <c r="AM54" t="s">
        <v>3175</v>
      </c>
      <c r="AN54" t="s">
        <v>2829</v>
      </c>
      <c r="AO54" t="s">
        <v>2839</v>
      </c>
      <c r="AP54" t="s">
        <v>2840</v>
      </c>
      <c r="AQ54" t="s">
        <v>2841</v>
      </c>
      <c r="AR54" t="s">
        <v>3426</v>
      </c>
      <c r="AS54" t="s">
        <v>3426</v>
      </c>
      <c r="AT54" t="s">
        <v>2829</v>
      </c>
      <c r="AU54" t="s">
        <v>2829</v>
      </c>
      <c r="AV54" t="s">
        <v>2829</v>
      </c>
      <c r="AW54" t="s">
        <v>2829</v>
      </c>
      <c r="AX54" t="s">
        <v>2829</v>
      </c>
      <c r="AY54" t="s">
        <v>2829</v>
      </c>
      <c r="AZ54" t="s">
        <v>2829</v>
      </c>
      <c r="BA54" t="s">
        <v>2829</v>
      </c>
      <c r="BB54" t="s">
        <v>2829</v>
      </c>
      <c r="BC54" t="s">
        <v>2829</v>
      </c>
      <c r="BD54" t="s">
        <v>3427</v>
      </c>
      <c r="BE54" t="s">
        <v>3427</v>
      </c>
      <c r="BF54" t="s">
        <v>243</v>
      </c>
      <c r="BG54" t="s">
        <v>243</v>
      </c>
      <c r="BH54" t="s">
        <v>243</v>
      </c>
      <c r="BI54" t="s">
        <v>243</v>
      </c>
      <c r="BJ54" t="s">
        <v>2829</v>
      </c>
      <c r="BK54" t="s">
        <v>243</v>
      </c>
      <c r="BL54" t="s">
        <v>243</v>
      </c>
      <c r="BM54" t="s">
        <v>243</v>
      </c>
      <c r="BN54" t="s">
        <v>243</v>
      </c>
      <c r="BO54" t="s">
        <v>243</v>
      </c>
      <c r="BP54" t="s">
        <v>3428</v>
      </c>
      <c r="BQ54" t="s">
        <v>3428</v>
      </c>
      <c r="BR54" t="s">
        <v>243</v>
      </c>
      <c r="BS54" t="s">
        <v>243</v>
      </c>
      <c r="BT54" t="s">
        <v>243</v>
      </c>
      <c r="BU54" t="s">
        <v>243</v>
      </c>
      <c r="BV54" t="s">
        <v>2829</v>
      </c>
      <c r="BW54" t="s">
        <v>243</v>
      </c>
      <c r="BX54" t="s">
        <v>243</v>
      </c>
      <c r="BY54" t="s">
        <v>243</v>
      </c>
      <c r="BZ54" t="s">
        <v>243</v>
      </c>
      <c r="CA54" t="s">
        <v>243</v>
      </c>
      <c r="CB54" t="s">
        <v>2829</v>
      </c>
      <c r="CC54" t="s">
        <v>243</v>
      </c>
      <c r="CD54" t="s">
        <v>243</v>
      </c>
      <c r="CE54" t="s">
        <v>243</v>
      </c>
      <c r="CF54" t="s">
        <v>243</v>
      </c>
      <c r="CG54" t="s">
        <v>243</v>
      </c>
      <c r="CH54" t="s">
        <v>2829</v>
      </c>
      <c r="CI54" t="s">
        <v>243</v>
      </c>
      <c r="CJ54" t="s">
        <v>243</v>
      </c>
      <c r="CK54" t="s">
        <v>243</v>
      </c>
      <c r="CL54" t="s">
        <v>243</v>
      </c>
      <c r="CM54" t="s">
        <v>243</v>
      </c>
      <c r="CN54" t="s">
        <v>2983</v>
      </c>
      <c r="CO54" t="s">
        <v>2843</v>
      </c>
      <c r="CP54" t="s">
        <v>2844</v>
      </c>
      <c r="CQ54" t="s">
        <v>430</v>
      </c>
      <c r="CR54" t="s">
        <v>2984</v>
      </c>
      <c r="CS54" t="s">
        <v>431</v>
      </c>
      <c r="CT54" t="s">
        <v>430</v>
      </c>
      <c r="CU54" t="s">
        <v>2985</v>
      </c>
      <c r="CV54" t="s">
        <v>2986</v>
      </c>
      <c r="CW54" t="s">
        <v>2984</v>
      </c>
      <c r="CX54" t="s">
        <v>2848</v>
      </c>
      <c r="CY54" t="s">
        <v>3429</v>
      </c>
    </row>
    <row r="55" spans="1:103" ht="11.25" customHeight="1">
      <c r="A55" t="s">
        <v>243</v>
      </c>
      <c r="B55" t="s">
        <v>243</v>
      </c>
      <c r="C55" t="s">
        <v>243</v>
      </c>
      <c r="D55" t="s">
        <v>243</v>
      </c>
      <c r="E55" t="s">
        <v>243</v>
      </c>
      <c r="F55" t="s">
        <v>2816</v>
      </c>
      <c r="G55" t="s">
        <v>243</v>
      </c>
      <c r="H55" t="s">
        <v>243</v>
      </c>
      <c r="I55" t="s">
        <v>3430</v>
      </c>
      <c r="J55" t="s">
        <v>243</v>
      </c>
      <c r="K55" t="s">
        <v>455</v>
      </c>
      <c r="L55" t="s">
        <v>243</v>
      </c>
      <c r="M55" t="s">
        <v>114</v>
      </c>
      <c r="N55" t="s">
        <v>243</v>
      </c>
      <c r="O55" t="s">
        <v>2819</v>
      </c>
      <c r="P55" t="s">
        <v>2820</v>
      </c>
      <c r="Q55" t="s">
        <v>2821</v>
      </c>
      <c r="R55" t="s">
        <v>200</v>
      </c>
      <c r="S55" t="s">
        <v>200</v>
      </c>
      <c r="T55" t="s">
        <v>3022</v>
      </c>
      <c r="U55" t="s">
        <v>3022</v>
      </c>
      <c r="V55" t="s">
        <v>3023</v>
      </c>
      <c r="W55" t="s">
        <v>3431</v>
      </c>
      <c r="X55" t="s">
        <v>3432</v>
      </c>
      <c r="Y55" t="s">
        <v>3433</v>
      </c>
      <c r="Z55" t="s">
        <v>3434</v>
      </c>
      <c r="AA55" t="s">
        <v>2966</v>
      </c>
      <c r="AB55" t="s">
        <v>3435</v>
      </c>
      <c r="AC55" t="s">
        <v>2829</v>
      </c>
      <c r="AD55" t="s">
        <v>2883</v>
      </c>
      <c r="AE55" t="s">
        <v>2831</v>
      </c>
      <c r="AF55" t="s">
        <v>3436</v>
      </c>
      <c r="AG55" t="s">
        <v>3436</v>
      </c>
      <c r="AH55" t="s">
        <v>2834</v>
      </c>
      <c r="AI55" t="s">
        <v>2835</v>
      </c>
      <c r="AJ55" t="s">
        <v>3030</v>
      </c>
      <c r="AK55" t="s">
        <v>3437</v>
      </c>
      <c r="AL55" t="s">
        <v>2966</v>
      </c>
      <c r="AM55" t="s">
        <v>3435</v>
      </c>
      <c r="AN55" t="s">
        <v>2829</v>
      </c>
      <c r="AO55" t="s">
        <v>2839</v>
      </c>
      <c r="AP55" t="s">
        <v>2840</v>
      </c>
      <c r="AQ55" t="s">
        <v>2841</v>
      </c>
      <c r="AR55" t="s">
        <v>3382</v>
      </c>
      <c r="AS55" t="s">
        <v>3382</v>
      </c>
      <c r="AT55" t="s">
        <v>2829</v>
      </c>
      <c r="AU55" t="s">
        <v>2829</v>
      </c>
      <c r="AV55" t="s">
        <v>2829</v>
      </c>
      <c r="AW55" t="s">
        <v>2829</v>
      </c>
      <c r="AX55" t="s">
        <v>2829</v>
      </c>
      <c r="AY55" t="s">
        <v>2829</v>
      </c>
      <c r="AZ55" t="s">
        <v>2829</v>
      </c>
      <c r="BA55" t="s">
        <v>2829</v>
      </c>
      <c r="BB55" t="s">
        <v>2829</v>
      </c>
      <c r="BC55" t="s">
        <v>2829</v>
      </c>
      <c r="BD55" t="s">
        <v>3438</v>
      </c>
      <c r="BE55" t="s">
        <v>3438</v>
      </c>
      <c r="BF55" t="s">
        <v>243</v>
      </c>
      <c r="BG55" t="s">
        <v>243</v>
      </c>
      <c r="BH55" t="s">
        <v>243</v>
      </c>
      <c r="BI55" t="s">
        <v>243</v>
      </c>
      <c r="BJ55" t="s">
        <v>2829</v>
      </c>
      <c r="BK55" t="s">
        <v>243</v>
      </c>
      <c r="BL55" t="s">
        <v>243</v>
      </c>
      <c r="BM55" t="s">
        <v>243</v>
      </c>
      <c r="BN55" t="s">
        <v>243</v>
      </c>
      <c r="BO55" t="s">
        <v>243</v>
      </c>
      <c r="BP55" t="s">
        <v>2829</v>
      </c>
      <c r="BQ55" t="s">
        <v>243</v>
      </c>
      <c r="BR55" t="s">
        <v>243</v>
      </c>
      <c r="BS55" t="s">
        <v>243</v>
      </c>
      <c r="BT55" t="s">
        <v>243</v>
      </c>
      <c r="BU55" t="s">
        <v>243</v>
      </c>
      <c r="BV55" t="s">
        <v>2829</v>
      </c>
      <c r="BW55" t="s">
        <v>243</v>
      </c>
      <c r="BX55" t="s">
        <v>243</v>
      </c>
      <c r="BY55" t="s">
        <v>243</v>
      </c>
      <c r="BZ55" t="s">
        <v>243</v>
      </c>
      <c r="CA55" t="s">
        <v>243</v>
      </c>
      <c r="CB55" t="s">
        <v>3439</v>
      </c>
      <c r="CC55" t="s">
        <v>3439</v>
      </c>
      <c r="CD55" t="s">
        <v>243</v>
      </c>
      <c r="CE55" t="s">
        <v>243</v>
      </c>
      <c r="CF55" t="s">
        <v>243</v>
      </c>
      <c r="CG55" t="s">
        <v>243</v>
      </c>
      <c r="CH55" t="s">
        <v>2829</v>
      </c>
      <c r="CI55" t="s">
        <v>243</v>
      </c>
      <c r="CJ55" t="s">
        <v>243</v>
      </c>
      <c r="CK55" t="s">
        <v>243</v>
      </c>
      <c r="CL55" t="s">
        <v>243</v>
      </c>
      <c r="CM55" t="s">
        <v>243</v>
      </c>
      <c r="CN55" t="s">
        <v>3044</v>
      </c>
      <c r="CO55" t="s">
        <v>2843</v>
      </c>
      <c r="CP55" t="s">
        <v>2844</v>
      </c>
      <c r="CQ55" t="s">
        <v>430</v>
      </c>
      <c r="CR55" t="s">
        <v>3033</v>
      </c>
      <c r="CS55" t="s">
        <v>431</v>
      </c>
      <c r="CT55" t="s">
        <v>430</v>
      </c>
      <c r="CU55" t="s">
        <v>3034</v>
      </c>
      <c r="CV55" t="s">
        <v>432</v>
      </c>
      <c r="CW55" t="s">
        <v>3033</v>
      </c>
      <c r="CX55" t="s">
        <v>2848</v>
      </c>
      <c r="CY55" t="s">
        <v>3440</v>
      </c>
    </row>
    <row r="56" spans="1:103" ht="11.25" customHeight="1">
      <c r="A56" t="s">
        <v>243</v>
      </c>
      <c r="B56" t="s">
        <v>243</v>
      </c>
      <c r="C56" t="s">
        <v>243</v>
      </c>
      <c r="D56" t="s">
        <v>243</v>
      </c>
      <c r="E56" t="s">
        <v>243</v>
      </c>
      <c r="F56" t="s">
        <v>2816</v>
      </c>
      <c r="G56" t="s">
        <v>243</v>
      </c>
      <c r="H56" t="s">
        <v>243</v>
      </c>
      <c r="I56" t="s">
        <v>3441</v>
      </c>
      <c r="J56" t="s">
        <v>243</v>
      </c>
      <c r="K56" t="s">
        <v>441</v>
      </c>
      <c r="L56" t="s">
        <v>243</v>
      </c>
      <c r="M56" t="s">
        <v>114</v>
      </c>
      <c r="N56" t="s">
        <v>243</v>
      </c>
      <c r="O56" t="s">
        <v>2819</v>
      </c>
      <c r="P56" t="s">
        <v>2820</v>
      </c>
      <c r="Q56" t="s">
        <v>2821</v>
      </c>
      <c r="R56" t="s">
        <v>200</v>
      </c>
      <c r="S56" t="s">
        <v>200</v>
      </c>
      <c r="T56" t="s">
        <v>3022</v>
      </c>
      <c r="U56" t="s">
        <v>3022</v>
      </c>
      <c r="V56" t="s">
        <v>3023</v>
      </c>
      <c r="W56" t="s">
        <v>3431</v>
      </c>
      <c r="X56" t="s">
        <v>3432</v>
      </c>
      <c r="Y56" t="s">
        <v>3442</v>
      </c>
      <c r="Z56" t="s">
        <v>457</v>
      </c>
      <c r="AA56" t="s">
        <v>3193</v>
      </c>
      <c r="AB56" t="s">
        <v>3443</v>
      </c>
      <c r="AC56" t="s">
        <v>2829</v>
      </c>
      <c r="AD56" t="s">
        <v>2883</v>
      </c>
      <c r="AE56" t="s">
        <v>2831</v>
      </c>
      <c r="AF56" t="s">
        <v>3444</v>
      </c>
      <c r="AG56" t="s">
        <v>3444</v>
      </c>
      <c r="AH56" t="s">
        <v>2834</v>
      </c>
      <c r="AI56" t="s">
        <v>2835</v>
      </c>
      <c r="AJ56" t="s">
        <v>3041</v>
      </c>
      <c r="AK56" t="s">
        <v>3445</v>
      </c>
      <c r="AL56" t="s">
        <v>3193</v>
      </c>
      <c r="AM56" t="s">
        <v>3443</v>
      </c>
      <c r="AN56" t="s">
        <v>2829</v>
      </c>
      <c r="AO56" t="s">
        <v>2839</v>
      </c>
      <c r="AP56" t="s">
        <v>2840</v>
      </c>
      <c r="AQ56" t="s">
        <v>2841</v>
      </c>
      <c r="AR56" t="s">
        <v>3439</v>
      </c>
      <c r="AS56" t="s">
        <v>3439</v>
      </c>
      <c r="AT56" t="s">
        <v>2829</v>
      </c>
      <c r="AU56" t="s">
        <v>2829</v>
      </c>
      <c r="AV56" t="s">
        <v>2829</v>
      </c>
      <c r="AW56" t="s">
        <v>2829</v>
      </c>
      <c r="AX56" t="s">
        <v>2829</v>
      </c>
      <c r="AY56" t="s">
        <v>2829</v>
      </c>
      <c r="AZ56" t="s">
        <v>2829</v>
      </c>
      <c r="BA56" t="s">
        <v>2829</v>
      </c>
      <c r="BB56" t="s">
        <v>2829</v>
      </c>
      <c r="BC56" t="s">
        <v>2829</v>
      </c>
      <c r="BD56" t="s">
        <v>3439</v>
      </c>
      <c r="BE56" t="s">
        <v>3439</v>
      </c>
      <c r="BF56" t="s">
        <v>243</v>
      </c>
      <c r="BG56" t="s">
        <v>243</v>
      </c>
      <c r="BH56" t="s">
        <v>243</v>
      </c>
      <c r="BI56" t="s">
        <v>243</v>
      </c>
      <c r="BJ56" t="s">
        <v>2829</v>
      </c>
      <c r="BK56" t="s">
        <v>243</v>
      </c>
      <c r="BL56" t="s">
        <v>243</v>
      </c>
      <c r="BM56" t="s">
        <v>243</v>
      </c>
      <c r="BN56" t="s">
        <v>243</v>
      </c>
      <c r="BO56" t="s">
        <v>243</v>
      </c>
      <c r="BP56" t="s">
        <v>2829</v>
      </c>
      <c r="BQ56" t="s">
        <v>243</v>
      </c>
      <c r="BR56" t="s">
        <v>243</v>
      </c>
      <c r="BS56" t="s">
        <v>243</v>
      </c>
      <c r="BT56" t="s">
        <v>243</v>
      </c>
      <c r="BU56" t="s">
        <v>243</v>
      </c>
      <c r="BV56" t="s">
        <v>2829</v>
      </c>
      <c r="BW56" t="s">
        <v>243</v>
      </c>
      <c r="BX56" t="s">
        <v>243</v>
      </c>
      <c r="BY56" t="s">
        <v>243</v>
      </c>
      <c r="BZ56" t="s">
        <v>243</v>
      </c>
      <c r="CA56" t="s">
        <v>243</v>
      </c>
      <c r="CB56" t="s">
        <v>2829</v>
      </c>
      <c r="CC56" t="s">
        <v>243</v>
      </c>
      <c r="CD56" t="s">
        <v>243</v>
      </c>
      <c r="CE56" t="s">
        <v>243</v>
      </c>
      <c r="CF56" t="s">
        <v>243</v>
      </c>
      <c r="CG56" t="s">
        <v>243</v>
      </c>
      <c r="CH56" t="s">
        <v>2829</v>
      </c>
      <c r="CI56" t="s">
        <v>243</v>
      </c>
      <c r="CJ56" t="s">
        <v>243</v>
      </c>
      <c r="CK56" t="s">
        <v>243</v>
      </c>
      <c r="CL56" t="s">
        <v>243</v>
      </c>
      <c r="CM56" t="s">
        <v>243</v>
      </c>
      <c r="CN56" t="s">
        <v>3446</v>
      </c>
      <c r="CO56" t="s">
        <v>2843</v>
      </c>
      <c r="CP56" t="s">
        <v>2844</v>
      </c>
      <c r="CQ56" t="s">
        <v>430</v>
      </c>
      <c r="CR56" t="s">
        <v>3033</v>
      </c>
      <c r="CS56" t="s">
        <v>431</v>
      </c>
      <c r="CT56" t="s">
        <v>430</v>
      </c>
      <c r="CU56" t="s">
        <v>3034</v>
      </c>
      <c r="CV56" t="s">
        <v>432</v>
      </c>
      <c r="CW56" t="s">
        <v>3033</v>
      </c>
      <c r="CX56" t="s">
        <v>2848</v>
      </c>
      <c r="CY56" t="s">
        <v>3447</v>
      </c>
    </row>
    <row r="57" spans="1:103" ht="11.25" customHeight="1">
      <c r="A57" t="s">
        <v>243</v>
      </c>
      <c r="B57" t="s">
        <v>243</v>
      </c>
      <c r="C57" t="s">
        <v>243</v>
      </c>
      <c r="D57" t="s">
        <v>243</v>
      </c>
      <c r="E57" t="s">
        <v>243</v>
      </c>
      <c r="F57" t="s">
        <v>2816</v>
      </c>
      <c r="G57" t="s">
        <v>243</v>
      </c>
      <c r="H57" t="s">
        <v>243</v>
      </c>
      <c r="I57" t="s">
        <v>3448</v>
      </c>
      <c r="J57" t="s">
        <v>243</v>
      </c>
      <c r="K57" t="s">
        <v>441</v>
      </c>
      <c r="L57" t="s">
        <v>243</v>
      </c>
      <c r="M57" t="s">
        <v>114</v>
      </c>
      <c r="N57" t="s">
        <v>243</v>
      </c>
      <c r="O57" t="s">
        <v>2819</v>
      </c>
      <c r="P57" t="s">
        <v>2820</v>
      </c>
      <c r="Q57" t="s">
        <v>2821</v>
      </c>
      <c r="R57" t="s">
        <v>200</v>
      </c>
      <c r="S57" t="s">
        <v>200</v>
      </c>
      <c r="T57" t="s">
        <v>405</v>
      </c>
      <c r="U57" t="s">
        <v>405</v>
      </c>
      <c r="V57" t="s">
        <v>406</v>
      </c>
      <c r="W57" t="s">
        <v>3155</v>
      </c>
      <c r="X57" t="s">
        <v>3156</v>
      </c>
      <c r="Y57" t="s">
        <v>3449</v>
      </c>
      <c r="Z57" t="s">
        <v>437</v>
      </c>
      <c r="AA57" t="s">
        <v>3094</v>
      </c>
      <c r="AB57" t="s">
        <v>3043</v>
      </c>
      <c r="AC57" t="s">
        <v>243</v>
      </c>
      <c r="AD57" t="s">
        <v>2883</v>
      </c>
      <c r="AE57" t="s">
        <v>2831</v>
      </c>
      <c r="AF57" t="s">
        <v>3401</v>
      </c>
      <c r="AG57" t="s">
        <v>3401</v>
      </c>
      <c r="AH57" t="s">
        <v>2834</v>
      </c>
      <c r="AI57" t="s">
        <v>2835</v>
      </c>
      <c r="AJ57" t="s">
        <v>2888</v>
      </c>
      <c r="AK57" t="s">
        <v>3450</v>
      </c>
      <c r="AL57" t="s">
        <v>3094</v>
      </c>
      <c r="AM57" t="s">
        <v>3043</v>
      </c>
      <c r="AN57" t="s">
        <v>243</v>
      </c>
      <c r="AO57" t="s">
        <v>2839</v>
      </c>
      <c r="AP57" t="s">
        <v>2840</v>
      </c>
      <c r="AQ57" t="s">
        <v>2841</v>
      </c>
      <c r="AR57" t="s">
        <v>3451</v>
      </c>
      <c r="AS57" t="s">
        <v>3451</v>
      </c>
      <c r="AT57" t="s">
        <v>2829</v>
      </c>
      <c r="AU57" t="s">
        <v>2829</v>
      </c>
      <c r="AV57" t="s">
        <v>2829</v>
      </c>
      <c r="AW57" t="s">
        <v>2829</v>
      </c>
      <c r="AX57" t="s">
        <v>2829</v>
      </c>
      <c r="AY57" t="s">
        <v>2829</v>
      </c>
      <c r="AZ57" t="s">
        <v>2829</v>
      </c>
      <c r="BA57" t="s">
        <v>2829</v>
      </c>
      <c r="BB57" t="s">
        <v>2829</v>
      </c>
      <c r="BC57" t="s">
        <v>2829</v>
      </c>
      <c r="BD57" t="s">
        <v>3451</v>
      </c>
      <c r="BE57" t="s">
        <v>3451</v>
      </c>
      <c r="BF57" t="s">
        <v>243</v>
      </c>
      <c r="BG57" t="s">
        <v>243</v>
      </c>
      <c r="BH57" t="s">
        <v>243</v>
      </c>
      <c r="BI57" t="s">
        <v>243</v>
      </c>
      <c r="BJ57" t="s">
        <v>2829</v>
      </c>
      <c r="BK57" t="s">
        <v>243</v>
      </c>
      <c r="BL57" t="s">
        <v>243</v>
      </c>
      <c r="BM57" t="s">
        <v>243</v>
      </c>
      <c r="BN57" t="s">
        <v>243</v>
      </c>
      <c r="BO57" t="s">
        <v>243</v>
      </c>
      <c r="BP57" t="s">
        <v>2829</v>
      </c>
      <c r="BQ57" t="s">
        <v>243</v>
      </c>
      <c r="BR57" t="s">
        <v>243</v>
      </c>
      <c r="BS57" t="s">
        <v>243</v>
      </c>
      <c r="BT57" t="s">
        <v>243</v>
      </c>
      <c r="BU57" t="s">
        <v>243</v>
      </c>
      <c r="BV57" t="s">
        <v>2829</v>
      </c>
      <c r="BW57" t="s">
        <v>243</v>
      </c>
      <c r="BX57" t="s">
        <v>243</v>
      </c>
      <c r="BY57" t="s">
        <v>243</v>
      </c>
      <c r="BZ57" t="s">
        <v>243</v>
      </c>
      <c r="CA57" t="s">
        <v>243</v>
      </c>
      <c r="CB57" t="s">
        <v>2829</v>
      </c>
      <c r="CC57" t="s">
        <v>243</v>
      </c>
      <c r="CD57" t="s">
        <v>243</v>
      </c>
      <c r="CE57" t="s">
        <v>243</v>
      </c>
      <c r="CF57" t="s">
        <v>243</v>
      </c>
      <c r="CG57" t="s">
        <v>243</v>
      </c>
      <c r="CH57" t="s">
        <v>2829</v>
      </c>
      <c r="CI57" t="s">
        <v>243</v>
      </c>
      <c r="CJ57" t="s">
        <v>243</v>
      </c>
      <c r="CK57" t="s">
        <v>243</v>
      </c>
      <c r="CL57" t="s">
        <v>243</v>
      </c>
      <c r="CM57" t="s">
        <v>243</v>
      </c>
      <c r="CN57" t="s">
        <v>2888</v>
      </c>
      <c r="CO57" t="s">
        <v>2843</v>
      </c>
      <c r="CP57" t="s">
        <v>2844</v>
      </c>
      <c r="CQ57" t="s">
        <v>470</v>
      </c>
      <c r="CR57" t="s">
        <v>2872</v>
      </c>
      <c r="CS57" t="s">
        <v>431</v>
      </c>
      <c r="CT57" t="s">
        <v>470</v>
      </c>
      <c r="CU57" t="s">
        <v>444</v>
      </c>
      <c r="CV57" t="s">
        <v>445</v>
      </c>
      <c r="CW57" t="s">
        <v>2872</v>
      </c>
      <c r="CX57" t="s">
        <v>2848</v>
      </c>
      <c r="CY57" t="s">
        <v>442</v>
      </c>
    </row>
    <row r="58" spans="1:103" ht="11.25" customHeight="1">
      <c r="A58" t="s">
        <v>243</v>
      </c>
      <c r="B58" t="s">
        <v>243</v>
      </c>
      <c r="C58" t="s">
        <v>243</v>
      </c>
      <c r="D58" t="s">
        <v>243</v>
      </c>
      <c r="E58" t="s">
        <v>243</v>
      </c>
      <c r="F58" t="s">
        <v>2816</v>
      </c>
      <c r="G58" t="s">
        <v>243</v>
      </c>
      <c r="H58" t="s">
        <v>243</v>
      </c>
      <c r="I58" t="s">
        <v>3452</v>
      </c>
      <c r="J58" t="s">
        <v>243</v>
      </c>
      <c r="K58" t="s">
        <v>3453</v>
      </c>
      <c r="L58" t="s">
        <v>243</v>
      </c>
      <c r="M58" t="s">
        <v>114</v>
      </c>
      <c r="N58" t="s">
        <v>243</v>
      </c>
      <c r="O58" t="s">
        <v>2819</v>
      </c>
      <c r="P58" t="s">
        <v>2820</v>
      </c>
      <c r="Q58" t="s">
        <v>2821</v>
      </c>
      <c r="R58" t="s">
        <v>200</v>
      </c>
      <c r="S58" t="s">
        <v>200</v>
      </c>
      <c r="T58" t="s">
        <v>3022</v>
      </c>
      <c r="U58" t="s">
        <v>3022</v>
      </c>
      <c r="V58" t="s">
        <v>3023</v>
      </c>
      <c r="W58" t="s">
        <v>3389</v>
      </c>
      <c r="X58" t="s">
        <v>3390</v>
      </c>
      <c r="Y58" t="s">
        <v>2929</v>
      </c>
      <c r="Z58" t="s">
        <v>3454</v>
      </c>
      <c r="AA58" t="s">
        <v>3455</v>
      </c>
      <c r="AB58" t="s">
        <v>3193</v>
      </c>
      <c r="AC58" t="s">
        <v>2829</v>
      </c>
      <c r="AD58" t="s">
        <v>2883</v>
      </c>
      <c r="AE58" t="s">
        <v>2831</v>
      </c>
      <c r="AF58" t="s">
        <v>3456</v>
      </c>
      <c r="AG58" t="s">
        <v>3456</v>
      </c>
      <c r="AH58" t="s">
        <v>2834</v>
      </c>
      <c r="AI58" t="s">
        <v>2835</v>
      </c>
      <c r="AJ58" t="s">
        <v>3030</v>
      </c>
      <c r="AK58" t="s">
        <v>3185</v>
      </c>
      <c r="AL58" t="s">
        <v>3455</v>
      </c>
      <c r="AM58" t="s">
        <v>2995</v>
      </c>
      <c r="AN58" t="s">
        <v>2829</v>
      </c>
      <c r="AO58" t="s">
        <v>2839</v>
      </c>
      <c r="AP58" t="s">
        <v>2840</v>
      </c>
      <c r="AQ58" t="s">
        <v>2841</v>
      </c>
      <c r="AR58" t="s">
        <v>3457</v>
      </c>
      <c r="AS58" t="s">
        <v>3457</v>
      </c>
      <c r="AT58" t="s">
        <v>2829</v>
      </c>
      <c r="AU58" t="s">
        <v>2829</v>
      </c>
      <c r="AV58" t="s">
        <v>2829</v>
      </c>
      <c r="AW58" t="s">
        <v>2829</v>
      </c>
      <c r="AX58" t="s">
        <v>2829</v>
      </c>
      <c r="AY58" t="s">
        <v>2829</v>
      </c>
      <c r="AZ58" t="s">
        <v>2829</v>
      </c>
      <c r="BA58" t="s">
        <v>2829</v>
      </c>
      <c r="BB58" t="s">
        <v>2829</v>
      </c>
      <c r="BC58" t="s">
        <v>2829</v>
      </c>
      <c r="BD58" t="s">
        <v>2829</v>
      </c>
      <c r="BE58" t="s">
        <v>243</v>
      </c>
      <c r="BF58" t="s">
        <v>243</v>
      </c>
      <c r="BG58" t="s">
        <v>243</v>
      </c>
      <c r="BH58" t="s">
        <v>243</v>
      </c>
      <c r="BI58" t="s">
        <v>243</v>
      </c>
      <c r="BJ58" t="s">
        <v>2829</v>
      </c>
      <c r="BK58" t="s">
        <v>243</v>
      </c>
      <c r="BL58" t="s">
        <v>243</v>
      </c>
      <c r="BM58" t="s">
        <v>243</v>
      </c>
      <c r="BN58" t="s">
        <v>243</v>
      </c>
      <c r="BO58" t="s">
        <v>243</v>
      </c>
      <c r="BP58" t="s">
        <v>3457</v>
      </c>
      <c r="BQ58" t="s">
        <v>3457</v>
      </c>
      <c r="BR58" t="s">
        <v>243</v>
      </c>
      <c r="BS58" t="s">
        <v>243</v>
      </c>
      <c r="BT58" t="s">
        <v>243</v>
      </c>
      <c r="BU58" t="s">
        <v>243</v>
      </c>
      <c r="BV58" t="s">
        <v>2829</v>
      </c>
      <c r="BW58" t="s">
        <v>243</v>
      </c>
      <c r="BX58" t="s">
        <v>243</v>
      </c>
      <c r="BY58" t="s">
        <v>243</v>
      </c>
      <c r="BZ58" t="s">
        <v>243</v>
      </c>
      <c r="CA58" t="s">
        <v>243</v>
      </c>
      <c r="CB58" t="s">
        <v>2829</v>
      </c>
      <c r="CC58" t="s">
        <v>243</v>
      </c>
      <c r="CD58" t="s">
        <v>243</v>
      </c>
      <c r="CE58" t="s">
        <v>243</v>
      </c>
      <c r="CF58" t="s">
        <v>243</v>
      </c>
      <c r="CG58" t="s">
        <v>243</v>
      </c>
      <c r="CH58" t="s">
        <v>2829</v>
      </c>
      <c r="CI58" t="s">
        <v>243</v>
      </c>
      <c r="CJ58" t="s">
        <v>243</v>
      </c>
      <c r="CK58" t="s">
        <v>243</v>
      </c>
      <c r="CL58" t="s">
        <v>243</v>
      </c>
      <c r="CM58" t="s">
        <v>243</v>
      </c>
      <c r="CN58" t="s">
        <v>3130</v>
      </c>
      <c r="CO58" t="s">
        <v>2843</v>
      </c>
      <c r="CP58" t="s">
        <v>2844</v>
      </c>
      <c r="CQ58" t="s">
        <v>430</v>
      </c>
      <c r="CR58" t="s">
        <v>3033</v>
      </c>
      <c r="CS58" t="s">
        <v>431</v>
      </c>
      <c r="CT58" t="s">
        <v>430</v>
      </c>
      <c r="CU58" t="s">
        <v>3034</v>
      </c>
      <c r="CV58" t="s">
        <v>432</v>
      </c>
      <c r="CW58" t="s">
        <v>3033</v>
      </c>
      <c r="CX58" t="s">
        <v>2848</v>
      </c>
      <c r="CY58" t="s">
        <v>3458</v>
      </c>
    </row>
    <row r="59" spans="1:103" ht="11.25" customHeight="1">
      <c r="A59" t="s">
        <v>243</v>
      </c>
      <c r="B59" t="s">
        <v>243</v>
      </c>
      <c r="C59" t="s">
        <v>243</v>
      </c>
      <c r="D59" t="s">
        <v>243</v>
      </c>
      <c r="E59" t="s">
        <v>243</v>
      </c>
      <c r="F59" t="s">
        <v>2816</v>
      </c>
      <c r="G59" t="s">
        <v>243</v>
      </c>
      <c r="H59" t="s">
        <v>243</v>
      </c>
      <c r="I59" t="s">
        <v>3459</v>
      </c>
      <c r="J59" t="s">
        <v>243</v>
      </c>
      <c r="K59" t="s">
        <v>3460</v>
      </c>
      <c r="L59" t="s">
        <v>243</v>
      </c>
      <c r="M59" t="s">
        <v>114</v>
      </c>
      <c r="N59" t="s">
        <v>243</v>
      </c>
      <c r="O59" t="s">
        <v>2819</v>
      </c>
      <c r="P59" t="s">
        <v>2820</v>
      </c>
      <c r="Q59" t="s">
        <v>2821</v>
      </c>
      <c r="R59" t="s">
        <v>200</v>
      </c>
      <c r="S59" t="s">
        <v>200</v>
      </c>
      <c r="T59" t="s">
        <v>3022</v>
      </c>
      <c r="U59" t="s">
        <v>3022</v>
      </c>
      <c r="V59" t="s">
        <v>3023</v>
      </c>
      <c r="W59" t="s">
        <v>3461</v>
      </c>
      <c r="X59" t="s">
        <v>3462</v>
      </c>
      <c r="Y59" t="s">
        <v>3463</v>
      </c>
      <c r="Z59" t="s">
        <v>902</v>
      </c>
      <c r="AA59" t="s">
        <v>3059</v>
      </c>
      <c r="AB59" t="s">
        <v>3464</v>
      </c>
      <c r="AC59" t="s">
        <v>2829</v>
      </c>
      <c r="AD59" t="s">
        <v>2883</v>
      </c>
      <c r="AE59" t="s">
        <v>2831</v>
      </c>
      <c r="AF59" t="s">
        <v>3465</v>
      </c>
      <c r="AG59" t="s">
        <v>3465</v>
      </c>
      <c r="AH59" t="s">
        <v>2834</v>
      </c>
      <c r="AI59" t="s">
        <v>2835</v>
      </c>
      <c r="AJ59" t="s">
        <v>3030</v>
      </c>
      <c r="AK59" t="s">
        <v>3466</v>
      </c>
      <c r="AL59" t="s">
        <v>3059</v>
      </c>
      <c r="AM59" t="s">
        <v>3464</v>
      </c>
      <c r="AN59" t="s">
        <v>2829</v>
      </c>
      <c r="AO59" t="s">
        <v>2839</v>
      </c>
      <c r="AP59" t="s">
        <v>2840</v>
      </c>
      <c r="AQ59" t="s">
        <v>2841</v>
      </c>
      <c r="AR59" t="s">
        <v>3467</v>
      </c>
      <c r="AS59" t="s">
        <v>3467</v>
      </c>
      <c r="AT59" t="s">
        <v>2829</v>
      </c>
      <c r="AU59" t="s">
        <v>2829</v>
      </c>
      <c r="AV59" t="s">
        <v>2829</v>
      </c>
      <c r="AW59" t="s">
        <v>2829</v>
      </c>
      <c r="AX59" t="s">
        <v>2829</v>
      </c>
      <c r="AY59" t="s">
        <v>2829</v>
      </c>
      <c r="AZ59" t="s">
        <v>2829</v>
      </c>
      <c r="BA59" t="s">
        <v>2829</v>
      </c>
      <c r="BB59" t="s">
        <v>2829</v>
      </c>
      <c r="BC59" t="s">
        <v>2829</v>
      </c>
      <c r="BD59" t="s">
        <v>2829</v>
      </c>
      <c r="BE59" t="s">
        <v>243</v>
      </c>
      <c r="BF59" t="s">
        <v>243</v>
      </c>
      <c r="BG59" t="s">
        <v>243</v>
      </c>
      <c r="BH59" t="s">
        <v>243</v>
      </c>
      <c r="BI59" t="s">
        <v>243</v>
      </c>
      <c r="BJ59" t="s">
        <v>2829</v>
      </c>
      <c r="BK59" t="s">
        <v>243</v>
      </c>
      <c r="BL59" t="s">
        <v>243</v>
      </c>
      <c r="BM59" t="s">
        <v>243</v>
      </c>
      <c r="BN59" t="s">
        <v>243</v>
      </c>
      <c r="BO59" t="s">
        <v>243</v>
      </c>
      <c r="BP59" t="s">
        <v>3467</v>
      </c>
      <c r="BQ59" t="s">
        <v>3467</v>
      </c>
      <c r="BR59" t="s">
        <v>243</v>
      </c>
      <c r="BS59" t="s">
        <v>243</v>
      </c>
      <c r="BT59" t="s">
        <v>243</v>
      </c>
      <c r="BU59" t="s">
        <v>243</v>
      </c>
      <c r="BV59" t="s">
        <v>2829</v>
      </c>
      <c r="BW59" t="s">
        <v>243</v>
      </c>
      <c r="BX59" t="s">
        <v>243</v>
      </c>
      <c r="BY59" t="s">
        <v>243</v>
      </c>
      <c r="BZ59" t="s">
        <v>243</v>
      </c>
      <c r="CA59" t="s">
        <v>243</v>
      </c>
      <c r="CB59" t="s">
        <v>2829</v>
      </c>
      <c r="CC59" t="s">
        <v>243</v>
      </c>
      <c r="CD59" t="s">
        <v>243</v>
      </c>
      <c r="CE59" t="s">
        <v>243</v>
      </c>
      <c r="CF59" t="s">
        <v>243</v>
      </c>
      <c r="CG59" t="s">
        <v>243</v>
      </c>
      <c r="CH59" t="s">
        <v>2829</v>
      </c>
      <c r="CI59" t="s">
        <v>243</v>
      </c>
      <c r="CJ59" t="s">
        <v>243</v>
      </c>
      <c r="CK59" t="s">
        <v>243</v>
      </c>
      <c r="CL59" t="s">
        <v>243</v>
      </c>
      <c r="CM59" t="s">
        <v>243</v>
      </c>
      <c r="CN59" t="s">
        <v>3041</v>
      </c>
      <c r="CO59" t="s">
        <v>2843</v>
      </c>
      <c r="CP59" t="s">
        <v>2844</v>
      </c>
      <c r="CQ59" t="s">
        <v>430</v>
      </c>
      <c r="CR59" t="s">
        <v>3033</v>
      </c>
      <c r="CS59" t="s">
        <v>431</v>
      </c>
      <c r="CT59" t="s">
        <v>430</v>
      </c>
      <c r="CU59" t="s">
        <v>3034</v>
      </c>
      <c r="CV59" t="s">
        <v>432</v>
      </c>
      <c r="CW59" t="s">
        <v>3033</v>
      </c>
      <c r="CX59" t="s">
        <v>2848</v>
      </c>
      <c r="CY59" t="s">
        <v>3468</v>
      </c>
    </row>
    <row r="60" spans="1:103" ht="11.25" customHeight="1">
      <c r="A60" t="s">
        <v>243</v>
      </c>
      <c r="B60" t="s">
        <v>243</v>
      </c>
      <c r="C60" t="s">
        <v>243</v>
      </c>
      <c r="D60" t="s">
        <v>243</v>
      </c>
      <c r="E60" t="s">
        <v>243</v>
      </c>
      <c r="F60" t="s">
        <v>2816</v>
      </c>
      <c r="G60" t="s">
        <v>243</v>
      </c>
      <c r="H60" t="s">
        <v>243</v>
      </c>
      <c r="I60" t="s">
        <v>3469</v>
      </c>
      <c r="J60" t="s">
        <v>243</v>
      </c>
      <c r="K60" t="s">
        <v>455</v>
      </c>
      <c r="L60" t="s">
        <v>243</v>
      </c>
      <c r="M60" t="s">
        <v>114</v>
      </c>
      <c r="N60" t="s">
        <v>243</v>
      </c>
      <c r="O60" t="s">
        <v>2819</v>
      </c>
      <c r="P60" t="s">
        <v>2820</v>
      </c>
      <c r="Q60" t="s">
        <v>2821</v>
      </c>
      <c r="R60" t="s">
        <v>200</v>
      </c>
      <c r="S60" t="s">
        <v>200</v>
      </c>
      <c r="T60" t="s">
        <v>405</v>
      </c>
      <c r="U60" t="s">
        <v>405</v>
      </c>
      <c r="V60" t="s">
        <v>406</v>
      </c>
      <c r="W60" t="s">
        <v>3155</v>
      </c>
      <c r="X60" t="s">
        <v>3156</v>
      </c>
      <c r="Y60" t="s">
        <v>3470</v>
      </c>
      <c r="Z60" t="s">
        <v>3471</v>
      </c>
      <c r="AA60" t="s">
        <v>2964</v>
      </c>
      <c r="AB60" t="s">
        <v>3229</v>
      </c>
      <c r="AC60" t="s">
        <v>243</v>
      </c>
      <c r="AD60" t="s">
        <v>2883</v>
      </c>
      <c r="AE60" t="s">
        <v>2831</v>
      </c>
      <c r="AF60" t="s">
        <v>3401</v>
      </c>
      <c r="AG60" t="s">
        <v>3401</v>
      </c>
      <c r="AH60" t="s">
        <v>2834</v>
      </c>
      <c r="AI60" t="s">
        <v>2835</v>
      </c>
      <c r="AJ60" t="s">
        <v>2888</v>
      </c>
      <c r="AK60" t="s">
        <v>3472</v>
      </c>
      <c r="AL60" t="s">
        <v>2964</v>
      </c>
      <c r="AM60" t="s">
        <v>3229</v>
      </c>
      <c r="AN60" t="s">
        <v>243</v>
      </c>
      <c r="AO60" t="s">
        <v>2839</v>
      </c>
      <c r="AP60" t="s">
        <v>2840</v>
      </c>
      <c r="AQ60" t="s">
        <v>2841</v>
      </c>
      <c r="AR60" t="s">
        <v>3473</v>
      </c>
      <c r="AS60" t="s">
        <v>3473</v>
      </c>
      <c r="AT60" t="s">
        <v>2829</v>
      </c>
      <c r="AU60" t="s">
        <v>2829</v>
      </c>
      <c r="AV60" t="s">
        <v>2829</v>
      </c>
      <c r="AW60" t="s">
        <v>2829</v>
      </c>
      <c r="AX60" t="s">
        <v>2829</v>
      </c>
      <c r="AY60" t="s">
        <v>2829</v>
      </c>
      <c r="AZ60" t="s">
        <v>2829</v>
      </c>
      <c r="BA60" t="s">
        <v>2829</v>
      </c>
      <c r="BB60" t="s">
        <v>2829</v>
      </c>
      <c r="BC60" t="s">
        <v>2829</v>
      </c>
      <c r="BD60" t="s">
        <v>3473</v>
      </c>
      <c r="BE60" t="s">
        <v>3473</v>
      </c>
      <c r="BF60" t="s">
        <v>243</v>
      </c>
      <c r="BG60" t="s">
        <v>243</v>
      </c>
      <c r="BH60" t="s">
        <v>243</v>
      </c>
      <c r="BI60" t="s">
        <v>243</v>
      </c>
      <c r="BJ60" t="s">
        <v>2829</v>
      </c>
      <c r="BK60" t="s">
        <v>243</v>
      </c>
      <c r="BL60" t="s">
        <v>243</v>
      </c>
      <c r="BM60" t="s">
        <v>243</v>
      </c>
      <c r="BN60" t="s">
        <v>243</v>
      </c>
      <c r="BO60" t="s">
        <v>243</v>
      </c>
      <c r="BP60" t="s">
        <v>2829</v>
      </c>
      <c r="BQ60" t="s">
        <v>243</v>
      </c>
      <c r="BR60" t="s">
        <v>243</v>
      </c>
      <c r="BS60" t="s">
        <v>243</v>
      </c>
      <c r="BT60" t="s">
        <v>243</v>
      </c>
      <c r="BU60" t="s">
        <v>243</v>
      </c>
      <c r="BV60" t="s">
        <v>2829</v>
      </c>
      <c r="BW60" t="s">
        <v>243</v>
      </c>
      <c r="BX60" t="s">
        <v>243</v>
      </c>
      <c r="BY60" t="s">
        <v>243</v>
      </c>
      <c r="BZ60" t="s">
        <v>243</v>
      </c>
      <c r="CA60" t="s">
        <v>243</v>
      </c>
      <c r="CB60" t="s">
        <v>2829</v>
      </c>
      <c r="CC60" t="s">
        <v>243</v>
      </c>
      <c r="CD60" t="s">
        <v>243</v>
      </c>
      <c r="CE60" t="s">
        <v>243</v>
      </c>
      <c r="CF60" t="s">
        <v>243</v>
      </c>
      <c r="CG60" t="s">
        <v>243</v>
      </c>
      <c r="CH60" t="s">
        <v>2829</v>
      </c>
      <c r="CI60" t="s">
        <v>243</v>
      </c>
      <c r="CJ60" t="s">
        <v>243</v>
      </c>
      <c r="CK60" t="s">
        <v>243</v>
      </c>
      <c r="CL60" t="s">
        <v>243</v>
      </c>
      <c r="CM60" t="s">
        <v>243</v>
      </c>
      <c r="CN60" t="s">
        <v>2888</v>
      </c>
      <c r="CO60" t="s">
        <v>2843</v>
      </c>
      <c r="CP60" t="s">
        <v>2844</v>
      </c>
      <c r="CQ60" t="s">
        <v>470</v>
      </c>
      <c r="CR60" t="s">
        <v>2872</v>
      </c>
      <c r="CS60" t="s">
        <v>431</v>
      </c>
      <c r="CT60" t="s">
        <v>470</v>
      </c>
      <c r="CU60" t="s">
        <v>444</v>
      </c>
      <c r="CV60" t="s">
        <v>445</v>
      </c>
      <c r="CW60" t="s">
        <v>2872</v>
      </c>
      <c r="CX60" t="s">
        <v>2848</v>
      </c>
      <c r="CY60" t="s">
        <v>456</v>
      </c>
    </row>
    <row r="61" spans="1:103" ht="11.25" customHeight="1">
      <c r="A61" t="s">
        <v>243</v>
      </c>
      <c r="B61" t="s">
        <v>243</v>
      </c>
      <c r="C61" t="s">
        <v>243</v>
      </c>
      <c r="D61" t="s">
        <v>243</v>
      </c>
      <c r="E61" t="s">
        <v>243</v>
      </c>
      <c r="F61" t="s">
        <v>2816</v>
      </c>
      <c r="G61" t="s">
        <v>243</v>
      </c>
      <c r="H61" t="s">
        <v>243</v>
      </c>
      <c r="I61" t="s">
        <v>3474</v>
      </c>
      <c r="J61" t="s">
        <v>243</v>
      </c>
      <c r="K61" t="s">
        <v>2818</v>
      </c>
      <c r="L61" t="s">
        <v>243</v>
      </c>
      <c r="M61" t="s">
        <v>114</v>
      </c>
      <c r="N61" t="s">
        <v>243</v>
      </c>
      <c r="O61" t="s">
        <v>2819</v>
      </c>
      <c r="P61" t="s">
        <v>2820</v>
      </c>
      <c r="Q61" t="s">
        <v>2821</v>
      </c>
      <c r="R61" t="s">
        <v>200</v>
      </c>
      <c r="S61" t="s">
        <v>200</v>
      </c>
      <c r="T61" t="s">
        <v>2822</v>
      </c>
      <c r="U61" t="s">
        <v>2822</v>
      </c>
      <c r="V61" t="s">
        <v>2823</v>
      </c>
      <c r="W61" t="s">
        <v>2851</v>
      </c>
      <c r="X61" t="s">
        <v>2852</v>
      </c>
      <c r="Y61" t="s">
        <v>2853</v>
      </c>
      <c r="Z61" t="s">
        <v>3475</v>
      </c>
      <c r="AA61" t="s">
        <v>2855</v>
      </c>
      <c r="AB61" t="s">
        <v>2842</v>
      </c>
      <c r="AC61" t="s">
        <v>2829</v>
      </c>
      <c r="AD61" t="s">
        <v>2830</v>
      </c>
      <c r="AE61" t="s">
        <v>2857</v>
      </c>
      <c r="AF61" t="s">
        <v>2867</v>
      </c>
      <c r="AG61" t="s">
        <v>2867</v>
      </c>
      <c r="AH61" t="s">
        <v>2834</v>
      </c>
      <c r="AI61" t="s">
        <v>2835</v>
      </c>
      <c r="AJ61" t="s">
        <v>2829</v>
      </c>
      <c r="AK61" t="s">
        <v>2922</v>
      </c>
      <c r="AL61" t="s">
        <v>2855</v>
      </c>
      <c r="AM61" t="s">
        <v>2842</v>
      </c>
      <c r="AN61" t="s">
        <v>2829</v>
      </c>
      <c r="AO61" t="s">
        <v>2839</v>
      </c>
      <c r="AP61" t="s">
        <v>2840</v>
      </c>
      <c r="AQ61" t="s">
        <v>2841</v>
      </c>
      <c r="AR61" t="s">
        <v>2923</v>
      </c>
      <c r="AS61" t="s">
        <v>2923</v>
      </c>
      <c r="AT61" t="s">
        <v>2829</v>
      </c>
      <c r="AU61" t="s">
        <v>2829</v>
      </c>
      <c r="AV61" t="s">
        <v>2829</v>
      </c>
      <c r="AW61" t="s">
        <v>2829</v>
      </c>
      <c r="AX61" t="s">
        <v>2829</v>
      </c>
      <c r="AY61" t="s">
        <v>2829</v>
      </c>
      <c r="AZ61" t="s">
        <v>2829</v>
      </c>
      <c r="BA61" t="s">
        <v>2829</v>
      </c>
      <c r="BB61" t="s">
        <v>2829</v>
      </c>
      <c r="BC61" t="s">
        <v>2829</v>
      </c>
      <c r="BD61" t="s">
        <v>2923</v>
      </c>
      <c r="BE61" t="s">
        <v>2923</v>
      </c>
      <c r="BF61" t="s">
        <v>243</v>
      </c>
      <c r="BG61" t="s">
        <v>243</v>
      </c>
      <c r="BH61" t="s">
        <v>243</v>
      </c>
      <c r="BI61" t="s">
        <v>243</v>
      </c>
      <c r="BJ61" t="s">
        <v>2829</v>
      </c>
      <c r="BK61" t="s">
        <v>243</v>
      </c>
      <c r="BL61" t="s">
        <v>243</v>
      </c>
      <c r="BM61" t="s">
        <v>243</v>
      </c>
      <c r="BN61" t="s">
        <v>243</v>
      </c>
      <c r="BO61" t="s">
        <v>243</v>
      </c>
      <c r="BP61" t="s">
        <v>2829</v>
      </c>
      <c r="BQ61" t="s">
        <v>243</v>
      </c>
      <c r="BR61" t="s">
        <v>243</v>
      </c>
      <c r="BS61" t="s">
        <v>243</v>
      </c>
      <c r="BT61" t="s">
        <v>243</v>
      </c>
      <c r="BU61" t="s">
        <v>243</v>
      </c>
      <c r="BV61" t="s">
        <v>2829</v>
      </c>
      <c r="BW61" t="s">
        <v>243</v>
      </c>
      <c r="BX61" t="s">
        <v>243</v>
      </c>
      <c r="BY61" t="s">
        <v>243</v>
      </c>
      <c r="BZ61" t="s">
        <v>243</v>
      </c>
      <c r="CA61" t="s">
        <v>243</v>
      </c>
      <c r="CB61" t="s">
        <v>2829</v>
      </c>
      <c r="CC61" t="s">
        <v>243</v>
      </c>
      <c r="CD61" t="s">
        <v>243</v>
      </c>
      <c r="CE61" t="s">
        <v>243</v>
      </c>
      <c r="CF61" t="s">
        <v>243</v>
      </c>
      <c r="CG61" t="s">
        <v>243</v>
      </c>
      <c r="CH61" t="s">
        <v>2829</v>
      </c>
      <c r="CI61" t="s">
        <v>243</v>
      </c>
      <c r="CJ61" t="s">
        <v>243</v>
      </c>
      <c r="CK61" t="s">
        <v>243</v>
      </c>
      <c r="CL61" t="s">
        <v>243</v>
      </c>
      <c r="CM61" t="s">
        <v>243</v>
      </c>
      <c r="CN61" t="s">
        <v>2829</v>
      </c>
      <c r="CO61" t="s">
        <v>2924</v>
      </c>
      <c r="CP61" t="s">
        <v>2844</v>
      </c>
      <c r="CQ61" t="s">
        <v>430</v>
      </c>
      <c r="CR61" t="s">
        <v>2872</v>
      </c>
      <c r="CS61" t="s">
        <v>431</v>
      </c>
      <c r="CT61" t="s">
        <v>430</v>
      </c>
      <c r="CU61" t="s">
        <v>2846</v>
      </c>
      <c r="CV61" t="s">
        <v>2873</v>
      </c>
      <c r="CW61" t="s">
        <v>2872</v>
      </c>
      <c r="CX61" t="s">
        <v>2848</v>
      </c>
      <c r="CY61" t="s">
        <v>3476</v>
      </c>
    </row>
    <row r="62" spans="1:103" ht="11.25" customHeight="1">
      <c r="A62" t="s">
        <v>243</v>
      </c>
      <c r="B62" t="s">
        <v>243</v>
      </c>
      <c r="C62" t="s">
        <v>243</v>
      </c>
      <c r="D62" t="s">
        <v>243</v>
      </c>
      <c r="E62" t="s">
        <v>243</v>
      </c>
      <c r="F62" t="s">
        <v>2816</v>
      </c>
      <c r="G62" t="s">
        <v>243</v>
      </c>
      <c r="H62" t="s">
        <v>243</v>
      </c>
      <c r="I62" t="s">
        <v>3477</v>
      </c>
      <c r="J62" t="s">
        <v>243</v>
      </c>
      <c r="K62" t="s">
        <v>441</v>
      </c>
      <c r="L62" t="s">
        <v>243</v>
      </c>
      <c r="M62" t="s">
        <v>114</v>
      </c>
      <c r="N62" t="s">
        <v>243</v>
      </c>
      <c r="O62" t="s">
        <v>2819</v>
      </c>
      <c r="P62" t="s">
        <v>2820</v>
      </c>
      <c r="Q62" t="s">
        <v>2821</v>
      </c>
      <c r="R62" t="s">
        <v>200</v>
      </c>
      <c r="S62" t="s">
        <v>200</v>
      </c>
      <c r="T62" t="s">
        <v>2968</v>
      </c>
      <c r="U62" t="s">
        <v>2968</v>
      </c>
      <c r="V62" t="s">
        <v>2969</v>
      </c>
      <c r="W62" t="s">
        <v>2970</v>
      </c>
      <c r="X62" t="s">
        <v>2971</v>
      </c>
      <c r="Y62" t="s">
        <v>3478</v>
      </c>
      <c r="Z62" t="s">
        <v>3479</v>
      </c>
      <c r="AA62" t="s">
        <v>3480</v>
      </c>
      <c r="AB62" t="s">
        <v>3481</v>
      </c>
      <c r="AC62" t="s">
        <v>2829</v>
      </c>
      <c r="AD62" t="s">
        <v>2883</v>
      </c>
      <c r="AE62" t="s">
        <v>2975</v>
      </c>
      <c r="AF62" t="s">
        <v>3482</v>
      </c>
      <c r="AG62" t="s">
        <v>3482</v>
      </c>
      <c r="AH62" t="s">
        <v>2834</v>
      </c>
      <c r="AI62" t="s">
        <v>2835</v>
      </c>
      <c r="AJ62" t="s">
        <v>3446</v>
      </c>
      <c r="AK62" t="s">
        <v>3483</v>
      </c>
      <c r="AL62" t="s">
        <v>3480</v>
      </c>
      <c r="AM62" t="s">
        <v>3066</v>
      </c>
      <c r="AN62" t="s">
        <v>2829</v>
      </c>
      <c r="AO62" t="s">
        <v>2839</v>
      </c>
      <c r="AP62" t="s">
        <v>2840</v>
      </c>
      <c r="AQ62" t="s">
        <v>2841</v>
      </c>
      <c r="AR62" t="s">
        <v>3484</v>
      </c>
      <c r="AS62" t="s">
        <v>3484</v>
      </c>
      <c r="AT62" t="s">
        <v>2829</v>
      </c>
      <c r="AU62" t="s">
        <v>2829</v>
      </c>
      <c r="AV62" t="s">
        <v>2829</v>
      </c>
      <c r="AW62" t="s">
        <v>2829</v>
      </c>
      <c r="AX62" t="s">
        <v>2829</v>
      </c>
      <c r="AY62" t="s">
        <v>2829</v>
      </c>
      <c r="AZ62" t="s">
        <v>2829</v>
      </c>
      <c r="BA62" t="s">
        <v>2829</v>
      </c>
      <c r="BB62" t="s">
        <v>2829</v>
      </c>
      <c r="BC62" t="s">
        <v>2829</v>
      </c>
      <c r="BD62" t="s">
        <v>2829</v>
      </c>
      <c r="BE62" t="s">
        <v>243</v>
      </c>
      <c r="BF62" t="s">
        <v>243</v>
      </c>
      <c r="BG62" t="s">
        <v>243</v>
      </c>
      <c r="BH62" t="s">
        <v>243</v>
      </c>
      <c r="BI62" t="s">
        <v>243</v>
      </c>
      <c r="BJ62" t="s">
        <v>2829</v>
      </c>
      <c r="BK62" t="s">
        <v>243</v>
      </c>
      <c r="BL62" t="s">
        <v>243</v>
      </c>
      <c r="BM62" t="s">
        <v>243</v>
      </c>
      <c r="BN62" t="s">
        <v>243</v>
      </c>
      <c r="BO62" t="s">
        <v>243</v>
      </c>
      <c r="BP62" t="s">
        <v>3484</v>
      </c>
      <c r="BQ62" t="s">
        <v>3484</v>
      </c>
      <c r="BR62" t="s">
        <v>243</v>
      </c>
      <c r="BS62" t="s">
        <v>243</v>
      </c>
      <c r="BT62" t="s">
        <v>243</v>
      </c>
      <c r="BU62" t="s">
        <v>243</v>
      </c>
      <c r="BV62" t="s">
        <v>2829</v>
      </c>
      <c r="BW62" t="s">
        <v>243</v>
      </c>
      <c r="BX62" t="s">
        <v>243</v>
      </c>
      <c r="BY62" t="s">
        <v>243</v>
      </c>
      <c r="BZ62" t="s">
        <v>243</v>
      </c>
      <c r="CA62" t="s">
        <v>243</v>
      </c>
      <c r="CB62" t="s">
        <v>2829</v>
      </c>
      <c r="CC62" t="s">
        <v>243</v>
      </c>
      <c r="CD62" t="s">
        <v>243</v>
      </c>
      <c r="CE62" t="s">
        <v>243</v>
      </c>
      <c r="CF62" t="s">
        <v>243</v>
      </c>
      <c r="CG62" t="s">
        <v>243</v>
      </c>
      <c r="CH62" t="s">
        <v>2829</v>
      </c>
      <c r="CI62" t="s">
        <v>243</v>
      </c>
      <c r="CJ62" t="s">
        <v>243</v>
      </c>
      <c r="CK62" t="s">
        <v>243</v>
      </c>
      <c r="CL62" t="s">
        <v>243</v>
      </c>
      <c r="CM62" t="s">
        <v>243</v>
      </c>
      <c r="CN62" t="s">
        <v>2983</v>
      </c>
      <c r="CO62" t="s">
        <v>2843</v>
      </c>
      <c r="CP62" t="s">
        <v>2844</v>
      </c>
      <c r="CQ62" t="s">
        <v>430</v>
      </c>
      <c r="CR62" t="s">
        <v>2984</v>
      </c>
      <c r="CS62" t="s">
        <v>431</v>
      </c>
      <c r="CT62" t="s">
        <v>430</v>
      </c>
      <c r="CU62" t="s">
        <v>2985</v>
      </c>
      <c r="CV62" t="s">
        <v>2986</v>
      </c>
      <c r="CW62" t="s">
        <v>2984</v>
      </c>
      <c r="CX62" t="s">
        <v>2848</v>
      </c>
      <c r="CY62" t="s">
        <v>3485</v>
      </c>
    </row>
    <row r="63" spans="1:103" ht="11.25" customHeight="1">
      <c r="A63" t="s">
        <v>243</v>
      </c>
      <c r="B63" t="s">
        <v>243</v>
      </c>
      <c r="C63" t="s">
        <v>243</v>
      </c>
      <c r="D63" t="s">
        <v>243</v>
      </c>
      <c r="E63" t="s">
        <v>243</v>
      </c>
      <c r="F63" t="s">
        <v>2816</v>
      </c>
      <c r="G63" t="s">
        <v>243</v>
      </c>
      <c r="H63" t="s">
        <v>243</v>
      </c>
      <c r="I63" t="s">
        <v>3486</v>
      </c>
      <c r="J63" t="s">
        <v>243</v>
      </c>
      <c r="K63" t="s">
        <v>3487</v>
      </c>
      <c r="L63" t="s">
        <v>243</v>
      </c>
      <c r="M63" t="s">
        <v>114</v>
      </c>
      <c r="N63" t="s">
        <v>243</v>
      </c>
      <c r="O63" t="s">
        <v>2819</v>
      </c>
      <c r="P63" t="s">
        <v>2820</v>
      </c>
      <c r="Q63" t="s">
        <v>2821</v>
      </c>
      <c r="R63" t="s">
        <v>200</v>
      </c>
      <c r="S63" t="s">
        <v>200</v>
      </c>
      <c r="T63" t="s">
        <v>2968</v>
      </c>
      <c r="U63" t="s">
        <v>2968</v>
      </c>
      <c r="V63" t="s">
        <v>2969</v>
      </c>
      <c r="W63" t="s">
        <v>2970</v>
      </c>
      <c r="X63" t="s">
        <v>2971</v>
      </c>
      <c r="Y63" t="s">
        <v>3488</v>
      </c>
      <c r="Z63" t="s">
        <v>3489</v>
      </c>
      <c r="AA63" t="s">
        <v>3490</v>
      </c>
      <c r="AB63" t="s">
        <v>3491</v>
      </c>
      <c r="AC63" t="s">
        <v>2829</v>
      </c>
      <c r="AD63" t="s">
        <v>2883</v>
      </c>
      <c r="AE63" t="s">
        <v>2975</v>
      </c>
      <c r="AF63" t="s">
        <v>3492</v>
      </c>
      <c r="AG63" t="s">
        <v>3492</v>
      </c>
      <c r="AH63" t="s">
        <v>2834</v>
      </c>
      <c r="AI63" t="s">
        <v>2835</v>
      </c>
      <c r="AJ63" t="s">
        <v>3446</v>
      </c>
      <c r="AK63" t="s">
        <v>3493</v>
      </c>
      <c r="AL63" t="s">
        <v>3490</v>
      </c>
      <c r="AM63" t="s">
        <v>3106</v>
      </c>
      <c r="AN63" t="s">
        <v>2829</v>
      </c>
      <c r="AO63" t="s">
        <v>2839</v>
      </c>
      <c r="AP63" t="s">
        <v>2840</v>
      </c>
      <c r="AQ63" t="s">
        <v>2841</v>
      </c>
      <c r="AR63" t="s">
        <v>3494</v>
      </c>
      <c r="AS63" t="s">
        <v>3494</v>
      </c>
      <c r="AT63" t="s">
        <v>2829</v>
      </c>
      <c r="AU63" t="s">
        <v>2829</v>
      </c>
      <c r="AV63" t="s">
        <v>2829</v>
      </c>
      <c r="AW63" t="s">
        <v>2829</v>
      </c>
      <c r="AX63" t="s">
        <v>3495</v>
      </c>
      <c r="AY63" t="s">
        <v>3495</v>
      </c>
      <c r="AZ63" t="s">
        <v>2829</v>
      </c>
      <c r="BA63" t="s">
        <v>2829</v>
      </c>
      <c r="BB63" t="s">
        <v>2829</v>
      </c>
      <c r="BC63" t="s">
        <v>2829</v>
      </c>
      <c r="BD63" t="s">
        <v>3494</v>
      </c>
      <c r="BE63" t="s">
        <v>3494</v>
      </c>
      <c r="BF63" t="s">
        <v>243</v>
      </c>
      <c r="BG63" t="s">
        <v>243</v>
      </c>
      <c r="BH63" t="s">
        <v>243</v>
      </c>
      <c r="BI63" t="s">
        <v>243</v>
      </c>
      <c r="BJ63" t="s">
        <v>2829</v>
      </c>
      <c r="BK63" t="s">
        <v>243</v>
      </c>
      <c r="BL63" t="s">
        <v>243</v>
      </c>
      <c r="BM63" t="s">
        <v>243</v>
      </c>
      <c r="BN63" t="s">
        <v>243</v>
      </c>
      <c r="BO63" t="s">
        <v>243</v>
      </c>
      <c r="BP63" t="s">
        <v>2829</v>
      </c>
      <c r="BQ63" t="s">
        <v>243</v>
      </c>
      <c r="BR63" t="s">
        <v>243</v>
      </c>
      <c r="BS63" t="s">
        <v>243</v>
      </c>
      <c r="BT63" t="s">
        <v>243</v>
      </c>
      <c r="BU63" t="s">
        <v>243</v>
      </c>
      <c r="BV63" t="s">
        <v>3495</v>
      </c>
      <c r="BW63" t="s">
        <v>3495</v>
      </c>
      <c r="BX63" t="s">
        <v>243</v>
      </c>
      <c r="BY63" t="s">
        <v>243</v>
      </c>
      <c r="BZ63" t="s">
        <v>243</v>
      </c>
      <c r="CA63" t="s">
        <v>243</v>
      </c>
      <c r="CB63" t="s">
        <v>2829</v>
      </c>
      <c r="CC63" t="s">
        <v>243</v>
      </c>
      <c r="CD63" t="s">
        <v>243</v>
      </c>
      <c r="CE63" t="s">
        <v>243</v>
      </c>
      <c r="CF63" t="s">
        <v>243</v>
      </c>
      <c r="CG63" t="s">
        <v>243</v>
      </c>
      <c r="CH63" t="s">
        <v>2829</v>
      </c>
      <c r="CI63" t="s">
        <v>243</v>
      </c>
      <c r="CJ63" t="s">
        <v>243</v>
      </c>
      <c r="CK63" t="s">
        <v>243</v>
      </c>
      <c r="CL63" t="s">
        <v>243</v>
      </c>
      <c r="CM63" t="s">
        <v>243</v>
      </c>
      <c r="CN63" t="s">
        <v>2983</v>
      </c>
      <c r="CO63" t="s">
        <v>2843</v>
      </c>
      <c r="CP63" t="s">
        <v>2844</v>
      </c>
      <c r="CQ63" t="s">
        <v>430</v>
      </c>
      <c r="CR63" t="s">
        <v>2984</v>
      </c>
      <c r="CS63" t="s">
        <v>431</v>
      </c>
      <c r="CT63" t="s">
        <v>430</v>
      </c>
      <c r="CU63" t="s">
        <v>2985</v>
      </c>
      <c r="CV63" t="s">
        <v>2986</v>
      </c>
      <c r="CW63" t="s">
        <v>2984</v>
      </c>
      <c r="CX63" t="s">
        <v>2848</v>
      </c>
      <c r="CY63" t="s">
        <v>3496</v>
      </c>
    </row>
    <row r="64" spans="1:103" ht="11.25" customHeight="1">
      <c r="A64" t="s">
        <v>243</v>
      </c>
      <c r="B64" t="s">
        <v>243</v>
      </c>
      <c r="C64" t="s">
        <v>243</v>
      </c>
      <c r="D64" t="s">
        <v>243</v>
      </c>
      <c r="E64" t="s">
        <v>243</v>
      </c>
      <c r="F64" t="s">
        <v>2816</v>
      </c>
      <c r="G64" t="s">
        <v>243</v>
      </c>
      <c r="H64" t="s">
        <v>243</v>
      </c>
      <c r="I64" t="s">
        <v>460</v>
      </c>
      <c r="J64" t="s">
        <v>243</v>
      </c>
      <c r="K64" t="s">
        <v>3497</v>
      </c>
      <c r="L64" t="s">
        <v>243</v>
      </c>
      <c r="M64" t="s">
        <v>114</v>
      </c>
      <c r="N64" t="s">
        <v>243</v>
      </c>
      <c r="O64" t="s">
        <v>2819</v>
      </c>
      <c r="P64" t="s">
        <v>2820</v>
      </c>
      <c r="Q64" t="s">
        <v>2821</v>
      </c>
      <c r="R64" t="s">
        <v>200</v>
      </c>
      <c r="S64" t="s">
        <v>200</v>
      </c>
      <c r="T64" t="s">
        <v>2822</v>
      </c>
      <c r="U64" t="s">
        <v>2822</v>
      </c>
      <c r="V64" t="s">
        <v>2823</v>
      </c>
      <c r="W64" t="s">
        <v>2952</v>
      </c>
      <c r="X64" t="s">
        <v>2953</v>
      </c>
      <c r="Y64" t="s">
        <v>3498</v>
      </c>
      <c r="Z64" t="s">
        <v>2880</v>
      </c>
      <c r="AA64" t="s">
        <v>3499</v>
      </c>
      <c r="AB64" t="s">
        <v>3500</v>
      </c>
      <c r="AC64" t="s">
        <v>2829</v>
      </c>
      <c r="AD64" t="s">
        <v>2830</v>
      </c>
      <c r="AE64" t="s">
        <v>2831</v>
      </c>
      <c r="AF64" t="s">
        <v>3501</v>
      </c>
      <c r="AG64" t="s">
        <v>3502</v>
      </c>
      <c r="AH64" t="s">
        <v>2834</v>
      </c>
      <c r="AI64" t="s">
        <v>2835</v>
      </c>
      <c r="AJ64" t="s">
        <v>2960</v>
      </c>
      <c r="AK64" t="s">
        <v>3264</v>
      </c>
      <c r="AL64" t="s">
        <v>3499</v>
      </c>
      <c r="AM64" t="s">
        <v>3385</v>
      </c>
      <c r="AN64" t="s">
        <v>2829</v>
      </c>
      <c r="AO64" t="s">
        <v>2839</v>
      </c>
      <c r="AP64" t="s">
        <v>2840</v>
      </c>
      <c r="AQ64" t="s">
        <v>2841</v>
      </c>
      <c r="AR64" t="s">
        <v>3503</v>
      </c>
      <c r="AS64" t="s">
        <v>3503</v>
      </c>
      <c r="AT64" t="s">
        <v>2829</v>
      </c>
      <c r="AU64" t="s">
        <v>2829</v>
      </c>
      <c r="AV64" t="s">
        <v>2829</v>
      </c>
      <c r="AW64" t="s">
        <v>2829</v>
      </c>
      <c r="AX64" t="s">
        <v>2829</v>
      </c>
      <c r="AY64" t="s">
        <v>2829</v>
      </c>
      <c r="AZ64" t="s">
        <v>2829</v>
      </c>
      <c r="BA64" t="s">
        <v>2829</v>
      </c>
      <c r="BB64" t="s">
        <v>2829</v>
      </c>
      <c r="BC64" t="s">
        <v>2829</v>
      </c>
      <c r="BD64" t="s">
        <v>2965</v>
      </c>
      <c r="BE64" t="s">
        <v>2965</v>
      </c>
      <c r="BF64" t="s">
        <v>243</v>
      </c>
      <c r="BG64" t="s">
        <v>243</v>
      </c>
      <c r="BH64" t="s">
        <v>243</v>
      </c>
      <c r="BI64" t="s">
        <v>243</v>
      </c>
      <c r="BJ64" t="s">
        <v>2829</v>
      </c>
      <c r="BK64" t="s">
        <v>243</v>
      </c>
      <c r="BL64" t="s">
        <v>243</v>
      </c>
      <c r="BM64" t="s">
        <v>243</v>
      </c>
      <c r="BN64" t="s">
        <v>243</v>
      </c>
      <c r="BO64" t="s">
        <v>243</v>
      </c>
      <c r="BP64" t="s">
        <v>3504</v>
      </c>
      <c r="BQ64" t="s">
        <v>3504</v>
      </c>
      <c r="BR64" t="s">
        <v>243</v>
      </c>
      <c r="BS64" t="s">
        <v>243</v>
      </c>
      <c r="BT64" t="s">
        <v>243</v>
      </c>
      <c r="BU64" t="s">
        <v>243</v>
      </c>
      <c r="BV64" t="s">
        <v>2829</v>
      </c>
      <c r="BW64" t="s">
        <v>243</v>
      </c>
      <c r="BX64" t="s">
        <v>243</v>
      </c>
      <c r="BY64" t="s">
        <v>243</v>
      </c>
      <c r="BZ64" t="s">
        <v>243</v>
      </c>
      <c r="CA64" t="s">
        <v>243</v>
      </c>
      <c r="CB64" t="s">
        <v>2829</v>
      </c>
      <c r="CC64" t="s">
        <v>243</v>
      </c>
      <c r="CD64" t="s">
        <v>243</v>
      </c>
      <c r="CE64" t="s">
        <v>243</v>
      </c>
      <c r="CF64" t="s">
        <v>243</v>
      </c>
      <c r="CG64" t="s">
        <v>243</v>
      </c>
      <c r="CH64" t="s">
        <v>2829</v>
      </c>
      <c r="CI64" t="s">
        <v>243</v>
      </c>
      <c r="CJ64" t="s">
        <v>243</v>
      </c>
      <c r="CK64" t="s">
        <v>243</v>
      </c>
      <c r="CL64" t="s">
        <v>243</v>
      </c>
      <c r="CM64" t="s">
        <v>243</v>
      </c>
      <c r="CN64" t="s">
        <v>2960</v>
      </c>
      <c r="CO64" t="s">
        <v>2843</v>
      </c>
      <c r="CP64" t="s">
        <v>2844</v>
      </c>
      <c r="CQ64" t="s">
        <v>430</v>
      </c>
      <c r="CR64" t="s">
        <v>2845</v>
      </c>
      <c r="CS64" t="s">
        <v>431</v>
      </c>
      <c r="CT64" t="s">
        <v>430</v>
      </c>
      <c r="CU64" t="s">
        <v>2846</v>
      </c>
      <c r="CV64" t="s">
        <v>2847</v>
      </c>
      <c r="CW64" t="s">
        <v>2845</v>
      </c>
      <c r="CX64" t="s">
        <v>2848</v>
      </c>
      <c r="CY64" t="s">
        <v>3505</v>
      </c>
    </row>
    <row r="65" spans="1:103" ht="11.25" customHeight="1">
      <c r="A65" t="s">
        <v>243</v>
      </c>
      <c r="B65" t="s">
        <v>243</v>
      </c>
      <c r="C65" t="s">
        <v>243</v>
      </c>
      <c r="D65" t="s">
        <v>243</v>
      </c>
      <c r="E65" t="s">
        <v>243</v>
      </c>
      <c r="F65" t="s">
        <v>2816</v>
      </c>
      <c r="G65" t="s">
        <v>243</v>
      </c>
      <c r="H65" t="s">
        <v>243</v>
      </c>
      <c r="I65" t="s">
        <v>3506</v>
      </c>
      <c r="J65" t="s">
        <v>243</v>
      </c>
      <c r="K65" t="s">
        <v>3507</v>
      </c>
      <c r="L65" t="s">
        <v>243</v>
      </c>
      <c r="M65" t="s">
        <v>114</v>
      </c>
      <c r="N65" t="s">
        <v>243</v>
      </c>
      <c r="O65" t="s">
        <v>2819</v>
      </c>
      <c r="P65" t="s">
        <v>2820</v>
      </c>
      <c r="Q65" t="s">
        <v>2821</v>
      </c>
      <c r="R65" t="s">
        <v>200</v>
      </c>
      <c r="S65" t="s">
        <v>200</v>
      </c>
      <c r="T65" t="s">
        <v>2968</v>
      </c>
      <c r="U65" t="s">
        <v>2968</v>
      </c>
      <c r="V65" t="s">
        <v>2969</v>
      </c>
      <c r="W65" t="s">
        <v>3508</v>
      </c>
      <c r="X65" t="s">
        <v>3509</v>
      </c>
      <c r="Y65" t="s">
        <v>3510</v>
      </c>
      <c r="Z65" t="s">
        <v>437</v>
      </c>
      <c r="AA65" t="s">
        <v>3058</v>
      </c>
      <c r="AB65" t="s">
        <v>3511</v>
      </c>
      <c r="AC65" t="s">
        <v>2829</v>
      </c>
      <c r="AD65" t="s">
        <v>2883</v>
      </c>
      <c r="AE65" t="s">
        <v>2857</v>
      </c>
      <c r="AF65" t="s">
        <v>3512</v>
      </c>
      <c r="AG65" t="s">
        <v>3512</v>
      </c>
      <c r="AH65" t="s">
        <v>2834</v>
      </c>
      <c r="AI65" t="s">
        <v>2835</v>
      </c>
      <c r="AJ65" t="s">
        <v>2836</v>
      </c>
      <c r="AK65" t="s">
        <v>3513</v>
      </c>
      <c r="AL65" t="s">
        <v>3058</v>
      </c>
      <c r="AM65" t="s">
        <v>2923</v>
      </c>
      <c r="AN65" t="s">
        <v>2829</v>
      </c>
      <c r="AO65" t="s">
        <v>2839</v>
      </c>
      <c r="AP65" t="s">
        <v>2840</v>
      </c>
      <c r="AQ65" t="s">
        <v>2841</v>
      </c>
      <c r="AR65" t="s">
        <v>3514</v>
      </c>
      <c r="AS65" t="s">
        <v>3514</v>
      </c>
      <c r="AT65" t="s">
        <v>2829</v>
      </c>
      <c r="AU65" t="s">
        <v>2829</v>
      </c>
      <c r="AV65" t="s">
        <v>2829</v>
      </c>
      <c r="AW65" t="s">
        <v>2829</v>
      </c>
      <c r="AX65" t="s">
        <v>2829</v>
      </c>
      <c r="AY65" t="s">
        <v>2829</v>
      </c>
      <c r="AZ65" t="s">
        <v>2829</v>
      </c>
      <c r="BA65" t="s">
        <v>2829</v>
      </c>
      <c r="BB65" t="s">
        <v>2829</v>
      </c>
      <c r="BC65" t="s">
        <v>2829</v>
      </c>
      <c r="BD65" t="s">
        <v>3514</v>
      </c>
      <c r="BE65" t="s">
        <v>3514</v>
      </c>
      <c r="BF65" t="s">
        <v>243</v>
      </c>
      <c r="BG65" t="s">
        <v>243</v>
      </c>
      <c r="BH65" t="s">
        <v>243</v>
      </c>
      <c r="BI65" t="s">
        <v>243</v>
      </c>
      <c r="BJ65" t="s">
        <v>2829</v>
      </c>
      <c r="BK65" t="s">
        <v>243</v>
      </c>
      <c r="BL65" t="s">
        <v>243</v>
      </c>
      <c r="BM65" t="s">
        <v>243</v>
      </c>
      <c r="BN65" t="s">
        <v>243</v>
      </c>
      <c r="BO65" t="s">
        <v>243</v>
      </c>
      <c r="BP65" t="s">
        <v>2829</v>
      </c>
      <c r="BQ65" t="s">
        <v>243</v>
      </c>
      <c r="BR65" t="s">
        <v>243</v>
      </c>
      <c r="BS65" t="s">
        <v>243</v>
      </c>
      <c r="BT65" t="s">
        <v>243</v>
      </c>
      <c r="BU65" t="s">
        <v>243</v>
      </c>
      <c r="BV65" t="s">
        <v>2829</v>
      </c>
      <c r="BW65" t="s">
        <v>243</v>
      </c>
      <c r="BX65" t="s">
        <v>243</v>
      </c>
      <c r="BY65" t="s">
        <v>243</v>
      </c>
      <c r="BZ65" t="s">
        <v>243</v>
      </c>
      <c r="CA65" t="s">
        <v>243</v>
      </c>
      <c r="CB65" t="s">
        <v>2829</v>
      </c>
      <c r="CC65" t="s">
        <v>243</v>
      </c>
      <c r="CD65" t="s">
        <v>243</v>
      </c>
      <c r="CE65" t="s">
        <v>243</v>
      </c>
      <c r="CF65" t="s">
        <v>243</v>
      </c>
      <c r="CG65" t="s">
        <v>243</v>
      </c>
      <c r="CH65" t="s">
        <v>2829</v>
      </c>
      <c r="CI65" t="s">
        <v>243</v>
      </c>
      <c r="CJ65" t="s">
        <v>243</v>
      </c>
      <c r="CK65" t="s">
        <v>243</v>
      </c>
      <c r="CL65" t="s">
        <v>243</v>
      </c>
      <c r="CM65" t="s">
        <v>243</v>
      </c>
      <c r="CN65" t="s">
        <v>2836</v>
      </c>
      <c r="CO65" t="s">
        <v>2843</v>
      </c>
      <c r="CP65" t="s">
        <v>2844</v>
      </c>
      <c r="CQ65" t="s">
        <v>430</v>
      </c>
      <c r="CR65" t="s">
        <v>2984</v>
      </c>
      <c r="CS65" t="s">
        <v>431</v>
      </c>
      <c r="CT65" t="s">
        <v>430</v>
      </c>
      <c r="CU65" t="s">
        <v>2985</v>
      </c>
      <c r="CV65" t="s">
        <v>2986</v>
      </c>
      <c r="CW65" t="s">
        <v>2984</v>
      </c>
      <c r="CX65" t="s">
        <v>2848</v>
      </c>
      <c r="CY65" t="s">
        <v>3515</v>
      </c>
    </row>
    <row r="66" spans="1:103" ht="11.25" customHeight="1">
      <c r="A66" t="s">
        <v>243</v>
      </c>
      <c r="B66" t="s">
        <v>243</v>
      </c>
      <c r="C66" t="s">
        <v>243</v>
      </c>
      <c r="D66" t="s">
        <v>243</v>
      </c>
      <c r="E66" t="s">
        <v>243</v>
      </c>
      <c r="F66" t="s">
        <v>2816</v>
      </c>
      <c r="G66" t="s">
        <v>243</v>
      </c>
      <c r="H66" t="s">
        <v>243</v>
      </c>
      <c r="I66" t="s">
        <v>469</v>
      </c>
      <c r="J66" t="s">
        <v>243</v>
      </c>
      <c r="K66" t="s">
        <v>3516</v>
      </c>
      <c r="L66" t="s">
        <v>243</v>
      </c>
      <c r="M66" t="s">
        <v>114</v>
      </c>
      <c r="N66" t="s">
        <v>243</v>
      </c>
      <c r="O66" t="s">
        <v>2819</v>
      </c>
      <c r="P66" t="s">
        <v>2820</v>
      </c>
      <c r="Q66" t="s">
        <v>2821</v>
      </c>
      <c r="R66" t="s">
        <v>200</v>
      </c>
      <c r="S66" t="s">
        <v>200</v>
      </c>
      <c r="T66" t="s">
        <v>2822</v>
      </c>
      <c r="U66" t="s">
        <v>2822</v>
      </c>
      <c r="V66" t="s">
        <v>2823</v>
      </c>
      <c r="W66" t="s">
        <v>2952</v>
      </c>
      <c r="X66" t="s">
        <v>2953</v>
      </c>
      <c r="Y66" t="s">
        <v>3064</v>
      </c>
      <c r="Z66" t="s">
        <v>3517</v>
      </c>
      <c r="AA66" t="s">
        <v>3094</v>
      </c>
      <c r="AB66" t="s">
        <v>3518</v>
      </c>
      <c r="AC66" t="s">
        <v>2829</v>
      </c>
      <c r="AD66" t="s">
        <v>2830</v>
      </c>
      <c r="AE66" t="s">
        <v>2831</v>
      </c>
      <c r="AF66" t="s">
        <v>3519</v>
      </c>
      <c r="AG66" t="s">
        <v>3520</v>
      </c>
      <c r="AH66" t="s">
        <v>2834</v>
      </c>
      <c r="AI66" t="s">
        <v>2835</v>
      </c>
      <c r="AJ66" t="s">
        <v>2960</v>
      </c>
      <c r="AK66" t="s">
        <v>3521</v>
      </c>
      <c r="AL66" t="s">
        <v>3522</v>
      </c>
      <c r="AM66" t="s">
        <v>3518</v>
      </c>
      <c r="AN66" t="s">
        <v>2829</v>
      </c>
      <c r="AO66" t="s">
        <v>2839</v>
      </c>
      <c r="AP66" t="s">
        <v>2840</v>
      </c>
      <c r="AQ66" t="s">
        <v>2841</v>
      </c>
      <c r="AR66" t="s">
        <v>3523</v>
      </c>
      <c r="AS66" t="s">
        <v>3523</v>
      </c>
      <c r="AT66" t="s">
        <v>2829</v>
      </c>
      <c r="AU66" t="s">
        <v>2829</v>
      </c>
      <c r="AV66" t="s">
        <v>2829</v>
      </c>
      <c r="AW66" t="s">
        <v>2829</v>
      </c>
      <c r="AX66" t="s">
        <v>2829</v>
      </c>
      <c r="AY66" t="s">
        <v>2829</v>
      </c>
      <c r="AZ66" t="s">
        <v>2829</v>
      </c>
      <c r="BA66" t="s">
        <v>2829</v>
      </c>
      <c r="BB66" t="s">
        <v>2829</v>
      </c>
      <c r="BC66" t="s">
        <v>2829</v>
      </c>
      <c r="BD66" t="s">
        <v>3523</v>
      </c>
      <c r="BE66" t="s">
        <v>3523</v>
      </c>
      <c r="BF66" t="s">
        <v>243</v>
      </c>
      <c r="BG66" t="s">
        <v>243</v>
      </c>
      <c r="BH66" t="s">
        <v>243</v>
      </c>
      <c r="BI66" t="s">
        <v>243</v>
      </c>
      <c r="BJ66" t="s">
        <v>2829</v>
      </c>
      <c r="BK66" t="s">
        <v>243</v>
      </c>
      <c r="BL66" t="s">
        <v>243</v>
      </c>
      <c r="BM66" t="s">
        <v>243</v>
      </c>
      <c r="BN66" t="s">
        <v>243</v>
      </c>
      <c r="BO66" t="s">
        <v>243</v>
      </c>
      <c r="BP66" t="s">
        <v>2829</v>
      </c>
      <c r="BQ66" t="s">
        <v>243</v>
      </c>
      <c r="BR66" t="s">
        <v>243</v>
      </c>
      <c r="BS66" t="s">
        <v>243</v>
      </c>
      <c r="BT66" t="s">
        <v>243</v>
      </c>
      <c r="BU66" t="s">
        <v>243</v>
      </c>
      <c r="BV66" t="s">
        <v>2829</v>
      </c>
      <c r="BW66" t="s">
        <v>243</v>
      </c>
      <c r="BX66" t="s">
        <v>243</v>
      </c>
      <c r="BY66" t="s">
        <v>243</v>
      </c>
      <c r="BZ66" t="s">
        <v>243</v>
      </c>
      <c r="CA66" t="s">
        <v>243</v>
      </c>
      <c r="CB66" t="s">
        <v>2829</v>
      </c>
      <c r="CC66" t="s">
        <v>243</v>
      </c>
      <c r="CD66" t="s">
        <v>243</v>
      </c>
      <c r="CE66" t="s">
        <v>243</v>
      </c>
      <c r="CF66" t="s">
        <v>243</v>
      </c>
      <c r="CG66" t="s">
        <v>243</v>
      </c>
      <c r="CH66" t="s">
        <v>2829</v>
      </c>
      <c r="CI66" t="s">
        <v>243</v>
      </c>
      <c r="CJ66" t="s">
        <v>243</v>
      </c>
      <c r="CK66" t="s">
        <v>243</v>
      </c>
      <c r="CL66" t="s">
        <v>243</v>
      </c>
      <c r="CM66" t="s">
        <v>243</v>
      </c>
      <c r="CN66" t="s">
        <v>2960</v>
      </c>
      <c r="CO66" t="s">
        <v>2843</v>
      </c>
      <c r="CP66" t="s">
        <v>2844</v>
      </c>
      <c r="CQ66" t="s">
        <v>430</v>
      </c>
      <c r="CR66" t="s">
        <v>2845</v>
      </c>
      <c r="CS66" t="s">
        <v>431</v>
      </c>
      <c r="CT66" t="s">
        <v>430</v>
      </c>
      <c r="CU66" t="s">
        <v>2846</v>
      </c>
      <c r="CV66" t="s">
        <v>2847</v>
      </c>
      <c r="CW66" t="s">
        <v>2845</v>
      </c>
      <c r="CX66" t="s">
        <v>2848</v>
      </c>
      <c r="CY66" t="s">
        <v>3524</v>
      </c>
    </row>
    <row r="67" spans="1:103" ht="11.25" customHeight="1">
      <c r="A67" t="s">
        <v>243</v>
      </c>
      <c r="B67" t="s">
        <v>243</v>
      </c>
      <c r="C67" t="s">
        <v>243</v>
      </c>
      <c r="D67" t="s">
        <v>243</v>
      </c>
      <c r="E67" t="s">
        <v>243</v>
      </c>
      <c r="F67" t="s">
        <v>2816</v>
      </c>
      <c r="G67" t="s">
        <v>243</v>
      </c>
      <c r="H67" t="s">
        <v>243</v>
      </c>
      <c r="I67" t="s">
        <v>3525</v>
      </c>
      <c r="J67" t="s">
        <v>243</v>
      </c>
      <c r="K67" t="s">
        <v>3526</v>
      </c>
      <c r="L67" t="s">
        <v>243</v>
      </c>
      <c r="M67" t="s">
        <v>114</v>
      </c>
      <c r="N67" t="s">
        <v>243</v>
      </c>
      <c r="O67" t="s">
        <v>2819</v>
      </c>
      <c r="P67" t="s">
        <v>2820</v>
      </c>
      <c r="Q67" t="s">
        <v>2821</v>
      </c>
      <c r="R67" t="s">
        <v>200</v>
      </c>
      <c r="S67" t="s">
        <v>200</v>
      </c>
      <c r="T67" t="s">
        <v>3022</v>
      </c>
      <c r="U67" t="s">
        <v>3022</v>
      </c>
      <c r="V67" t="s">
        <v>3023</v>
      </c>
      <c r="W67" t="s">
        <v>3461</v>
      </c>
      <c r="X67" t="s">
        <v>3462</v>
      </c>
      <c r="Y67" t="s">
        <v>3248</v>
      </c>
      <c r="Z67" t="s">
        <v>463</v>
      </c>
      <c r="AA67" t="s">
        <v>3527</v>
      </c>
      <c r="AB67" t="s">
        <v>3528</v>
      </c>
      <c r="AC67" t="s">
        <v>2829</v>
      </c>
      <c r="AD67" t="s">
        <v>2883</v>
      </c>
      <c r="AE67" t="s">
        <v>2831</v>
      </c>
      <c r="AF67" t="s">
        <v>3529</v>
      </c>
      <c r="AG67" t="s">
        <v>3529</v>
      </c>
      <c r="AH67" t="s">
        <v>2834</v>
      </c>
      <c r="AI67" t="s">
        <v>2835</v>
      </c>
      <c r="AJ67" t="s">
        <v>3044</v>
      </c>
      <c r="AK67" t="s">
        <v>3466</v>
      </c>
      <c r="AL67" t="s">
        <v>3527</v>
      </c>
      <c r="AM67" t="s">
        <v>3528</v>
      </c>
      <c r="AN67" t="s">
        <v>2829</v>
      </c>
      <c r="AO67" t="s">
        <v>2839</v>
      </c>
      <c r="AP67" t="s">
        <v>2840</v>
      </c>
      <c r="AQ67" t="s">
        <v>2841</v>
      </c>
      <c r="AR67" t="s">
        <v>3530</v>
      </c>
      <c r="AS67" t="s">
        <v>3530</v>
      </c>
      <c r="AT67" t="s">
        <v>2829</v>
      </c>
      <c r="AU67" t="s">
        <v>2829</v>
      </c>
      <c r="AV67" t="s">
        <v>2829</v>
      </c>
      <c r="AW67" t="s">
        <v>2829</v>
      </c>
      <c r="AX67" t="s">
        <v>2829</v>
      </c>
      <c r="AY67" t="s">
        <v>2829</v>
      </c>
      <c r="AZ67" t="s">
        <v>2829</v>
      </c>
      <c r="BA67" t="s">
        <v>2829</v>
      </c>
      <c r="BB67" t="s">
        <v>2829</v>
      </c>
      <c r="BC67" t="s">
        <v>2829</v>
      </c>
      <c r="BD67" t="s">
        <v>2829</v>
      </c>
      <c r="BE67" t="s">
        <v>243</v>
      </c>
      <c r="BF67" t="s">
        <v>243</v>
      </c>
      <c r="BG67" t="s">
        <v>243</v>
      </c>
      <c r="BH67" t="s">
        <v>243</v>
      </c>
      <c r="BI67" t="s">
        <v>243</v>
      </c>
      <c r="BJ67" t="s">
        <v>2829</v>
      </c>
      <c r="BK67" t="s">
        <v>243</v>
      </c>
      <c r="BL67" t="s">
        <v>243</v>
      </c>
      <c r="BM67" t="s">
        <v>243</v>
      </c>
      <c r="BN67" t="s">
        <v>243</v>
      </c>
      <c r="BO67" t="s">
        <v>243</v>
      </c>
      <c r="BP67" t="s">
        <v>3530</v>
      </c>
      <c r="BQ67" t="s">
        <v>3530</v>
      </c>
      <c r="BR67" t="s">
        <v>243</v>
      </c>
      <c r="BS67" t="s">
        <v>243</v>
      </c>
      <c r="BT67" t="s">
        <v>243</v>
      </c>
      <c r="BU67" t="s">
        <v>243</v>
      </c>
      <c r="BV67" t="s">
        <v>2829</v>
      </c>
      <c r="BW67" t="s">
        <v>243</v>
      </c>
      <c r="BX67" t="s">
        <v>243</v>
      </c>
      <c r="BY67" t="s">
        <v>243</v>
      </c>
      <c r="BZ67" t="s">
        <v>243</v>
      </c>
      <c r="CA67" t="s">
        <v>243</v>
      </c>
      <c r="CB67" t="s">
        <v>2829</v>
      </c>
      <c r="CC67" t="s">
        <v>243</v>
      </c>
      <c r="CD67" t="s">
        <v>243</v>
      </c>
      <c r="CE67" t="s">
        <v>243</v>
      </c>
      <c r="CF67" t="s">
        <v>243</v>
      </c>
      <c r="CG67" t="s">
        <v>243</v>
      </c>
      <c r="CH67" t="s">
        <v>2829</v>
      </c>
      <c r="CI67" t="s">
        <v>243</v>
      </c>
      <c r="CJ67" t="s">
        <v>243</v>
      </c>
      <c r="CK67" t="s">
        <v>243</v>
      </c>
      <c r="CL67" t="s">
        <v>243</v>
      </c>
      <c r="CM67" t="s">
        <v>243</v>
      </c>
      <c r="CN67" t="s">
        <v>3041</v>
      </c>
      <c r="CO67" t="s">
        <v>2843</v>
      </c>
      <c r="CP67" t="s">
        <v>2844</v>
      </c>
      <c r="CQ67" t="s">
        <v>430</v>
      </c>
      <c r="CR67" t="s">
        <v>3033</v>
      </c>
      <c r="CS67" t="s">
        <v>431</v>
      </c>
      <c r="CT67" t="s">
        <v>430</v>
      </c>
      <c r="CU67" t="s">
        <v>3034</v>
      </c>
      <c r="CV67" t="s">
        <v>432</v>
      </c>
      <c r="CW67" t="s">
        <v>3033</v>
      </c>
      <c r="CX67" t="s">
        <v>2848</v>
      </c>
      <c r="CY67" t="s">
        <v>3531</v>
      </c>
    </row>
    <row r="68" spans="1:103" ht="11.25" customHeight="1">
      <c r="A68" t="s">
        <v>243</v>
      </c>
      <c r="B68" t="s">
        <v>243</v>
      </c>
      <c r="C68" t="s">
        <v>243</v>
      </c>
      <c r="D68" t="s">
        <v>243</v>
      </c>
      <c r="E68" t="s">
        <v>243</v>
      </c>
      <c r="F68" t="s">
        <v>2816</v>
      </c>
      <c r="G68" t="s">
        <v>243</v>
      </c>
      <c r="H68" t="s">
        <v>243</v>
      </c>
      <c r="I68" t="s">
        <v>3532</v>
      </c>
      <c r="J68" t="s">
        <v>243</v>
      </c>
      <c r="K68" t="s">
        <v>458</v>
      </c>
      <c r="L68" t="s">
        <v>243</v>
      </c>
      <c r="M68" t="s">
        <v>114</v>
      </c>
      <c r="N68" t="s">
        <v>243</v>
      </c>
      <c r="O68" t="s">
        <v>2819</v>
      </c>
      <c r="P68" t="s">
        <v>2820</v>
      </c>
      <c r="Q68" t="s">
        <v>2821</v>
      </c>
      <c r="R68" t="s">
        <v>200</v>
      </c>
      <c r="S68" t="s">
        <v>200</v>
      </c>
      <c r="T68" t="s">
        <v>405</v>
      </c>
      <c r="U68" t="s">
        <v>405</v>
      </c>
      <c r="V68" t="s">
        <v>406</v>
      </c>
      <c r="W68" t="s">
        <v>3155</v>
      </c>
      <c r="X68" t="s">
        <v>3156</v>
      </c>
      <c r="Y68" t="s">
        <v>2918</v>
      </c>
      <c r="Z68" t="s">
        <v>3533</v>
      </c>
      <c r="AA68" t="s">
        <v>3385</v>
      </c>
      <c r="AB68" t="s">
        <v>3534</v>
      </c>
      <c r="AC68" t="s">
        <v>243</v>
      </c>
      <c r="AD68" t="s">
        <v>2883</v>
      </c>
      <c r="AE68" t="s">
        <v>2831</v>
      </c>
      <c r="AF68" t="s">
        <v>3401</v>
      </c>
      <c r="AG68" t="s">
        <v>3401</v>
      </c>
      <c r="AH68" t="s">
        <v>2834</v>
      </c>
      <c r="AI68" t="s">
        <v>2835</v>
      </c>
      <c r="AJ68" t="s">
        <v>2888</v>
      </c>
      <c r="AK68" t="s">
        <v>3450</v>
      </c>
      <c r="AL68" t="s">
        <v>3385</v>
      </c>
      <c r="AM68" t="s">
        <v>3534</v>
      </c>
      <c r="AN68" t="s">
        <v>243</v>
      </c>
      <c r="AO68" t="s">
        <v>2839</v>
      </c>
      <c r="AP68" t="s">
        <v>2840</v>
      </c>
      <c r="AQ68" t="s">
        <v>2841</v>
      </c>
      <c r="AR68" t="s">
        <v>3535</v>
      </c>
      <c r="AS68" t="s">
        <v>3535</v>
      </c>
      <c r="AT68" t="s">
        <v>2829</v>
      </c>
      <c r="AU68" t="s">
        <v>2829</v>
      </c>
      <c r="AV68" t="s">
        <v>2829</v>
      </c>
      <c r="AW68" t="s">
        <v>2829</v>
      </c>
      <c r="AX68" t="s">
        <v>2829</v>
      </c>
      <c r="AY68" t="s">
        <v>2829</v>
      </c>
      <c r="AZ68" t="s">
        <v>2829</v>
      </c>
      <c r="BA68" t="s">
        <v>2829</v>
      </c>
      <c r="BB68" t="s">
        <v>2829</v>
      </c>
      <c r="BC68" t="s">
        <v>2829</v>
      </c>
      <c r="BD68" t="s">
        <v>3535</v>
      </c>
      <c r="BE68" t="s">
        <v>3535</v>
      </c>
      <c r="BF68" t="s">
        <v>243</v>
      </c>
      <c r="BG68" t="s">
        <v>243</v>
      </c>
      <c r="BH68" t="s">
        <v>243</v>
      </c>
      <c r="BI68" t="s">
        <v>243</v>
      </c>
      <c r="BJ68" t="s">
        <v>2829</v>
      </c>
      <c r="BK68" t="s">
        <v>243</v>
      </c>
      <c r="BL68" t="s">
        <v>243</v>
      </c>
      <c r="BM68" t="s">
        <v>243</v>
      </c>
      <c r="BN68" t="s">
        <v>243</v>
      </c>
      <c r="BO68" t="s">
        <v>243</v>
      </c>
      <c r="BP68" t="s">
        <v>2829</v>
      </c>
      <c r="BQ68" t="s">
        <v>243</v>
      </c>
      <c r="BR68" t="s">
        <v>243</v>
      </c>
      <c r="BS68" t="s">
        <v>243</v>
      </c>
      <c r="BT68" t="s">
        <v>243</v>
      </c>
      <c r="BU68" t="s">
        <v>243</v>
      </c>
      <c r="BV68" t="s">
        <v>2829</v>
      </c>
      <c r="BW68" t="s">
        <v>243</v>
      </c>
      <c r="BX68" t="s">
        <v>243</v>
      </c>
      <c r="BY68" t="s">
        <v>243</v>
      </c>
      <c r="BZ68" t="s">
        <v>243</v>
      </c>
      <c r="CA68" t="s">
        <v>243</v>
      </c>
      <c r="CB68" t="s">
        <v>2829</v>
      </c>
      <c r="CC68" t="s">
        <v>243</v>
      </c>
      <c r="CD68" t="s">
        <v>243</v>
      </c>
      <c r="CE68" t="s">
        <v>243</v>
      </c>
      <c r="CF68" t="s">
        <v>243</v>
      </c>
      <c r="CG68" t="s">
        <v>243</v>
      </c>
      <c r="CH68" t="s">
        <v>2829</v>
      </c>
      <c r="CI68" t="s">
        <v>243</v>
      </c>
      <c r="CJ68" t="s">
        <v>243</v>
      </c>
      <c r="CK68" t="s">
        <v>243</v>
      </c>
      <c r="CL68" t="s">
        <v>243</v>
      </c>
      <c r="CM68" t="s">
        <v>243</v>
      </c>
      <c r="CN68" t="s">
        <v>2888</v>
      </c>
      <c r="CO68" t="s">
        <v>2843</v>
      </c>
      <c r="CP68" t="s">
        <v>2844</v>
      </c>
      <c r="CQ68" t="s">
        <v>470</v>
      </c>
      <c r="CR68" t="s">
        <v>2872</v>
      </c>
      <c r="CS68" t="s">
        <v>431</v>
      </c>
      <c r="CT68" t="s">
        <v>470</v>
      </c>
      <c r="CU68" t="s">
        <v>444</v>
      </c>
      <c r="CV68" t="s">
        <v>445</v>
      </c>
      <c r="CW68" t="s">
        <v>2872</v>
      </c>
      <c r="CX68" t="s">
        <v>2848</v>
      </c>
      <c r="CY68" t="s">
        <v>459</v>
      </c>
    </row>
    <row r="69" spans="1:103" ht="11.25" customHeight="1">
      <c r="A69" t="s">
        <v>243</v>
      </c>
      <c r="B69" t="s">
        <v>243</v>
      </c>
      <c r="C69" t="s">
        <v>243</v>
      </c>
      <c r="D69" t="s">
        <v>243</v>
      </c>
      <c r="E69" t="s">
        <v>243</v>
      </c>
      <c r="F69" t="s">
        <v>2816</v>
      </c>
      <c r="G69" t="s">
        <v>243</v>
      </c>
      <c r="H69" t="s">
        <v>243</v>
      </c>
      <c r="I69" t="s">
        <v>3322</v>
      </c>
      <c r="J69" t="s">
        <v>243</v>
      </c>
      <c r="K69" t="s">
        <v>461</v>
      </c>
      <c r="L69" t="s">
        <v>243</v>
      </c>
      <c r="M69" t="s">
        <v>114</v>
      </c>
      <c r="N69" t="s">
        <v>243</v>
      </c>
      <c r="O69" t="s">
        <v>2819</v>
      </c>
      <c r="P69" t="s">
        <v>2820</v>
      </c>
      <c r="Q69" t="s">
        <v>2821</v>
      </c>
      <c r="R69" t="s">
        <v>200</v>
      </c>
      <c r="S69" t="s">
        <v>200</v>
      </c>
      <c r="T69" t="s">
        <v>405</v>
      </c>
      <c r="U69" t="s">
        <v>405</v>
      </c>
      <c r="V69" t="s">
        <v>406</v>
      </c>
      <c r="W69" t="s">
        <v>3155</v>
      </c>
      <c r="X69" t="s">
        <v>3156</v>
      </c>
      <c r="Y69" t="s">
        <v>3536</v>
      </c>
      <c r="Z69" t="s">
        <v>3537</v>
      </c>
      <c r="AA69" t="s">
        <v>3094</v>
      </c>
      <c r="AB69" t="s">
        <v>3183</v>
      </c>
      <c r="AC69" t="s">
        <v>243</v>
      </c>
      <c r="AD69" t="s">
        <v>2883</v>
      </c>
      <c r="AE69" t="s">
        <v>2831</v>
      </c>
      <c r="AF69" t="s">
        <v>3401</v>
      </c>
      <c r="AG69" t="s">
        <v>3401</v>
      </c>
      <c r="AH69" t="s">
        <v>2834</v>
      </c>
      <c r="AI69" t="s">
        <v>2835</v>
      </c>
      <c r="AJ69" t="s">
        <v>2888</v>
      </c>
      <c r="AK69" t="s">
        <v>3450</v>
      </c>
      <c r="AL69" t="s">
        <v>3094</v>
      </c>
      <c r="AM69" t="s">
        <v>3183</v>
      </c>
      <c r="AN69" t="s">
        <v>243</v>
      </c>
      <c r="AO69" t="s">
        <v>2839</v>
      </c>
      <c r="AP69" t="s">
        <v>2840</v>
      </c>
      <c r="AQ69" t="s">
        <v>2841</v>
      </c>
      <c r="AR69" t="s">
        <v>3538</v>
      </c>
      <c r="AS69" t="s">
        <v>3538</v>
      </c>
      <c r="AT69" t="s">
        <v>2829</v>
      </c>
      <c r="AU69" t="s">
        <v>2829</v>
      </c>
      <c r="AV69" t="s">
        <v>2829</v>
      </c>
      <c r="AW69" t="s">
        <v>2829</v>
      </c>
      <c r="AX69" t="s">
        <v>2829</v>
      </c>
      <c r="AY69" t="s">
        <v>2829</v>
      </c>
      <c r="AZ69" t="s">
        <v>2829</v>
      </c>
      <c r="BA69" t="s">
        <v>2829</v>
      </c>
      <c r="BB69" t="s">
        <v>2829</v>
      </c>
      <c r="BC69" t="s">
        <v>2829</v>
      </c>
      <c r="BD69" t="s">
        <v>3538</v>
      </c>
      <c r="BE69" t="s">
        <v>3538</v>
      </c>
      <c r="BF69" t="s">
        <v>243</v>
      </c>
      <c r="BG69" t="s">
        <v>243</v>
      </c>
      <c r="BH69" t="s">
        <v>243</v>
      </c>
      <c r="BI69" t="s">
        <v>243</v>
      </c>
      <c r="BJ69" t="s">
        <v>2829</v>
      </c>
      <c r="BK69" t="s">
        <v>243</v>
      </c>
      <c r="BL69" t="s">
        <v>243</v>
      </c>
      <c r="BM69" t="s">
        <v>243</v>
      </c>
      <c r="BN69" t="s">
        <v>243</v>
      </c>
      <c r="BO69" t="s">
        <v>243</v>
      </c>
      <c r="BP69" t="s">
        <v>2829</v>
      </c>
      <c r="BQ69" t="s">
        <v>243</v>
      </c>
      <c r="BR69" t="s">
        <v>243</v>
      </c>
      <c r="BS69" t="s">
        <v>243</v>
      </c>
      <c r="BT69" t="s">
        <v>243</v>
      </c>
      <c r="BU69" t="s">
        <v>243</v>
      </c>
      <c r="BV69" t="s">
        <v>2829</v>
      </c>
      <c r="BW69" t="s">
        <v>243</v>
      </c>
      <c r="BX69" t="s">
        <v>243</v>
      </c>
      <c r="BY69" t="s">
        <v>243</v>
      </c>
      <c r="BZ69" t="s">
        <v>243</v>
      </c>
      <c r="CA69" t="s">
        <v>243</v>
      </c>
      <c r="CB69" t="s">
        <v>2829</v>
      </c>
      <c r="CC69" t="s">
        <v>243</v>
      </c>
      <c r="CD69" t="s">
        <v>243</v>
      </c>
      <c r="CE69" t="s">
        <v>243</v>
      </c>
      <c r="CF69" t="s">
        <v>243</v>
      </c>
      <c r="CG69" t="s">
        <v>243</v>
      </c>
      <c r="CH69" t="s">
        <v>2829</v>
      </c>
      <c r="CI69" t="s">
        <v>243</v>
      </c>
      <c r="CJ69" t="s">
        <v>243</v>
      </c>
      <c r="CK69" t="s">
        <v>243</v>
      </c>
      <c r="CL69" t="s">
        <v>243</v>
      </c>
      <c r="CM69" t="s">
        <v>243</v>
      </c>
      <c r="CN69" t="s">
        <v>2888</v>
      </c>
      <c r="CO69" t="s">
        <v>2843</v>
      </c>
      <c r="CP69" t="s">
        <v>2844</v>
      </c>
      <c r="CQ69" t="s">
        <v>470</v>
      </c>
      <c r="CR69" t="s">
        <v>2872</v>
      </c>
      <c r="CS69" t="s">
        <v>431</v>
      </c>
      <c r="CT69" t="s">
        <v>470</v>
      </c>
      <c r="CU69" t="s">
        <v>444</v>
      </c>
      <c r="CV69" t="s">
        <v>445</v>
      </c>
      <c r="CW69" t="s">
        <v>2872</v>
      </c>
      <c r="CX69" t="s">
        <v>2848</v>
      </c>
      <c r="CY69" t="s">
        <v>462</v>
      </c>
    </row>
    <row r="70" spans="1:103" ht="11.25" customHeight="1">
      <c r="A70" t="s">
        <v>243</v>
      </c>
      <c r="B70" t="s">
        <v>243</v>
      </c>
      <c r="C70" t="s">
        <v>243</v>
      </c>
      <c r="D70" t="s">
        <v>243</v>
      </c>
      <c r="E70" t="s">
        <v>243</v>
      </c>
      <c r="F70" t="s">
        <v>2816</v>
      </c>
      <c r="G70" t="s">
        <v>243</v>
      </c>
      <c r="H70" t="s">
        <v>243</v>
      </c>
      <c r="I70" t="s">
        <v>3539</v>
      </c>
      <c r="J70" t="s">
        <v>243</v>
      </c>
      <c r="K70" t="s">
        <v>3487</v>
      </c>
      <c r="L70" t="s">
        <v>243</v>
      </c>
      <c r="M70" t="s">
        <v>114</v>
      </c>
      <c r="N70" t="s">
        <v>243</v>
      </c>
      <c r="O70" t="s">
        <v>2819</v>
      </c>
      <c r="P70" t="s">
        <v>2820</v>
      </c>
      <c r="Q70" t="s">
        <v>2821</v>
      </c>
      <c r="R70" t="s">
        <v>200</v>
      </c>
      <c r="S70" t="s">
        <v>200</v>
      </c>
      <c r="T70" t="s">
        <v>2933</v>
      </c>
      <c r="U70" t="s">
        <v>2933</v>
      </c>
      <c r="V70" t="s">
        <v>2934</v>
      </c>
      <c r="W70" t="s">
        <v>2935</v>
      </c>
      <c r="X70" t="s">
        <v>2936</v>
      </c>
      <c r="Y70" t="s">
        <v>3540</v>
      </c>
      <c r="Z70" t="s">
        <v>2817</v>
      </c>
      <c r="AA70" t="s">
        <v>2836</v>
      </c>
      <c r="AB70" t="s">
        <v>3541</v>
      </c>
      <c r="AC70" t="s">
        <v>2829</v>
      </c>
      <c r="AD70" t="s">
        <v>2830</v>
      </c>
      <c r="AE70" t="s">
        <v>2831</v>
      </c>
      <c r="AF70" t="s">
        <v>3542</v>
      </c>
      <c r="AG70" t="s">
        <v>3542</v>
      </c>
      <c r="AH70" t="s">
        <v>2834</v>
      </c>
      <c r="AI70" t="s">
        <v>2887</v>
      </c>
      <c r="AJ70" t="s">
        <v>2942</v>
      </c>
      <c r="AK70" t="s">
        <v>3543</v>
      </c>
      <c r="AL70" t="s">
        <v>2836</v>
      </c>
      <c r="AM70" t="s">
        <v>3541</v>
      </c>
      <c r="AN70" t="s">
        <v>243</v>
      </c>
      <c r="AO70" t="s">
        <v>2839</v>
      </c>
      <c r="AP70" t="s">
        <v>3544</v>
      </c>
      <c r="AQ70" t="s">
        <v>2841</v>
      </c>
      <c r="AR70" t="s">
        <v>3545</v>
      </c>
      <c r="AS70" t="s">
        <v>3545</v>
      </c>
      <c r="AT70" t="s">
        <v>2829</v>
      </c>
      <c r="AU70" t="s">
        <v>2829</v>
      </c>
      <c r="AV70" t="s">
        <v>2829</v>
      </c>
      <c r="AW70" t="s">
        <v>2829</v>
      </c>
      <c r="AX70" t="s">
        <v>3546</v>
      </c>
      <c r="AY70" t="s">
        <v>3546</v>
      </c>
      <c r="AZ70" t="s">
        <v>2829</v>
      </c>
      <c r="BA70" t="s">
        <v>2829</v>
      </c>
      <c r="BB70" t="s">
        <v>2829</v>
      </c>
      <c r="BC70" t="s">
        <v>2829</v>
      </c>
      <c r="BD70" t="s">
        <v>3547</v>
      </c>
      <c r="BE70" t="s">
        <v>3547</v>
      </c>
      <c r="BF70" t="s">
        <v>243</v>
      </c>
      <c r="BG70" t="s">
        <v>243</v>
      </c>
      <c r="BH70" t="s">
        <v>243</v>
      </c>
      <c r="BI70" t="s">
        <v>243</v>
      </c>
      <c r="BJ70" t="s">
        <v>3548</v>
      </c>
      <c r="BK70" t="s">
        <v>3548</v>
      </c>
      <c r="BL70" t="s">
        <v>243</v>
      </c>
      <c r="BM70" t="s">
        <v>243</v>
      </c>
      <c r="BN70" t="s">
        <v>243</v>
      </c>
      <c r="BO70" t="s">
        <v>243</v>
      </c>
      <c r="BP70" t="s">
        <v>3054</v>
      </c>
      <c r="BQ70" t="s">
        <v>3054</v>
      </c>
      <c r="BR70" t="s">
        <v>243</v>
      </c>
      <c r="BS70" t="s">
        <v>243</v>
      </c>
      <c r="BT70" t="s">
        <v>243</v>
      </c>
      <c r="BU70" t="s">
        <v>243</v>
      </c>
      <c r="BV70" t="s">
        <v>3054</v>
      </c>
      <c r="BW70" t="s">
        <v>3054</v>
      </c>
      <c r="BX70" t="s">
        <v>243</v>
      </c>
      <c r="BY70" t="s">
        <v>243</v>
      </c>
      <c r="BZ70" t="s">
        <v>243</v>
      </c>
      <c r="CA70" t="s">
        <v>243</v>
      </c>
      <c r="CB70" t="s">
        <v>2829</v>
      </c>
      <c r="CC70" t="s">
        <v>243</v>
      </c>
      <c r="CD70" t="s">
        <v>243</v>
      </c>
      <c r="CE70" t="s">
        <v>243</v>
      </c>
      <c r="CF70" t="s">
        <v>243</v>
      </c>
      <c r="CG70" t="s">
        <v>243</v>
      </c>
      <c r="CH70" t="s">
        <v>2829</v>
      </c>
      <c r="CI70" t="s">
        <v>243</v>
      </c>
      <c r="CJ70" t="s">
        <v>243</v>
      </c>
      <c r="CK70" t="s">
        <v>243</v>
      </c>
      <c r="CL70" t="s">
        <v>243</v>
      </c>
      <c r="CM70" t="s">
        <v>243</v>
      </c>
      <c r="CN70" t="s">
        <v>2942</v>
      </c>
      <c r="CO70" t="s">
        <v>2843</v>
      </c>
      <c r="CP70" t="s">
        <v>2844</v>
      </c>
      <c r="CQ70" t="s">
        <v>430</v>
      </c>
      <c r="CR70" t="s">
        <v>2947</v>
      </c>
      <c r="CS70" t="s">
        <v>431</v>
      </c>
      <c r="CT70" t="s">
        <v>430</v>
      </c>
      <c r="CU70" t="s">
        <v>2948</v>
      </c>
      <c r="CV70" t="s">
        <v>2949</v>
      </c>
      <c r="CW70" t="s">
        <v>2947</v>
      </c>
      <c r="CX70" t="s">
        <v>2848</v>
      </c>
      <c r="CY70" t="s">
        <v>3549</v>
      </c>
    </row>
    <row r="71" spans="1:103" ht="11.25" customHeight="1">
      <c r="A71" t="s">
        <v>243</v>
      </c>
      <c r="B71" t="s">
        <v>243</v>
      </c>
      <c r="C71" t="s">
        <v>243</v>
      </c>
      <c r="D71" t="s">
        <v>243</v>
      </c>
      <c r="E71" t="s">
        <v>243</v>
      </c>
      <c r="F71" t="s">
        <v>2816</v>
      </c>
      <c r="G71" t="s">
        <v>243</v>
      </c>
      <c r="H71" t="s">
        <v>243</v>
      </c>
      <c r="I71" t="s">
        <v>3550</v>
      </c>
      <c r="J71" t="s">
        <v>243</v>
      </c>
      <c r="K71" t="s">
        <v>3551</v>
      </c>
      <c r="L71" t="s">
        <v>243</v>
      </c>
      <c r="M71" t="s">
        <v>114</v>
      </c>
      <c r="N71" t="s">
        <v>243</v>
      </c>
      <c r="O71" t="s">
        <v>2819</v>
      </c>
      <c r="P71" t="s">
        <v>2820</v>
      </c>
      <c r="Q71" t="s">
        <v>2821</v>
      </c>
      <c r="R71" t="s">
        <v>200</v>
      </c>
      <c r="S71" t="s">
        <v>200</v>
      </c>
      <c r="T71" t="s">
        <v>2933</v>
      </c>
      <c r="U71" t="s">
        <v>2933</v>
      </c>
      <c r="V71" t="s">
        <v>2934</v>
      </c>
      <c r="W71" t="s">
        <v>2935</v>
      </c>
      <c r="X71" t="s">
        <v>2936</v>
      </c>
      <c r="Y71" t="s">
        <v>3552</v>
      </c>
      <c r="Z71" t="s">
        <v>3553</v>
      </c>
      <c r="AA71" t="s">
        <v>2942</v>
      </c>
      <c r="AB71" t="s">
        <v>3554</v>
      </c>
      <c r="AC71" t="s">
        <v>2829</v>
      </c>
      <c r="AD71" t="s">
        <v>2883</v>
      </c>
      <c r="AE71" t="s">
        <v>2831</v>
      </c>
      <c r="AF71" t="s">
        <v>3555</v>
      </c>
      <c r="AG71" t="s">
        <v>3555</v>
      </c>
      <c r="AH71" t="s">
        <v>2834</v>
      </c>
      <c r="AI71" t="s">
        <v>2835</v>
      </c>
      <c r="AJ71" t="s">
        <v>2942</v>
      </c>
      <c r="AK71" t="s">
        <v>3556</v>
      </c>
      <c r="AL71" t="s">
        <v>2942</v>
      </c>
      <c r="AM71" t="s">
        <v>3557</v>
      </c>
      <c r="AN71" t="s">
        <v>243</v>
      </c>
      <c r="AO71" t="s">
        <v>2839</v>
      </c>
      <c r="AP71" t="s">
        <v>2840</v>
      </c>
      <c r="AQ71" t="s">
        <v>2841</v>
      </c>
      <c r="AR71" t="s">
        <v>3558</v>
      </c>
      <c r="AS71" t="s">
        <v>3559</v>
      </c>
      <c r="AT71" t="s">
        <v>3560</v>
      </c>
      <c r="AU71" t="s">
        <v>2829</v>
      </c>
      <c r="AV71" t="s">
        <v>2829</v>
      </c>
      <c r="AW71" t="s">
        <v>2829</v>
      </c>
      <c r="AX71" t="s">
        <v>2829</v>
      </c>
      <c r="AY71" t="s">
        <v>2829</v>
      </c>
      <c r="AZ71" t="s">
        <v>2829</v>
      </c>
      <c r="BA71" t="s">
        <v>2829</v>
      </c>
      <c r="BB71" t="s">
        <v>2829</v>
      </c>
      <c r="BC71" t="s">
        <v>2829</v>
      </c>
      <c r="BD71" t="s">
        <v>3561</v>
      </c>
      <c r="BE71" t="s">
        <v>3562</v>
      </c>
      <c r="BF71" t="s">
        <v>3277</v>
      </c>
      <c r="BG71" t="s">
        <v>243</v>
      </c>
      <c r="BH71" t="s">
        <v>243</v>
      </c>
      <c r="BI71" t="s">
        <v>243</v>
      </c>
      <c r="BJ71" t="s">
        <v>2829</v>
      </c>
      <c r="BK71" t="s">
        <v>243</v>
      </c>
      <c r="BL71" t="s">
        <v>243</v>
      </c>
      <c r="BM71" t="s">
        <v>243</v>
      </c>
      <c r="BN71" t="s">
        <v>243</v>
      </c>
      <c r="BO71" t="s">
        <v>243</v>
      </c>
      <c r="BP71" t="s">
        <v>3563</v>
      </c>
      <c r="BQ71" t="s">
        <v>3564</v>
      </c>
      <c r="BR71" t="s">
        <v>3203</v>
      </c>
      <c r="BS71" t="s">
        <v>243</v>
      </c>
      <c r="BT71" t="s">
        <v>243</v>
      </c>
      <c r="BU71" t="s">
        <v>243</v>
      </c>
      <c r="BV71" t="s">
        <v>2829</v>
      </c>
      <c r="BW71" t="s">
        <v>243</v>
      </c>
      <c r="BX71" t="s">
        <v>243</v>
      </c>
      <c r="BY71" t="s">
        <v>243</v>
      </c>
      <c r="BZ71" t="s">
        <v>243</v>
      </c>
      <c r="CA71" t="s">
        <v>243</v>
      </c>
      <c r="CB71" t="s">
        <v>2829</v>
      </c>
      <c r="CC71" t="s">
        <v>243</v>
      </c>
      <c r="CD71" t="s">
        <v>243</v>
      </c>
      <c r="CE71" t="s">
        <v>243</v>
      </c>
      <c r="CF71" t="s">
        <v>243</v>
      </c>
      <c r="CG71" t="s">
        <v>243</v>
      </c>
      <c r="CH71" t="s">
        <v>2829</v>
      </c>
      <c r="CI71" t="s">
        <v>243</v>
      </c>
      <c r="CJ71" t="s">
        <v>243</v>
      </c>
      <c r="CK71" t="s">
        <v>243</v>
      </c>
      <c r="CL71" t="s">
        <v>243</v>
      </c>
      <c r="CM71" t="s">
        <v>243</v>
      </c>
      <c r="CN71" t="s">
        <v>2942</v>
      </c>
      <c r="CO71" t="s">
        <v>2843</v>
      </c>
      <c r="CP71" t="s">
        <v>2844</v>
      </c>
      <c r="CQ71" t="s">
        <v>430</v>
      </c>
      <c r="CR71" t="s">
        <v>2947</v>
      </c>
      <c r="CS71" t="s">
        <v>431</v>
      </c>
      <c r="CT71" t="s">
        <v>430</v>
      </c>
      <c r="CU71" t="s">
        <v>2948</v>
      </c>
      <c r="CV71" t="s">
        <v>2949</v>
      </c>
      <c r="CW71" t="s">
        <v>2947</v>
      </c>
      <c r="CX71" t="s">
        <v>2848</v>
      </c>
      <c r="CY71" t="s">
        <v>3565</v>
      </c>
    </row>
    <row r="72" spans="1:103" ht="11.25" customHeight="1">
      <c r="A72" t="s">
        <v>243</v>
      </c>
      <c r="B72" t="s">
        <v>243</v>
      </c>
      <c r="C72" t="s">
        <v>243</v>
      </c>
      <c r="D72" t="s">
        <v>243</v>
      </c>
      <c r="E72" t="s">
        <v>243</v>
      </c>
      <c r="F72" t="s">
        <v>2816</v>
      </c>
      <c r="G72" t="s">
        <v>243</v>
      </c>
      <c r="H72" t="s">
        <v>243</v>
      </c>
      <c r="I72" t="s">
        <v>3566</v>
      </c>
      <c r="J72" t="s">
        <v>243</v>
      </c>
      <c r="K72" t="s">
        <v>3567</v>
      </c>
      <c r="L72" t="s">
        <v>243</v>
      </c>
      <c r="M72" t="s">
        <v>114</v>
      </c>
      <c r="N72" t="s">
        <v>243</v>
      </c>
      <c r="O72" t="s">
        <v>2819</v>
      </c>
      <c r="P72" t="s">
        <v>2820</v>
      </c>
      <c r="Q72" t="s">
        <v>2821</v>
      </c>
      <c r="R72" t="s">
        <v>200</v>
      </c>
      <c r="S72" t="s">
        <v>200</v>
      </c>
      <c r="T72" t="s">
        <v>2968</v>
      </c>
      <c r="U72" t="s">
        <v>2968</v>
      </c>
      <c r="V72" t="s">
        <v>2969</v>
      </c>
      <c r="W72" t="s">
        <v>3568</v>
      </c>
      <c r="X72" t="s">
        <v>3569</v>
      </c>
      <c r="Y72" t="s">
        <v>3570</v>
      </c>
      <c r="Z72" t="s">
        <v>443</v>
      </c>
      <c r="AA72" t="s">
        <v>2994</v>
      </c>
      <c r="AB72" t="s">
        <v>2995</v>
      </c>
      <c r="AC72" t="s">
        <v>2829</v>
      </c>
      <c r="AD72" t="s">
        <v>2883</v>
      </c>
      <c r="AE72" t="s">
        <v>2857</v>
      </c>
      <c r="AF72" t="s">
        <v>3571</v>
      </c>
      <c r="AG72" t="s">
        <v>3571</v>
      </c>
      <c r="AH72" t="s">
        <v>2834</v>
      </c>
      <c r="AI72" t="s">
        <v>2835</v>
      </c>
      <c r="AJ72" t="s">
        <v>3572</v>
      </c>
      <c r="AK72" t="s">
        <v>3425</v>
      </c>
      <c r="AL72" t="s">
        <v>2994</v>
      </c>
      <c r="AM72" t="s">
        <v>2995</v>
      </c>
      <c r="AN72" t="s">
        <v>2829</v>
      </c>
      <c r="AO72" t="s">
        <v>2839</v>
      </c>
      <c r="AP72" t="s">
        <v>2840</v>
      </c>
      <c r="AQ72" t="s">
        <v>2841</v>
      </c>
      <c r="AR72" t="s">
        <v>3573</v>
      </c>
      <c r="AS72" t="s">
        <v>3573</v>
      </c>
      <c r="AT72" t="s">
        <v>2829</v>
      </c>
      <c r="AU72" t="s">
        <v>2829</v>
      </c>
      <c r="AV72" t="s">
        <v>2829</v>
      </c>
      <c r="AW72" t="s">
        <v>2829</v>
      </c>
      <c r="AX72" t="s">
        <v>2829</v>
      </c>
      <c r="AY72" t="s">
        <v>2829</v>
      </c>
      <c r="AZ72" t="s">
        <v>2829</v>
      </c>
      <c r="BA72" t="s">
        <v>2829</v>
      </c>
      <c r="BB72" t="s">
        <v>2829</v>
      </c>
      <c r="BC72" t="s">
        <v>2829</v>
      </c>
      <c r="BD72" t="s">
        <v>2829</v>
      </c>
      <c r="BE72" t="s">
        <v>243</v>
      </c>
      <c r="BF72" t="s">
        <v>243</v>
      </c>
      <c r="BG72" t="s">
        <v>243</v>
      </c>
      <c r="BH72" t="s">
        <v>243</v>
      </c>
      <c r="BI72" t="s">
        <v>243</v>
      </c>
      <c r="BJ72" t="s">
        <v>2829</v>
      </c>
      <c r="BK72" t="s">
        <v>243</v>
      </c>
      <c r="BL72" t="s">
        <v>243</v>
      </c>
      <c r="BM72" t="s">
        <v>243</v>
      </c>
      <c r="BN72" t="s">
        <v>243</v>
      </c>
      <c r="BO72" t="s">
        <v>243</v>
      </c>
      <c r="BP72" t="s">
        <v>3573</v>
      </c>
      <c r="BQ72" t="s">
        <v>3573</v>
      </c>
      <c r="BR72" t="s">
        <v>243</v>
      </c>
      <c r="BS72" t="s">
        <v>243</v>
      </c>
      <c r="BT72" t="s">
        <v>243</v>
      </c>
      <c r="BU72" t="s">
        <v>243</v>
      </c>
      <c r="BV72" t="s">
        <v>2829</v>
      </c>
      <c r="BW72" t="s">
        <v>243</v>
      </c>
      <c r="BX72" t="s">
        <v>243</v>
      </c>
      <c r="BY72" t="s">
        <v>243</v>
      </c>
      <c r="BZ72" t="s">
        <v>243</v>
      </c>
      <c r="CA72" t="s">
        <v>243</v>
      </c>
      <c r="CB72" t="s">
        <v>2829</v>
      </c>
      <c r="CC72" t="s">
        <v>243</v>
      </c>
      <c r="CD72" t="s">
        <v>243</v>
      </c>
      <c r="CE72" t="s">
        <v>243</v>
      </c>
      <c r="CF72" t="s">
        <v>243</v>
      </c>
      <c r="CG72" t="s">
        <v>243</v>
      </c>
      <c r="CH72" t="s">
        <v>2829</v>
      </c>
      <c r="CI72" t="s">
        <v>243</v>
      </c>
      <c r="CJ72" t="s">
        <v>243</v>
      </c>
      <c r="CK72" t="s">
        <v>243</v>
      </c>
      <c r="CL72" t="s">
        <v>243</v>
      </c>
      <c r="CM72" t="s">
        <v>243</v>
      </c>
      <c r="CN72" t="s">
        <v>3010</v>
      </c>
      <c r="CO72" t="s">
        <v>2843</v>
      </c>
      <c r="CP72" t="s">
        <v>2844</v>
      </c>
      <c r="CQ72" t="s">
        <v>430</v>
      </c>
      <c r="CR72" t="s">
        <v>2984</v>
      </c>
      <c r="CS72" t="s">
        <v>431</v>
      </c>
      <c r="CT72" t="s">
        <v>430</v>
      </c>
      <c r="CU72" t="s">
        <v>2985</v>
      </c>
      <c r="CV72" t="s">
        <v>2986</v>
      </c>
      <c r="CW72" t="s">
        <v>2984</v>
      </c>
      <c r="CX72" t="s">
        <v>2848</v>
      </c>
      <c r="CY72" t="s">
        <v>3574</v>
      </c>
    </row>
    <row r="73" spans="1:103" ht="11.25" customHeight="1">
      <c r="A73" t="s">
        <v>243</v>
      </c>
      <c r="B73" t="s">
        <v>243</v>
      </c>
      <c r="C73" t="s">
        <v>243</v>
      </c>
      <c r="D73" t="s">
        <v>243</v>
      </c>
      <c r="E73" t="s">
        <v>243</v>
      </c>
      <c r="F73" t="s">
        <v>2816</v>
      </c>
      <c r="G73" t="s">
        <v>243</v>
      </c>
      <c r="H73" t="s">
        <v>243</v>
      </c>
      <c r="I73" t="s">
        <v>3575</v>
      </c>
      <c r="J73" t="s">
        <v>243</v>
      </c>
      <c r="K73" t="s">
        <v>433</v>
      </c>
      <c r="L73" t="s">
        <v>243</v>
      </c>
      <c r="M73" t="s">
        <v>114</v>
      </c>
      <c r="N73" t="s">
        <v>243</v>
      </c>
      <c r="O73" t="s">
        <v>2819</v>
      </c>
      <c r="P73" t="s">
        <v>2820</v>
      </c>
      <c r="Q73" t="s">
        <v>2821</v>
      </c>
      <c r="R73" t="s">
        <v>200</v>
      </c>
      <c r="S73" t="s">
        <v>200</v>
      </c>
      <c r="T73" t="s">
        <v>2968</v>
      </c>
      <c r="U73" t="s">
        <v>2968</v>
      </c>
      <c r="V73" t="s">
        <v>2969</v>
      </c>
      <c r="W73" t="s">
        <v>3568</v>
      </c>
      <c r="X73" t="s">
        <v>3569</v>
      </c>
      <c r="Y73" t="s">
        <v>3576</v>
      </c>
      <c r="Z73" t="s">
        <v>902</v>
      </c>
      <c r="AA73" t="s">
        <v>3480</v>
      </c>
      <c r="AB73" t="s">
        <v>3260</v>
      </c>
      <c r="AC73" t="s">
        <v>2829</v>
      </c>
      <c r="AD73" t="s">
        <v>2883</v>
      </c>
      <c r="AE73" t="s">
        <v>2857</v>
      </c>
      <c r="AF73" t="s">
        <v>3577</v>
      </c>
      <c r="AG73" t="s">
        <v>3577</v>
      </c>
      <c r="AH73" t="s">
        <v>2834</v>
      </c>
      <c r="AI73" t="s">
        <v>2835</v>
      </c>
      <c r="AJ73" t="s">
        <v>3572</v>
      </c>
      <c r="AK73" t="s">
        <v>3425</v>
      </c>
      <c r="AL73" t="s">
        <v>3480</v>
      </c>
      <c r="AM73" t="s">
        <v>3260</v>
      </c>
      <c r="AN73" t="s">
        <v>2829</v>
      </c>
      <c r="AO73" t="s">
        <v>2839</v>
      </c>
      <c r="AP73" t="s">
        <v>2840</v>
      </c>
      <c r="AQ73" t="s">
        <v>2841</v>
      </c>
      <c r="AR73" t="s">
        <v>3578</v>
      </c>
      <c r="AS73" t="s">
        <v>3578</v>
      </c>
      <c r="AT73" t="s">
        <v>2829</v>
      </c>
      <c r="AU73" t="s">
        <v>2829</v>
      </c>
      <c r="AV73" t="s">
        <v>2829</v>
      </c>
      <c r="AW73" t="s">
        <v>2829</v>
      </c>
      <c r="AX73" t="s">
        <v>2829</v>
      </c>
      <c r="AY73" t="s">
        <v>2829</v>
      </c>
      <c r="AZ73" t="s">
        <v>2829</v>
      </c>
      <c r="BA73" t="s">
        <v>2829</v>
      </c>
      <c r="BB73" t="s">
        <v>2829</v>
      </c>
      <c r="BC73" t="s">
        <v>2829</v>
      </c>
      <c r="BD73" t="s">
        <v>2829</v>
      </c>
      <c r="BE73" t="s">
        <v>243</v>
      </c>
      <c r="BF73" t="s">
        <v>243</v>
      </c>
      <c r="BG73" t="s">
        <v>243</v>
      </c>
      <c r="BH73" t="s">
        <v>243</v>
      </c>
      <c r="BI73" t="s">
        <v>243</v>
      </c>
      <c r="BJ73" t="s">
        <v>2829</v>
      </c>
      <c r="BK73" t="s">
        <v>243</v>
      </c>
      <c r="BL73" t="s">
        <v>243</v>
      </c>
      <c r="BM73" t="s">
        <v>243</v>
      </c>
      <c r="BN73" t="s">
        <v>243</v>
      </c>
      <c r="BO73" t="s">
        <v>243</v>
      </c>
      <c r="BP73" t="s">
        <v>3578</v>
      </c>
      <c r="BQ73" t="s">
        <v>3578</v>
      </c>
      <c r="BR73" t="s">
        <v>243</v>
      </c>
      <c r="BS73" t="s">
        <v>243</v>
      </c>
      <c r="BT73" t="s">
        <v>243</v>
      </c>
      <c r="BU73" t="s">
        <v>243</v>
      </c>
      <c r="BV73" t="s">
        <v>2829</v>
      </c>
      <c r="BW73" t="s">
        <v>243</v>
      </c>
      <c r="BX73" t="s">
        <v>243</v>
      </c>
      <c r="BY73" t="s">
        <v>243</v>
      </c>
      <c r="BZ73" t="s">
        <v>243</v>
      </c>
      <c r="CA73" t="s">
        <v>243</v>
      </c>
      <c r="CB73" t="s">
        <v>2829</v>
      </c>
      <c r="CC73" t="s">
        <v>243</v>
      </c>
      <c r="CD73" t="s">
        <v>243</v>
      </c>
      <c r="CE73" t="s">
        <v>243</v>
      </c>
      <c r="CF73" t="s">
        <v>243</v>
      </c>
      <c r="CG73" t="s">
        <v>243</v>
      </c>
      <c r="CH73" t="s">
        <v>2829</v>
      </c>
      <c r="CI73" t="s">
        <v>243</v>
      </c>
      <c r="CJ73" t="s">
        <v>243</v>
      </c>
      <c r="CK73" t="s">
        <v>243</v>
      </c>
      <c r="CL73" t="s">
        <v>243</v>
      </c>
      <c r="CM73" t="s">
        <v>243</v>
      </c>
      <c r="CN73" t="s">
        <v>3010</v>
      </c>
      <c r="CO73" t="s">
        <v>2843</v>
      </c>
      <c r="CP73" t="s">
        <v>2844</v>
      </c>
      <c r="CQ73" t="s">
        <v>430</v>
      </c>
      <c r="CR73" t="s">
        <v>2984</v>
      </c>
      <c r="CS73" t="s">
        <v>431</v>
      </c>
      <c r="CT73" t="s">
        <v>430</v>
      </c>
      <c r="CU73" t="s">
        <v>2985</v>
      </c>
      <c r="CV73" t="s">
        <v>2986</v>
      </c>
      <c r="CW73" t="s">
        <v>2984</v>
      </c>
      <c r="CX73" t="s">
        <v>2848</v>
      </c>
      <c r="CY73" t="s">
        <v>3579</v>
      </c>
    </row>
    <row r="74" spans="1:103" ht="11.25" customHeight="1">
      <c r="A74" t="s">
        <v>243</v>
      </c>
      <c r="B74" t="s">
        <v>243</v>
      </c>
      <c r="C74" t="s">
        <v>243</v>
      </c>
      <c r="D74" t="s">
        <v>243</v>
      </c>
      <c r="E74" t="s">
        <v>243</v>
      </c>
      <c r="F74" t="s">
        <v>2816</v>
      </c>
      <c r="G74" t="s">
        <v>243</v>
      </c>
      <c r="H74" t="s">
        <v>243</v>
      </c>
      <c r="I74" t="s">
        <v>3580</v>
      </c>
      <c r="J74" t="s">
        <v>243</v>
      </c>
      <c r="K74" t="s">
        <v>3581</v>
      </c>
      <c r="L74" t="s">
        <v>243</v>
      </c>
      <c r="M74" t="s">
        <v>114</v>
      </c>
      <c r="N74" t="s">
        <v>243</v>
      </c>
      <c r="O74" t="s">
        <v>2819</v>
      </c>
      <c r="P74" t="s">
        <v>2820</v>
      </c>
      <c r="Q74" t="s">
        <v>2821</v>
      </c>
      <c r="R74" t="s">
        <v>200</v>
      </c>
      <c r="S74" t="s">
        <v>200</v>
      </c>
      <c r="T74" t="s">
        <v>2968</v>
      </c>
      <c r="U74" t="s">
        <v>2968</v>
      </c>
      <c r="V74" t="s">
        <v>2969</v>
      </c>
      <c r="W74" t="s">
        <v>3582</v>
      </c>
      <c r="X74" t="s">
        <v>3583</v>
      </c>
      <c r="Y74" t="s">
        <v>3584</v>
      </c>
      <c r="Z74" t="s">
        <v>3585</v>
      </c>
      <c r="AA74" t="s">
        <v>3260</v>
      </c>
      <c r="AB74" t="s">
        <v>3169</v>
      </c>
      <c r="AC74" t="s">
        <v>2829</v>
      </c>
      <c r="AD74" t="s">
        <v>2883</v>
      </c>
      <c r="AE74" t="s">
        <v>2857</v>
      </c>
      <c r="AF74" t="s">
        <v>3586</v>
      </c>
      <c r="AG74" t="s">
        <v>3586</v>
      </c>
      <c r="AH74" t="s">
        <v>2834</v>
      </c>
      <c r="AI74" t="s">
        <v>2835</v>
      </c>
      <c r="AJ74" t="s">
        <v>3572</v>
      </c>
      <c r="AK74" t="s">
        <v>3587</v>
      </c>
      <c r="AL74" t="s">
        <v>3260</v>
      </c>
      <c r="AM74" t="s">
        <v>3169</v>
      </c>
      <c r="AN74" t="s">
        <v>2829</v>
      </c>
      <c r="AO74" t="s">
        <v>2839</v>
      </c>
      <c r="AP74" t="s">
        <v>2840</v>
      </c>
      <c r="AQ74" t="s">
        <v>2841</v>
      </c>
      <c r="AR74" t="s">
        <v>3588</v>
      </c>
      <c r="AS74" t="s">
        <v>3588</v>
      </c>
      <c r="AT74" t="s">
        <v>2829</v>
      </c>
      <c r="AU74" t="s">
        <v>2829</v>
      </c>
      <c r="AV74" t="s">
        <v>2829</v>
      </c>
      <c r="AW74" t="s">
        <v>2829</v>
      </c>
      <c r="AX74" t="s">
        <v>2829</v>
      </c>
      <c r="AY74" t="s">
        <v>2829</v>
      </c>
      <c r="AZ74" t="s">
        <v>2829</v>
      </c>
      <c r="BA74" t="s">
        <v>2829</v>
      </c>
      <c r="BB74" t="s">
        <v>2829</v>
      </c>
      <c r="BC74" t="s">
        <v>2829</v>
      </c>
      <c r="BD74" t="s">
        <v>3589</v>
      </c>
      <c r="BE74" t="s">
        <v>3589</v>
      </c>
      <c r="BF74" t="s">
        <v>243</v>
      </c>
      <c r="BG74" t="s">
        <v>243</v>
      </c>
      <c r="BH74" t="s">
        <v>243</v>
      </c>
      <c r="BI74" t="s">
        <v>243</v>
      </c>
      <c r="BJ74" t="s">
        <v>2829</v>
      </c>
      <c r="BK74" t="s">
        <v>243</v>
      </c>
      <c r="BL74" t="s">
        <v>243</v>
      </c>
      <c r="BM74" t="s">
        <v>243</v>
      </c>
      <c r="BN74" t="s">
        <v>243</v>
      </c>
      <c r="BO74" t="s">
        <v>243</v>
      </c>
      <c r="BP74" t="s">
        <v>3590</v>
      </c>
      <c r="BQ74" t="s">
        <v>3590</v>
      </c>
      <c r="BR74" t="s">
        <v>243</v>
      </c>
      <c r="BS74" t="s">
        <v>243</v>
      </c>
      <c r="BT74" t="s">
        <v>243</v>
      </c>
      <c r="BU74" t="s">
        <v>243</v>
      </c>
      <c r="BV74" t="s">
        <v>2829</v>
      </c>
      <c r="BW74" t="s">
        <v>243</v>
      </c>
      <c r="BX74" t="s">
        <v>243</v>
      </c>
      <c r="BY74" t="s">
        <v>243</v>
      </c>
      <c r="BZ74" t="s">
        <v>243</v>
      </c>
      <c r="CA74" t="s">
        <v>243</v>
      </c>
      <c r="CB74" t="s">
        <v>2829</v>
      </c>
      <c r="CC74" t="s">
        <v>243</v>
      </c>
      <c r="CD74" t="s">
        <v>243</v>
      </c>
      <c r="CE74" t="s">
        <v>243</v>
      </c>
      <c r="CF74" t="s">
        <v>243</v>
      </c>
      <c r="CG74" t="s">
        <v>243</v>
      </c>
      <c r="CH74" t="s">
        <v>2829</v>
      </c>
      <c r="CI74" t="s">
        <v>243</v>
      </c>
      <c r="CJ74" t="s">
        <v>243</v>
      </c>
      <c r="CK74" t="s">
        <v>243</v>
      </c>
      <c r="CL74" t="s">
        <v>243</v>
      </c>
      <c r="CM74" t="s">
        <v>243</v>
      </c>
      <c r="CN74" t="s">
        <v>3010</v>
      </c>
      <c r="CO74" t="s">
        <v>2843</v>
      </c>
      <c r="CP74" t="s">
        <v>2844</v>
      </c>
      <c r="CQ74" t="s">
        <v>430</v>
      </c>
      <c r="CR74" t="s">
        <v>2984</v>
      </c>
      <c r="CS74" t="s">
        <v>431</v>
      </c>
      <c r="CT74" t="s">
        <v>430</v>
      </c>
      <c r="CU74" t="s">
        <v>2985</v>
      </c>
      <c r="CV74" t="s">
        <v>2986</v>
      </c>
      <c r="CW74" t="s">
        <v>2984</v>
      </c>
      <c r="CX74" t="s">
        <v>2848</v>
      </c>
      <c r="CY74" t="s">
        <v>3591</v>
      </c>
    </row>
    <row r="75" spans="1:103" ht="11.25" customHeight="1">
      <c r="A75" t="s">
        <v>243</v>
      </c>
      <c r="B75" t="s">
        <v>243</v>
      </c>
      <c r="C75" t="s">
        <v>243</v>
      </c>
      <c r="D75" t="s">
        <v>243</v>
      </c>
      <c r="E75" t="s">
        <v>243</v>
      </c>
      <c r="F75" t="s">
        <v>2816</v>
      </c>
      <c r="G75" t="s">
        <v>243</v>
      </c>
      <c r="H75" t="s">
        <v>243</v>
      </c>
      <c r="I75" t="s">
        <v>3592</v>
      </c>
      <c r="J75" t="s">
        <v>243</v>
      </c>
      <c r="K75" t="s">
        <v>3487</v>
      </c>
      <c r="L75" t="s">
        <v>243</v>
      </c>
      <c r="M75" t="s">
        <v>114</v>
      </c>
      <c r="N75" t="s">
        <v>243</v>
      </c>
      <c r="O75" t="s">
        <v>2819</v>
      </c>
      <c r="P75" t="s">
        <v>2820</v>
      </c>
      <c r="Q75" t="s">
        <v>2821</v>
      </c>
      <c r="R75" t="s">
        <v>200</v>
      </c>
      <c r="S75" t="s">
        <v>200</v>
      </c>
      <c r="T75" t="s">
        <v>3022</v>
      </c>
      <c r="U75" t="s">
        <v>3022</v>
      </c>
      <c r="V75" t="s">
        <v>3023</v>
      </c>
      <c r="W75" t="s">
        <v>3431</v>
      </c>
      <c r="X75" t="s">
        <v>3432</v>
      </c>
      <c r="Y75" t="s">
        <v>3593</v>
      </c>
      <c r="Z75" t="s">
        <v>1807</v>
      </c>
      <c r="AA75" t="s">
        <v>3594</v>
      </c>
      <c r="AB75" t="s">
        <v>3595</v>
      </c>
      <c r="AC75" t="s">
        <v>2829</v>
      </c>
      <c r="AD75" t="s">
        <v>2883</v>
      </c>
      <c r="AE75" t="s">
        <v>2831</v>
      </c>
      <c r="AF75" t="s">
        <v>3596</v>
      </c>
      <c r="AG75" t="s">
        <v>3596</v>
      </c>
      <c r="AH75" t="s">
        <v>2834</v>
      </c>
      <c r="AI75" t="s">
        <v>2835</v>
      </c>
      <c r="AJ75" t="s">
        <v>3187</v>
      </c>
      <c r="AK75" t="s">
        <v>3466</v>
      </c>
      <c r="AL75" t="s">
        <v>3594</v>
      </c>
      <c r="AM75" t="s">
        <v>3595</v>
      </c>
      <c r="AN75" t="s">
        <v>2829</v>
      </c>
      <c r="AO75" t="s">
        <v>2839</v>
      </c>
      <c r="AP75" t="s">
        <v>2840</v>
      </c>
      <c r="AQ75" t="s">
        <v>2841</v>
      </c>
      <c r="AR75" t="s">
        <v>2842</v>
      </c>
      <c r="AS75" t="s">
        <v>2842</v>
      </c>
      <c r="AT75" t="s">
        <v>2829</v>
      </c>
      <c r="AU75" t="s">
        <v>2829</v>
      </c>
      <c r="AV75" t="s">
        <v>2829</v>
      </c>
      <c r="AW75" t="s">
        <v>2829</v>
      </c>
      <c r="AX75" t="s">
        <v>2829</v>
      </c>
      <c r="AY75" t="s">
        <v>2829</v>
      </c>
      <c r="AZ75" t="s">
        <v>2829</v>
      </c>
      <c r="BA75" t="s">
        <v>2829</v>
      </c>
      <c r="BB75" t="s">
        <v>2829</v>
      </c>
      <c r="BC75" t="s">
        <v>2829</v>
      </c>
      <c r="BD75" t="s">
        <v>2838</v>
      </c>
      <c r="BE75" t="s">
        <v>2838</v>
      </c>
      <c r="BF75" t="s">
        <v>243</v>
      </c>
      <c r="BG75" t="s">
        <v>243</v>
      </c>
      <c r="BH75" t="s">
        <v>243</v>
      </c>
      <c r="BI75" t="s">
        <v>243</v>
      </c>
      <c r="BJ75" t="s">
        <v>2829</v>
      </c>
      <c r="BK75" t="s">
        <v>243</v>
      </c>
      <c r="BL75" t="s">
        <v>243</v>
      </c>
      <c r="BM75" t="s">
        <v>243</v>
      </c>
      <c r="BN75" t="s">
        <v>243</v>
      </c>
      <c r="BO75" t="s">
        <v>243</v>
      </c>
      <c r="BP75" t="s">
        <v>3350</v>
      </c>
      <c r="BQ75" t="s">
        <v>3350</v>
      </c>
      <c r="BR75" t="s">
        <v>243</v>
      </c>
      <c r="BS75" t="s">
        <v>243</v>
      </c>
      <c r="BT75" t="s">
        <v>243</v>
      </c>
      <c r="BU75" t="s">
        <v>243</v>
      </c>
      <c r="BV75" t="s">
        <v>2829</v>
      </c>
      <c r="BW75" t="s">
        <v>243</v>
      </c>
      <c r="BX75" t="s">
        <v>243</v>
      </c>
      <c r="BY75" t="s">
        <v>243</v>
      </c>
      <c r="BZ75" t="s">
        <v>243</v>
      </c>
      <c r="CA75" t="s">
        <v>243</v>
      </c>
      <c r="CB75" t="s">
        <v>2829</v>
      </c>
      <c r="CC75" t="s">
        <v>243</v>
      </c>
      <c r="CD75" t="s">
        <v>243</v>
      </c>
      <c r="CE75" t="s">
        <v>243</v>
      </c>
      <c r="CF75" t="s">
        <v>243</v>
      </c>
      <c r="CG75" t="s">
        <v>243</v>
      </c>
      <c r="CH75" t="s">
        <v>2829</v>
      </c>
      <c r="CI75" t="s">
        <v>243</v>
      </c>
      <c r="CJ75" t="s">
        <v>243</v>
      </c>
      <c r="CK75" t="s">
        <v>243</v>
      </c>
      <c r="CL75" t="s">
        <v>243</v>
      </c>
      <c r="CM75" t="s">
        <v>243</v>
      </c>
      <c r="CN75" t="s">
        <v>3130</v>
      </c>
      <c r="CO75" t="s">
        <v>2843</v>
      </c>
      <c r="CP75" t="s">
        <v>2844</v>
      </c>
      <c r="CQ75" t="s">
        <v>430</v>
      </c>
      <c r="CR75" t="s">
        <v>3033</v>
      </c>
      <c r="CS75" t="s">
        <v>431</v>
      </c>
      <c r="CT75" t="s">
        <v>430</v>
      </c>
      <c r="CU75" t="s">
        <v>3034</v>
      </c>
      <c r="CV75" t="s">
        <v>432</v>
      </c>
      <c r="CW75" t="s">
        <v>3033</v>
      </c>
      <c r="CX75" t="s">
        <v>2848</v>
      </c>
      <c r="CY75" t="s">
        <v>3597</v>
      </c>
    </row>
    <row r="76" spans="1:103" ht="11.25" customHeight="1">
      <c r="A76" t="s">
        <v>243</v>
      </c>
      <c r="B76" t="s">
        <v>243</v>
      </c>
      <c r="C76" t="s">
        <v>243</v>
      </c>
      <c r="D76" t="s">
        <v>243</v>
      </c>
      <c r="E76" t="s">
        <v>243</v>
      </c>
      <c r="F76" t="s">
        <v>2816</v>
      </c>
      <c r="G76" t="s">
        <v>243</v>
      </c>
      <c r="H76" t="s">
        <v>243</v>
      </c>
      <c r="I76" t="s">
        <v>3598</v>
      </c>
      <c r="J76" t="s">
        <v>243</v>
      </c>
      <c r="K76" t="s">
        <v>464</v>
      </c>
      <c r="L76" t="s">
        <v>243</v>
      </c>
      <c r="M76" t="s">
        <v>114</v>
      </c>
      <c r="N76" t="s">
        <v>243</v>
      </c>
      <c r="O76" t="s">
        <v>2819</v>
      </c>
      <c r="P76" t="s">
        <v>2820</v>
      </c>
      <c r="Q76" t="s">
        <v>2821</v>
      </c>
      <c r="R76" t="s">
        <v>200</v>
      </c>
      <c r="S76" t="s">
        <v>200</v>
      </c>
      <c r="T76" t="s">
        <v>405</v>
      </c>
      <c r="U76" t="s">
        <v>405</v>
      </c>
      <c r="V76" t="s">
        <v>406</v>
      </c>
      <c r="W76" t="s">
        <v>3155</v>
      </c>
      <c r="X76" t="s">
        <v>3156</v>
      </c>
      <c r="Y76" t="s">
        <v>2913</v>
      </c>
      <c r="Z76" t="s">
        <v>3599</v>
      </c>
      <c r="AA76" t="s">
        <v>3359</v>
      </c>
      <c r="AB76" t="s">
        <v>3043</v>
      </c>
      <c r="AC76" t="s">
        <v>243</v>
      </c>
      <c r="AD76" t="s">
        <v>2883</v>
      </c>
      <c r="AE76" t="s">
        <v>2831</v>
      </c>
      <c r="AF76" t="s">
        <v>3401</v>
      </c>
      <c r="AG76" t="s">
        <v>3401</v>
      </c>
      <c r="AH76" t="s">
        <v>2834</v>
      </c>
      <c r="AI76" t="s">
        <v>2835</v>
      </c>
      <c r="AJ76" t="s">
        <v>2888</v>
      </c>
      <c r="AK76" t="s">
        <v>3472</v>
      </c>
      <c r="AL76" t="s">
        <v>3359</v>
      </c>
      <c r="AM76" t="s">
        <v>3043</v>
      </c>
      <c r="AN76" t="s">
        <v>243</v>
      </c>
      <c r="AO76" t="s">
        <v>2839</v>
      </c>
      <c r="AP76" t="s">
        <v>2840</v>
      </c>
      <c r="AQ76" t="s">
        <v>2841</v>
      </c>
      <c r="AR76" t="s">
        <v>3600</v>
      </c>
      <c r="AS76" t="s">
        <v>3600</v>
      </c>
      <c r="AT76" t="s">
        <v>2829</v>
      </c>
      <c r="AU76" t="s">
        <v>2829</v>
      </c>
      <c r="AV76" t="s">
        <v>2829</v>
      </c>
      <c r="AW76" t="s">
        <v>2829</v>
      </c>
      <c r="AX76" t="s">
        <v>2829</v>
      </c>
      <c r="AY76" t="s">
        <v>2829</v>
      </c>
      <c r="AZ76" t="s">
        <v>2829</v>
      </c>
      <c r="BA76" t="s">
        <v>2829</v>
      </c>
      <c r="BB76" t="s">
        <v>2829</v>
      </c>
      <c r="BC76" t="s">
        <v>2829</v>
      </c>
      <c r="BD76" t="s">
        <v>3600</v>
      </c>
      <c r="BE76" t="s">
        <v>3600</v>
      </c>
      <c r="BF76" t="s">
        <v>243</v>
      </c>
      <c r="BG76" t="s">
        <v>243</v>
      </c>
      <c r="BH76" t="s">
        <v>243</v>
      </c>
      <c r="BI76" t="s">
        <v>243</v>
      </c>
      <c r="BJ76" t="s">
        <v>2829</v>
      </c>
      <c r="BK76" t="s">
        <v>243</v>
      </c>
      <c r="BL76" t="s">
        <v>243</v>
      </c>
      <c r="BM76" t="s">
        <v>243</v>
      </c>
      <c r="BN76" t="s">
        <v>243</v>
      </c>
      <c r="BO76" t="s">
        <v>243</v>
      </c>
      <c r="BP76" t="s">
        <v>2829</v>
      </c>
      <c r="BQ76" t="s">
        <v>243</v>
      </c>
      <c r="BR76" t="s">
        <v>243</v>
      </c>
      <c r="BS76" t="s">
        <v>243</v>
      </c>
      <c r="BT76" t="s">
        <v>243</v>
      </c>
      <c r="BU76" t="s">
        <v>243</v>
      </c>
      <c r="BV76" t="s">
        <v>2829</v>
      </c>
      <c r="BW76" t="s">
        <v>243</v>
      </c>
      <c r="BX76" t="s">
        <v>243</v>
      </c>
      <c r="BY76" t="s">
        <v>243</v>
      </c>
      <c r="BZ76" t="s">
        <v>243</v>
      </c>
      <c r="CA76" t="s">
        <v>243</v>
      </c>
      <c r="CB76" t="s">
        <v>2829</v>
      </c>
      <c r="CC76" t="s">
        <v>243</v>
      </c>
      <c r="CD76" t="s">
        <v>243</v>
      </c>
      <c r="CE76" t="s">
        <v>243</v>
      </c>
      <c r="CF76" t="s">
        <v>243</v>
      </c>
      <c r="CG76" t="s">
        <v>243</v>
      </c>
      <c r="CH76" t="s">
        <v>2829</v>
      </c>
      <c r="CI76" t="s">
        <v>243</v>
      </c>
      <c r="CJ76" t="s">
        <v>243</v>
      </c>
      <c r="CK76" t="s">
        <v>243</v>
      </c>
      <c r="CL76" t="s">
        <v>243</v>
      </c>
      <c r="CM76" t="s">
        <v>243</v>
      </c>
      <c r="CN76" t="s">
        <v>2888</v>
      </c>
      <c r="CO76" t="s">
        <v>2843</v>
      </c>
      <c r="CP76" t="s">
        <v>2844</v>
      </c>
      <c r="CQ76" t="s">
        <v>470</v>
      </c>
      <c r="CR76" t="s">
        <v>2872</v>
      </c>
      <c r="CS76" t="s">
        <v>431</v>
      </c>
      <c r="CT76" t="s">
        <v>470</v>
      </c>
      <c r="CU76" t="s">
        <v>444</v>
      </c>
      <c r="CV76" t="s">
        <v>445</v>
      </c>
      <c r="CW76" t="s">
        <v>2872</v>
      </c>
      <c r="CX76" t="s">
        <v>2848</v>
      </c>
      <c r="CY76" t="s">
        <v>465</v>
      </c>
    </row>
    <row r="77" spans="1:103" ht="11.25" customHeight="1">
      <c r="A77" t="s">
        <v>243</v>
      </c>
      <c r="B77" t="s">
        <v>243</v>
      </c>
      <c r="C77" t="s">
        <v>243</v>
      </c>
      <c r="D77" t="s">
        <v>243</v>
      </c>
      <c r="E77" t="s">
        <v>243</v>
      </c>
      <c r="F77" t="s">
        <v>2816</v>
      </c>
      <c r="G77" t="s">
        <v>243</v>
      </c>
      <c r="H77" t="s">
        <v>243</v>
      </c>
      <c r="I77" t="s">
        <v>3601</v>
      </c>
      <c r="J77" t="s">
        <v>243</v>
      </c>
      <c r="K77" t="s">
        <v>3281</v>
      </c>
      <c r="L77" t="s">
        <v>243</v>
      </c>
      <c r="M77" t="s">
        <v>114</v>
      </c>
      <c r="N77" t="s">
        <v>243</v>
      </c>
      <c r="O77" t="s">
        <v>2819</v>
      </c>
      <c r="P77" t="s">
        <v>2820</v>
      </c>
      <c r="Q77" t="s">
        <v>2821</v>
      </c>
      <c r="R77" t="s">
        <v>200</v>
      </c>
      <c r="S77" t="s">
        <v>200</v>
      </c>
      <c r="T77" t="s">
        <v>2968</v>
      </c>
      <c r="U77" t="s">
        <v>2968</v>
      </c>
      <c r="V77" t="s">
        <v>2969</v>
      </c>
      <c r="W77" t="s">
        <v>2970</v>
      </c>
      <c r="X77" t="s">
        <v>2971</v>
      </c>
      <c r="Y77" t="s">
        <v>3602</v>
      </c>
      <c r="Z77" t="s">
        <v>3603</v>
      </c>
      <c r="AA77" t="s">
        <v>3094</v>
      </c>
      <c r="AB77" t="s">
        <v>3182</v>
      </c>
      <c r="AC77" t="s">
        <v>2829</v>
      </c>
      <c r="AD77" t="s">
        <v>2883</v>
      </c>
      <c r="AE77" t="s">
        <v>2975</v>
      </c>
      <c r="AF77" t="s">
        <v>2958</v>
      </c>
      <c r="AG77" t="s">
        <v>2958</v>
      </c>
      <c r="AH77" t="s">
        <v>2834</v>
      </c>
      <c r="AI77" t="s">
        <v>2835</v>
      </c>
      <c r="AJ77" t="s">
        <v>2997</v>
      </c>
      <c r="AK77" t="s">
        <v>3604</v>
      </c>
      <c r="AL77" t="s">
        <v>3094</v>
      </c>
      <c r="AM77" t="s">
        <v>3182</v>
      </c>
      <c r="AN77" t="s">
        <v>2829</v>
      </c>
      <c r="AO77" t="s">
        <v>2839</v>
      </c>
      <c r="AP77" t="s">
        <v>2840</v>
      </c>
      <c r="AQ77" t="s">
        <v>2841</v>
      </c>
      <c r="AR77" t="s">
        <v>3605</v>
      </c>
      <c r="AS77" t="s">
        <v>3605</v>
      </c>
      <c r="AT77" t="s">
        <v>2829</v>
      </c>
      <c r="AU77" t="s">
        <v>2829</v>
      </c>
      <c r="AV77" t="s">
        <v>2829</v>
      </c>
      <c r="AW77" t="s">
        <v>2829</v>
      </c>
      <c r="AX77" t="s">
        <v>2829</v>
      </c>
      <c r="AY77" t="s">
        <v>2829</v>
      </c>
      <c r="AZ77" t="s">
        <v>2829</v>
      </c>
      <c r="BA77" t="s">
        <v>2829</v>
      </c>
      <c r="BB77" t="s">
        <v>2829</v>
      </c>
      <c r="BC77" t="s">
        <v>2829</v>
      </c>
      <c r="BD77" t="s">
        <v>2829</v>
      </c>
      <c r="BE77" t="s">
        <v>243</v>
      </c>
      <c r="BF77" t="s">
        <v>243</v>
      </c>
      <c r="BG77" t="s">
        <v>243</v>
      </c>
      <c r="BH77" t="s">
        <v>243</v>
      </c>
      <c r="BI77" t="s">
        <v>243</v>
      </c>
      <c r="BJ77" t="s">
        <v>2829</v>
      </c>
      <c r="BK77" t="s">
        <v>243</v>
      </c>
      <c r="BL77" t="s">
        <v>243</v>
      </c>
      <c r="BM77" t="s">
        <v>243</v>
      </c>
      <c r="BN77" t="s">
        <v>243</v>
      </c>
      <c r="BO77" t="s">
        <v>243</v>
      </c>
      <c r="BP77" t="s">
        <v>3605</v>
      </c>
      <c r="BQ77" t="s">
        <v>3605</v>
      </c>
      <c r="BR77" t="s">
        <v>243</v>
      </c>
      <c r="BS77" t="s">
        <v>243</v>
      </c>
      <c r="BT77" t="s">
        <v>243</v>
      </c>
      <c r="BU77" t="s">
        <v>243</v>
      </c>
      <c r="BV77" t="s">
        <v>2829</v>
      </c>
      <c r="BW77" t="s">
        <v>243</v>
      </c>
      <c r="BX77" t="s">
        <v>243</v>
      </c>
      <c r="BY77" t="s">
        <v>243</v>
      </c>
      <c r="BZ77" t="s">
        <v>243</v>
      </c>
      <c r="CA77" t="s">
        <v>243</v>
      </c>
      <c r="CB77" t="s">
        <v>2829</v>
      </c>
      <c r="CC77" t="s">
        <v>243</v>
      </c>
      <c r="CD77" t="s">
        <v>243</v>
      </c>
      <c r="CE77" t="s">
        <v>243</v>
      </c>
      <c r="CF77" t="s">
        <v>243</v>
      </c>
      <c r="CG77" t="s">
        <v>243</v>
      </c>
      <c r="CH77" t="s">
        <v>2829</v>
      </c>
      <c r="CI77" t="s">
        <v>243</v>
      </c>
      <c r="CJ77" t="s">
        <v>243</v>
      </c>
      <c r="CK77" t="s">
        <v>243</v>
      </c>
      <c r="CL77" t="s">
        <v>243</v>
      </c>
      <c r="CM77" t="s">
        <v>243</v>
      </c>
      <c r="CN77" t="s">
        <v>2983</v>
      </c>
      <c r="CO77" t="s">
        <v>2843</v>
      </c>
      <c r="CP77" t="s">
        <v>2844</v>
      </c>
      <c r="CQ77" t="s">
        <v>430</v>
      </c>
      <c r="CR77" t="s">
        <v>2984</v>
      </c>
      <c r="CS77" t="s">
        <v>431</v>
      </c>
      <c r="CT77" t="s">
        <v>430</v>
      </c>
      <c r="CU77" t="s">
        <v>2985</v>
      </c>
      <c r="CV77" t="s">
        <v>2986</v>
      </c>
      <c r="CW77" t="s">
        <v>2984</v>
      </c>
      <c r="CX77" t="s">
        <v>2848</v>
      </c>
      <c r="CY77" t="s">
        <v>3606</v>
      </c>
    </row>
    <row r="78" spans="1:103" ht="11.25" customHeight="1">
      <c r="A78" t="s">
        <v>243</v>
      </c>
      <c r="B78" t="s">
        <v>243</v>
      </c>
      <c r="C78" t="s">
        <v>243</v>
      </c>
      <c r="D78" t="s">
        <v>243</v>
      </c>
      <c r="E78" t="s">
        <v>243</v>
      </c>
      <c r="F78" t="s">
        <v>2816</v>
      </c>
      <c r="G78" t="s">
        <v>243</v>
      </c>
      <c r="H78" t="s">
        <v>243</v>
      </c>
      <c r="I78" t="s">
        <v>3607</v>
      </c>
      <c r="J78" t="s">
        <v>243</v>
      </c>
      <c r="K78" t="s">
        <v>2818</v>
      </c>
      <c r="L78" t="s">
        <v>243</v>
      </c>
      <c r="M78" t="s">
        <v>114</v>
      </c>
      <c r="N78" t="s">
        <v>243</v>
      </c>
      <c r="O78" t="s">
        <v>2819</v>
      </c>
      <c r="P78" t="s">
        <v>2820</v>
      </c>
      <c r="Q78" t="s">
        <v>2821</v>
      </c>
      <c r="R78" t="s">
        <v>200</v>
      </c>
      <c r="S78" t="s">
        <v>200</v>
      </c>
      <c r="T78" t="s">
        <v>2822</v>
      </c>
      <c r="U78" t="s">
        <v>2822</v>
      </c>
      <c r="V78" t="s">
        <v>2823</v>
      </c>
      <c r="W78" t="s">
        <v>3608</v>
      </c>
      <c r="X78" t="s">
        <v>3609</v>
      </c>
      <c r="Y78" t="s">
        <v>3610</v>
      </c>
      <c r="Z78" t="s">
        <v>3611</v>
      </c>
      <c r="AA78" t="s">
        <v>3228</v>
      </c>
      <c r="AB78" t="s">
        <v>3058</v>
      </c>
      <c r="AC78" t="s">
        <v>2829</v>
      </c>
      <c r="AD78" t="s">
        <v>2830</v>
      </c>
      <c r="AE78" t="s">
        <v>2857</v>
      </c>
      <c r="AF78" t="s">
        <v>3612</v>
      </c>
      <c r="AG78" t="s">
        <v>3612</v>
      </c>
      <c r="AH78" t="s">
        <v>2834</v>
      </c>
      <c r="AI78" t="s">
        <v>2835</v>
      </c>
      <c r="AJ78" t="s">
        <v>2829</v>
      </c>
      <c r="AK78" t="s">
        <v>2922</v>
      </c>
      <c r="AL78" t="s">
        <v>3228</v>
      </c>
      <c r="AM78" t="s">
        <v>3058</v>
      </c>
      <c r="AN78" t="s">
        <v>2829</v>
      </c>
      <c r="AO78" t="s">
        <v>2839</v>
      </c>
      <c r="AP78" t="s">
        <v>2840</v>
      </c>
      <c r="AQ78" t="s">
        <v>2841</v>
      </c>
      <c r="AR78" t="s">
        <v>2923</v>
      </c>
      <c r="AS78" t="s">
        <v>2923</v>
      </c>
      <c r="AT78" t="s">
        <v>2829</v>
      </c>
      <c r="AU78" t="s">
        <v>2829</v>
      </c>
      <c r="AV78" t="s">
        <v>2829</v>
      </c>
      <c r="AW78" t="s">
        <v>2829</v>
      </c>
      <c r="AX78" t="s">
        <v>2829</v>
      </c>
      <c r="AY78" t="s">
        <v>2829</v>
      </c>
      <c r="AZ78" t="s">
        <v>2829</v>
      </c>
      <c r="BA78" t="s">
        <v>2829</v>
      </c>
      <c r="BB78" t="s">
        <v>2829</v>
      </c>
      <c r="BC78" t="s">
        <v>2829</v>
      </c>
      <c r="BD78" t="s">
        <v>2923</v>
      </c>
      <c r="BE78" t="s">
        <v>2923</v>
      </c>
      <c r="BF78" t="s">
        <v>243</v>
      </c>
      <c r="BG78" t="s">
        <v>243</v>
      </c>
      <c r="BH78" t="s">
        <v>243</v>
      </c>
      <c r="BI78" t="s">
        <v>243</v>
      </c>
      <c r="BJ78" t="s">
        <v>2829</v>
      </c>
      <c r="BK78" t="s">
        <v>243</v>
      </c>
      <c r="BL78" t="s">
        <v>243</v>
      </c>
      <c r="BM78" t="s">
        <v>243</v>
      </c>
      <c r="BN78" t="s">
        <v>243</v>
      </c>
      <c r="BO78" t="s">
        <v>243</v>
      </c>
      <c r="BP78" t="s">
        <v>2829</v>
      </c>
      <c r="BQ78" t="s">
        <v>243</v>
      </c>
      <c r="BR78" t="s">
        <v>243</v>
      </c>
      <c r="BS78" t="s">
        <v>243</v>
      </c>
      <c r="BT78" t="s">
        <v>243</v>
      </c>
      <c r="BU78" t="s">
        <v>243</v>
      </c>
      <c r="BV78" t="s">
        <v>2829</v>
      </c>
      <c r="BW78" t="s">
        <v>243</v>
      </c>
      <c r="BX78" t="s">
        <v>243</v>
      </c>
      <c r="BY78" t="s">
        <v>243</v>
      </c>
      <c r="BZ78" t="s">
        <v>243</v>
      </c>
      <c r="CA78" t="s">
        <v>243</v>
      </c>
      <c r="CB78" t="s">
        <v>2829</v>
      </c>
      <c r="CC78" t="s">
        <v>243</v>
      </c>
      <c r="CD78" t="s">
        <v>243</v>
      </c>
      <c r="CE78" t="s">
        <v>243</v>
      </c>
      <c r="CF78" t="s">
        <v>243</v>
      </c>
      <c r="CG78" t="s">
        <v>243</v>
      </c>
      <c r="CH78" t="s">
        <v>2829</v>
      </c>
      <c r="CI78" t="s">
        <v>243</v>
      </c>
      <c r="CJ78" t="s">
        <v>243</v>
      </c>
      <c r="CK78" t="s">
        <v>243</v>
      </c>
      <c r="CL78" t="s">
        <v>243</v>
      </c>
      <c r="CM78" t="s">
        <v>243</v>
      </c>
      <c r="CN78" t="s">
        <v>2829</v>
      </c>
      <c r="CO78" t="s">
        <v>2924</v>
      </c>
      <c r="CP78" t="s">
        <v>2844</v>
      </c>
      <c r="CQ78" t="s">
        <v>430</v>
      </c>
      <c r="CR78" t="s">
        <v>2872</v>
      </c>
      <c r="CS78" t="s">
        <v>431</v>
      </c>
      <c r="CT78" t="s">
        <v>430</v>
      </c>
      <c r="CU78" t="s">
        <v>2846</v>
      </c>
      <c r="CV78" t="s">
        <v>2873</v>
      </c>
      <c r="CW78" t="s">
        <v>2872</v>
      </c>
      <c r="CX78" t="s">
        <v>2848</v>
      </c>
      <c r="CY78" t="s">
        <v>3613</v>
      </c>
    </row>
    <row r="79" spans="1:103" ht="11.25" customHeight="1">
      <c r="A79" t="s">
        <v>243</v>
      </c>
      <c r="B79" t="s">
        <v>243</v>
      </c>
      <c r="C79" t="s">
        <v>243</v>
      </c>
      <c r="D79" t="s">
        <v>243</v>
      </c>
      <c r="E79" t="s">
        <v>243</v>
      </c>
      <c r="F79" t="s">
        <v>2816</v>
      </c>
      <c r="G79" t="s">
        <v>243</v>
      </c>
      <c r="H79" t="s">
        <v>243</v>
      </c>
      <c r="I79" t="s">
        <v>3614</v>
      </c>
      <c r="J79" t="s">
        <v>243</v>
      </c>
      <c r="K79" t="s">
        <v>3615</v>
      </c>
      <c r="L79" t="s">
        <v>243</v>
      </c>
      <c r="M79" t="s">
        <v>114</v>
      </c>
      <c r="N79" t="s">
        <v>243</v>
      </c>
      <c r="O79" t="s">
        <v>2819</v>
      </c>
      <c r="P79" t="s">
        <v>2820</v>
      </c>
      <c r="Q79" t="s">
        <v>2821</v>
      </c>
      <c r="R79" t="s">
        <v>200</v>
      </c>
      <c r="S79" t="s">
        <v>200</v>
      </c>
      <c r="T79" t="s">
        <v>2933</v>
      </c>
      <c r="U79" t="s">
        <v>2933</v>
      </c>
      <c r="V79" t="s">
        <v>2934</v>
      </c>
      <c r="W79" t="s">
        <v>2935</v>
      </c>
      <c r="X79" t="s">
        <v>2936</v>
      </c>
      <c r="Y79" t="s">
        <v>3616</v>
      </c>
      <c r="Z79" t="s">
        <v>3235</v>
      </c>
      <c r="AA79" t="s">
        <v>3617</v>
      </c>
      <c r="AB79" t="s">
        <v>3618</v>
      </c>
      <c r="AC79" t="s">
        <v>2829</v>
      </c>
      <c r="AD79" t="s">
        <v>2883</v>
      </c>
      <c r="AE79" t="s">
        <v>3372</v>
      </c>
      <c r="AF79" t="s">
        <v>3619</v>
      </c>
      <c r="AG79" t="s">
        <v>3620</v>
      </c>
      <c r="AH79" t="s">
        <v>2834</v>
      </c>
      <c r="AI79" t="s">
        <v>2835</v>
      </c>
      <c r="AJ79" t="s">
        <v>2942</v>
      </c>
      <c r="AK79" t="s">
        <v>3621</v>
      </c>
      <c r="AL79" t="s">
        <v>3617</v>
      </c>
      <c r="AM79" t="s">
        <v>3622</v>
      </c>
      <c r="AN79" t="s">
        <v>243</v>
      </c>
      <c r="AO79" t="s">
        <v>2839</v>
      </c>
      <c r="AP79" t="s">
        <v>2840</v>
      </c>
      <c r="AQ79" t="s">
        <v>2841</v>
      </c>
      <c r="AR79" t="s">
        <v>3623</v>
      </c>
      <c r="AS79" t="s">
        <v>3623</v>
      </c>
      <c r="AT79" t="s">
        <v>2829</v>
      </c>
      <c r="AU79" t="s">
        <v>2829</v>
      </c>
      <c r="AV79" t="s">
        <v>2829</v>
      </c>
      <c r="AW79" t="s">
        <v>2829</v>
      </c>
      <c r="AX79" t="s">
        <v>2829</v>
      </c>
      <c r="AY79" t="s">
        <v>2829</v>
      </c>
      <c r="AZ79" t="s">
        <v>2829</v>
      </c>
      <c r="BA79" t="s">
        <v>2829</v>
      </c>
      <c r="BB79" t="s">
        <v>2829</v>
      </c>
      <c r="BC79" t="s">
        <v>2829</v>
      </c>
      <c r="BD79" t="s">
        <v>3624</v>
      </c>
      <c r="BE79" t="s">
        <v>3624</v>
      </c>
      <c r="BF79" t="s">
        <v>243</v>
      </c>
      <c r="BG79" t="s">
        <v>243</v>
      </c>
      <c r="BH79" t="s">
        <v>243</v>
      </c>
      <c r="BI79" t="s">
        <v>243</v>
      </c>
      <c r="BJ79" t="s">
        <v>2829</v>
      </c>
      <c r="BK79" t="s">
        <v>243</v>
      </c>
      <c r="BL79" t="s">
        <v>243</v>
      </c>
      <c r="BM79" t="s">
        <v>243</v>
      </c>
      <c r="BN79" t="s">
        <v>243</v>
      </c>
      <c r="BO79" t="s">
        <v>243</v>
      </c>
      <c r="BP79" t="s">
        <v>3625</v>
      </c>
      <c r="BQ79" t="s">
        <v>3625</v>
      </c>
      <c r="BR79" t="s">
        <v>243</v>
      </c>
      <c r="BS79" t="s">
        <v>243</v>
      </c>
      <c r="BT79" t="s">
        <v>243</v>
      </c>
      <c r="BU79" t="s">
        <v>243</v>
      </c>
      <c r="BV79" t="s">
        <v>2829</v>
      </c>
      <c r="BW79" t="s">
        <v>243</v>
      </c>
      <c r="BX79" t="s">
        <v>243</v>
      </c>
      <c r="BY79" t="s">
        <v>243</v>
      </c>
      <c r="BZ79" t="s">
        <v>243</v>
      </c>
      <c r="CA79" t="s">
        <v>243</v>
      </c>
      <c r="CB79" t="s">
        <v>2829</v>
      </c>
      <c r="CC79" t="s">
        <v>243</v>
      </c>
      <c r="CD79" t="s">
        <v>243</v>
      </c>
      <c r="CE79" t="s">
        <v>243</v>
      </c>
      <c r="CF79" t="s">
        <v>243</v>
      </c>
      <c r="CG79" t="s">
        <v>243</v>
      </c>
      <c r="CH79" t="s">
        <v>2829</v>
      </c>
      <c r="CI79" t="s">
        <v>243</v>
      </c>
      <c r="CJ79" t="s">
        <v>243</v>
      </c>
      <c r="CK79" t="s">
        <v>243</v>
      </c>
      <c r="CL79" t="s">
        <v>243</v>
      </c>
      <c r="CM79" t="s">
        <v>243</v>
      </c>
      <c r="CN79" t="s">
        <v>2942</v>
      </c>
      <c r="CO79" t="s">
        <v>2843</v>
      </c>
      <c r="CP79" t="s">
        <v>2844</v>
      </c>
      <c r="CQ79" t="s">
        <v>430</v>
      </c>
      <c r="CR79" t="s">
        <v>2947</v>
      </c>
      <c r="CS79" t="s">
        <v>431</v>
      </c>
      <c r="CT79" t="s">
        <v>430</v>
      </c>
      <c r="CU79" t="s">
        <v>2948</v>
      </c>
      <c r="CV79" t="s">
        <v>2949</v>
      </c>
      <c r="CW79" t="s">
        <v>2947</v>
      </c>
      <c r="CX79" t="s">
        <v>2848</v>
      </c>
      <c r="CY79" t="s">
        <v>3626</v>
      </c>
    </row>
    <row r="80" spans="1:103" ht="11.25" customHeight="1">
      <c r="A80" t="s">
        <v>243</v>
      </c>
      <c r="B80" t="s">
        <v>243</v>
      </c>
      <c r="C80" t="s">
        <v>243</v>
      </c>
      <c r="D80" t="s">
        <v>243</v>
      </c>
      <c r="E80" t="s">
        <v>243</v>
      </c>
      <c r="F80" t="s">
        <v>2816</v>
      </c>
      <c r="G80" t="s">
        <v>243</v>
      </c>
      <c r="H80" t="s">
        <v>243</v>
      </c>
      <c r="I80" t="s">
        <v>3627</v>
      </c>
      <c r="J80" t="s">
        <v>243</v>
      </c>
      <c r="K80" t="s">
        <v>3115</v>
      </c>
      <c r="L80" t="s">
        <v>243</v>
      </c>
      <c r="M80" t="s">
        <v>114</v>
      </c>
      <c r="N80" t="s">
        <v>243</v>
      </c>
      <c r="O80" t="s">
        <v>2819</v>
      </c>
      <c r="P80" t="s">
        <v>2820</v>
      </c>
      <c r="Q80" t="s">
        <v>2821</v>
      </c>
      <c r="R80" t="s">
        <v>200</v>
      </c>
      <c r="S80" t="s">
        <v>200</v>
      </c>
      <c r="T80" t="s">
        <v>2968</v>
      </c>
      <c r="U80" t="s">
        <v>2968</v>
      </c>
      <c r="V80" t="s">
        <v>2969</v>
      </c>
      <c r="W80" t="s">
        <v>3628</v>
      </c>
      <c r="X80" t="s">
        <v>3629</v>
      </c>
      <c r="Y80" t="s">
        <v>2913</v>
      </c>
      <c r="Z80" t="s">
        <v>3630</v>
      </c>
      <c r="AA80" t="s">
        <v>3631</v>
      </c>
      <c r="AB80" t="s">
        <v>3632</v>
      </c>
      <c r="AC80" t="s">
        <v>2829</v>
      </c>
      <c r="AD80" t="s">
        <v>2883</v>
      </c>
      <c r="AE80" t="s">
        <v>2857</v>
      </c>
      <c r="AF80" t="s">
        <v>3633</v>
      </c>
      <c r="AG80" t="s">
        <v>3633</v>
      </c>
      <c r="AH80" t="s">
        <v>2834</v>
      </c>
      <c r="AI80" t="s">
        <v>2835</v>
      </c>
      <c r="AJ80" t="s">
        <v>3044</v>
      </c>
      <c r="AK80" t="s">
        <v>3556</v>
      </c>
      <c r="AL80" t="s">
        <v>3631</v>
      </c>
      <c r="AM80" t="s">
        <v>3634</v>
      </c>
      <c r="AN80" t="s">
        <v>2829</v>
      </c>
      <c r="AO80" t="s">
        <v>2839</v>
      </c>
      <c r="AP80" t="s">
        <v>2840</v>
      </c>
      <c r="AQ80" t="s">
        <v>2841</v>
      </c>
      <c r="AR80" t="s">
        <v>3635</v>
      </c>
      <c r="AS80" t="s">
        <v>3635</v>
      </c>
      <c r="AT80" t="s">
        <v>2829</v>
      </c>
      <c r="AU80" t="s">
        <v>2829</v>
      </c>
      <c r="AV80" t="s">
        <v>2829</v>
      </c>
      <c r="AW80" t="s">
        <v>2829</v>
      </c>
      <c r="AX80" t="s">
        <v>2829</v>
      </c>
      <c r="AY80" t="s">
        <v>2829</v>
      </c>
      <c r="AZ80" t="s">
        <v>2829</v>
      </c>
      <c r="BA80" t="s">
        <v>2829</v>
      </c>
      <c r="BB80" t="s">
        <v>2829</v>
      </c>
      <c r="BC80" t="s">
        <v>2829</v>
      </c>
      <c r="BD80" t="s">
        <v>2829</v>
      </c>
      <c r="BE80" t="s">
        <v>243</v>
      </c>
      <c r="BF80" t="s">
        <v>243</v>
      </c>
      <c r="BG80" t="s">
        <v>243</v>
      </c>
      <c r="BH80" t="s">
        <v>243</v>
      </c>
      <c r="BI80" t="s">
        <v>243</v>
      </c>
      <c r="BJ80" t="s">
        <v>2829</v>
      </c>
      <c r="BK80" t="s">
        <v>243</v>
      </c>
      <c r="BL80" t="s">
        <v>243</v>
      </c>
      <c r="BM80" t="s">
        <v>243</v>
      </c>
      <c r="BN80" t="s">
        <v>243</v>
      </c>
      <c r="BO80" t="s">
        <v>243</v>
      </c>
      <c r="BP80" t="s">
        <v>3635</v>
      </c>
      <c r="BQ80" t="s">
        <v>3635</v>
      </c>
      <c r="BR80" t="s">
        <v>243</v>
      </c>
      <c r="BS80" t="s">
        <v>243</v>
      </c>
      <c r="BT80" t="s">
        <v>243</v>
      </c>
      <c r="BU80" t="s">
        <v>243</v>
      </c>
      <c r="BV80" t="s">
        <v>2829</v>
      </c>
      <c r="BW80" t="s">
        <v>243</v>
      </c>
      <c r="BX80" t="s">
        <v>243</v>
      </c>
      <c r="BY80" t="s">
        <v>243</v>
      </c>
      <c r="BZ80" t="s">
        <v>243</v>
      </c>
      <c r="CA80" t="s">
        <v>243</v>
      </c>
      <c r="CB80" t="s">
        <v>2829</v>
      </c>
      <c r="CC80" t="s">
        <v>243</v>
      </c>
      <c r="CD80" t="s">
        <v>243</v>
      </c>
      <c r="CE80" t="s">
        <v>243</v>
      </c>
      <c r="CF80" t="s">
        <v>243</v>
      </c>
      <c r="CG80" t="s">
        <v>243</v>
      </c>
      <c r="CH80" t="s">
        <v>2829</v>
      </c>
      <c r="CI80" t="s">
        <v>243</v>
      </c>
      <c r="CJ80" t="s">
        <v>243</v>
      </c>
      <c r="CK80" t="s">
        <v>243</v>
      </c>
      <c r="CL80" t="s">
        <v>243</v>
      </c>
      <c r="CM80" t="s">
        <v>243</v>
      </c>
      <c r="CN80" t="s">
        <v>3010</v>
      </c>
      <c r="CO80" t="s">
        <v>2843</v>
      </c>
      <c r="CP80" t="s">
        <v>2844</v>
      </c>
      <c r="CQ80" t="s">
        <v>430</v>
      </c>
      <c r="CR80" t="s">
        <v>2984</v>
      </c>
      <c r="CS80" t="s">
        <v>431</v>
      </c>
      <c r="CT80" t="s">
        <v>430</v>
      </c>
      <c r="CU80" t="s">
        <v>2985</v>
      </c>
      <c r="CV80" t="s">
        <v>2986</v>
      </c>
      <c r="CW80" t="s">
        <v>2984</v>
      </c>
      <c r="CX80" t="s">
        <v>2848</v>
      </c>
      <c r="CY80" t="s">
        <v>3636</v>
      </c>
    </row>
    <row r="81" spans="1:103" ht="11.25" customHeight="1">
      <c r="A81" t="s">
        <v>243</v>
      </c>
      <c r="B81" t="s">
        <v>243</v>
      </c>
      <c r="C81" t="s">
        <v>243</v>
      </c>
      <c r="D81" t="s">
        <v>243</v>
      </c>
      <c r="E81" t="s">
        <v>243</v>
      </c>
      <c r="F81" t="s">
        <v>2816</v>
      </c>
      <c r="G81" t="s">
        <v>243</v>
      </c>
      <c r="H81" t="s">
        <v>243</v>
      </c>
      <c r="I81" t="s">
        <v>3637</v>
      </c>
      <c r="J81" t="s">
        <v>243</v>
      </c>
      <c r="K81" t="s">
        <v>433</v>
      </c>
      <c r="L81" t="s">
        <v>243</v>
      </c>
      <c r="M81" t="s">
        <v>114</v>
      </c>
      <c r="N81" t="s">
        <v>243</v>
      </c>
      <c r="O81" t="s">
        <v>2819</v>
      </c>
      <c r="P81" t="s">
        <v>2820</v>
      </c>
      <c r="Q81" t="s">
        <v>2821</v>
      </c>
      <c r="R81" t="s">
        <v>200</v>
      </c>
      <c r="S81" t="s">
        <v>200</v>
      </c>
      <c r="T81" t="s">
        <v>2968</v>
      </c>
      <c r="U81" t="s">
        <v>2968</v>
      </c>
      <c r="V81" t="s">
        <v>2969</v>
      </c>
      <c r="W81" t="s">
        <v>3638</v>
      </c>
      <c r="X81" t="s">
        <v>3639</v>
      </c>
      <c r="Y81" t="s">
        <v>2918</v>
      </c>
      <c r="Z81" t="s">
        <v>3259</v>
      </c>
      <c r="AA81" t="s">
        <v>3640</v>
      </c>
      <c r="AB81" t="s">
        <v>2995</v>
      </c>
      <c r="AC81" t="s">
        <v>2829</v>
      </c>
      <c r="AD81" t="s">
        <v>2883</v>
      </c>
      <c r="AE81" t="s">
        <v>2857</v>
      </c>
      <c r="AF81" t="s">
        <v>3641</v>
      </c>
      <c r="AG81" t="s">
        <v>3641</v>
      </c>
      <c r="AH81" t="s">
        <v>2834</v>
      </c>
      <c r="AI81" t="s">
        <v>2835</v>
      </c>
      <c r="AJ81" t="s">
        <v>3030</v>
      </c>
      <c r="AK81" t="s">
        <v>3642</v>
      </c>
      <c r="AL81" t="s">
        <v>3640</v>
      </c>
      <c r="AM81" t="s">
        <v>2995</v>
      </c>
      <c r="AN81" t="s">
        <v>2829</v>
      </c>
      <c r="AO81" t="s">
        <v>2839</v>
      </c>
      <c r="AP81" t="s">
        <v>2840</v>
      </c>
      <c r="AQ81" t="s">
        <v>2841</v>
      </c>
      <c r="AR81" t="s">
        <v>3643</v>
      </c>
      <c r="AS81" t="s">
        <v>3643</v>
      </c>
      <c r="AT81" t="s">
        <v>2829</v>
      </c>
      <c r="AU81" t="s">
        <v>2829</v>
      </c>
      <c r="AV81" t="s">
        <v>2829</v>
      </c>
      <c r="AW81" t="s">
        <v>2829</v>
      </c>
      <c r="AX81" t="s">
        <v>2829</v>
      </c>
      <c r="AY81" t="s">
        <v>2829</v>
      </c>
      <c r="AZ81" t="s">
        <v>2829</v>
      </c>
      <c r="BA81" t="s">
        <v>2829</v>
      </c>
      <c r="BB81" t="s">
        <v>2829</v>
      </c>
      <c r="BC81" t="s">
        <v>2829</v>
      </c>
      <c r="BD81" t="s">
        <v>3169</v>
      </c>
      <c r="BE81" t="s">
        <v>3169</v>
      </c>
      <c r="BF81" t="s">
        <v>243</v>
      </c>
      <c r="BG81" t="s">
        <v>243</v>
      </c>
      <c r="BH81" t="s">
        <v>243</v>
      </c>
      <c r="BI81" t="s">
        <v>243</v>
      </c>
      <c r="BJ81" t="s">
        <v>2829</v>
      </c>
      <c r="BK81" t="s">
        <v>243</v>
      </c>
      <c r="BL81" t="s">
        <v>243</v>
      </c>
      <c r="BM81" t="s">
        <v>243</v>
      </c>
      <c r="BN81" t="s">
        <v>243</v>
      </c>
      <c r="BO81" t="s">
        <v>243</v>
      </c>
      <c r="BP81" t="s">
        <v>3644</v>
      </c>
      <c r="BQ81" t="s">
        <v>3644</v>
      </c>
      <c r="BR81" t="s">
        <v>243</v>
      </c>
      <c r="BS81" t="s">
        <v>243</v>
      </c>
      <c r="BT81" t="s">
        <v>243</v>
      </c>
      <c r="BU81" t="s">
        <v>243</v>
      </c>
      <c r="BV81" t="s">
        <v>2829</v>
      </c>
      <c r="BW81" t="s">
        <v>243</v>
      </c>
      <c r="BX81" t="s">
        <v>243</v>
      </c>
      <c r="BY81" t="s">
        <v>243</v>
      </c>
      <c r="BZ81" t="s">
        <v>243</v>
      </c>
      <c r="CA81" t="s">
        <v>243</v>
      </c>
      <c r="CB81" t="s">
        <v>2829</v>
      </c>
      <c r="CC81" t="s">
        <v>243</v>
      </c>
      <c r="CD81" t="s">
        <v>243</v>
      </c>
      <c r="CE81" t="s">
        <v>243</v>
      </c>
      <c r="CF81" t="s">
        <v>243</v>
      </c>
      <c r="CG81" t="s">
        <v>243</v>
      </c>
      <c r="CH81" t="s">
        <v>2829</v>
      </c>
      <c r="CI81" t="s">
        <v>243</v>
      </c>
      <c r="CJ81" t="s">
        <v>243</v>
      </c>
      <c r="CK81" t="s">
        <v>243</v>
      </c>
      <c r="CL81" t="s">
        <v>243</v>
      </c>
      <c r="CM81" t="s">
        <v>243</v>
      </c>
      <c r="CN81" t="s">
        <v>2942</v>
      </c>
      <c r="CO81" t="s">
        <v>2843</v>
      </c>
      <c r="CP81" t="s">
        <v>2844</v>
      </c>
      <c r="CQ81" t="s">
        <v>430</v>
      </c>
      <c r="CR81" t="s">
        <v>2984</v>
      </c>
      <c r="CS81" t="s">
        <v>431</v>
      </c>
      <c r="CT81" t="s">
        <v>430</v>
      </c>
      <c r="CU81" t="s">
        <v>2985</v>
      </c>
      <c r="CV81" t="s">
        <v>2986</v>
      </c>
      <c r="CW81" t="s">
        <v>2984</v>
      </c>
      <c r="CX81" t="s">
        <v>2848</v>
      </c>
      <c r="CY81" t="s">
        <v>3645</v>
      </c>
    </row>
    <row r="82" spans="1:103" ht="11.25" customHeight="1">
      <c r="A82" t="s">
        <v>243</v>
      </c>
      <c r="B82" t="s">
        <v>243</v>
      </c>
      <c r="C82" t="s">
        <v>243</v>
      </c>
      <c r="D82" t="s">
        <v>243</v>
      </c>
      <c r="E82" t="s">
        <v>243</v>
      </c>
      <c r="F82" t="s">
        <v>2816</v>
      </c>
      <c r="G82" t="s">
        <v>243</v>
      </c>
      <c r="H82" t="s">
        <v>243</v>
      </c>
      <c r="I82" t="s">
        <v>3646</v>
      </c>
      <c r="J82" t="s">
        <v>243</v>
      </c>
      <c r="K82" t="s">
        <v>3281</v>
      </c>
      <c r="L82" t="s">
        <v>243</v>
      </c>
      <c r="M82" t="s">
        <v>114</v>
      </c>
      <c r="N82" t="s">
        <v>243</v>
      </c>
      <c r="O82" t="s">
        <v>2819</v>
      </c>
      <c r="P82" t="s">
        <v>2820</v>
      </c>
      <c r="Q82" t="s">
        <v>2821</v>
      </c>
      <c r="R82" t="s">
        <v>200</v>
      </c>
      <c r="S82" t="s">
        <v>200</v>
      </c>
      <c r="T82" t="s">
        <v>3022</v>
      </c>
      <c r="U82" t="s">
        <v>3022</v>
      </c>
      <c r="V82" t="s">
        <v>3023</v>
      </c>
      <c r="W82" t="s">
        <v>3647</v>
      </c>
      <c r="X82" t="s">
        <v>3648</v>
      </c>
      <c r="Y82" t="s">
        <v>3127</v>
      </c>
      <c r="Z82" t="s">
        <v>2972</v>
      </c>
      <c r="AA82" t="s">
        <v>3649</v>
      </c>
      <c r="AB82" t="s">
        <v>3242</v>
      </c>
      <c r="AC82" t="s">
        <v>2829</v>
      </c>
      <c r="AD82" t="s">
        <v>2883</v>
      </c>
      <c r="AE82" t="s">
        <v>2831</v>
      </c>
      <c r="AF82" t="s">
        <v>3650</v>
      </c>
      <c r="AG82" t="s">
        <v>3650</v>
      </c>
      <c r="AH82" t="s">
        <v>2834</v>
      </c>
      <c r="AI82" t="s">
        <v>2835</v>
      </c>
      <c r="AJ82" t="s">
        <v>3030</v>
      </c>
      <c r="AK82" t="s">
        <v>3651</v>
      </c>
      <c r="AL82" t="s">
        <v>3649</v>
      </c>
      <c r="AM82" t="s">
        <v>3242</v>
      </c>
      <c r="AN82" t="s">
        <v>2829</v>
      </c>
      <c r="AO82" t="s">
        <v>2839</v>
      </c>
      <c r="AP82" t="s">
        <v>2840</v>
      </c>
      <c r="AQ82" t="s">
        <v>2841</v>
      </c>
      <c r="AR82" t="s">
        <v>3652</v>
      </c>
      <c r="AS82" t="s">
        <v>3652</v>
      </c>
      <c r="AT82" t="s">
        <v>2829</v>
      </c>
      <c r="AU82" t="s">
        <v>2829</v>
      </c>
      <c r="AV82" t="s">
        <v>2829</v>
      </c>
      <c r="AW82" t="s">
        <v>2829</v>
      </c>
      <c r="AX82" t="s">
        <v>2829</v>
      </c>
      <c r="AY82" t="s">
        <v>2829</v>
      </c>
      <c r="AZ82" t="s">
        <v>2829</v>
      </c>
      <c r="BA82" t="s">
        <v>2829</v>
      </c>
      <c r="BB82" t="s">
        <v>2829</v>
      </c>
      <c r="BC82" t="s">
        <v>2829</v>
      </c>
      <c r="BD82" t="s">
        <v>3653</v>
      </c>
      <c r="BE82" t="s">
        <v>3653</v>
      </c>
      <c r="BF82" t="s">
        <v>243</v>
      </c>
      <c r="BG82" t="s">
        <v>243</v>
      </c>
      <c r="BH82" t="s">
        <v>243</v>
      </c>
      <c r="BI82" t="s">
        <v>243</v>
      </c>
      <c r="BJ82" t="s">
        <v>2829</v>
      </c>
      <c r="BK82" t="s">
        <v>243</v>
      </c>
      <c r="BL82" t="s">
        <v>243</v>
      </c>
      <c r="BM82" t="s">
        <v>243</v>
      </c>
      <c r="BN82" t="s">
        <v>243</v>
      </c>
      <c r="BO82" t="s">
        <v>243</v>
      </c>
      <c r="BP82" t="s">
        <v>3654</v>
      </c>
      <c r="BQ82" t="s">
        <v>3654</v>
      </c>
      <c r="BR82" t="s">
        <v>243</v>
      </c>
      <c r="BS82" t="s">
        <v>243</v>
      </c>
      <c r="BT82" t="s">
        <v>243</v>
      </c>
      <c r="BU82" t="s">
        <v>243</v>
      </c>
      <c r="BV82" t="s">
        <v>2829</v>
      </c>
      <c r="BW82" t="s">
        <v>243</v>
      </c>
      <c r="BX82" t="s">
        <v>243</v>
      </c>
      <c r="BY82" t="s">
        <v>243</v>
      </c>
      <c r="BZ82" t="s">
        <v>243</v>
      </c>
      <c r="CA82" t="s">
        <v>243</v>
      </c>
      <c r="CB82" t="s">
        <v>2829</v>
      </c>
      <c r="CC82" t="s">
        <v>243</v>
      </c>
      <c r="CD82" t="s">
        <v>243</v>
      </c>
      <c r="CE82" t="s">
        <v>243</v>
      </c>
      <c r="CF82" t="s">
        <v>243</v>
      </c>
      <c r="CG82" t="s">
        <v>243</v>
      </c>
      <c r="CH82" t="s">
        <v>2829</v>
      </c>
      <c r="CI82" t="s">
        <v>243</v>
      </c>
      <c r="CJ82" t="s">
        <v>243</v>
      </c>
      <c r="CK82" t="s">
        <v>243</v>
      </c>
      <c r="CL82" t="s">
        <v>243</v>
      </c>
      <c r="CM82" t="s">
        <v>243</v>
      </c>
      <c r="CN82" t="s">
        <v>3030</v>
      </c>
      <c r="CO82" t="s">
        <v>2843</v>
      </c>
      <c r="CP82" t="s">
        <v>2844</v>
      </c>
      <c r="CQ82" t="s">
        <v>430</v>
      </c>
      <c r="CR82" t="s">
        <v>3033</v>
      </c>
      <c r="CS82" t="s">
        <v>431</v>
      </c>
      <c r="CT82" t="s">
        <v>430</v>
      </c>
      <c r="CU82" t="s">
        <v>3034</v>
      </c>
      <c r="CV82" t="s">
        <v>432</v>
      </c>
      <c r="CW82" t="s">
        <v>3033</v>
      </c>
      <c r="CX82" t="s">
        <v>2848</v>
      </c>
      <c r="CY82" t="s">
        <v>3655</v>
      </c>
    </row>
    <row r="83" spans="1:103" ht="11.25" customHeight="1">
      <c r="A83" t="s">
        <v>243</v>
      </c>
      <c r="B83" t="s">
        <v>243</v>
      </c>
      <c r="C83" t="s">
        <v>243</v>
      </c>
      <c r="D83" t="s">
        <v>243</v>
      </c>
      <c r="E83" t="s">
        <v>243</v>
      </c>
      <c r="F83" t="s">
        <v>2816</v>
      </c>
      <c r="G83" t="s">
        <v>243</v>
      </c>
      <c r="H83" t="s">
        <v>243</v>
      </c>
      <c r="I83" t="s">
        <v>3656</v>
      </c>
      <c r="J83" t="s">
        <v>243</v>
      </c>
      <c r="K83" t="s">
        <v>461</v>
      </c>
      <c r="L83" t="s">
        <v>243</v>
      </c>
      <c r="M83" t="s">
        <v>114</v>
      </c>
      <c r="N83" t="s">
        <v>243</v>
      </c>
      <c r="O83" t="s">
        <v>2819</v>
      </c>
      <c r="P83" t="s">
        <v>2820</v>
      </c>
      <c r="Q83" t="s">
        <v>2821</v>
      </c>
      <c r="R83" t="s">
        <v>200</v>
      </c>
      <c r="S83" t="s">
        <v>200</v>
      </c>
      <c r="T83" t="s">
        <v>3022</v>
      </c>
      <c r="U83" t="s">
        <v>3022</v>
      </c>
      <c r="V83" t="s">
        <v>3023</v>
      </c>
      <c r="W83" t="s">
        <v>3647</v>
      </c>
      <c r="X83" t="s">
        <v>3648</v>
      </c>
      <c r="Y83" t="s">
        <v>3657</v>
      </c>
      <c r="Z83" t="s">
        <v>3658</v>
      </c>
      <c r="AA83" t="s">
        <v>3480</v>
      </c>
      <c r="AB83" t="s">
        <v>3659</v>
      </c>
      <c r="AC83" t="s">
        <v>2829</v>
      </c>
      <c r="AD83" t="s">
        <v>2883</v>
      </c>
      <c r="AE83" t="s">
        <v>2831</v>
      </c>
      <c r="AF83" t="s">
        <v>3660</v>
      </c>
      <c r="AG83" t="s">
        <v>3660</v>
      </c>
      <c r="AH83" t="s">
        <v>2834</v>
      </c>
      <c r="AI83" t="s">
        <v>2835</v>
      </c>
      <c r="AJ83" t="s">
        <v>3661</v>
      </c>
      <c r="AK83" t="s">
        <v>3662</v>
      </c>
      <c r="AL83" t="s">
        <v>3480</v>
      </c>
      <c r="AM83" t="s">
        <v>3659</v>
      </c>
      <c r="AN83" t="s">
        <v>2829</v>
      </c>
      <c r="AO83" t="s">
        <v>2839</v>
      </c>
      <c r="AP83" t="s">
        <v>2840</v>
      </c>
      <c r="AQ83" t="s">
        <v>2841</v>
      </c>
      <c r="AR83" t="s">
        <v>3541</v>
      </c>
      <c r="AS83" t="s">
        <v>3541</v>
      </c>
      <c r="AT83" t="s">
        <v>2829</v>
      </c>
      <c r="AU83" t="s">
        <v>2829</v>
      </c>
      <c r="AV83" t="s">
        <v>2829</v>
      </c>
      <c r="AW83" t="s">
        <v>2829</v>
      </c>
      <c r="AX83" t="s">
        <v>2829</v>
      </c>
      <c r="AY83" t="s">
        <v>2829</v>
      </c>
      <c r="AZ83" t="s">
        <v>2829</v>
      </c>
      <c r="BA83" t="s">
        <v>2829</v>
      </c>
      <c r="BB83" t="s">
        <v>2829</v>
      </c>
      <c r="BC83" t="s">
        <v>2829</v>
      </c>
      <c r="BD83" t="s">
        <v>3663</v>
      </c>
      <c r="BE83" t="s">
        <v>3663</v>
      </c>
      <c r="BF83" t="s">
        <v>243</v>
      </c>
      <c r="BG83" t="s">
        <v>243</v>
      </c>
      <c r="BH83" t="s">
        <v>243</v>
      </c>
      <c r="BI83" t="s">
        <v>243</v>
      </c>
      <c r="BJ83" t="s">
        <v>2829</v>
      </c>
      <c r="BK83" t="s">
        <v>243</v>
      </c>
      <c r="BL83" t="s">
        <v>243</v>
      </c>
      <c r="BM83" t="s">
        <v>243</v>
      </c>
      <c r="BN83" t="s">
        <v>243</v>
      </c>
      <c r="BO83" t="s">
        <v>243</v>
      </c>
      <c r="BP83" t="s">
        <v>3664</v>
      </c>
      <c r="BQ83" t="s">
        <v>3664</v>
      </c>
      <c r="BR83" t="s">
        <v>243</v>
      </c>
      <c r="BS83" t="s">
        <v>243</v>
      </c>
      <c r="BT83" t="s">
        <v>243</v>
      </c>
      <c r="BU83" t="s">
        <v>243</v>
      </c>
      <c r="BV83" t="s">
        <v>2829</v>
      </c>
      <c r="BW83" t="s">
        <v>243</v>
      </c>
      <c r="BX83" t="s">
        <v>243</v>
      </c>
      <c r="BY83" t="s">
        <v>243</v>
      </c>
      <c r="BZ83" t="s">
        <v>243</v>
      </c>
      <c r="CA83" t="s">
        <v>243</v>
      </c>
      <c r="CB83" t="s">
        <v>2829</v>
      </c>
      <c r="CC83" t="s">
        <v>243</v>
      </c>
      <c r="CD83" t="s">
        <v>243</v>
      </c>
      <c r="CE83" t="s">
        <v>243</v>
      </c>
      <c r="CF83" t="s">
        <v>243</v>
      </c>
      <c r="CG83" t="s">
        <v>243</v>
      </c>
      <c r="CH83" t="s">
        <v>2829</v>
      </c>
      <c r="CI83" t="s">
        <v>243</v>
      </c>
      <c r="CJ83" t="s">
        <v>243</v>
      </c>
      <c r="CK83" t="s">
        <v>243</v>
      </c>
      <c r="CL83" t="s">
        <v>243</v>
      </c>
      <c r="CM83" t="s">
        <v>243</v>
      </c>
      <c r="CN83" t="s">
        <v>3030</v>
      </c>
      <c r="CO83" t="s">
        <v>2843</v>
      </c>
      <c r="CP83" t="s">
        <v>2844</v>
      </c>
      <c r="CQ83" t="s">
        <v>430</v>
      </c>
      <c r="CR83" t="s">
        <v>3033</v>
      </c>
      <c r="CS83" t="s">
        <v>431</v>
      </c>
      <c r="CT83" t="s">
        <v>430</v>
      </c>
      <c r="CU83" t="s">
        <v>3034</v>
      </c>
      <c r="CV83" t="s">
        <v>432</v>
      </c>
      <c r="CW83" t="s">
        <v>3033</v>
      </c>
      <c r="CX83" t="s">
        <v>2848</v>
      </c>
      <c r="CY83" t="s">
        <v>3665</v>
      </c>
    </row>
    <row r="84" spans="1:103" ht="11.25" customHeight="1">
      <c r="A84" t="s">
        <v>243</v>
      </c>
      <c r="B84" t="s">
        <v>243</v>
      </c>
      <c r="C84" t="s">
        <v>243</v>
      </c>
      <c r="D84" t="s">
        <v>243</v>
      </c>
      <c r="E84" t="s">
        <v>243</v>
      </c>
      <c r="F84" t="s">
        <v>2816</v>
      </c>
      <c r="G84" t="s">
        <v>243</v>
      </c>
      <c r="H84" t="s">
        <v>243</v>
      </c>
      <c r="I84" t="s">
        <v>3666</v>
      </c>
      <c r="J84" t="s">
        <v>243</v>
      </c>
      <c r="K84" t="s">
        <v>3667</v>
      </c>
      <c r="L84" t="s">
        <v>243</v>
      </c>
      <c r="M84" t="s">
        <v>114</v>
      </c>
      <c r="N84" t="s">
        <v>243</v>
      </c>
      <c r="O84" t="s">
        <v>2819</v>
      </c>
      <c r="P84" t="s">
        <v>2820</v>
      </c>
      <c r="Q84" t="s">
        <v>2821</v>
      </c>
      <c r="R84" t="s">
        <v>200</v>
      </c>
      <c r="S84" t="s">
        <v>200</v>
      </c>
      <c r="T84" t="s">
        <v>3022</v>
      </c>
      <c r="U84" t="s">
        <v>3022</v>
      </c>
      <c r="V84" t="s">
        <v>3023</v>
      </c>
      <c r="W84" t="s">
        <v>3668</v>
      </c>
      <c r="X84" t="s">
        <v>3669</v>
      </c>
      <c r="Y84" t="s">
        <v>3584</v>
      </c>
      <c r="Z84" t="s">
        <v>3670</v>
      </c>
      <c r="AA84" t="s">
        <v>3671</v>
      </c>
      <c r="AB84" t="s">
        <v>3672</v>
      </c>
      <c r="AC84" t="s">
        <v>2829</v>
      </c>
      <c r="AD84" t="s">
        <v>2883</v>
      </c>
      <c r="AE84" t="s">
        <v>2831</v>
      </c>
      <c r="AF84" t="s">
        <v>3482</v>
      </c>
      <c r="AG84" t="s">
        <v>3482</v>
      </c>
      <c r="AH84" t="s">
        <v>2834</v>
      </c>
      <c r="AI84" t="s">
        <v>2835</v>
      </c>
      <c r="AJ84" t="s">
        <v>3030</v>
      </c>
      <c r="AK84" t="s">
        <v>3673</v>
      </c>
      <c r="AL84" t="s">
        <v>3671</v>
      </c>
      <c r="AM84" t="s">
        <v>3672</v>
      </c>
      <c r="AN84" t="s">
        <v>2829</v>
      </c>
      <c r="AO84" t="s">
        <v>2839</v>
      </c>
      <c r="AP84" t="s">
        <v>2840</v>
      </c>
      <c r="AQ84" t="s">
        <v>2841</v>
      </c>
      <c r="AR84" t="s">
        <v>3674</v>
      </c>
      <c r="AS84" t="s">
        <v>3674</v>
      </c>
      <c r="AT84" t="s">
        <v>2829</v>
      </c>
      <c r="AU84" t="s">
        <v>2829</v>
      </c>
      <c r="AV84" t="s">
        <v>2829</v>
      </c>
      <c r="AW84" t="s">
        <v>2829</v>
      </c>
      <c r="AX84" t="s">
        <v>2829</v>
      </c>
      <c r="AY84" t="s">
        <v>2829</v>
      </c>
      <c r="AZ84" t="s">
        <v>2829</v>
      </c>
      <c r="BA84" t="s">
        <v>2829</v>
      </c>
      <c r="BB84" t="s">
        <v>2829</v>
      </c>
      <c r="BC84" t="s">
        <v>2829</v>
      </c>
      <c r="BD84" t="s">
        <v>2829</v>
      </c>
      <c r="BE84" t="s">
        <v>243</v>
      </c>
      <c r="BF84" t="s">
        <v>243</v>
      </c>
      <c r="BG84" t="s">
        <v>243</v>
      </c>
      <c r="BH84" t="s">
        <v>243</v>
      </c>
      <c r="BI84" t="s">
        <v>243</v>
      </c>
      <c r="BJ84" t="s">
        <v>2829</v>
      </c>
      <c r="BK84" t="s">
        <v>243</v>
      </c>
      <c r="BL84" t="s">
        <v>243</v>
      </c>
      <c r="BM84" t="s">
        <v>243</v>
      </c>
      <c r="BN84" t="s">
        <v>243</v>
      </c>
      <c r="BO84" t="s">
        <v>243</v>
      </c>
      <c r="BP84" t="s">
        <v>3674</v>
      </c>
      <c r="BQ84" t="s">
        <v>3674</v>
      </c>
      <c r="BR84" t="s">
        <v>243</v>
      </c>
      <c r="BS84" t="s">
        <v>243</v>
      </c>
      <c r="BT84" t="s">
        <v>243</v>
      </c>
      <c r="BU84" t="s">
        <v>243</v>
      </c>
      <c r="BV84" t="s">
        <v>2829</v>
      </c>
      <c r="BW84" t="s">
        <v>243</v>
      </c>
      <c r="BX84" t="s">
        <v>243</v>
      </c>
      <c r="BY84" t="s">
        <v>243</v>
      </c>
      <c r="BZ84" t="s">
        <v>243</v>
      </c>
      <c r="CA84" t="s">
        <v>243</v>
      </c>
      <c r="CB84" t="s">
        <v>2829</v>
      </c>
      <c r="CC84" t="s">
        <v>243</v>
      </c>
      <c r="CD84" t="s">
        <v>243</v>
      </c>
      <c r="CE84" t="s">
        <v>243</v>
      </c>
      <c r="CF84" t="s">
        <v>243</v>
      </c>
      <c r="CG84" t="s">
        <v>243</v>
      </c>
      <c r="CH84" t="s">
        <v>2829</v>
      </c>
      <c r="CI84" t="s">
        <v>243</v>
      </c>
      <c r="CJ84" t="s">
        <v>243</v>
      </c>
      <c r="CK84" t="s">
        <v>243</v>
      </c>
      <c r="CL84" t="s">
        <v>243</v>
      </c>
      <c r="CM84" t="s">
        <v>243</v>
      </c>
      <c r="CN84" t="s">
        <v>3030</v>
      </c>
      <c r="CO84" t="s">
        <v>2843</v>
      </c>
      <c r="CP84" t="s">
        <v>2844</v>
      </c>
      <c r="CQ84" t="s">
        <v>430</v>
      </c>
      <c r="CR84" t="s">
        <v>3033</v>
      </c>
      <c r="CS84" t="s">
        <v>431</v>
      </c>
      <c r="CT84" t="s">
        <v>430</v>
      </c>
      <c r="CU84" t="s">
        <v>3034</v>
      </c>
      <c r="CV84" t="s">
        <v>432</v>
      </c>
      <c r="CW84" t="s">
        <v>3033</v>
      </c>
      <c r="CX84" t="s">
        <v>2848</v>
      </c>
      <c r="CY84" t="s">
        <v>3675</v>
      </c>
    </row>
    <row r="85" spans="1:103" ht="11.25" customHeight="1">
      <c r="A85" t="s">
        <v>243</v>
      </c>
      <c r="B85" t="s">
        <v>243</v>
      </c>
      <c r="C85" t="s">
        <v>243</v>
      </c>
      <c r="D85" t="s">
        <v>243</v>
      </c>
      <c r="E85" t="s">
        <v>243</v>
      </c>
      <c r="F85" t="s">
        <v>2816</v>
      </c>
      <c r="G85" t="s">
        <v>243</v>
      </c>
      <c r="H85" t="s">
        <v>243</v>
      </c>
      <c r="I85" t="s">
        <v>3676</v>
      </c>
      <c r="J85" t="s">
        <v>243</v>
      </c>
      <c r="K85" t="s">
        <v>3677</v>
      </c>
      <c r="L85" t="s">
        <v>243</v>
      </c>
      <c r="M85" t="s">
        <v>114</v>
      </c>
      <c r="N85" t="s">
        <v>243</v>
      </c>
      <c r="O85" t="s">
        <v>2819</v>
      </c>
      <c r="P85" t="s">
        <v>2820</v>
      </c>
      <c r="Q85" t="s">
        <v>2821</v>
      </c>
      <c r="R85" t="s">
        <v>200</v>
      </c>
      <c r="S85" t="s">
        <v>200</v>
      </c>
      <c r="T85" t="s">
        <v>3022</v>
      </c>
      <c r="U85" t="s">
        <v>3022</v>
      </c>
      <c r="V85" t="s">
        <v>3023</v>
      </c>
      <c r="W85" t="s">
        <v>3678</v>
      </c>
      <c r="X85" t="s">
        <v>3679</v>
      </c>
      <c r="Y85" t="s">
        <v>3680</v>
      </c>
      <c r="Z85" t="s">
        <v>3681</v>
      </c>
      <c r="AA85" t="s">
        <v>3095</v>
      </c>
      <c r="AB85" t="s">
        <v>3631</v>
      </c>
      <c r="AC85" t="s">
        <v>2829</v>
      </c>
      <c r="AD85" t="s">
        <v>2883</v>
      </c>
      <c r="AE85" t="s">
        <v>2831</v>
      </c>
      <c r="AF85" t="s">
        <v>3682</v>
      </c>
      <c r="AG85" t="s">
        <v>3682</v>
      </c>
      <c r="AH85" t="s">
        <v>2834</v>
      </c>
      <c r="AI85" t="s">
        <v>2835</v>
      </c>
      <c r="AJ85" t="s">
        <v>3030</v>
      </c>
      <c r="AK85" t="s">
        <v>3131</v>
      </c>
      <c r="AL85" t="s">
        <v>3095</v>
      </c>
      <c r="AM85" t="s">
        <v>3631</v>
      </c>
      <c r="AN85" t="s">
        <v>2829</v>
      </c>
      <c r="AO85" t="s">
        <v>2839</v>
      </c>
      <c r="AP85" t="s">
        <v>2840</v>
      </c>
      <c r="AQ85" t="s">
        <v>2841</v>
      </c>
      <c r="AR85" t="s">
        <v>3683</v>
      </c>
      <c r="AS85" t="s">
        <v>3683</v>
      </c>
      <c r="AT85" t="s">
        <v>2829</v>
      </c>
      <c r="AU85" t="s">
        <v>2829</v>
      </c>
      <c r="AV85" t="s">
        <v>2829</v>
      </c>
      <c r="AW85" t="s">
        <v>2829</v>
      </c>
      <c r="AX85" t="s">
        <v>2829</v>
      </c>
      <c r="AY85" t="s">
        <v>2829</v>
      </c>
      <c r="AZ85" t="s">
        <v>2829</v>
      </c>
      <c r="BA85" t="s">
        <v>2829</v>
      </c>
      <c r="BB85" t="s">
        <v>2829</v>
      </c>
      <c r="BC85" t="s">
        <v>2829</v>
      </c>
      <c r="BD85" t="s">
        <v>2829</v>
      </c>
      <c r="BE85" t="s">
        <v>243</v>
      </c>
      <c r="BF85" t="s">
        <v>243</v>
      </c>
      <c r="BG85" t="s">
        <v>243</v>
      </c>
      <c r="BH85" t="s">
        <v>243</v>
      </c>
      <c r="BI85" t="s">
        <v>243</v>
      </c>
      <c r="BJ85" t="s">
        <v>2829</v>
      </c>
      <c r="BK85" t="s">
        <v>243</v>
      </c>
      <c r="BL85" t="s">
        <v>243</v>
      </c>
      <c r="BM85" t="s">
        <v>243</v>
      </c>
      <c r="BN85" t="s">
        <v>243</v>
      </c>
      <c r="BO85" t="s">
        <v>243</v>
      </c>
      <c r="BP85" t="s">
        <v>3683</v>
      </c>
      <c r="BQ85" t="s">
        <v>3683</v>
      </c>
      <c r="BR85" t="s">
        <v>243</v>
      </c>
      <c r="BS85" t="s">
        <v>243</v>
      </c>
      <c r="BT85" t="s">
        <v>243</v>
      </c>
      <c r="BU85" t="s">
        <v>243</v>
      </c>
      <c r="BV85" t="s">
        <v>2829</v>
      </c>
      <c r="BW85" t="s">
        <v>243</v>
      </c>
      <c r="BX85" t="s">
        <v>243</v>
      </c>
      <c r="BY85" t="s">
        <v>243</v>
      </c>
      <c r="BZ85" t="s">
        <v>243</v>
      </c>
      <c r="CA85" t="s">
        <v>243</v>
      </c>
      <c r="CB85" t="s">
        <v>2829</v>
      </c>
      <c r="CC85" t="s">
        <v>243</v>
      </c>
      <c r="CD85" t="s">
        <v>243</v>
      </c>
      <c r="CE85" t="s">
        <v>243</v>
      </c>
      <c r="CF85" t="s">
        <v>243</v>
      </c>
      <c r="CG85" t="s">
        <v>243</v>
      </c>
      <c r="CH85" t="s">
        <v>2829</v>
      </c>
      <c r="CI85" t="s">
        <v>243</v>
      </c>
      <c r="CJ85" t="s">
        <v>243</v>
      </c>
      <c r="CK85" t="s">
        <v>243</v>
      </c>
      <c r="CL85" t="s">
        <v>243</v>
      </c>
      <c r="CM85" t="s">
        <v>243</v>
      </c>
      <c r="CN85" t="s">
        <v>3044</v>
      </c>
      <c r="CO85" t="s">
        <v>2843</v>
      </c>
      <c r="CP85" t="s">
        <v>2844</v>
      </c>
      <c r="CQ85" t="s">
        <v>430</v>
      </c>
      <c r="CR85" t="s">
        <v>3033</v>
      </c>
      <c r="CS85" t="s">
        <v>431</v>
      </c>
      <c r="CT85" t="s">
        <v>430</v>
      </c>
      <c r="CU85" t="s">
        <v>3034</v>
      </c>
      <c r="CV85" t="s">
        <v>432</v>
      </c>
      <c r="CW85" t="s">
        <v>3033</v>
      </c>
      <c r="CX85" t="s">
        <v>2848</v>
      </c>
      <c r="CY85" t="s">
        <v>3684</v>
      </c>
    </row>
    <row r="86" spans="1:103" ht="11.25" customHeight="1">
      <c r="A86" t="s">
        <v>243</v>
      </c>
      <c r="B86" t="s">
        <v>243</v>
      </c>
      <c r="C86" t="s">
        <v>243</v>
      </c>
      <c r="D86" t="s">
        <v>243</v>
      </c>
      <c r="E86" t="s">
        <v>243</v>
      </c>
      <c r="F86" t="s">
        <v>2816</v>
      </c>
      <c r="G86" t="s">
        <v>243</v>
      </c>
      <c r="H86" t="s">
        <v>243</v>
      </c>
      <c r="I86" t="s">
        <v>3685</v>
      </c>
      <c r="J86" t="s">
        <v>243</v>
      </c>
      <c r="K86" t="s">
        <v>3178</v>
      </c>
      <c r="L86" t="s">
        <v>243</v>
      </c>
      <c r="M86" t="s">
        <v>114</v>
      </c>
      <c r="N86" t="s">
        <v>243</v>
      </c>
      <c r="O86" t="s">
        <v>2819</v>
      </c>
      <c r="P86" t="s">
        <v>2820</v>
      </c>
      <c r="Q86" t="s">
        <v>2821</v>
      </c>
      <c r="R86" t="s">
        <v>200</v>
      </c>
      <c r="S86" t="s">
        <v>200</v>
      </c>
      <c r="T86" t="s">
        <v>3048</v>
      </c>
      <c r="U86" t="s">
        <v>3048</v>
      </c>
      <c r="V86" t="s">
        <v>3049</v>
      </c>
      <c r="W86" t="s">
        <v>3686</v>
      </c>
      <c r="X86" t="s">
        <v>3687</v>
      </c>
      <c r="Y86" t="s">
        <v>3610</v>
      </c>
      <c r="Z86" t="s">
        <v>3219</v>
      </c>
      <c r="AA86" t="s">
        <v>3393</v>
      </c>
      <c r="AB86" t="s">
        <v>3688</v>
      </c>
      <c r="AC86" t="s">
        <v>2829</v>
      </c>
      <c r="AD86" t="s">
        <v>2883</v>
      </c>
      <c r="AE86" t="s">
        <v>2831</v>
      </c>
      <c r="AF86" t="s">
        <v>3055</v>
      </c>
      <c r="AG86" t="s">
        <v>3055</v>
      </c>
      <c r="AH86" t="s">
        <v>2834</v>
      </c>
      <c r="AI86" t="s">
        <v>2835</v>
      </c>
      <c r="AJ86" t="s">
        <v>3008</v>
      </c>
      <c r="AK86" t="s">
        <v>3689</v>
      </c>
      <c r="AL86" t="s">
        <v>3393</v>
      </c>
      <c r="AM86" t="s">
        <v>3688</v>
      </c>
      <c r="AN86" t="s">
        <v>2829</v>
      </c>
      <c r="AO86" t="s">
        <v>2839</v>
      </c>
      <c r="AP86" t="s">
        <v>2840</v>
      </c>
      <c r="AQ86" t="s">
        <v>2841</v>
      </c>
      <c r="AR86" t="s">
        <v>3066</v>
      </c>
      <c r="AS86" t="s">
        <v>3066</v>
      </c>
      <c r="AT86" t="s">
        <v>2829</v>
      </c>
      <c r="AU86" t="s">
        <v>2829</v>
      </c>
      <c r="AV86" t="s">
        <v>2829</v>
      </c>
      <c r="AW86" t="s">
        <v>2829</v>
      </c>
      <c r="AX86" t="s">
        <v>2829</v>
      </c>
      <c r="AY86" t="s">
        <v>2829</v>
      </c>
      <c r="AZ86" t="s">
        <v>2829</v>
      </c>
      <c r="BA86" t="s">
        <v>2829</v>
      </c>
      <c r="BB86" t="s">
        <v>2829</v>
      </c>
      <c r="BC86" t="s">
        <v>2829</v>
      </c>
      <c r="BD86" t="s">
        <v>3066</v>
      </c>
      <c r="BE86" t="s">
        <v>3066</v>
      </c>
      <c r="BF86" t="s">
        <v>243</v>
      </c>
      <c r="BG86" t="s">
        <v>243</v>
      </c>
      <c r="BH86" t="s">
        <v>243</v>
      </c>
      <c r="BI86" t="s">
        <v>243</v>
      </c>
      <c r="BJ86" t="s">
        <v>2829</v>
      </c>
      <c r="BK86" t="s">
        <v>243</v>
      </c>
      <c r="BL86" t="s">
        <v>243</v>
      </c>
      <c r="BM86" t="s">
        <v>243</v>
      </c>
      <c r="BN86" t="s">
        <v>243</v>
      </c>
      <c r="BO86" t="s">
        <v>243</v>
      </c>
      <c r="BP86" t="s">
        <v>2829</v>
      </c>
      <c r="BQ86" t="s">
        <v>243</v>
      </c>
      <c r="BR86" t="s">
        <v>243</v>
      </c>
      <c r="BS86" t="s">
        <v>243</v>
      </c>
      <c r="BT86" t="s">
        <v>243</v>
      </c>
      <c r="BU86" t="s">
        <v>243</v>
      </c>
      <c r="BV86" t="s">
        <v>2829</v>
      </c>
      <c r="BW86" t="s">
        <v>243</v>
      </c>
      <c r="BX86" t="s">
        <v>243</v>
      </c>
      <c r="BY86" t="s">
        <v>243</v>
      </c>
      <c r="BZ86" t="s">
        <v>243</v>
      </c>
      <c r="CA86" t="s">
        <v>243</v>
      </c>
      <c r="CB86" t="s">
        <v>2829</v>
      </c>
      <c r="CC86" t="s">
        <v>243</v>
      </c>
      <c r="CD86" t="s">
        <v>243</v>
      </c>
      <c r="CE86" t="s">
        <v>243</v>
      </c>
      <c r="CF86" t="s">
        <v>243</v>
      </c>
      <c r="CG86" t="s">
        <v>243</v>
      </c>
      <c r="CH86" t="s">
        <v>2829</v>
      </c>
      <c r="CI86" t="s">
        <v>243</v>
      </c>
      <c r="CJ86" t="s">
        <v>243</v>
      </c>
      <c r="CK86" t="s">
        <v>243</v>
      </c>
      <c r="CL86" t="s">
        <v>243</v>
      </c>
      <c r="CM86" t="s">
        <v>243</v>
      </c>
      <c r="CN86" t="s">
        <v>3187</v>
      </c>
      <c r="CO86" t="s">
        <v>2843</v>
      </c>
      <c r="CP86" t="s">
        <v>2844</v>
      </c>
      <c r="CQ86" t="s">
        <v>470</v>
      </c>
      <c r="CR86" t="s">
        <v>2872</v>
      </c>
      <c r="CS86" t="s">
        <v>431</v>
      </c>
      <c r="CT86" t="s">
        <v>470</v>
      </c>
      <c r="CU86" t="s">
        <v>3061</v>
      </c>
      <c r="CV86" t="s">
        <v>3062</v>
      </c>
      <c r="CW86" t="s">
        <v>2872</v>
      </c>
      <c r="CX86" t="s">
        <v>2848</v>
      </c>
      <c r="CY86" t="s">
        <v>3690</v>
      </c>
    </row>
    <row r="87" spans="1:103" ht="11.25" customHeight="1">
      <c r="A87" t="s">
        <v>243</v>
      </c>
      <c r="B87" t="s">
        <v>243</v>
      </c>
      <c r="C87" t="s">
        <v>243</v>
      </c>
      <c r="D87" t="s">
        <v>243</v>
      </c>
      <c r="E87" t="s">
        <v>243</v>
      </c>
      <c r="F87" t="s">
        <v>2816</v>
      </c>
      <c r="G87" t="s">
        <v>243</v>
      </c>
      <c r="H87" t="s">
        <v>243</v>
      </c>
      <c r="I87" t="s">
        <v>3691</v>
      </c>
      <c r="J87" t="s">
        <v>243</v>
      </c>
      <c r="K87" t="s">
        <v>3692</v>
      </c>
      <c r="L87" t="s">
        <v>243</v>
      </c>
      <c r="M87" t="s">
        <v>114</v>
      </c>
      <c r="N87" t="s">
        <v>243</v>
      </c>
      <c r="O87" t="s">
        <v>2819</v>
      </c>
      <c r="P87" t="s">
        <v>2820</v>
      </c>
      <c r="Q87" t="s">
        <v>2821</v>
      </c>
      <c r="R87" t="s">
        <v>200</v>
      </c>
      <c r="S87" t="s">
        <v>200</v>
      </c>
      <c r="T87" t="s">
        <v>2933</v>
      </c>
      <c r="U87" t="s">
        <v>2933</v>
      </c>
      <c r="V87" t="s">
        <v>2934</v>
      </c>
      <c r="W87" t="s">
        <v>3138</v>
      </c>
      <c r="X87" t="s">
        <v>3139</v>
      </c>
      <c r="Y87" t="s">
        <v>3693</v>
      </c>
      <c r="Z87" t="s">
        <v>3477</v>
      </c>
      <c r="AA87" t="s">
        <v>3694</v>
      </c>
      <c r="AB87" t="s">
        <v>3695</v>
      </c>
      <c r="AC87" t="s">
        <v>3260</v>
      </c>
      <c r="AD87" t="s">
        <v>2883</v>
      </c>
      <c r="AE87" t="s">
        <v>2831</v>
      </c>
      <c r="AF87" t="s">
        <v>3144</v>
      </c>
      <c r="AG87" t="s">
        <v>3696</v>
      </c>
      <c r="AH87" t="s">
        <v>2834</v>
      </c>
      <c r="AI87" t="s">
        <v>2887</v>
      </c>
      <c r="AJ87" t="s">
        <v>3146</v>
      </c>
      <c r="AK87" t="s">
        <v>3697</v>
      </c>
      <c r="AL87" t="s">
        <v>3694</v>
      </c>
      <c r="AM87" t="s">
        <v>3698</v>
      </c>
      <c r="AN87" t="s">
        <v>3260</v>
      </c>
      <c r="AO87" t="s">
        <v>2839</v>
      </c>
      <c r="AP87" t="s">
        <v>2840</v>
      </c>
      <c r="AQ87" t="s">
        <v>2841</v>
      </c>
      <c r="AR87" t="s">
        <v>3699</v>
      </c>
      <c r="AS87" t="s">
        <v>3700</v>
      </c>
      <c r="AT87" t="s">
        <v>3701</v>
      </c>
      <c r="AU87" t="s">
        <v>3702</v>
      </c>
      <c r="AV87" t="s">
        <v>3703</v>
      </c>
      <c r="AW87" t="s">
        <v>2829</v>
      </c>
      <c r="AX87" t="s">
        <v>2829</v>
      </c>
      <c r="AY87" t="s">
        <v>2829</v>
      </c>
      <c r="AZ87" t="s">
        <v>2829</v>
      </c>
      <c r="BA87" t="s">
        <v>2829</v>
      </c>
      <c r="BB87" t="s">
        <v>2829</v>
      </c>
      <c r="BC87" t="s">
        <v>2829</v>
      </c>
      <c r="BD87" t="s">
        <v>3704</v>
      </c>
      <c r="BE87" t="s">
        <v>3705</v>
      </c>
      <c r="BF87" t="s">
        <v>3706</v>
      </c>
      <c r="BG87" t="s">
        <v>3107</v>
      </c>
      <c r="BH87" t="s">
        <v>3703</v>
      </c>
      <c r="BI87" t="s">
        <v>243</v>
      </c>
      <c r="BJ87" t="s">
        <v>2829</v>
      </c>
      <c r="BK87" t="s">
        <v>243</v>
      </c>
      <c r="BL87" t="s">
        <v>243</v>
      </c>
      <c r="BM87" t="s">
        <v>243</v>
      </c>
      <c r="BN87" t="s">
        <v>243</v>
      </c>
      <c r="BO87" t="s">
        <v>243</v>
      </c>
      <c r="BP87" t="s">
        <v>3707</v>
      </c>
      <c r="BQ87" t="s">
        <v>3708</v>
      </c>
      <c r="BR87" t="s">
        <v>3709</v>
      </c>
      <c r="BS87" t="s">
        <v>2859</v>
      </c>
      <c r="BT87" t="s">
        <v>243</v>
      </c>
      <c r="BU87" t="s">
        <v>243</v>
      </c>
      <c r="BV87" t="s">
        <v>2829</v>
      </c>
      <c r="BW87" t="s">
        <v>243</v>
      </c>
      <c r="BX87" t="s">
        <v>243</v>
      </c>
      <c r="BY87" t="s">
        <v>243</v>
      </c>
      <c r="BZ87" t="s">
        <v>243</v>
      </c>
      <c r="CA87" t="s">
        <v>243</v>
      </c>
      <c r="CB87" t="s">
        <v>2829</v>
      </c>
      <c r="CC87" t="s">
        <v>243</v>
      </c>
      <c r="CD87" t="s">
        <v>243</v>
      </c>
      <c r="CE87" t="s">
        <v>243</v>
      </c>
      <c r="CF87" t="s">
        <v>243</v>
      </c>
      <c r="CG87" t="s">
        <v>243</v>
      </c>
      <c r="CH87" t="s">
        <v>2829</v>
      </c>
      <c r="CI87" t="s">
        <v>243</v>
      </c>
      <c r="CJ87" t="s">
        <v>243</v>
      </c>
      <c r="CK87" t="s">
        <v>243</v>
      </c>
      <c r="CL87" t="s">
        <v>243</v>
      </c>
      <c r="CM87" t="s">
        <v>243</v>
      </c>
      <c r="CN87" t="s">
        <v>3150</v>
      </c>
      <c r="CO87" t="s">
        <v>2843</v>
      </c>
      <c r="CP87" t="s">
        <v>2844</v>
      </c>
      <c r="CQ87" t="s">
        <v>430</v>
      </c>
      <c r="CR87" t="s">
        <v>3151</v>
      </c>
      <c r="CS87" t="s">
        <v>266</v>
      </c>
      <c r="CT87" t="s">
        <v>430</v>
      </c>
      <c r="CU87" t="s">
        <v>440</v>
      </c>
      <c r="CV87" t="s">
        <v>3152</v>
      </c>
      <c r="CW87" t="s">
        <v>3151</v>
      </c>
      <c r="CX87" t="s">
        <v>2848</v>
      </c>
      <c r="CY87" t="s">
        <v>3710</v>
      </c>
    </row>
    <row r="88" spans="1:103" ht="11.25" customHeight="1">
      <c r="A88" t="s">
        <v>243</v>
      </c>
      <c r="B88" t="s">
        <v>243</v>
      </c>
      <c r="C88" t="s">
        <v>243</v>
      </c>
      <c r="D88" t="s">
        <v>243</v>
      </c>
      <c r="E88" t="s">
        <v>243</v>
      </c>
      <c r="F88" t="s">
        <v>2816</v>
      </c>
      <c r="G88" t="s">
        <v>243</v>
      </c>
      <c r="H88" t="s">
        <v>243</v>
      </c>
      <c r="I88" t="s">
        <v>3711</v>
      </c>
      <c r="J88" t="s">
        <v>243</v>
      </c>
      <c r="K88" t="s">
        <v>467</v>
      </c>
      <c r="L88" t="s">
        <v>243</v>
      </c>
      <c r="M88" t="s">
        <v>114</v>
      </c>
      <c r="N88" t="s">
        <v>243</v>
      </c>
      <c r="O88" t="s">
        <v>2819</v>
      </c>
      <c r="P88" t="s">
        <v>2820</v>
      </c>
      <c r="Q88" t="s">
        <v>2821</v>
      </c>
      <c r="R88" t="s">
        <v>200</v>
      </c>
      <c r="S88" t="s">
        <v>200</v>
      </c>
      <c r="T88" t="s">
        <v>405</v>
      </c>
      <c r="U88" t="s">
        <v>405</v>
      </c>
      <c r="V88" t="s">
        <v>406</v>
      </c>
      <c r="W88" t="s">
        <v>3155</v>
      </c>
      <c r="X88" t="s">
        <v>3156</v>
      </c>
      <c r="Y88" t="s">
        <v>3712</v>
      </c>
      <c r="Z88" t="s">
        <v>1815</v>
      </c>
      <c r="AA88" t="s">
        <v>2904</v>
      </c>
      <c r="AB88" t="s">
        <v>2904</v>
      </c>
      <c r="AC88" t="s">
        <v>243</v>
      </c>
      <c r="AD88" t="s">
        <v>2830</v>
      </c>
      <c r="AE88" t="s">
        <v>2857</v>
      </c>
      <c r="AF88" t="s">
        <v>3713</v>
      </c>
      <c r="AG88" t="s">
        <v>3713</v>
      </c>
      <c r="AH88" t="s">
        <v>2834</v>
      </c>
      <c r="AI88" t="s">
        <v>2835</v>
      </c>
      <c r="AJ88" t="s">
        <v>3184</v>
      </c>
      <c r="AK88" t="s">
        <v>3714</v>
      </c>
      <c r="AL88" t="s">
        <v>2904</v>
      </c>
      <c r="AM88" t="s">
        <v>2904</v>
      </c>
      <c r="AN88" t="s">
        <v>243</v>
      </c>
      <c r="AO88" t="s">
        <v>2839</v>
      </c>
      <c r="AP88" t="s">
        <v>2840</v>
      </c>
      <c r="AQ88" t="s">
        <v>2841</v>
      </c>
      <c r="AR88" t="s">
        <v>2838</v>
      </c>
      <c r="AS88" t="s">
        <v>2838</v>
      </c>
      <c r="AT88" t="s">
        <v>2829</v>
      </c>
      <c r="AU88" t="s">
        <v>2829</v>
      </c>
      <c r="AV88" t="s">
        <v>2829</v>
      </c>
      <c r="AW88" t="s">
        <v>2829</v>
      </c>
      <c r="AX88" t="s">
        <v>2829</v>
      </c>
      <c r="AY88" t="s">
        <v>2829</v>
      </c>
      <c r="AZ88" t="s">
        <v>2829</v>
      </c>
      <c r="BA88" t="s">
        <v>2829</v>
      </c>
      <c r="BB88" t="s">
        <v>2829</v>
      </c>
      <c r="BC88" t="s">
        <v>2829</v>
      </c>
      <c r="BD88" t="s">
        <v>2829</v>
      </c>
      <c r="BE88" t="s">
        <v>243</v>
      </c>
      <c r="BF88" t="s">
        <v>243</v>
      </c>
      <c r="BG88" t="s">
        <v>243</v>
      </c>
      <c r="BH88" t="s">
        <v>243</v>
      </c>
      <c r="BI88" t="s">
        <v>243</v>
      </c>
      <c r="BJ88" t="s">
        <v>2829</v>
      </c>
      <c r="BK88" t="s">
        <v>243</v>
      </c>
      <c r="BL88" t="s">
        <v>243</v>
      </c>
      <c r="BM88" t="s">
        <v>243</v>
      </c>
      <c r="BN88" t="s">
        <v>243</v>
      </c>
      <c r="BO88" t="s">
        <v>243</v>
      </c>
      <c r="BP88" t="s">
        <v>2838</v>
      </c>
      <c r="BQ88" t="s">
        <v>2838</v>
      </c>
      <c r="BR88" t="s">
        <v>243</v>
      </c>
      <c r="BS88" t="s">
        <v>243</v>
      </c>
      <c r="BT88" t="s">
        <v>243</v>
      </c>
      <c r="BU88" t="s">
        <v>243</v>
      </c>
      <c r="BV88" t="s">
        <v>2829</v>
      </c>
      <c r="BW88" t="s">
        <v>243</v>
      </c>
      <c r="BX88" t="s">
        <v>243</v>
      </c>
      <c r="BY88" t="s">
        <v>243</v>
      </c>
      <c r="BZ88" t="s">
        <v>243</v>
      </c>
      <c r="CA88" t="s">
        <v>243</v>
      </c>
      <c r="CB88" t="s">
        <v>2829</v>
      </c>
      <c r="CC88" t="s">
        <v>243</v>
      </c>
      <c r="CD88" t="s">
        <v>243</v>
      </c>
      <c r="CE88" t="s">
        <v>243</v>
      </c>
      <c r="CF88" t="s">
        <v>243</v>
      </c>
      <c r="CG88" t="s">
        <v>243</v>
      </c>
      <c r="CH88" t="s">
        <v>2829</v>
      </c>
      <c r="CI88" t="s">
        <v>243</v>
      </c>
      <c r="CJ88" t="s">
        <v>243</v>
      </c>
      <c r="CK88" t="s">
        <v>243</v>
      </c>
      <c r="CL88" t="s">
        <v>243</v>
      </c>
      <c r="CM88" t="s">
        <v>243</v>
      </c>
      <c r="CN88" t="s">
        <v>2888</v>
      </c>
      <c r="CO88" t="s">
        <v>2843</v>
      </c>
      <c r="CP88" t="s">
        <v>2844</v>
      </c>
      <c r="CQ88" t="s">
        <v>470</v>
      </c>
      <c r="CR88" t="s">
        <v>2872</v>
      </c>
      <c r="CS88" t="s">
        <v>431</v>
      </c>
      <c r="CT88" t="s">
        <v>470</v>
      </c>
      <c r="CU88" t="s">
        <v>444</v>
      </c>
      <c r="CV88" t="s">
        <v>445</v>
      </c>
      <c r="CW88" t="s">
        <v>2872</v>
      </c>
      <c r="CX88" t="s">
        <v>2848</v>
      </c>
      <c r="CY88" t="s">
        <v>468</v>
      </c>
    </row>
    <row r="89" spans="1:103" ht="11.25" customHeight="1">
      <c r="A89" t="s">
        <v>243</v>
      </c>
      <c r="B89" t="s">
        <v>243</v>
      </c>
      <c r="C89" t="s">
        <v>243</v>
      </c>
      <c r="D89" t="s">
        <v>243</v>
      </c>
      <c r="E89" t="s">
        <v>243</v>
      </c>
      <c r="F89" t="s">
        <v>2816</v>
      </c>
      <c r="G89" t="s">
        <v>243</v>
      </c>
      <c r="H89" t="s">
        <v>243</v>
      </c>
      <c r="I89" t="s">
        <v>3715</v>
      </c>
      <c r="J89" t="s">
        <v>243</v>
      </c>
      <c r="K89" t="s">
        <v>3716</v>
      </c>
      <c r="L89" t="s">
        <v>243</v>
      </c>
      <c r="M89" t="s">
        <v>114</v>
      </c>
      <c r="N89" t="s">
        <v>243</v>
      </c>
      <c r="O89" t="s">
        <v>3356</v>
      </c>
      <c r="P89" t="s">
        <v>2820</v>
      </c>
      <c r="Q89" t="s">
        <v>2821</v>
      </c>
      <c r="R89" t="s">
        <v>190</v>
      </c>
      <c r="S89" t="s">
        <v>190</v>
      </c>
      <c r="T89" t="s">
        <v>2968</v>
      </c>
      <c r="U89" t="s">
        <v>2968</v>
      </c>
      <c r="V89" t="s">
        <v>2969</v>
      </c>
      <c r="W89" t="s">
        <v>3003</v>
      </c>
      <c r="X89" t="s">
        <v>3004</v>
      </c>
      <c r="Y89" t="s">
        <v>3717</v>
      </c>
      <c r="Z89" t="s">
        <v>3202</v>
      </c>
      <c r="AA89" t="s">
        <v>3217</v>
      </c>
      <c r="AB89" t="s">
        <v>2842</v>
      </c>
      <c r="AC89" t="s">
        <v>2829</v>
      </c>
      <c r="AD89" t="s">
        <v>2883</v>
      </c>
      <c r="AE89" t="s">
        <v>2857</v>
      </c>
      <c r="AF89" t="s">
        <v>3718</v>
      </c>
      <c r="AG89" t="s">
        <v>3718</v>
      </c>
      <c r="AH89" t="s">
        <v>2834</v>
      </c>
      <c r="AI89" t="s">
        <v>2835</v>
      </c>
      <c r="AJ89" t="s">
        <v>3130</v>
      </c>
      <c r="AK89" t="s">
        <v>3483</v>
      </c>
      <c r="AL89" t="s">
        <v>243</v>
      </c>
      <c r="AM89" t="s">
        <v>243</v>
      </c>
      <c r="AN89" t="s">
        <v>243</v>
      </c>
      <c r="AR89" t="s">
        <v>243</v>
      </c>
      <c r="AS89" t="s">
        <v>243</v>
      </c>
      <c r="AT89" t="s">
        <v>243</v>
      </c>
      <c r="AU89" t="s">
        <v>243</v>
      </c>
      <c r="AV89" t="s">
        <v>243</v>
      </c>
      <c r="AW89" t="s">
        <v>243</v>
      </c>
      <c r="AX89" t="s">
        <v>243</v>
      </c>
      <c r="AY89" t="s">
        <v>243</v>
      </c>
      <c r="AZ89" t="s">
        <v>243</v>
      </c>
      <c r="BA89" t="s">
        <v>243</v>
      </c>
      <c r="BB89" t="s">
        <v>243</v>
      </c>
      <c r="BC89" t="s">
        <v>243</v>
      </c>
      <c r="BD89" t="s">
        <v>243</v>
      </c>
      <c r="BE89" t="s">
        <v>243</v>
      </c>
      <c r="BF89" t="s">
        <v>243</v>
      </c>
      <c r="BG89" t="s">
        <v>243</v>
      </c>
      <c r="BH89" t="s">
        <v>243</v>
      </c>
      <c r="BI89" t="s">
        <v>243</v>
      </c>
      <c r="BJ89" t="s">
        <v>243</v>
      </c>
      <c r="BK89" t="s">
        <v>243</v>
      </c>
      <c r="BL89" t="s">
        <v>243</v>
      </c>
      <c r="BM89" t="s">
        <v>243</v>
      </c>
      <c r="BN89" t="s">
        <v>243</v>
      </c>
      <c r="BO89" t="s">
        <v>243</v>
      </c>
      <c r="BP89" t="s">
        <v>243</v>
      </c>
      <c r="BQ89" t="s">
        <v>243</v>
      </c>
      <c r="BR89" t="s">
        <v>243</v>
      </c>
      <c r="BS89" t="s">
        <v>243</v>
      </c>
      <c r="BT89" t="s">
        <v>243</v>
      </c>
      <c r="BU89" t="s">
        <v>243</v>
      </c>
      <c r="BV89" t="s">
        <v>243</v>
      </c>
      <c r="BW89" t="s">
        <v>243</v>
      </c>
      <c r="BX89" t="s">
        <v>243</v>
      </c>
      <c r="BY89" t="s">
        <v>243</v>
      </c>
      <c r="BZ89" t="s">
        <v>243</v>
      </c>
      <c r="CA89" t="s">
        <v>243</v>
      </c>
      <c r="CB89" t="s">
        <v>243</v>
      </c>
      <c r="CC89" t="s">
        <v>243</v>
      </c>
      <c r="CD89" t="s">
        <v>243</v>
      </c>
      <c r="CE89" t="s">
        <v>243</v>
      </c>
      <c r="CF89" t="s">
        <v>243</v>
      </c>
      <c r="CG89" t="s">
        <v>243</v>
      </c>
      <c r="CH89" t="s">
        <v>243</v>
      </c>
      <c r="CI89" t="s">
        <v>243</v>
      </c>
      <c r="CJ89" t="s">
        <v>243</v>
      </c>
      <c r="CK89" t="s">
        <v>243</v>
      </c>
      <c r="CL89" t="s">
        <v>243</v>
      </c>
      <c r="CM89" t="s">
        <v>243</v>
      </c>
      <c r="CN89" t="s">
        <v>243</v>
      </c>
      <c r="CO89" t="s">
        <v>2843</v>
      </c>
      <c r="CP89" t="s">
        <v>2844</v>
      </c>
      <c r="CQ89" t="s">
        <v>430</v>
      </c>
      <c r="CR89" t="s">
        <v>2984</v>
      </c>
      <c r="CS89" t="s">
        <v>431</v>
      </c>
      <c r="CT89" t="s">
        <v>430</v>
      </c>
      <c r="CU89" t="s">
        <v>2985</v>
      </c>
      <c r="CV89" t="s">
        <v>2986</v>
      </c>
      <c r="CW89" t="s">
        <v>2984</v>
      </c>
      <c r="CX89" t="s">
        <v>2848</v>
      </c>
      <c r="CY89" t="s">
        <v>3719</v>
      </c>
    </row>
    <row r="90" spans="1:103" ht="11.25" customHeight="1">
      <c r="A90" t="s">
        <v>243</v>
      </c>
      <c r="B90" t="s">
        <v>243</v>
      </c>
      <c r="C90" t="s">
        <v>243</v>
      </c>
      <c r="D90" t="s">
        <v>243</v>
      </c>
      <c r="E90" t="s">
        <v>243</v>
      </c>
      <c r="F90" t="s">
        <v>2816</v>
      </c>
      <c r="G90" t="s">
        <v>243</v>
      </c>
      <c r="H90" t="s">
        <v>243</v>
      </c>
      <c r="I90" t="s">
        <v>3720</v>
      </c>
      <c r="J90" t="s">
        <v>243</v>
      </c>
      <c r="K90" t="s">
        <v>3721</v>
      </c>
      <c r="L90" t="s">
        <v>243</v>
      </c>
      <c r="M90" t="s">
        <v>114</v>
      </c>
      <c r="N90" t="s">
        <v>243</v>
      </c>
      <c r="O90" t="s">
        <v>2819</v>
      </c>
      <c r="P90" t="s">
        <v>2820</v>
      </c>
      <c r="Q90" t="s">
        <v>2821</v>
      </c>
      <c r="R90" t="s">
        <v>200</v>
      </c>
      <c r="S90" t="s">
        <v>200</v>
      </c>
      <c r="T90" t="s">
        <v>2968</v>
      </c>
      <c r="U90" t="s">
        <v>2968</v>
      </c>
      <c r="V90" t="s">
        <v>2969</v>
      </c>
      <c r="W90" t="s">
        <v>3722</v>
      </c>
      <c r="X90" t="s">
        <v>3723</v>
      </c>
      <c r="Y90" t="s">
        <v>3724</v>
      </c>
      <c r="Z90" t="s">
        <v>3725</v>
      </c>
      <c r="AA90" t="s">
        <v>3726</v>
      </c>
      <c r="AB90" t="s">
        <v>3727</v>
      </c>
      <c r="AC90" t="s">
        <v>2829</v>
      </c>
      <c r="AD90" t="s">
        <v>2883</v>
      </c>
      <c r="AE90" t="s">
        <v>2857</v>
      </c>
      <c r="AF90" t="s">
        <v>3728</v>
      </c>
      <c r="AG90" t="s">
        <v>3728</v>
      </c>
      <c r="AH90" t="s">
        <v>2834</v>
      </c>
      <c r="AI90" t="s">
        <v>2835</v>
      </c>
      <c r="AJ90" t="s">
        <v>3572</v>
      </c>
      <c r="AK90" t="s">
        <v>3729</v>
      </c>
      <c r="AL90" t="s">
        <v>3726</v>
      </c>
      <c r="AM90" t="s">
        <v>3727</v>
      </c>
      <c r="AN90" t="s">
        <v>2829</v>
      </c>
      <c r="AO90" t="s">
        <v>2839</v>
      </c>
      <c r="AP90" t="s">
        <v>2840</v>
      </c>
      <c r="AQ90" t="s">
        <v>2841</v>
      </c>
      <c r="AR90" t="s">
        <v>3730</v>
      </c>
      <c r="AS90" t="s">
        <v>3730</v>
      </c>
      <c r="AT90" t="s">
        <v>2829</v>
      </c>
      <c r="AU90" t="s">
        <v>2829</v>
      </c>
      <c r="AV90" t="s">
        <v>2829</v>
      </c>
      <c r="AW90" t="s">
        <v>2829</v>
      </c>
      <c r="AX90" t="s">
        <v>2829</v>
      </c>
      <c r="AY90" t="s">
        <v>2829</v>
      </c>
      <c r="AZ90" t="s">
        <v>2829</v>
      </c>
      <c r="BA90" t="s">
        <v>2829</v>
      </c>
      <c r="BB90" t="s">
        <v>2829</v>
      </c>
      <c r="BC90" t="s">
        <v>2829</v>
      </c>
      <c r="BD90" t="s">
        <v>3731</v>
      </c>
      <c r="BE90" t="s">
        <v>3731</v>
      </c>
      <c r="BF90" t="s">
        <v>243</v>
      </c>
      <c r="BG90" t="s">
        <v>243</v>
      </c>
      <c r="BH90" t="s">
        <v>243</v>
      </c>
      <c r="BI90" t="s">
        <v>243</v>
      </c>
      <c r="BJ90" t="s">
        <v>2829</v>
      </c>
      <c r="BK90" t="s">
        <v>243</v>
      </c>
      <c r="BL90" t="s">
        <v>243</v>
      </c>
      <c r="BM90" t="s">
        <v>243</v>
      </c>
      <c r="BN90" t="s">
        <v>243</v>
      </c>
      <c r="BO90" t="s">
        <v>243</v>
      </c>
      <c r="BP90" t="s">
        <v>3732</v>
      </c>
      <c r="BQ90" t="s">
        <v>3732</v>
      </c>
      <c r="BR90" t="s">
        <v>243</v>
      </c>
      <c r="BS90" t="s">
        <v>243</v>
      </c>
      <c r="BT90" t="s">
        <v>243</v>
      </c>
      <c r="BU90" t="s">
        <v>243</v>
      </c>
      <c r="BV90" t="s">
        <v>2829</v>
      </c>
      <c r="BW90" t="s">
        <v>243</v>
      </c>
      <c r="BX90" t="s">
        <v>243</v>
      </c>
      <c r="BY90" t="s">
        <v>243</v>
      </c>
      <c r="BZ90" t="s">
        <v>243</v>
      </c>
      <c r="CA90" t="s">
        <v>243</v>
      </c>
      <c r="CB90" t="s">
        <v>2829</v>
      </c>
      <c r="CC90" t="s">
        <v>243</v>
      </c>
      <c r="CD90" t="s">
        <v>243</v>
      </c>
      <c r="CE90" t="s">
        <v>243</v>
      </c>
      <c r="CF90" t="s">
        <v>243</v>
      </c>
      <c r="CG90" t="s">
        <v>243</v>
      </c>
      <c r="CH90" t="s">
        <v>2829</v>
      </c>
      <c r="CI90" t="s">
        <v>243</v>
      </c>
      <c r="CJ90" t="s">
        <v>243</v>
      </c>
      <c r="CK90" t="s">
        <v>243</v>
      </c>
      <c r="CL90" t="s">
        <v>243</v>
      </c>
      <c r="CM90" t="s">
        <v>243</v>
      </c>
      <c r="CN90" t="s">
        <v>3010</v>
      </c>
      <c r="CO90" t="s">
        <v>2843</v>
      </c>
      <c r="CP90" t="s">
        <v>2844</v>
      </c>
      <c r="CQ90" t="s">
        <v>430</v>
      </c>
      <c r="CR90" t="s">
        <v>2984</v>
      </c>
      <c r="CS90" t="s">
        <v>431</v>
      </c>
      <c r="CT90" t="s">
        <v>430</v>
      </c>
      <c r="CU90" t="s">
        <v>2985</v>
      </c>
      <c r="CV90" t="s">
        <v>2986</v>
      </c>
      <c r="CW90" t="s">
        <v>2984</v>
      </c>
      <c r="CX90" t="s">
        <v>2848</v>
      </c>
      <c r="CY90" t="s">
        <v>3733</v>
      </c>
    </row>
    <row r="91" spans="1:103" ht="11.25" customHeight="1">
      <c r="A91" t="s">
        <v>243</v>
      </c>
      <c r="B91" t="s">
        <v>243</v>
      </c>
      <c r="C91" t="s">
        <v>243</v>
      </c>
      <c r="D91" t="s">
        <v>243</v>
      </c>
      <c r="E91" t="s">
        <v>243</v>
      </c>
      <c r="F91" t="s">
        <v>2816</v>
      </c>
      <c r="G91" t="s">
        <v>243</v>
      </c>
      <c r="H91" t="s">
        <v>243</v>
      </c>
      <c r="I91" t="s">
        <v>1776</v>
      </c>
      <c r="J91" t="s">
        <v>243</v>
      </c>
      <c r="K91" t="s">
        <v>455</v>
      </c>
      <c r="L91" t="s">
        <v>243</v>
      </c>
      <c r="M91" t="s">
        <v>114</v>
      </c>
      <c r="N91" t="s">
        <v>243</v>
      </c>
      <c r="O91" t="s">
        <v>2819</v>
      </c>
      <c r="P91" t="s">
        <v>2820</v>
      </c>
      <c r="Q91" t="s">
        <v>2821</v>
      </c>
      <c r="R91" t="s">
        <v>200</v>
      </c>
      <c r="S91" t="s">
        <v>200</v>
      </c>
      <c r="T91" t="s">
        <v>2822</v>
      </c>
      <c r="U91" t="s">
        <v>2822</v>
      </c>
      <c r="V91" t="s">
        <v>2823</v>
      </c>
      <c r="W91" t="s">
        <v>2952</v>
      </c>
      <c r="X91" t="s">
        <v>2953</v>
      </c>
      <c r="Y91" t="s">
        <v>2864</v>
      </c>
      <c r="Z91" t="s">
        <v>3734</v>
      </c>
      <c r="AA91" t="s">
        <v>3260</v>
      </c>
      <c r="AB91" t="s">
        <v>3735</v>
      </c>
      <c r="AC91" t="s">
        <v>2829</v>
      </c>
      <c r="AD91" t="s">
        <v>2830</v>
      </c>
      <c r="AE91" t="s">
        <v>2831</v>
      </c>
      <c r="AF91" t="s">
        <v>3736</v>
      </c>
      <c r="AG91" t="s">
        <v>3737</v>
      </c>
      <c r="AH91" t="s">
        <v>2834</v>
      </c>
      <c r="AI91" t="s">
        <v>2835</v>
      </c>
      <c r="AJ91" t="s">
        <v>2960</v>
      </c>
      <c r="AK91" t="s">
        <v>2961</v>
      </c>
      <c r="AL91" t="s">
        <v>2966</v>
      </c>
      <c r="AM91" t="s">
        <v>3738</v>
      </c>
      <c r="AN91" t="s">
        <v>2829</v>
      </c>
      <c r="AO91" t="s">
        <v>2839</v>
      </c>
      <c r="AP91" t="s">
        <v>2840</v>
      </c>
      <c r="AQ91" t="s">
        <v>2841</v>
      </c>
      <c r="AR91" t="s">
        <v>3739</v>
      </c>
      <c r="AS91" t="s">
        <v>3739</v>
      </c>
      <c r="AT91" t="s">
        <v>2829</v>
      </c>
      <c r="AU91" t="s">
        <v>2829</v>
      </c>
      <c r="AV91" t="s">
        <v>2829</v>
      </c>
      <c r="AW91" t="s">
        <v>2829</v>
      </c>
      <c r="AX91" t="s">
        <v>2829</v>
      </c>
      <c r="AY91" t="s">
        <v>2829</v>
      </c>
      <c r="AZ91" t="s">
        <v>2829</v>
      </c>
      <c r="BA91" t="s">
        <v>2829</v>
      </c>
      <c r="BB91" t="s">
        <v>2829</v>
      </c>
      <c r="BC91" t="s">
        <v>2829</v>
      </c>
      <c r="BD91" t="s">
        <v>2829</v>
      </c>
      <c r="BE91" t="s">
        <v>243</v>
      </c>
      <c r="BF91" t="s">
        <v>243</v>
      </c>
      <c r="BG91" t="s">
        <v>243</v>
      </c>
      <c r="BH91" t="s">
        <v>243</v>
      </c>
      <c r="BI91" t="s">
        <v>243</v>
      </c>
      <c r="BJ91" t="s">
        <v>2829</v>
      </c>
      <c r="BK91" t="s">
        <v>243</v>
      </c>
      <c r="BL91" t="s">
        <v>243</v>
      </c>
      <c r="BM91" t="s">
        <v>243</v>
      </c>
      <c r="BN91" t="s">
        <v>243</v>
      </c>
      <c r="BO91" t="s">
        <v>243</v>
      </c>
      <c r="BP91" t="s">
        <v>3739</v>
      </c>
      <c r="BQ91" t="s">
        <v>3739</v>
      </c>
      <c r="BR91" t="s">
        <v>243</v>
      </c>
      <c r="BS91" t="s">
        <v>243</v>
      </c>
      <c r="BT91" t="s">
        <v>243</v>
      </c>
      <c r="BU91" t="s">
        <v>243</v>
      </c>
      <c r="BV91" t="s">
        <v>2829</v>
      </c>
      <c r="BW91" t="s">
        <v>243</v>
      </c>
      <c r="BX91" t="s">
        <v>243</v>
      </c>
      <c r="BY91" t="s">
        <v>243</v>
      </c>
      <c r="BZ91" t="s">
        <v>243</v>
      </c>
      <c r="CA91" t="s">
        <v>243</v>
      </c>
      <c r="CB91" t="s">
        <v>2829</v>
      </c>
      <c r="CC91" t="s">
        <v>243</v>
      </c>
      <c r="CD91" t="s">
        <v>243</v>
      </c>
      <c r="CE91" t="s">
        <v>243</v>
      </c>
      <c r="CF91" t="s">
        <v>243</v>
      </c>
      <c r="CG91" t="s">
        <v>243</v>
      </c>
      <c r="CH91" t="s">
        <v>2829</v>
      </c>
      <c r="CI91" t="s">
        <v>243</v>
      </c>
      <c r="CJ91" t="s">
        <v>243</v>
      </c>
      <c r="CK91" t="s">
        <v>243</v>
      </c>
      <c r="CL91" t="s">
        <v>243</v>
      </c>
      <c r="CM91" t="s">
        <v>243</v>
      </c>
      <c r="CN91" t="s">
        <v>2960</v>
      </c>
      <c r="CO91" t="s">
        <v>2843</v>
      </c>
      <c r="CP91" t="s">
        <v>2844</v>
      </c>
      <c r="CQ91" t="s">
        <v>430</v>
      </c>
      <c r="CR91" t="s">
        <v>2845</v>
      </c>
      <c r="CS91" t="s">
        <v>431</v>
      </c>
      <c r="CT91" t="s">
        <v>430</v>
      </c>
      <c r="CU91" t="s">
        <v>2846</v>
      </c>
      <c r="CV91" t="s">
        <v>2847</v>
      </c>
      <c r="CW91" t="s">
        <v>2845</v>
      </c>
      <c r="CX91" t="s">
        <v>2848</v>
      </c>
      <c r="CY91" t="s">
        <v>3740</v>
      </c>
    </row>
    <row r="92" spans="1:103" ht="11.25" customHeight="1">
      <c r="A92" t="s">
        <v>243</v>
      </c>
      <c r="B92" t="s">
        <v>243</v>
      </c>
      <c r="C92" t="s">
        <v>243</v>
      </c>
      <c r="D92" t="s">
        <v>243</v>
      </c>
      <c r="E92" t="s">
        <v>243</v>
      </c>
      <c r="F92" t="s">
        <v>2816</v>
      </c>
      <c r="G92" t="s">
        <v>243</v>
      </c>
      <c r="H92" t="s">
        <v>243</v>
      </c>
      <c r="I92" t="s">
        <v>1807</v>
      </c>
      <c r="J92" t="s">
        <v>243</v>
      </c>
      <c r="K92" t="s">
        <v>452</v>
      </c>
      <c r="L92" t="s">
        <v>243</v>
      </c>
      <c r="M92" t="s">
        <v>114</v>
      </c>
      <c r="N92" t="s">
        <v>243</v>
      </c>
      <c r="O92" t="s">
        <v>2819</v>
      </c>
      <c r="P92" t="s">
        <v>2820</v>
      </c>
      <c r="Q92" t="s">
        <v>2821</v>
      </c>
      <c r="R92" t="s">
        <v>200</v>
      </c>
      <c r="S92" t="s">
        <v>200</v>
      </c>
      <c r="T92" t="s">
        <v>2822</v>
      </c>
      <c r="U92" t="s">
        <v>2822</v>
      </c>
      <c r="V92" t="s">
        <v>2823</v>
      </c>
      <c r="W92" t="s">
        <v>2952</v>
      </c>
      <c r="X92" t="s">
        <v>2953</v>
      </c>
      <c r="Y92" t="s">
        <v>3741</v>
      </c>
      <c r="Z92" t="s">
        <v>3742</v>
      </c>
      <c r="AA92" t="s">
        <v>3066</v>
      </c>
      <c r="AB92" t="s">
        <v>3743</v>
      </c>
      <c r="AC92" t="s">
        <v>2829</v>
      </c>
      <c r="AD92" t="s">
        <v>2830</v>
      </c>
      <c r="AE92" t="s">
        <v>2831</v>
      </c>
      <c r="AF92" t="s">
        <v>3744</v>
      </c>
      <c r="AG92" t="s">
        <v>3745</v>
      </c>
      <c r="AH92" t="s">
        <v>2834</v>
      </c>
      <c r="AI92" t="s">
        <v>2835</v>
      </c>
      <c r="AJ92" t="s">
        <v>2960</v>
      </c>
      <c r="AK92" t="s">
        <v>3070</v>
      </c>
      <c r="AL92" t="s">
        <v>3746</v>
      </c>
      <c r="AM92" t="s">
        <v>3117</v>
      </c>
      <c r="AN92" t="s">
        <v>2829</v>
      </c>
      <c r="AO92" t="s">
        <v>2839</v>
      </c>
      <c r="AP92" t="s">
        <v>2840</v>
      </c>
      <c r="AQ92" t="s">
        <v>2841</v>
      </c>
      <c r="AR92" t="s">
        <v>3625</v>
      </c>
      <c r="AS92" t="s">
        <v>3625</v>
      </c>
      <c r="AT92" t="s">
        <v>2829</v>
      </c>
      <c r="AU92" t="s">
        <v>2829</v>
      </c>
      <c r="AV92" t="s">
        <v>2829</v>
      </c>
      <c r="AW92" t="s">
        <v>2829</v>
      </c>
      <c r="AX92" t="s">
        <v>2829</v>
      </c>
      <c r="AY92" t="s">
        <v>2829</v>
      </c>
      <c r="AZ92" t="s">
        <v>2829</v>
      </c>
      <c r="BA92" t="s">
        <v>2829</v>
      </c>
      <c r="BB92" t="s">
        <v>2829</v>
      </c>
      <c r="BC92" t="s">
        <v>2829</v>
      </c>
      <c r="BD92" t="s">
        <v>3731</v>
      </c>
      <c r="BE92" t="s">
        <v>3731</v>
      </c>
      <c r="BF92" t="s">
        <v>243</v>
      </c>
      <c r="BG92" t="s">
        <v>243</v>
      </c>
      <c r="BH92" t="s">
        <v>243</v>
      </c>
      <c r="BI92" t="s">
        <v>243</v>
      </c>
      <c r="BJ92" t="s">
        <v>2829</v>
      </c>
      <c r="BK92" t="s">
        <v>243</v>
      </c>
      <c r="BL92" t="s">
        <v>243</v>
      </c>
      <c r="BM92" t="s">
        <v>243</v>
      </c>
      <c r="BN92" t="s">
        <v>243</v>
      </c>
      <c r="BO92" t="s">
        <v>243</v>
      </c>
      <c r="BP92" t="s">
        <v>3731</v>
      </c>
      <c r="BQ92" t="s">
        <v>3731</v>
      </c>
      <c r="BR92" t="s">
        <v>243</v>
      </c>
      <c r="BS92" t="s">
        <v>243</v>
      </c>
      <c r="BT92" t="s">
        <v>243</v>
      </c>
      <c r="BU92" t="s">
        <v>243</v>
      </c>
      <c r="BV92" t="s">
        <v>2829</v>
      </c>
      <c r="BW92" t="s">
        <v>243</v>
      </c>
      <c r="BX92" t="s">
        <v>243</v>
      </c>
      <c r="BY92" t="s">
        <v>243</v>
      </c>
      <c r="BZ92" t="s">
        <v>243</v>
      </c>
      <c r="CA92" t="s">
        <v>243</v>
      </c>
      <c r="CB92" t="s">
        <v>2829</v>
      </c>
      <c r="CC92" t="s">
        <v>243</v>
      </c>
      <c r="CD92" t="s">
        <v>243</v>
      </c>
      <c r="CE92" t="s">
        <v>243</v>
      </c>
      <c r="CF92" t="s">
        <v>243</v>
      </c>
      <c r="CG92" t="s">
        <v>243</v>
      </c>
      <c r="CH92" t="s">
        <v>2829</v>
      </c>
      <c r="CI92" t="s">
        <v>243</v>
      </c>
      <c r="CJ92" t="s">
        <v>243</v>
      </c>
      <c r="CK92" t="s">
        <v>243</v>
      </c>
      <c r="CL92" t="s">
        <v>243</v>
      </c>
      <c r="CM92" t="s">
        <v>243</v>
      </c>
      <c r="CN92" t="s">
        <v>2960</v>
      </c>
      <c r="CO92" t="s">
        <v>2843</v>
      </c>
      <c r="CP92" t="s">
        <v>2844</v>
      </c>
      <c r="CQ92" t="s">
        <v>430</v>
      </c>
      <c r="CR92" t="s">
        <v>2845</v>
      </c>
      <c r="CS92" t="s">
        <v>431</v>
      </c>
      <c r="CT92" t="s">
        <v>430</v>
      </c>
      <c r="CU92" t="s">
        <v>2846</v>
      </c>
      <c r="CV92" t="s">
        <v>2847</v>
      </c>
      <c r="CW92" t="s">
        <v>2845</v>
      </c>
      <c r="CX92" t="s">
        <v>2848</v>
      </c>
      <c r="CY92" t="s">
        <v>3747</v>
      </c>
    </row>
    <row r="93" spans="1:103" ht="11.25" customHeight="1">
      <c r="A93" t="s">
        <v>243</v>
      </c>
      <c r="B93" t="s">
        <v>243</v>
      </c>
      <c r="C93" t="s">
        <v>243</v>
      </c>
      <c r="D93" t="s">
        <v>243</v>
      </c>
      <c r="E93" t="s">
        <v>243</v>
      </c>
      <c r="F93" t="s">
        <v>2816</v>
      </c>
      <c r="G93" t="s">
        <v>243</v>
      </c>
      <c r="H93" t="s">
        <v>243</v>
      </c>
      <c r="I93" t="s">
        <v>3748</v>
      </c>
      <c r="J93" t="s">
        <v>243</v>
      </c>
      <c r="K93" t="s">
        <v>441</v>
      </c>
      <c r="L93" t="s">
        <v>243</v>
      </c>
      <c r="M93" t="s">
        <v>114</v>
      </c>
      <c r="N93" t="s">
        <v>243</v>
      </c>
      <c r="O93" t="s">
        <v>2819</v>
      </c>
      <c r="P93" t="s">
        <v>2820</v>
      </c>
      <c r="Q93" t="s">
        <v>2821</v>
      </c>
      <c r="R93" t="s">
        <v>200</v>
      </c>
      <c r="S93" t="s">
        <v>200</v>
      </c>
      <c r="T93" t="s">
        <v>3048</v>
      </c>
      <c r="U93" t="s">
        <v>3048</v>
      </c>
      <c r="V93" t="s">
        <v>3049</v>
      </c>
      <c r="W93" t="s">
        <v>3050</v>
      </c>
      <c r="X93" t="s">
        <v>3051</v>
      </c>
      <c r="Y93" t="s">
        <v>3127</v>
      </c>
      <c r="Z93" t="s">
        <v>2930</v>
      </c>
      <c r="AA93" t="s">
        <v>3749</v>
      </c>
      <c r="AB93" t="s">
        <v>3750</v>
      </c>
      <c r="AC93" t="s">
        <v>2829</v>
      </c>
      <c r="AD93" t="s">
        <v>2883</v>
      </c>
      <c r="AE93" t="s">
        <v>2831</v>
      </c>
      <c r="AF93" t="s">
        <v>3055</v>
      </c>
      <c r="AG93" t="s">
        <v>3055</v>
      </c>
      <c r="AH93" t="s">
        <v>2834</v>
      </c>
      <c r="AI93" t="s">
        <v>2835</v>
      </c>
      <c r="AJ93" t="s">
        <v>3176</v>
      </c>
      <c r="AK93" t="s">
        <v>3751</v>
      </c>
      <c r="AL93" t="s">
        <v>3749</v>
      </c>
      <c r="AM93" t="s">
        <v>3750</v>
      </c>
      <c r="AN93" t="s">
        <v>2829</v>
      </c>
      <c r="AO93" t="s">
        <v>2839</v>
      </c>
      <c r="AP93" t="s">
        <v>2840</v>
      </c>
      <c r="AQ93" t="s">
        <v>2841</v>
      </c>
      <c r="AR93" t="s">
        <v>3752</v>
      </c>
      <c r="AS93" t="s">
        <v>3752</v>
      </c>
      <c r="AT93" t="s">
        <v>2829</v>
      </c>
      <c r="AU93" t="s">
        <v>2829</v>
      </c>
      <c r="AV93" t="s">
        <v>2829</v>
      </c>
      <c r="AW93" t="s">
        <v>2829</v>
      </c>
      <c r="AX93" t="s">
        <v>2829</v>
      </c>
      <c r="AY93" t="s">
        <v>2829</v>
      </c>
      <c r="AZ93" t="s">
        <v>2829</v>
      </c>
      <c r="BA93" t="s">
        <v>2829</v>
      </c>
      <c r="BB93" t="s">
        <v>2829</v>
      </c>
      <c r="BC93" t="s">
        <v>2829</v>
      </c>
      <c r="BD93" t="s">
        <v>3752</v>
      </c>
      <c r="BE93" t="s">
        <v>3752</v>
      </c>
      <c r="BF93" t="s">
        <v>243</v>
      </c>
      <c r="BG93" t="s">
        <v>243</v>
      </c>
      <c r="BH93" t="s">
        <v>243</v>
      </c>
      <c r="BI93" t="s">
        <v>243</v>
      </c>
      <c r="BJ93" t="s">
        <v>2829</v>
      </c>
      <c r="BK93" t="s">
        <v>243</v>
      </c>
      <c r="BL93" t="s">
        <v>243</v>
      </c>
      <c r="BM93" t="s">
        <v>243</v>
      </c>
      <c r="BN93" t="s">
        <v>243</v>
      </c>
      <c r="BO93" t="s">
        <v>243</v>
      </c>
      <c r="BP93" t="s">
        <v>2829</v>
      </c>
      <c r="BQ93" t="s">
        <v>243</v>
      </c>
      <c r="BR93" t="s">
        <v>243</v>
      </c>
      <c r="BS93" t="s">
        <v>243</v>
      </c>
      <c r="BT93" t="s">
        <v>243</v>
      </c>
      <c r="BU93" t="s">
        <v>243</v>
      </c>
      <c r="BV93" t="s">
        <v>2829</v>
      </c>
      <c r="BW93" t="s">
        <v>243</v>
      </c>
      <c r="BX93" t="s">
        <v>243</v>
      </c>
      <c r="BY93" t="s">
        <v>243</v>
      </c>
      <c r="BZ93" t="s">
        <v>243</v>
      </c>
      <c r="CA93" t="s">
        <v>243</v>
      </c>
      <c r="CB93" t="s">
        <v>2829</v>
      </c>
      <c r="CC93" t="s">
        <v>243</v>
      </c>
      <c r="CD93" t="s">
        <v>243</v>
      </c>
      <c r="CE93" t="s">
        <v>243</v>
      </c>
      <c r="CF93" t="s">
        <v>243</v>
      </c>
      <c r="CG93" t="s">
        <v>243</v>
      </c>
      <c r="CH93" t="s">
        <v>2829</v>
      </c>
      <c r="CI93" t="s">
        <v>243</v>
      </c>
      <c r="CJ93" t="s">
        <v>243</v>
      </c>
      <c r="CK93" t="s">
        <v>243</v>
      </c>
      <c r="CL93" t="s">
        <v>243</v>
      </c>
      <c r="CM93" t="s">
        <v>243</v>
      </c>
      <c r="CN93" t="s">
        <v>3753</v>
      </c>
      <c r="CO93" t="s">
        <v>2843</v>
      </c>
      <c r="CP93" t="s">
        <v>2844</v>
      </c>
      <c r="CQ93" t="s">
        <v>470</v>
      </c>
      <c r="CR93" t="s">
        <v>2872</v>
      </c>
      <c r="CS93" t="s">
        <v>431</v>
      </c>
      <c r="CT93" t="s">
        <v>470</v>
      </c>
      <c r="CU93" t="s">
        <v>3061</v>
      </c>
      <c r="CV93" t="s">
        <v>3062</v>
      </c>
      <c r="CW93" t="s">
        <v>2872</v>
      </c>
      <c r="CX93" t="s">
        <v>2848</v>
      </c>
      <c r="CY93" t="s">
        <v>3754</v>
      </c>
    </row>
    <row r="94" spans="1:103" ht="11.25" customHeight="1">
      <c r="A94" t="s">
        <v>243</v>
      </c>
      <c r="B94" t="s">
        <v>243</v>
      </c>
      <c r="C94" t="s">
        <v>243</v>
      </c>
      <c r="D94" t="s">
        <v>243</v>
      </c>
      <c r="E94" t="s">
        <v>243</v>
      </c>
      <c r="F94" t="s">
        <v>2816</v>
      </c>
      <c r="G94" t="s">
        <v>243</v>
      </c>
      <c r="H94" t="s">
        <v>243</v>
      </c>
      <c r="I94" t="s">
        <v>3755</v>
      </c>
      <c r="J94" t="s">
        <v>243</v>
      </c>
      <c r="K94" t="s">
        <v>3178</v>
      </c>
      <c r="L94" t="s">
        <v>243</v>
      </c>
      <c r="M94" t="s">
        <v>114</v>
      </c>
      <c r="N94" t="s">
        <v>243</v>
      </c>
      <c r="O94" t="s">
        <v>2819</v>
      </c>
      <c r="P94" t="s">
        <v>2820</v>
      </c>
      <c r="Q94" t="s">
        <v>2821</v>
      </c>
      <c r="R94" t="s">
        <v>200</v>
      </c>
      <c r="S94" t="s">
        <v>200</v>
      </c>
      <c r="T94" t="s">
        <v>3048</v>
      </c>
      <c r="U94" t="s">
        <v>3048</v>
      </c>
      <c r="V94" t="s">
        <v>3049</v>
      </c>
      <c r="W94" t="s">
        <v>3756</v>
      </c>
      <c r="X94" t="s">
        <v>3757</v>
      </c>
      <c r="Y94" t="s">
        <v>2918</v>
      </c>
      <c r="Z94" t="s">
        <v>2846</v>
      </c>
      <c r="AA94" t="s">
        <v>3758</v>
      </c>
      <c r="AB94" t="s">
        <v>3759</v>
      </c>
      <c r="AC94" t="s">
        <v>2829</v>
      </c>
      <c r="AD94" t="s">
        <v>2883</v>
      </c>
      <c r="AE94" t="s">
        <v>2831</v>
      </c>
      <c r="AF94" t="s">
        <v>3055</v>
      </c>
      <c r="AG94" t="s">
        <v>3055</v>
      </c>
      <c r="AH94" t="s">
        <v>2834</v>
      </c>
      <c r="AI94" t="s">
        <v>2835</v>
      </c>
      <c r="AJ94" t="s">
        <v>3184</v>
      </c>
      <c r="AK94" t="s">
        <v>3760</v>
      </c>
      <c r="AL94" t="s">
        <v>3758</v>
      </c>
      <c r="AM94" t="s">
        <v>3759</v>
      </c>
      <c r="AN94" t="s">
        <v>2829</v>
      </c>
      <c r="AO94" t="s">
        <v>2839</v>
      </c>
      <c r="AP94" t="s">
        <v>2840</v>
      </c>
      <c r="AQ94" t="s">
        <v>2841</v>
      </c>
      <c r="AR94" t="s">
        <v>3761</v>
      </c>
      <c r="AS94" t="s">
        <v>3761</v>
      </c>
      <c r="AT94" t="s">
        <v>2829</v>
      </c>
      <c r="AU94" t="s">
        <v>2829</v>
      </c>
      <c r="AV94" t="s">
        <v>2829</v>
      </c>
      <c r="AW94" t="s">
        <v>2829</v>
      </c>
      <c r="AX94" t="s">
        <v>2829</v>
      </c>
      <c r="AY94" t="s">
        <v>2829</v>
      </c>
      <c r="AZ94" t="s">
        <v>2829</v>
      </c>
      <c r="BA94" t="s">
        <v>2829</v>
      </c>
      <c r="BB94" t="s">
        <v>2829</v>
      </c>
      <c r="BC94" t="s">
        <v>2829</v>
      </c>
      <c r="BD94" t="s">
        <v>3761</v>
      </c>
      <c r="BE94" t="s">
        <v>3761</v>
      </c>
      <c r="BF94" t="s">
        <v>243</v>
      </c>
      <c r="BG94" t="s">
        <v>243</v>
      </c>
      <c r="BH94" t="s">
        <v>243</v>
      </c>
      <c r="BI94" t="s">
        <v>243</v>
      </c>
      <c r="BJ94" t="s">
        <v>2829</v>
      </c>
      <c r="BK94" t="s">
        <v>243</v>
      </c>
      <c r="BL94" t="s">
        <v>243</v>
      </c>
      <c r="BM94" t="s">
        <v>243</v>
      </c>
      <c r="BN94" t="s">
        <v>243</v>
      </c>
      <c r="BO94" t="s">
        <v>243</v>
      </c>
      <c r="BP94" t="s">
        <v>2829</v>
      </c>
      <c r="BQ94" t="s">
        <v>243</v>
      </c>
      <c r="BR94" t="s">
        <v>243</v>
      </c>
      <c r="BS94" t="s">
        <v>243</v>
      </c>
      <c r="BT94" t="s">
        <v>243</v>
      </c>
      <c r="BU94" t="s">
        <v>243</v>
      </c>
      <c r="BV94" t="s">
        <v>2829</v>
      </c>
      <c r="BW94" t="s">
        <v>243</v>
      </c>
      <c r="BX94" t="s">
        <v>243</v>
      </c>
      <c r="BY94" t="s">
        <v>243</v>
      </c>
      <c r="BZ94" t="s">
        <v>243</v>
      </c>
      <c r="CA94" t="s">
        <v>243</v>
      </c>
      <c r="CB94" t="s">
        <v>2829</v>
      </c>
      <c r="CC94" t="s">
        <v>243</v>
      </c>
      <c r="CD94" t="s">
        <v>243</v>
      </c>
      <c r="CE94" t="s">
        <v>243</v>
      </c>
      <c r="CF94" t="s">
        <v>243</v>
      </c>
      <c r="CG94" t="s">
        <v>243</v>
      </c>
      <c r="CH94" t="s">
        <v>2829</v>
      </c>
      <c r="CI94" t="s">
        <v>243</v>
      </c>
      <c r="CJ94" t="s">
        <v>243</v>
      </c>
      <c r="CK94" t="s">
        <v>243</v>
      </c>
      <c r="CL94" t="s">
        <v>243</v>
      </c>
      <c r="CM94" t="s">
        <v>243</v>
      </c>
      <c r="CN94" t="s">
        <v>3187</v>
      </c>
      <c r="CO94" t="s">
        <v>2843</v>
      </c>
      <c r="CP94" t="s">
        <v>2844</v>
      </c>
      <c r="CQ94" t="s">
        <v>470</v>
      </c>
      <c r="CR94" t="s">
        <v>2872</v>
      </c>
      <c r="CS94" t="s">
        <v>431</v>
      </c>
      <c r="CT94" t="s">
        <v>470</v>
      </c>
      <c r="CU94" t="s">
        <v>3061</v>
      </c>
      <c r="CV94" t="s">
        <v>3062</v>
      </c>
      <c r="CW94" t="s">
        <v>2872</v>
      </c>
      <c r="CX94" t="s">
        <v>2848</v>
      </c>
      <c r="CY94" t="s">
        <v>3762</v>
      </c>
    </row>
    <row r="95" spans="1:103" ht="11.25" customHeight="1">
      <c r="A95" t="s">
        <v>243</v>
      </c>
      <c r="B95" t="s">
        <v>243</v>
      </c>
      <c r="C95" t="s">
        <v>243</v>
      </c>
      <c r="D95" t="s">
        <v>243</v>
      </c>
      <c r="E95" t="s">
        <v>243</v>
      </c>
      <c r="F95" t="s">
        <v>2816</v>
      </c>
      <c r="G95" t="s">
        <v>243</v>
      </c>
      <c r="H95" t="s">
        <v>243</v>
      </c>
      <c r="I95" t="s">
        <v>1847</v>
      </c>
      <c r="J95" t="s">
        <v>243</v>
      </c>
      <c r="K95" t="s">
        <v>3091</v>
      </c>
      <c r="L95" t="s">
        <v>243</v>
      </c>
      <c r="M95" t="s">
        <v>114</v>
      </c>
      <c r="N95" t="s">
        <v>243</v>
      </c>
      <c r="O95" t="s">
        <v>2819</v>
      </c>
      <c r="P95" t="s">
        <v>2820</v>
      </c>
      <c r="Q95" t="s">
        <v>2821</v>
      </c>
      <c r="R95" t="s">
        <v>200</v>
      </c>
      <c r="S95" t="s">
        <v>200</v>
      </c>
      <c r="T95" t="s">
        <v>2822</v>
      </c>
      <c r="U95" t="s">
        <v>2822</v>
      </c>
      <c r="V95" t="s">
        <v>2823</v>
      </c>
      <c r="W95" t="s">
        <v>3763</v>
      </c>
      <c r="X95" t="s">
        <v>3764</v>
      </c>
      <c r="Y95" t="s">
        <v>3610</v>
      </c>
      <c r="Z95" t="s">
        <v>2955</v>
      </c>
      <c r="AA95" t="s">
        <v>3078</v>
      </c>
      <c r="AB95" t="s">
        <v>3765</v>
      </c>
      <c r="AC95" t="s">
        <v>2829</v>
      </c>
      <c r="AD95" t="s">
        <v>2830</v>
      </c>
      <c r="AE95" t="s">
        <v>2831</v>
      </c>
      <c r="AF95" t="s">
        <v>3766</v>
      </c>
      <c r="AG95" t="s">
        <v>3767</v>
      </c>
      <c r="AH95" t="s">
        <v>2834</v>
      </c>
      <c r="AI95" t="s">
        <v>2835</v>
      </c>
      <c r="AJ95" t="s">
        <v>2960</v>
      </c>
      <c r="AK95" t="s">
        <v>3057</v>
      </c>
      <c r="AL95" t="s">
        <v>3078</v>
      </c>
      <c r="AM95" t="s">
        <v>3332</v>
      </c>
      <c r="AN95" t="s">
        <v>2829</v>
      </c>
      <c r="AO95" t="s">
        <v>2839</v>
      </c>
      <c r="AP95" t="s">
        <v>2840</v>
      </c>
      <c r="AQ95" t="s">
        <v>2841</v>
      </c>
      <c r="AR95" t="s">
        <v>3768</v>
      </c>
      <c r="AS95" t="s">
        <v>3768</v>
      </c>
      <c r="AT95" t="s">
        <v>2829</v>
      </c>
      <c r="AU95" t="s">
        <v>2829</v>
      </c>
      <c r="AV95" t="s">
        <v>2829</v>
      </c>
      <c r="AW95" t="s">
        <v>2829</v>
      </c>
      <c r="AX95" t="s">
        <v>2829</v>
      </c>
      <c r="AY95" t="s">
        <v>2829</v>
      </c>
      <c r="AZ95" t="s">
        <v>2829</v>
      </c>
      <c r="BA95" t="s">
        <v>2829</v>
      </c>
      <c r="BB95" t="s">
        <v>2829</v>
      </c>
      <c r="BC95" t="s">
        <v>2829</v>
      </c>
      <c r="BD95" t="s">
        <v>2829</v>
      </c>
      <c r="BE95" t="s">
        <v>243</v>
      </c>
      <c r="BF95" t="s">
        <v>243</v>
      </c>
      <c r="BG95" t="s">
        <v>243</v>
      </c>
      <c r="BH95" t="s">
        <v>243</v>
      </c>
      <c r="BI95" t="s">
        <v>243</v>
      </c>
      <c r="BJ95" t="s">
        <v>2829</v>
      </c>
      <c r="BK95" t="s">
        <v>243</v>
      </c>
      <c r="BL95" t="s">
        <v>243</v>
      </c>
      <c r="BM95" t="s">
        <v>243</v>
      </c>
      <c r="BN95" t="s">
        <v>243</v>
      </c>
      <c r="BO95" t="s">
        <v>243</v>
      </c>
      <c r="BP95" t="s">
        <v>2829</v>
      </c>
      <c r="BQ95" t="s">
        <v>243</v>
      </c>
      <c r="BR95" t="s">
        <v>243</v>
      </c>
      <c r="BS95" t="s">
        <v>243</v>
      </c>
      <c r="BT95" t="s">
        <v>243</v>
      </c>
      <c r="BU95" t="s">
        <v>243</v>
      </c>
      <c r="BV95" t="s">
        <v>2829</v>
      </c>
      <c r="BW95" t="s">
        <v>243</v>
      </c>
      <c r="BX95" t="s">
        <v>243</v>
      </c>
      <c r="BY95" t="s">
        <v>243</v>
      </c>
      <c r="BZ95" t="s">
        <v>243</v>
      </c>
      <c r="CA95" t="s">
        <v>243</v>
      </c>
      <c r="CB95" t="s">
        <v>3768</v>
      </c>
      <c r="CC95" t="s">
        <v>3768</v>
      </c>
      <c r="CD95" t="s">
        <v>243</v>
      </c>
      <c r="CE95" t="s">
        <v>243</v>
      </c>
      <c r="CF95" t="s">
        <v>243</v>
      </c>
      <c r="CG95" t="s">
        <v>243</v>
      </c>
      <c r="CH95" t="s">
        <v>2829</v>
      </c>
      <c r="CI95" t="s">
        <v>243</v>
      </c>
      <c r="CJ95" t="s">
        <v>243</v>
      </c>
      <c r="CK95" t="s">
        <v>243</v>
      </c>
      <c r="CL95" t="s">
        <v>243</v>
      </c>
      <c r="CM95" t="s">
        <v>243</v>
      </c>
      <c r="CN95" t="s">
        <v>2960</v>
      </c>
      <c r="CO95" t="s">
        <v>2843</v>
      </c>
      <c r="CP95" t="s">
        <v>2844</v>
      </c>
      <c r="CQ95" t="s">
        <v>430</v>
      </c>
      <c r="CR95" t="s">
        <v>2845</v>
      </c>
      <c r="CS95" t="s">
        <v>431</v>
      </c>
      <c r="CT95" t="s">
        <v>430</v>
      </c>
      <c r="CU95" t="s">
        <v>2846</v>
      </c>
      <c r="CV95" t="s">
        <v>2847</v>
      </c>
      <c r="CW95" t="s">
        <v>2845</v>
      </c>
      <c r="CX95" t="s">
        <v>2848</v>
      </c>
      <c r="CY95" t="s">
        <v>3769</v>
      </c>
    </row>
    <row r="96" spans="1:103" ht="11.25" customHeight="1">
      <c r="A96" t="s">
        <v>243</v>
      </c>
      <c r="B96" t="s">
        <v>243</v>
      </c>
      <c r="C96" t="s">
        <v>243</v>
      </c>
      <c r="D96" t="s">
        <v>243</v>
      </c>
      <c r="E96" t="s">
        <v>243</v>
      </c>
      <c r="F96" t="s">
        <v>2816</v>
      </c>
      <c r="G96" t="s">
        <v>243</v>
      </c>
      <c r="H96" t="s">
        <v>243</v>
      </c>
      <c r="I96" t="s">
        <v>3222</v>
      </c>
      <c r="J96" t="s">
        <v>243</v>
      </c>
      <c r="K96" t="s">
        <v>3770</v>
      </c>
      <c r="L96" t="s">
        <v>243</v>
      </c>
      <c r="M96" t="s">
        <v>114</v>
      </c>
      <c r="N96" t="s">
        <v>243</v>
      </c>
      <c r="O96" t="s">
        <v>2819</v>
      </c>
      <c r="P96" t="s">
        <v>2820</v>
      </c>
      <c r="Q96" t="s">
        <v>2821</v>
      </c>
      <c r="R96" t="s">
        <v>200</v>
      </c>
      <c r="S96" t="s">
        <v>200</v>
      </c>
      <c r="T96" t="s">
        <v>2822</v>
      </c>
      <c r="U96" t="s">
        <v>2822</v>
      </c>
      <c r="V96" t="s">
        <v>2823</v>
      </c>
      <c r="W96" t="s">
        <v>3771</v>
      </c>
      <c r="X96" t="s">
        <v>3772</v>
      </c>
      <c r="Y96" t="s">
        <v>3610</v>
      </c>
      <c r="Z96" t="s">
        <v>2955</v>
      </c>
      <c r="AA96" t="s">
        <v>3078</v>
      </c>
      <c r="AB96" t="s">
        <v>3773</v>
      </c>
      <c r="AC96" t="s">
        <v>2829</v>
      </c>
      <c r="AD96" t="s">
        <v>2830</v>
      </c>
      <c r="AE96" t="s">
        <v>2831</v>
      </c>
      <c r="AF96" t="s">
        <v>3774</v>
      </c>
      <c r="AG96" t="s">
        <v>3775</v>
      </c>
      <c r="AH96" t="s">
        <v>2834</v>
      </c>
      <c r="AI96" t="s">
        <v>2835</v>
      </c>
      <c r="AJ96" t="s">
        <v>2960</v>
      </c>
      <c r="AK96" t="s">
        <v>3057</v>
      </c>
      <c r="AL96" t="s">
        <v>3078</v>
      </c>
      <c r="AM96" t="s">
        <v>3217</v>
      </c>
      <c r="AN96" t="s">
        <v>2829</v>
      </c>
      <c r="AO96" t="s">
        <v>2839</v>
      </c>
      <c r="AP96" t="s">
        <v>2840</v>
      </c>
      <c r="AQ96" t="s">
        <v>2841</v>
      </c>
      <c r="AR96" t="s">
        <v>3182</v>
      </c>
      <c r="AS96" t="s">
        <v>3182</v>
      </c>
      <c r="AT96" t="s">
        <v>2829</v>
      </c>
      <c r="AU96" t="s">
        <v>2829</v>
      </c>
      <c r="AV96" t="s">
        <v>2829</v>
      </c>
      <c r="AW96" t="s">
        <v>2829</v>
      </c>
      <c r="AX96" t="s">
        <v>2829</v>
      </c>
      <c r="AY96" t="s">
        <v>2829</v>
      </c>
      <c r="AZ96" t="s">
        <v>2829</v>
      </c>
      <c r="BA96" t="s">
        <v>2829</v>
      </c>
      <c r="BB96" t="s">
        <v>2829</v>
      </c>
      <c r="BC96" t="s">
        <v>2829</v>
      </c>
      <c r="BD96" t="s">
        <v>2829</v>
      </c>
      <c r="BE96" t="s">
        <v>243</v>
      </c>
      <c r="BF96" t="s">
        <v>243</v>
      </c>
      <c r="BG96" t="s">
        <v>243</v>
      </c>
      <c r="BH96" t="s">
        <v>243</v>
      </c>
      <c r="BI96" t="s">
        <v>243</v>
      </c>
      <c r="BJ96" t="s">
        <v>2829</v>
      </c>
      <c r="BK96" t="s">
        <v>243</v>
      </c>
      <c r="BL96" t="s">
        <v>243</v>
      </c>
      <c r="BM96" t="s">
        <v>243</v>
      </c>
      <c r="BN96" t="s">
        <v>243</v>
      </c>
      <c r="BO96" t="s">
        <v>243</v>
      </c>
      <c r="BP96" t="s">
        <v>2829</v>
      </c>
      <c r="BQ96" t="s">
        <v>243</v>
      </c>
      <c r="BR96" t="s">
        <v>243</v>
      </c>
      <c r="BS96" t="s">
        <v>243</v>
      </c>
      <c r="BT96" t="s">
        <v>243</v>
      </c>
      <c r="BU96" t="s">
        <v>243</v>
      </c>
      <c r="BV96" t="s">
        <v>2829</v>
      </c>
      <c r="BW96" t="s">
        <v>243</v>
      </c>
      <c r="BX96" t="s">
        <v>243</v>
      </c>
      <c r="BY96" t="s">
        <v>243</v>
      </c>
      <c r="BZ96" t="s">
        <v>243</v>
      </c>
      <c r="CA96" t="s">
        <v>243</v>
      </c>
      <c r="CB96" t="s">
        <v>3182</v>
      </c>
      <c r="CC96" t="s">
        <v>3182</v>
      </c>
      <c r="CD96" t="s">
        <v>243</v>
      </c>
      <c r="CE96" t="s">
        <v>243</v>
      </c>
      <c r="CF96" t="s">
        <v>243</v>
      </c>
      <c r="CG96" t="s">
        <v>243</v>
      </c>
      <c r="CH96" t="s">
        <v>2829</v>
      </c>
      <c r="CI96" t="s">
        <v>243</v>
      </c>
      <c r="CJ96" t="s">
        <v>243</v>
      </c>
      <c r="CK96" t="s">
        <v>243</v>
      </c>
      <c r="CL96" t="s">
        <v>243</v>
      </c>
      <c r="CM96" t="s">
        <v>243</v>
      </c>
      <c r="CN96" t="s">
        <v>2960</v>
      </c>
      <c r="CO96" t="s">
        <v>2843</v>
      </c>
      <c r="CP96" t="s">
        <v>2844</v>
      </c>
      <c r="CQ96" t="s">
        <v>430</v>
      </c>
      <c r="CR96" t="s">
        <v>2845</v>
      </c>
      <c r="CS96" t="s">
        <v>431</v>
      </c>
      <c r="CT96" t="s">
        <v>430</v>
      </c>
      <c r="CU96" t="s">
        <v>2846</v>
      </c>
      <c r="CV96" t="s">
        <v>2847</v>
      </c>
      <c r="CW96" t="s">
        <v>2845</v>
      </c>
      <c r="CX96" t="s">
        <v>2848</v>
      </c>
      <c r="CY96" t="s">
        <v>3776</v>
      </c>
    </row>
    <row r="97" spans="1:103" ht="11.25" customHeight="1">
      <c r="A97" t="s">
        <v>243</v>
      </c>
      <c r="B97" t="s">
        <v>243</v>
      </c>
      <c r="C97" t="s">
        <v>243</v>
      </c>
      <c r="D97" t="s">
        <v>243</v>
      </c>
      <c r="E97" t="s">
        <v>243</v>
      </c>
      <c r="F97" t="s">
        <v>2816</v>
      </c>
      <c r="G97" t="s">
        <v>243</v>
      </c>
      <c r="H97" t="s">
        <v>243</v>
      </c>
      <c r="I97" t="s">
        <v>3777</v>
      </c>
      <c r="J97" t="s">
        <v>243</v>
      </c>
      <c r="K97" t="s">
        <v>3615</v>
      </c>
      <c r="L97" t="s">
        <v>243</v>
      </c>
      <c r="M97" t="s">
        <v>114</v>
      </c>
      <c r="N97" t="s">
        <v>243</v>
      </c>
      <c r="O97" t="s">
        <v>2819</v>
      </c>
      <c r="P97" t="s">
        <v>2820</v>
      </c>
      <c r="Q97" t="s">
        <v>2821</v>
      </c>
      <c r="R97" t="s">
        <v>200</v>
      </c>
      <c r="S97" t="s">
        <v>200</v>
      </c>
      <c r="T97" t="s">
        <v>2822</v>
      </c>
      <c r="U97" t="s">
        <v>2822</v>
      </c>
      <c r="V97" t="s">
        <v>2823</v>
      </c>
      <c r="W97" t="s">
        <v>2927</v>
      </c>
      <c r="X97" t="s">
        <v>2928</v>
      </c>
      <c r="Y97" t="s">
        <v>2826</v>
      </c>
      <c r="Z97" t="s">
        <v>437</v>
      </c>
      <c r="AA97" t="s">
        <v>3778</v>
      </c>
      <c r="AB97" t="s">
        <v>3779</v>
      </c>
      <c r="AC97" t="s">
        <v>2829</v>
      </c>
      <c r="AD97" t="s">
        <v>2830</v>
      </c>
      <c r="AE97" t="s">
        <v>2831</v>
      </c>
      <c r="AF97" t="s">
        <v>3780</v>
      </c>
      <c r="AG97" t="s">
        <v>3781</v>
      </c>
      <c r="AH97" t="s">
        <v>2834</v>
      </c>
      <c r="AI97" t="s">
        <v>2835</v>
      </c>
      <c r="AJ97" t="s">
        <v>2960</v>
      </c>
      <c r="AK97" t="s">
        <v>3325</v>
      </c>
      <c r="AL97" t="s">
        <v>3778</v>
      </c>
      <c r="AM97" t="s">
        <v>3464</v>
      </c>
      <c r="AN97" t="s">
        <v>2829</v>
      </c>
      <c r="AO97" t="s">
        <v>2839</v>
      </c>
      <c r="AP97" t="s">
        <v>2840</v>
      </c>
      <c r="AQ97" t="s">
        <v>2841</v>
      </c>
      <c r="AR97" t="s">
        <v>3782</v>
      </c>
      <c r="AS97" t="s">
        <v>3782</v>
      </c>
      <c r="AT97" t="s">
        <v>2829</v>
      </c>
      <c r="AU97" t="s">
        <v>2829</v>
      </c>
      <c r="AV97" t="s">
        <v>2829</v>
      </c>
      <c r="AW97" t="s">
        <v>2829</v>
      </c>
      <c r="AX97" t="s">
        <v>2829</v>
      </c>
      <c r="AY97" t="s">
        <v>2829</v>
      </c>
      <c r="AZ97" t="s">
        <v>2829</v>
      </c>
      <c r="BA97" t="s">
        <v>2829</v>
      </c>
      <c r="BB97" t="s">
        <v>2829</v>
      </c>
      <c r="BC97" t="s">
        <v>2829</v>
      </c>
      <c r="BD97" t="s">
        <v>2829</v>
      </c>
      <c r="BE97" t="s">
        <v>243</v>
      </c>
      <c r="BF97" t="s">
        <v>243</v>
      </c>
      <c r="BG97" t="s">
        <v>243</v>
      </c>
      <c r="BH97" t="s">
        <v>243</v>
      </c>
      <c r="BI97" t="s">
        <v>243</v>
      </c>
      <c r="BJ97" t="s">
        <v>2829</v>
      </c>
      <c r="BK97" t="s">
        <v>243</v>
      </c>
      <c r="BL97" t="s">
        <v>243</v>
      </c>
      <c r="BM97" t="s">
        <v>243</v>
      </c>
      <c r="BN97" t="s">
        <v>243</v>
      </c>
      <c r="BO97" t="s">
        <v>243</v>
      </c>
      <c r="BP97" t="s">
        <v>2829</v>
      </c>
      <c r="BQ97" t="s">
        <v>243</v>
      </c>
      <c r="BR97" t="s">
        <v>243</v>
      </c>
      <c r="BS97" t="s">
        <v>243</v>
      </c>
      <c r="BT97" t="s">
        <v>243</v>
      </c>
      <c r="BU97" t="s">
        <v>243</v>
      </c>
      <c r="BV97" t="s">
        <v>2829</v>
      </c>
      <c r="BW97" t="s">
        <v>243</v>
      </c>
      <c r="BX97" t="s">
        <v>243</v>
      </c>
      <c r="BY97" t="s">
        <v>243</v>
      </c>
      <c r="BZ97" t="s">
        <v>243</v>
      </c>
      <c r="CA97" t="s">
        <v>243</v>
      </c>
      <c r="CB97" t="s">
        <v>3782</v>
      </c>
      <c r="CC97" t="s">
        <v>3782</v>
      </c>
      <c r="CD97" t="s">
        <v>243</v>
      </c>
      <c r="CE97" t="s">
        <v>243</v>
      </c>
      <c r="CF97" t="s">
        <v>243</v>
      </c>
      <c r="CG97" t="s">
        <v>243</v>
      </c>
      <c r="CH97" t="s">
        <v>2829</v>
      </c>
      <c r="CI97" t="s">
        <v>243</v>
      </c>
      <c r="CJ97" t="s">
        <v>243</v>
      </c>
      <c r="CK97" t="s">
        <v>243</v>
      </c>
      <c r="CL97" t="s">
        <v>243</v>
      </c>
      <c r="CM97" t="s">
        <v>243</v>
      </c>
      <c r="CN97" t="s">
        <v>2960</v>
      </c>
      <c r="CO97" t="s">
        <v>2843</v>
      </c>
      <c r="CP97" t="s">
        <v>2844</v>
      </c>
      <c r="CQ97" t="s">
        <v>430</v>
      </c>
      <c r="CR97" t="s">
        <v>2845</v>
      </c>
      <c r="CS97" t="s">
        <v>431</v>
      </c>
      <c r="CT97" t="s">
        <v>430</v>
      </c>
      <c r="CU97" t="s">
        <v>2846</v>
      </c>
      <c r="CV97" t="s">
        <v>2847</v>
      </c>
      <c r="CW97" t="s">
        <v>2845</v>
      </c>
      <c r="CX97" t="s">
        <v>2848</v>
      </c>
      <c r="CY97" t="s">
        <v>3783</v>
      </c>
    </row>
    <row r="98" spans="1:103" ht="11.25" customHeight="1">
      <c r="A98" t="s">
        <v>243</v>
      </c>
      <c r="B98" t="s">
        <v>243</v>
      </c>
      <c r="C98" t="s">
        <v>243</v>
      </c>
      <c r="D98" t="s">
        <v>243</v>
      </c>
      <c r="E98" t="s">
        <v>243</v>
      </c>
      <c r="F98" t="s">
        <v>2816</v>
      </c>
      <c r="G98" t="s">
        <v>243</v>
      </c>
      <c r="H98" t="s">
        <v>243</v>
      </c>
      <c r="I98" t="s">
        <v>3784</v>
      </c>
      <c r="J98" t="s">
        <v>243</v>
      </c>
      <c r="K98" t="s">
        <v>3320</v>
      </c>
      <c r="L98" t="s">
        <v>243</v>
      </c>
      <c r="M98" t="s">
        <v>114</v>
      </c>
      <c r="N98" t="s">
        <v>243</v>
      </c>
      <c r="O98" t="s">
        <v>2819</v>
      </c>
      <c r="P98" t="s">
        <v>2820</v>
      </c>
      <c r="Q98" t="s">
        <v>2821</v>
      </c>
      <c r="R98" t="s">
        <v>200</v>
      </c>
      <c r="S98" t="s">
        <v>200</v>
      </c>
      <c r="T98" t="s">
        <v>2822</v>
      </c>
      <c r="U98" t="s">
        <v>2822</v>
      </c>
      <c r="V98" t="s">
        <v>2823</v>
      </c>
      <c r="W98" t="s">
        <v>3785</v>
      </c>
      <c r="X98" t="s">
        <v>3786</v>
      </c>
      <c r="Y98" t="s">
        <v>3610</v>
      </c>
      <c r="Z98" t="s">
        <v>897</v>
      </c>
      <c r="AA98" t="s">
        <v>3005</v>
      </c>
      <c r="AB98" t="s">
        <v>3787</v>
      </c>
      <c r="AC98" t="s">
        <v>2829</v>
      </c>
      <c r="AD98" t="s">
        <v>2830</v>
      </c>
      <c r="AE98" t="s">
        <v>2831</v>
      </c>
      <c r="AF98" t="s">
        <v>3788</v>
      </c>
      <c r="AG98" t="s">
        <v>3789</v>
      </c>
      <c r="AH98" t="s">
        <v>2834</v>
      </c>
      <c r="AI98" t="s">
        <v>2835</v>
      </c>
      <c r="AJ98" t="s">
        <v>2960</v>
      </c>
      <c r="AK98" t="s">
        <v>3325</v>
      </c>
      <c r="AL98" t="s">
        <v>3005</v>
      </c>
      <c r="AM98" t="s">
        <v>3039</v>
      </c>
      <c r="AN98" t="s">
        <v>2829</v>
      </c>
      <c r="AO98" t="s">
        <v>2839</v>
      </c>
      <c r="AP98" t="s">
        <v>2840</v>
      </c>
      <c r="AQ98" t="s">
        <v>2841</v>
      </c>
      <c r="AR98" t="s">
        <v>3790</v>
      </c>
      <c r="AS98" t="s">
        <v>3790</v>
      </c>
      <c r="AT98" t="s">
        <v>2829</v>
      </c>
      <c r="AU98" t="s">
        <v>2829</v>
      </c>
      <c r="AV98" t="s">
        <v>2829</v>
      </c>
      <c r="AW98" t="s">
        <v>2829</v>
      </c>
      <c r="AX98" t="s">
        <v>2829</v>
      </c>
      <c r="AY98" t="s">
        <v>2829</v>
      </c>
      <c r="AZ98" t="s">
        <v>2829</v>
      </c>
      <c r="BA98" t="s">
        <v>2829</v>
      </c>
      <c r="BB98" t="s">
        <v>2829</v>
      </c>
      <c r="BC98" t="s">
        <v>2829</v>
      </c>
      <c r="BD98" t="s">
        <v>3790</v>
      </c>
      <c r="BE98" t="s">
        <v>3790</v>
      </c>
      <c r="BF98" t="s">
        <v>243</v>
      </c>
      <c r="BG98" t="s">
        <v>243</v>
      </c>
      <c r="BH98" t="s">
        <v>243</v>
      </c>
      <c r="BI98" t="s">
        <v>243</v>
      </c>
      <c r="BJ98" t="s">
        <v>2829</v>
      </c>
      <c r="BK98" t="s">
        <v>243</v>
      </c>
      <c r="BL98" t="s">
        <v>243</v>
      </c>
      <c r="BM98" t="s">
        <v>243</v>
      </c>
      <c r="BN98" t="s">
        <v>243</v>
      </c>
      <c r="BO98" t="s">
        <v>243</v>
      </c>
      <c r="BP98" t="s">
        <v>2829</v>
      </c>
      <c r="BQ98" t="s">
        <v>243</v>
      </c>
      <c r="BR98" t="s">
        <v>243</v>
      </c>
      <c r="BS98" t="s">
        <v>243</v>
      </c>
      <c r="BT98" t="s">
        <v>243</v>
      </c>
      <c r="BU98" t="s">
        <v>243</v>
      </c>
      <c r="BV98" t="s">
        <v>2829</v>
      </c>
      <c r="BW98" t="s">
        <v>243</v>
      </c>
      <c r="BX98" t="s">
        <v>243</v>
      </c>
      <c r="BY98" t="s">
        <v>243</v>
      </c>
      <c r="BZ98" t="s">
        <v>243</v>
      </c>
      <c r="CA98" t="s">
        <v>243</v>
      </c>
      <c r="CB98" t="s">
        <v>2829</v>
      </c>
      <c r="CC98" t="s">
        <v>243</v>
      </c>
      <c r="CD98" t="s">
        <v>243</v>
      </c>
      <c r="CE98" t="s">
        <v>243</v>
      </c>
      <c r="CF98" t="s">
        <v>243</v>
      </c>
      <c r="CG98" t="s">
        <v>243</v>
      </c>
      <c r="CH98" t="s">
        <v>2829</v>
      </c>
      <c r="CI98" t="s">
        <v>243</v>
      </c>
      <c r="CJ98" t="s">
        <v>243</v>
      </c>
      <c r="CK98" t="s">
        <v>243</v>
      </c>
      <c r="CL98" t="s">
        <v>243</v>
      </c>
      <c r="CM98" t="s">
        <v>243</v>
      </c>
      <c r="CN98" t="s">
        <v>2960</v>
      </c>
      <c r="CO98" t="s">
        <v>2843</v>
      </c>
      <c r="CP98" t="s">
        <v>2844</v>
      </c>
      <c r="CQ98" t="s">
        <v>430</v>
      </c>
      <c r="CR98" t="s">
        <v>2845</v>
      </c>
      <c r="CS98" t="s">
        <v>431</v>
      </c>
      <c r="CT98" t="s">
        <v>430</v>
      </c>
      <c r="CU98" t="s">
        <v>2846</v>
      </c>
      <c r="CV98" t="s">
        <v>2847</v>
      </c>
      <c r="CW98" t="s">
        <v>2845</v>
      </c>
      <c r="CX98" t="s">
        <v>2848</v>
      </c>
      <c r="CY98" t="s">
        <v>3791</v>
      </c>
    </row>
    <row r="99" spans="1:103" ht="11.25" customHeight="1">
      <c r="A99" t="s">
        <v>243</v>
      </c>
      <c r="B99" t="s">
        <v>243</v>
      </c>
      <c r="C99" t="s">
        <v>243</v>
      </c>
      <c r="D99" t="s">
        <v>243</v>
      </c>
      <c r="E99" t="s">
        <v>243</v>
      </c>
      <c r="F99" t="s">
        <v>2816</v>
      </c>
      <c r="G99" t="s">
        <v>243</v>
      </c>
      <c r="H99" t="s">
        <v>243</v>
      </c>
      <c r="I99" t="s">
        <v>3792</v>
      </c>
      <c r="J99" t="s">
        <v>243</v>
      </c>
      <c r="K99" t="s">
        <v>3793</v>
      </c>
      <c r="L99" t="s">
        <v>243</v>
      </c>
      <c r="M99" t="s">
        <v>114</v>
      </c>
      <c r="N99" t="s">
        <v>243</v>
      </c>
      <c r="O99" t="s">
        <v>2819</v>
      </c>
      <c r="P99" t="s">
        <v>2820</v>
      </c>
      <c r="Q99" t="s">
        <v>2821</v>
      </c>
      <c r="R99" t="s">
        <v>200</v>
      </c>
      <c r="S99" t="s">
        <v>200</v>
      </c>
      <c r="T99" t="s">
        <v>3048</v>
      </c>
      <c r="U99" t="s">
        <v>3048</v>
      </c>
      <c r="V99" t="s">
        <v>3049</v>
      </c>
      <c r="W99" t="s">
        <v>3086</v>
      </c>
      <c r="X99" t="s">
        <v>3087</v>
      </c>
      <c r="Y99" t="s">
        <v>3088</v>
      </c>
      <c r="Z99" t="s">
        <v>2848</v>
      </c>
      <c r="AA99" t="s">
        <v>3038</v>
      </c>
      <c r="AB99" t="s">
        <v>3467</v>
      </c>
      <c r="AC99" t="s">
        <v>2829</v>
      </c>
      <c r="AD99" t="s">
        <v>2883</v>
      </c>
      <c r="AE99" t="s">
        <v>3372</v>
      </c>
      <c r="AF99" t="s">
        <v>3794</v>
      </c>
      <c r="AG99" t="s">
        <v>3794</v>
      </c>
      <c r="AH99" t="s">
        <v>2834</v>
      </c>
      <c r="AI99" t="s">
        <v>2835</v>
      </c>
      <c r="AJ99" t="s">
        <v>2888</v>
      </c>
      <c r="AK99" t="s">
        <v>3080</v>
      </c>
      <c r="AL99" t="s">
        <v>3038</v>
      </c>
      <c r="AM99" t="s">
        <v>3467</v>
      </c>
      <c r="AN99" t="s">
        <v>243</v>
      </c>
      <c r="AO99" t="s">
        <v>2839</v>
      </c>
      <c r="AP99" t="s">
        <v>2840</v>
      </c>
      <c r="AQ99" t="s">
        <v>2841</v>
      </c>
      <c r="AR99" t="s">
        <v>2829</v>
      </c>
      <c r="AS99" t="s">
        <v>2829</v>
      </c>
      <c r="AT99" t="s">
        <v>2829</v>
      </c>
      <c r="AU99" t="s">
        <v>2829</v>
      </c>
      <c r="AV99" t="s">
        <v>2829</v>
      </c>
      <c r="AW99" t="s">
        <v>2829</v>
      </c>
      <c r="AX99" t="s">
        <v>2829</v>
      </c>
      <c r="AY99" t="s">
        <v>2829</v>
      </c>
      <c r="AZ99" t="s">
        <v>2829</v>
      </c>
      <c r="BA99" t="s">
        <v>2829</v>
      </c>
      <c r="BB99" t="s">
        <v>2829</v>
      </c>
      <c r="BC99" t="s">
        <v>2829</v>
      </c>
      <c r="BD99" t="s">
        <v>2829</v>
      </c>
      <c r="BE99" t="s">
        <v>2829</v>
      </c>
      <c r="BF99" t="s">
        <v>243</v>
      </c>
      <c r="BG99" t="s">
        <v>243</v>
      </c>
      <c r="BH99" t="s">
        <v>243</v>
      </c>
      <c r="BI99" t="s">
        <v>243</v>
      </c>
      <c r="BJ99" t="s">
        <v>2829</v>
      </c>
      <c r="BK99" t="s">
        <v>243</v>
      </c>
      <c r="BL99" t="s">
        <v>243</v>
      </c>
      <c r="BM99" t="s">
        <v>243</v>
      </c>
      <c r="BN99" t="s">
        <v>243</v>
      </c>
      <c r="BO99" t="s">
        <v>243</v>
      </c>
      <c r="BP99" t="s">
        <v>2829</v>
      </c>
      <c r="BQ99" t="s">
        <v>243</v>
      </c>
      <c r="BR99" t="s">
        <v>243</v>
      </c>
      <c r="BS99" t="s">
        <v>243</v>
      </c>
      <c r="BT99" t="s">
        <v>243</v>
      </c>
      <c r="BU99" t="s">
        <v>243</v>
      </c>
      <c r="BV99" t="s">
        <v>2829</v>
      </c>
      <c r="BW99" t="s">
        <v>243</v>
      </c>
      <c r="BX99" t="s">
        <v>243</v>
      </c>
      <c r="BY99" t="s">
        <v>243</v>
      </c>
      <c r="BZ99" t="s">
        <v>243</v>
      </c>
      <c r="CA99" t="s">
        <v>243</v>
      </c>
      <c r="CB99" t="s">
        <v>2829</v>
      </c>
      <c r="CC99" t="s">
        <v>243</v>
      </c>
      <c r="CD99" t="s">
        <v>243</v>
      </c>
      <c r="CE99" t="s">
        <v>243</v>
      </c>
      <c r="CF99" t="s">
        <v>243</v>
      </c>
      <c r="CG99" t="s">
        <v>243</v>
      </c>
      <c r="CH99" t="s">
        <v>2829</v>
      </c>
      <c r="CI99" t="s">
        <v>243</v>
      </c>
      <c r="CJ99" t="s">
        <v>243</v>
      </c>
      <c r="CK99" t="s">
        <v>243</v>
      </c>
      <c r="CL99" t="s">
        <v>243</v>
      </c>
      <c r="CM99" t="s">
        <v>243</v>
      </c>
      <c r="CN99" t="s">
        <v>2888</v>
      </c>
      <c r="CO99" t="s">
        <v>2843</v>
      </c>
      <c r="CP99" t="s">
        <v>2844</v>
      </c>
      <c r="CQ99" t="s">
        <v>470</v>
      </c>
      <c r="CR99" t="s">
        <v>2872</v>
      </c>
      <c r="CS99" t="s">
        <v>431</v>
      </c>
      <c r="CT99" t="s">
        <v>470</v>
      </c>
      <c r="CU99" t="s">
        <v>3061</v>
      </c>
      <c r="CV99" t="s">
        <v>3062</v>
      </c>
      <c r="CW99" t="s">
        <v>2872</v>
      </c>
      <c r="CX99" t="s">
        <v>2848</v>
      </c>
      <c r="CY99" t="s">
        <v>3089</v>
      </c>
    </row>
    <row r="100" spans="1:103" ht="11.25" customHeight="1">
      <c r="A100" t="s">
        <v>243</v>
      </c>
      <c r="B100" t="s">
        <v>243</v>
      </c>
      <c r="C100" t="s">
        <v>243</v>
      </c>
      <c r="D100" t="s">
        <v>243</v>
      </c>
      <c r="E100" t="s">
        <v>243</v>
      </c>
      <c r="F100" t="s">
        <v>2816</v>
      </c>
      <c r="G100" t="s">
        <v>243</v>
      </c>
      <c r="H100" t="s">
        <v>243</v>
      </c>
      <c r="I100" t="s">
        <v>3364</v>
      </c>
      <c r="J100" t="s">
        <v>243</v>
      </c>
      <c r="K100" t="s">
        <v>3178</v>
      </c>
      <c r="L100" t="s">
        <v>243</v>
      </c>
      <c r="M100" t="s">
        <v>114</v>
      </c>
      <c r="N100" t="s">
        <v>243</v>
      </c>
      <c r="O100" t="s">
        <v>2819</v>
      </c>
      <c r="P100" t="s">
        <v>2820</v>
      </c>
      <c r="Q100" t="s">
        <v>2821</v>
      </c>
      <c r="R100" t="s">
        <v>200</v>
      </c>
      <c r="S100" t="s">
        <v>200</v>
      </c>
      <c r="T100" t="s">
        <v>3048</v>
      </c>
      <c r="U100" t="s">
        <v>3048</v>
      </c>
      <c r="V100" t="s">
        <v>3049</v>
      </c>
      <c r="W100" t="s">
        <v>3795</v>
      </c>
      <c r="X100" t="s">
        <v>3796</v>
      </c>
      <c r="Y100" t="s">
        <v>3797</v>
      </c>
      <c r="Z100" t="s">
        <v>2846</v>
      </c>
      <c r="AA100" t="s">
        <v>3798</v>
      </c>
      <c r="AB100" t="s">
        <v>3443</v>
      </c>
      <c r="AC100" t="s">
        <v>2829</v>
      </c>
      <c r="AD100" t="s">
        <v>2883</v>
      </c>
      <c r="AE100" t="s">
        <v>2831</v>
      </c>
      <c r="AF100" t="s">
        <v>3055</v>
      </c>
      <c r="AG100" t="s">
        <v>3055</v>
      </c>
      <c r="AH100" t="s">
        <v>2834</v>
      </c>
      <c r="AI100" t="s">
        <v>2835</v>
      </c>
      <c r="AJ100" t="s">
        <v>3184</v>
      </c>
      <c r="AK100" t="s">
        <v>3185</v>
      </c>
      <c r="AL100" t="s">
        <v>3798</v>
      </c>
      <c r="AM100" t="s">
        <v>3443</v>
      </c>
      <c r="AN100" t="s">
        <v>2829</v>
      </c>
      <c r="AO100" t="s">
        <v>2839</v>
      </c>
      <c r="AP100" t="s">
        <v>2840</v>
      </c>
      <c r="AQ100" t="s">
        <v>2841</v>
      </c>
      <c r="AR100" t="s">
        <v>3438</v>
      </c>
      <c r="AS100" t="s">
        <v>3438</v>
      </c>
      <c r="AT100" t="s">
        <v>2829</v>
      </c>
      <c r="AU100" t="s">
        <v>2829</v>
      </c>
      <c r="AV100" t="s">
        <v>2829</v>
      </c>
      <c r="AW100" t="s">
        <v>2829</v>
      </c>
      <c r="AX100" t="s">
        <v>2829</v>
      </c>
      <c r="AY100" t="s">
        <v>2829</v>
      </c>
      <c r="AZ100" t="s">
        <v>2829</v>
      </c>
      <c r="BA100" t="s">
        <v>2829</v>
      </c>
      <c r="BB100" t="s">
        <v>2829</v>
      </c>
      <c r="BC100" t="s">
        <v>2829</v>
      </c>
      <c r="BD100" t="s">
        <v>3438</v>
      </c>
      <c r="BE100" t="s">
        <v>3438</v>
      </c>
      <c r="BF100" t="s">
        <v>243</v>
      </c>
      <c r="BG100" t="s">
        <v>243</v>
      </c>
      <c r="BH100" t="s">
        <v>243</v>
      </c>
      <c r="BI100" t="s">
        <v>243</v>
      </c>
      <c r="BJ100" t="s">
        <v>2829</v>
      </c>
      <c r="BK100" t="s">
        <v>243</v>
      </c>
      <c r="BL100" t="s">
        <v>243</v>
      </c>
      <c r="BM100" t="s">
        <v>243</v>
      </c>
      <c r="BN100" t="s">
        <v>243</v>
      </c>
      <c r="BO100" t="s">
        <v>243</v>
      </c>
      <c r="BP100" t="s">
        <v>2829</v>
      </c>
      <c r="BQ100" t="s">
        <v>243</v>
      </c>
      <c r="BR100" t="s">
        <v>243</v>
      </c>
      <c r="BS100" t="s">
        <v>243</v>
      </c>
      <c r="BT100" t="s">
        <v>243</v>
      </c>
      <c r="BU100" t="s">
        <v>243</v>
      </c>
      <c r="BV100" t="s">
        <v>2829</v>
      </c>
      <c r="BW100" t="s">
        <v>243</v>
      </c>
      <c r="BX100" t="s">
        <v>243</v>
      </c>
      <c r="BY100" t="s">
        <v>243</v>
      </c>
      <c r="BZ100" t="s">
        <v>243</v>
      </c>
      <c r="CA100" t="s">
        <v>243</v>
      </c>
      <c r="CB100" t="s">
        <v>2829</v>
      </c>
      <c r="CC100" t="s">
        <v>243</v>
      </c>
      <c r="CD100" t="s">
        <v>243</v>
      </c>
      <c r="CE100" t="s">
        <v>243</v>
      </c>
      <c r="CF100" t="s">
        <v>243</v>
      </c>
      <c r="CG100" t="s">
        <v>243</v>
      </c>
      <c r="CH100" t="s">
        <v>2829</v>
      </c>
      <c r="CI100" t="s">
        <v>243</v>
      </c>
      <c r="CJ100" t="s">
        <v>243</v>
      </c>
      <c r="CK100" t="s">
        <v>243</v>
      </c>
      <c r="CL100" t="s">
        <v>243</v>
      </c>
      <c r="CM100" t="s">
        <v>243</v>
      </c>
      <c r="CN100" t="s">
        <v>3187</v>
      </c>
      <c r="CO100" t="s">
        <v>2843</v>
      </c>
      <c r="CP100" t="s">
        <v>2844</v>
      </c>
      <c r="CQ100" t="s">
        <v>470</v>
      </c>
      <c r="CR100" t="s">
        <v>2872</v>
      </c>
      <c r="CS100" t="s">
        <v>431</v>
      </c>
      <c r="CT100" t="s">
        <v>470</v>
      </c>
      <c r="CU100" t="s">
        <v>3061</v>
      </c>
      <c r="CV100" t="s">
        <v>3062</v>
      </c>
      <c r="CW100" t="s">
        <v>2872</v>
      </c>
      <c r="CX100" t="s">
        <v>2848</v>
      </c>
      <c r="CY100" t="s">
        <v>3799</v>
      </c>
    </row>
    <row r="101" spans="1:103" ht="11.25" customHeight="1">
      <c r="A101" t="s">
        <v>243</v>
      </c>
      <c r="B101" t="s">
        <v>243</v>
      </c>
      <c r="C101" t="s">
        <v>243</v>
      </c>
      <c r="D101" t="s">
        <v>243</v>
      </c>
      <c r="E101" t="s">
        <v>243</v>
      </c>
      <c r="F101" t="s">
        <v>2816</v>
      </c>
      <c r="G101" t="s">
        <v>243</v>
      </c>
      <c r="H101" t="s">
        <v>243</v>
      </c>
      <c r="I101" t="s">
        <v>596</v>
      </c>
      <c r="J101" t="s">
        <v>243</v>
      </c>
      <c r="K101" t="s">
        <v>3047</v>
      </c>
      <c r="L101" t="s">
        <v>243</v>
      </c>
      <c r="M101" t="s">
        <v>114</v>
      </c>
      <c r="N101" t="s">
        <v>243</v>
      </c>
      <c r="O101" t="s">
        <v>2819</v>
      </c>
      <c r="P101" t="s">
        <v>2820</v>
      </c>
      <c r="Q101" t="s">
        <v>2821</v>
      </c>
      <c r="R101" t="s">
        <v>200</v>
      </c>
      <c r="S101" t="s">
        <v>200</v>
      </c>
      <c r="T101" t="s">
        <v>2822</v>
      </c>
      <c r="U101" t="s">
        <v>2822</v>
      </c>
      <c r="V101" t="s">
        <v>2823</v>
      </c>
      <c r="W101" t="s">
        <v>3763</v>
      </c>
      <c r="X101" t="s">
        <v>3764</v>
      </c>
      <c r="Y101" t="s">
        <v>3610</v>
      </c>
      <c r="Z101" t="s">
        <v>3800</v>
      </c>
      <c r="AA101" t="s">
        <v>2966</v>
      </c>
      <c r="AB101" t="s">
        <v>3801</v>
      </c>
      <c r="AC101" t="s">
        <v>2829</v>
      </c>
      <c r="AD101" t="s">
        <v>2830</v>
      </c>
      <c r="AE101" t="s">
        <v>2831</v>
      </c>
      <c r="AF101" t="s">
        <v>3802</v>
      </c>
      <c r="AG101" t="s">
        <v>3803</v>
      </c>
      <c r="AH101" t="s">
        <v>2834</v>
      </c>
      <c r="AI101" t="s">
        <v>2887</v>
      </c>
      <c r="AJ101" t="s">
        <v>2960</v>
      </c>
      <c r="AK101" t="s">
        <v>3057</v>
      </c>
      <c r="AL101" t="s">
        <v>2966</v>
      </c>
      <c r="AM101" t="s">
        <v>3801</v>
      </c>
      <c r="AN101" t="s">
        <v>2829</v>
      </c>
      <c r="AO101" t="s">
        <v>2839</v>
      </c>
      <c r="AP101" t="s">
        <v>2840</v>
      </c>
      <c r="AQ101" t="s">
        <v>2841</v>
      </c>
      <c r="AR101" t="s">
        <v>3216</v>
      </c>
      <c r="AS101" t="s">
        <v>3216</v>
      </c>
      <c r="AT101" t="s">
        <v>2829</v>
      </c>
      <c r="AU101" t="s">
        <v>2829</v>
      </c>
      <c r="AV101" t="s">
        <v>2829</v>
      </c>
      <c r="AW101" t="s">
        <v>2829</v>
      </c>
      <c r="AX101" t="s">
        <v>2829</v>
      </c>
      <c r="AY101" t="s">
        <v>2829</v>
      </c>
      <c r="AZ101" t="s">
        <v>2829</v>
      </c>
      <c r="BA101" t="s">
        <v>2829</v>
      </c>
      <c r="BB101" t="s">
        <v>2829</v>
      </c>
      <c r="BC101" t="s">
        <v>2829</v>
      </c>
      <c r="BD101" t="s">
        <v>2829</v>
      </c>
      <c r="BE101" t="s">
        <v>243</v>
      </c>
      <c r="BF101" t="s">
        <v>243</v>
      </c>
      <c r="BG101" t="s">
        <v>243</v>
      </c>
      <c r="BH101" t="s">
        <v>243</v>
      </c>
      <c r="BI101" t="s">
        <v>243</v>
      </c>
      <c r="BJ101" t="s">
        <v>2829</v>
      </c>
      <c r="BK101" t="s">
        <v>243</v>
      </c>
      <c r="BL101" t="s">
        <v>243</v>
      </c>
      <c r="BM101" t="s">
        <v>243</v>
      </c>
      <c r="BN101" t="s">
        <v>243</v>
      </c>
      <c r="BO101" t="s">
        <v>243</v>
      </c>
      <c r="BP101" t="s">
        <v>2829</v>
      </c>
      <c r="BQ101" t="s">
        <v>243</v>
      </c>
      <c r="BR101" t="s">
        <v>243</v>
      </c>
      <c r="BS101" t="s">
        <v>243</v>
      </c>
      <c r="BT101" t="s">
        <v>243</v>
      </c>
      <c r="BU101" t="s">
        <v>243</v>
      </c>
      <c r="BV101" t="s">
        <v>2829</v>
      </c>
      <c r="BW101" t="s">
        <v>243</v>
      </c>
      <c r="BX101" t="s">
        <v>243</v>
      </c>
      <c r="BY101" t="s">
        <v>243</v>
      </c>
      <c r="BZ101" t="s">
        <v>243</v>
      </c>
      <c r="CA101" t="s">
        <v>243</v>
      </c>
      <c r="CB101" t="s">
        <v>3216</v>
      </c>
      <c r="CC101" t="s">
        <v>3216</v>
      </c>
      <c r="CD101" t="s">
        <v>243</v>
      </c>
      <c r="CE101" t="s">
        <v>243</v>
      </c>
      <c r="CF101" t="s">
        <v>243</v>
      </c>
      <c r="CG101" t="s">
        <v>243</v>
      </c>
      <c r="CH101" t="s">
        <v>2829</v>
      </c>
      <c r="CI101" t="s">
        <v>243</v>
      </c>
      <c r="CJ101" t="s">
        <v>243</v>
      </c>
      <c r="CK101" t="s">
        <v>243</v>
      </c>
      <c r="CL101" t="s">
        <v>243</v>
      </c>
      <c r="CM101" t="s">
        <v>243</v>
      </c>
      <c r="CN101" t="s">
        <v>2960</v>
      </c>
      <c r="CO101" t="s">
        <v>2843</v>
      </c>
      <c r="CP101" t="s">
        <v>2844</v>
      </c>
      <c r="CQ101" t="s">
        <v>430</v>
      </c>
      <c r="CR101" t="s">
        <v>2845</v>
      </c>
      <c r="CS101" t="s">
        <v>431</v>
      </c>
      <c r="CT101" t="s">
        <v>430</v>
      </c>
      <c r="CU101" t="s">
        <v>2846</v>
      </c>
      <c r="CV101" t="s">
        <v>2847</v>
      </c>
      <c r="CW101" t="s">
        <v>2845</v>
      </c>
      <c r="CX101" t="s">
        <v>2848</v>
      </c>
      <c r="CY101" t="s">
        <v>3804</v>
      </c>
    </row>
    <row r="102" spans="1:103" ht="11.25" customHeight="1">
      <c r="A102" t="s">
        <v>243</v>
      </c>
      <c r="B102" t="s">
        <v>243</v>
      </c>
      <c r="C102" t="s">
        <v>243</v>
      </c>
      <c r="D102" t="s">
        <v>243</v>
      </c>
      <c r="E102" t="s">
        <v>243</v>
      </c>
      <c r="F102" t="s">
        <v>2816</v>
      </c>
      <c r="G102" t="s">
        <v>243</v>
      </c>
      <c r="H102" t="s">
        <v>243</v>
      </c>
      <c r="I102" t="s">
        <v>3805</v>
      </c>
      <c r="J102" t="s">
        <v>243</v>
      </c>
      <c r="K102" t="s">
        <v>3178</v>
      </c>
      <c r="L102" t="s">
        <v>243</v>
      </c>
      <c r="M102" t="s">
        <v>114</v>
      </c>
      <c r="N102" t="s">
        <v>243</v>
      </c>
      <c r="O102" t="s">
        <v>2819</v>
      </c>
      <c r="P102" t="s">
        <v>2820</v>
      </c>
      <c r="Q102" t="s">
        <v>2821</v>
      </c>
      <c r="R102" t="s">
        <v>200</v>
      </c>
      <c r="S102" t="s">
        <v>200</v>
      </c>
      <c r="T102" t="s">
        <v>3048</v>
      </c>
      <c r="U102" t="s">
        <v>3048</v>
      </c>
      <c r="V102" t="s">
        <v>3049</v>
      </c>
      <c r="W102" t="s">
        <v>3806</v>
      </c>
      <c r="X102" t="s">
        <v>3807</v>
      </c>
      <c r="Y102" t="s">
        <v>3808</v>
      </c>
      <c r="Z102" t="s">
        <v>2846</v>
      </c>
      <c r="AA102" t="s">
        <v>3182</v>
      </c>
      <c r="AB102" t="s">
        <v>3183</v>
      </c>
      <c r="AC102" t="s">
        <v>2829</v>
      </c>
      <c r="AD102" t="s">
        <v>2883</v>
      </c>
      <c r="AE102" t="s">
        <v>2831</v>
      </c>
      <c r="AF102" t="s">
        <v>3055</v>
      </c>
      <c r="AG102" t="s">
        <v>3055</v>
      </c>
      <c r="AH102" t="s">
        <v>2834</v>
      </c>
      <c r="AI102" t="s">
        <v>2835</v>
      </c>
      <c r="AJ102" t="s">
        <v>3184</v>
      </c>
      <c r="AK102" t="s">
        <v>3662</v>
      </c>
      <c r="AL102" t="s">
        <v>3182</v>
      </c>
      <c r="AM102" t="s">
        <v>3183</v>
      </c>
      <c r="AN102" t="s">
        <v>2829</v>
      </c>
      <c r="AO102" t="s">
        <v>2839</v>
      </c>
      <c r="AP102" t="s">
        <v>2840</v>
      </c>
      <c r="AQ102" t="s">
        <v>2841</v>
      </c>
      <c r="AR102" t="s">
        <v>3279</v>
      </c>
      <c r="AS102" t="s">
        <v>3279</v>
      </c>
      <c r="AT102" t="s">
        <v>2829</v>
      </c>
      <c r="AU102" t="s">
        <v>2829</v>
      </c>
      <c r="AV102" t="s">
        <v>2829</v>
      </c>
      <c r="AW102" t="s">
        <v>2829</v>
      </c>
      <c r="AX102" t="s">
        <v>2829</v>
      </c>
      <c r="AY102" t="s">
        <v>2829</v>
      </c>
      <c r="AZ102" t="s">
        <v>2829</v>
      </c>
      <c r="BA102" t="s">
        <v>2829</v>
      </c>
      <c r="BB102" t="s">
        <v>2829</v>
      </c>
      <c r="BC102" t="s">
        <v>2829</v>
      </c>
      <c r="BD102" t="s">
        <v>3279</v>
      </c>
      <c r="BE102" t="s">
        <v>3279</v>
      </c>
      <c r="BF102" t="s">
        <v>243</v>
      </c>
      <c r="BG102" t="s">
        <v>243</v>
      </c>
      <c r="BH102" t="s">
        <v>243</v>
      </c>
      <c r="BI102" t="s">
        <v>243</v>
      </c>
      <c r="BJ102" t="s">
        <v>2829</v>
      </c>
      <c r="BK102" t="s">
        <v>243</v>
      </c>
      <c r="BL102" t="s">
        <v>243</v>
      </c>
      <c r="BM102" t="s">
        <v>243</v>
      </c>
      <c r="BN102" t="s">
        <v>243</v>
      </c>
      <c r="BO102" t="s">
        <v>243</v>
      </c>
      <c r="BP102" t="s">
        <v>2829</v>
      </c>
      <c r="BQ102" t="s">
        <v>243</v>
      </c>
      <c r="BR102" t="s">
        <v>243</v>
      </c>
      <c r="BS102" t="s">
        <v>243</v>
      </c>
      <c r="BT102" t="s">
        <v>243</v>
      </c>
      <c r="BU102" t="s">
        <v>243</v>
      </c>
      <c r="BV102" t="s">
        <v>2829</v>
      </c>
      <c r="BW102" t="s">
        <v>243</v>
      </c>
      <c r="BX102" t="s">
        <v>243</v>
      </c>
      <c r="BY102" t="s">
        <v>243</v>
      </c>
      <c r="BZ102" t="s">
        <v>243</v>
      </c>
      <c r="CA102" t="s">
        <v>243</v>
      </c>
      <c r="CB102" t="s">
        <v>2829</v>
      </c>
      <c r="CC102" t="s">
        <v>243</v>
      </c>
      <c r="CD102" t="s">
        <v>243</v>
      </c>
      <c r="CE102" t="s">
        <v>243</v>
      </c>
      <c r="CF102" t="s">
        <v>243</v>
      </c>
      <c r="CG102" t="s">
        <v>243</v>
      </c>
      <c r="CH102" t="s">
        <v>2829</v>
      </c>
      <c r="CI102" t="s">
        <v>243</v>
      </c>
      <c r="CJ102" t="s">
        <v>243</v>
      </c>
      <c r="CK102" t="s">
        <v>243</v>
      </c>
      <c r="CL102" t="s">
        <v>243</v>
      </c>
      <c r="CM102" t="s">
        <v>243</v>
      </c>
      <c r="CN102" t="s">
        <v>3187</v>
      </c>
      <c r="CO102" t="s">
        <v>2843</v>
      </c>
      <c r="CP102" t="s">
        <v>2844</v>
      </c>
      <c r="CQ102" t="s">
        <v>470</v>
      </c>
      <c r="CR102" t="s">
        <v>2872</v>
      </c>
      <c r="CS102" t="s">
        <v>431</v>
      </c>
      <c r="CT102" t="s">
        <v>470</v>
      </c>
      <c r="CU102" t="s">
        <v>3061</v>
      </c>
      <c r="CV102" t="s">
        <v>3062</v>
      </c>
      <c r="CW102" t="s">
        <v>2872</v>
      </c>
      <c r="CX102" t="s">
        <v>2848</v>
      </c>
      <c r="CY102" t="s">
        <v>3809</v>
      </c>
    </row>
    <row r="103" spans="1:103" ht="11.25" customHeight="1">
      <c r="A103" t="s">
        <v>243</v>
      </c>
      <c r="B103" t="s">
        <v>243</v>
      </c>
      <c r="C103" t="s">
        <v>243</v>
      </c>
      <c r="D103" t="s">
        <v>243</v>
      </c>
      <c r="E103" t="s">
        <v>243</v>
      </c>
      <c r="F103" t="s">
        <v>2816</v>
      </c>
      <c r="G103" t="s">
        <v>243</v>
      </c>
      <c r="H103" t="s">
        <v>243</v>
      </c>
      <c r="I103" t="s">
        <v>437</v>
      </c>
      <c r="J103" t="s">
        <v>243</v>
      </c>
      <c r="K103" t="s">
        <v>458</v>
      </c>
      <c r="L103" t="s">
        <v>243</v>
      </c>
      <c r="M103" t="s">
        <v>114</v>
      </c>
      <c r="N103" t="s">
        <v>243</v>
      </c>
      <c r="O103" t="s">
        <v>2819</v>
      </c>
      <c r="P103" t="s">
        <v>2820</v>
      </c>
      <c r="Q103" t="s">
        <v>2821</v>
      </c>
      <c r="R103" t="s">
        <v>200</v>
      </c>
      <c r="S103" t="s">
        <v>200</v>
      </c>
      <c r="T103" t="s">
        <v>3282</v>
      </c>
      <c r="U103" t="s">
        <v>3282</v>
      </c>
      <c r="V103" t="s">
        <v>3283</v>
      </c>
      <c r="W103" t="s">
        <v>3810</v>
      </c>
      <c r="X103" t="s">
        <v>3811</v>
      </c>
      <c r="Y103" t="s">
        <v>3812</v>
      </c>
      <c r="Z103" t="s">
        <v>341</v>
      </c>
      <c r="AA103" t="s">
        <v>2966</v>
      </c>
      <c r="AB103" t="s">
        <v>3813</v>
      </c>
      <c r="AC103" t="s">
        <v>2829</v>
      </c>
      <c r="AD103" t="s">
        <v>2883</v>
      </c>
      <c r="AE103" t="s">
        <v>2975</v>
      </c>
      <c r="AF103" t="s">
        <v>3814</v>
      </c>
      <c r="AG103" t="s">
        <v>2833</v>
      </c>
      <c r="AH103" t="s">
        <v>2834</v>
      </c>
      <c r="AI103" t="s">
        <v>2887</v>
      </c>
      <c r="AJ103" t="s">
        <v>2888</v>
      </c>
      <c r="AK103" t="s">
        <v>3445</v>
      </c>
      <c r="AL103" t="s">
        <v>2966</v>
      </c>
      <c r="AM103" t="s">
        <v>3813</v>
      </c>
      <c r="AN103" t="s">
        <v>2829</v>
      </c>
      <c r="AO103" t="s">
        <v>2839</v>
      </c>
      <c r="AP103" t="s">
        <v>2840</v>
      </c>
      <c r="AQ103" t="s">
        <v>2841</v>
      </c>
      <c r="AR103" t="s">
        <v>3815</v>
      </c>
      <c r="AS103" t="s">
        <v>3815</v>
      </c>
      <c r="AT103" t="s">
        <v>2829</v>
      </c>
      <c r="AU103" t="s">
        <v>2829</v>
      </c>
      <c r="AV103" t="s">
        <v>2829</v>
      </c>
      <c r="AW103" t="s">
        <v>2829</v>
      </c>
      <c r="AX103" t="s">
        <v>2829</v>
      </c>
      <c r="AY103" t="s">
        <v>2829</v>
      </c>
      <c r="AZ103" t="s">
        <v>2829</v>
      </c>
      <c r="BA103" t="s">
        <v>2829</v>
      </c>
      <c r="BB103" t="s">
        <v>2829</v>
      </c>
      <c r="BC103" t="s">
        <v>2829</v>
      </c>
      <c r="BD103" t="s">
        <v>2829</v>
      </c>
      <c r="BE103" t="s">
        <v>243</v>
      </c>
      <c r="BF103" t="s">
        <v>243</v>
      </c>
      <c r="BG103" t="s">
        <v>243</v>
      </c>
      <c r="BH103" t="s">
        <v>243</v>
      </c>
      <c r="BI103" t="s">
        <v>243</v>
      </c>
      <c r="BJ103" t="s">
        <v>2829</v>
      </c>
      <c r="BK103" t="s">
        <v>243</v>
      </c>
      <c r="BL103" t="s">
        <v>243</v>
      </c>
      <c r="BM103" t="s">
        <v>243</v>
      </c>
      <c r="BN103" t="s">
        <v>243</v>
      </c>
      <c r="BO103" t="s">
        <v>243</v>
      </c>
      <c r="BP103" t="s">
        <v>3815</v>
      </c>
      <c r="BQ103" t="s">
        <v>3815</v>
      </c>
      <c r="BR103" t="s">
        <v>243</v>
      </c>
      <c r="BS103" t="s">
        <v>243</v>
      </c>
      <c r="BT103" t="s">
        <v>243</v>
      </c>
      <c r="BU103" t="s">
        <v>243</v>
      </c>
      <c r="BV103" t="s">
        <v>2829</v>
      </c>
      <c r="BW103" t="s">
        <v>243</v>
      </c>
      <c r="BX103" t="s">
        <v>243</v>
      </c>
      <c r="BY103" t="s">
        <v>243</v>
      </c>
      <c r="BZ103" t="s">
        <v>243</v>
      </c>
      <c r="CA103" t="s">
        <v>243</v>
      </c>
      <c r="CB103" t="s">
        <v>2829</v>
      </c>
      <c r="CC103" t="s">
        <v>243</v>
      </c>
      <c r="CD103" t="s">
        <v>243</v>
      </c>
      <c r="CE103" t="s">
        <v>243</v>
      </c>
      <c r="CF103" t="s">
        <v>243</v>
      </c>
      <c r="CG103" t="s">
        <v>243</v>
      </c>
      <c r="CH103" t="s">
        <v>2829</v>
      </c>
      <c r="CI103" t="s">
        <v>243</v>
      </c>
      <c r="CJ103" t="s">
        <v>243</v>
      </c>
      <c r="CK103" t="s">
        <v>243</v>
      </c>
      <c r="CL103" t="s">
        <v>243</v>
      </c>
      <c r="CM103" t="s">
        <v>243</v>
      </c>
      <c r="CN103" t="s">
        <v>2888</v>
      </c>
      <c r="CO103" t="s">
        <v>2843</v>
      </c>
      <c r="CP103" t="s">
        <v>2844</v>
      </c>
      <c r="CQ103" t="s">
        <v>430</v>
      </c>
      <c r="CR103" t="s">
        <v>3297</v>
      </c>
      <c r="CS103" t="s">
        <v>431</v>
      </c>
      <c r="CT103" t="s">
        <v>430</v>
      </c>
      <c r="CU103" t="s">
        <v>341</v>
      </c>
      <c r="CV103" t="s">
        <v>2900</v>
      </c>
      <c r="CW103" t="s">
        <v>3297</v>
      </c>
      <c r="CX103" t="s">
        <v>2848</v>
      </c>
      <c r="CY103" t="s">
        <v>3816</v>
      </c>
    </row>
    <row r="104" spans="1:103" ht="11.25" customHeight="1">
      <c r="A104" t="s">
        <v>243</v>
      </c>
      <c r="B104" t="s">
        <v>243</v>
      </c>
      <c r="C104" t="s">
        <v>243</v>
      </c>
      <c r="D104" t="s">
        <v>243</v>
      </c>
      <c r="E104" t="s">
        <v>243</v>
      </c>
      <c r="F104" t="s">
        <v>2816</v>
      </c>
      <c r="G104" t="s">
        <v>243</v>
      </c>
      <c r="H104" t="s">
        <v>243</v>
      </c>
      <c r="I104" t="s">
        <v>3817</v>
      </c>
      <c r="J104" t="s">
        <v>243</v>
      </c>
      <c r="K104" t="s">
        <v>458</v>
      </c>
      <c r="L104" t="s">
        <v>243</v>
      </c>
      <c r="M104" t="s">
        <v>114</v>
      </c>
      <c r="N104" t="s">
        <v>243</v>
      </c>
      <c r="O104" t="s">
        <v>2819</v>
      </c>
      <c r="P104" t="s">
        <v>2820</v>
      </c>
      <c r="Q104" t="s">
        <v>2821</v>
      </c>
      <c r="R104" t="s">
        <v>200</v>
      </c>
      <c r="S104" t="s">
        <v>200</v>
      </c>
      <c r="T104" t="s">
        <v>2822</v>
      </c>
      <c r="U104" t="s">
        <v>2822</v>
      </c>
      <c r="V104" t="s">
        <v>2823</v>
      </c>
      <c r="W104" t="s">
        <v>3818</v>
      </c>
      <c r="X104" t="s">
        <v>3819</v>
      </c>
      <c r="Y104" t="s">
        <v>3610</v>
      </c>
      <c r="Z104" t="s">
        <v>3820</v>
      </c>
      <c r="AA104" t="s">
        <v>3484</v>
      </c>
      <c r="AB104" t="s">
        <v>2907</v>
      </c>
      <c r="AC104" t="s">
        <v>2829</v>
      </c>
      <c r="AD104" t="s">
        <v>2830</v>
      </c>
      <c r="AE104" t="s">
        <v>2831</v>
      </c>
      <c r="AF104" t="s">
        <v>3821</v>
      </c>
      <c r="AG104" t="s">
        <v>3822</v>
      </c>
      <c r="AH104" t="s">
        <v>2834</v>
      </c>
      <c r="AI104" t="s">
        <v>2835</v>
      </c>
      <c r="AJ104" t="s">
        <v>2960</v>
      </c>
      <c r="AK104" t="s">
        <v>3823</v>
      </c>
      <c r="AL104" t="s">
        <v>3484</v>
      </c>
      <c r="AM104" t="s">
        <v>2907</v>
      </c>
      <c r="AN104" t="s">
        <v>2829</v>
      </c>
      <c r="AO104" t="s">
        <v>2839</v>
      </c>
      <c r="AP104" t="s">
        <v>2840</v>
      </c>
      <c r="AQ104" t="s">
        <v>2841</v>
      </c>
      <c r="AR104" t="s">
        <v>3824</v>
      </c>
      <c r="AS104" t="s">
        <v>3824</v>
      </c>
      <c r="AT104" t="s">
        <v>2829</v>
      </c>
      <c r="AU104" t="s">
        <v>2829</v>
      </c>
      <c r="AV104" t="s">
        <v>2829</v>
      </c>
      <c r="AW104" t="s">
        <v>2829</v>
      </c>
      <c r="AX104" t="s">
        <v>2829</v>
      </c>
      <c r="AY104" t="s">
        <v>2829</v>
      </c>
      <c r="AZ104" t="s">
        <v>2829</v>
      </c>
      <c r="BA104" t="s">
        <v>2829</v>
      </c>
      <c r="BB104" t="s">
        <v>2829</v>
      </c>
      <c r="BC104" t="s">
        <v>2829</v>
      </c>
      <c r="BD104" t="s">
        <v>2842</v>
      </c>
      <c r="BE104" t="s">
        <v>2842</v>
      </c>
      <c r="BF104" t="s">
        <v>243</v>
      </c>
      <c r="BG104" t="s">
        <v>243</v>
      </c>
      <c r="BH104" t="s">
        <v>243</v>
      </c>
      <c r="BI104" t="s">
        <v>243</v>
      </c>
      <c r="BJ104" t="s">
        <v>2829</v>
      </c>
      <c r="BK104" t="s">
        <v>243</v>
      </c>
      <c r="BL104" t="s">
        <v>243</v>
      </c>
      <c r="BM104" t="s">
        <v>243</v>
      </c>
      <c r="BN104" t="s">
        <v>243</v>
      </c>
      <c r="BO104" t="s">
        <v>243</v>
      </c>
      <c r="BP104" t="s">
        <v>2829</v>
      </c>
      <c r="BQ104" t="s">
        <v>243</v>
      </c>
      <c r="BR104" t="s">
        <v>243</v>
      </c>
      <c r="BS104" t="s">
        <v>243</v>
      </c>
      <c r="BT104" t="s">
        <v>243</v>
      </c>
      <c r="BU104" t="s">
        <v>243</v>
      </c>
      <c r="BV104" t="s">
        <v>2829</v>
      </c>
      <c r="BW104" t="s">
        <v>243</v>
      </c>
      <c r="BX104" t="s">
        <v>243</v>
      </c>
      <c r="BY104" t="s">
        <v>243</v>
      </c>
      <c r="BZ104" t="s">
        <v>243</v>
      </c>
      <c r="CA104" t="s">
        <v>243</v>
      </c>
      <c r="CB104" t="s">
        <v>3825</v>
      </c>
      <c r="CC104" t="s">
        <v>3825</v>
      </c>
      <c r="CD104" t="s">
        <v>243</v>
      </c>
      <c r="CE104" t="s">
        <v>243</v>
      </c>
      <c r="CF104" t="s">
        <v>243</v>
      </c>
      <c r="CG104" t="s">
        <v>243</v>
      </c>
      <c r="CH104" t="s">
        <v>2829</v>
      </c>
      <c r="CI104" t="s">
        <v>243</v>
      </c>
      <c r="CJ104" t="s">
        <v>243</v>
      </c>
      <c r="CK104" t="s">
        <v>243</v>
      </c>
      <c r="CL104" t="s">
        <v>243</v>
      </c>
      <c r="CM104" t="s">
        <v>243</v>
      </c>
      <c r="CN104" t="s">
        <v>2960</v>
      </c>
      <c r="CO104" t="s">
        <v>2843</v>
      </c>
      <c r="CP104" t="s">
        <v>2844</v>
      </c>
      <c r="CQ104" t="s">
        <v>430</v>
      </c>
      <c r="CR104" t="s">
        <v>2845</v>
      </c>
      <c r="CS104" t="s">
        <v>431</v>
      </c>
      <c r="CT104" t="s">
        <v>430</v>
      </c>
      <c r="CU104" t="s">
        <v>2846</v>
      </c>
      <c r="CV104" t="s">
        <v>2847</v>
      </c>
      <c r="CW104" t="s">
        <v>2845</v>
      </c>
      <c r="CX104" t="s">
        <v>2848</v>
      </c>
      <c r="CY104" t="s">
        <v>3826</v>
      </c>
    </row>
    <row r="105" spans="1:103" ht="11.25" customHeight="1">
      <c r="A105" t="s">
        <v>243</v>
      </c>
      <c r="B105" t="s">
        <v>243</v>
      </c>
      <c r="C105" t="s">
        <v>243</v>
      </c>
      <c r="D105" t="s">
        <v>243</v>
      </c>
      <c r="E105" t="s">
        <v>243</v>
      </c>
      <c r="F105" t="s">
        <v>2816</v>
      </c>
      <c r="G105" t="s">
        <v>243</v>
      </c>
      <c r="H105" t="s">
        <v>243</v>
      </c>
      <c r="I105" t="s">
        <v>3827</v>
      </c>
      <c r="J105" t="s">
        <v>243</v>
      </c>
      <c r="K105" t="s">
        <v>2818</v>
      </c>
      <c r="L105" t="s">
        <v>243</v>
      </c>
      <c r="M105" t="s">
        <v>114</v>
      </c>
      <c r="N105" t="s">
        <v>243</v>
      </c>
      <c r="O105" t="s">
        <v>2819</v>
      </c>
      <c r="P105" t="s">
        <v>2820</v>
      </c>
      <c r="Q105" t="s">
        <v>2821</v>
      </c>
      <c r="R105" t="s">
        <v>200</v>
      </c>
      <c r="S105" t="s">
        <v>200</v>
      </c>
      <c r="T105" t="s">
        <v>2822</v>
      </c>
      <c r="U105" t="s">
        <v>2822</v>
      </c>
      <c r="V105" t="s">
        <v>2823</v>
      </c>
      <c r="W105" t="s">
        <v>3828</v>
      </c>
      <c r="X105" t="s">
        <v>3829</v>
      </c>
      <c r="Y105" t="s">
        <v>3610</v>
      </c>
      <c r="Z105" t="s">
        <v>3830</v>
      </c>
      <c r="AA105" t="s">
        <v>3228</v>
      </c>
      <c r="AB105" t="s">
        <v>3467</v>
      </c>
      <c r="AC105" t="s">
        <v>2829</v>
      </c>
      <c r="AD105" t="s">
        <v>2830</v>
      </c>
      <c r="AE105" t="s">
        <v>2857</v>
      </c>
      <c r="AF105" t="s">
        <v>3831</v>
      </c>
      <c r="AG105" t="s">
        <v>3831</v>
      </c>
      <c r="AH105" t="s">
        <v>2834</v>
      </c>
      <c r="AI105" t="s">
        <v>2835</v>
      </c>
      <c r="AJ105" t="s">
        <v>2829</v>
      </c>
      <c r="AK105" t="s">
        <v>2922</v>
      </c>
      <c r="AL105" t="s">
        <v>3228</v>
      </c>
      <c r="AM105" t="s">
        <v>3467</v>
      </c>
      <c r="AN105" t="s">
        <v>2829</v>
      </c>
      <c r="AO105" t="s">
        <v>2839</v>
      </c>
      <c r="AP105" t="s">
        <v>2840</v>
      </c>
      <c r="AQ105" t="s">
        <v>2841</v>
      </c>
      <c r="AR105" t="s">
        <v>2923</v>
      </c>
      <c r="AS105" t="s">
        <v>2923</v>
      </c>
      <c r="AT105" t="s">
        <v>2829</v>
      </c>
      <c r="AU105" t="s">
        <v>2829</v>
      </c>
      <c r="AV105" t="s">
        <v>2829</v>
      </c>
      <c r="AW105" t="s">
        <v>2829</v>
      </c>
      <c r="AX105" t="s">
        <v>2829</v>
      </c>
      <c r="AY105" t="s">
        <v>2829</v>
      </c>
      <c r="AZ105" t="s">
        <v>2829</v>
      </c>
      <c r="BA105" t="s">
        <v>2829</v>
      </c>
      <c r="BB105" t="s">
        <v>2829</v>
      </c>
      <c r="BC105" t="s">
        <v>2829</v>
      </c>
      <c r="BD105" t="s">
        <v>2923</v>
      </c>
      <c r="BE105" t="s">
        <v>2923</v>
      </c>
      <c r="BF105" t="s">
        <v>243</v>
      </c>
      <c r="BG105" t="s">
        <v>243</v>
      </c>
      <c r="BH105" t="s">
        <v>243</v>
      </c>
      <c r="BI105" t="s">
        <v>243</v>
      </c>
      <c r="BJ105" t="s">
        <v>2829</v>
      </c>
      <c r="BK105" t="s">
        <v>243</v>
      </c>
      <c r="BL105" t="s">
        <v>243</v>
      </c>
      <c r="BM105" t="s">
        <v>243</v>
      </c>
      <c r="BN105" t="s">
        <v>243</v>
      </c>
      <c r="BO105" t="s">
        <v>243</v>
      </c>
      <c r="BP105" t="s">
        <v>2829</v>
      </c>
      <c r="BQ105" t="s">
        <v>243</v>
      </c>
      <c r="BR105" t="s">
        <v>243</v>
      </c>
      <c r="BS105" t="s">
        <v>243</v>
      </c>
      <c r="BT105" t="s">
        <v>243</v>
      </c>
      <c r="BU105" t="s">
        <v>243</v>
      </c>
      <c r="BV105" t="s">
        <v>2829</v>
      </c>
      <c r="BW105" t="s">
        <v>243</v>
      </c>
      <c r="BX105" t="s">
        <v>243</v>
      </c>
      <c r="BY105" t="s">
        <v>243</v>
      </c>
      <c r="BZ105" t="s">
        <v>243</v>
      </c>
      <c r="CA105" t="s">
        <v>243</v>
      </c>
      <c r="CB105" t="s">
        <v>2829</v>
      </c>
      <c r="CC105" t="s">
        <v>243</v>
      </c>
      <c r="CD105" t="s">
        <v>243</v>
      </c>
      <c r="CE105" t="s">
        <v>243</v>
      </c>
      <c r="CF105" t="s">
        <v>243</v>
      </c>
      <c r="CG105" t="s">
        <v>243</v>
      </c>
      <c r="CH105" t="s">
        <v>2829</v>
      </c>
      <c r="CI105" t="s">
        <v>243</v>
      </c>
      <c r="CJ105" t="s">
        <v>243</v>
      </c>
      <c r="CK105" t="s">
        <v>243</v>
      </c>
      <c r="CL105" t="s">
        <v>243</v>
      </c>
      <c r="CM105" t="s">
        <v>243</v>
      </c>
      <c r="CN105" t="s">
        <v>2829</v>
      </c>
      <c r="CO105" t="s">
        <v>2924</v>
      </c>
      <c r="CP105" t="s">
        <v>2844</v>
      </c>
      <c r="CQ105" t="s">
        <v>430</v>
      </c>
      <c r="CR105" t="s">
        <v>2872</v>
      </c>
      <c r="CS105" t="s">
        <v>431</v>
      </c>
      <c r="CT105" t="s">
        <v>430</v>
      </c>
      <c r="CU105" t="s">
        <v>2846</v>
      </c>
      <c r="CV105" t="s">
        <v>2873</v>
      </c>
      <c r="CW105" t="s">
        <v>2872</v>
      </c>
      <c r="CX105" t="s">
        <v>2848</v>
      </c>
      <c r="CY105" t="s">
        <v>3832</v>
      </c>
    </row>
    <row r="106" spans="1:103" ht="11.25" customHeight="1">
      <c r="A106" t="s">
        <v>243</v>
      </c>
      <c r="B106" t="s">
        <v>243</v>
      </c>
      <c r="C106" t="s">
        <v>243</v>
      </c>
      <c r="D106" t="s">
        <v>243</v>
      </c>
      <c r="E106" t="s">
        <v>243</v>
      </c>
      <c r="F106" t="s">
        <v>2816</v>
      </c>
      <c r="G106" t="s">
        <v>243</v>
      </c>
      <c r="H106" t="s">
        <v>243</v>
      </c>
      <c r="I106" t="s">
        <v>3833</v>
      </c>
      <c r="J106" t="s">
        <v>243</v>
      </c>
      <c r="K106" t="s">
        <v>3487</v>
      </c>
      <c r="L106" t="s">
        <v>243</v>
      </c>
      <c r="M106" t="s">
        <v>114</v>
      </c>
      <c r="N106" t="s">
        <v>243</v>
      </c>
      <c r="O106" t="s">
        <v>2819</v>
      </c>
      <c r="P106" t="s">
        <v>2820</v>
      </c>
      <c r="Q106" t="s">
        <v>2821</v>
      </c>
      <c r="R106" t="s">
        <v>200</v>
      </c>
      <c r="S106" t="s">
        <v>200</v>
      </c>
      <c r="T106" t="s">
        <v>2822</v>
      </c>
      <c r="U106" t="s">
        <v>2822</v>
      </c>
      <c r="V106" t="s">
        <v>2823</v>
      </c>
      <c r="W106" t="s">
        <v>3834</v>
      </c>
      <c r="X106" t="s">
        <v>3835</v>
      </c>
      <c r="Y106" t="s">
        <v>2918</v>
      </c>
      <c r="Z106" t="s">
        <v>861</v>
      </c>
      <c r="AA106" t="s">
        <v>3457</v>
      </c>
      <c r="AB106" t="s">
        <v>2859</v>
      </c>
      <c r="AC106" t="s">
        <v>2829</v>
      </c>
      <c r="AD106" t="s">
        <v>2830</v>
      </c>
      <c r="AE106" t="s">
        <v>2831</v>
      </c>
      <c r="AF106" t="s">
        <v>3836</v>
      </c>
      <c r="AG106" t="s">
        <v>3837</v>
      </c>
      <c r="AH106" t="s">
        <v>2834</v>
      </c>
      <c r="AI106" t="s">
        <v>2835</v>
      </c>
      <c r="AJ106" t="s">
        <v>2960</v>
      </c>
      <c r="AK106" t="s">
        <v>3838</v>
      </c>
      <c r="AL106" t="s">
        <v>3457</v>
      </c>
      <c r="AM106" t="s">
        <v>2859</v>
      </c>
      <c r="AN106" t="s">
        <v>2829</v>
      </c>
      <c r="AO106" t="s">
        <v>2839</v>
      </c>
      <c r="AP106" t="s">
        <v>2840</v>
      </c>
      <c r="AQ106" t="s">
        <v>2841</v>
      </c>
      <c r="AR106" t="s">
        <v>3839</v>
      </c>
      <c r="AS106" t="s">
        <v>3839</v>
      </c>
      <c r="AT106" t="s">
        <v>2829</v>
      </c>
      <c r="AU106" t="s">
        <v>2829</v>
      </c>
      <c r="AV106" t="s">
        <v>2829</v>
      </c>
      <c r="AW106" t="s">
        <v>2829</v>
      </c>
      <c r="AX106" t="s">
        <v>2829</v>
      </c>
      <c r="AY106" t="s">
        <v>2829</v>
      </c>
      <c r="AZ106" t="s">
        <v>2829</v>
      </c>
      <c r="BA106" t="s">
        <v>2829</v>
      </c>
      <c r="BB106" t="s">
        <v>2829</v>
      </c>
      <c r="BC106" t="s">
        <v>2829</v>
      </c>
      <c r="BD106" t="s">
        <v>3839</v>
      </c>
      <c r="BE106" t="s">
        <v>3839</v>
      </c>
      <c r="BF106" t="s">
        <v>243</v>
      </c>
      <c r="BG106" t="s">
        <v>243</v>
      </c>
      <c r="BH106" t="s">
        <v>243</v>
      </c>
      <c r="BI106" t="s">
        <v>243</v>
      </c>
      <c r="BJ106" t="s">
        <v>2829</v>
      </c>
      <c r="BK106" t="s">
        <v>243</v>
      </c>
      <c r="BL106" t="s">
        <v>243</v>
      </c>
      <c r="BM106" t="s">
        <v>243</v>
      </c>
      <c r="BN106" t="s">
        <v>243</v>
      </c>
      <c r="BO106" t="s">
        <v>243</v>
      </c>
      <c r="BP106" t="s">
        <v>2829</v>
      </c>
      <c r="BQ106" t="s">
        <v>243</v>
      </c>
      <c r="BR106" t="s">
        <v>243</v>
      </c>
      <c r="BS106" t="s">
        <v>243</v>
      </c>
      <c r="BT106" t="s">
        <v>243</v>
      </c>
      <c r="BU106" t="s">
        <v>243</v>
      </c>
      <c r="BV106" t="s">
        <v>2829</v>
      </c>
      <c r="BW106" t="s">
        <v>243</v>
      </c>
      <c r="BX106" t="s">
        <v>243</v>
      </c>
      <c r="BY106" t="s">
        <v>243</v>
      </c>
      <c r="BZ106" t="s">
        <v>243</v>
      </c>
      <c r="CA106" t="s">
        <v>243</v>
      </c>
      <c r="CB106" t="s">
        <v>2829</v>
      </c>
      <c r="CC106" t="s">
        <v>243</v>
      </c>
      <c r="CD106" t="s">
        <v>243</v>
      </c>
      <c r="CE106" t="s">
        <v>243</v>
      </c>
      <c r="CF106" t="s">
        <v>243</v>
      </c>
      <c r="CG106" t="s">
        <v>243</v>
      </c>
      <c r="CH106" t="s">
        <v>2829</v>
      </c>
      <c r="CI106" t="s">
        <v>243</v>
      </c>
      <c r="CJ106" t="s">
        <v>243</v>
      </c>
      <c r="CK106" t="s">
        <v>243</v>
      </c>
      <c r="CL106" t="s">
        <v>243</v>
      </c>
      <c r="CM106" t="s">
        <v>243</v>
      </c>
      <c r="CN106" t="s">
        <v>2960</v>
      </c>
      <c r="CO106" t="s">
        <v>2843</v>
      </c>
      <c r="CP106" t="s">
        <v>2844</v>
      </c>
      <c r="CQ106" t="s">
        <v>430</v>
      </c>
      <c r="CR106" t="s">
        <v>2845</v>
      </c>
      <c r="CS106" t="s">
        <v>431</v>
      </c>
      <c r="CT106" t="s">
        <v>430</v>
      </c>
      <c r="CU106" t="s">
        <v>2846</v>
      </c>
      <c r="CV106" t="s">
        <v>2847</v>
      </c>
      <c r="CW106" t="s">
        <v>2845</v>
      </c>
      <c r="CX106" t="s">
        <v>2848</v>
      </c>
      <c r="CY106" t="s">
        <v>3840</v>
      </c>
    </row>
    <row r="107" spans="1:103" ht="11.25" customHeight="1">
      <c r="A107" t="s">
        <v>243</v>
      </c>
      <c r="B107" t="s">
        <v>243</v>
      </c>
      <c r="C107" t="s">
        <v>243</v>
      </c>
      <c r="D107" t="s">
        <v>243</v>
      </c>
      <c r="E107" t="s">
        <v>243</v>
      </c>
      <c r="F107" t="s">
        <v>2816</v>
      </c>
      <c r="G107" t="s">
        <v>243</v>
      </c>
      <c r="H107" t="s">
        <v>243</v>
      </c>
      <c r="I107" t="s">
        <v>861</v>
      </c>
      <c r="J107" t="s">
        <v>243</v>
      </c>
      <c r="K107" t="s">
        <v>3281</v>
      </c>
      <c r="L107" t="s">
        <v>243</v>
      </c>
      <c r="M107" t="s">
        <v>114</v>
      </c>
      <c r="N107" t="s">
        <v>243</v>
      </c>
      <c r="O107" t="s">
        <v>2819</v>
      </c>
      <c r="P107" t="s">
        <v>2820</v>
      </c>
      <c r="Q107" t="s">
        <v>2821</v>
      </c>
      <c r="R107" t="s">
        <v>200</v>
      </c>
      <c r="S107" t="s">
        <v>200</v>
      </c>
      <c r="T107" t="s">
        <v>2822</v>
      </c>
      <c r="U107" t="s">
        <v>2822</v>
      </c>
      <c r="V107" t="s">
        <v>2823</v>
      </c>
      <c r="W107" t="s">
        <v>3841</v>
      </c>
      <c r="X107" t="s">
        <v>3842</v>
      </c>
      <c r="Y107" t="s">
        <v>2913</v>
      </c>
      <c r="Z107" t="s">
        <v>3843</v>
      </c>
      <c r="AA107" t="s">
        <v>3094</v>
      </c>
      <c r="AB107" t="s">
        <v>3229</v>
      </c>
      <c r="AC107" t="s">
        <v>2829</v>
      </c>
      <c r="AD107" t="s">
        <v>2830</v>
      </c>
      <c r="AE107" t="s">
        <v>2831</v>
      </c>
      <c r="AF107" t="s">
        <v>3844</v>
      </c>
      <c r="AG107" t="s">
        <v>3845</v>
      </c>
      <c r="AH107" t="s">
        <v>2834</v>
      </c>
      <c r="AI107" t="s">
        <v>2835</v>
      </c>
      <c r="AJ107" t="s">
        <v>2960</v>
      </c>
      <c r="AK107" t="s">
        <v>2889</v>
      </c>
      <c r="AL107" t="s">
        <v>3094</v>
      </c>
      <c r="AM107" t="s">
        <v>3229</v>
      </c>
      <c r="AN107" t="s">
        <v>2829</v>
      </c>
      <c r="AO107" t="s">
        <v>2839</v>
      </c>
      <c r="AP107" t="s">
        <v>2840</v>
      </c>
      <c r="AQ107" t="s">
        <v>2841</v>
      </c>
      <c r="AR107" t="s">
        <v>3779</v>
      </c>
      <c r="AS107" t="s">
        <v>3779</v>
      </c>
      <c r="AT107" t="s">
        <v>2829</v>
      </c>
      <c r="AU107" t="s">
        <v>2829</v>
      </c>
      <c r="AV107" t="s">
        <v>2829</v>
      </c>
      <c r="AW107" t="s">
        <v>2829</v>
      </c>
      <c r="AX107" t="s">
        <v>2829</v>
      </c>
      <c r="AY107" t="s">
        <v>2829</v>
      </c>
      <c r="AZ107" t="s">
        <v>2829</v>
      </c>
      <c r="BA107" t="s">
        <v>2829</v>
      </c>
      <c r="BB107" t="s">
        <v>2829</v>
      </c>
      <c r="BC107" t="s">
        <v>2829</v>
      </c>
      <c r="BD107" t="s">
        <v>3846</v>
      </c>
      <c r="BE107" t="s">
        <v>3846</v>
      </c>
      <c r="BF107" t="s">
        <v>243</v>
      </c>
      <c r="BG107" t="s">
        <v>243</v>
      </c>
      <c r="BH107" t="s">
        <v>243</v>
      </c>
      <c r="BI107" t="s">
        <v>243</v>
      </c>
      <c r="BJ107" t="s">
        <v>2829</v>
      </c>
      <c r="BK107" t="s">
        <v>243</v>
      </c>
      <c r="BL107" t="s">
        <v>243</v>
      </c>
      <c r="BM107" t="s">
        <v>243</v>
      </c>
      <c r="BN107" t="s">
        <v>243</v>
      </c>
      <c r="BO107" t="s">
        <v>243</v>
      </c>
      <c r="BP107" t="s">
        <v>2829</v>
      </c>
      <c r="BQ107" t="s">
        <v>243</v>
      </c>
      <c r="BR107" t="s">
        <v>243</v>
      </c>
      <c r="BS107" t="s">
        <v>243</v>
      </c>
      <c r="BT107" t="s">
        <v>243</v>
      </c>
      <c r="BU107" t="s">
        <v>243</v>
      </c>
      <c r="BV107" t="s">
        <v>2829</v>
      </c>
      <c r="BW107" t="s">
        <v>243</v>
      </c>
      <c r="BX107" t="s">
        <v>243</v>
      </c>
      <c r="BY107" t="s">
        <v>243</v>
      </c>
      <c r="BZ107" t="s">
        <v>243</v>
      </c>
      <c r="CA107" t="s">
        <v>243</v>
      </c>
      <c r="CB107" t="s">
        <v>3846</v>
      </c>
      <c r="CC107" t="s">
        <v>3846</v>
      </c>
      <c r="CD107" t="s">
        <v>243</v>
      </c>
      <c r="CE107" t="s">
        <v>243</v>
      </c>
      <c r="CF107" t="s">
        <v>243</v>
      </c>
      <c r="CG107" t="s">
        <v>243</v>
      </c>
      <c r="CH107" t="s">
        <v>2829</v>
      </c>
      <c r="CI107" t="s">
        <v>243</v>
      </c>
      <c r="CJ107" t="s">
        <v>243</v>
      </c>
      <c r="CK107" t="s">
        <v>243</v>
      </c>
      <c r="CL107" t="s">
        <v>243</v>
      </c>
      <c r="CM107" t="s">
        <v>243</v>
      </c>
      <c r="CN107" t="s">
        <v>2960</v>
      </c>
      <c r="CO107" t="s">
        <v>2843</v>
      </c>
      <c r="CP107" t="s">
        <v>2844</v>
      </c>
      <c r="CQ107" t="s">
        <v>430</v>
      </c>
      <c r="CR107" t="s">
        <v>2845</v>
      </c>
      <c r="CS107" t="s">
        <v>431</v>
      </c>
      <c r="CT107" t="s">
        <v>430</v>
      </c>
      <c r="CU107" t="s">
        <v>2846</v>
      </c>
      <c r="CV107" t="s">
        <v>2847</v>
      </c>
      <c r="CW107" t="s">
        <v>2845</v>
      </c>
      <c r="CX107" t="s">
        <v>2848</v>
      </c>
      <c r="CY107" t="s">
        <v>3847</v>
      </c>
    </row>
    <row r="108" spans="1:103" ht="11.25" customHeight="1">
      <c r="A108" t="s">
        <v>243</v>
      </c>
      <c r="B108" t="s">
        <v>243</v>
      </c>
      <c r="C108" t="s">
        <v>243</v>
      </c>
      <c r="D108" t="s">
        <v>243</v>
      </c>
      <c r="E108" t="s">
        <v>243</v>
      </c>
      <c r="F108" t="s">
        <v>2816</v>
      </c>
      <c r="G108" t="s">
        <v>243</v>
      </c>
      <c r="H108" t="s">
        <v>243</v>
      </c>
      <c r="I108" t="s">
        <v>883</v>
      </c>
      <c r="J108" t="s">
        <v>243</v>
      </c>
      <c r="K108" t="s">
        <v>3497</v>
      </c>
      <c r="L108" t="s">
        <v>243</v>
      </c>
      <c r="M108" t="s">
        <v>114</v>
      </c>
      <c r="N108" t="s">
        <v>243</v>
      </c>
      <c r="O108" t="s">
        <v>2819</v>
      </c>
      <c r="P108" t="s">
        <v>2820</v>
      </c>
      <c r="Q108" t="s">
        <v>2821</v>
      </c>
      <c r="R108" t="s">
        <v>200</v>
      </c>
      <c r="S108" t="s">
        <v>200</v>
      </c>
      <c r="T108" t="s">
        <v>2822</v>
      </c>
      <c r="U108" t="s">
        <v>2822</v>
      </c>
      <c r="V108" t="s">
        <v>2823</v>
      </c>
      <c r="W108" t="s">
        <v>3848</v>
      </c>
      <c r="X108" t="s">
        <v>3849</v>
      </c>
      <c r="Y108" t="s">
        <v>3850</v>
      </c>
      <c r="Z108" t="s">
        <v>3851</v>
      </c>
      <c r="AA108" t="s">
        <v>3852</v>
      </c>
      <c r="AB108" t="s">
        <v>3853</v>
      </c>
      <c r="AC108" t="s">
        <v>2829</v>
      </c>
      <c r="AD108" t="s">
        <v>2830</v>
      </c>
      <c r="AE108" t="s">
        <v>2831</v>
      </c>
      <c r="AF108" t="s">
        <v>3854</v>
      </c>
      <c r="AG108" t="s">
        <v>3855</v>
      </c>
      <c r="AH108" t="s">
        <v>2834</v>
      </c>
      <c r="AI108" t="s">
        <v>2835</v>
      </c>
      <c r="AJ108" t="s">
        <v>2960</v>
      </c>
      <c r="AK108" t="s">
        <v>3856</v>
      </c>
      <c r="AL108" t="s">
        <v>3852</v>
      </c>
      <c r="AM108" t="s">
        <v>3266</v>
      </c>
      <c r="AN108" t="s">
        <v>2829</v>
      </c>
      <c r="AO108" t="s">
        <v>2839</v>
      </c>
      <c r="AP108" t="s">
        <v>2840</v>
      </c>
      <c r="AQ108" t="s">
        <v>2841</v>
      </c>
      <c r="AR108" t="s">
        <v>3857</v>
      </c>
      <c r="AS108" t="s">
        <v>3857</v>
      </c>
      <c r="AT108" t="s">
        <v>2829</v>
      </c>
      <c r="AU108" t="s">
        <v>2829</v>
      </c>
      <c r="AV108" t="s">
        <v>2829</v>
      </c>
      <c r="AW108" t="s">
        <v>2829</v>
      </c>
      <c r="AX108" t="s">
        <v>2829</v>
      </c>
      <c r="AY108" t="s">
        <v>2829</v>
      </c>
      <c r="AZ108" t="s">
        <v>2829</v>
      </c>
      <c r="BA108" t="s">
        <v>2829</v>
      </c>
      <c r="BB108" t="s">
        <v>2829</v>
      </c>
      <c r="BC108" t="s">
        <v>2829</v>
      </c>
      <c r="BD108" t="s">
        <v>3858</v>
      </c>
      <c r="BE108" t="s">
        <v>3858</v>
      </c>
      <c r="BF108" t="s">
        <v>243</v>
      </c>
      <c r="BG108" t="s">
        <v>243</v>
      </c>
      <c r="BH108" t="s">
        <v>243</v>
      </c>
      <c r="BI108" t="s">
        <v>243</v>
      </c>
      <c r="BJ108" t="s">
        <v>2829</v>
      </c>
      <c r="BK108" t="s">
        <v>243</v>
      </c>
      <c r="BL108" t="s">
        <v>243</v>
      </c>
      <c r="BM108" t="s">
        <v>243</v>
      </c>
      <c r="BN108" t="s">
        <v>243</v>
      </c>
      <c r="BO108" t="s">
        <v>243</v>
      </c>
      <c r="BP108" t="s">
        <v>2829</v>
      </c>
      <c r="BQ108" t="s">
        <v>243</v>
      </c>
      <c r="BR108" t="s">
        <v>243</v>
      </c>
      <c r="BS108" t="s">
        <v>243</v>
      </c>
      <c r="BT108" t="s">
        <v>243</v>
      </c>
      <c r="BU108" t="s">
        <v>243</v>
      </c>
      <c r="BV108" t="s">
        <v>2829</v>
      </c>
      <c r="BW108" t="s">
        <v>243</v>
      </c>
      <c r="BX108" t="s">
        <v>243</v>
      </c>
      <c r="BY108" t="s">
        <v>243</v>
      </c>
      <c r="BZ108" t="s">
        <v>243</v>
      </c>
      <c r="CA108" t="s">
        <v>243</v>
      </c>
      <c r="CB108" t="s">
        <v>3858</v>
      </c>
      <c r="CC108" t="s">
        <v>3858</v>
      </c>
      <c r="CD108" t="s">
        <v>243</v>
      </c>
      <c r="CE108" t="s">
        <v>243</v>
      </c>
      <c r="CF108" t="s">
        <v>243</v>
      </c>
      <c r="CG108" t="s">
        <v>243</v>
      </c>
      <c r="CH108" t="s">
        <v>2829</v>
      </c>
      <c r="CI108" t="s">
        <v>243</v>
      </c>
      <c r="CJ108" t="s">
        <v>243</v>
      </c>
      <c r="CK108" t="s">
        <v>243</v>
      </c>
      <c r="CL108" t="s">
        <v>243</v>
      </c>
      <c r="CM108" t="s">
        <v>243</v>
      </c>
      <c r="CN108" t="s">
        <v>2960</v>
      </c>
      <c r="CO108" t="s">
        <v>2843</v>
      </c>
      <c r="CP108" t="s">
        <v>2844</v>
      </c>
      <c r="CQ108" t="s">
        <v>430</v>
      </c>
      <c r="CR108" t="s">
        <v>2845</v>
      </c>
      <c r="CS108" t="s">
        <v>431</v>
      </c>
      <c r="CT108" t="s">
        <v>430</v>
      </c>
      <c r="CU108" t="s">
        <v>2846</v>
      </c>
      <c r="CV108" t="s">
        <v>2847</v>
      </c>
      <c r="CW108" t="s">
        <v>2845</v>
      </c>
      <c r="CX108" t="s">
        <v>2848</v>
      </c>
      <c r="CY108" t="s">
        <v>3859</v>
      </c>
    </row>
    <row r="109" spans="1:103" ht="11.25" customHeight="1">
      <c r="A109" t="s">
        <v>243</v>
      </c>
      <c r="B109" t="s">
        <v>243</v>
      </c>
      <c r="C109" t="s">
        <v>243</v>
      </c>
      <c r="D109" t="s">
        <v>243</v>
      </c>
      <c r="E109" t="s">
        <v>243</v>
      </c>
      <c r="F109" t="s">
        <v>2816</v>
      </c>
      <c r="G109" t="s">
        <v>243</v>
      </c>
      <c r="H109" t="s">
        <v>243</v>
      </c>
      <c r="I109" t="s">
        <v>440</v>
      </c>
      <c r="J109" t="s">
        <v>243</v>
      </c>
      <c r="K109" t="s">
        <v>3860</v>
      </c>
      <c r="L109" t="s">
        <v>243</v>
      </c>
      <c r="M109" t="s">
        <v>114</v>
      </c>
      <c r="N109" t="s">
        <v>243</v>
      </c>
      <c r="O109" t="s">
        <v>2819</v>
      </c>
      <c r="P109" t="s">
        <v>2820</v>
      </c>
      <c r="Q109" t="s">
        <v>2821</v>
      </c>
      <c r="R109" t="s">
        <v>200</v>
      </c>
      <c r="S109" t="s">
        <v>200</v>
      </c>
      <c r="T109" t="s">
        <v>3282</v>
      </c>
      <c r="U109" t="s">
        <v>3282</v>
      </c>
      <c r="V109" t="s">
        <v>3283</v>
      </c>
      <c r="W109" t="s">
        <v>3284</v>
      </c>
      <c r="X109" t="s">
        <v>3285</v>
      </c>
      <c r="Y109" t="s">
        <v>3861</v>
      </c>
      <c r="Z109" t="s">
        <v>341</v>
      </c>
      <c r="AA109" t="s">
        <v>3862</v>
      </c>
      <c r="AB109" t="s">
        <v>3863</v>
      </c>
      <c r="AC109" t="s">
        <v>3260</v>
      </c>
      <c r="AD109" t="s">
        <v>2883</v>
      </c>
      <c r="AE109" t="s">
        <v>2975</v>
      </c>
      <c r="AF109" t="s">
        <v>3814</v>
      </c>
      <c r="AG109" t="s">
        <v>3814</v>
      </c>
      <c r="AH109" t="s">
        <v>2834</v>
      </c>
      <c r="AI109" t="s">
        <v>2887</v>
      </c>
      <c r="AJ109" t="s">
        <v>2888</v>
      </c>
      <c r="AK109" t="s">
        <v>3445</v>
      </c>
      <c r="AL109" t="s">
        <v>3862</v>
      </c>
      <c r="AM109" t="s">
        <v>3863</v>
      </c>
      <c r="AN109" t="s">
        <v>3260</v>
      </c>
      <c r="AO109" t="s">
        <v>2839</v>
      </c>
      <c r="AP109" t="s">
        <v>2840</v>
      </c>
      <c r="AQ109" t="s">
        <v>2841</v>
      </c>
      <c r="AR109" t="s">
        <v>3864</v>
      </c>
      <c r="AS109" t="s">
        <v>3865</v>
      </c>
      <c r="AT109" t="s">
        <v>3866</v>
      </c>
      <c r="AU109" t="s">
        <v>2829</v>
      </c>
      <c r="AV109" t="s">
        <v>2829</v>
      </c>
      <c r="AW109" t="s">
        <v>2829</v>
      </c>
      <c r="AX109" t="s">
        <v>2829</v>
      </c>
      <c r="AY109" t="s">
        <v>2829</v>
      </c>
      <c r="AZ109" t="s">
        <v>2829</v>
      </c>
      <c r="BA109" t="s">
        <v>2829</v>
      </c>
      <c r="BB109" t="s">
        <v>2829</v>
      </c>
      <c r="BC109" t="s">
        <v>2829</v>
      </c>
      <c r="BD109" t="s">
        <v>3867</v>
      </c>
      <c r="BE109" t="s">
        <v>3868</v>
      </c>
      <c r="BF109" t="s">
        <v>3869</v>
      </c>
      <c r="BG109" t="s">
        <v>243</v>
      </c>
      <c r="BH109" t="s">
        <v>243</v>
      </c>
      <c r="BI109" t="s">
        <v>243</v>
      </c>
      <c r="BJ109" t="s">
        <v>2829</v>
      </c>
      <c r="BK109" t="s">
        <v>243</v>
      </c>
      <c r="BL109" t="s">
        <v>243</v>
      </c>
      <c r="BM109" t="s">
        <v>243</v>
      </c>
      <c r="BN109" t="s">
        <v>243</v>
      </c>
      <c r="BO109" t="s">
        <v>243</v>
      </c>
      <c r="BP109" t="s">
        <v>3870</v>
      </c>
      <c r="BQ109" t="s">
        <v>3871</v>
      </c>
      <c r="BR109" t="s">
        <v>3872</v>
      </c>
      <c r="BS109" t="s">
        <v>243</v>
      </c>
      <c r="BT109" t="s">
        <v>243</v>
      </c>
      <c r="BU109" t="s">
        <v>243</v>
      </c>
      <c r="BV109" t="s">
        <v>2829</v>
      </c>
      <c r="BW109" t="s">
        <v>243</v>
      </c>
      <c r="BX109" t="s">
        <v>243</v>
      </c>
      <c r="BY109" t="s">
        <v>243</v>
      </c>
      <c r="BZ109" t="s">
        <v>243</v>
      </c>
      <c r="CA109" t="s">
        <v>243</v>
      </c>
      <c r="CB109" t="s">
        <v>2829</v>
      </c>
      <c r="CC109" t="s">
        <v>243</v>
      </c>
      <c r="CD109" t="s">
        <v>243</v>
      </c>
      <c r="CE109" t="s">
        <v>243</v>
      </c>
      <c r="CF109" t="s">
        <v>243</v>
      </c>
      <c r="CG109" t="s">
        <v>243</v>
      </c>
      <c r="CH109" t="s">
        <v>2829</v>
      </c>
      <c r="CI109" t="s">
        <v>243</v>
      </c>
      <c r="CJ109" t="s">
        <v>243</v>
      </c>
      <c r="CK109" t="s">
        <v>243</v>
      </c>
      <c r="CL109" t="s">
        <v>243</v>
      </c>
      <c r="CM109" t="s">
        <v>243</v>
      </c>
      <c r="CN109" t="s">
        <v>2888</v>
      </c>
      <c r="CO109" t="s">
        <v>2843</v>
      </c>
      <c r="CP109" t="s">
        <v>2844</v>
      </c>
      <c r="CQ109" t="s">
        <v>430</v>
      </c>
      <c r="CR109" t="s">
        <v>3297</v>
      </c>
      <c r="CS109" t="s">
        <v>431</v>
      </c>
      <c r="CT109" t="s">
        <v>430</v>
      </c>
      <c r="CU109" t="s">
        <v>341</v>
      </c>
      <c r="CV109" t="s">
        <v>2900</v>
      </c>
      <c r="CW109" t="s">
        <v>3297</v>
      </c>
      <c r="CX109" t="s">
        <v>2848</v>
      </c>
      <c r="CY109" t="s">
        <v>3873</v>
      </c>
    </row>
    <row r="110" spans="1:103" ht="11.25" customHeight="1">
      <c r="A110" t="s">
        <v>243</v>
      </c>
      <c r="B110" t="s">
        <v>243</v>
      </c>
      <c r="C110" t="s">
        <v>243</v>
      </c>
      <c r="D110" t="s">
        <v>243</v>
      </c>
      <c r="E110" t="s">
        <v>243</v>
      </c>
      <c r="F110" t="s">
        <v>2816</v>
      </c>
      <c r="G110" t="s">
        <v>243</v>
      </c>
      <c r="H110" t="s">
        <v>243</v>
      </c>
      <c r="I110" t="s">
        <v>917</v>
      </c>
      <c r="J110" t="s">
        <v>243</v>
      </c>
      <c r="K110" t="s">
        <v>2818</v>
      </c>
      <c r="L110" t="s">
        <v>243</v>
      </c>
      <c r="M110" t="s">
        <v>114</v>
      </c>
      <c r="N110" t="s">
        <v>243</v>
      </c>
      <c r="O110" t="s">
        <v>2819</v>
      </c>
      <c r="P110" t="s">
        <v>2820</v>
      </c>
      <c r="Q110" t="s">
        <v>2821</v>
      </c>
      <c r="R110" t="s">
        <v>200</v>
      </c>
      <c r="S110" t="s">
        <v>200</v>
      </c>
      <c r="T110" t="s">
        <v>2822</v>
      </c>
      <c r="U110" t="s">
        <v>2822</v>
      </c>
      <c r="V110" t="s">
        <v>2823</v>
      </c>
      <c r="W110" t="s">
        <v>3190</v>
      </c>
      <c r="X110" t="s">
        <v>3191</v>
      </c>
      <c r="Y110" t="s">
        <v>3610</v>
      </c>
      <c r="Z110" t="s">
        <v>3874</v>
      </c>
      <c r="AA110" t="s">
        <v>3875</v>
      </c>
      <c r="AB110" t="s">
        <v>3876</v>
      </c>
      <c r="AC110" t="s">
        <v>2829</v>
      </c>
      <c r="AD110" t="s">
        <v>2830</v>
      </c>
      <c r="AE110" t="s">
        <v>2831</v>
      </c>
      <c r="AF110" t="s">
        <v>3877</v>
      </c>
      <c r="AG110" t="s">
        <v>2833</v>
      </c>
      <c r="AH110" t="s">
        <v>2834</v>
      </c>
      <c r="AI110" t="s">
        <v>2835</v>
      </c>
      <c r="AJ110" t="s">
        <v>2836</v>
      </c>
      <c r="AK110" t="s">
        <v>2837</v>
      </c>
      <c r="AL110" t="s">
        <v>3875</v>
      </c>
      <c r="AM110" t="s">
        <v>3217</v>
      </c>
      <c r="AN110" t="s">
        <v>2829</v>
      </c>
      <c r="AO110" t="s">
        <v>2839</v>
      </c>
      <c r="AP110" t="s">
        <v>2840</v>
      </c>
      <c r="AQ110" t="s">
        <v>2841</v>
      </c>
      <c r="AR110" t="s">
        <v>2842</v>
      </c>
      <c r="AS110" t="s">
        <v>2842</v>
      </c>
      <c r="AT110" t="s">
        <v>2829</v>
      </c>
      <c r="AU110" t="s">
        <v>2829</v>
      </c>
      <c r="AV110" t="s">
        <v>2829</v>
      </c>
      <c r="AW110" t="s">
        <v>2829</v>
      </c>
      <c r="AX110" t="s">
        <v>2829</v>
      </c>
      <c r="AY110" t="s">
        <v>2829</v>
      </c>
      <c r="AZ110" t="s">
        <v>2829</v>
      </c>
      <c r="BA110" t="s">
        <v>2829</v>
      </c>
      <c r="BB110" t="s">
        <v>2829</v>
      </c>
      <c r="BC110" t="s">
        <v>2829</v>
      </c>
      <c r="BD110" t="s">
        <v>2842</v>
      </c>
      <c r="BE110" t="s">
        <v>2842</v>
      </c>
      <c r="BF110" t="s">
        <v>243</v>
      </c>
      <c r="BG110" t="s">
        <v>243</v>
      </c>
      <c r="BH110" t="s">
        <v>243</v>
      </c>
      <c r="BI110" t="s">
        <v>243</v>
      </c>
      <c r="BJ110" t="s">
        <v>2829</v>
      </c>
      <c r="BK110" t="s">
        <v>243</v>
      </c>
      <c r="BL110" t="s">
        <v>243</v>
      </c>
      <c r="BM110" t="s">
        <v>243</v>
      </c>
      <c r="BN110" t="s">
        <v>243</v>
      </c>
      <c r="BO110" t="s">
        <v>243</v>
      </c>
      <c r="BP110" t="s">
        <v>2829</v>
      </c>
      <c r="BQ110" t="s">
        <v>243</v>
      </c>
      <c r="BR110" t="s">
        <v>243</v>
      </c>
      <c r="BS110" t="s">
        <v>243</v>
      </c>
      <c r="BT110" t="s">
        <v>243</v>
      </c>
      <c r="BU110" t="s">
        <v>243</v>
      </c>
      <c r="BV110" t="s">
        <v>2829</v>
      </c>
      <c r="BW110" t="s">
        <v>243</v>
      </c>
      <c r="BX110" t="s">
        <v>243</v>
      </c>
      <c r="BY110" t="s">
        <v>243</v>
      </c>
      <c r="BZ110" t="s">
        <v>243</v>
      </c>
      <c r="CA110" t="s">
        <v>243</v>
      </c>
      <c r="CB110" t="s">
        <v>2829</v>
      </c>
      <c r="CC110" t="s">
        <v>243</v>
      </c>
      <c r="CD110" t="s">
        <v>243</v>
      </c>
      <c r="CE110" t="s">
        <v>243</v>
      </c>
      <c r="CF110" t="s">
        <v>243</v>
      </c>
      <c r="CG110" t="s">
        <v>243</v>
      </c>
      <c r="CH110" t="s">
        <v>2829</v>
      </c>
      <c r="CI110" t="s">
        <v>243</v>
      </c>
      <c r="CJ110" t="s">
        <v>243</v>
      </c>
      <c r="CK110" t="s">
        <v>243</v>
      </c>
      <c r="CL110" t="s">
        <v>243</v>
      </c>
      <c r="CM110" t="s">
        <v>243</v>
      </c>
      <c r="CN110" t="s">
        <v>2836</v>
      </c>
      <c r="CO110" t="s">
        <v>2843</v>
      </c>
      <c r="CP110" t="s">
        <v>2844</v>
      </c>
      <c r="CQ110" t="s">
        <v>430</v>
      </c>
      <c r="CR110" t="s">
        <v>2845</v>
      </c>
      <c r="CS110" t="s">
        <v>431</v>
      </c>
      <c r="CT110" t="s">
        <v>430</v>
      </c>
      <c r="CU110" t="s">
        <v>2846</v>
      </c>
      <c r="CV110" t="s">
        <v>2847</v>
      </c>
      <c r="CW110" t="s">
        <v>2845</v>
      </c>
      <c r="CX110" t="s">
        <v>2848</v>
      </c>
      <c r="CY110" t="s">
        <v>3878</v>
      </c>
    </row>
    <row r="111" spans="1:103" ht="11.25" customHeight="1">
      <c r="A111" t="s">
        <v>243</v>
      </c>
      <c r="B111" t="s">
        <v>243</v>
      </c>
      <c r="C111" t="s">
        <v>243</v>
      </c>
      <c r="D111" t="s">
        <v>243</v>
      </c>
      <c r="E111" t="s">
        <v>243</v>
      </c>
      <c r="F111" t="s">
        <v>2816</v>
      </c>
      <c r="G111" t="s">
        <v>243</v>
      </c>
      <c r="H111" t="s">
        <v>243</v>
      </c>
      <c r="I111" t="s">
        <v>3879</v>
      </c>
      <c r="J111" t="s">
        <v>243</v>
      </c>
      <c r="K111" t="s">
        <v>452</v>
      </c>
      <c r="L111" t="s">
        <v>243</v>
      </c>
      <c r="M111" t="s">
        <v>114</v>
      </c>
      <c r="N111" t="s">
        <v>243</v>
      </c>
      <c r="O111" t="s">
        <v>2819</v>
      </c>
      <c r="P111" t="s">
        <v>2820</v>
      </c>
      <c r="Q111" t="s">
        <v>2821</v>
      </c>
      <c r="R111" t="s">
        <v>200</v>
      </c>
      <c r="S111" t="s">
        <v>200</v>
      </c>
      <c r="T111" t="s">
        <v>3048</v>
      </c>
      <c r="U111" t="s">
        <v>3048</v>
      </c>
      <c r="V111" t="s">
        <v>3049</v>
      </c>
      <c r="W111" t="s">
        <v>3050</v>
      </c>
      <c r="X111" t="s">
        <v>3051</v>
      </c>
      <c r="Y111" t="s">
        <v>3880</v>
      </c>
      <c r="Z111" t="s">
        <v>3202</v>
      </c>
      <c r="AA111" t="s">
        <v>3313</v>
      </c>
      <c r="AB111" t="s">
        <v>3881</v>
      </c>
      <c r="AC111" t="s">
        <v>2829</v>
      </c>
      <c r="AD111" t="s">
        <v>2883</v>
      </c>
      <c r="AE111" t="s">
        <v>2831</v>
      </c>
      <c r="AF111" t="s">
        <v>3055</v>
      </c>
      <c r="AG111" t="s">
        <v>3055</v>
      </c>
      <c r="AH111" t="s">
        <v>2834</v>
      </c>
      <c r="AI111" t="s">
        <v>2835</v>
      </c>
      <c r="AJ111" t="s">
        <v>3314</v>
      </c>
      <c r="AK111" t="s">
        <v>3882</v>
      </c>
      <c r="AL111" t="s">
        <v>3313</v>
      </c>
      <c r="AM111" t="s">
        <v>3881</v>
      </c>
      <c r="AN111" t="s">
        <v>2829</v>
      </c>
      <c r="AO111" t="s">
        <v>2839</v>
      </c>
      <c r="AP111" t="s">
        <v>2840</v>
      </c>
      <c r="AQ111" t="s">
        <v>2841</v>
      </c>
      <c r="AR111" t="s">
        <v>3883</v>
      </c>
      <c r="AS111" t="s">
        <v>3883</v>
      </c>
      <c r="AT111" t="s">
        <v>2829</v>
      </c>
      <c r="AU111" t="s">
        <v>2829</v>
      </c>
      <c r="AV111" t="s">
        <v>2829</v>
      </c>
      <c r="AW111" t="s">
        <v>2829</v>
      </c>
      <c r="AX111" t="s">
        <v>2829</v>
      </c>
      <c r="AY111" t="s">
        <v>2829</v>
      </c>
      <c r="AZ111" t="s">
        <v>2829</v>
      </c>
      <c r="BA111" t="s">
        <v>2829</v>
      </c>
      <c r="BB111" t="s">
        <v>2829</v>
      </c>
      <c r="BC111" t="s">
        <v>2829</v>
      </c>
      <c r="BD111" t="s">
        <v>3883</v>
      </c>
      <c r="BE111" t="s">
        <v>3883</v>
      </c>
      <c r="BF111" t="s">
        <v>243</v>
      </c>
      <c r="BG111" t="s">
        <v>243</v>
      </c>
      <c r="BH111" t="s">
        <v>243</v>
      </c>
      <c r="BI111" t="s">
        <v>243</v>
      </c>
      <c r="BJ111" t="s">
        <v>2829</v>
      </c>
      <c r="BK111" t="s">
        <v>243</v>
      </c>
      <c r="BL111" t="s">
        <v>243</v>
      </c>
      <c r="BM111" t="s">
        <v>243</v>
      </c>
      <c r="BN111" t="s">
        <v>243</v>
      </c>
      <c r="BO111" t="s">
        <v>243</v>
      </c>
      <c r="BP111" t="s">
        <v>2829</v>
      </c>
      <c r="BQ111" t="s">
        <v>243</v>
      </c>
      <c r="BR111" t="s">
        <v>243</v>
      </c>
      <c r="BS111" t="s">
        <v>243</v>
      </c>
      <c r="BT111" t="s">
        <v>243</v>
      </c>
      <c r="BU111" t="s">
        <v>243</v>
      </c>
      <c r="BV111" t="s">
        <v>2829</v>
      </c>
      <c r="BW111" t="s">
        <v>243</v>
      </c>
      <c r="BX111" t="s">
        <v>243</v>
      </c>
      <c r="BY111" t="s">
        <v>243</v>
      </c>
      <c r="BZ111" t="s">
        <v>243</v>
      </c>
      <c r="CA111" t="s">
        <v>243</v>
      </c>
      <c r="CB111" t="s">
        <v>2829</v>
      </c>
      <c r="CC111" t="s">
        <v>243</v>
      </c>
      <c r="CD111" t="s">
        <v>243</v>
      </c>
      <c r="CE111" t="s">
        <v>243</v>
      </c>
      <c r="CF111" t="s">
        <v>243</v>
      </c>
      <c r="CG111" t="s">
        <v>243</v>
      </c>
      <c r="CH111" t="s">
        <v>2829</v>
      </c>
      <c r="CI111" t="s">
        <v>243</v>
      </c>
      <c r="CJ111" t="s">
        <v>243</v>
      </c>
      <c r="CK111" t="s">
        <v>243</v>
      </c>
      <c r="CL111" t="s">
        <v>243</v>
      </c>
      <c r="CM111" t="s">
        <v>243</v>
      </c>
      <c r="CN111" t="s">
        <v>3884</v>
      </c>
      <c r="CO111" t="s">
        <v>2843</v>
      </c>
      <c r="CP111" t="s">
        <v>2844</v>
      </c>
      <c r="CQ111" t="s">
        <v>470</v>
      </c>
      <c r="CR111" t="s">
        <v>2872</v>
      </c>
      <c r="CS111" t="s">
        <v>431</v>
      </c>
      <c r="CT111" t="s">
        <v>470</v>
      </c>
      <c r="CU111" t="s">
        <v>3061</v>
      </c>
      <c r="CV111" t="s">
        <v>3062</v>
      </c>
      <c r="CW111" t="s">
        <v>2872</v>
      </c>
      <c r="CX111" t="s">
        <v>2848</v>
      </c>
      <c r="CY111" t="s">
        <v>3885</v>
      </c>
    </row>
    <row r="112" spans="1:103" ht="11.25" customHeight="1">
      <c r="A112" t="s">
        <v>243</v>
      </c>
      <c r="B112" t="s">
        <v>243</v>
      </c>
      <c r="C112" t="s">
        <v>243</v>
      </c>
      <c r="D112" t="s">
        <v>243</v>
      </c>
      <c r="E112" t="s">
        <v>243</v>
      </c>
      <c r="F112" t="s">
        <v>2816</v>
      </c>
      <c r="G112" t="s">
        <v>243</v>
      </c>
      <c r="H112" t="s">
        <v>243</v>
      </c>
      <c r="I112" t="s">
        <v>3886</v>
      </c>
      <c r="J112" t="s">
        <v>243</v>
      </c>
      <c r="K112" t="s">
        <v>3178</v>
      </c>
      <c r="L112" t="s">
        <v>243</v>
      </c>
      <c r="M112" t="s">
        <v>114</v>
      </c>
      <c r="N112" t="s">
        <v>243</v>
      </c>
      <c r="O112" t="s">
        <v>2819</v>
      </c>
      <c r="P112" t="s">
        <v>2820</v>
      </c>
      <c r="Q112" t="s">
        <v>2821</v>
      </c>
      <c r="R112" t="s">
        <v>200</v>
      </c>
      <c r="S112" t="s">
        <v>200</v>
      </c>
      <c r="T112" t="s">
        <v>3048</v>
      </c>
      <c r="U112" t="s">
        <v>3048</v>
      </c>
      <c r="V112" t="s">
        <v>3049</v>
      </c>
      <c r="W112" t="s">
        <v>3887</v>
      </c>
      <c r="X112" t="s">
        <v>3888</v>
      </c>
      <c r="Y112" t="s">
        <v>3889</v>
      </c>
      <c r="Z112" t="s">
        <v>2846</v>
      </c>
      <c r="AA112" t="s">
        <v>3094</v>
      </c>
      <c r="AB112" t="s">
        <v>3117</v>
      </c>
      <c r="AC112" t="s">
        <v>2829</v>
      </c>
      <c r="AD112" t="s">
        <v>2883</v>
      </c>
      <c r="AE112" t="s">
        <v>2831</v>
      </c>
      <c r="AF112" t="s">
        <v>3055</v>
      </c>
      <c r="AG112" t="s">
        <v>3055</v>
      </c>
      <c r="AH112" t="s">
        <v>2834</v>
      </c>
      <c r="AI112" t="s">
        <v>2835</v>
      </c>
      <c r="AJ112" t="s">
        <v>2942</v>
      </c>
      <c r="AK112" t="s">
        <v>3057</v>
      </c>
      <c r="AL112" t="s">
        <v>3094</v>
      </c>
      <c r="AM112" t="s">
        <v>3117</v>
      </c>
      <c r="AN112" t="s">
        <v>2829</v>
      </c>
      <c r="AO112" t="s">
        <v>2839</v>
      </c>
      <c r="AP112" t="s">
        <v>2840</v>
      </c>
      <c r="AQ112" t="s">
        <v>2841</v>
      </c>
      <c r="AR112" t="s">
        <v>3279</v>
      </c>
      <c r="AS112" t="s">
        <v>3279</v>
      </c>
      <c r="AT112" t="s">
        <v>2829</v>
      </c>
      <c r="AU112" t="s">
        <v>2829</v>
      </c>
      <c r="AV112" t="s">
        <v>2829</v>
      </c>
      <c r="AW112" t="s">
        <v>2829</v>
      </c>
      <c r="AX112" t="s">
        <v>2829</v>
      </c>
      <c r="AY112" t="s">
        <v>2829</v>
      </c>
      <c r="AZ112" t="s">
        <v>2829</v>
      </c>
      <c r="BA112" t="s">
        <v>2829</v>
      </c>
      <c r="BB112" t="s">
        <v>2829</v>
      </c>
      <c r="BC112" t="s">
        <v>2829</v>
      </c>
      <c r="BD112" t="s">
        <v>3279</v>
      </c>
      <c r="BE112" t="s">
        <v>3279</v>
      </c>
      <c r="BF112" t="s">
        <v>243</v>
      </c>
      <c r="BG112" t="s">
        <v>243</v>
      </c>
      <c r="BH112" t="s">
        <v>243</v>
      </c>
      <c r="BI112" t="s">
        <v>243</v>
      </c>
      <c r="BJ112" t="s">
        <v>2829</v>
      </c>
      <c r="BK112" t="s">
        <v>243</v>
      </c>
      <c r="BL112" t="s">
        <v>243</v>
      </c>
      <c r="BM112" t="s">
        <v>243</v>
      </c>
      <c r="BN112" t="s">
        <v>243</v>
      </c>
      <c r="BO112" t="s">
        <v>243</v>
      </c>
      <c r="BP112" t="s">
        <v>2829</v>
      </c>
      <c r="BQ112" t="s">
        <v>243</v>
      </c>
      <c r="BR112" t="s">
        <v>243</v>
      </c>
      <c r="BS112" t="s">
        <v>243</v>
      </c>
      <c r="BT112" t="s">
        <v>243</v>
      </c>
      <c r="BU112" t="s">
        <v>243</v>
      </c>
      <c r="BV112" t="s">
        <v>2829</v>
      </c>
      <c r="BW112" t="s">
        <v>243</v>
      </c>
      <c r="BX112" t="s">
        <v>243</v>
      </c>
      <c r="BY112" t="s">
        <v>243</v>
      </c>
      <c r="BZ112" t="s">
        <v>243</v>
      </c>
      <c r="CA112" t="s">
        <v>243</v>
      </c>
      <c r="CB112" t="s">
        <v>2829</v>
      </c>
      <c r="CC112" t="s">
        <v>243</v>
      </c>
      <c r="CD112" t="s">
        <v>243</v>
      </c>
      <c r="CE112" t="s">
        <v>243</v>
      </c>
      <c r="CF112" t="s">
        <v>243</v>
      </c>
      <c r="CG112" t="s">
        <v>243</v>
      </c>
      <c r="CH112" t="s">
        <v>2829</v>
      </c>
      <c r="CI112" t="s">
        <v>243</v>
      </c>
      <c r="CJ112" t="s">
        <v>243</v>
      </c>
      <c r="CK112" t="s">
        <v>243</v>
      </c>
      <c r="CL112" t="s">
        <v>243</v>
      </c>
      <c r="CM112" t="s">
        <v>243</v>
      </c>
      <c r="CN112" t="s">
        <v>3187</v>
      </c>
      <c r="CO112" t="s">
        <v>2843</v>
      </c>
      <c r="CP112" t="s">
        <v>2844</v>
      </c>
      <c r="CQ112" t="s">
        <v>470</v>
      </c>
      <c r="CR112" t="s">
        <v>2872</v>
      </c>
      <c r="CS112" t="s">
        <v>431</v>
      </c>
      <c r="CT112" t="s">
        <v>470</v>
      </c>
      <c r="CU112" t="s">
        <v>3061</v>
      </c>
      <c r="CV112" t="s">
        <v>3062</v>
      </c>
      <c r="CW112" t="s">
        <v>2872</v>
      </c>
      <c r="CX112" t="s">
        <v>2848</v>
      </c>
      <c r="CY112" t="s">
        <v>3890</v>
      </c>
    </row>
    <row r="113" spans="1:103" ht="11.25" customHeight="1">
      <c r="A113" t="s">
        <v>243</v>
      </c>
      <c r="B113" t="s">
        <v>243</v>
      </c>
      <c r="C113" t="s">
        <v>243</v>
      </c>
      <c r="D113" t="s">
        <v>243</v>
      </c>
      <c r="E113" t="s">
        <v>243</v>
      </c>
      <c r="F113" t="s">
        <v>2816</v>
      </c>
      <c r="G113" t="s">
        <v>243</v>
      </c>
      <c r="H113" t="s">
        <v>243</v>
      </c>
      <c r="I113" t="s">
        <v>3891</v>
      </c>
      <c r="J113" t="s">
        <v>243</v>
      </c>
      <c r="K113" t="s">
        <v>3892</v>
      </c>
      <c r="L113" t="s">
        <v>243</v>
      </c>
      <c r="M113" t="s">
        <v>114</v>
      </c>
      <c r="N113" t="s">
        <v>243</v>
      </c>
      <c r="O113" t="s">
        <v>2819</v>
      </c>
      <c r="P113" t="s">
        <v>2820</v>
      </c>
      <c r="Q113" t="s">
        <v>2821</v>
      </c>
      <c r="R113" t="s">
        <v>200</v>
      </c>
      <c r="S113" t="s">
        <v>200</v>
      </c>
      <c r="T113" t="s">
        <v>2933</v>
      </c>
      <c r="U113" t="s">
        <v>2933</v>
      </c>
      <c r="V113" t="s">
        <v>2934</v>
      </c>
      <c r="W113" t="s">
        <v>2935</v>
      </c>
      <c r="X113" t="s">
        <v>2936</v>
      </c>
      <c r="Y113" t="s">
        <v>3893</v>
      </c>
      <c r="Z113" t="s">
        <v>3894</v>
      </c>
      <c r="AA113" t="s">
        <v>2904</v>
      </c>
      <c r="AB113" t="s">
        <v>3073</v>
      </c>
      <c r="AC113" t="s">
        <v>2829</v>
      </c>
      <c r="AD113" t="s">
        <v>2883</v>
      </c>
      <c r="AE113" t="s">
        <v>2831</v>
      </c>
      <c r="AF113" t="s">
        <v>3895</v>
      </c>
      <c r="AG113" t="s">
        <v>3895</v>
      </c>
      <c r="AH113" t="s">
        <v>2834</v>
      </c>
      <c r="AI113" t="s">
        <v>2835</v>
      </c>
      <c r="AJ113" t="s">
        <v>3030</v>
      </c>
      <c r="AK113" t="s">
        <v>3896</v>
      </c>
      <c r="AL113" t="s">
        <v>2904</v>
      </c>
      <c r="AM113" t="s">
        <v>3073</v>
      </c>
      <c r="AN113" t="s">
        <v>243</v>
      </c>
      <c r="AO113" t="s">
        <v>2839</v>
      </c>
      <c r="AP113" t="s">
        <v>2840</v>
      </c>
      <c r="AQ113" t="s">
        <v>2841</v>
      </c>
      <c r="AR113" t="s">
        <v>3897</v>
      </c>
      <c r="AS113" t="s">
        <v>3897</v>
      </c>
      <c r="AT113" t="s">
        <v>2829</v>
      </c>
      <c r="AU113" t="s">
        <v>2829</v>
      </c>
      <c r="AV113" t="s">
        <v>2829</v>
      </c>
      <c r="AW113" t="s">
        <v>2829</v>
      </c>
      <c r="AX113" t="s">
        <v>2829</v>
      </c>
      <c r="AY113" t="s">
        <v>2829</v>
      </c>
      <c r="AZ113" t="s">
        <v>2829</v>
      </c>
      <c r="BA113" t="s">
        <v>2829</v>
      </c>
      <c r="BB113" t="s">
        <v>2829</v>
      </c>
      <c r="BC113" t="s">
        <v>2829</v>
      </c>
      <c r="BD113" t="s">
        <v>3898</v>
      </c>
      <c r="BE113" t="s">
        <v>3898</v>
      </c>
      <c r="BF113" t="s">
        <v>243</v>
      </c>
      <c r="BG113" t="s">
        <v>243</v>
      </c>
      <c r="BH113" t="s">
        <v>243</v>
      </c>
      <c r="BI113" t="s">
        <v>243</v>
      </c>
      <c r="BJ113" t="s">
        <v>2829</v>
      </c>
      <c r="BK113" t="s">
        <v>243</v>
      </c>
      <c r="BL113" t="s">
        <v>243</v>
      </c>
      <c r="BM113" t="s">
        <v>243</v>
      </c>
      <c r="BN113" t="s">
        <v>243</v>
      </c>
      <c r="BO113" t="s">
        <v>243</v>
      </c>
      <c r="BP113" t="s">
        <v>2920</v>
      </c>
      <c r="BQ113" t="s">
        <v>2920</v>
      </c>
      <c r="BR113" t="s">
        <v>243</v>
      </c>
      <c r="BS113" t="s">
        <v>243</v>
      </c>
      <c r="BT113" t="s">
        <v>243</v>
      </c>
      <c r="BU113" t="s">
        <v>243</v>
      </c>
      <c r="BV113" t="s">
        <v>2829</v>
      </c>
      <c r="BW113" t="s">
        <v>243</v>
      </c>
      <c r="BX113" t="s">
        <v>243</v>
      </c>
      <c r="BY113" t="s">
        <v>243</v>
      </c>
      <c r="BZ113" t="s">
        <v>243</v>
      </c>
      <c r="CA113" t="s">
        <v>243</v>
      </c>
      <c r="CB113" t="s">
        <v>2829</v>
      </c>
      <c r="CC113" t="s">
        <v>243</v>
      </c>
      <c r="CD113" t="s">
        <v>243</v>
      </c>
      <c r="CE113" t="s">
        <v>243</v>
      </c>
      <c r="CF113" t="s">
        <v>243</v>
      </c>
      <c r="CG113" t="s">
        <v>243</v>
      </c>
      <c r="CH113" t="s">
        <v>2829</v>
      </c>
      <c r="CI113" t="s">
        <v>243</v>
      </c>
      <c r="CJ113" t="s">
        <v>243</v>
      </c>
      <c r="CK113" t="s">
        <v>243</v>
      </c>
      <c r="CL113" t="s">
        <v>243</v>
      </c>
      <c r="CM113" t="s">
        <v>243</v>
      </c>
      <c r="CN113" t="s">
        <v>3030</v>
      </c>
      <c r="CO113" t="s">
        <v>2843</v>
      </c>
      <c r="CP113" t="s">
        <v>2844</v>
      </c>
      <c r="CQ113" t="s">
        <v>430</v>
      </c>
      <c r="CR113" t="s">
        <v>2947</v>
      </c>
      <c r="CS113" t="s">
        <v>431</v>
      </c>
      <c r="CT113" t="s">
        <v>430</v>
      </c>
      <c r="CU113" t="s">
        <v>2948</v>
      </c>
      <c r="CV113" t="s">
        <v>2949</v>
      </c>
      <c r="CW113" t="s">
        <v>2947</v>
      </c>
      <c r="CX113" t="s">
        <v>2848</v>
      </c>
      <c r="CY113" t="s">
        <v>3899</v>
      </c>
    </row>
    <row r="114" spans="1:103" ht="11.25" customHeight="1">
      <c r="A114" t="s">
        <v>243</v>
      </c>
      <c r="B114" t="s">
        <v>243</v>
      </c>
      <c r="C114" t="s">
        <v>243</v>
      </c>
      <c r="D114" t="s">
        <v>243</v>
      </c>
      <c r="E114" t="s">
        <v>243</v>
      </c>
      <c r="F114" t="s">
        <v>2816</v>
      </c>
      <c r="G114" t="s">
        <v>243</v>
      </c>
      <c r="H114" t="s">
        <v>243</v>
      </c>
      <c r="I114" t="s">
        <v>3900</v>
      </c>
      <c r="J114" t="s">
        <v>243</v>
      </c>
      <c r="K114" t="s">
        <v>3901</v>
      </c>
      <c r="L114" t="s">
        <v>243</v>
      </c>
      <c r="M114" t="s">
        <v>114</v>
      </c>
      <c r="N114" t="s">
        <v>243</v>
      </c>
      <c r="O114" t="s">
        <v>2819</v>
      </c>
      <c r="P114" t="s">
        <v>2820</v>
      </c>
      <c r="Q114" t="s">
        <v>2821</v>
      </c>
      <c r="R114" t="s">
        <v>200</v>
      </c>
      <c r="S114" t="s">
        <v>200</v>
      </c>
      <c r="T114" t="s">
        <v>2933</v>
      </c>
      <c r="U114" t="s">
        <v>2933</v>
      </c>
      <c r="V114" t="s">
        <v>2934</v>
      </c>
      <c r="W114" t="s">
        <v>2935</v>
      </c>
      <c r="X114" t="s">
        <v>2936</v>
      </c>
      <c r="Y114" t="s">
        <v>3127</v>
      </c>
      <c r="Z114" t="s">
        <v>3902</v>
      </c>
      <c r="AA114" t="s">
        <v>3385</v>
      </c>
      <c r="AB114" t="s">
        <v>3038</v>
      </c>
      <c r="AC114" t="s">
        <v>2829</v>
      </c>
      <c r="AD114" t="s">
        <v>2883</v>
      </c>
      <c r="AE114" t="s">
        <v>2831</v>
      </c>
      <c r="AF114" t="s">
        <v>3903</v>
      </c>
      <c r="AG114" t="s">
        <v>3903</v>
      </c>
      <c r="AH114" t="s">
        <v>2834</v>
      </c>
      <c r="AI114" t="s">
        <v>2835</v>
      </c>
      <c r="AJ114" t="s">
        <v>2942</v>
      </c>
      <c r="AK114" t="s">
        <v>3239</v>
      </c>
      <c r="AL114" t="s">
        <v>3385</v>
      </c>
      <c r="AM114" t="s">
        <v>3038</v>
      </c>
      <c r="AN114" t="s">
        <v>243</v>
      </c>
      <c r="AO114" t="s">
        <v>2839</v>
      </c>
      <c r="AP114" t="s">
        <v>2840</v>
      </c>
      <c r="AQ114" t="s">
        <v>2841</v>
      </c>
      <c r="AR114" t="s">
        <v>3904</v>
      </c>
      <c r="AS114" t="s">
        <v>3904</v>
      </c>
      <c r="AT114" t="s">
        <v>2829</v>
      </c>
      <c r="AU114" t="s">
        <v>2829</v>
      </c>
      <c r="AV114" t="s">
        <v>2829</v>
      </c>
      <c r="AW114" t="s">
        <v>2829</v>
      </c>
      <c r="AX114" t="s">
        <v>2829</v>
      </c>
      <c r="AY114" t="s">
        <v>2829</v>
      </c>
      <c r="AZ114" t="s">
        <v>2829</v>
      </c>
      <c r="BA114" t="s">
        <v>2829</v>
      </c>
      <c r="BB114" t="s">
        <v>2829</v>
      </c>
      <c r="BC114" t="s">
        <v>2829</v>
      </c>
      <c r="BD114" t="s">
        <v>3905</v>
      </c>
      <c r="BE114" t="s">
        <v>3905</v>
      </c>
      <c r="BF114" t="s">
        <v>243</v>
      </c>
      <c r="BG114" t="s">
        <v>243</v>
      </c>
      <c r="BH114" t="s">
        <v>243</v>
      </c>
      <c r="BI114" t="s">
        <v>243</v>
      </c>
      <c r="BJ114" t="s">
        <v>2829</v>
      </c>
      <c r="BK114" t="s">
        <v>243</v>
      </c>
      <c r="BL114" t="s">
        <v>243</v>
      </c>
      <c r="BM114" t="s">
        <v>243</v>
      </c>
      <c r="BN114" t="s">
        <v>243</v>
      </c>
      <c r="BO114" t="s">
        <v>243</v>
      </c>
      <c r="BP114" t="s">
        <v>3906</v>
      </c>
      <c r="BQ114" t="s">
        <v>3906</v>
      </c>
      <c r="BR114" t="s">
        <v>243</v>
      </c>
      <c r="BS114" t="s">
        <v>243</v>
      </c>
      <c r="BT114" t="s">
        <v>243</v>
      </c>
      <c r="BU114" t="s">
        <v>243</v>
      </c>
      <c r="BV114" t="s">
        <v>2829</v>
      </c>
      <c r="BW114" t="s">
        <v>243</v>
      </c>
      <c r="BX114" t="s">
        <v>243</v>
      </c>
      <c r="BY114" t="s">
        <v>243</v>
      </c>
      <c r="BZ114" t="s">
        <v>243</v>
      </c>
      <c r="CA114" t="s">
        <v>243</v>
      </c>
      <c r="CB114" t="s">
        <v>2829</v>
      </c>
      <c r="CC114" t="s">
        <v>243</v>
      </c>
      <c r="CD114" t="s">
        <v>243</v>
      </c>
      <c r="CE114" t="s">
        <v>243</v>
      </c>
      <c r="CF114" t="s">
        <v>243</v>
      </c>
      <c r="CG114" t="s">
        <v>243</v>
      </c>
      <c r="CH114" t="s">
        <v>2829</v>
      </c>
      <c r="CI114" t="s">
        <v>243</v>
      </c>
      <c r="CJ114" t="s">
        <v>243</v>
      </c>
      <c r="CK114" t="s">
        <v>243</v>
      </c>
      <c r="CL114" t="s">
        <v>243</v>
      </c>
      <c r="CM114" t="s">
        <v>243</v>
      </c>
      <c r="CN114" t="s">
        <v>2942</v>
      </c>
      <c r="CO114" t="s">
        <v>2843</v>
      </c>
      <c r="CP114" t="s">
        <v>2844</v>
      </c>
      <c r="CQ114" t="s">
        <v>430</v>
      </c>
      <c r="CR114" t="s">
        <v>2947</v>
      </c>
      <c r="CS114" t="s">
        <v>431</v>
      </c>
      <c r="CT114" t="s">
        <v>430</v>
      </c>
      <c r="CU114" t="s">
        <v>2948</v>
      </c>
      <c r="CV114" t="s">
        <v>2949</v>
      </c>
      <c r="CW114" t="s">
        <v>2947</v>
      </c>
      <c r="CX114" t="s">
        <v>2848</v>
      </c>
      <c r="CY114" t="s">
        <v>3907</v>
      </c>
    </row>
    <row r="115" spans="1:103" ht="11.25" customHeight="1">
      <c r="A115" t="s">
        <v>243</v>
      </c>
      <c r="B115" t="s">
        <v>243</v>
      </c>
      <c r="C115" t="s">
        <v>243</v>
      </c>
      <c r="D115" t="s">
        <v>243</v>
      </c>
      <c r="E115" t="s">
        <v>243</v>
      </c>
      <c r="F115" t="s">
        <v>2816</v>
      </c>
      <c r="G115" t="s">
        <v>243</v>
      </c>
      <c r="H115" t="s">
        <v>243</v>
      </c>
      <c r="I115" t="s">
        <v>454</v>
      </c>
      <c r="J115" t="s">
        <v>243</v>
      </c>
      <c r="K115" t="s">
        <v>3908</v>
      </c>
      <c r="L115" t="s">
        <v>243</v>
      </c>
      <c r="M115" t="s">
        <v>114</v>
      </c>
      <c r="N115" t="s">
        <v>243</v>
      </c>
      <c r="O115" t="s">
        <v>2819</v>
      </c>
      <c r="P115" t="s">
        <v>2820</v>
      </c>
      <c r="Q115" t="s">
        <v>2821</v>
      </c>
      <c r="R115" t="s">
        <v>200</v>
      </c>
      <c r="S115" t="s">
        <v>200</v>
      </c>
      <c r="T115" t="s">
        <v>2822</v>
      </c>
      <c r="U115" t="s">
        <v>2822</v>
      </c>
      <c r="V115" t="s">
        <v>2823</v>
      </c>
      <c r="W115" t="s">
        <v>2952</v>
      </c>
      <c r="X115" t="s">
        <v>2953</v>
      </c>
      <c r="Y115" t="s">
        <v>3741</v>
      </c>
      <c r="Z115" t="s">
        <v>3909</v>
      </c>
      <c r="AA115" t="s">
        <v>3910</v>
      </c>
      <c r="AB115" t="s">
        <v>3911</v>
      </c>
      <c r="AC115" t="s">
        <v>3912</v>
      </c>
      <c r="AD115" t="s">
        <v>2830</v>
      </c>
      <c r="AE115" t="s">
        <v>2831</v>
      </c>
      <c r="AF115" t="s">
        <v>3913</v>
      </c>
      <c r="AG115" t="s">
        <v>3914</v>
      </c>
      <c r="AH115" t="s">
        <v>2834</v>
      </c>
      <c r="AI115" t="s">
        <v>2835</v>
      </c>
      <c r="AJ115" t="s">
        <v>2960</v>
      </c>
      <c r="AK115" t="s">
        <v>2889</v>
      </c>
      <c r="AL115" t="s">
        <v>3910</v>
      </c>
      <c r="AM115" t="s">
        <v>3915</v>
      </c>
      <c r="AN115" t="s">
        <v>3916</v>
      </c>
      <c r="AO115" t="s">
        <v>2839</v>
      </c>
      <c r="AP115" t="s">
        <v>2840</v>
      </c>
      <c r="AQ115" t="s">
        <v>2841</v>
      </c>
      <c r="AR115" t="s">
        <v>3917</v>
      </c>
      <c r="AS115" t="s">
        <v>3918</v>
      </c>
      <c r="AT115" t="s">
        <v>3919</v>
      </c>
      <c r="AU115" t="s">
        <v>2829</v>
      </c>
      <c r="AV115" t="s">
        <v>2829</v>
      </c>
      <c r="AW115" t="s">
        <v>2829</v>
      </c>
      <c r="AX115" t="s">
        <v>2829</v>
      </c>
      <c r="AY115" t="s">
        <v>2829</v>
      </c>
      <c r="AZ115" t="s">
        <v>2829</v>
      </c>
      <c r="BA115" t="s">
        <v>2829</v>
      </c>
      <c r="BB115" t="s">
        <v>2829</v>
      </c>
      <c r="BC115" t="s">
        <v>2829</v>
      </c>
      <c r="BD115" t="s">
        <v>3920</v>
      </c>
      <c r="BE115" t="s">
        <v>3921</v>
      </c>
      <c r="BF115" t="s">
        <v>3919</v>
      </c>
      <c r="BG115" t="s">
        <v>243</v>
      </c>
      <c r="BH115" t="s">
        <v>243</v>
      </c>
      <c r="BI115" t="s">
        <v>243</v>
      </c>
      <c r="BJ115" t="s">
        <v>2829</v>
      </c>
      <c r="BK115" t="s">
        <v>243</v>
      </c>
      <c r="BL115" t="s">
        <v>243</v>
      </c>
      <c r="BM115" t="s">
        <v>243</v>
      </c>
      <c r="BN115" t="s">
        <v>243</v>
      </c>
      <c r="BO115" t="s">
        <v>243</v>
      </c>
      <c r="BP115" t="s">
        <v>3922</v>
      </c>
      <c r="BQ115" t="s">
        <v>3922</v>
      </c>
      <c r="BR115" t="s">
        <v>243</v>
      </c>
      <c r="BS115" t="s">
        <v>243</v>
      </c>
      <c r="BT115" t="s">
        <v>243</v>
      </c>
      <c r="BU115" t="s">
        <v>243</v>
      </c>
      <c r="BV115" t="s">
        <v>2829</v>
      </c>
      <c r="BW115" t="s">
        <v>243</v>
      </c>
      <c r="BX115" t="s">
        <v>243</v>
      </c>
      <c r="BY115" t="s">
        <v>243</v>
      </c>
      <c r="BZ115" t="s">
        <v>243</v>
      </c>
      <c r="CA115" t="s">
        <v>243</v>
      </c>
      <c r="CB115" t="s">
        <v>2829</v>
      </c>
      <c r="CC115" t="s">
        <v>243</v>
      </c>
      <c r="CD115" t="s">
        <v>243</v>
      </c>
      <c r="CE115" t="s">
        <v>243</v>
      </c>
      <c r="CF115" t="s">
        <v>243</v>
      </c>
      <c r="CG115" t="s">
        <v>243</v>
      </c>
      <c r="CH115" t="s">
        <v>2829</v>
      </c>
      <c r="CI115" t="s">
        <v>243</v>
      </c>
      <c r="CJ115" t="s">
        <v>243</v>
      </c>
      <c r="CK115" t="s">
        <v>243</v>
      </c>
      <c r="CL115" t="s">
        <v>243</v>
      </c>
      <c r="CM115" t="s">
        <v>243</v>
      </c>
      <c r="CN115" t="s">
        <v>2960</v>
      </c>
      <c r="CO115" t="s">
        <v>2843</v>
      </c>
      <c r="CP115" t="s">
        <v>2844</v>
      </c>
      <c r="CQ115" t="s">
        <v>430</v>
      </c>
      <c r="CR115" t="s">
        <v>2845</v>
      </c>
      <c r="CS115" t="s">
        <v>431</v>
      </c>
      <c r="CT115" t="s">
        <v>430</v>
      </c>
      <c r="CU115" t="s">
        <v>2846</v>
      </c>
      <c r="CV115" t="s">
        <v>2847</v>
      </c>
      <c r="CW115" t="s">
        <v>2845</v>
      </c>
      <c r="CX115" t="s">
        <v>2848</v>
      </c>
      <c r="CY115" t="s">
        <v>3923</v>
      </c>
    </row>
    <row r="116" spans="1:103" ht="11.25" customHeight="1">
      <c r="A116" t="s">
        <v>243</v>
      </c>
      <c r="B116" t="s">
        <v>243</v>
      </c>
      <c r="C116" t="s">
        <v>243</v>
      </c>
      <c r="D116" t="s">
        <v>243</v>
      </c>
      <c r="E116" t="s">
        <v>243</v>
      </c>
      <c r="F116" t="s">
        <v>2816</v>
      </c>
      <c r="G116" t="s">
        <v>243</v>
      </c>
      <c r="H116" t="s">
        <v>243</v>
      </c>
      <c r="I116" t="s">
        <v>3924</v>
      </c>
      <c r="J116" t="s">
        <v>243</v>
      </c>
      <c r="K116" t="s">
        <v>3925</v>
      </c>
      <c r="L116" t="s">
        <v>243</v>
      </c>
      <c r="M116" t="s">
        <v>114</v>
      </c>
      <c r="N116" t="s">
        <v>243</v>
      </c>
      <c r="O116" t="s">
        <v>2819</v>
      </c>
      <c r="P116" t="s">
        <v>2820</v>
      </c>
      <c r="Q116" t="s">
        <v>2821</v>
      </c>
      <c r="R116" t="s">
        <v>200</v>
      </c>
      <c r="S116" t="s">
        <v>200</v>
      </c>
      <c r="T116" t="s">
        <v>2968</v>
      </c>
      <c r="U116" t="s">
        <v>2968</v>
      </c>
      <c r="V116" t="s">
        <v>2969</v>
      </c>
      <c r="W116" t="s">
        <v>3638</v>
      </c>
      <c r="X116" t="s">
        <v>3639</v>
      </c>
      <c r="Y116" t="s">
        <v>3926</v>
      </c>
      <c r="Z116" t="s">
        <v>3585</v>
      </c>
      <c r="AA116" t="s">
        <v>3631</v>
      </c>
      <c r="AB116" t="s">
        <v>2995</v>
      </c>
      <c r="AC116" t="s">
        <v>2829</v>
      </c>
      <c r="AD116" t="s">
        <v>2883</v>
      </c>
      <c r="AE116" t="s">
        <v>2857</v>
      </c>
      <c r="AF116" t="s">
        <v>3927</v>
      </c>
      <c r="AG116" t="s">
        <v>3927</v>
      </c>
      <c r="AH116" t="s">
        <v>2834</v>
      </c>
      <c r="AI116" t="s">
        <v>2835</v>
      </c>
      <c r="AJ116" t="s">
        <v>3030</v>
      </c>
      <c r="AK116" t="s">
        <v>3928</v>
      </c>
      <c r="AL116" t="s">
        <v>3631</v>
      </c>
      <c r="AM116" t="s">
        <v>2995</v>
      </c>
      <c r="AN116" t="s">
        <v>2829</v>
      </c>
      <c r="AO116" t="s">
        <v>2839</v>
      </c>
      <c r="AP116" t="s">
        <v>2840</v>
      </c>
      <c r="AQ116" t="s">
        <v>2841</v>
      </c>
      <c r="AR116" t="s">
        <v>3929</v>
      </c>
      <c r="AS116" t="s">
        <v>3929</v>
      </c>
      <c r="AT116" t="s">
        <v>2829</v>
      </c>
      <c r="AU116" t="s">
        <v>2829</v>
      </c>
      <c r="AV116" t="s">
        <v>2829</v>
      </c>
      <c r="AW116" t="s">
        <v>2829</v>
      </c>
      <c r="AX116" t="s">
        <v>2829</v>
      </c>
      <c r="AY116" t="s">
        <v>2829</v>
      </c>
      <c r="AZ116" t="s">
        <v>2829</v>
      </c>
      <c r="BA116" t="s">
        <v>2829</v>
      </c>
      <c r="BB116" t="s">
        <v>2829</v>
      </c>
      <c r="BC116" t="s">
        <v>2829</v>
      </c>
      <c r="BD116" t="s">
        <v>2829</v>
      </c>
      <c r="BE116" t="s">
        <v>243</v>
      </c>
      <c r="BF116" t="s">
        <v>243</v>
      </c>
      <c r="BG116" t="s">
        <v>243</v>
      </c>
      <c r="BH116" t="s">
        <v>243</v>
      </c>
      <c r="BI116" t="s">
        <v>243</v>
      </c>
      <c r="BJ116" t="s">
        <v>2829</v>
      </c>
      <c r="BK116" t="s">
        <v>243</v>
      </c>
      <c r="BL116" t="s">
        <v>243</v>
      </c>
      <c r="BM116" t="s">
        <v>243</v>
      </c>
      <c r="BN116" t="s">
        <v>243</v>
      </c>
      <c r="BO116" t="s">
        <v>243</v>
      </c>
      <c r="BP116" t="s">
        <v>3929</v>
      </c>
      <c r="BQ116" t="s">
        <v>3929</v>
      </c>
      <c r="BR116" t="s">
        <v>243</v>
      </c>
      <c r="BS116" t="s">
        <v>243</v>
      </c>
      <c r="BT116" t="s">
        <v>243</v>
      </c>
      <c r="BU116" t="s">
        <v>243</v>
      </c>
      <c r="BV116" t="s">
        <v>2829</v>
      </c>
      <c r="BW116" t="s">
        <v>243</v>
      </c>
      <c r="BX116" t="s">
        <v>243</v>
      </c>
      <c r="BY116" t="s">
        <v>243</v>
      </c>
      <c r="BZ116" t="s">
        <v>243</v>
      </c>
      <c r="CA116" t="s">
        <v>243</v>
      </c>
      <c r="CB116" t="s">
        <v>2829</v>
      </c>
      <c r="CC116" t="s">
        <v>243</v>
      </c>
      <c r="CD116" t="s">
        <v>243</v>
      </c>
      <c r="CE116" t="s">
        <v>243</v>
      </c>
      <c r="CF116" t="s">
        <v>243</v>
      </c>
      <c r="CG116" t="s">
        <v>243</v>
      </c>
      <c r="CH116" t="s">
        <v>2829</v>
      </c>
      <c r="CI116" t="s">
        <v>243</v>
      </c>
      <c r="CJ116" t="s">
        <v>243</v>
      </c>
      <c r="CK116" t="s">
        <v>243</v>
      </c>
      <c r="CL116" t="s">
        <v>243</v>
      </c>
      <c r="CM116" t="s">
        <v>243</v>
      </c>
      <c r="CN116" t="s">
        <v>2942</v>
      </c>
      <c r="CO116" t="s">
        <v>2843</v>
      </c>
      <c r="CP116" t="s">
        <v>2844</v>
      </c>
      <c r="CQ116" t="s">
        <v>430</v>
      </c>
      <c r="CR116" t="s">
        <v>2984</v>
      </c>
      <c r="CS116" t="s">
        <v>431</v>
      </c>
      <c r="CT116" t="s">
        <v>430</v>
      </c>
      <c r="CU116" t="s">
        <v>2985</v>
      </c>
      <c r="CV116" t="s">
        <v>2986</v>
      </c>
      <c r="CW116" t="s">
        <v>2984</v>
      </c>
      <c r="CX116" t="s">
        <v>2848</v>
      </c>
      <c r="CY116" t="s">
        <v>3930</v>
      </c>
    </row>
    <row r="117" spans="1:103" ht="11.25" customHeight="1">
      <c r="A117" t="s">
        <v>243</v>
      </c>
      <c r="B117" t="s">
        <v>243</v>
      </c>
      <c r="C117" t="s">
        <v>243</v>
      </c>
      <c r="D117" t="s">
        <v>243</v>
      </c>
      <c r="E117" t="s">
        <v>243</v>
      </c>
      <c r="F117" t="s">
        <v>2816</v>
      </c>
      <c r="G117" t="s">
        <v>243</v>
      </c>
      <c r="H117" t="s">
        <v>243</v>
      </c>
      <c r="I117" t="s">
        <v>3931</v>
      </c>
      <c r="J117" t="s">
        <v>243</v>
      </c>
      <c r="K117" t="s">
        <v>3716</v>
      </c>
      <c r="L117" t="s">
        <v>243</v>
      </c>
      <c r="M117" t="s">
        <v>114</v>
      </c>
      <c r="N117" t="s">
        <v>243</v>
      </c>
      <c r="O117" t="s">
        <v>2819</v>
      </c>
      <c r="P117" t="s">
        <v>2820</v>
      </c>
      <c r="Q117" t="s">
        <v>2821</v>
      </c>
      <c r="R117" t="s">
        <v>200</v>
      </c>
      <c r="S117" t="s">
        <v>200</v>
      </c>
      <c r="T117" t="s">
        <v>2968</v>
      </c>
      <c r="U117" t="s">
        <v>2968</v>
      </c>
      <c r="V117" t="s">
        <v>2969</v>
      </c>
      <c r="W117" t="s">
        <v>3722</v>
      </c>
      <c r="X117" t="s">
        <v>3723</v>
      </c>
      <c r="Y117" t="s">
        <v>3932</v>
      </c>
      <c r="Z117" t="s">
        <v>3933</v>
      </c>
      <c r="AA117" t="s">
        <v>3117</v>
      </c>
      <c r="AB117" t="s">
        <v>3703</v>
      </c>
      <c r="AC117" t="s">
        <v>2829</v>
      </c>
      <c r="AD117" t="s">
        <v>2883</v>
      </c>
      <c r="AE117" t="s">
        <v>2857</v>
      </c>
      <c r="AF117" t="s">
        <v>3934</v>
      </c>
      <c r="AG117" t="s">
        <v>3934</v>
      </c>
      <c r="AH117" t="s">
        <v>2834</v>
      </c>
      <c r="AI117" t="s">
        <v>2835</v>
      </c>
      <c r="AJ117" t="s">
        <v>3130</v>
      </c>
      <c r="AK117" t="s">
        <v>3729</v>
      </c>
      <c r="AL117" t="s">
        <v>3117</v>
      </c>
      <c r="AM117" t="s">
        <v>3935</v>
      </c>
      <c r="AN117" t="s">
        <v>2829</v>
      </c>
      <c r="AO117" t="s">
        <v>2839</v>
      </c>
      <c r="AP117" t="s">
        <v>2840</v>
      </c>
      <c r="AQ117" t="s">
        <v>2841</v>
      </c>
      <c r="AR117" t="s">
        <v>3936</v>
      </c>
      <c r="AS117" t="s">
        <v>3936</v>
      </c>
      <c r="AT117" t="s">
        <v>2829</v>
      </c>
      <c r="AU117" t="s">
        <v>2829</v>
      </c>
      <c r="AV117" t="s">
        <v>2829</v>
      </c>
      <c r="AW117" t="s">
        <v>2829</v>
      </c>
      <c r="AX117" t="s">
        <v>2829</v>
      </c>
      <c r="AY117" t="s">
        <v>2829</v>
      </c>
      <c r="AZ117" t="s">
        <v>2829</v>
      </c>
      <c r="BA117" t="s">
        <v>2829</v>
      </c>
      <c r="BB117" t="s">
        <v>2829</v>
      </c>
      <c r="BC117" t="s">
        <v>2829</v>
      </c>
      <c r="BD117" t="s">
        <v>2829</v>
      </c>
      <c r="BE117" t="s">
        <v>243</v>
      </c>
      <c r="BF117" t="s">
        <v>243</v>
      </c>
      <c r="BG117" t="s">
        <v>243</v>
      </c>
      <c r="BH117" t="s">
        <v>243</v>
      </c>
      <c r="BI117" t="s">
        <v>243</v>
      </c>
      <c r="BJ117" t="s">
        <v>2829</v>
      </c>
      <c r="BK117" t="s">
        <v>243</v>
      </c>
      <c r="BL117" t="s">
        <v>243</v>
      </c>
      <c r="BM117" t="s">
        <v>243</v>
      </c>
      <c r="BN117" t="s">
        <v>243</v>
      </c>
      <c r="BO117" t="s">
        <v>243</v>
      </c>
      <c r="BP117" t="s">
        <v>3936</v>
      </c>
      <c r="BQ117" t="s">
        <v>3936</v>
      </c>
      <c r="BR117" t="s">
        <v>243</v>
      </c>
      <c r="BS117" t="s">
        <v>243</v>
      </c>
      <c r="BT117" t="s">
        <v>243</v>
      </c>
      <c r="BU117" t="s">
        <v>243</v>
      </c>
      <c r="BV117" t="s">
        <v>2829</v>
      </c>
      <c r="BW117" t="s">
        <v>243</v>
      </c>
      <c r="BX117" t="s">
        <v>243</v>
      </c>
      <c r="BY117" t="s">
        <v>243</v>
      </c>
      <c r="BZ117" t="s">
        <v>243</v>
      </c>
      <c r="CA117" t="s">
        <v>243</v>
      </c>
      <c r="CB117" t="s">
        <v>2829</v>
      </c>
      <c r="CC117" t="s">
        <v>243</v>
      </c>
      <c r="CD117" t="s">
        <v>243</v>
      </c>
      <c r="CE117" t="s">
        <v>243</v>
      </c>
      <c r="CF117" t="s">
        <v>243</v>
      </c>
      <c r="CG117" t="s">
        <v>243</v>
      </c>
      <c r="CH117" t="s">
        <v>2829</v>
      </c>
      <c r="CI117" t="s">
        <v>243</v>
      </c>
      <c r="CJ117" t="s">
        <v>243</v>
      </c>
      <c r="CK117" t="s">
        <v>243</v>
      </c>
      <c r="CL117" t="s">
        <v>243</v>
      </c>
      <c r="CM117" t="s">
        <v>243</v>
      </c>
      <c r="CN117" t="s">
        <v>3010</v>
      </c>
      <c r="CO117" t="s">
        <v>2843</v>
      </c>
      <c r="CP117" t="s">
        <v>2844</v>
      </c>
      <c r="CQ117" t="s">
        <v>430</v>
      </c>
      <c r="CR117" t="s">
        <v>2984</v>
      </c>
      <c r="CS117" t="s">
        <v>431</v>
      </c>
      <c r="CT117" t="s">
        <v>430</v>
      </c>
      <c r="CU117" t="s">
        <v>2985</v>
      </c>
      <c r="CV117" t="s">
        <v>2986</v>
      </c>
      <c r="CW117" t="s">
        <v>2984</v>
      </c>
      <c r="CX117" t="s">
        <v>2848</v>
      </c>
      <c r="CY117" t="s">
        <v>3937</v>
      </c>
    </row>
    <row r="118" spans="1:103" ht="11.25" customHeight="1">
      <c r="A118" t="s">
        <v>243</v>
      </c>
      <c r="B118" t="s">
        <v>243</v>
      </c>
      <c r="C118" t="s">
        <v>243</v>
      </c>
      <c r="D118" t="s">
        <v>243</v>
      </c>
      <c r="E118" t="s">
        <v>243</v>
      </c>
      <c r="F118" t="s">
        <v>2816</v>
      </c>
      <c r="G118" t="s">
        <v>243</v>
      </c>
      <c r="H118" t="s">
        <v>243</v>
      </c>
      <c r="I118" t="s">
        <v>874</v>
      </c>
      <c r="J118" t="s">
        <v>243</v>
      </c>
      <c r="K118" t="s">
        <v>464</v>
      </c>
      <c r="L118" t="s">
        <v>243</v>
      </c>
      <c r="M118" t="s">
        <v>114</v>
      </c>
      <c r="N118" t="s">
        <v>243</v>
      </c>
      <c r="O118" t="s">
        <v>2819</v>
      </c>
      <c r="P118" t="s">
        <v>2820</v>
      </c>
      <c r="Q118" t="s">
        <v>2821</v>
      </c>
      <c r="R118" t="s">
        <v>200</v>
      </c>
      <c r="S118" t="s">
        <v>200</v>
      </c>
      <c r="T118" t="s">
        <v>2822</v>
      </c>
      <c r="U118" t="s">
        <v>2822</v>
      </c>
      <c r="V118" t="s">
        <v>2823</v>
      </c>
      <c r="W118" t="s">
        <v>2862</v>
      </c>
      <c r="X118" t="s">
        <v>2863</v>
      </c>
      <c r="Y118" t="s">
        <v>3938</v>
      </c>
      <c r="Z118" t="s">
        <v>1776</v>
      </c>
      <c r="AA118" t="s">
        <v>3395</v>
      </c>
      <c r="AB118" t="s">
        <v>3939</v>
      </c>
      <c r="AC118" t="s">
        <v>2829</v>
      </c>
      <c r="AD118" t="s">
        <v>2830</v>
      </c>
      <c r="AE118" t="s">
        <v>2831</v>
      </c>
      <c r="AF118" t="s">
        <v>3940</v>
      </c>
      <c r="AG118" t="s">
        <v>3941</v>
      </c>
      <c r="AH118" t="s">
        <v>2834</v>
      </c>
      <c r="AI118" t="s">
        <v>2835</v>
      </c>
      <c r="AJ118" t="s">
        <v>2960</v>
      </c>
      <c r="AK118" t="s">
        <v>2961</v>
      </c>
      <c r="AL118" t="s">
        <v>3395</v>
      </c>
      <c r="AM118" t="s">
        <v>3942</v>
      </c>
      <c r="AN118" t="s">
        <v>2829</v>
      </c>
      <c r="AO118" t="s">
        <v>2839</v>
      </c>
      <c r="AP118" t="s">
        <v>2840</v>
      </c>
      <c r="AQ118" t="s">
        <v>2841</v>
      </c>
      <c r="AR118" t="s">
        <v>3943</v>
      </c>
      <c r="AS118" t="s">
        <v>3943</v>
      </c>
      <c r="AT118" t="s">
        <v>2829</v>
      </c>
      <c r="AU118" t="s">
        <v>2829</v>
      </c>
      <c r="AV118" t="s">
        <v>2829</v>
      </c>
      <c r="AW118" t="s">
        <v>2829</v>
      </c>
      <c r="AX118" t="s">
        <v>2829</v>
      </c>
      <c r="AY118" t="s">
        <v>2829</v>
      </c>
      <c r="AZ118" t="s">
        <v>2829</v>
      </c>
      <c r="BA118" t="s">
        <v>2829</v>
      </c>
      <c r="BB118" t="s">
        <v>2829</v>
      </c>
      <c r="BC118" t="s">
        <v>2829</v>
      </c>
      <c r="BD118" t="s">
        <v>2829</v>
      </c>
      <c r="BE118" t="s">
        <v>243</v>
      </c>
      <c r="BF118" t="s">
        <v>243</v>
      </c>
      <c r="BG118" t="s">
        <v>243</v>
      </c>
      <c r="BH118" t="s">
        <v>243</v>
      </c>
      <c r="BI118" t="s">
        <v>243</v>
      </c>
      <c r="BJ118" t="s">
        <v>2829</v>
      </c>
      <c r="BK118" t="s">
        <v>243</v>
      </c>
      <c r="BL118" t="s">
        <v>243</v>
      </c>
      <c r="BM118" t="s">
        <v>243</v>
      </c>
      <c r="BN118" t="s">
        <v>243</v>
      </c>
      <c r="BO118" t="s">
        <v>243</v>
      </c>
      <c r="BP118" t="s">
        <v>2829</v>
      </c>
      <c r="BQ118" t="s">
        <v>243</v>
      </c>
      <c r="BR118" t="s">
        <v>243</v>
      </c>
      <c r="BS118" t="s">
        <v>243</v>
      </c>
      <c r="BT118" t="s">
        <v>243</v>
      </c>
      <c r="BU118" t="s">
        <v>243</v>
      </c>
      <c r="BV118" t="s">
        <v>2829</v>
      </c>
      <c r="BW118" t="s">
        <v>243</v>
      </c>
      <c r="BX118" t="s">
        <v>243</v>
      </c>
      <c r="BY118" t="s">
        <v>243</v>
      </c>
      <c r="BZ118" t="s">
        <v>243</v>
      </c>
      <c r="CA118" t="s">
        <v>243</v>
      </c>
      <c r="CB118" t="s">
        <v>3943</v>
      </c>
      <c r="CC118" t="s">
        <v>3943</v>
      </c>
      <c r="CD118" t="s">
        <v>243</v>
      </c>
      <c r="CE118" t="s">
        <v>243</v>
      </c>
      <c r="CF118" t="s">
        <v>243</v>
      </c>
      <c r="CG118" t="s">
        <v>243</v>
      </c>
      <c r="CH118" t="s">
        <v>2829</v>
      </c>
      <c r="CI118" t="s">
        <v>243</v>
      </c>
      <c r="CJ118" t="s">
        <v>243</v>
      </c>
      <c r="CK118" t="s">
        <v>243</v>
      </c>
      <c r="CL118" t="s">
        <v>243</v>
      </c>
      <c r="CM118" t="s">
        <v>243</v>
      </c>
      <c r="CN118" t="s">
        <v>2960</v>
      </c>
      <c r="CO118" t="s">
        <v>2843</v>
      </c>
      <c r="CP118" t="s">
        <v>2844</v>
      </c>
      <c r="CQ118" t="s">
        <v>430</v>
      </c>
      <c r="CR118" t="s">
        <v>2845</v>
      </c>
      <c r="CS118" t="s">
        <v>431</v>
      </c>
      <c r="CT118" t="s">
        <v>430</v>
      </c>
      <c r="CU118" t="s">
        <v>2846</v>
      </c>
      <c r="CV118" t="s">
        <v>2847</v>
      </c>
      <c r="CW118" t="s">
        <v>2845</v>
      </c>
      <c r="CX118" t="s">
        <v>2848</v>
      </c>
      <c r="CY118" t="s">
        <v>3944</v>
      </c>
    </row>
    <row r="119" spans="1:103" ht="11.25" customHeight="1">
      <c r="A119" t="s">
        <v>243</v>
      </c>
      <c r="B119" t="s">
        <v>243</v>
      </c>
      <c r="C119" t="s">
        <v>243</v>
      </c>
      <c r="D119" t="s">
        <v>243</v>
      </c>
      <c r="E119" t="s">
        <v>243</v>
      </c>
      <c r="F119" t="s">
        <v>2816</v>
      </c>
      <c r="G119" t="s">
        <v>243</v>
      </c>
      <c r="H119" t="s">
        <v>243</v>
      </c>
      <c r="I119" t="s">
        <v>3945</v>
      </c>
      <c r="J119" t="s">
        <v>243</v>
      </c>
      <c r="K119" t="s">
        <v>3178</v>
      </c>
      <c r="L119" t="s">
        <v>243</v>
      </c>
      <c r="M119" t="s">
        <v>114</v>
      </c>
      <c r="N119" t="s">
        <v>243</v>
      </c>
      <c r="O119" t="s">
        <v>2819</v>
      </c>
      <c r="P119" t="s">
        <v>2820</v>
      </c>
      <c r="Q119" t="s">
        <v>2821</v>
      </c>
      <c r="R119" t="s">
        <v>200</v>
      </c>
      <c r="S119" t="s">
        <v>200</v>
      </c>
      <c r="T119" t="s">
        <v>3048</v>
      </c>
      <c r="U119" t="s">
        <v>3048</v>
      </c>
      <c r="V119" t="s">
        <v>3049</v>
      </c>
      <c r="W119" t="s">
        <v>3946</v>
      </c>
      <c r="X119" t="s">
        <v>3947</v>
      </c>
      <c r="Y119" t="s">
        <v>3127</v>
      </c>
      <c r="Z119" t="s">
        <v>2846</v>
      </c>
      <c r="AA119" t="s">
        <v>3948</v>
      </c>
      <c r="AB119" t="s">
        <v>3942</v>
      </c>
      <c r="AC119" t="s">
        <v>2829</v>
      </c>
      <c r="AD119" t="s">
        <v>2883</v>
      </c>
      <c r="AE119" t="s">
        <v>2831</v>
      </c>
      <c r="AF119" t="s">
        <v>3055</v>
      </c>
      <c r="AG119" t="s">
        <v>3055</v>
      </c>
      <c r="AH119" t="s">
        <v>2834</v>
      </c>
      <c r="AI119" t="s">
        <v>2835</v>
      </c>
      <c r="AJ119" t="s">
        <v>3184</v>
      </c>
      <c r="AK119" t="s">
        <v>3949</v>
      </c>
      <c r="AL119" t="s">
        <v>3948</v>
      </c>
      <c r="AM119" t="s">
        <v>3942</v>
      </c>
      <c r="AN119" t="s">
        <v>2829</v>
      </c>
      <c r="AO119" t="s">
        <v>2839</v>
      </c>
      <c r="AP119" t="s">
        <v>2840</v>
      </c>
      <c r="AQ119" t="s">
        <v>2841</v>
      </c>
      <c r="AR119" t="s">
        <v>3950</v>
      </c>
      <c r="AS119" t="s">
        <v>3950</v>
      </c>
      <c r="AT119" t="s">
        <v>2829</v>
      </c>
      <c r="AU119" t="s">
        <v>2829</v>
      </c>
      <c r="AV119" t="s">
        <v>2829</v>
      </c>
      <c r="AW119" t="s">
        <v>2829</v>
      </c>
      <c r="AX119" t="s">
        <v>2829</v>
      </c>
      <c r="AY119" t="s">
        <v>2829</v>
      </c>
      <c r="AZ119" t="s">
        <v>2829</v>
      </c>
      <c r="BA119" t="s">
        <v>2829</v>
      </c>
      <c r="BB119" t="s">
        <v>2829</v>
      </c>
      <c r="BC119" t="s">
        <v>2829</v>
      </c>
      <c r="BD119" t="s">
        <v>3950</v>
      </c>
      <c r="BE119" t="s">
        <v>3950</v>
      </c>
      <c r="BF119" t="s">
        <v>243</v>
      </c>
      <c r="BG119" t="s">
        <v>243</v>
      </c>
      <c r="BH119" t="s">
        <v>243</v>
      </c>
      <c r="BI119" t="s">
        <v>243</v>
      </c>
      <c r="BJ119" t="s">
        <v>2829</v>
      </c>
      <c r="BK119" t="s">
        <v>243</v>
      </c>
      <c r="BL119" t="s">
        <v>243</v>
      </c>
      <c r="BM119" t="s">
        <v>243</v>
      </c>
      <c r="BN119" t="s">
        <v>243</v>
      </c>
      <c r="BO119" t="s">
        <v>243</v>
      </c>
      <c r="BP119" t="s">
        <v>2829</v>
      </c>
      <c r="BQ119" t="s">
        <v>243</v>
      </c>
      <c r="BR119" t="s">
        <v>243</v>
      </c>
      <c r="BS119" t="s">
        <v>243</v>
      </c>
      <c r="BT119" t="s">
        <v>243</v>
      </c>
      <c r="BU119" t="s">
        <v>243</v>
      </c>
      <c r="BV119" t="s">
        <v>2829</v>
      </c>
      <c r="BW119" t="s">
        <v>243</v>
      </c>
      <c r="BX119" t="s">
        <v>243</v>
      </c>
      <c r="BY119" t="s">
        <v>243</v>
      </c>
      <c r="BZ119" t="s">
        <v>243</v>
      </c>
      <c r="CA119" t="s">
        <v>243</v>
      </c>
      <c r="CB119" t="s">
        <v>2829</v>
      </c>
      <c r="CC119" t="s">
        <v>243</v>
      </c>
      <c r="CD119" t="s">
        <v>243</v>
      </c>
      <c r="CE119" t="s">
        <v>243</v>
      </c>
      <c r="CF119" t="s">
        <v>243</v>
      </c>
      <c r="CG119" t="s">
        <v>243</v>
      </c>
      <c r="CH119" t="s">
        <v>2829</v>
      </c>
      <c r="CI119" t="s">
        <v>243</v>
      </c>
      <c r="CJ119" t="s">
        <v>243</v>
      </c>
      <c r="CK119" t="s">
        <v>243</v>
      </c>
      <c r="CL119" t="s">
        <v>243</v>
      </c>
      <c r="CM119" t="s">
        <v>243</v>
      </c>
      <c r="CN119" t="s">
        <v>3187</v>
      </c>
      <c r="CO119" t="s">
        <v>2843</v>
      </c>
      <c r="CP119" t="s">
        <v>2844</v>
      </c>
      <c r="CQ119" t="s">
        <v>470</v>
      </c>
      <c r="CR119" t="s">
        <v>2872</v>
      </c>
      <c r="CS119" t="s">
        <v>431</v>
      </c>
      <c r="CT119" t="s">
        <v>470</v>
      </c>
      <c r="CU119" t="s">
        <v>3061</v>
      </c>
      <c r="CV119" t="s">
        <v>3062</v>
      </c>
      <c r="CW119" t="s">
        <v>2872</v>
      </c>
      <c r="CX119" t="s">
        <v>2848</v>
      </c>
      <c r="CY119" t="s">
        <v>3951</v>
      </c>
    </row>
    <row r="120" spans="1:103" ht="11.25" customHeight="1">
      <c r="A120" t="s">
        <v>243</v>
      </c>
      <c r="B120" t="s">
        <v>243</v>
      </c>
      <c r="C120" t="s">
        <v>243</v>
      </c>
      <c r="D120" t="s">
        <v>243</v>
      </c>
      <c r="E120" t="s">
        <v>243</v>
      </c>
      <c r="F120" t="s">
        <v>2816</v>
      </c>
      <c r="G120" t="s">
        <v>243</v>
      </c>
      <c r="H120" t="s">
        <v>243</v>
      </c>
      <c r="I120" t="s">
        <v>3952</v>
      </c>
      <c r="J120" t="s">
        <v>243</v>
      </c>
      <c r="K120" t="s">
        <v>3953</v>
      </c>
      <c r="L120" t="s">
        <v>243</v>
      </c>
      <c r="M120" t="s">
        <v>114</v>
      </c>
      <c r="N120" t="s">
        <v>243</v>
      </c>
      <c r="O120" t="s">
        <v>2819</v>
      </c>
      <c r="P120" t="s">
        <v>2820</v>
      </c>
      <c r="Q120" t="s">
        <v>2821</v>
      </c>
      <c r="R120" t="s">
        <v>200</v>
      </c>
      <c r="S120" t="s">
        <v>200</v>
      </c>
      <c r="T120" t="s">
        <v>3282</v>
      </c>
      <c r="U120" t="s">
        <v>3282</v>
      </c>
      <c r="V120" t="s">
        <v>3283</v>
      </c>
      <c r="W120" t="s">
        <v>3284</v>
      </c>
      <c r="X120" t="s">
        <v>3285</v>
      </c>
      <c r="Y120" t="s">
        <v>3954</v>
      </c>
      <c r="Z120" t="s">
        <v>3222</v>
      </c>
      <c r="AA120" t="s">
        <v>3228</v>
      </c>
      <c r="AB120" t="s">
        <v>3228</v>
      </c>
      <c r="AC120" t="s">
        <v>2829</v>
      </c>
      <c r="AD120" t="s">
        <v>2883</v>
      </c>
      <c r="AE120" t="s">
        <v>2857</v>
      </c>
      <c r="AF120" t="s">
        <v>3955</v>
      </c>
      <c r="AG120" t="s">
        <v>3955</v>
      </c>
      <c r="AH120" t="s">
        <v>2834</v>
      </c>
      <c r="AI120" t="s">
        <v>2835</v>
      </c>
      <c r="AJ120" t="s">
        <v>2829</v>
      </c>
      <c r="AK120" t="s">
        <v>3956</v>
      </c>
      <c r="AL120" t="s">
        <v>3228</v>
      </c>
      <c r="AM120" t="s">
        <v>3228</v>
      </c>
      <c r="AN120" t="s">
        <v>2829</v>
      </c>
      <c r="AO120" t="s">
        <v>3081</v>
      </c>
      <c r="AP120" t="s">
        <v>2840</v>
      </c>
      <c r="AQ120" t="s">
        <v>2841</v>
      </c>
      <c r="AR120" t="s">
        <v>2838</v>
      </c>
      <c r="AS120" t="s">
        <v>2838</v>
      </c>
      <c r="AT120" t="s">
        <v>2829</v>
      </c>
      <c r="AU120" t="s">
        <v>2829</v>
      </c>
      <c r="AV120" t="s">
        <v>2829</v>
      </c>
      <c r="AW120" t="s">
        <v>2829</v>
      </c>
      <c r="AX120" t="s">
        <v>2829</v>
      </c>
      <c r="AY120" t="s">
        <v>2829</v>
      </c>
      <c r="AZ120" t="s">
        <v>2829</v>
      </c>
      <c r="BA120" t="s">
        <v>2829</v>
      </c>
      <c r="BB120" t="s">
        <v>2829</v>
      </c>
      <c r="BC120" t="s">
        <v>2829</v>
      </c>
      <c r="BD120" t="s">
        <v>2829</v>
      </c>
      <c r="BE120" t="s">
        <v>243</v>
      </c>
      <c r="BF120" t="s">
        <v>243</v>
      </c>
      <c r="BG120" t="s">
        <v>243</v>
      </c>
      <c r="BH120" t="s">
        <v>243</v>
      </c>
      <c r="BI120" t="s">
        <v>243</v>
      </c>
      <c r="BJ120" t="s">
        <v>2829</v>
      </c>
      <c r="BK120" t="s">
        <v>243</v>
      </c>
      <c r="BL120" t="s">
        <v>243</v>
      </c>
      <c r="BM120" t="s">
        <v>243</v>
      </c>
      <c r="BN120" t="s">
        <v>243</v>
      </c>
      <c r="BO120" t="s">
        <v>243</v>
      </c>
      <c r="BP120" t="s">
        <v>2838</v>
      </c>
      <c r="BQ120" t="s">
        <v>2838</v>
      </c>
      <c r="BR120" t="s">
        <v>243</v>
      </c>
      <c r="BS120" t="s">
        <v>243</v>
      </c>
      <c r="BT120" t="s">
        <v>243</v>
      </c>
      <c r="BU120" t="s">
        <v>243</v>
      </c>
      <c r="BV120" t="s">
        <v>2829</v>
      </c>
      <c r="BW120" t="s">
        <v>243</v>
      </c>
      <c r="BX120" t="s">
        <v>243</v>
      </c>
      <c r="BY120" t="s">
        <v>243</v>
      </c>
      <c r="BZ120" t="s">
        <v>243</v>
      </c>
      <c r="CA120" t="s">
        <v>243</v>
      </c>
      <c r="CB120" t="s">
        <v>2829</v>
      </c>
      <c r="CC120" t="s">
        <v>243</v>
      </c>
      <c r="CD120" t="s">
        <v>243</v>
      </c>
      <c r="CE120" t="s">
        <v>243</v>
      </c>
      <c r="CF120" t="s">
        <v>243</v>
      </c>
      <c r="CG120" t="s">
        <v>243</v>
      </c>
      <c r="CH120" t="s">
        <v>2829</v>
      </c>
      <c r="CI120" t="s">
        <v>243</v>
      </c>
      <c r="CJ120" t="s">
        <v>243</v>
      </c>
      <c r="CK120" t="s">
        <v>243</v>
      </c>
      <c r="CL120" t="s">
        <v>243</v>
      </c>
      <c r="CM120" t="s">
        <v>243</v>
      </c>
      <c r="CN120" t="s">
        <v>2829</v>
      </c>
      <c r="CO120" t="s">
        <v>2843</v>
      </c>
      <c r="CP120" t="s">
        <v>2844</v>
      </c>
      <c r="CQ120" t="s">
        <v>430</v>
      </c>
      <c r="CR120" t="s">
        <v>3297</v>
      </c>
      <c r="CS120" t="s">
        <v>431</v>
      </c>
      <c r="CT120" t="s">
        <v>430</v>
      </c>
      <c r="CU120" t="s">
        <v>341</v>
      </c>
      <c r="CV120" t="s">
        <v>2900</v>
      </c>
      <c r="CW120" t="s">
        <v>3297</v>
      </c>
      <c r="CX120" t="s">
        <v>2848</v>
      </c>
      <c r="CY120" t="s">
        <v>3957</v>
      </c>
    </row>
    <row r="121" spans="1:103" ht="11.25" customHeight="1">
      <c r="A121" t="s">
        <v>243</v>
      </c>
      <c r="B121" t="s">
        <v>243</v>
      </c>
      <c r="C121" t="s">
        <v>243</v>
      </c>
      <c r="D121" t="s">
        <v>243</v>
      </c>
      <c r="E121" t="s">
        <v>243</v>
      </c>
      <c r="F121" t="s">
        <v>2816</v>
      </c>
      <c r="G121" t="s">
        <v>243</v>
      </c>
      <c r="H121" t="s">
        <v>243</v>
      </c>
      <c r="I121" t="s">
        <v>3958</v>
      </c>
      <c r="J121" t="s">
        <v>243</v>
      </c>
      <c r="K121" t="s">
        <v>3908</v>
      </c>
      <c r="L121" t="s">
        <v>243</v>
      </c>
      <c r="M121" t="s">
        <v>114</v>
      </c>
      <c r="N121" t="s">
        <v>243</v>
      </c>
      <c r="O121" t="s">
        <v>2819</v>
      </c>
      <c r="P121" t="s">
        <v>2820</v>
      </c>
      <c r="Q121" t="s">
        <v>2821</v>
      </c>
      <c r="R121" t="s">
        <v>200</v>
      </c>
      <c r="S121" t="s">
        <v>200</v>
      </c>
      <c r="T121" t="s">
        <v>2822</v>
      </c>
      <c r="U121" t="s">
        <v>2822</v>
      </c>
      <c r="V121" t="s">
        <v>2823</v>
      </c>
      <c r="W121" t="s">
        <v>3959</v>
      </c>
      <c r="X121" t="s">
        <v>3960</v>
      </c>
      <c r="Y121" t="s">
        <v>3610</v>
      </c>
      <c r="Z121" t="s">
        <v>3961</v>
      </c>
      <c r="AA121" t="s">
        <v>3962</v>
      </c>
      <c r="AB121" t="s">
        <v>3371</v>
      </c>
      <c r="AC121" t="s">
        <v>2829</v>
      </c>
      <c r="AD121" t="s">
        <v>2830</v>
      </c>
      <c r="AE121" t="s">
        <v>2831</v>
      </c>
      <c r="AF121" t="s">
        <v>3963</v>
      </c>
      <c r="AG121" t="s">
        <v>3964</v>
      </c>
      <c r="AH121" t="s">
        <v>2834</v>
      </c>
      <c r="AI121" t="s">
        <v>2835</v>
      </c>
      <c r="AJ121" t="s">
        <v>2960</v>
      </c>
      <c r="AK121" t="s">
        <v>3965</v>
      </c>
      <c r="AL121" t="s">
        <v>3078</v>
      </c>
      <c r="AM121" t="s">
        <v>3371</v>
      </c>
      <c r="AN121" t="s">
        <v>2829</v>
      </c>
      <c r="AO121" t="s">
        <v>2839</v>
      </c>
      <c r="AP121" t="s">
        <v>2840</v>
      </c>
      <c r="AQ121" t="s">
        <v>2841</v>
      </c>
      <c r="AR121" t="s">
        <v>3217</v>
      </c>
      <c r="AS121" t="s">
        <v>3217</v>
      </c>
      <c r="AT121" t="s">
        <v>2829</v>
      </c>
      <c r="AU121" t="s">
        <v>2829</v>
      </c>
      <c r="AV121" t="s">
        <v>2829</v>
      </c>
      <c r="AW121" t="s">
        <v>2829</v>
      </c>
      <c r="AX121" t="s">
        <v>2829</v>
      </c>
      <c r="AY121" t="s">
        <v>2829</v>
      </c>
      <c r="AZ121" t="s">
        <v>2829</v>
      </c>
      <c r="BA121" t="s">
        <v>2829</v>
      </c>
      <c r="BB121" t="s">
        <v>2829</v>
      </c>
      <c r="BC121" t="s">
        <v>2829</v>
      </c>
      <c r="BD121" t="s">
        <v>2829</v>
      </c>
      <c r="BE121" t="s">
        <v>243</v>
      </c>
      <c r="BF121" t="s">
        <v>243</v>
      </c>
      <c r="BG121" t="s">
        <v>243</v>
      </c>
      <c r="BH121" t="s">
        <v>243</v>
      </c>
      <c r="BI121" t="s">
        <v>243</v>
      </c>
      <c r="BJ121" t="s">
        <v>2829</v>
      </c>
      <c r="BK121" t="s">
        <v>243</v>
      </c>
      <c r="BL121" t="s">
        <v>243</v>
      </c>
      <c r="BM121" t="s">
        <v>243</v>
      </c>
      <c r="BN121" t="s">
        <v>243</v>
      </c>
      <c r="BO121" t="s">
        <v>243</v>
      </c>
      <c r="BP121" t="s">
        <v>2829</v>
      </c>
      <c r="BQ121" t="s">
        <v>243</v>
      </c>
      <c r="BR121" t="s">
        <v>243</v>
      </c>
      <c r="BS121" t="s">
        <v>243</v>
      </c>
      <c r="BT121" t="s">
        <v>243</v>
      </c>
      <c r="BU121" t="s">
        <v>243</v>
      </c>
      <c r="BV121" t="s">
        <v>2829</v>
      </c>
      <c r="BW121" t="s">
        <v>243</v>
      </c>
      <c r="BX121" t="s">
        <v>243</v>
      </c>
      <c r="BY121" t="s">
        <v>243</v>
      </c>
      <c r="BZ121" t="s">
        <v>243</v>
      </c>
      <c r="CA121" t="s">
        <v>243</v>
      </c>
      <c r="CB121" t="s">
        <v>3217</v>
      </c>
      <c r="CC121" t="s">
        <v>3217</v>
      </c>
      <c r="CD121" t="s">
        <v>243</v>
      </c>
      <c r="CE121" t="s">
        <v>243</v>
      </c>
      <c r="CF121" t="s">
        <v>243</v>
      </c>
      <c r="CG121" t="s">
        <v>243</v>
      </c>
      <c r="CH121" t="s">
        <v>2829</v>
      </c>
      <c r="CI121" t="s">
        <v>243</v>
      </c>
      <c r="CJ121" t="s">
        <v>243</v>
      </c>
      <c r="CK121" t="s">
        <v>243</v>
      </c>
      <c r="CL121" t="s">
        <v>243</v>
      </c>
      <c r="CM121" t="s">
        <v>243</v>
      </c>
      <c r="CN121" t="s">
        <v>2960</v>
      </c>
      <c r="CO121" t="s">
        <v>2843</v>
      </c>
      <c r="CP121" t="s">
        <v>2844</v>
      </c>
      <c r="CQ121" t="s">
        <v>430</v>
      </c>
      <c r="CR121" t="s">
        <v>2845</v>
      </c>
      <c r="CS121" t="s">
        <v>431</v>
      </c>
      <c r="CT121" t="s">
        <v>430</v>
      </c>
      <c r="CU121" t="s">
        <v>2846</v>
      </c>
      <c r="CV121" t="s">
        <v>2847</v>
      </c>
      <c r="CW121" t="s">
        <v>2845</v>
      </c>
      <c r="CX121" t="s">
        <v>2848</v>
      </c>
      <c r="CY121" t="s">
        <v>3966</v>
      </c>
    </row>
    <row r="122" spans="1:103" ht="11.25" customHeight="1">
      <c r="A122" t="s">
        <v>243</v>
      </c>
      <c r="B122" t="s">
        <v>243</v>
      </c>
      <c r="C122" t="s">
        <v>243</v>
      </c>
      <c r="D122" t="s">
        <v>243</v>
      </c>
      <c r="E122" t="s">
        <v>243</v>
      </c>
      <c r="F122" t="s">
        <v>2816</v>
      </c>
      <c r="G122" t="s">
        <v>243</v>
      </c>
      <c r="H122" t="s">
        <v>243</v>
      </c>
      <c r="I122" t="s">
        <v>3967</v>
      </c>
      <c r="J122" t="s">
        <v>243</v>
      </c>
      <c r="K122" t="s">
        <v>428</v>
      </c>
      <c r="L122" t="s">
        <v>243</v>
      </c>
      <c r="M122" t="s">
        <v>114</v>
      </c>
      <c r="N122" t="s">
        <v>243</v>
      </c>
      <c r="O122" t="s">
        <v>2819</v>
      </c>
      <c r="P122" t="s">
        <v>2820</v>
      </c>
      <c r="Q122" t="s">
        <v>2821</v>
      </c>
      <c r="R122" t="s">
        <v>200</v>
      </c>
      <c r="S122" t="s">
        <v>200</v>
      </c>
      <c r="T122" t="s">
        <v>2822</v>
      </c>
      <c r="U122" t="s">
        <v>2822</v>
      </c>
      <c r="V122" t="s">
        <v>2823</v>
      </c>
      <c r="W122" t="s">
        <v>3968</v>
      </c>
      <c r="X122" t="s">
        <v>3969</v>
      </c>
      <c r="Y122" t="s">
        <v>3970</v>
      </c>
      <c r="Z122" t="s">
        <v>3202</v>
      </c>
      <c r="AA122" t="s">
        <v>3971</v>
      </c>
      <c r="AB122" t="s">
        <v>3972</v>
      </c>
      <c r="AC122" t="s">
        <v>2829</v>
      </c>
      <c r="AD122" t="s">
        <v>2830</v>
      </c>
      <c r="AE122" t="s">
        <v>2831</v>
      </c>
      <c r="AF122" t="s">
        <v>3973</v>
      </c>
      <c r="AG122" t="s">
        <v>3974</v>
      </c>
      <c r="AH122" t="s">
        <v>2834</v>
      </c>
      <c r="AI122" t="s">
        <v>2887</v>
      </c>
      <c r="AJ122" t="s">
        <v>2960</v>
      </c>
      <c r="AK122" t="s">
        <v>3975</v>
      </c>
      <c r="AL122" t="s">
        <v>3971</v>
      </c>
      <c r="AM122" t="s">
        <v>3976</v>
      </c>
      <c r="AN122" t="s">
        <v>2829</v>
      </c>
      <c r="AO122" t="s">
        <v>2839</v>
      </c>
      <c r="AP122" t="s">
        <v>2840</v>
      </c>
      <c r="AQ122" t="s">
        <v>2841</v>
      </c>
      <c r="AR122" t="s">
        <v>3977</v>
      </c>
      <c r="AS122" t="s">
        <v>3978</v>
      </c>
      <c r="AT122" t="s">
        <v>3393</v>
      </c>
      <c r="AU122" t="s">
        <v>2829</v>
      </c>
      <c r="AV122" t="s">
        <v>2829</v>
      </c>
      <c r="AW122" t="s">
        <v>2829</v>
      </c>
      <c r="AX122" t="s">
        <v>2829</v>
      </c>
      <c r="AY122" t="s">
        <v>2829</v>
      </c>
      <c r="AZ122" t="s">
        <v>2829</v>
      </c>
      <c r="BA122" t="s">
        <v>2829</v>
      </c>
      <c r="BB122" t="s">
        <v>2829</v>
      </c>
      <c r="BC122" t="s">
        <v>2829</v>
      </c>
      <c r="BD122" t="s">
        <v>3979</v>
      </c>
      <c r="BE122" t="s">
        <v>3980</v>
      </c>
      <c r="BF122" t="s">
        <v>3393</v>
      </c>
      <c r="BG122" t="s">
        <v>243</v>
      </c>
      <c r="BH122" t="s">
        <v>243</v>
      </c>
      <c r="BI122" t="s">
        <v>243</v>
      </c>
      <c r="BJ122" t="s">
        <v>2829</v>
      </c>
      <c r="BK122" t="s">
        <v>243</v>
      </c>
      <c r="BL122" t="s">
        <v>243</v>
      </c>
      <c r="BM122" t="s">
        <v>243</v>
      </c>
      <c r="BN122" t="s">
        <v>243</v>
      </c>
      <c r="BO122" t="s">
        <v>243</v>
      </c>
      <c r="BP122" t="s">
        <v>3981</v>
      </c>
      <c r="BQ122" t="s">
        <v>3981</v>
      </c>
      <c r="BR122" t="s">
        <v>243</v>
      </c>
      <c r="BS122" t="s">
        <v>243</v>
      </c>
      <c r="BT122" t="s">
        <v>243</v>
      </c>
      <c r="BU122" t="s">
        <v>243</v>
      </c>
      <c r="BV122" t="s">
        <v>2829</v>
      </c>
      <c r="BW122" t="s">
        <v>243</v>
      </c>
      <c r="BX122" t="s">
        <v>243</v>
      </c>
      <c r="BY122" t="s">
        <v>243</v>
      </c>
      <c r="BZ122" t="s">
        <v>243</v>
      </c>
      <c r="CA122" t="s">
        <v>243</v>
      </c>
      <c r="CB122" t="s">
        <v>2829</v>
      </c>
      <c r="CC122" t="s">
        <v>243</v>
      </c>
      <c r="CD122" t="s">
        <v>243</v>
      </c>
      <c r="CE122" t="s">
        <v>243</v>
      </c>
      <c r="CF122" t="s">
        <v>243</v>
      </c>
      <c r="CG122" t="s">
        <v>243</v>
      </c>
      <c r="CH122" t="s">
        <v>2829</v>
      </c>
      <c r="CI122" t="s">
        <v>243</v>
      </c>
      <c r="CJ122" t="s">
        <v>243</v>
      </c>
      <c r="CK122" t="s">
        <v>243</v>
      </c>
      <c r="CL122" t="s">
        <v>243</v>
      </c>
      <c r="CM122" t="s">
        <v>243</v>
      </c>
      <c r="CN122" t="s">
        <v>2960</v>
      </c>
      <c r="CO122" t="s">
        <v>2843</v>
      </c>
      <c r="CP122" t="s">
        <v>2844</v>
      </c>
      <c r="CQ122" t="s">
        <v>430</v>
      </c>
      <c r="CR122" t="s">
        <v>2845</v>
      </c>
      <c r="CS122" t="s">
        <v>431</v>
      </c>
      <c r="CT122" t="s">
        <v>430</v>
      </c>
      <c r="CU122" t="s">
        <v>2846</v>
      </c>
      <c r="CV122" t="s">
        <v>2847</v>
      </c>
      <c r="CW122" t="s">
        <v>2845</v>
      </c>
      <c r="CX122" t="s">
        <v>2848</v>
      </c>
      <c r="CY122" t="s">
        <v>3982</v>
      </c>
    </row>
    <row r="123" spans="1:103" ht="11.25" customHeight="1">
      <c r="A123" t="s">
        <v>243</v>
      </c>
      <c r="B123" t="s">
        <v>243</v>
      </c>
      <c r="C123" t="s">
        <v>243</v>
      </c>
      <c r="D123" t="s">
        <v>243</v>
      </c>
      <c r="E123" t="s">
        <v>243</v>
      </c>
      <c r="F123" t="s">
        <v>2816</v>
      </c>
      <c r="G123" t="s">
        <v>243</v>
      </c>
      <c r="H123" t="s">
        <v>243</v>
      </c>
      <c r="I123" t="s">
        <v>3983</v>
      </c>
      <c r="J123" t="s">
        <v>243</v>
      </c>
      <c r="K123" t="s">
        <v>452</v>
      </c>
      <c r="L123" t="s">
        <v>243</v>
      </c>
      <c r="M123" t="s">
        <v>114</v>
      </c>
      <c r="N123" t="s">
        <v>243</v>
      </c>
      <c r="O123" t="s">
        <v>2819</v>
      </c>
      <c r="P123" t="s">
        <v>2820</v>
      </c>
      <c r="Q123" t="s">
        <v>2821</v>
      </c>
      <c r="R123" t="s">
        <v>200</v>
      </c>
      <c r="S123" t="s">
        <v>200</v>
      </c>
      <c r="T123" t="s">
        <v>2822</v>
      </c>
      <c r="U123" t="s">
        <v>2822</v>
      </c>
      <c r="V123" t="s">
        <v>2823</v>
      </c>
      <c r="W123" t="s">
        <v>3968</v>
      </c>
      <c r="X123" t="s">
        <v>3969</v>
      </c>
      <c r="Y123" t="s">
        <v>3984</v>
      </c>
      <c r="Z123" t="s">
        <v>2972</v>
      </c>
      <c r="AA123" t="s">
        <v>3798</v>
      </c>
      <c r="AB123" t="s">
        <v>3985</v>
      </c>
      <c r="AC123" t="s">
        <v>2829</v>
      </c>
      <c r="AD123" t="s">
        <v>2830</v>
      </c>
      <c r="AE123" t="s">
        <v>2831</v>
      </c>
      <c r="AF123" t="s">
        <v>3986</v>
      </c>
      <c r="AG123" t="s">
        <v>3987</v>
      </c>
      <c r="AH123" t="s">
        <v>2834</v>
      </c>
      <c r="AI123" t="s">
        <v>2835</v>
      </c>
      <c r="AJ123" t="s">
        <v>2960</v>
      </c>
      <c r="AK123" t="s">
        <v>3673</v>
      </c>
      <c r="AL123" t="s">
        <v>3798</v>
      </c>
      <c r="AM123" t="s">
        <v>3988</v>
      </c>
      <c r="AN123" t="s">
        <v>2829</v>
      </c>
      <c r="AO123" t="s">
        <v>2839</v>
      </c>
      <c r="AP123" t="s">
        <v>2840</v>
      </c>
      <c r="AQ123" t="s">
        <v>2841</v>
      </c>
      <c r="AR123" t="s">
        <v>3989</v>
      </c>
      <c r="AS123" t="s">
        <v>3989</v>
      </c>
      <c r="AT123" t="s">
        <v>2829</v>
      </c>
      <c r="AU123" t="s">
        <v>2829</v>
      </c>
      <c r="AV123" t="s">
        <v>2829</v>
      </c>
      <c r="AW123" t="s">
        <v>2829</v>
      </c>
      <c r="AX123" t="s">
        <v>2829</v>
      </c>
      <c r="AY123" t="s">
        <v>2829</v>
      </c>
      <c r="AZ123" t="s">
        <v>2829</v>
      </c>
      <c r="BA123" t="s">
        <v>2829</v>
      </c>
      <c r="BB123" t="s">
        <v>2829</v>
      </c>
      <c r="BC123" t="s">
        <v>2829</v>
      </c>
      <c r="BD123" t="s">
        <v>3989</v>
      </c>
      <c r="BE123" t="s">
        <v>3989</v>
      </c>
      <c r="BF123" t="s">
        <v>243</v>
      </c>
      <c r="BG123" t="s">
        <v>243</v>
      </c>
      <c r="BH123" t="s">
        <v>243</v>
      </c>
      <c r="BI123" t="s">
        <v>243</v>
      </c>
      <c r="BJ123" t="s">
        <v>2829</v>
      </c>
      <c r="BK123" t="s">
        <v>243</v>
      </c>
      <c r="BL123" t="s">
        <v>243</v>
      </c>
      <c r="BM123" t="s">
        <v>243</v>
      </c>
      <c r="BN123" t="s">
        <v>243</v>
      </c>
      <c r="BO123" t="s">
        <v>243</v>
      </c>
      <c r="BP123" t="s">
        <v>2829</v>
      </c>
      <c r="BQ123" t="s">
        <v>243</v>
      </c>
      <c r="BR123" t="s">
        <v>243</v>
      </c>
      <c r="BS123" t="s">
        <v>243</v>
      </c>
      <c r="BT123" t="s">
        <v>243</v>
      </c>
      <c r="BU123" t="s">
        <v>243</v>
      </c>
      <c r="BV123" t="s">
        <v>2829</v>
      </c>
      <c r="BW123" t="s">
        <v>243</v>
      </c>
      <c r="BX123" t="s">
        <v>243</v>
      </c>
      <c r="BY123" t="s">
        <v>243</v>
      </c>
      <c r="BZ123" t="s">
        <v>243</v>
      </c>
      <c r="CA123" t="s">
        <v>243</v>
      </c>
      <c r="CB123" t="s">
        <v>2829</v>
      </c>
      <c r="CC123" t="s">
        <v>243</v>
      </c>
      <c r="CD123" t="s">
        <v>243</v>
      </c>
      <c r="CE123" t="s">
        <v>243</v>
      </c>
      <c r="CF123" t="s">
        <v>243</v>
      </c>
      <c r="CG123" t="s">
        <v>243</v>
      </c>
      <c r="CH123" t="s">
        <v>2829</v>
      </c>
      <c r="CI123" t="s">
        <v>243</v>
      </c>
      <c r="CJ123" t="s">
        <v>243</v>
      </c>
      <c r="CK123" t="s">
        <v>243</v>
      </c>
      <c r="CL123" t="s">
        <v>243</v>
      </c>
      <c r="CM123" t="s">
        <v>243</v>
      </c>
      <c r="CN123" t="s">
        <v>2960</v>
      </c>
      <c r="CO123" t="s">
        <v>2843</v>
      </c>
      <c r="CP123" t="s">
        <v>2844</v>
      </c>
      <c r="CQ123" t="s">
        <v>430</v>
      </c>
      <c r="CR123" t="s">
        <v>2845</v>
      </c>
      <c r="CS123" t="s">
        <v>431</v>
      </c>
      <c r="CT123" t="s">
        <v>430</v>
      </c>
      <c r="CU123" t="s">
        <v>2846</v>
      </c>
      <c r="CV123" t="s">
        <v>2847</v>
      </c>
      <c r="CW123" t="s">
        <v>2845</v>
      </c>
      <c r="CX123" t="s">
        <v>2848</v>
      </c>
      <c r="CY123" t="s">
        <v>3990</v>
      </c>
    </row>
    <row r="124" spans="1:103" ht="11.25" customHeight="1">
      <c r="A124" t="s">
        <v>243</v>
      </c>
      <c r="B124" t="s">
        <v>243</v>
      </c>
      <c r="C124" t="s">
        <v>243</v>
      </c>
      <c r="D124" t="s">
        <v>243</v>
      </c>
      <c r="E124" t="s">
        <v>243</v>
      </c>
      <c r="F124" t="s">
        <v>2816</v>
      </c>
      <c r="G124" t="s">
        <v>243</v>
      </c>
      <c r="H124" t="s">
        <v>243</v>
      </c>
      <c r="I124" t="s">
        <v>341</v>
      </c>
      <c r="J124" t="s">
        <v>243</v>
      </c>
      <c r="K124" t="s">
        <v>3991</v>
      </c>
      <c r="L124" t="s">
        <v>243</v>
      </c>
      <c r="M124" t="s">
        <v>114</v>
      </c>
      <c r="N124" t="s">
        <v>243</v>
      </c>
      <c r="O124" t="s">
        <v>2819</v>
      </c>
      <c r="P124" t="s">
        <v>2820</v>
      </c>
      <c r="Q124" t="s">
        <v>2821</v>
      </c>
      <c r="R124" t="s">
        <v>200</v>
      </c>
      <c r="S124" t="s">
        <v>200</v>
      </c>
      <c r="T124" t="s">
        <v>3282</v>
      </c>
      <c r="U124" t="s">
        <v>3282</v>
      </c>
      <c r="V124" t="s">
        <v>3283</v>
      </c>
      <c r="W124" t="s">
        <v>3284</v>
      </c>
      <c r="X124" t="s">
        <v>3285</v>
      </c>
      <c r="Y124" t="s">
        <v>3992</v>
      </c>
      <c r="Z124" t="s">
        <v>457</v>
      </c>
      <c r="AA124" t="s">
        <v>3993</v>
      </c>
      <c r="AB124" t="s">
        <v>3994</v>
      </c>
      <c r="AC124" t="s">
        <v>2829</v>
      </c>
      <c r="AD124" t="s">
        <v>2883</v>
      </c>
      <c r="AE124" t="s">
        <v>2975</v>
      </c>
      <c r="AF124" t="s">
        <v>3995</v>
      </c>
      <c r="AG124" t="s">
        <v>3290</v>
      </c>
      <c r="AH124" t="s">
        <v>2834</v>
      </c>
      <c r="AI124" t="s">
        <v>2887</v>
      </c>
      <c r="AJ124" t="s">
        <v>2888</v>
      </c>
      <c r="AK124" t="s">
        <v>3949</v>
      </c>
      <c r="AL124" t="s">
        <v>3993</v>
      </c>
      <c r="AM124" t="s">
        <v>3994</v>
      </c>
      <c r="AN124" t="s">
        <v>2829</v>
      </c>
      <c r="AO124" t="s">
        <v>2839</v>
      </c>
      <c r="AP124" t="s">
        <v>2840</v>
      </c>
      <c r="AQ124" t="s">
        <v>2841</v>
      </c>
      <c r="AR124" t="s">
        <v>3996</v>
      </c>
      <c r="AS124" t="s">
        <v>3997</v>
      </c>
      <c r="AT124" t="s">
        <v>3998</v>
      </c>
      <c r="AU124" t="s">
        <v>3999</v>
      </c>
      <c r="AV124" t="s">
        <v>4000</v>
      </c>
      <c r="AW124" t="s">
        <v>2829</v>
      </c>
      <c r="AX124" t="s">
        <v>2829</v>
      </c>
      <c r="AY124" t="s">
        <v>2829</v>
      </c>
      <c r="AZ124" t="s">
        <v>2829</v>
      </c>
      <c r="BA124" t="s">
        <v>2829</v>
      </c>
      <c r="BB124" t="s">
        <v>2829</v>
      </c>
      <c r="BC124" t="s">
        <v>2829</v>
      </c>
      <c r="BD124" t="s">
        <v>4001</v>
      </c>
      <c r="BE124" t="s">
        <v>4002</v>
      </c>
      <c r="BF124" t="s">
        <v>4003</v>
      </c>
      <c r="BG124" t="s">
        <v>4004</v>
      </c>
      <c r="BH124" t="s">
        <v>4000</v>
      </c>
      <c r="BI124" t="s">
        <v>243</v>
      </c>
      <c r="BJ124" t="s">
        <v>2829</v>
      </c>
      <c r="BK124" t="s">
        <v>243</v>
      </c>
      <c r="BL124" t="s">
        <v>243</v>
      </c>
      <c r="BM124" t="s">
        <v>243</v>
      </c>
      <c r="BN124" t="s">
        <v>243</v>
      </c>
      <c r="BO124" t="s">
        <v>243</v>
      </c>
      <c r="BP124" t="s">
        <v>4005</v>
      </c>
      <c r="BQ124" t="s">
        <v>4006</v>
      </c>
      <c r="BR124" t="s">
        <v>4007</v>
      </c>
      <c r="BS124" t="s">
        <v>4008</v>
      </c>
      <c r="BT124" t="s">
        <v>243</v>
      </c>
      <c r="BU124" t="s">
        <v>243</v>
      </c>
      <c r="BV124" t="s">
        <v>2829</v>
      </c>
      <c r="BW124" t="s">
        <v>243</v>
      </c>
      <c r="BX124" t="s">
        <v>243</v>
      </c>
      <c r="BY124" t="s">
        <v>243</v>
      </c>
      <c r="BZ124" t="s">
        <v>243</v>
      </c>
      <c r="CA124" t="s">
        <v>243</v>
      </c>
      <c r="CB124" t="s">
        <v>2829</v>
      </c>
      <c r="CC124" t="s">
        <v>243</v>
      </c>
      <c r="CD124" t="s">
        <v>243</v>
      </c>
      <c r="CE124" t="s">
        <v>243</v>
      </c>
      <c r="CF124" t="s">
        <v>243</v>
      </c>
      <c r="CG124" t="s">
        <v>243</v>
      </c>
      <c r="CH124" t="s">
        <v>2829</v>
      </c>
      <c r="CI124" t="s">
        <v>243</v>
      </c>
      <c r="CJ124" t="s">
        <v>243</v>
      </c>
      <c r="CK124" t="s">
        <v>243</v>
      </c>
      <c r="CL124" t="s">
        <v>243</v>
      </c>
      <c r="CM124" t="s">
        <v>243</v>
      </c>
      <c r="CN124" t="s">
        <v>2888</v>
      </c>
      <c r="CO124" t="s">
        <v>2843</v>
      </c>
      <c r="CP124" t="s">
        <v>2844</v>
      </c>
      <c r="CQ124" t="s">
        <v>430</v>
      </c>
      <c r="CR124" t="s">
        <v>3297</v>
      </c>
      <c r="CS124" t="s">
        <v>431</v>
      </c>
      <c r="CT124" t="s">
        <v>430</v>
      </c>
      <c r="CU124" t="s">
        <v>341</v>
      </c>
      <c r="CV124" t="s">
        <v>2900</v>
      </c>
      <c r="CW124" t="s">
        <v>3297</v>
      </c>
      <c r="CX124" t="s">
        <v>2848</v>
      </c>
      <c r="CY124" t="s">
        <v>4009</v>
      </c>
    </row>
    <row r="125" spans="1:103" ht="11.25" customHeight="1">
      <c r="A125" t="s">
        <v>243</v>
      </c>
      <c r="B125" t="s">
        <v>243</v>
      </c>
      <c r="C125" t="s">
        <v>243</v>
      </c>
      <c r="D125" t="s">
        <v>243</v>
      </c>
      <c r="E125" t="s">
        <v>243</v>
      </c>
      <c r="F125" t="s">
        <v>2816</v>
      </c>
      <c r="G125" t="s">
        <v>243</v>
      </c>
      <c r="H125" t="s">
        <v>243</v>
      </c>
      <c r="I125" t="s">
        <v>879</v>
      </c>
      <c r="J125" t="s">
        <v>243</v>
      </c>
      <c r="K125" t="s">
        <v>3233</v>
      </c>
      <c r="L125" t="s">
        <v>243</v>
      </c>
      <c r="M125" t="s">
        <v>114</v>
      </c>
      <c r="N125" t="s">
        <v>243</v>
      </c>
      <c r="O125" t="s">
        <v>2819</v>
      </c>
      <c r="P125" t="s">
        <v>2820</v>
      </c>
      <c r="Q125" t="s">
        <v>2821</v>
      </c>
      <c r="R125" t="s">
        <v>200</v>
      </c>
      <c r="S125" t="s">
        <v>200</v>
      </c>
      <c r="T125" t="s">
        <v>2822</v>
      </c>
      <c r="U125" t="s">
        <v>2822</v>
      </c>
      <c r="V125" t="s">
        <v>2823</v>
      </c>
      <c r="W125" t="s">
        <v>3225</v>
      </c>
      <c r="X125" t="s">
        <v>3226</v>
      </c>
      <c r="Y125" t="s">
        <v>2826</v>
      </c>
      <c r="Z125" t="s">
        <v>3434</v>
      </c>
      <c r="AA125" t="s">
        <v>2966</v>
      </c>
      <c r="AB125" t="s">
        <v>4010</v>
      </c>
      <c r="AC125" t="s">
        <v>2829</v>
      </c>
      <c r="AD125" t="s">
        <v>2830</v>
      </c>
      <c r="AE125" t="s">
        <v>2831</v>
      </c>
      <c r="AF125" t="s">
        <v>4011</v>
      </c>
      <c r="AG125" t="s">
        <v>4012</v>
      </c>
      <c r="AH125" t="s">
        <v>2834</v>
      </c>
      <c r="AI125" t="s">
        <v>2835</v>
      </c>
      <c r="AJ125" t="s">
        <v>2960</v>
      </c>
      <c r="AK125" t="s">
        <v>3325</v>
      </c>
      <c r="AL125" t="s">
        <v>2966</v>
      </c>
      <c r="AM125" t="s">
        <v>4013</v>
      </c>
      <c r="AN125" t="s">
        <v>2829</v>
      </c>
      <c r="AO125" t="s">
        <v>2839</v>
      </c>
      <c r="AP125" t="s">
        <v>2840</v>
      </c>
      <c r="AQ125" t="s">
        <v>2841</v>
      </c>
      <c r="AR125" t="s">
        <v>4014</v>
      </c>
      <c r="AS125" t="s">
        <v>4014</v>
      </c>
      <c r="AT125" t="s">
        <v>2829</v>
      </c>
      <c r="AU125" t="s">
        <v>2829</v>
      </c>
      <c r="AV125" t="s">
        <v>2829</v>
      </c>
      <c r="AW125" t="s">
        <v>2829</v>
      </c>
      <c r="AX125" t="s">
        <v>2829</v>
      </c>
      <c r="AY125" t="s">
        <v>2829</v>
      </c>
      <c r="AZ125" t="s">
        <v>2829</v>
      </c>
      <c r="BA125" t="s">
        <v>2829</v>
      </c>
      <c r="BB125" t="s">
        <v>2829</v>
      </c>
      <c r="BC125" t="s">
        <v>2829</v>
      </c>
      <c r="BD125" t="s">
        <v>2829</v>
      </c>
      <c r="BE125" t="s">
        <v>243</v>
      </c>
      <c r="BF125" t="s">
        <v>243</v>
      </c>
      <c r="BG125" t="s">
        <v>243</v>
      </c>
      <c r="BH125" t="s">
        <v>243</v>
      </c>
      <c r="BI125" t="s">
        <v>243</v>
      </c>
      <c r="BJ125" t="s">
        <v>2829</v>
      </c>
      <c r="BK125" t="s">
        <v>243</v>
      </c>
      <c r="BL125" t="s">
        <v>243</v>
      </c>
      <c r="BM125" t="s">
        <v>243</v>
      </c>
      <c r="BN125" t="s">
        <v>243</v>
      </c>
      <c r="BO125" t="s">
        <v>243</v>
      </c>
      <c r="BP125" t="s">
        <v>2829</v>
      </c>
      <c r="BQ125" t="s">
        <v>243</v>
      </c>
      <c r="BR125" t="s">
        <v>243</v>
      </c>
      <c r="BS125" t="s">
        <v>243</v>
      </c>
      <c r="BT125" t="s">
        <v>243</v>
      </c>
      <c r="BU125" t="s">
        <v>243</v>
      </c>
      <c r="BV125" t="s">
        <v>2829</v>
      </c>
      <c r="BW125" t="s">
        <v>243</v>
      </c>
      <c r="BX125" t="s">
        <v>243</v>
      </c>
      <c r="BY125" t="s">
        <v>243</v>
      </c>
      <c r="BZ125" t="s">
        <v>243</v>
      </c>
      <c r="CA125" t="s">
        <v>243</v>
      </c>
      <c r="CB125" t="s">
        <v>4014</v>
      </c>
      <c r="CC125" t="s">
        <v>4014</v>
      </c>
      <c r="CD125" t="s">
        <v>243</v>
      </c>
      <c r="CE125" t="s">
        <v>243</v>
      </c>
      <c r="CF125" t="s">
        <v>243</v>
      </c>
      <c r="CG125" t="s">
        <v>243</v>
      </c>
      <c r="CH125" t="s">
        <v>2829</v>
      </c>
      <c r="CI125" t="s">
        <v>243</v>
      </c>
      <c r="CJ125" t="s">
        <v>243</v>
      </c>
      <c r="CK125" t="s">
        <v>243</v>
      </c>
      <c r="CL125" t="s">
        <v>243</v>
      </c>
      <c r="CM125" t="s">
        <v>243</v>
      </c>
      <c r="CN125" t="s">
        <v>2960</v>
      </c>
      <c r="CO125" t="s">
        <v>2843</v>
      </c>
      <c r="CP125" t="s">
        <v>2844</v>
      </c>
      <c r="CQ125" t="s">
        <v>430</v>
      </c>
      <c r="CR125" t="s">
        <v>2845</v>
      </c>
      <c r="CS125" t="s">
        <v>431</v>
      </c>
      <c r="CT125" t="s">
        <v>430</v>
      </c>
      <c r="CU125" t="s">
        <v>2846</v>
      </c>
      <c r="CV125" t="s">
        <v>2847</v>
      </c>
      <c r="CW125" t="s">
        <v>2845</v>
      </c>
      <c r="CX125" t="s">
        <v>2848</v>
      </c>
      <c r="CY125" t="s">
        <v>4015</v>
      </c>
    </row>
    <row r="126" spans="1:103" ht="11.25" customHeight="1">
      <c r="A126" t="s">
        <v>243</v>
      </c>
      <c r="B126" t="s">
        <v>243</v>
      </c>
      <c r="C126" t="s">
        <v>243</v>
      </c>
      <c r="D126" t="s">
        <v>243</v>
      </c>
      <c r="E126" t="s">
        <v>243</v>
      </c>
      <c r="F126" t="s">
        <v>2816</v>
      </c>
      <c r="G126" t="s">
        <v>243</v>
      </c>
      <c r="H126" t="s">
        <v>243</v>
      </c>
      <c r="I126" t="s">
        <v>902</v>
      </c>
      <c r="J126" t="s">
        <v>243</v>
      </c>
      <c r="K126" t="s">
        <v>428</v>
      </c>
      <c r="L126" t="s">
        <v>243</v>
      </c>
      <c r="M126" t="s">
        <v>114</v>
      </c>
      <c r="N126" t="s">
        <v>243</v>
      </c>
      <c r="O126" t="s">
        <v>2819</v>
      </c>
      <c r="P126" t="s">
        <v>2820</v>
      </c>
      <c r="Q126" t="s">
        <v>2821</v>
      </c>
      <c r="R126" t="s">
        <v>200</v>
      </c>
      <c r="S126" t="s">
        <v>200</v>
      </c>
      <c r="T126" t="s">
        <v>2822</v>
      </c>
      <c r="U126" t="s">
        <v>2822</v>
      </c>
      <c r="V126" t="s">
        <v>2823</v>
      </c>
      <c r="W126" t="s">
        <v>3190</v>
      </c>
      <c r="X126" t="s">
        <v>3191</v>
      </c>
      <c r="Y126" t="s">
        <v>4016</v>
      </c>
      <c r="Z126" t="s">
        <v>460</v>
      </c>
      <c r="AA126" t="s">
        <v>3359</v>
      </c>
      <c r="AB126" t="s">
        <v>4017</v>
      </c>
      <c r="AC126" t="s">
        <v>2829</v>
      </c>
      <c r="AD126" t="s">
        <v>2830</v>
      </c>
      <c r="AE126" t="s">
        <v>2831</v>
      </c>
      <c r="AF126" t="s">
        <v>4018</v>
      </c>
      <c r="AG126" t="s">
        <v>4019</v>
      </c>
      <c r="AH126" t="s">
        <v>2834</v>
      </c>
      <c r="AI126" t="s">
        <v>2835</v>
      </c>
      <c r="AJ126" t="s">
        <v>2960</v>
      </c>
      <c r="AK126" t="s">
        <v>3856</v>
      </c>
      <c r="AL126" t="s">
        <v>3359</v>
      </c>
      <c r="AM126" t="s">
        <v>3039</v>
      </c>
      <c r="AN126" t="s">
        <v>2829</v>
      </c>
      <c r="AO126" t="s">
        <v>2839</v>
      </c>
      <c r="AP126" t="s">
        <v>2840</v>
      </c>
      <c r="AQ126" t="s">
        <v>2841</v>
      </c>
      <c r="AR126" t="s">
        <v>3303</v>
      </c>
      <c r="AS126" t="s">
        <v>3303</v>
      </c>
      <c r="AT126" t="s">
        <v>2829</v>
      </c>
      <c r="AU126" t="s">
        <v>2829</v>
      </c>
      <c r="AV126" t="s">
        <v>2829</v>
      </c>
      <c r="AW126" t="s">
        <v>2829</v>
      </c>
      <c r="AX126" t="s">
        <v>2829</v>
      </c>
      <c r="AY126" t="s">
        <v>2829</v>
      </c>
      <c r="AZ126" t="s">
        <v>2829</v>
      </c>
      <c r="BA126" t="s">
        <v>2829</v>
      </c>
      <c r="BB126" t="s">
        <v>2829</v>
      </c>
      <c r="BC126" t="s">
        <v>2829</v>
      </c>
      <c r="BD126" t="s">
        <v>2842</v>
      </c>
      <c r="BE126" t="s">
        <v>2842</v>
      </c>
      <c r="BF126" t="s">
        <v>243</v>
      </c>
      <c r="BG126" t="s">
        <v>243</v>
      </c>
      <c r="BH126" t="s">
        <v>243</v>
      </c>
      <c r="BI126" t="s">
        <v>243</v>
      </c>
      <c r="BJ126" t="s">
        <v>2829</v>
      </c>
      <c r="BK126" t="s">
        <v>243</v>
      </c>
      <c r="BL126" t="s">
        <v>243</v>
      </c>
      <c r="BM126" t="s">
        <v>243</v>
      </c>
      <c r="BN126" t="s">
        <v>243</v>
      </c>
      <c r="BO126" t="s">
        <v>243</v>
      </c>
      <c r="BP126" t="s">
        <v>2829</v>
      </c>
      <c r="BQ126" t="s">
        <v>243</v>
      </c>
      <c r="BR126" t="s">
        <v>243</v>
      </c>
      <c r="BS126" t="s">
        <v>243</v>
      </c>
      <c r="BT126" t="s">
        <v>243</v>
      </c>
      <c r="BU126" t="s">
        <v>243</v>
      </c>
      <c r="BV126" t="s">
        <v>2829</v>
      </c>
      <c r="BW126" t="s">
        <v>243</v>
      </c>
      <c r="BX126" t="s">
        <v>243</v>
      </c>
      <c r="BY126" t="s">
        <v>243</v>
      </c>
      <c r="BZ126" t="s">
        <v>243</v>
      </c>
      <c r="CA126" t="s">
        <v>243</v>
      </c>
      <c r="CB126" t="s">
        <v>3073</v>
      </c>
      <c r="CC126" t="s">
        <v>3073</v>
      </c>
      <c r="CD126" t="s">
        <v>243</v>
      </c>
      <c r="CE126" t="s">
        <v>243</v>
      </c>
      <c r="CF126" t="s">
        <v>243</v>
      </c>
      <c r="CG126" t="s">
        <v>243</v>
      </c>
      <c r="CH126" t="s">
        <v>2829</v>
      </c>
      <c r="CI126" t="s">
        <v>243</v>
      </c>
      <c r="CJ126" t="s">
        <v>243</v>
      </c>
      <c r="CK126" t="s">
        <v>243</v>
      </c>
      <c r="CL126" t="s">
        <v>243</v>
      </c>
      <c r="CM126" t="s">
        <v>243</v>
      </c>
      <c r="CN126" t="s">
        <v>2960</v>
      </c>
      <c r="CO126" t="s">
        <v>2843</v>
      </c>
      <c r="CP126" t="s">
        <v>2844</v>
      </c>
      <c r="CQ126" t="s">
        <v>430</v>
      </c>
      <c r="CR126" t="s">
        <v>2845</v>
      </c>
      <c r="CS126" t="s">
        <v>431</v>
      </c>
      <c r="CT126" t="s">
        <v>430</v>
      </c>
      <c r="CU126" t="s">
        <v>2846</v>
      </c>
      <c r="CV126" t="s">
        <v>2847</v>
      </c>
      <c r="CW126" t="s">
        <v>2845</v>
      </c>
      <c r="CX126" t="s">
        <v>2848</v>
      </c>
      <c r="CY126" t="s">
        <v>4020</v>
      </c>
    </row>
    <row r="127" spans="1:103" ht="11.25" customHeight="1">
      <c r="A127" t="s">
        <v>243</v>
      </c>
      <c r="B127" t="s">
        <v>243</v>
      </c>
      <c r="C127" t="s">
        <v>243</v>
      </c>
      <c r="D127" t="s">
        <v>243</v>
      </c>
      <c r="E127" t="s">
        <v>243</v>
      </c>
      <c r="F127" t="s">
        <v>2816</v>
      </c>
      <c r="G127" t="s">
        <v>243</v>
      </c>
      <c r="H127" t="s">
        <v>243</v>
      </c>
      <c r="I127" t="s">
        <v>907</v>
      </c>
      <c r="J127" t="s">
        <v>243</v>
      </c>
      <c r="K127" t="s">
        <v>455</v>
      </c>
      <c r="L127" t="s">
        <v>243</v>
      </c>
      <c r="M127" t="s">
        <v>114</v>
      </c>
      <c r="N127" t="s">
        <v>243</v>
      </c>
      <c r="O127" t="s">
        <v>2819</v>
      </c>
      <c r="P127" t="s">
        <v>2820</v>
      </c>
      <c r="Q127" t="s">
        <v>2821</v>
      </c>
      <c r="R127" t="s">
        <v>200</v>
      </c>
      <c r="S127" t="s">
        <v>200</v>
      </c>
      <c r="T127" t="s">
        <v>2822</v>
      </c>
      <c r="U127" t="s">
        <v>2822</v>
      </c>
      <c r="V127" t="s">
        <v>2823</v>
      </c>
      <c r="W127" t="s">
        <v>3190</v>
      </c>
      <c r="X127" t="s">
        <v>3191</v>
      </c>
      <c r="Y127" t="s">
        <v>4021</v>
      </c>
      <c r="Z127" t="s">
        <v>448</v>
      </c>
      <c r="AA127" t="s">
        <v>4022</v>
      </c>
      <c r="AB127" t="s">
        <v>2907</v>
      </c>
      <c r="AC127" t="s">
        <v>2829</v>
      </c>
      <c r="AD127" t="s">
        <v>2830</v>
      </c>
      <c r="AE127" t="s">
        <v>2831</v>
      </c>
      <c r="AF127" t="s">
        <v>4023</v>
      </c>
      <c r="AG127" t="s">
        <v>4024</v>
      </c>
      <c r="AH127" t="s">
        <v>2834</v>
      </c>
      <c r="AI127" t="s">
        <v>2835</v>
      </c>
      <c r="AJ127" t="s">
        <v>2960</v>
      </c>
      <c r="AK127" t="s">
        <v>4025</v>
      </c>
      <c r="AL127" t="s">
        <v>4022</v>
      </c>
      <c r="AM127" t="s">
        <v>3143</v>
      </c>
      <c r="AN127" t="s">
        <v>2829</v>
      </c>
      <c r="AO127" t="s">
        <v>2839</v>
      </c>
      <c r="AP127" t="s">
        <v>2840</v>
      </c>
      <c r="AQ127" t="s">
        <v>2841</v>
      </c>
      <c r="AR127" t="s">
        <v>4026</v>
      </c>
      <c r="AS127" t="s">
        <v>4026</v>
      </c>
      <c r="AT127" t="s">
        <v>2829</v>
      </c>
      <c r="AU127" t="s">
        <v>2829</v>
      </c>
      <c r="AV127" t="s">
        <v>2829</v>
      </c>
      <c r="AW127" t="s">
        <v>2829</v>
      </c>
      <c r="AX127" t="s">
        <v>2829</v>
      </c>
      <c r="AY127" t="s">
        <v>2829</v>
      </c>
      <c r="AZ127" t="s">
        <v>2829</v>
      </c>
      <c r="BA127" t="s">
        <v>2829</v>
      </c>
      <c r="BB127" t="s">
        <v>2829</v>
      </c>
      <c r="BC127" t="s">
        <v>2829</v>
      </c>
      <c r="BD127" t="s">
        <v>2829</v>
      </c>
      <c r="BE127" t="s">
        <v>243</v>
      </c>
      <c r="BF127" t="s">
        <v>243</v>
      </c>
      <c r="BG127" t="s">
        <v>243</v>
      </c>
      <c r="BH127" t="s">
        <v>243</v>
      </c>
      <c r="BI127" t="s">
        <v>243</v>
      </c>
      <c r="BJ127" t="s">
        <v>2829</v>
      </c>
      <c r="BK127" t="s">
        <v>243</v>
      </c>
      <c r="BL127" t="s">
        <v>243</v>
      </c>
      <c r="BM127" t="s">
        <v>243</v>
      </c>
      <c r="BN127" t="s">
        <v>243</v>
      </c>
      <c r="BO127" t="s">
        <v>243</v>
      </c>
      <c r="BP127" t="s">
        <v>2829</v>
      </c>
      <c r="BQ127" t="s">
        <v>243</v>
      </c>
      <c r="BR127" t="s">
        <v>243</v>
      </c>
      <c r="BS127" t="s">
        <v>243</v>
      </c>
      <c r="BT127" t="s">
        <v>243</v>
      </c>
      <c r="BU127" t="s">
        <v>243</v>
      </c>
      <c r="BV127" t="s">
        <v>2829</v>
      </c>
      <c r="BW127" t="s">
        <v>243</v>
      </c>
      <c r="BX127" t="s">
        <v>243</v>
      </c>
      <c r="BY127" t="s">
        <v>243</v>
      </c>
      <c r="BZ127" t="s">
        <v>243</v>
      </c>
      <c r="CA127" t="s">
        <v>243</v>
      </c>
      <c r="CB127" t="s">
        <v>4026</v>
      </c>
      <c r="CC127" t="s">
        <v>4026</v>
      </c>
      <c r="CD127" t="s">
        <v>243</v>
      </c>
      <c r="CE127" t="s">
        <v>243</v>
      </c>
      <c r="CF127" t="s">
        <v>243</v>
      </c>
      <c r="CG127" t="s">
        <v>243</v>
      </c>
      <c r="CH127" t="s">
        <v>2829</v>
      </c>
      <c r="CI127" t="s">
        <v>243</v>
      </c>
      <c r="CJ127" t="s">
        <v>243</v>
      </c>
      <c r="CK127" t="s">
        <v>243</v>
      </c>
      <c r="CL127" t="s">
        <v>243</v>
      </c>
      <c r="CM127" t="s">
        <v>243</v>
      </c>
      <c r="CN127" t="s">
        <v>2960</v>
      </c>
      <c r="CO127" t="s">
        <v>2843</v>
      </c>
      <c r="CP127" t="s">
        <v>2844</v>
      </c>
      <c r="CQ127" t="s">
        <v>430</v>
      </c>
      <c r="CR127" t="s">
        <v>2845</v>
      </c>
      <c r="CS127" t="s">
        <v>431</v>
      </c>
      <c r="CT127" t="s">
        <v>430</v>
      </c>
      <c r="CU127" t="s">
        <v>2846</v>
      </c>
      <c r="CV127" t="s">
        <v>2847</v>
      </c>
      <c r="CW127" t="s">
        <v>2845</v>
      </c>
      <c r="CX127" t="s">
        <v>2848</v>
      </c>
      <c r="CY127" t="s">
        <v>4027</v>
      </c>
    </row>
    <row r="128" spans="1:103" ht="11.25" customHeight="1">
      <c r="A128" t="s">
        <v>243</v>
      </c>
      <c r="B128" t="s">
        <v>243</v>
      </c>
      <c r="C128" t="s">
        <v>243</v>
      </c>
      <c r="D128" t="s">
        <v>243</v>
      </c>
      <c r="E128" t="s">
        <v>243</v>
      </c>
      <c r="F128" t="s">
        <v>2816</v>
      </c>
      <c r="G128" t="s">
        <v>243</v>
      </c>
      <c r="H128" t="s">
        <v>243</v>
      </c>
      <c r="I128" t="s">
        <v>4028</v>
      </c>
      <c r="J128" t="s">
        <v>243</v>
      </c>
      <c r="K128" t="s">
        <v>2818</v>
      </c>
      <c r="L128" t="s">
        <v>243</v>
      </c>
      <c r="M128" t="s">
        <v>114</v>
      </c>
      <c r="N128" t="s">
        <v>243</v>
      </c>
      <c r="O128" t="s">
        <v>2819</v>
      </c>
      <c r="P128" t="s">
        <v>2820</v>
      </c>
      <c r="Q128" t="s">
        <v>2821</v>
      </c>
      <c r="R128" t="s">
        <v>200</v>
      </c>
      <c r="S128" t="s">
        <v>200</v>
      </c>
      <c r="T128" t="s">
        <v>2822</v>
      </c>
      <c r="U128" t="s">
        <v>2822</v>
      </c>
      <c r="V128" t="s">
        <v>2823</v>
      </c>
      <c r="W128" t="s">
        <v>2911</v>
      </c>
      <c r="X128" t="s">
        <v>2912</v>
      </c>
      <c r="Y128" t="s">
        <v>2918</v>
      </c>
      <c r="Z128" t="s">
        <v>463</v>
      </c>
      <c r="AA128" t="s">
        <v>3228</v>
      </c>
      <c r="AB128" t="s">
        <v>4029</v>
      </c>
      <c r="AC128" t="s">
        <v>2829</v>
      </c>
      <c r="AD128" t="s">
        <v>2830</v>
      </c>
      <c r="AE128" t="s">
        <v>2831</v>
      </c>
      <c r="AF128" t="s">
        <v>4030</v>
      </c>
      <c r="AG128" t="s">
        <v>2833</v>
      </c>
      <c r="AH128" t="s">
        <v>2834</v>
      </c>
      <c r="AI128" t="s">
        <v>2835</v>
      </c>
      <c r="AJ128" t="s">
        <v>2836</v>
      </c>
      <c r="AK128" t="s">
        <v>2837</v>
      </c>
      <c r="AL128" t="s">
        <v>3228</v>
      </c>
      <c r="AM128" t="s">
        <v>3688</v>
      </c>
      <c r="AN128" t="s">
        <v>2829</v>
      </c>
      <c r="AO128" t="s">
        <v>2839</v>
      </c>
      <c r="AP128" t="s">
        <v>2840</v>
      </c>
      <c r="AQ128" t="s">
        <v>2841</v>
      </c>
      <c r="AR128" t="s">
        <v>2842</v>
      </c>
      <c r="AS128" t="s">
        <v>2842</v>
      </c>
      <c r="AT128" t="s">
        <v>2829</v>
      </c>
      <c r="AU128" t="s">
        <v>2829</v>
      </c>
      <c r="AV128" t="s">
        <v>2829</v>
      </c>
      <c r="AW128" t="s">
        <v>2829</v>
      </c>
      <c r="AX128" t="s">
        <v>2829</v>
      </c>
      <c r="AY128" t="s">
        <v>2829</v>
      </c>
      <c r="AZ128" t="s">
        <v>2829</v>
      </c>
      <c r="BA128" t="s">
        <v>2829</v>
      </c>
      <c r="BB128" t="s">
        <v>2829</v>
      </c>
      <c r="BC128" t="s">
        <v>2829</v>
      </c>
      <c r="BD128" t="s">
        <v>2842</v>
      </c>
      <c r="BE128" t="s">
        <v>2842</v>
      </c>
      <c r="BF128" t="s">
        <v>243</v>
      </c>
      <c r="BG128" t="s">
        <v>243</v>
      </c>
      <c r="BH128" t="s">
        <v>243</v>
      </c>
      <c r="BI128" t="s">
        <v>243</v>
      </c>
      <c r="BJ128" t="s">
        <v>2829</v>
      </c>
      <c r="BK128" t="s">
        <v>243</v>
      </c>
      <c r="BL128" t="s">
        <v>243</v>
      </c>
      <c r="BM128" t="s">
        <v>243</v>
      </c>
      <c r="BN128" t="s">
        <v>243</v>
      </c>
      <c r="BO128" t="s">
        <v>243</v>
      </c>
      <c r="BP128" t="s">
        <v>2829</v>
      </c>
      <c r="BQ128" t="s">
        <v>243</v>
      </c>
      <c r="BR128" t="s">
        <v>243</v>
      </c>
      <c r="BS128" t="s">
        <v>243</v>
      </c>
      <c r="BT128" t="s">
        <v>243</v>
      </c>
      <c r="BU128" t="s">
        <v>243</v>
      </c>
      <c r="BV128" t="s">
        <v>2829</v>
      </c>
      <c r="BW128" t="s">
        <v>243</v>
      </c>
      <c r="BX128" t="s">
        <v>243</v>
      </c>
      <c r="BY128" t="s">
        <v>243</v>
      </c>
      <c r="BZ128" t="s">
        <v>243</v>
      </c>
      <c r="CA128" t="s">
        <v>243</v>
      </c>
      <c r="CB128" t="s">
        <v>2829</v>
      </c>
      <c r="CC128" t="s">
        <v>243</v>
      </c>
      <c r="CD128" t="s">
        <v>243</v>
      </c>
      <c r="CE128" t="s">
        <v>243</v>
      </c>
      <c r="CF128" t="s">
        <v>243</v>
      </c>
      <c r="CG128" t="s">
        <v>243</v>
      </c>
      <c r="CH128" t="s">
        <v>2829</v>
      </c>
      <c r="CI128" t="s">
        <v>243</v>
      </c>
      <c r="CJ128" t="s">
        <v>243</v>
      </c>
      <c r="CK128" t="s">
        <v>243</v>
      </c>
      <c r="CL128" t="s">
        <v>243</v>
      </c>
      <c r="CM128" t="s">
        <v>243</v>
      </c>
      <c r="CN128" t="s">
        <v>2836</v>
      </c>
      <c r="CO128" t="s">
        <v>2843</v>
      </c>
      <c r="CP128" t="s">
        <v>2844</v>
      </c>
      <c r="CQ128" t="s">
        <v>430</v>
      </c>
      <c r="CR128" t="s">
        <v>2845</v>
      </c>
      <c r="CS128" t="s">
        <v>431</v>
      </c>
      <c r="CT128" t="s">
        <v>430</v>
      </c>
      <c r="CU128" t="s">
        <v>2846</v>
      </c>
      <c r="CV128" t="s">
        <v>2847</v>
      </c>
      <c r="CW128" t="s">
        <v>2845</v>
      </c>
      <c r="CX128" t="s">
        <v>2848</v>
      </c>
      <c r="CY128" t="s">
        <v>4031</v>
      </c>
    </row>
    <row r="129" spans="1:103" ht="11.25" customHeight="1">
      <c r="A129" t="s">
        <v>243</v>
      </c>
      <c r="B129" t="s">
        <v>243</v>
      </c>
      <c r="C129" t="s">
        <v>243</v>
      </c>
      <c r="D129" t="s">
        <v>243</v>
      </c>
      <c r="E129" t="s">
        <v>243</v>
      </c>
      <c r="F129" t="s">
        <v>2816</v>
      </c>
      <c r="G129" t="s">
        <v>243</v>
      </c>
      <c r="H129" t="s">
        <v>243</v>
      </c>
      <c r="I129" t="s">
        <v>4032</v>
      </c>
      <c r="J129" t="s">
        <v>243</v>
      </c>
      <c r="K129" t="s">
        <v>2818</v>
      </c>
      <c r="L129" t="s">
        <v>243</v>
      </c>
      <c r="M129" t="s">
        <v>114</v>
      </c>
      <c r="N129" t="s">
        <v>243</v>
      </c>
      <c r="O129" t="s">
        <v>2819</v>
      </c>
      <c r="P129" t="s">
        <v>2820</v>
      </c>
      <c r="Q129" t="s">
        <v>2821</v>
      </c>
      <c r="R129" t="s">
        <v>200</v>
      </c>
      <c r="S129" t="s">
        <v>200</v>
      </c>
      <c r="T129" t="s">
        <v>2822</v>
      </c>
      <c r="U129" t="s">
        <v>2822</v>
      </c>
      <c r="V129" t="s">
        <v>2823</v>
      </c>
      <c r="W129" t="s">
        <v>3763</v>
      </c>
      <c r="X129" t="s">
        <v>3764</v>
      </c>
      <c r="Y129" t="s">
        <v>4033</v>
      </c>
      <c r="Z129" t="s">
        <v>1776</v>
      </c>
      <c r="AA129" t="s">
        <v>2904</v>
      </c>
      <c r="AB129" t="s">
        <v>4034</v>
      </c>
      <c r="AC129" t="s">
        <v>2829</v>
      </c>
      <c r="AD129" t="s">
        <v>2830</v>
      </c>
      <c r="AE129" t="s">
        <v>2831</v>
      </c>
      <c r="AF129" t="s">
        <v>4035</v>
      </c>
      <c r="AG129" t="s">
        <v>2833</v>
      </c>
      <c r="AH129" t="s">
        <v>2834</v>
      </c>
      <c r="AI129" t="s">
        <v>2835</v>
      </c>
      <c r="AJ129" t="s">
        <v>2836</v>
      </c>
      <c r="AK129" t="s">
        <v>2837</v>
      </c>
      <c r="AL129" t="s">
        <v>2904</v>
      </c>
      <c r="AM129" t="s">
        <v>3194</v>
      </c>
      <c r="AN129" t="s">
        <v>2829</v>
      </c>
      <c r="AO129" t="s">
        <v>2839</v>
      </c>
      <c r="AP129" t="s">
        <v>2840</v>
      </c>
      <c r="AQ129" t="s">
        <v>2841</v>
      </c>
      <c r="AR129" t="s">
        <v>2842</v>
      </c>
      <c r="AS129" t="s">
        <v>2842</v>
      </c>
      <c r="AT129" t="s">
        <v>2829</v>
      </c>
      <c r="AU129" t="s">
        <v>2829</v>
      </c>
      <c r="AV129" t="s">
        <v>2829</v>
      </c>
      <c r="AW129" t="s">
        <v>2829</v>
      </c>
      <c r="AX129" t="s">
        <v>2829</v>
      </c>
      <c r="AY129" t="s">
        <v>2829</v>
      </c>
      <c r="AZ129" t="s">
        <v>2829</v>
      </c>
      <c r="BA129" t="s">
        <v>2829</v>
      </c>
      <c r="BB129" t="s">
        <v>2829</v>
      </c>
      <c r="BC129" t="s">
        <v>2829</v>
      </c>
      <c r="BD129" t="s">
        <v>2842</v>
      </c>
      <c r="BE129" t="s">
        <v>2842</v>
      </c>
      <c r="BF129" t="s">
        <v>243</v>
      </c>
      <c r="BG129" t="s">
        <v>243</v>
      </c>
      <c r="BH129" t="s">
        <v>243</v>
      </c>
      <c r="BI129" t="s">
        <v>243</v>
      </c>
      <c r="BJ129" t="s">
        <v>2829</v>
      </c>
      <c r="BK129" t="s">
        <v>243</v>
      </c>
      <c r="BL129" t="s">
        <v>243</v>
      </c>
      <c r="BM129" t="s">
        <v>243</v>
      </c>
      <c r="BN129" t="s">
        <v>243</v>
      </c>
      <c r="BO129" t="s">
        <v>243</v>
      </c>
      <c r="BP129" t="s">
        <v>2829</v>
      </c>
      <c r="BQ129" t="s">
        <v>243</v>
      </c>
      <c r="BR129" t="s">
        <v>243</v>
      </c>
      <c r="BS129" t="s">
        <v>243</v>
      </c>
      <c r="BT129" t="s">
        <v>243</v>
      </c>
      <c r="BU129" t="s">
        <v>243</v>
      </c>
      <c r="BV129" t="s">
        <v>2829</v>
      </c>
      <c r="BW129" t="s">
        <v>243</v>
      </c>
      <c r="BX129" t="s">
        <v>243</v>
      </c>
      <c r="BY129" t="s">
        <v>243</v>
      </c>
      <c r="BZ129" t="s">
        <v>243</v>
      </c>
      <c r="CA129" t="s">
        <v>243</v>
      </c>
      <c r="CB129" t="s">
        <v>2829</v>
      </c>
      <c r="CC129" t="s">
        <v>243</v>
      </c>
      <c r="CD129" t="s">
        <v>243</v>
      </c>
      <c r="CE129" t="s">
        <v>243</v>
      </c>
      <c r="CF129" t="s">
        <v>243</v>
      </c>
      <c r="CG129" t="s">
        <v>243</v>
      </c>
      <c r="CH129" t="s">
        <v>2829</v>
      </c>
      <c r="CI129" t="s">
        <v>243</v>
      </c>
      <c r="CJ129" t="s">
        <v>243</v>
      </c>
      <c r="CK129" t="s">
        <v>243</v>
      </c>
      <c r="CL129" t="s">
        <v>243</v>
      </c>
      <c r="CM129" t="s">
        <v>243</v>
      </c>
      <c r="CN129" t="s">
        <v>2836</v>
      </c>
      <c r="CO129" t="s">
        <v>2843</v>
      </c>
      <c r="CP129" t="s">
        <v>2844</v>
      </c>
      <c r="CQ129" t="s">
        <v>430</v>
      </c>
      <c r="CR129" t="s">
        <v>2845</v>
      </c>
      <c r="CS129" t="s">
        <v>431</v>
      </c>
      <c r="CT129" t="s">
        <v>430</v>
      </c>
      <c r="CU129" t="s">
        <v>2846</v>
      </c>
      <c r="CV129" t="s">
        <v>2847</v>
      </c>
      <c r="CW129" t="s">
        <v>2845</v>
      </c>
      <c r="CX129" t="s">
        <v>2848</v>
      </c>
      <c r="CY129" t="s">
        <v>4036</v>
      </c>
    </row>
    <row r="130" spans="1:103" ht="11.25" customHeight="1">
      <c r="A130" t="s">
        <v>243</v>
      </c>
      <c r="B130" t="s">
        <v>243</v>
      </c>
      <c r="C130" t="s">
        <v>243</v>
      </c>
      <c r="D130" t="s">
        <v>243</v>
      </c>
      <c r="E130" t="s">
        <v>243</v>
      </c>
      <c r="F130" t="s">
        <v>2816</v>
      </c>
      <c r="G130" t="s">
        <v>243</v>
      </c>
      <c r="H130" t="s">
        <v>243</v>
      </c>
      <c r="I130" t="s">
        <v>4037</v>
      </c>
      <c r="J130" t="s">
        <v>243</v>
      </c>
      <c r="K130" t="s">
        <v>4038</v>
      </c>
      <c r="L130" t="s">
        <v>243</v>
      </c>
      <c r="M130" t="s">
        <v>114</v>
      </c>
      <c r="N130" t="s">
        <v>243</v>
      </c>
      <c r="O130" t="s">
        <v>2819</v>
      </c>
      <c r="P130" t="s">
        <v>2820</v>
      </c>
      <c r="Q130" t="s">
        <v>2821</v>
      </c>
      <c r="R130" t="s">
        <v>200</v>
      </c>
      <c r="S130" t="s">
        <v>200</v>
      </c>
      <c r="T130" t="s">
        <v>2933</v>
      </c>
      <c r="U130" t="s">
        <v>2933</v>
      </c>
      <c r="V130" t="s">
        <v>2934</v>
      </c>
      <c r="W130" t="s">
        <v>2935</v>
      </c>
      <c r="X130" t="s">
        <v>2936</v>
      </c>
      <c r="Y130" t="s">
        <v>4039</v>
      </c>
      <c r="Z130" t="s">
        <v>457</v>
      </c>
      <c r="AA130" t="s">
        <v>4040</v>
      </c>
      <c r="AB130" t="s">
        <v>4041</v>
      </c>
      <c r="AC130" t="s">
        <v>3916</v>
      </c>
      <c r="AD130" t="s">
        <v>2883</v>
      </c>
      <c r="AE130" t="s">
        <v>4042</v>
      </c>
      <c r="AF130" t="s">
        <v>4043</v>
      </c>
      <c r="AG130" t="s">
        <v>4043</v>
      </c>
      <c r="AH130" t="s">
        <v>2834</v>
      </c>
      <c r="AI130" t="s">
        <v>2887</v>
      </c>
      <c r="AJ130" t="s">
        <v>3010</v>
      </c>
      <c r="AK130" t="s">
        <v>4044</v>
      </c>
      <c r="AL130" t="s">
        <v>4040</v>
      </c>
      <c r="AM130" t="s">
        <v>4041</v>
      </c>
      <c r="AN130" t="s">
        <v>3916</v>
      </c>
      <c r="AO130" t="s">
        <v>2839</v>
      </c>
      <c r="AP130" t="s">
        <v>2840</v>
      </c>
      <c r="AQ130" t="s">
        <v>2841</v>
      </c>
      <c r="AR130" t="s">
        <v>4045</v>
      </c>
      <c r="AS130" t="s">
        <v>4046</v>
      </c>
      <c r="AT130" t="s">
        <v>4047</v>
      </c>
      <c r="AU130" t="s">
        <v>4048</v>
      </c>
      <c r="AV130" t="s">
        <v>2829</v>
      </c>
      <c r="AW130" t="s">
        <v>2829</v>
      </c>
      <c r="AX130" t="s">
        <v>2829</v>
      </c>
      <c r="AY130" t="s">
        <v>2829</v>
      </c>
      <c r="AZ130" t="s">
        <v>2829</v>
      </c>
      <c r="BA130" t="s">
        <v>2829</v>
      </c>
      <c r="BB130" t="s">
        <v>2829</v>
      </c>
      <c r="BC130" t="s">
        <v>2829</v>
      </c>
      <c r="BD130" t="s">
        <v>4049</v>
      </c>
      <c r="BE130" t="s">
        <v>4050</v>
      </c>
      <c r="BF130" t="s">
        <v>4051</v>
      </c>
      <c r="BG130" t="s">
        <v>4052</v>
      </c>
      <c r="BH130" t="s">
        <v>243</v>
      </c>
      <c r="BI130" t="s">
        <v>243</v>
      </c>
      <c r="BJ130" t="s">
        <v>2829</v>
      </c>
      <c r="BK130" t="s">
        <v>243</v>
      </c>
      <c r="BL130" t="s">
        <v>243</v>
      </c>
      <c r="BM130" t="s">
        <v>243</v>
      </c>
      <c r="BN130" t="s">
        <v>243</v>
      </c>
      <c r="BO130" t="s">
        <v>243</v>
      </c>
      <c r="BP130" t="s">
        <v>4053</v>
      </c>
      <c r="BQ130" t="s">
        <v>4054</v>
      </c>
      <c r="BR130" t="s">
        <v>4055</v>
      </c>
      <c r="BS130" t="s">
        <v>4056</v>
      </c>
      <c r="BT130" t="s">
        <v>243</v>
      </c>
      <c r="BU130" t="s">
        <v>243</v>
      </c>
      <c r="BV130" t="s">
        <v>2829</v>
      </c>
      <c r="BW130" t="s">
        <v>243</v>
      </c>
      <c r="BX130" t="s">
        <v>243</v>
      </c>
      <c r="BY130" t="s">
        <v>243</v>
      </c>
      <c r="BZ130" t="s">
        <v>243</v>
      </c>
      <c r="CA130" t="s">
        <v>243</v>
      </c>
      <c r="CB130" t="s">
        <v>4004</v>
      </c>
      <c r="CC130" t="s">
        <v>4004</v>
      </c>
      <c r="CD130" t="s">
        <v>243</v>
      </c>
      <c r="CE130" t="s">
        <v>243</v>
      </c>
      <c r="CF130" t="s">
        <v>243</v>
      </c>
      <c r="CG130" t="s">
        <v>243</v>
      </c>
      <c r="CH130" t="s">
        <v>2829</v>
      </c>
      <c r="CI130" t="s">
        <v>243</v>
      </c>
      <c r="CJ130" t="s">
        <v>243</v>
      </c>
      <c r="CK130" t="s">
        <v>243</v>
      </c>
      <c r="CL130" t="s">
        <v>243</v>
      </c>
      <c r="CM130" t="s">
        <v>243</v>
      </c>
      <c r="CN130" t="s">
        <v>3010</v>
      </c>
      <c r="CO130" t="s">
        <v>2843</v>
      </c>
      <c r="CP130" t="s">
        <v>2844</v>
      </c>
      <c r="CQ130" t="s">
        <v>430</v>
      </c>
      <c r="CR130" t="s">
        <v>2947</v>
      </c>
      <c r="CS130" t="s">
        <v>431</v>
      </c>
      <c r="CT130" t="s">
        <v>430</v>
      </c>
      <c r="CU130" t="s">
        <v>2948</v>
      </c>
      <c r="CV130" t="s">
        <v>2949</v>
      </c>
      <c r="CW130" t="s">
        <v>2947</v>
      </c>
      <c r="CX130" t="s">
        <v>2848</v>
      </c>
      <c r="CY130" t="s">
        <v>4057</v>
      </c>
    </row>
    <row r="131" spans="1:103" ht="11.25" customHeight="1">
      <c r="A131" t="s">
        <v>243</v>
      </c>
      <c r="B131" t="s">
        <v>243</v>
      </c>
      <c r="C131" t="s">
        <v>243</v>
      </c>
      <c r="D131" t="s">
        <v>243</v>
      </c>
      <c r="E131" t="s">
        <v>243</v>
      </c>
      <c r="F131" t="s">
        <v>2816</v>
      </c>
      <c r="G131" t="s">
        <v>243</v>
      </c>
      <c r="H131" t="s">
        <v>243</v>
      </c>
      <c r="I131" t="s">
        <v>865</v>
      </c>
      <c r="J131" t="s">
        <v>243</v>
      </c>
      <c r="K131" t="s">
        <v>3210</v>
      </c>
      <c r="L131" t="s">
        <v>243</v>
      </c>
      <c r="M131" t="s">
        <v>114</v>
      </c>
      <c r="N131" t="s">
        <v>243</v>
      </c>
      <c r="O131" t="s">
        <v>2819</v>
      </c>
      <c r="P131" t="s">
        <v>2820</v>
      </c>
      <c r="Q131" t="s">
        <v>2821</v>
      </c>
      <c r="R131" t="s">
        <v>200</v>
      </c>
      <c r="S131" t="s">
        <v>200</v>
      </c>
      <c r="T131" t="s">
        <v>2822</v>
      </c>
      <c r="U131" t="s">
        <v>2822</v>
      </c>
      <c r="V131" t="s">
        <v>2823</v>
      </c>
      <c r="W131" t="s">
        <v>3608</v>
      </c>
      <c r="X131" t="s">
        <v>3609</v>
      </c>
      <c r="Y131" t="s">
        <v>2918</v>
      </c>
      <c r="Z131" t="s">
        <v>341</v>
      </c>
      <c r="AA131" t="s">
        <v>3260</v>
      </c>
      <c r="AB131" t="s">
        <v>4058</v>
      </c>
      <c r="AC131" t="s">
        <v>2829</v>
      </c>
      <c r="AD131" t="s">
        <v>2830</v>
      </c>
      <c r="AE131" t="s">
        <v>2831</v>
      </c>
      <c r="AF131" t="s">
        <v>4059</v>
      </c>
      <c r="AG131" t="s">
        <v>4060</v>
      </c>
      <c r="AH131" t="s">
        <v>2834</v>
      </c>
      <c r="AI131" t="s">
        <v>2835</v>
      </c>
      <c r="AJ131" t="s">
        <v>2960</v>
      </c>
      <c r="AK131" t="s">
        <v>3751</v>
      </c>
      <c r="AL131" t="s">
        <v>3260</v>
      </c>
      <c r="AM131" t="s">
        <v>3688</v>
      </c>
      <c r="AN131" t="s">
        <v>2829</v>
      </c>
      <c r="AO131" t="s">
        <v>2839</v>
      </c>
      <c r="AP131" t="s">
        <v>2840</v>
      </c>
      <c r="AQ131" t="s">
        <v>2841</v>
      </c>
      <c r="AR131" t="s">
        <v>2842</v>
      </c>
      <c r="AS131" t="s">
        <v>2842</v>
      </c>
      <c r="AT131" t="s">
        <v>2829</v>
      </c>
      <c r="AU131" t="s">
        <v>2829</v>
      </c>
      <c r="AV131" t="s">
        <v>2829</v>
      </c>
      <c r="AW131" t="s">
        <v>2829</v>
      </c>
      <c r="AX131" t="s">
        <v>2829</v>
      </c>
      <c r="AY131" t="s">
        <v>2829</v>
      </c>
      <c r="AZ131" t="s">
        <v>2829</v>
      </c>
      <c r="BA131" t="s">
        <v>2829</v>
      </c>
      <c r="BB131" t="s">
        <v>2829</v>
      </c>
      <c r="BC131" t="s">
        <v>2829</v>
      </c>
      <c r="BD131" t="s">
        <v>2842</v>
      </c>
      <c r="BE131" t="s">
        <v>2842</v>
      </c>
      <c r="BF131" t="s">
        <v>243</v>
      </c>
      <c r="BG131" t="s">
        <v>243</v>
      </c>
      <c r="BH131" t="s">
        <v>243</v>
      </c>
      <c r="BI131" t="s">
        <v>243</v>
      </c>
      <c r="BJ131" t="s">
        <v>2829</v>
      </c>
      <c r="BK131" t="s">
        <v>243</v>
      </c>
      <c r="BL131" t="s">
        <v>243</v>
      </c>
      <c r="BM131" t="s">
        <v>243</v>
      </c>
      <c r="BN131" t="s">
        <v>243</v>
      </c>
      <c r="BO131" t="s">
        <v>243</v>
      </c>
      <c r="BP131" t="s">
        <v>2829</v>
      </c>
      <c r="BQ131" t="s">
        <v>243</v>
      </c>
      <c r="BR131" t="s">
        <v>243</v>
      </c>
      <c r="BS131" t="s">
        <v>243</v>
      </c>
      <c r="BT131" t="s">
        <v>243</v>
      </c>
      <c r="BU131" t="s">
        <v>243</v>
      </c>
      <c r="BV131" t="s">
        <v>2829</v>
      </c>
      <c r="BW131" t="s">
        <v>243</v>
      </c>
      <c r="BX131" t="s">
        <v>243</v>
      </c>
      <c r="BY131" t="s">
        <v>243</v>
      </c>
      <c r="BZ131" t="s">
        <v>243</v>
      </c>
      <c r="CA131" t="s">
        <v>243</v>
      </c>
      <c r="CB131" t="s">
        <v>2829</v>
      </c>
      <c r="CC131" t="s">
        <v>243</v>
      </c>
      <c r="CD131" t="s">
        <v>243</v>
      </c>
      <c r="CE131" t="s">
        <v>243</v>
      </c>
      <c r="CF131" t="s">
        <v>243</v>
      </c>
      <c r="CG131" t="s">
        <v>243</v>
      </c>
      <c r="CH131" t="s">
        <v>2829</v>
      </c>
      <c r="CI131" t="s">
        <v>243</v>
      </c>
      <c r="CJ131" t="s">
        <v>243</v>
      </c>
      <c r="CK131" t="s">
        <v>243</v>
      </c>
      <c r="CL131" t="s">
        <v>243</v>
      </c>
      <c r="CM131" t="s">
        <v>243</v>
      </c>
      <c r="CN131" t="s">
        <v>2960</v>
      </c>
      <c r="CO131" t="s">
        <v>2843</v>
      </c>
      <c r="CP131" t="s">
        <v>2844</v>
      </c>
      <c r="CQ131" t="s">
        <v>430</v>
      </c>
      <c r="CR131" t="s">
        <v>2845</v>
      </c>
      <c r="CS131" t="s">
        <v>431</v>
      </c>
      <c r="CT131" t="s">
        <v>430</v>
      </c>
      <c r="CU131" t="s">
        <v>2846</v>
      </c>
      <c r="CV131" t="s">
        <v>2847</v>
      </c>
      <c r="CW131" t="s">
        <v>2845</v>
      </c>
      <c r="CX131" t="s">
        <v>2848</v>
      </c>
      <c r="CY131" t="s">
        <v>4061</v>
      </c>
    </row>
    <row r="132" spans="1:103" ht="11.25" customHeight="1">
      <c r="A132" t="s">
        <v>243</v>
      </c>
      <c r="B132" t="s">
        <v>243</v>
      </c>
      <c r="C132" t="s">
        <v>243</v>
      </c>
      <c r="D132" t="s">
        <v>243</v>
      </c>
      <c r="E132" t="s">
        <v>243</v>
      </c>
      <c r="F132" t="s">
        <v>2816</v>
      </c>
      <c r="G132" t="s">
        <v>243</v>
      </c>
      <c r="H132" t="s">
        <v>243</v>
      </c>
      <c r="I132" t="s">
        <v>869</v>
      </c>
      <c r="J132" t="s">
        <v>243</v>
      </c>
      <c r="K132" t="s">
        <v>461</v>
      </c>
      <c r="L132" t="s">
        <v>243</v>
      </c>
      <c r="M132" t="s">
        <v>114</v>
      </c>
      <c r="N132" t="s">
        <v>243</v>
      </c>
      <c r="O132" t="s">
        <v>2819</v>
      </c>
      <c r="P132" t="s">
        <v>2820</v>
      </c>
      <c r="Q132" t="s">
        <v>2821</v>
      </c>
      <c r="R132" t="s">
        <v>200</v>
      </c>
      <c r="S132" t="s">
        <v>200</v>
      </c>
      <c r="T132" t="s">
        <v>2822</v>
      </c>
      <c r="U132" t="s">
        <v>2822</v>
      </c>
      <c r="V132" t="s">
        <v>2823</v>
      </c>
      <c r="W132" t="s">
        <v>3828</v>
      </c>
      <c r="X132" t="s">
        <v>3829</v>
      </c>
      <c r="Y132" t="s">
        <v>4062</v>
      </c>
      <c r="Z132" t="s">
        <v>341</v>
      </c>
      <c r="AA132" t="s">
        <v>3260</v>
      </c>
      <c r="AB132" t="s">
        <v>4063</v>
      </c>
      <c r="AC132" t="s">
        <v>2829</v>
      </c>
      <c r="AD132" t="s">
        <v>2830</v>
      </c>
      <c r="AE132" t="s">
        <v>2831</v>
      </c>
      <c r="AF132" t="s">
        <v>4064</v>
      </c>
      <c r="AG132" t="s">
        <v>4065</v>
      </c>
      <c r="AH132" t="s">
        <v>2834</v>
      </c>
      <c r="AI132" t="s">
        <v>2835</v>
      </c>
      <c r="AJ132" t="s">
        <v>2960</v>
      </c>
      <c r="AK132" t="s">
        <v>2889</v>
      </c>
      <c r="AL132" t="s">
        <v>3260</v>
      </c>
      <c r="AM132" t="s">
        <v>3118</v>
      </c>
      <c r="AN132" t="s">
        <v>2829</v>
      </c>
      <c r="AO132" t="s">
        <v>2839</v>
      </c>
      <c r="AP132" t="s">
        <v>2840</v>
      </c>
      <c r="AQ132" t="s">
        <v>2841</v>
      </c>
      <c r="AR132" t="s">
        <v>4066</v>
      </c>
      <c r="AS132" t="s">
        <v>4066</v>
      </c>
      <c r="AT132" t="s">
        <v>2829</v>
      </c>
      <c r="AU132" t="s">
        <v>2829</v>
      </c>
      <c r="AV132" t="s">
        <v>2829</v>
      </c>
      <c r="AW132" t="s">
        <v>2829</v>
      </c>
      <c r="AX132" t="s">
        <v>2829</v>
      </c>
      <c r="AY132" t="s">
        <v>2829</v>
      </c>
      <c r="AZ132" t="s">
        <v>2829</v>
      </c>
      <c r="BA132" t="s">
        <v>2829</v>
      </c>
      <c r="BB132" t="s">
        <v>2829</v>
      </c>
      <c r="BC132" t="s">
        <v>2829</v>
      </c>
      <c r="BD132" t="s">
        <v>4066</v>
      </c>
      <c r="BE132" t="s">
        <v>4066</v>
      </c>
      <c r="BF132" t="s">
        <v>243</v>
      </c>
      <c r="BG132" t="s">
        <v>243</v>
      </c>
      <c r="BH132" t="s">
        <v>243</v>
      </c>
      <c r="BI132" t="s">
        <v>243</v>
      </c>
      <c r="BJ132" t="s">
        <v>2829</v>
      </c>
      <c r="BK132" t="s">
        <v>243</v>
      </c>
      <c r="BL132" t="s">
        <v>243</v>
      </c>
      <c r="BM132" t="s">
        <v>243</v>
      </c>
      <c r="BN132" t="s">
        <v>243</v>
      </c>
      <c r="BO132" t="s">
        <v>243</v>
      </c>
      <c r="BP132" t="s">
        <v>2829</v>
      </c>
      <c r="BQ132" t="s">
        <v>243</v>
      </c>
      <c r="BR132" t="s">
        <v>243</v>
      </c>
      <c r="BS132" t="s">
        <v>243</v>
      </c>
      <c r="BT132" t="s">
        <v>243</v>
      </c>
      <c r="BU132" t="s">
        <v>243</v>
      </c>
      <c r="BV132" t="s">
        <v>2829</v>
      </c>
      <c r="BW132" t="s">
        <v>243</v>
      </c>
      <c r="BX132" t="s">
        <v>243</v>
      </c>
      <c r="BY132" t="s">
        <v>243</v>
      </c>
      <c r="BZ132" t="s">
        <v>243</v>
      </c>
      <c r="CA132" t="s">
        <v>243</v>
      </c>
      <c r="CB132" t="s">
        <v>2829</v>
      </c>
      <c r="CC132" t="s">
        <v>243</v>
      </c>
      <c r="CD132" t="s">
        <v>243</v>
      </c>
      <c r="CE132" t="s">
        <v>243</v>
      </c>
      <c r="CF132" t="s">
        <v>243</v>
      </c>
      <c r="CG132" t="s">
        <v>243</v>
      </c>
      <c r="CH132" t="s">
        <v>2829</v>
      </c>
      <c r="CI132" t="s">
        <v>243</v>
      </c>
      <c r="CJ132" t="s">
        <v>243</v>
      </c>
      <c r="CK132" t="s">
        <v>243</v>
      </c>
      <c r="CL132" t="s">
        <v>243</v>
      </c>
      <c r="CM132" t="s">
        <v>243</v>
      </c>
      <c r="CN132" t="s">
        <v>2960</v>
      </c>
      <c r="CO132" t="s">
        <v>2843</v>
      </c>
      <c r="CP132" t="s">
        <v>2844</v>
      </c>
      <c r="CQ132" t="s">
        <v>430</v>
      </c>
      <c r="CR132" t="s">
        <v>2845</v>
      </c>
      <c r="CS132" t="s">
        <v>431</v>
      </c>
      <c r="CT132" t="s">
        <v>430</v>
      </c>
      <c r="CU132" t="s">
        <v>2846</v>
      </c>
      <c r="CV132" t="s">
        <v>2847</v>
      </c>
      <c r="CW132" t="s">
        <v>2845</v>
      </c>
      <c r="CX132" t="s">
        <v>2848</v>
      </c>
      <c r="CY132" t="s">
        <v>4067</v>
      </c>
    </row>
    <row r="133" spans="1:103" ht="11.25" customHeight="1">
      <c r="A133" t="s">
        <v>243</v>
      </c>
      <c r="B133" t="s">
        <v>243</v>
      </c>
      <c r="C133" t="s">
        <v>243</v>
      </c>
      <c r="D133" t="s">
        <v>243</v>
      </c>
      <c r="E133" t="s">
        <v>243</v>
      </c>
      <c r="F133" t="s">
        <v>2816</v>
      </c>
      <c r="G133" t="s">
        <v>243</v>
      </c>
      <c r="H133" t="s">
        <v>243</v>
      </c>
      <c r="I133" t="s">
        <v>887</v>
      </c>
      <c r="J133" t="s">
        <v>243</v>
      </c>
      <c r="K133" t="s">
        <v>4068</v>
      </c>
      <c r="L133" t="s">
        <v>243</v>
      </c>
      <c r="M133" t="s">
        <v>114</v>
      </c>
      <c r="N133" t="s">
        <v>243</v>
      </c>
      <c r="O133" t="s">
        <v>2819</v>
      </c>
      <c r="P133" t="s">
        <v>2820</v>
      </c>
      <c r="Q133" t="s">
        <v>2821</v>
      </c>
      <c r="R133" t="s">
        <v>200</v>
      </c>
      <c r="S133" t="s">
        <v>200</v>
      </c>
      <c r="T133" t="s">
        <v>2822</v>
      </c>
      <c r="U133" t="s">
        <v>2822</v>
      </c>
      <c r="V133" t="s">
        <v>2823</v>
      </c>
      <c r="W133" t="s">
        <v>3848</v>
      </c>
      <c r="X133" t="s">
        <v>3849</v>
      </c>
      <c r="Y133" t="s">
        <v>3610</v>
      </c>
      <c r="Z133" t="s">
        <v>3249</v>
      </c>
      <c r="AA133" t="s">
        <v>2964</v>
      </c>
      <c r="AB133" t="s">
        <v>3600</v>
      </c>
      <c r="AC133" t="s">
        <v>2829</v>
      </c>
      <c r="AD133" t="s">
        <v>2830</v>
      </c>
      <c r="AE133" t="s">
        <v>2831</v>
      </c>
      <c r="AF133" t="s">
        <v>4069</v>
      </c>
      <c r="AG133" t="s">
        <v>4070</v>
      </c>
      <c r="AH133" t="s">
        <v>2834</v>
      </c>
      <c r="AI133" t="s">
        <v>2835</v>
      </c>
      <c r="AJ133" t="s">
        <v>2960</v>
      </c>
      <c r="AK133" t="s">
        <v>3325</v>
      </c>
      <c r="AL133" t="s">
        <v>2964</v>
      </c>
      <c r="AM133" t="s">
        <v>3595</v>
      </c>
      <c r="AN133" t="s">
        <v>2829</v>
      </c>
      <c r="AO133" t="s">
        <v>2839</v>
      </c>
      <c r="AP133" t="s">
        <v>2840</v>
      </c>
      <c r="AQ133" t="s">
        <v>2841</v>
      </c>
      <c r="AR133" t="s">
        <v>4071</v>
      </c>
      <c r="AS133" t="s">
        <v>4071</v>
      </c>
      <c r="AT133" t="s">
        <v>2829</v>
      </c>
      <c r="AU133" t="s">
        <v>2829</v>
      </c>
      <c r="AV133" t="s">
        <v>2829</v>
      </c>
      <c r="AW133" t="s">
        <v>2829</v>
      </c>
      <c r="AX133" t="s">
        <v>2829</v>
      </c>
      <c r="AY133" t="s">
        <v>2829</v>
      </c>
      <c r="AZ133" t="s">
        <v>2829</v>
      </c>
      <c r="BA133" t="s">
        <v>2829</v>
      </c>
      <c r="BB133" t="s">
        <v>2829</v>
      </c>
      <c r="BC133" t="s">
        <v>2829</v>
      </c>
      <c r="BD133" t="s">
        <v>2829</v>
      </c>
      <c r="BE133" t="s">
        <v>243</v>
      </c>
      <c r="BF133" t="s">
        <v>243</v>
      </c>
      <c r="BG133" t="s">
        <v>243</v>
      </c>
      <c r="BH133" t="s">
        <v>243</v>
      </c>
      <c r="BI133" t="s">
        <v>243</v>
      </c>
      <c r="BJ133" t="s">
        <v>2829</v>
      </c>
      <c r="BK133" t="s">
        <v>243</v>
      </c>
      <c r="BL133" t="s">
        <v>243</v>
      </c>
      <c r="BM133" t="s">
        <v>243</v>
      </c>
      <c r="BN133" t="s">
        <v>243</v>
      </c>
      <c r="BO133" t="s">
        <v>243</v>
      </c>
      <c r="BP133" t="s">
        <v>2829</v>
      </c>
      <c r="BQ133" t="s">
        <v>243</v>
      </c>
      <c r="BR133" t="s">
        <v>243</v>
      </c>
      <c r="BS133" t="s">
        <v>243</v>
      </c>
      <c r="BT133" t="s">
        <v>243</v>
      </c>
      <c r="BU133" t="s">
        <v>243</v>
      </c>
      <c r="BV133" t="s">
        <v>2829</v>
      </c>
      <c r="BW133" t="s">
        <v>243</v>
      </c>
      <c r="BX133" t="s">
        <v>243</v>
      </c>
      <c r="BY133" t="s">
        <v>243</v>
      </c>
      <c r="BZ133" t="s">
        <v>243</v>
      </c>
      <c r="CA133" t="s">
        <v>243</v>
      </c>
      <c r="CB133" t="s">
        <v>4071</v>
      </c>
      <c r="CC133" t="s">
        <v>4071</v>
      </c>
      <c r="CD133" t="s">
        <v>243</v>
      </c>
      <c r="CE133" t="s">
        <v>243</v>
      </c>
      <c r="CF133" t="s">
        <v>243</v>
      </c>
      <c r="CG133" t="s">
        <v>243</v>
      </c>
      <c r="CH133" t="s">
        <v>2829</v>
      </c>
      <c r="CI133" t="s">
        <v>243</v>
      </c>
      <c r="CJ133" t="s">
        <v>243</v>
      </c>
      <c r="CK133" t="s">
        <v>243</v>
      </c>
      <c r="CL133" t="s">
        <v>243</v>
      </c>
      <c r="CM133" t="s">
        <v>243</v>
      </c>
      <c r="CN133" t="s">
        <v>2960</v>
      </c>
      <c r="CO133" t="s">
        <v>2843</v>
      </c>
      <c r="CP133" t="s">
        <v>2844</v>
      </c>
      <c r="CQ133" t="s">
        <v>430</v>
      </c>
      <c r="CR133" t="s">
        <v>2845</v>
      </c>
      <c r="CS133" t="s">
        <v>431</v>
      </c>
      <c r="CT133" t="s">
        <v>430</v>
      </c>
      <c r="CU133" t="s">
        <v>2846</v>
      </c>
      <c r="CV133" t="s">
        <v>2847</v>
      </c>
      <c r="CW133" t="s">
        <v>2845</v>
      </c>
      <c r="CX133" t="s">
        <v>2848</v>
      </c>
      <c r="CY133" t="s">
        <v>4072</v>
      </c>
    </row>
    <row r="134" spans="1:103" ht="11.25" customHeight="1">
      <c r="A134" t="s">
        <v>243</v>
      </c>
      <c r="B134" t="s">
        <v>243</v>
      </c>
      <c r="C134" t="s">
        <v>243</v>
      </c>
      <c r="D134" t="s">
        <v>243</v>
      </c>
      <c r="E134" t="s">
        <v>243</v>
      </c>
      <c r="F134" t="s">
        <v>2816</v>
      </c>
      <c r="G134" t="s">
        <v>243</v>
      </c>
      <c r="H134" t="s">
        <v>243</v>
      </c>
      <c r="I134" t="s">
        <v>892</v>
      </c>
      <c r="J134" t="s">
        <v>243</v>
      </c>
      <c r="K134" t="s">
        <v>4073</v>
      </c>
      <c r="L134" t="s">
        <v>243</v>
      </c>
      <c r="M134" t="s">
        <v>114</v>
      </c>
      <c r="N134" t="s">
        <v>243</v>
      </c>
      <c r="O134" t="s">
        <v>2819</v>
      </c>
      <c r="P134" t="s">
        <v>2820</v>
      </c>
      <c r="Q134" t="s">
        <v>2821</v>
      </c>
      <c r="R134" t="s">
        <v>200</v>
      </c>
      <c r="S134" t="s">
        <v>200</v>
      </c>
      <c r="T134" t="s">
        <v>2822</v>
      </c>
      <c r="U134" t="s">
        <v>2822</v>
      </c>
      <c r="V134" t="s">
        <v>2823</v>
      </c>
      <c r="W134" t="s">
        <v>3848</v>
      </c>
      <c r="X134" t="s">
        <v>3849</v>
      </c>
      <c r="Y134" t="s">
        <v>3610</v>
      </c>
      <c r="Z134" t="s">
        <v>4074</v>
      </c>
      <c r="AA134" t="s">
        <v>3393</v>
      </c>
      <c r="AB134" t="s">
        <v>4075</v>
      </c>
      <c r="AC134" t="s">
        <v>2829</v>
      </c>
      <c r="AD134" t="s">
        <v>2830</v>
      </c>
      <c r="AE134" t="s">
        <v>2831</v>
      </c>
      <c r="AF134" t="s">
        <v>4076</v>
      </c>
      <c r="AG134" t="s">
        <v>4077</v>
      </c>
      <c r="AH134" t="s">
        <v>2834</v>
      </c>
      <c r="AI134" t="s">
        <v>2835</v>
      </c>
      <c r="AJ134" t="s">
        <v>2960</v>
      </c>
      <c r="AK134" t="s">
        <v>3325</v>
      </c>
      <c r="AL134" t="s">
        <v>3393</v>
      </c>
      <c r="AM134" t="s">
        <v>2859</v>
      </c>
      <c r="AN134" t="s">
        <v>2829</v>
      </c>
      <c r="AO134" t="s">
        <v>2839</v>
      </c>
      <c r="AP134" t="s">
        <v>2840</v>
      </c>
      <c r="AQ134" t="s">
        <v>2841</v>
      </c>
      <c r="AR134" t="s">
        <v>4078</v>
      </c>
      <c r="AS134" t="s">
        <v>4078</v>
      </c>
      <c r="AT134" t="s">
        <v>2829</v>
      </c>
      <c r="AU134" t="s">
        <v>2829</v>
      </c>
      <c r="AV134" t="s">
        <v>2829</v>
      </c>
      <c r="AW134" t="s">
        <v>2829</v>
      </c>
      <c r="AX134" t="s">
        <v>2829</v>
      </c>
      <c r="AY134" t="s">
        <v>2829</v>
      </c>
      <c r="AZ134" t="s">
        <v>2829</v>
      </c>
      <c r="BA134" t="s">
        <v>2829</v>
      </c>
      <c r="BB134" t="s">
        <v>2829</v>
      </c>
      <c r="BC134" t="s">
        <v>2829</v>
      </c>
      <c r="BD134" t="s">
        <v>4078</v>
      </c>
      <c r="BE134" t="s">
        <v>4078</v>
      </c>
      <c r="BF134" t="s">
        <v>243</v>
      </c>
      <c r="BG134" t="s">
        <v>243</v>
      </c>
      <c r="BH134" t="s">
        <v>243</v>
      </c>
      <c r="BI134" t="s">
        <v>243</v>
      </c>
      <c r="BJ134" t="s">
        <v>2829</v>
      </c>
      <c r="BK134" t="s">
        <v>243</v>
      </c>
      <c r="BL134" t="s">
        <v>243</v>
      </c>
      <c r="BM134" t="s">
        <v>243</v>
      </c>
      <c r="BN134" t="s">
        <v>243</v>
      </c>
      <c r="BO134" t="s">
        <v>243</v>
      </c>
      <c r="BP134" t="s">
        <v>2829</v>
      </c>
      <c r="BQ134" t="s">
        <v>243</v>
      </c>
      <c r="BR134" t="s">
        <v>243</v>
      </c>
      <c r="BS134" t="s">
        <v>243</v>
      </c>
      <c r="BT134" t="s">
        <v>243</v>
      </c>
      <c r="BU134" t="s">
        <v>243</v>
      </c>
      <c r="BV134" t="s">
        <v>2829</v>
      </c>
      <c r="BW134" t="s">
        <v>243</v>
      </c>
      <c r="BX134" t="s">
        <v>243</v>
      </c>
      <c r="BY134" t="s">
        <v>243</v>
      </c>
      <c r="BZ134" t="s">
        <v>243</v>
      </c>
      <c r="CA134" t="s">
        <v>243</v>
      </c>
      <c r="CB134" t="s">
        <v>2829</v>
      </c>
      <c r="CC134" t="s">
        <v>243</v>
      </c>
      <c r="CD134" t="s">
        <v>243</v>
      </c>
      <c r="CE134" t="s">
        <v>243</v>
      </c>
      <c r="CF134" t="s">
        <v>243</v>
      </c>
      <c r="CG134" t="s">
        <v>243</v>
      </c>
      <c r="CH134" t="s">
        <v>2829</v>
      </c>
      <c r="CI134" t="s">
        <v>243</v>
      </c>
      <c r="CJ134" t="s">
        <v>243</v>
      </c>
      <c r="CK134" t="s">
        <v>243</v>
      </c>
      <c r="CL134" t="s">
        <v>243</v>
      </c>
      <c r="CM134" t="s">
        <v>243</v>
      </c>
      <c r="CN134" t="s">
        <v>2960</v>
      </c>
      <c r="CO134" t="s">
        <v>2843</v>
      </c>
      <c r="CP134" t="s">
        <v>2844</v>
      </c>
      <c r="CQ134" t="s">
        <v>430</v>
      </c>
      <c r="CR134" t="s">
        <v>2845</v>
      </c>
      <c r="CS134" t="s">
        <v>431</v>
      </c>
      <c r="CT134" t="s">
        <v>430</v>
      </c>
      <c r="CU134" t="s">
        <v>2846</v>
      </c>
      <c r="CV134" t="s">
        <v>2847</v>
      </c>
      <c r="CW134" t="s">
        <v>2845</v>
      </c>
      <c r="CX134" t="s">
        <v>2848</v>
      </c>
      <c r="CY134" t="s">
        <v>4079</v>
      </c>
    </row>
    <row r="135" spans="1:103" ht="11.25" customHeight="1">
      <c r="A135" t="s">
        <v>243</v>
      </c>
      <c r="B135" t="s">
        <v>243</v>
      </c>
      <c r="C135" t="s">
        <v>243</v>
      </c>
      <c r="D135" t="s">
        <v>243</v>
      </c>
      <c r="E135" t="s">
        <v>243</v>
      </c>
      <c r="F135" t="s">
        <v>2816</v>
      </c>
      <c r="G135" t="s">
        <v>243</v>
      </c>
      <c r="H135" t="s">
        <v>243</v>
      </c>
      <c r="I135" t="s">
        <v>927</v>
      </c>
      <c r="J135" t="s">
        <v>243</v>
      </c>
      <c r="K135" t="s">
        <v>2818</v>
      </c>
      <c r="L135" t="s">
        <v>243</v>
      </c>
      <c r="M135" t="s">
        <v>114</v>
      </c>
      <c r="N135" t="s">
        <v>243</v>
      </c>
      <c r="O135" t="s">
        <v>2819</v>
      </c>
      <c r="P135" t="s">
        <v>2820</v>
      </c>
      <c r="Q135" t="s">
        <v>2821</v>
      </c>
      <c r="R135" t="s">
        <v>200</v>
      </c>
      <c r="S135" t="s">
        <v>200</v>
      </c>
      <c r="T135" t="s">
        <v>2822</v>
      </c>
      <c r="U135" t="s">
        <v>2822</v>
      </c>
      <c r="V135" t="s">
        <v>2823</v>
      </c>
      <c r="W135" t="s">
        <v>4080</v>
      </c>
      <c r="X135" t="s">
        <v>4081</v>
      </c>
      <c r="Y135" t="s">
        <v>3610</v>
      </c>
      <c r="Z135" t="s">
        <v>463</v>
      </c>
      <c r="AA135" t="s">
        <v>2904</v>
      </c>
      <c r="AB135" t="s">
        <v>4082</v>
      </c>
      <c r="AC135" t="s">
        <v>2829</v>
      </c>
      <c r="AD135" t="s">
        <v>2830</v>
      </c>
      <c r="AE135" t="s">
        <v>2831</v>
      </c>
      <c r="AF135" t="s">
        <v>4083</v>
      </c>
      <c r="AG135" t="s">
        <v>2833</v>
      </c>
      <c r="AH135" t="s">
        <v>2834</v>
      </c>
      <c r="AI135" t="s">
        <v>2835</v>
      </c>
      <c r="AJ135" t="s">
        <v>2836</v>
      </c>
      <c r="AK135" t="s">
        <v>2837</v>
      </c>
      <c r="AL135" t="s">
        <v>2904</v>
      </c>
      <c r="AM135" t="s">
        <v>2842</v>
      </c>
      <c r="AN135" t="s">
        <v>2829</v>
      </c>
      <c r="AO135" t="s">
        <v>2839</v>
      </c>
      <c r="AP135" t="s">
        <v>2840</v>
      </c>
      <c r="AQ135" t="s">
        <v>2841</v>
      </c>
      <c r="AR135" t="s">
        <v>2842</v>
      </c>
      <c r="AS135" t="s">
        <v>2842</v>
      </c>
      <c r="AT135" t="s">
        <v>2829</v>
      </c>
      <c r="AU135" t="s">
        <v>2829</v>
      </c>
      <c r="AV135" t="s">
        <v>2829</v>
      </c>
      <c r="AW135" t="s">
        <v>2829</v>
      </c>
      <c r="AX135" t="s">
        <v>2829</v>
      </c>
      <c r="AY135" t="s">
        <v>2829</v>
      </c>
      <c r="AZ135" t="s">
        <v>2829</v>
      </c>
      <c r="BA135" t="s">
        <v>2829</v>
      </c>
      <c r="BB135" t="s">
        <v>2829</v>
      </c>
      <c r="BC135" t="s">
        <v>2829</v>
      </c>
      <c r="BD135" t="s">
        <v>2842</v>
      </c>
      <c r="BE135" t="s">
        <v>2842</v>
      </c>
      <c r="BF135" t="s">
        <v>243</v>
      </c>
      <c r="BG135" t="s">
        <v>243</v>
      </c>
      <c r="BH135" t="s">
        <v>243</v>
      </c>
      <c r="BI135" t="s">
        <v>243</v>
      </c>
      <c r="BJ135" t="s">
        <v>2829</v>
      </c>
      <c r="BK135" t="s">
        <v>243</v>
      </c>
      <c r="BL135" t="s">
        <v>243</v>
      </c>
      <c r="BM135" t="s">
        <v>243</v>
      </c>
      <c r="BN135" t="s">
        <v>243</v>
      </c>
      <c r="BO135" t="s">
        <v>243</v>
      </c>
      <c r="BP135" t="s">
        <v>2829</v>
      </c>
      <c r="BQ135" t="s">
        <v>243</v>
      </c>
      <c r="BR135" t="s">
        <v>243</v>
      </c>
      <c r="BS135" t="s">
        <v>243</v>
      </c>
      <c r="BT135" t="s">
        <v>243</v>
      </c>
      <c r="BU135" t="s">
        <v>243</v>
      </c>
      <c r="BV135" t="s">
        <v>2829</v>
      </c>
      <c r="BW135" t="s">
        <v>243</v>
      </c>
      <c r="BX135" t="s">
        <v>243</v>
      </c>
      <c r="BY135" t="s">
        <v>243</v>
      </c>
      <c r="BZ135" t="s">
        <v>243</v>
      </c>
      <c r="CA135" t="s">
        <v>243</v>
      </c>
      <c r="CB135" t="s">
        <v>2829</v>
      </c>
      <c r="CC135" t="s">
        <v>243</v>
      </c>
      <c r="CD135" t="s">
        <v>243</v>
      </c>
      <c r="CE135" t="s">
        <v>243</v>
      </c>
      <c r="CF135" t="s">
        <v>243</v>
      </c>
      <c r="CG135" t="s">
        <v>243</v>
      </c>
      <c r="CH135" t="s">
        <v>2829</v>
      </c>
      <c r="CI135" t="s">
        <v>243</v>
      </c>
      <c r="CJ135" t="s">
        <v>243</v>
      </c>
      <c r="CK135" t="s">
        <v>243</v>
      </c>
      <c r="CL135" t="s">
        <v>243</v>
      </c>
      <c r="CM135" t="s">
        <v>243</v>
      </c>
      <c r="CN135" t="s">
        <v>2836</v>
      </c>
      <c r="CO135" t="s">
        <v>2843</v>
      </c>
      <c r="CP135" t="s">
        <v>2844</v>
      </c>
      <c r="CQ135" t="s">
        <v>430</v>
      </c>
      <c r="CR135" t="s">
        <v>2845</v>
      </c>
      <c r="CS135" t="s">
        <v>431</v>
      </c>
      <c r="CT135" t="s">
        <v>430</v>
      </c>
      <c r="CU135" t="s">
        <v>2846</v>
      </c>
      <c r="CV135" t="s">
        <v>2847</v>
      </c>
      <c r="CW135" t="s">
        <v>2845</v>
      </c>
      <c r="CX135" t="s">
        <v>2848</v>
      </c>
      <c r="CY135" t="s">
        <v>4084</v>
      </c>
    </row>
    <row r="136" spans="1:103" ht="11.25" customHeight="1">
      <c r="A136" t="s">
        <v>243</v>
      </c>
      <c r="B136" t="s">
        <v>243</v>
      </c>
      <c r="C136" t="s">
        <v>243</v>
      </c>
      <c r="D136" t="s">
        <v>243</v>
      </c>
      <c r="E136" t="s">
        <v>243</v>
      </c>
      <c r="F136" t="s">
        <v>2816</v>
      </c>
      <c r="G136" t="s">
        <v>243</v>
      </c>
      <c r="H136" t="s">
        <v>243</v>
      </c>
      <c r="I136" t="s">
        <v>4085</v>
      </c>
      <c r="J136" t="s">
        <v>243</v>
      </c>
      <c r="K136" t="s">
        <v>2818</v>
      </c>
      <c r="L136" t="s">
        <v>243</v>
      </c>
      <c r="M136" t="s">
        <v>114</v>
      </c>
      <c r="N136" t="s">
        <v>243</v>
      </c>
      <c r="O136" t="s">
        <v>2819</v>
      </c>
      <c r="P136" t="s">
        <v>2820</v>
      </c>
      <c r="Q136" t="s">
        <v>2821</v>
      </c>
      <c r="R136" t="s">
        <v>200</v>
      </c>
      <c r="S136" t="s">
        <v>200</v>
      </c>
      <c r="T136" t="s">
        <v>2822</v>
      </c>
      <c r="U136" t="s">
        <v>2822</v>
      </c>
      <c r="V136" t="s">
        <v>2823</v>
      </c>
      <c r="W136" t="s">
        <v>4080</v>
      </c>
      <c r="X136" t="s">
        <v>4081</v>
      </c>
      <c r="Y136" t="s">
        <v>4086</v>
      </c>
      <c r="Z136" t="s">
        <v>3585</v>
      </c>
      <c r="AA136" t="s">
        <v>4087</v>
      </c>
      <c r="AB136" t="s">
        <v>4088</v>
      </c>
      <c r="AC136" t="s">
        <v>2829</v>
      </c>
      <c r="AD136" t="s">
        <v>2830</v>
      </c>
      <c r="AE136" t="s">
        <v>2831</v>
      </c>
      <c r="AF136" t="s">
        <v>4089</v>
      </c>
      <c r="AG136" t="s">
        <v>2833</v>
      </c>
      <c r="AH136" t="s">
        <v>2834</v>
      </c>
      <c r="AI136" t="s">
        <v>2835</v>
      </c>
      <c r="AJ136" t="s">
        <v>2836</v>
      </c>
      <c r="AK136" t="s">
        <v>2837</v>
      </c>
      <c r="AL136" t="s">
        <v>4087</v>
      </c>
      <c r="AM136" t="s">
        <v>2842</v>
      </c>
      <c r="AN136" t="s">
        <v>2829</v>
      </c>
      <c r="AO136" t="s">
        <v>2839</v>
      </c>
      <c r="AP136" t="s">
        <v>2840</v>
      </c>
      <c r="AQ136" t="s">
        <v>2841</v>
      </c>
      <c r="AR136" t="s">
        <v>2842</v>
      </c>
      <c r="AS136" t="s">
        <v>2842</v>
      </c>
      <c r="AT136" t="s">
        <v>2829</v>
      </c>
      <c r="AU136" t="s">
        <v>2829</v>
      </c>
      <c r="AV136" t="s">
        <v>2829</v>
      </c>
      <c r="AW136" t="s">
        <v>2829</v>
      </c>
      <c r="AX136" t="s">
        <v>2829</v>
      </c>
      <c r="AY136" t="s">
        <v>2829</v>
      </c>
      <c r="AZ136" t="s">
        <v>2829</v>
      </c>
      <c r="BA136" t="s">
        <v>2829</v>
      </c>
      <c r="BB136" t="s">
        <v>2829</v>
      </c>
      <c r="BC136" t="s">
        <v>2829</v>
      </c>
      <c r="BD136" t="s">
        <v>2842</v>
      </c>
      <c r="BE136" t="s">
        <v>2842</v>
      </c>
      <c r="BF136" t="s">
        <v>243</v>
      </c>
      <c r="BG136" t="s">
        <v>243</v>
      </c>
      <c r="BH136" t="s">
        <v>243</v>
      </c>
      <c r="BI136" t="s">
        <v>243</v>
      </c>
      <c r="BJ136" t="s">
        <v>2829</v>
      </c>
      <c r="BK136" t="s">
        <v>243</v>
      </c>
      <c r="BL136" t="s">
        <v>243</v>
      </c>
      <c r="BM136" t="s">
        <v>243</v>
      </c>
      <c r="BN136" t="s">
        <v>243</v>
      </c>
      <c r="BO136" t="s">
        <v>243</v>
      </c>
      <c r="BP136" t="s">
        <v>2829</v>
      </c>
      <c r="BQ136" t="s">
        <v>243</v>
      </c>
      <c r="BR136" t="s">
        <v>243</v>
      </c>
      <c r="BS136" t="s">
        <v>243</v>
      </c>
      <c r="BT136" t="s">
        <v>243</v>
      </c>
      <c r="BU136" t="s">
        <v>243</v>
      </c>
      <c r="BV136" t="s">
        <v>2829</v>
      </c>
      <c r="BW136" t="s">
        <v>243</v>
      </c>
      <c r="BX136" t="s">
        <v>243</v>
      </c>
      <c r="BY136" t="s">
        <v>243</v>
      </c>
      <c r="BZ136" t="s">
        <v>243</v>
      </c>
      <c r="CA136" t="s">
        <v>243</v>
      </c>
      <c r="CB136" t="s">
        <v>2829</v>
      </c>
      <c r="CC136" t="s">
        <v>243</v>
      </c>
      <c r="CD136" t="s">
        <v>243</v>
      </c>
      <c r="CE136" t="s">
        <v>243</v>
      </c>
      <c r="CF136" t="s">
        <v>243</v>
      </c>
      <c r="CG136" t="s">
        <v>243</v>
      </c>
      <c r="CH136" t="s">
        <v>2829</v>
      </c>
      <c r="CI136" t="s">
        <v>243</v>
      </c>
      <c r="CJ136" t="s">
        <v>243</v>
      </c>
      <c r="CK136" t="s">
        <v>243</v>
      </c>
      <c r="CL136" t="s">
        <v>243</v>
      </c>
      <c r="CM136" t="s">
        <v>243</v>
      </c>
      <c r="CN136" t="s">
        <v>2836</v>
      </c>
      <c r="CO136" t="s">
        <v>2843</v>
      </c>
      <c r="CP136" t="s">
        <v>2844</v>
      </c>
      <c r="CQ136" t="s">
        <v>430</v>
      </c>
      <c r="CR136" t="s">
        <v>2845</v>
      </c>
      <c r="CS136" t="s">
        <v>431</v>
      </c>
      <c r="CT136" t="s">
        <v>430</v>
      </c>
      <c r="CU136" t="s">
        <v>2846</v>
      </c>
      <c r="CV136" t="s">
        <v>2847</v>
      </c>
      <c r="CW136" t="s">
        <v>2845</v>
      </c>
      <c r="CX136" t="s">
        <v>2848</v>
      </c>
      <c r="CY136" t="s">
        <v>4090</v>
      </c>
    </row>
    <row r="137" spans="1:103" ht="11.25" customHeight="1">
      <c r="A137" t="s">
        <v>243</v>
      </c>
      <c r="B137" t="s">
        <v>243</v>
      </c>
      <c r="C137" t="s">
        <v>243</v>
      </c>
      <c r="D137" t="s">
        <v>243</v>
      </c>
      <c r="E137" t="s">
        <v>243</v>
      </c>
      <c r="F137" t="s">
        <v>2816</v>
      </c>
      <c r="G137" t="s">
        <v>243</v>
      </c>
      <c r="H137" t="s">
        <v>243</v>
      </c>
      <c r="I137" t="s">
        <v>4091</v>
      </c>
      <c r="J137" t="s">
        <v>243</v>
      </c>
      <c r="K137" t="s">
        <v>4092</v>
      </c>
      <c r="L137" t="s">
        <v>243</v>
      </c>
      <c r="M137" t="s">
        <v>114</v>
      </c>
      <c r="N137" t="s">
        <v>243</v>
      </c>
      <c r="O137" t="s">
        <v>2819</v>
      </c>
      <c r="P137" t="s">
        <v>2820</v>
      </c>
      <c r="Q137" t="s">
        <v>2821</v>
      </c>
      <c r="R137" t="s">
        <v>200</v>
      </c>
      <c r="S137" t="s">
        <v>200</v>
      </c>
      <c r="T137" t="s">
        <v>2933</v>
      </c>
      <c r="U137" t="s">
        <v>2933</v>
      </c>
      <c r="V137" t="s">
        <v>2934</v>
      </c>
      <c r="W137" t="s">
        <v>2935</v>
      </c>
      <c r="X137" t="s">
        <v>2936</v>
      </c>
      <c r="Y137" t="s">
        <v>4093</v>
      </c>
      <c r="Z137" t="s">
        <v>3894</v>
      </c>
      <c r="AA137" t="s">
        <v>3875</v>
      </c>
      <c r="AB137" t="s">
        <v>3371</v>
      </c>
      <c r="AC137" t="s">
        <v>2829</v>
      </c>
      <c r="AD137" t="s">
        <v>2883</v>
      </c>
      <c r="AE137" t="s">
        <v>2831</v>
      </c>
      <c r="AF137" t="s">
        <v>3238</v>
      </c>
      <c r="AG137" t="s">
        <v>3238</v>
      </c>
      <c r="AH137" t="s">
        <v>2834</v>
      </c>
      <c r="AI137" t="s">
        <v>2835</v>
      </c>
      <c r="AJ137" t="s">
        <v>3030</v>
      </c>
      <c r="AK137" t="s">
        <v>3097</v>
      </c>
      <c r="AL137" t="s">
        <v>3875</v>
      </c>
      <c r="AM137" t="s">
        <v>3371</v>
      </c>
      <c r="AN137" t="s">
        <v>243</v>
      </c>
      <c r="AO137" t="s">
        <v>2839</v>
      </c>
      <c r="AP137" t="s">
        <v>2840</v>
      </c>
      <c r="AQ137" t="s">
        <v>2841</v>
      </c>
      <c r="AR137" t="s">
        <v>4094</v>
      </c>
      <c r="AS137" t="s">
        <v>4094</v>
      </c>
      <c r="AT137" t="s">
        <v>2829</v>
      </c>
      <c r="AU137" t="s">
        <v>2829</v>
      </c>
      <c r="AV137" t="s">
        <v>2829</v>
      </c>
      <c r="AW137" t="s">
        <v>2829</v>
      </c>
      <c r="AX137" t="s">
        <v>2829</v>
      </c>
      <c r="AY137" t="s">
        <v>2829</v>
      </c>
      <c r="AZ137" t="s">
        <v>2829</v>
      </c>
      <c r="BA137" t="s">
        <v>2829</v>
      </c>
      <c r="BB137" t="s">
        <v>2829</v>
      </c>
      <c r="BC137" t="s">
        <v>2829</v>
      </c>
      <c r="BD137" t="s">
        <v>4094</v>
      </c>
      <c r="BE137" t="s">
        <v>4094</v>
      </c>
      <c r="BF137" t="s">
        <v>243</v>
      </c>
      <c r="BG137" t="s">
        <v>243</v>
      </c>
      <c r="BH137" t="s">
        <v>243</v>
      </c>
      <c r="BI137" t="s">
        <v>243</v>
      </c>
      <c r="BJ137" t="s">
        <v>2829</v>
      </c>
      <c r="BK137" t="s">
        <v>243</v>
      </c>
      <c r="BL137" t="s">
        <v>243</v>
      </c>
      <c r="BM137" t="s">
        <v>243</v>
      </c>
      <c r="BN137" t="s">
        <v>243</v>
      </c>
      <c r="BO137" t="s">
        <v>243</v>
      </c>
      <c r="BP137" t="s">
        <v>2829</v>
      </c>
      <c r="BQ137" t="s">
        <v>243</v>
      </c>
      <c r="BR137" t="s">
        <v>243</v>
      </c>
      <c r="BS137" t="s">
        <v>243</v>
      </c>
      <c r="BT137" t="s">
        <v>243</v>
      </c>
      <c r="BU137" t="s">
        <v>243</v>
      </c>
      <c r="BV137" t="s">
        <v>2829</v>
      </c>
      <c r="BW137" t="s">
        <v>243</v>
      </c>
      <c r="BX137" t="s">
        <v>243</v>
      </c>
      <c r="BY137" t="s">
        <v>243</v>
      </c>
      <c r="BZ137" t="s">
        <v>243</v>
      </c>
      <c r="CA137" t="s">
        <v>243</v>
      </c>
      <c r="CB137" t="s">
        <v>2829</v>
      </c>
      <c r="CC137" t="s">
        <v>243</v>
      </c>
      <c r="CD137" t="s">
        <v>243</v>
      </c>
      <c r="CE137" t="s">
        <v>243</v>
      </c>
      <c r="CF137" t="s">
        <v>243</v>
      </c>
      <c r="CG137" t="s">
        <v>243</v>
      </c>
      <c r="CH137" t="s">
        <v>2829</v>
      </c>
      <c r="CI137" t="s">
        <v>243</v>
      </c>
      <c r="CJ137" t="s">
        <v>243</v>
      </c>
      <c r="CK137" t="s">
        <v>243</v>
      </c>
      <c r="CL137" t="s">
        <v>243</v>
      </c>
      <c r="CM137" t="s">
        <v>243</v>
      </c>
      <c r="CN137" t="s">
        <v>3030</v>
      </c>
      <c r="CO137" t="s">
        <v>2843</v>
      </c>
      <c r="CP137" t="s">
        <v>2844</v>
      </c>
      <c r="CQ137" t="s">
        <v>430</v>
      </c>
      <c r="CR137" t="s">
        <v>2947</v>
      </c>
      <c r="CS137" t="s">
        <v>431</v>
      </c>
      <c r="CT137" t="s">
        <v>430</v>
      </c>
      <c r="CU137" t="s">
        <v>2948</v>
      </c>
      <c r="CV137" t="s">
        <v>2949</v>
      </c>
      <c r="CW137" t="s">
        <v>2947</v>
      </c>
      <c r="CX137" t="s">
        <v>2848</v>
      </c>
      <c r="CY137" t="s">
        <v>4095</v>
      </c>
    </row>
    <row r="138" spans="1:103" ht="11.25" customHeight="1">
      <c r="A138" t="s">
        <v>243</v>
      </c>
      <c r="B138" t="s">
        <v>243</v>
      </c>
      <c r="C138" t="s">
        <v>243</v>
      </c>
      <c r="D138" t="s">
        <v>243</v>
      </c>
      <c r="E138" t="s">
        <v>243</v>
      </c>
      <c r="F138" t="s">
        <v>2816</v>
      </c>
      <c r="G138" t="s">
        <v>243</v>
      </c>
      <c r="H138" t="s">
        <v>243</v>
      </c>
      <c r="I138" t="s">
        <v>4096</v>
      </c>
      <c r="J138" t="s">
        <v>243</v>
      </c>
      <c r="K138" t="s">
        <v>433</v>
      </c>
      <c r="L138" t="s">
        <v>243</v>
      </c>
      <c r="M138" t="s">
        <v>114</v>
      </c>
      <c r="N138" t="s">
        <v>243</v>
      </c>
      <c r="O138" t="s">
        <v>2819</v>
      </c>
      <c r="P138" t="s">
        <v>2820</v>
      </c>
      <c r="Q138" t="s">
        <v>2821</v>
      </c>
      <c r="R138" t="s">
        <v>200</v>
      </c>
      <c r="S138" t="s">
        <v>200</v>
      </c>
      <c r="T138" t="s">
        <v>2968</v>
      </c>
      <c r="U138" t="s">
        <v>2968</v>
      </c>
      <c r="V138" t="s">
        <v>2969</v>
      </c>
      <c r="W138" t="s">
        <v>4097</v>
      </c>
      <c r="X138" t="s">
        <v>4098</v>
      </c>
      <c r="Y138" t="s">
        <v>3321</v>
      </c>
      <c r="Z138" t="s">
        <v>4099</v>
      </c>
      <c r="AA138" t="s">
        <v>3323</v>
      </c>
      <c r="AB138" t="s">
        <v>4100</v>
      </c>
      <c r="AC138" t="s">
        <v>2829</v>
      </c>
      <c r="AD138" t="s">
        <v>2883</v>
      </c>
      <c r="AE138" t="s">
        <v>2857</v>
      </c>
      <c r="AF138" t="s">
        <v>4101</v>
      </c>
      <c r="AG138" t="s">
        <v>4101</v>
      </c>
      <c r="AH138" t="s">
        <v>2834</v>
      </c>
      <c r="AI138" t="s">
        <v>2835</v>
      </c>
      <c r="AJ138" t="s">
        <v>3446</v>
      </c>
      <c r="AK138" t="s">
        <v>4102</v>
      </c>
      <c r="AL138" t="s">
        <v>4103</v>
      </c>
      <c r="AM138" t="s">
        <v>3059</v>
      </c>
      <c r="AN138" t="s">
        <v>2829</v>
      </c>
      <c r="AO138" t="s">
        <v>2839</v>
      </c>
      <c r="AP138" t="s">
        <v>2840</v>
      </c>
      <c r="AQ138" t="s">
        <v>2841</v>
      </c>
      <c r="AR138" t="s">
        <v>4104</v>
      </c>
      <c r="AS138" t="s">
        <v>4104</v>
      </c>
      <c r="AT138" t="s">
        <v>2829</v>
      </c>
      <c r="AU138" t="s">
        <v>2829</v>
      </c>
      <c r="AV138" t="s">
        <v>2829</v>
      </c>
      <c r="AW138" t="s">
        <v>2829</v>
      </c>
      <c r="AX138" t="s">
        <v>2829</v>
      </c>
      <c r="AY138" t="s">
        <v>2829</v>
      </c>
      <c r="AZ138" t="s">
        <v>2829</v>
      </c>
      <c r="BA138" t="s">
        <v>2829</v>
      </c>
      <c r="BB138" t="s">
        <v>2829</v>
      </c>
      <c r="BC138" t="s">
        <v>2829</v>
      </c>
      <c r="BD138" t="s">
        <v>4105</v>
      </c>
      <c r="BE138" t="s">
        <v>4105</v>
      </c>
      <c r="BF138" t="s">
        <v>243</v>
      </c>
      <c r="BG138" t="s">
        <v>243</v>
      </c>
      <c r="BH138" t="s">
        <v>243</v>
      </c>
      <c r="BI138" t="s">
        <v>243</v>
      </c>
      <c r="BJ138" t="s">
        <v>2829</v>
      </c>
      <c r="BK138" t="s">
        <v>243</v>
      </c>
      <c r="BL138" t="s">
        <v>243</v>
      </c>
      <c r="BM138" t="s">
        <v>243</v>
      </c>
      <c r="BN138" t="s">
        <v>243</v>
      </c>
      <c r="BO138" t="s">
        <v>243</v>
      </c>
      <c r="BP138" t="s">
        <v>4106</v>
      </c>
      <c r="BQ138" t="s">
        <v>4106</v>
      </c>
      <c r="BR138" t="s">
        <v>243</v>
      </c>
      <c r="BS138" t="s">
        <v>243</v>
      </c>
      <c r="BT138" t="s">
        <v>243</v>
      </c>
      <c r="BU138" t="s">
        <v>243</v>
      </c>
      <c r="BV138" t="s">
        <v>2829</v>
      </c>
      <c r="BW138" t="s">
        <v>243</v>
      </c>
      <c r="BX138" t="s">
        <v>243</v>
      </c>
      <c r="BY138" t="s">
        <v>243</v>
      </c>
      <c r="BZ138" t="s">
        <v>243</v>
      </c>
      <c r="CA138" t="s">
        <v>243</v>
      </c>
      <c r="CB138" t="s">
        <v>2829</v>
      </c>
      <c r="CC138" t="s">
        <v>243</v>
      </c>
      <c r="CD138" t="s">
        <v>243</v>
      </c>
      <c r="CE138" t="s">
        <v>243</v>
      </c>
      <c r="CF138" t="s">
        <v>243</v>
      </c>
      <c r="CG138" t="s">
        <v>243</v>
      </c>
      <c r="CH138" t="s">
        <v>2829</v>
      </c>
      <c r="CI138" t="s">
        <v>243</v>
      </c>
      <c r="CJ138" t="s">
        <v>243</v>
      </c>
      <c r="CK138" t="s">
        <v>243</v>
      </c>
      <c r="CL138" t="s">
        <v>243</v>
      </c>
      <c r="CM138" t="s">
        <v>243</v>
      </c>
      <c r="CN138" t="s">
        <v>3010</v>
      </c>
      <c r="CO138" t="s">
        <v>2843</v>
      </c>
      <c r="CP138" t="s">
        <v>2844</v>
      </c>
      <c r="CQ138" t="s">
        <v>430</v>
      </c>
      <c r="CR138" t="s">
        <v>2984</v>
      </c>
      <c r="CS138" t="s">
        <v>431</v>
      </c>
      <c r="CT138" t="s">
        <v>430</v>
      </c>
      <c r="CU138" t="s">
        <v>2985</v>
      </c>
      <c r="CV138" t="s">
        <v>2986</v>
      </c>
      <c r="CW138" t="s">
        <v>2984</v>
      </c>
      <c r="CX138" t="s">
        <v>2848</v>
      </c>
      <c r="CY138" t="s">
        <v>4107</v>
      </c>
    </row>
    <row r="139" spans="1:103" ht="11.25" customHeight="1">
      <c r="A139" t="s">
        <v>243</v>
      </c>
      <c r="B139" t="s">
        <v>243</v>
      </c>
      <c r="C139" t="s">
        <v>243</v>
      </c>
      <c r="D139" t="s">
        <v>243</v>
      </c>
      <c r="E139" t="s">
        <v>243</v>
      </c>
      <c r="F139" t="s">
        <v>2816</v>
      </c>
      <c r="G139" t="s">
        <v>243</v>
      </c>
      <c r="H139" t="s">
        <v>243</v>
      </c>
      <c r="I139" t="s">
        <v>4108</v>
      </c>
      <c r="J139" t="s">
        <v>243</v>
      </c>
      <c r="K139" t="s">
        <v>4109</v>
      </c>
      <c r="L139" t="s">
        <v>243</v>
      </c>
      <c r="M139" t="s">
        <v>114</v>
      </c>
      <c r="N139" t="s">
        <v>243</v>
      </c>
      <c r="O139" t="s">
        <v>2819</v>
      </c>
      <c r="P139" t="s">
        <v>2820</v>
      </c>
      <c r="Q139" t="s">
        <v>2821</v>
      </c>
      <c r="R139" t="s">
        <v>200</v>
      </c>
      <c r="S139" t="s">
        <v>200</v>
      </c>
      <c r="T139" t="s">
        <v>2968</v>
      </c>
      <c r="U139" t="s">
        <v>2968</v>
      </c>
      <c r="V139" t="s">
        <v>2969</v>
      </c>
      <c r="W139" t="s">
        <v>3722</v>
      </c>
      <c r="X139" t="s">
        <v>3723</v>
      </c>
      <c r="Y139" t="s">
        <v>4110</v>
      </c>
      <c r="Z139" t="s">
        <v>3630</v>
      </c>
      <c r="AA139" t="s">
        <v>3117</v>
      </c>
      <c r="AB139" t="s">
        <v>4111</v>
      </c>
      <c r="AC139" t="s">
        <v>2829</v>
      </c>
      <c r="AD139" t="s">
        <v>2883</v>
      </c>
      <c r="AE139" t="s">
        <v>2857</v>
      </c>
      <c r="AF139" t="s">
        <v>4112</v>
      </c>
      <c r="AG139" t="s">
        <v>4112</v>
      </c>
      <c r="AH139" t="s">
        <v>2834</v>
      </c>
      <c r="AI139" t="s">
        <v>2835</v>
      </c>
      <c r="AJ139" t="s">
        <v>3008</v>
      </c>
      <c r="AK139" t="s">
        <v>4113</v>
      </c>
      <c r="AL139" t="s">
        <v>3117</v>
      </c>
      <c r="AM139" t="s">
        <v>4111</v>
      </c>
      <c r="AN139" t="s">
        <v>2829</v>
      </c>
      <c r="AO139" t="s">
        <v>2839</v>
      </c>
      <c r="AP139" t="s">
        <v>2840</v>
      </c>
      <c r="AQ139" t="s">
        <v>2841</v>
      </c>
      <c r="AR139" t="s">
        <v>4114</v>
      </c>
      <c r="AS139" t="s">
        <v>4114</v>
      </c>
      <c r="AT139" t="s">
        <v>2829</v>
      </c>
      <c r="AU139" t="s">
        <v>2829</v>
      </c>
      <c r="AV139" t="s">
        <v>2829</v>
      </c>
      <c r="AW139" t="s">
        <v>2829</v>
      </c>
      <c r="AX139" t="s">
        <v>2829</v>
      </c>
      <c r="AY139" t="s">
        <v>2829</v>
      </c>
      <c r="AZ139" t="s">
        <v>2829</v>
      </c>
      <c r="BA139" t="s">
        <v>2829</v>
      </c>
      <c r="BB139" t="s">
        <v>2829</v>
      </c>
      <c r="BC139" t="s">
        <v>2829</v>
      </c>
      <c r="BD139" t="s">
        <v>4114</v>
      </c>
      <c r="BE139" t="s">
        <v>4114</v>
      </c>
      <c r="BF139" t="s">
        <v>243</v>
      </c>
      <c r="BG139" t="s">
        <v>243</v>
      </c>
      <c r="BH139" t="s">
        <v>243</v>
      </c>
      <c r="BI139" t="s">
        <v>243</v>
      </c>
      <c r="BJ139" t="s">
        <v>2829</v>
      </c>
      <c r="BK139" t="s">
        <v>243</v>
      </c>
      <c r="BL139" t="s">
        <v>243</v>
      </c>
      <c r="BM139" t="s">
        <v>243</v>
      </c>
      <c r="BN139" t="s">
        <v>243</v>
      </c>
      <c r="BO139" t="s">
        <v>243</v>
      </c>
      <c r="BP139" t="s">
        <v>2829</v>
      </c>
      <c r="BQ139" t="s">
        <v>243</v>
      </c>
      <c r="BR139" t="s">
        <v>243</v>
      </c>
      <c r="BS139" t="s">
        <v>243</v>
      </c>
      <c r="BT139" t="s">
        <v>243</v>
      </c>
      <c r="BU139" t="s">
        <v>243</v>
      </c>
      <c r="BV139" t="s">
        <v>2829</v>
      </c>
      <c r="BW139" t="s">
        <v>243</v>
      </c>
      <c r="BX139" t="s">
        <v>243</v>
      </c>
      <c r="BY139" t="s">
        <v>243</v>
      </c>
      <c r="BZ139" t="s">
        <v>243</v>
      </c>
      <c r="CA139" t="s">
        <v>243</v>
      </c>
      <c r="CB139" t="s">
        <v>2829</v>
      </c>
      <c r="CC139" t="s">
        <v>243</v>
      </c>
      <c r="CD139" t="s">
        <v>243</v>
      </c>
      <c r="CE139" t="s">
        <v>243</v>
      </c>
      <c r="CF139" t="s">
        <v>243</v>
      </c>
      <c r="CG139" t="s">
        <v>243</v>
      </c>
      <c r="CH139" t="s">
        <v>2829</v>
      </c>
      <c r="CI139" t="s">
        <v>243</v>
      </c>
      <c r="CJ139" t="s">
        <v>243</v>
      </c>
      <c r="CK139" t="s">
        <v>243</v>
      </c>
      <c r="CL139" t="s">
        <v>243</v>
      </c>
      <c r="CM139" t="s">
        <v>243</v>
      </c>
      <c r="CN139" t="s">
        <v>3010</v>
      </c>
      <c r="CO139" t="s">
        <v>2843</v>
      </c>
      <c r="CP139" t="s">
        <v>2844</v>
      </c>
      <c r="CQ139" t="s">
        <v>430</v>
      </c>
      <c r="CR139" t="s">
        <v>2984</v>
      </c>
      <c r="CS139" t="s">
        <v>431</v>
      </c>
      <c r="CT139" t="s">
        <v>430</v>
      </c>
      <c r="CU139" t="s">
        <v>2985</v>
      </c>
      <c r="CV139" t="s">
        <v>2986</v>
      </c>
      <c r="CW139" t="s">
        <v>2984</v>
      </c>
      <c r="CX139" t="s">
        <v>2848</v>
      </c>
      <c r="CY139" t="s">
        <v>4115</v>
      </c>
    </row>
    <row r="140" spans="1:103" ht="11.25" customHeight="1">
      <c r="A140" t="s">
        <v>243</v>
      </c>
      <c r="B140" t="s">
        <v>243</v>
      </c>
      <c r="C140" t="s">
        <v>243</v>
      </c>
      <c r="D140" t="s">
        <v>243</v>
      </c>
      <c r="E140" t="s">
        <v>243</v>
      </c>
      <c r="F140" t="s">
        <v>2816</v>
      </c>
      <c r="G140" t="s">
        <v>243</v>
      </c>
      <c r="H140" t="s">
        <v>243</v>
      </c>
      <c r="I140" t="s">
        <v>463</v>
      </c>
      <c r="J140" t="s">
        <v>243</v>
      </c>
      <c r="K140" t="s">
        <v>4116</v>
      </c>
      <c r="L140" t="s">
        <v>243</v>
      </c>
      <c r="M140" t="s">
        <v>114</v>
      </c>
      <c r="N140" t="s">
        <v>243</v>
      </c>
      <c r="O140" t="s">
        <v>2819</v>
      </c>
      <c r="P140" t="s">
        <v>2820</v>
      </c>
      <c r="Q140" t="s">
        <v>2821</v>
      </c>
      <c r="R140" t="s">
        <v>200</v>
      </c>
      <c r="S140" t="s">
        <v>200</v>
      </c>
      <c r="T140" t="s">
        <v>2822</v>
      </c>
      <c r="U140" t="s">
        <v>2822</v>
      </c>
      <c r="V140" t="s">
        <v>2823</v>
      </c>
      <c r="W140" t="s">
        <v>2952</v>
      </c>
      <c r="X140" t="s">
        <v>2953</v>
      </c>
      <c r="Y140" t="s">
        <v>4117</v>
      </c>
      <c r="Z140" t="s">
        <v>4118</v>
      </c>
      <c r="AA140" t="s">
        <v>4119</v>
      </c>
      <c r="AB140" t="s">
        <v>4120</v>
      </c>
      <c r="AC140" t="s">
        <v>2829</v>
      </c>
      <c r="AD140" t="s">
        <v>2830</v>
      </c>
      <c r="AE140" t="s">
        <v>2831</v>
      </c>
      <c r="AF140" t="s">
        <v>4121</v>
      </c>
      <c r="AG140" t="s">
        <v>4122</v>
      </c>
      <c r="AH140" t="s">
        <v>2834</v>
      </c>
      <c r="AI140" t="s">
        <v>2835</v>
      </c>
      <c r="AJ140" t="s">
        <v>2960</v>
      </c>
      <c r="AK140" t="s">
        <v>2961</v>
      </c>
      <c r="AL140" t="s">
        <v>4123</v>
      </c>
      <c r="AM140" t="s">
        <v>4124</v>
      </c>
      <c r="AN140" t="s">
        <v>2829</v>
      </c>
      <c r="AO140" t="s">
        <v>2839</v>
      </c>
      <c r="AP140" t="s">
        <v>2840</v>
      </c>
      <c r="AQ140" t="s">
        <v>2841</v>
      </c>
      <c r="AR140" t="s">
        <v>4125</v>
      </c>
      <c r="AS140" t="s">
        <v>4125</v>
      </c>
      <c r="AT140" t="s">
        <v>2829</v>
      </c>
      <c r="AU140" t="s">
        <v>2829</v>
      </c>
      <c r="AV140" t="s">
        <v>2829</v>
      </c>
      <c r="AW140" t="s">
        <v>2829</v>
      </c>
      <c r="AX140" t="s">
        <v>2829</v>
      </c>
      <c r="AY140" t="s">
        <v>2829</v>
      </c>
      <c r="AZ140" t="s">
        <v>2829</v>
      </c>
      <c r="BA140" t="s">
        <v>2829</v>
      </c>
      <c r="BB140" t="s">
        <v>2829</v>
      </c>
      <c r="BC140" t="s">
        <v>2829</v>
      </c>
      <c r="BD140" t="s">
        <v>4126</v>
      </c>
      <c r="BE140" t="s">
        <v>4126</v>
      </c>
      <c r="BF140" t="s">
        <v>243</v>
      </c>
      <c r="BG140" t="s">
        <v>243</v>
      </c>
      <c r="BH140" t="s">
        <v>243</v>
      </c>
      <c r="BI140" t="s">
        <v>243</v>
      </c>
      <c r="BJ140" t="s">
        <v>2829</v>
      </c>
      <c r="BK140" t="s">
        <v>243</v>
      </c>
      <c r="BL140" t="s">
        <v>243</v>
      </c>
      <c r="BM140" t="s">
        <v>243</v>
      </c>
      <c r="BN140" t="s">
        <v>243</v>
      </c>
      <c r="BO140" t="s">
        <v>243</v>
      </c>
      <c r="BP140" t="s">
        <v>4127</v>
      </c>
      <c r="BQ140" t="s">
        <v>4127</v>
      </c>
      <c r="BR140" t="s">
        <v>243</v>
      </c>
      <c r="BS140" t="s">
        <v>243</v>
      </c>
      <c r="BT140" t="s">
        <v>243</v>
      </c>
      <c r="BU140" t="s">
        <v>243</v>
      </c>
      <c r="BV140" t="s">
        <v>2829</v>
      </c>
      <c r="BW140" t="s">
        <v>243</v>
      </c>
      <c r="BX140" t="s">
        <v>243</v>
      </c>
      <c r="BY140" t="s">
        <v>243</v>
      </c>
      <c r="BZ140" t="s">
        <v>243</v>
      </c>
      <c r="CA140" t="s">
        <v>243</v>
      </c>
      <c r="CB140" t="s">
        <v>2829</v>
      </c>
      <c r="CC140" t="s">
        <v>243</v>
      </c>
      <c r="CD140" t="s">
        <v>243</v>
      </c>
      <c r="CE140" t="s">
        <v>243</v>
      </c>
      <c r="CF140" t="s">
        <v>243</v>
      </c>
      <c r="CG140" t="s">
        <v>243</v>
      </c>
      <c r="CH140" t="s">
        <v>2829</v>
      </c>
      <c r="CI140" t="s">
        <v>243</v>
      </c>
      <c r="CJ140" t="s">
        <v>243</v>
      </c>
      <c r="CK140" t="s">
        <v>243</v>
      </c>
      <c r="CL140" t="s">
        <v>243</v>
      </c>
      <c r="CM140" t="s">
        <v>243</v>
      </c>
      <c r="CN140" t="s">
        <v>2960</v>
      </c>
      <c r="CO140" t="s">
        <v>2843</v>
      </c>
      <c r="CP140" t="s">
        <v>2844</v>
      </c>
      <c r="CQ140" t="s">
        <v>430</v>
      </c>
      <c r="CR140" t="s">
        <v>2845</v>
      </c>
      <c r="CS140" t="s">
        <v>431</v>
      </c>
      <c r="CT140" t="s">
        <v>430</v>
      </c>
      <c r="CU140" t="s">
        <v>2846</v>
      </c>
      <c r="CV140" t="s">
        <v>2847</v>
      </c>
      <c r="CW140" t="s">
        <v>2845</v>
      </c>
      <c r="CX140" t="s">
        <v>2848</v>
      </c>
      <c r="CY140" t="s">
        <v>4128</v>
      </c>
    </row>
    <row r="141" spans="1:103" ht="11.25" customHeight="1">
      <c r="A141" t="s">
        <v>243</v>
      </c>
      <c r="B141" t="s">
        <v>243</v>
      </c>
      <c r="C141" t="s">
        <v>243</v>
      </c>
      <c r="D141" t="s">
        <v>243</v>
      </c>
      <c r="E141" t="s">
        <v>243</v>
      </c>
      <c r="F141" t="s">
        <v>2816</v>
      </c>
      <c r="G141" t="s">
        <v>243</v>
      </c>
      <c r="H141" t="s">
        <v>243</v>
      </c>
      <c r="I141" t="s">
        <v>4129</v>
      </c>
      <c r="J141" t="s">
        <v>243</v>
      </c>
      <c r="K141" t="s">
        <v>3507</v>
      </c>
      <c r="L141" t="s">
        <v>243</v>
      </c>
      <c r="M141" t="s">
        <v>114</v>
      </c>
      <c r="N141" t="s">
        <v>243</v>
      </c>
      <c r="O141" t="s">
        <v>2819</v>
      </c>
      <c r="P141" t="s">
        <v>2820</v>
      </c>
      <c r="Q141" t="s">
        <v>2821</v>
      </c>
      <c r="R141" t="s">
        <v>200</v>
      </c>
      <c r="S141" t="s">
        <v>200</v>
      </c>
      <c r="T141" t="s">
        <v>2968</v>
      </c>
      <c r="U141" t="s">
        <v>2968</v>
      </c>
      <c r="V141" t="s">
        <v>2969</v>
      </c>
      <c r="W141" t="s">
        <v>4130</v>
      </c>
      <c r="X141" t="s">
        <v>4131</v>
      </c>
      <c r="Y141" t="s">
        <v>4132</v>
      </c>
      <c r="Z141" t="s">
        <v>348</v>
      </c>
      <c r="AA141" t="s">
        <v>3117</v>
      </c>
      <c r="AB141" t="s">
        <v>4133</v>
      </c>
      <c r="AC141" t="s">
        <v>2829</v>
      </c>
      <c r="AD141" t="s">
        <v>2883</v>
      </c>
      <c r="AE141" t="s">
        <v>2857</v>
      </c>
      <c r="AF141" t="s">
        <v>4134</v>
      </c>
      <c r="AG141" t="s">
        <v>4134</v>
      </c>
      <c r="AH141" t="s">
        <v>2834</v>
      </c>
      <c r="AI141" t="s">
        <v>2835</v>
      </c>
      <c r="AJ141" t="s">
        <v>3008</v>
      </c>
      <c r="AK141" t="s">
        <v>3018</v>
      </c>
      <c r="AL141" t="s">
        <v>3117</v>
      </c>
      <c r="AM141" t="s">
        <v>4133</v>
      </c>
      <c r="AN141" t="s">
        <v>2829</v>
      </c>
      <c r="AO141" t="s">
        <v>2839</v>
      </c>
      <c r="AP141" t="s">
        <v>2840</v>
      </c>
      <c r="AQ141" t="s">
        <v>2841</v>
      </c>
      <c r="AR141" t="s">
        <v>3898</v>
      </c>
      <c r="AS141" t="s">
        <v>3898</v>
      </c>
      <c r="AT141" t="s">
        <v>2829</v>
      </c>
      <c r="AU141" t="s">
        <v>2829</v>
      </c>
      <c r="AV141" t="s">
        <v>2829</v>
      </c>
      <c r="AW141" t="s">
        <v>2829</v>
      </c>
      <c r="AX141" t="s">
        <v>2829</v>
      </c>
      <c r="AY141" t="s">
        <v>2829</v>
      </c>
      <c r="AZ141" t="s">
        <v>2829</v>
      </c>
      <c r="BA141" t="s">
        <v>2829</v>
      </c>
      <c r="BB141" t="s">
        <v>2829</v>
      </c>
      <c r="BC141" t="s">
        <v>2829</v>
      </c>
      <c r="BD141" t="s">
        <v>2829</v>
      </c>
      <c r="BE141" t="s">
        <v>243</v>
      </c>
      <c r="BF141" t="s">
        <v>243</v>
      </c>
      <c r="BG141" t="s">
        <v>243</v>
      </c>
      <c r="BH141" t="s">
        <v>243</v>
      </c>
      <c r="BI141" t="s">
        <v>243</v>
      </c>
      <c r="BJ141" t="s">
        <v>2829</v>
      </c>
      <c r="BK141" t="s">
        <v>243</v>
      </c>
      <c r="BL141" t="s">
        <v>243</v>
      </c>
      <c r="BM141" t="s">
        <v>243</v>
      </c>
      <c r="BN141" t="s">
        <v>243</v>
      </c>
      <c r="BO141" t="s">
        <v>243</v>
      </c>
      <c r="BP141" t="s">
        <v>3898</v>
      </c>
      <c r="BQ141" t="s">
        <v>3898</v>
      </c>
      <c r="BR141" t="s">
        <v>243</v>
      </c>
      <c r="BS141" t="s">
        <v>243</v>
      </c>
      <c r="BT141" t="s">
        <v>243</v>
      </c>
      <c r="BU141" t="s">
        <v>243</v>
      </c>
      <c r="BV141" t="s">
        <v>2829</v>
      </c>
      <c r="BW141" t="s">
        <v>243</v>
      </c>
      <c r="BX141" t="s">
        <v>243</v>
      </c>
      <c r="BY141" t="s">
        <v>243</v>
      </c>
      <c r="BZ141" t="s">
        <v>243</v>
      </c>
      <c r="CA141" t="s">
        <v>243</v>
      </c>
      <c r="CB141" t="s">
        <v>2829</v>
      </c>
      <c r="CC141" t="s">
        <v>243</v>
      </c>
      <c r="CD141" t="s">
        <v>243</v>
      </c>
      <c r="CE141" t="s">
        <v>243</v>
      </c>
      <c r="CF141" t="s">
        <v>243</v>
      </c>
      <c r="CG141" t="s">
        <v>243</v>
      </c>
      <c r="CH141" t="s">
        <v>2829</v>
      </c>
      <c r="CI141" t="s">
        <v>243</v>
      </c>
      <c r="CJ141" t="s">
        <v>243</v>
      </c>
      <c r="CK141" t="s">
        <v>243</v>
      </c>
      <c r="CL141" t="s">
        <v>243</v>
      </c>
      <c r="CM141" t="s">
        <v>243</v>
      </c>
      <c r="CN141" t="s">
        <v>3010</v>
      </c>
      <c r="CO141" t="s">
        <v>2843</v>
      </c>
      <c r="CP141" t="s">
        <v>2844</v>
      </c>
      <c r="CQ141" t="s">
        <v>430</v>
      </c>
      <c r="CR141" t="s">
        <v>2984</v>
      </c>
      <c r="CS141" t="s">
        <v>431</v>
      </c>
      <c r="CT141" t="s">
        <v>430</v>
      </c>
      <c r="CU141" t="s">
        <v>2985</v>
      </c>
      <c r="CV141" t="s">
        <v>2986</v>
      </c>
      <c r="CW141" t="s">
        <v>2984</v>
      </c>
      <c r="CX141" t="s">
        <v>2848</v>
      </c>
      <c r="CY141" t="s">
        <v>4135</v>
      </c>
    </row>
    <row r="142" spans="1:103" ht="11.25" customHeight="1">
      <c r="A142" t="s">
        <v>243</v>
      </c>
      <c r="B142" t="s">
        <v>243</v>
      </c>
      <c r="C142" t="s">
        <v>243</v>
      </c>
      <c r="D142" t="s">
        <v>243</v>
      </c>
      <c r="E142" t="s">
        <v>243</v>
      </c>
      <c r="F142" t="s">
        <v>2816</v>
      </c>
      <c r="G142" t="s">
        <v>243</v>
      </c>
      <c r="H142" t="s">
        <v>243</v>
      </c>
      <c r="I142" t="s">
        <v>4136</v>
      </c>
      <c r="J142" t="s">
        <v>243</v>
      </c>
      <c r="K142" t="s">
        <v>438</v>
      </c>
      <c r="L142" t="s">
        <v>243</v>
      </c>
      <c r="M142" t="s">
        <v>114</v>
      </c>
      <c r="N142" t="s">
        <v>243</v>
      </c>
      <c r="O142" t="s">
        <v>3356</v>
      </c>
      <c r="P142" t="s">
        <v>2820</v>
      </c>
      <c r="Q142" t="s">
        <v>2821</v>
      </c>
      <c r="R142" t="s">
        <v>190</v>
      </c>
      <c r="S142" t="s">
        <v>190</v>
      </c>
      <c r="T142" t="s">
        <v>405</v>
      </c>
      <c r="U142" t="s">
        <v>405</v>
      </c>
      <c r="V142" t="s">
        <v>406</v>
      </c>
      <c r="W142" t="s">
        <v>3155</v>
      </c>
      <c r="X142" t="s">
        <v>3156</v>
      </c>
      <c r="Y142" t="s">
        <v>4137</v>
      </c>
      <c r="Z142" t="s">
        <v>596</v>
      </c>
      <c r="AA142" t="s">
        <v>3393</v>
      </c>
      <c r="AB142" t="s">
        <v>4013</v>
      </c>
      <c r="AC142" t="s">
        <v>243</v>
      </c>
      <c r="AD142" t="s">
        <v>2883</v>
      </c>
      <c r="AE142" t="s">
        <v>2831</v>
      </c>
      <c r="AF142" t="s">
        <v>3161</v>
      </c>
      <c r="AG142" t="s">
        <v>3162</v>
      </c>
      <c r="AH142" t="s">
        <v>2834</v>
      </c>
      <c r="AI142" t="s">
        <v>2835</v>
      </c>
      <c r="AJ142" t="s">
        <v>2829</v>
      </c>
      <c r="AK142" t="s">
        <v>4138</v>
      </c>
      <c r="AL142" t="s">
        <v>243</v>
      </c>
      <c r="AM142" t="s">
        <v>243</v>
      </c>
      <c r="AN142" t="s">
        <v>243</v>
      </c>
      <c r="AR142" t="s">
        <v>243</v>
      </c>
      <c r="AS142" t="s">
        <v>243</v>
      </c>
      <c r="AT142" t="s">
        <v>243</v>
      </c>
      <c r="AU142" t="s">
        <v>243</v>
      </c>
      <c r="AV142" t="s">
        <v>243</v>
      </c>
      <c r="AW142" t="s">
        <v>243</v>
      </c>
      <c r="AX142" t="s">
        <v>243</v>
      </c>
      <c r="AY142" t="s">
        <v>243</v>
      </c>
      <c r="AZ142" t="s">
        <v>243</v>
      </c>
      <c r="BA142" t="s">
        <v>243</v>
      </c>
      <c r="BB142" t="s">
        <v>243</v>
      </c>
      <c r="BC142" t="s">
        <v>243</v>
      </c>
      <c r="BD142" t="s">
        <v>243</v>
      </c>
      <c r="BE142" t="s">
        <v>243</v>
      </c>
      <c r="BF142" t="s">
        <v>243</v>
      </c>
      <c r="BG142" t="s">
        <v>243</v>
      </c>
      <c r="BH142" t="s">
        <v>243</v>
      </c>
      <c r="BI142" t="s">
        <v>243</v>
      </c>
      <c r="BJ142" t="s">
        <v>243</v>
      </c>
      <c r="BK142" t="s">
        <v>243</v>
      </c>
      <c r="BL142" t="s">
        <v>243</v>
      </c>
      <c r="BM142" t="s">
        <v>243</v>
      </c>
      <c r="BN142" t="s">
        <v>243</v>
      </c>
      <c r="BO142" t="s">
        <v>243</v>
      </c>
      <c r="BP142" t="s">
        <v>243</v>
      </c>
      <c r="BQ142" t="s">
        <v>243</v>
      </c>
      <c r="BR142" t="s">
        <v>243</v>
      </c>
      <c r="BS142" t="s">
        <v>243</v>
      </c>
      <c r="BT142" t="s">
        <v>243</v>
      </c>
      <c r="BU142" t="s">
        <v>243</v>
      </c>
      <c r="BV142" t="s">
        <v>243</v>
      </c>
      <c r="BW142" t="s">
        <v>243</v>
      </c>
      <c r="BX142" t="s">
        <v>243</v>
      </c>
      <c r="BY142" t="s">
        <v>243</v>
      </c>
      <c r="BZ142" t="s">
        <v>243</v>
      </c>
      <c r="CA142" t="s">
        <v>243</v>
      </c>
      <c r="CB142" t="s">
        <v>243</v>
      </c>
      <c r="CC142" t="s">
        <v>243</v>
      </c>
      <c r="CD142" t="s">
        <v>243</v>
      </c>
      <c r="CE142" t="s">
        <v>243</v>
      </c>
      <c r="CF142" t="s">
        <v>243</v>
      </c>
      <c r="CG142" t="s">
        <v>243</v>
      </c>
      <c r="CH142" t="s">
        <v>243</v>
      </c>
      <c r="CI142" t="s">
        <v>243</v>
      </c>
      <c r="CJ142" t="s">
        <v>243</v>
      </c>
      <c r="CK142" t="s">
        <v>243</v>
      </c>
      <c r="CL142" t="s">
        <v>243</v>
      </c>
      <c r="CM142" t="s">
        <v>243</v>
      </c>
      <c r="CN142" t="s">
        <v>243</v>
      </c>
      <c r="CO142" t="s">
        <v>2843</v>
      </c>
      <c r="CP142" t="s">
        <v>2844</v>
      </c>
      <c r="CQ142" t="s">
        <v>430</v>
      </c>
      <c r="CR142" t="s">
        <v>3361</v>
      </c>
      <c r="CS142" t="s">
        <v>431</v>
      </c>
      <c r="CT142" t="s">
        <v>430</v>
      </c>
      <c r="CU142" t="s">
        <v>268</v>
      </c>
      <c r="CV142" t="s">
        <v>432</v>
      </c>
      <c r="CW142" t="s">
        <v>3361</v>
      </c>
      <c r="CX142" t="s">
        <v>2848</v>
      </c>
      <c r="CY142" t="s">
        <v>439</v>
      </c>
    </row>
    <row r="143" spans="1:103" ht="11.25" customHeight="1">
      <c r="A143" t="s">
        <v>243</v>
      </c>
      <c r="B143" t="s">
        <v>243</v>
      </c>
      <c r="C143" t="s">
        <v>243</v>
      </c>
      <c r="D143" t="s">
        <v>243</v>
      </c>
      <c r="E143" t="s">
        <v>243</v>
      </c>
      <c r="F143" t="s">
        <v>2816</v>
      </c>
      <c r="G143" t="s">
        <v>243</v>
      </c>
      <c r="H143" t="s">
        <v>243</v>
      </c>
      <c r="I143" t="s">
        <v>443</v>
      </c>
      <c r="J143" t="s">
        <v>243</v>
      </c>
      <c r="K143" t="s">
        <v>461</v>
      </c>
      <c r="L143" t="s">
        <v>243</v>
      </c>
      <c r="M143" t="s">
        <v>114</v>
      </c>
      <c r="N143" t="s">
        <v>243</v>
      </c>
      <c r="O143" t="s">
        <v>2819</v>
      </c>
      <c r="P143" t="s">
        <v>2820</v>
      </c>
      <c r="Q143" t="s">
        <v>2821</v>
      </c>
      <c r="R143" t="s">
        <v>200</v>
      </c>
      <c r="S143" t="s">
        <v>200</v>
      </c>
      <c r="T143" t="s">
        <v>2875</v>
      </c>
      <c r="U143" t="s">
        <v>2875</v>
      </c>
      <c r="V143" t="s">
        <v>2876</v>
      </c>
      <c r="W143" t="s">
        <v>2877</v>
      </c>
      <c r="X143" t="s">
        <v>2878</v>
      </c>
      <c r="Y143" t="s">
        <v>4139</v>
      </c>
      <c r="Z143" t="s">
        <v>3202</v>
      </c>
      <c r="AA143" t="s">
        <v>2942</v>
      </c>
      <c r="AB143" t="s">
        <v>4140</v>
      </c>
      <c r="AC143" t="s">
        <v>2829</v>
      </c>
      <c r="AD143" t="s">
        <v>2883</v>
      </c>
      <c r="AE143" t="s">
        <v>2884</v>
      </c>
      <c r="AF143" t="s">
        <v>4141</v>
      </c>
      <c r="AG143" t="s">
        <v>4142</v>
      </c>
      <c r="AH143" t="s">
        <v>2834</v>
      </c>
      <c r="AI143" t="s">
        <v>2887</v>
      </c>
      <c r="AJ143" t="s">
        <v>2888</v>
      </c>
      <c r="AK143" t="s">
        <v>4143</v>
      </c>
      <c r="AL143" t="s">
        <v>2942</v>
      </c>
      <c r="AM143" t="s">
        <v>4140</v>
      </c>
      <c r="AN143" t="s">
        <v>2829</v>
      </c>
      <c r="AO143" t="s">
        <v>2839</v>
      </c>
      <c r="AP143" t="s">
        <v>2840</v>
      </c>
      <c r="AQ143" t="s">
        <v>2841</v>
      </c>
      <c r="AR143" t="s">
        <v>4144</v>
      </c>
      <c r="AS143" t="s">
        <v>4145</v>
      </c>
      <c r="AT143" t="s">
        <v>4146</v>
      </c>
      <c r="AU143" t="s">
        <v>4147</v>
      </c>
      <c r="AV143" t="s">
        <v>2829</v>
      </c>
      <c r="AW143" t="s">
        <v>2829</v>
      </c>
      <c r="AX143" t="s">
        <v>2829</v>
      </c>
      <c r="AY143" t="s">
        <v>2829</v>
      </c>
      <c r="AZ143" t="s">
        <v>2829</v>
      </c>
      <c r="BA143" t="s">
        <v>2829</v>
      </c>
      <c r="BB143" t="s">
        <v>2829</v>
      </c>
      <c r="BC143" t="s">
        <v>2829</v>
      </c>
      <c r="BD143" t="s">
        <v>4148</v>
      </c>
      <c r="BE143" t="s">
        <v>3313</v>
      </c>
      <c r="BF143" t="s">
        <v>4149</v>
      </c>
      <c r="BG143" t="s">
        <v>4150</v>
      </c>
      <c r="BH143" t="s">
        <v>243</v>
      </c>
      <c r="BI143" t="s">
        <v>243</v>
      </c>
      <c r="BJ143" t="s">
        <v>2829</v>
      </c>
      <c r="BK143" t="s">
        <v>243</v>
      </c>
      <c r="BL143" t="s">
        <v>243</v>
      </c>
      <c r="BM143" t="s">
        <v>243</v>
      </c>
      <c r="BN143" t="s">
        <v>243</v>
      </c>
      <c r="BO143" t="s">
        <v>243</v>
      </c>
      <c r="BP143" t="s">
        <v>4151</v>
      </c>
      <c r="BQ143" t="s">
        <v>4152</v>
      </c>
      <c r="BR143" t="s">
        <v>4153</v>
      </c>
      <c r="BS143" t="s">
        <v>3073</v>
      </c>
      <c r="BT143" t="s">
        <v>243</v>
      </c>
      <c r="BU143" t="s">
        <v>243</v>
      </c>
      <c r="BV143" t="s">
        <v>2829</v>
      </c>
      <c r="BW143" t="s">
        <v>243</v>
      </c>
      <c r="BX143" t="s">
        <v>243</v>
      </c>
      <c r="BY143" t="s">
        <v>243</v>
      </c>
      <c r="BZ143" t="s">
        <v>243</v>
      </c>
      <c r="CA143" t="s">
        <v>243</v>
      </c>
      <c r="CB143" t="s">
        <v>2829</v>
      </c>
      <c r="CC143" t="s">
        <v>243</v>
      </c>
      <c r="CD143" t="s">
        <v>243</v>
      </c>
      <c r="CE143" t="s">
        <v>243</v>
      </c>
      <c r="CF143" t="s">
        <v>243</v>
      </c>
      <c r="CG143" t="s">
        <v>243</v>
      </c>
      <c r="CH143" t="s">
        <v>2829</v>
      </c>
      <c r="CI143" t="s">
        <v>243</v>
      </c>
      <c r="CJ143" t="s">
        <v>243</v>
      </c>
      <c r="CK143" t="s">
        <v>243</v>
      </c>
      <c r="CL143" t="s">
        <v>243</v>
      </c>
      <c r="CM143" t="s">
        <v>243</v>
      </c>
      <c r="CN143" t="s">
        <v>2888</v>
      </c>
      <c r="CO143" t="s">
        <v>2843</v>
      </c>
      <c r="CP143" t="s">
        <v>2844</v>
      </c>
      <c r="CQ143" t="s">
        <v>430</v>
      </c>
      <c r="CR143" t="s">
        <v>2899</v>
      </c>
      <c r="CS143" t="s">
        <v>431</v>
      </c>
      <c r="CT143" t="s">
        <v>430</v>
      </c>
      <c r="CU143" t="s">
        <v>2846</v>
      </c>
      <c r="CV143" t="s">
        <v>2900</v>
      </c>
      <c r="CW143" t="s">
        <v>2899</v>
      </c>
      <c r="CX143" t="s">
        <v>2848</v>
      </c>
      <c r="CY143" t="s">
        <v>4154</v>
      </c>
    </row>
    <row r="144" spans="1:103" ht="11.25" customHeight="1">
      <c r="A144" t="s">
        <v>243</v>
      </c>
      <c r="B144" t="s">
        <v>243</v>
      </c>
      <c r="C144" t="s">
        <v>243</v>
      </c>
      <c r="D144" t="s">
        <v>243</v>
      </c>
      <c r="E144" t="s">
        <v>243</v>
      </c>
      <c r="F144" t="s">
        <v>2816</v>
      </c>
      <c r="G144" t="s">
        <v>243</v>
      </c>
      <c r="H144" t="s">
        <v>243</v>
      </c>
      <c r="I144" t="s">
        <v>4155</v>
      </c>
      <c r="J144" t="s">
        <v>243</v>
      </c>
      <c r="K144" t="s">
        <v>4156</v>
      </c>
      <c r="L144" t="s">
        <v>243</v>
      </c>
      <c r="M144" t="s">
        <v>114</v>
      </c>
      <c r="N144" t="s">
        <v>243</v>
      </c>
      <c r="O144" t="s">
        <v>2819</v>
      </c>
      <c r="P144" t="s">
        <v>2820</v>
      </c>
      <c r="Q144" t="s">
        <v>2821</v>
      </c>
      <c r="R144" t="s">
        <v>200</v>
      </c>
      <c r="S144" t="s">
        <v>200</v>
      </c>
      <c r="T144" t="s">
        <v>2933</v>
      </c>
      <c r="U144" t="s">
        <v>2933</v>
      </c>
      <c r="V144" t="s">
        <v>2934</v>
      </c>
      <c r="W144" t="s">
        <v>3138</v>
      </c>
      <c r="X144" t="s">
        <v>3139</v>
      </c>
      <c r="Y144" t="s">
        <v>3271</v>
      </c>
      <c r="Z144" t="s">
        <v>4157</v>
      </c>
      <c r="AA144" t="s">
        <v>4158</v>
      </c>
      <c r="AB144" t="s">
        <v>4159</v>
      </c>
      <c r="AC144" t="s">
        <v>2829</v>
      </c>
      <c r="AD144" t="s">
        <v>2883</v>
      </c>
      <c r="AE144" t="s">
        <v>2831</v>
      </c>
      <c r="AF144" t="s">
        <v>3144</v>
      </c>
      <c r="AG144" t="s">
        <v>4160</v>
      </c>
      <c r="AH144" t="s">
        <v>2834</v>
      </c>
      <c r="AI144" t="s">
        <v>2835</v>
      </c>
      <c r="AJ144" t="s">
        <v>3146</v>
      </c>
      <c r="AK144" t="s">
        <v>4161</v>
      </c>
      <c r="AL144" t="s">
        <v>4158</v>
      </c>
      <c r="AM144" t="s">
        <v>4162</v>
      </c>
      <c r="AN144" t="s">
        <v>2829</v>
      </c>
      <c r="AO144" t="s">
        <v>2839</v>
      </c>
      <c r="AP144" t="s">
        <v>2840</v>
      </c>
      <c r="AQ144" t="s">
        <v>2841</v>
      </c>
      <c r="AR144" t="s">
        <v>4163</v>
      </c>
      <c r="AS144" t="s">
        <v>4163</v>
      </c>
      <c r="AT144" t="s">
        <v>2829</v>
      </c>
      <c r="AU144" t="s">
        <v>2829</v>
      </c>
      <c r="AV144" t="s">
        <v>2829</v>
      </c>
      <c r="AW144" t="s">
        <v>2829</v>
      </c>
      <c r="AX144" t="s">
        <v>2829</v>
      </c>
      <c r="AY144" t="s">
        <v>2829</v>
      </c>
      <c r="AZ144" t="s">
        <v>2829</v>
      </c>
      <c r="BA144" t="s">
        <v>2829</v>
      </c>
      <c r="BB144" t="s">
        <v>2829</v>
      </c>
      <c r="BC144" t="s">
        <v>2829</v>
      </c>
      <c r="BD144" t="s">
        <v>3107</v>
      </c>
      <c r="BE144" t="s">
        <v>3107</v>
      </c>
      <c r="BF144" t="s">
        <v>243</v>
      </c>
      <c r="BG144" t="s">
        <v>243</v>
      </c>
      <c r="BH144" t="s">
        <v>243</v>
      </c>
      <c r="BI144" t="s">
        <v>243</v>
      </c>
      <c r="BJ144" t="s">
        <v>2829</v>
      </c>
      <c r="BK144" t="s">
        <v>243</v>
      </c>
      <c r="BL144" t="s">
        <v>243</v>
      </c>
      <c r="BM144" t="s">
        <v>243</v>
      </c>
      <c r="BN144" t="s">
        <v>243</v>
      </c>
      <c r="BO144" t="s">
        <v>243</v>
      </c>
      <c r="BP144" t="s">
        <v>3528</v>
      </c>
      <c r="BQ144" t="s">
        <v>3528</v>
      </c>
      <c r="BR144" t="s">
        <v>243</v>
      </c>
      <c r="BS144" t="s">
        <v>243</v>
      </c>
      <c r="BT144" t="s">
        <v>243</v>
      </c>
      <c r="BU144" t="s">
        <v>243</v>
      </c>
      <c r="BV144" t="s">
        <v>2829</v>
      </c>
      <c r="BW144" t="s">
        <v>243</v>
      </c>
      <c r="BX144" t="s">
        <v>243</v>
      </c>
      <c r="BY144" t="s">
        <v>243</v>
      </c>
      <c r="BZ144" t="s">
        <v>243</v>
      </c>
      <c r="CA144" t="s">
        <v>243</v>
      </c>
      <c r="CB144" t="s">
        <v>2829</v>
      </c>
      <c r="CC144" t="s">
        <v>243</v>
      </c>
      <c r="CD144" t="s">
        <v>243</v>
      </c>
      <c r="CE144" t="s">
        <v>243</v>
      </c>
      <c r="CF144" t="s">
        <v>243</v>
      </c>
      <c r="CG144" t="s">
        <v>243</v>
      </c>
      <c r="CH144" t="s">
        <v>2829</v>
      </c>
      <c r="CI144" t="s">
        <v>243</v>
      </c>
      <c r="CJ144" t="s">
        <v>243</v>
      </c>
      <c r="CK144" t="s">
        <v>243</v>
      </c>
      <c r="CL144" t="s">
        <v>243</v>
      </c>
      <c r="CM144" t="s">
        <v>243</v>
      </c>
      <c r="CN144" t="s">
        <v>3150</v>
      </c>
      <c r="CO144" t="s">
        <v>2843</v>
      </c>
      <c r="CP144" t="s">
        <v>2844</v>
      </c>
      <c r="CQ144" t="s">
        <v>430</v>
      </c>
      <c r="CR144" t="s">
        <v>3151</v>
      </c>
      <c r="CS144" t="s">
        <v>266</v>
      </c>
      <c r="CT144" t="s">
        <v>430</v>
      </c>
      <c r="CU144" t="s">
        <v>440</v>
      </c>
      <c r="CV144" t="s">
        <v>3152</v>
      </c>
      <c r="CW144" t="s">
        <v>3151</v>
      </c>
      <c r="CX144" t="s">
        <v>2848</v>
      </c>
      <c r="CY144" t="s">
        <v>4164</v>
      </c>
    </row>
    <row r="145" spans="1:103" ht="11.25" customHeight="1">
      <c r="A145" t="s">
        <v>243</v>
      </c>
      <c r="B145" t="s">
        <v>243</v>
      </c>
      <c r="C145" t="s">
        <v>243</v>
      </c>
      <c r="D145" t="s">
        <v>243</v>
      </c>
      <c r="E145" t="s">
        <v>243</v>
      </c>
      <c r="F145" t="s">
        <v>2816</v>
      </c>
      <c r="G145" t="s">
        <v>243</v>
      </c>
      <c r="H145" t="s">
        <v>243</v>
      </c>
      <c r="I145" t="s">
        <v>4165</v>
      </c>
      <c r="J145" t="s">
        <v>243</v>
      </c>
      <c r="K145" t="s">
        <v>4166</v>
      </c>
      <c r="L145" t="s">
        <v>243</v>
      </c>
      <c r="M145" t="s">
        <v>114</v>
      </c>
      <c r="N145" t="s">
        <v>243</v>
      </c>
      <c r="O145" t="s">
        <v>2819</v>
      </c>
      <c r="P145" t="s">
        <v>2820</v>
      </c>
      <c r="Q145" t="s">
        <v>2821</v>
      </c>
      <c r="R145" t="s">
        <v>200</v>
      </c>
      <c r="S145" t="s">
        <v>200</v>
      </c>
      <c r="T145" t="s">
        <v>2822</v>
      </c>
      <c r="U145" t="s">
        <v>2822</v>
      </c>
      <c r="V145" t="s">
        <v>2823</v>
      </c>
      <c r="W145" t="s">
        <v>4167</v>
      </c>
      <c r="X145" t="s">
        <v>4168</v>
      </c>
      <c r="Y145" t="s">
        <v>4169</v>
      </c>
      <c r="Z145" t="s">
        <v>907</v>
      </c>
      <c r="AA145" t="s">
        <v>3066</v>
      </c>
      <c r="AB145" t="s">
        <v>2898</v>
      </c>
      <c r="AC145" t="s">
        <v>2829</v>
      </c>
      <c r="AD145" t="s">
        <v>2830</v>
      </c>
      <c r="AE145" t="s">
        <v>2831</v>
      </c>
      <c r="AF145" t="s">
        <v>4170</v>
      </c>
      <c r="AG145" t="s">
        <v>2833</v>
      </c>
      <c r="AH145" t="s">
        <v>2834</v>
      </c>
      <c r="AI145" t="s">
        <v>2835</v>
      </c>
      <c r="AJ145" t="s">
        <v>2829</v>
      </c>
      <c r="AK145" t="s">
        <v>4171</v>
      </c>
      <c r="AL145" t="s">
        <v>3228</v>
      </c>
      <c r="AM145" t="s">
        <v>2898</v>
      </c>
      <c r="AN145" t="s">
        <v>2829</v>
      </c>
      <c r="AO145" t="s">
        <v>2839</v>
      </c>
      <c r="AP145" t="s">
        <v>2840</v>
      </c>
      <c r="AQ145" t="s">
        <v>2841</v>
      </c>
      <c r="AR145" t="s">
        <v>4172</v>
      </c>
      <c r="AS145" t="s">
        <v>4172</v>
      </c>
      <c r="AT145" t="s">
        <v>2829</v>
      </c>
      <c r="AU145" t="s">
        <v>2829</v>
      </c>
      <c r="AV145" t="s">
        <v>2829</v>
      </c>
      <c r="AW145" t="s">
        <v>2829</v>
      </c>
      <c r="AX145" t="s">
        <v>2829</v>
      </c>
      <c r="AY145" t="s">
        <v>2829</v>
      </c>
      <c r="AZ145" t="s">
        <v>2829</v>
      </c>
      <c r="BA145" t="s">
        <v>2829</v>
      </c>
      <c r="BB145" t="s">
        <v>2829</v>
      </c>
      <c r="BC145" t="s">
        <v>2829</v>
      </c>
      <c r="BD145" t="s">
        <v>4172</v>
      </c>
      <c r="BE145" t="s">
        <v>4172</v>
      </c>
      <c r="BF145" t="s">
        <v>243</v>
      </c>
      <c r="BG145" t="s">
        <v>243</v>
      </c>
      <c r="BH145" t="s">
        <v>243</v>
      </c>
      <c r="BI145" t="s">
        <v>243</v>
      </c>
      <c r="BJ145" t="s">
        <v>2829</v>
      </c>
      <c r="BK145" t="s">
        <v>243</v>
      </c>
      <c r="BL145" t="s">
        <v>243</v>
      </c>
      <c r="BM145" t="s">
        <v>243</v>
      </c>
      <c r="BN145" t="s">
        <v>243</v>
      </c>
      <c r="BO145" t="s">
        <v>243</v>
      </c>
      <c r="BP145" t="s">
        <v>2829</v>
      </c>
      <c r="BQ145" t="s">
        <v>243</v>
      </c>
      <c r="BR145" t="s">
        <v>243</v>
      </c>
      <c r="BS145" t="s">
        <v>243</v>
      </c>
      <c r="BT145" t="s">
        <v>243</v>
      </c>
      <c r="BU145" t="s">
        <v>243</v>
      </c>
      <c r="BV145" t="s">
        <v>2829</v>
      </c>
      <c r="BW145" t="s">
        <v>243</v>
      </c>
      <c r="BX145" t="s">
        <v>243</v>
      </c>
      <c r="BY145" t="s">
        <v>243</v>
      </c>
      <c r="BZ145" t="s">
        <v>243</v>
      </c>
      <c r="CA145" t="s">
        <v>243</v>
      </c>
      <c r="CB145" t="s">
        <v>2829</v>
      </c>
      <c r="CC145" t="s">
        <v>243</v>
      </c>
      <c r="CD145" t="s">
        <v>243</v>
      </c>
      <c r="CE145" t="s">
        <v>243</v>
      </c>
      <c r="CF145" t="s">
        <v>243</v>
      </c>
      <c r="CG145" t="s">
        <v>243</v>
      </c>
      <c r="CH145" t="s">
        <v>2829</v>
      </c>
      <c r="CI145" t="s">
        <v>243</v>
      </c>
      <c r="CJ145" t="s">
        <v>243</v>
      </c>
      <c r="CK145" t="s">
        <v>243</v>
      </c>
      <c r="CL145" t="s">
        <v>243</v>
      </c>
      <c r="CM145" t="s">
        <v>243</v>
      </c>
      <c r="CN145" t="s">
        <v>2829</v>
      </c>
      <c r="CO145" t="s">
        <v>2843</v>
      </c>
      <c r="CP145" t="s">
        <v>2844</v>
      </c>
      <c r="CQ145" t="s">
        <v>430</v>
      </c>
      <c r="CR145" t="s">
        <v>2845</v>
      </c>
      <c r="CS145" t="s">
        <v>431</v>
      </c>
      <c r="CT145" t="s">
        <v>430</v>
      </c>
      <c r="CU145" t="s">
        <v>2846</v>
      </c>
      <c r="CV145" t="s">
        <v>2847</v>
      </c>
      <c r="CW145" t="s">
        <v>2845</v>
      </c>
      <c r="CX145" t="s">
        <v>2848</v>
      </c>
      <c r="CY145" t="s">
        <v>4173</v>
      </c>
    </row>
    <row r="146" spans="1:103" ht="11.25" customHeight="1">
      <c r="A146" t="s">
        <v>243</v>
      </c>
      <c r="B146" t="s">
        <v>243</v>
      </c>
      <c r="C146" t="s">
        <v>243</v>
      </c>
      <c r="D146" t="s">
        <v>243</v>
      </c>
      <c r="E146" t="s">
        <v>243</v>
      </c>
      <c r="F146" t="s">
        <v>2816</v>
      </c>
      <c r="G146" t="s">
        <v>243</v>
      </c>
      <c r="H146" t="s">
        <v>243</v>
      </c>
      <c r="I146" t="s">
        <v>4174</v>
      </c>
      <c r="J146" t="s">
        <v>243</v>
      </c>
      <c r="K146" t="s">
        <v>455</v>
      </c>
      <c r="L146" t="s">
        <v>243</v>
      </c>
      <c r="M146" t="s">
        <v>114</v>
      </c>
      <c r="N146" t="s">
        <v>243</v>
      </c>
      <c r="O146" t="s">
        <v>2819</v>
      </c>
      <c r="P146" t="s">
        <v>2820</v>
      </c>
      <c r="Q146" t="s">
        <v>2821</v>
      </c>
      <c r="R146" t="s">
        <v>200</v>
      </c>
      <c r="S146" t="s">
        <v>200</v>
      </c>
      <c r="T146" t="s">
        <v>2822</v>
      </c>
      <c r="U146" t="s">
        <v>2822</v>
      </c>
      <c r="V146" t="s">
        <v>2823</v>
      </c>
      <c r="W146" t="s">
        <v>4175</v>
      </c>
      <c r="X146" t="s">
        <v>4176</v>
      </c>
      <c r="Y146" t="s">
        <v>2864</v>
      </c>
      <c r="Z146" t="s">
        <v>4157</v>
      </c>
      <c r="AA146" t="s">
        <v>2965</v>
      </c>
      <c r="AB146" t="s">
        <v>4177</v>
      </c>
      <c r="AC146" t="s">
        <v>2829</v>
      </c>
      <c r="AD146" t="s">
        <v>2830</v>
      </c>
      <c r="AE146" t="s">
        <v>2831</v>
      </c>
      <c r="AF146" t="s">
        <v>4178</v>
      </c>
      <c r="AG146" t="s">
        <v>4179</v>
      </c>
      <c r="AH146" t="s">
        <v>2834</v>
      </c>
      <c r="AI146" t="s">
        <v>2835</v>
      </c>
      <c r="AJ146" t="s">
        <v>2960</v>
      </c>
      <c r="AK146" t="s">
        <v>3965</v>
      </c>
      <c r="AL146" t="s">
        <v>2965</v>
      </c>
      <c r="AM146" t="s">
        <v>4180</v>
      </c>
      <c r="AN146" t="s">
        <v>2829</v>
      </c>
      <c r="AO146" t="s">
        <v>2839</v>
      </c>
      <c r="AP146" t="s">
        <v>2840</v>
      </c>
      <c r="AQ146" t="s">
        <v>2841</v>
      </c>
      <c r="AR146" t="s">
        <v>4181</v>
      </c>
      <c r="AS146" t="s">
        <v>4181</v>
      </c>
      <c r="AT146" t="s">
        <v>2829</v>
      </c>
      <c r="AU146" t="s">
        <v>2829</v>
      </c>
      <c r="AV146" t="s">
        <v>2829</v>
      </c>
      <c r="AW146" t="s">
        <v>2829</v>
      </c>
      <c r="AX146" t="s">
        <v>2829</v>
      </c>
      <c r="AY146" t="s">
        <v>2829</v>
      </c>
      <c r="AZ146" t="s">
        <v>2829</v>
      </c>
      <c r="BA146" t="s">
        <v>2829</v>
      </c>
      <c r="BB146" t="s">
        <v>2829</v>
      </c>
      <c r="BC146" t="s">
        <v>2829</v>
      </c>
      <c r="BD146" t="s">
        <v>4181</v>
      </c>
      <c r="BE146" t="s">
        <v>4181</v>
      </c>
      <c r="BF146" t="s">
        <v>243</v>
      </c>
      <c r="BG146" t="s">
        <v>243</v>
      </c>
      <c r="BH146" t="s">
        <v>243</v>
      </c>
      <c r="BI146" t="s">
        <v>243</v>
      </c>
      <c r="BJ146" t="s">
        <v>2829</v>
      </c>
      <c r="BK146" t="s">
        <v>243</v>
      </c>
      <c r="BL146" t="s">
        <v>243</v>
      </c>
      <c r="BM146" t="s">
        <v>243</v>
      </c>
      <c r="BN146" t="s">
        <v>243</v>
      </c>
      <c r="BO146" t="s">
        <v>243</v>
      </c>
      <c r="BP146" t="s">
        <v>2829</v>
      </c>
      <c r="BQ146" t="s">
        <v>243</v>
      </c>
      <c r="BR146" t="s">
        <v>243</v>
      </c>
      <c r="BS146" t="s">
        <v>243</v>
      </c>
      <c r="BT146" t="s">
        <v>243</v>
      </c>
      <c r="BU146" t="s">
        <v>243</v>
      </c>
      <c r="BV146" t="s">
        <v>2829</v>
      </c>
      <c r="BW146" t="s">
        <v>243</v>
      </c>
      <c r="BX146" t="s">
        <v>243</v>
      </c>
      <c r="BY146" t="s">
        <v>243</v>
      </c>
      <c r="BZ146" t="s">
        <v>243</v>
      </c>
      <c r="CA146" t="s">
        <v>243</v>
      </c>
      <c r="CB146" t="s">
        <v>2829</v>
      </c>
      <c r="CC146" t="s">
        <v>243</v>
      </c>
      <c r="CD146" t="s">
        <v>243</v>
      </c>
      <c r="CE146" t="s">
        <v>243</v>
      </c>
      <c r="CF146" t="s">
        <v>243</v>
      </c>
      <c r="CG146" t="s">
        <v>243</v>
      </c>
      <c r="CH146" t="s">
        <v>2829</v>
      </c>
      <c r="CI146" t="s">
        <v>243</v>
      </c>
      <c r="CJ146" t="s">
        <v>243</v>
      </c>
      <c r="CK146" t="s">
        <v>243</v>
      </c>
      <c r="CL146" t="s">
        <v>243</v>
      </c>
      <c r="CM146" t="s">
        <v>243</v>
      </c>
      <c r="CN146" t="s">
        <v>2960</v>
      </c>
      <c r="CO146" t="s">
        <v>2843</v>
      </c>
      <c r="CP146" t="s">
        <v>2844</v>
      </c>
      <c r="CQ146" t="s">
        <v>430</v>
      </c>
      <c r="CR146" t="s">
        <v>2845</v>
      </c>
      <c r="CS146" t="s">
        <v>431</v>
      </c>
      <c r="CT146" t="s">
        <v>430</v>
      </c>
      <c r="CU146" t="s">
        <v>2846</v>
      </c>
      <c r="CV146" t="s">
        <v>2847</v>
      </c>
      <c r="CW146" t="s">
        <v>2845</v>
      </c>
      <c r="CX146" t="s">
        <v>2848</v>
      </c>
      <c r="CY146" t="s">
        <v>4182</v>
      </c>
    </row>
    <row r="147" spans="1:103" ht="11.25" customHeight="1">
      <c r="A147" t="s">
        <v>243</v>
      </c>
      <c r="B147" t="s">
        <v>243</v>
      </c>
      <c r="C147" t="s">
        <v>243</v>
      </c>
      <c r="D147" t="s">
        <v>243</v>
      </c>
      <c r="E147" t="s">
        <v>243</v>
      </c>
      <c r="F147" t="s">
        <v>2816</v>
      </c>
      <c r="G147" t="s">
        <v>243</v>
      </c>
      <c r="H147" t="s">
        <v>243</v>
      </c>
      <c r="I147" t="s">
        <v>897</v>
      </c>
      <c r="J147" t="s">
        <v>243</v>
      </c>
      <c r="K147" t="s">
        <v>441</v>
      </c>
      <c r="L147" t="s">
        <v>243</v>
      </c>
      <c r="M147" t="s">
        <v>114</v>
      </c>
      <c r="N147" t="s">
        <v>243</v>
      </c>
      <c r="O147" t="s">
        <v>2819</v>
      </c>
      <c r="P147" t="s">
        <v>2820</v>
      </c>
      <c r="Q147" t="s">
        <v>2821</v>
      </c>
      <c r="R147" t="s">
        <v>200</v>
      </c>
      <c r="S147" t="s">
        <v>200</v>
      </c>
      <c r="T147" t="s">
        <v>2822</v>
      </c>
      <c r="U147" t="s">
        <v>2822</v>
      </c>
      <c r="V147" t="s">
        <v>2823</v>
      </c>
      <c r="W147" t="s">
        <v>4183</v>
      </c>
      <c r="X147" t="s">
        <v>4184</v>
      </c>
      <c r="Y147" t="s">
        <v>3064</v>
      </c>
      <c r="Z147" t="s">
        <v>4185</v>
      </c>
      <c r="AA147" t="s">
        <v>3260</v>
      </c>
      <c r="AB147" t="s">
        <v>4186</v>
      </c>
      <c r="AC147" t="s">
        <v>2829</v>
      </c>
      <c r="AD147" t="s">
        <v>2830</v>
      </c>
      <c r="AE147" t="s">
        <v>2831</v>
      </c>
      <c r="AF147" t="s">
        <v>4187</v>
      </c>
      <c r="AG147" t="s">
        <v>4188</v>
      </c>
      <c r="AH147" t="s">
        <v>2834</v>
      </c>
      <c r="AI147" t="s">
        <v>2835</v>
      </c>
      <c r="AJ147" t="s">
        <v>2960</v>
      </c>
      <c r="AK147" t="s">
        <v>3057</v>
      </c>
      <c r="AL147" t="s">
        <v>3260</v>
      </c>
      <c r="AM147" t="s">
        <v>3118</v>
      </c>
      <c r="AN147" t="s">
        <v>2829</v>
      </c>
      <c r="AO147" t="s">
        <v>2839</v>
      </c>
      <c r="AP147" t="s">
        <v>2840</v>
      </c>
      <c r="AQ147" t="s">
        <v>2841</v>
      </c>
      <c r="AR147" t="s">
        <v>4189</v>
      </c>
      <c r="AS147" t="s">
        <v>4189</v>
      </c>
      <c r="AT147" t="s">
        <v>2829</v>
      </c>
      <c r="AU147" t="s">
        <v>2829</v>
      </c>
      <c r="AV147" t="s">
        <v>2829</v>
      </c>
      <c r="AW147" t="s">
        <v>2829</v>
      </c>
      <c r="AX147" t="s">
        <v>2829</v>
      </c>
      <c r="AY147" t="s">
        <v>2829</v>
      </c>
      <c r="AZ147" t="s">
        <v>2829</v>
      </c>
      <c r="BA147" t="s">
        <v>2829</v>
      </c>
      <c r="BB147" t="s">
        <v>2829</v>
      </c>
      <c r="BC147" t="s">
        <v>2829</v>
      </c>
      <c r="BD147" t="s">
        <v>2829</v>
      </c>
      <c r="BE147" t="s">
        <v>243</v>
      </c>
      <c r="BF147" t="s">
        <v>243</v>
      </c>
      <c r="BG147" t="s">
        <v>243</v>
      </c>
      <c r="BH147" t="s">
        <v>243</v>
      </c>
      <c r="BI147" t="s">
        <v>243</v>
      </c>
      <c r="BJ147" t="s">
        <v>2829</v>
      </c>
      <c r="BK147" t="s">
        <v>243</v>
      </c>
      <c r="BL147" t="s">
        <v>243</v>
      </c>
      <c r="BM147" t="s">
        <v>243</v>
      </c>
      <c r="BN147" t="s">
        <v>243</v>
      </c>
      <c r="BO147" t="s">
        <v>243</v>
      </c>
      <c r="BP147" t="s">
        <v>2829</v>
      </c>
      <c r="BQ147" t="s">
        <v>243</v>
      </c>
      <c r="BR147" t="s">
        <v>243</v>
      </c>
      <c r="BS147" t="s">
        <v>243</v>
      </c>
      <c r="BT147" t="s">
        <v>243</v>
      </c>
      <c r="BU147" t="s">
        <v>243</v>
      </c>
      <c r="BV147" t="s">
        <v>2829</v>
      </c>
      <c r="BW147" t="s">
        <v>243</v>
      </c>
      <c r="BX147" t="s">
        <v>243</v>
      </c>
      <c r="BY147" t="s">
        <v>243</v>
      </c>
      <c r="BZ147" t="s">
        <v>243</v>
      </c>
      <c r="CA147" t="s">
        <v>243</v>
      </c>
      <c r="CB147" t="s">
        <v>4189</v>
      </c>
      <c r="CC147" t="s">
        <v>4189</v>
      </c>
      <c r="CD147" t="s">
        <v>243</v>
      </c>
      <c r="CE147" t="s">
        <v>243</v>
      </c>
      <c r="CF147" t="s">
        <v>243</v>
      </c>
      <c r="CG147" t="s">
        <v>243</v>
      </c>
      <c r="CH147" t="s">
        <v>2829</v>
      </c>
      <c r="CI147" t="s">
        <v>243</v>
      </c>
      <c r="CJ147" t="s">
        <v>243</v>
      </c>
      <c r="CK147" t="s">
        <v>243</v>
      </c>
      <c r="CL147" t="s">
        <v>243</v>
      </c>
      <c r="CM147" t="s">
        <v>243</v>
      </c>
      <c r="CN147" t="s">
        <v>2960</v>
      </c>
      <c r="CO147" t="s">
        <v>2843</v>
      </c>
      <c r="CP147" t="s">
        <v>2844</v>
      </c>
      <c r="CQ147" t="s">
        <v>430</v>
      </c>
      <c r="CR147" t="s">
        <v>2845</v>
      </c>
      <c r="CS147" t="s">
        <v>431</v>
      </c>
      <c r="CT147" t="s">
        <v>430</v>
      </c>
      <c r="CU147" t="s">
        <v>2846</v>
      </c>
      <c r="CV147" t="s">
        <v>2847</v>
      </c>
      <c r="CW147" t="s">
        <v>2845</v>
      </c>
      <c r="CX147" t="s">
        <v>2848</v>
      </c>
      <c r="CY147" t="s">
        <v>4190</v>
      </c>
    </row>
    <row r="148" spans="1:103" ht="11.25" customHeight="1">
      <c r="A148" t="s">
        <v>243</v>
      </c>
      <c r="B148" t="s">
        <v>243</v>
      </c>
      <c r="C148" t="s">
        <v>243</v>
      </c>
      <c r="D148" t="s">
        <v>243</v>
      </c>
      <c r="E148" t="s">
        <v>243</v>
      </c>
      <c r="F148" t="s">
        <v>2816</v>
      </c>
      <c r="G148" t="s">
        <v>243</v>
      </c>
      <c r="H148" t="s">
        <v>243</v>
      </c>
      <c r="I148" t="s">
        <v>923</v>
      </c>
      <c r="J148" t="s">
        <v>243</v>
      </c>
      <c r="K148" t="s">
        <v>2818</v>
      </c>
      <c r="L148" t="s">
        <v>243</v>
      </c>
      <c r="M148" t="s">
        <v>114</v>
      </c>
      <c r="N148" t="s">
        <v>243</v>
      </c>
      <c r="O148" t="s">
        <v>2819</v>
      </c>
      <c r="P148" t="s">
        <v>2820</v>
      </c>
      <c r="Q148" t="s">
        <v>2821</v>
      </c>
      <c r="R148" t="s">
        <v>200</v>
      </c>
      <c r="S148" t="s">
        <v>200</v>
      </c>
      <c r="T148" t="s">
        <v>2822</v>
      </c>
      <c r="U148" t="s">
        <v>2822</v>
      </c>
      <c r="V148" t="s">
        <v>2823</v>
      </c>
      <c r="W148" t="s">
        <v>4080</v>
      </c>
      <c r="X148" t="s">
        <v>4081</v>
      </c>
      <c r="Y148" t="s">
        <v>2913</v>
      </c>
      <c r="Z148" t="s">
        <v>4191</v>
      </c>
      <c r="AA148" t="s">
        <v>2855</v>
      </c>
      <c r="AB148" t="s">
        <v>3876</v>
      </c>
      <c r="AC148" t="s">
        <v>2829</v>
      </c>
      <c r="AD148" t="s">
        <v>2830</v>
      </c>
      <c r="AE148" t="s">
        <v>2831</v>
      </c>
      <c r="AF148" t="s">
        <v>4192</v>
      </c>
      <c r="AG148" t="s">
        <v>2833</v>
      </c>
      <c r="AH148" t="s">
        <v>2834</v>
      </c>
      <c r="AI148" t="s">
        <v>2835</v>
      </c>
      <c r="AJ148" t="s">
        <v>2836</v>
      </c>
      <c r="AK148" t="s">
        <v>2837</v>
      </c>
      <c r="AL148" t="s">
        <v>2855</v>
      </c>
      <c r="AM148" t="s">
        <v>2838</v>
      </c>
      <c r="AN148" t="s">
        <v>2829</v>
      </c>
      <c r="AO148" t="s">
        <v>2839</v>
      </c>
      <c r="AP148" t="s">
        <v>2840</v>
      </c>
      <c r="AQ148" t="s">
        <v>2841</v>
      </c>
      <c r="AR148" t="s">
        <v>2842</v>
      </c>
      <c r="AS148" t="s">
        <v>2842</v>
      </c>
      <c r="AT148" t="s">
        <v>2829</v>
      </c>
      <c r="AU148" t="s">
        <v>2829</v>
      </c>
      <c r="AV148" t="s">
        <v>2829</v>
      </c>
      <c r="AW148" t="s">
        <v>2829</v>
      </c>
      <c r="AX148" t="s">
        <v>2829</v>
      </c>
      <c r="AY148" t="s">
        <v>2829</v>
      </c>
      <c r="AZ148" t="s">
        <v>2829</v>
      </c>
      <c r="BA148" t="s">
        <v>2829</v>
      </c>
      <c r="BB148" t="s">
        <v>2829</v>
      </c>
      <c r="BC148" t="s">
        <v>2829</v>
      </c>
      <c r="BD148" t="s">
        <v>2842</v>
      </c>
      <c r="BE148" t="s">
        <v>2842</v>
      </c>
      <c r="BF148" t="s">
        <v>243</v>
      </c>
      <c r="BG148" t="s">
        <v>243</v>
      </c>
      <c r="BH148" t="s">
        <v>243</v>
      </c>
      <c r="BI148" t="s">
        <v>243</v>
      </c>
      <c r="BJ148" t="s">
        <v>2829</v>
      </c>
      <c r="BK148" t="s">
        <v>243</v>
      </c>
      <c r="BL148" t="s">
        <v>243</v>
      </c>
      <c r="BM148" t="s">
        <v>243</v>
      </c>
      <c r="BN148" t="s">
        <v>243</v>
      </c>
      <c r="BO148" t="s">
        <v>243</v>
      </c>
      <c r="BP148" t="s">
        <v>2829</v>
      </c>
      <c r="BQ148" t="s">
        <v>243</v>
      </c>
      <c r="BR148" t="s">
        <v>243</v>
      </c>
      <c r="BS148" t="s">
        <v>243</v>
      </c>
      <c r="BT148" t="s">
        <v>243</v>
      </c>
      <c r="BU148" t="s">
        <v>243</v>
      </c>
      <c r="BV148" t="s">
        <v>2829</v>
      </c>
      <c r="BW148" t="s">
        <v>243</v>
      </c>
      <c r="BX148" t="s">
        <v>243</v>
      </c>
      <c r="BY148" t="s">
        <v>243</v>
      </c>
      <c r="BZ148" t="s">
        <v>243</v>
      </c>
      <c r="CA148" t="s">
        <v>243</v>
      </c>
      <c r="CB148" t="s">
        <v>2829</v>
      </c>
      <c r="CC148" t="s">
        <v>243</v>
      </c>
      <c r="CD148" t="s">
        <v>243</v>
      </c>
      <c r="CE148" t="s">
        <v>243</v>
      </c>
      <c r="CF148" t="s">
        <v>243</v>
      </c>
      <c r="CG148" t="s">
        <v>243</v>
      </c>
      <c r="CH148" t="s">
        <v>2829</v>
      </c>
      <c r="CI148" t="s">
        <v>243</v>
      </c>
      <c r="CJ148" t="s">
        <v>243</v>
      </c>
      <c r="CK148" t="s">
        <v>243</v>
      </c>
      <c r="CL148" t="s">
        <v>243</v>
      </c>
      <c r="CM148" t="s">
        <v>243</v>
      </c>
      <c r="CN148" t="s">
        <v>2836</v>
      </c>
      <c r="CO148" t="s">
        <v>2843</v>
      </c>
      <c r="CP148" t="s">
        <v>2844</v>
      </c>
      <c r="CQ148" t="s">
        <v>430</v>
      </c>
      <c r="CR148" t="s">
        <v>2845</v>
      </c>
      <c r="CS148" t="s">
        <v>431</v>
      </c>
      <c r="CT148" t="s">
        <v>430</v>
      </c>
      <c r="CU148" t="s">
        <v>2846</v>
      </c>
      <c r="CV148" t="s">
        <v>2847</v>
      </c>
      <c r="CW148" t="s">
        <v>2845</v>
      </c>
      <c r="CX148" t="s">
        <v>2848</v>
      </c>
      <c r="CY148" t="s">
        <v>4193</v>
      </c>
    </row>
    <row r="149" spans="1:103" ht="11.25" customHeight="1">
      <c r="A149" t="s">
        <v>243</v>
      </c>
      <c r="B149" t="s">
        <v>243</v>
      </c>
      <c r="C149" t="s">
        <v>243</v>
      </c>
      <c r="D149" t="s">
        <v>243</v>
      </c>
      <c r="E149" t="s">
        <v>243</v>
      </c>
      <c r="F149" t="s">
        <v>2816</v>
      </c>
      <c r="G149" t="s">
        <v>243</v>
      </c>
      <c r="H149" t="s">
        <v>243</v>
      </c>
      <c r="I149" t="s">
        <v>4194</v>
      </c>
      <c r="J149" t="s">
        <v>243</v>
      </c>
      <c r="K149" t="s">
        <v>446</v>
      </c>
      <c r="L149" t="s">
        <v>243</v>
      </c>
      <c r="M149" t="s">
        <v>114</v>
      </c>
      <c r="N149" t="s">
        <v>243</v>
      </c>
      <c r="O149" t="s">
        <v>3356</v>
      </c>
      <c r="P149" t="s">
        <v>2820</v>
      </c>
      <c r="Q149" t="s">
        <v>2821</v>
      </c>
      <c r="R149" t="s">
        <v>190</v>
      </c>
      <c r="S149" t="s">
        <v>190</v>
      </c>
      <c r="T149" t="s">
        <v>405</v>
      </c>
      <c r="U149" t="s">
        <v>405</v>
      </c>
      <c r="V149" t="s">
        <v>406</v>
      </c>
      <c r="W149" t="s">
        <v>4195</v>
      </c>
      <c r="X149" t="s">
        <v>4196</v>
      </c>
      <c r="Y149" t="s">
        <v>4197</v>
      </c>
      <c r="Z149" t="s">
        <v>341</v>
      </c>
      <c r="AA149" t="s">
        <v>3094</v>
      </c>
      <c r="AB149" t="s">
        <v>3059</v>
      </c>
      <c r="AC149" t="s">
        <v>243</v>
      </c>
      <c r="AD149" t="s">
        <v>2883</v>
      </c>
      <c r="AE149" t="s">
        <v>2831</v>
      </c>
      <c r="AF149" t="s">
        <v>3161</v>
      </c>
      <c r="AG149" t="s">
        <v>3162</v>
      </c>
      <c r="AH149" t="s">
        <v>2834</v>
      </c>
      <c r="AI149" t="s">
        <v>2835</v>
      </c>
      <c r="AJ149" t="s">
        <v>3030</v>
      </c>
      <c r="AK149" t="s">
        <v>4198</v>
      </c>
      <c r="AL149" t="s">
        <v>243</v>
      </c>
      <c r="AM149" t="s">
        <v>243</v>
      </c>
      <c r="AN149" t="s">
        <v>243</v>
      </c>
      <c r="AR149" t="s">
        <v>243</v>
      </c>
      <c r="AS149" t="s">
        <v>243</v>
      </c>
      <c r="AT149" t="s">
        <v>243</v>
      </c>
      <c r="AU149" t="s">
        <v>243</v>
      </c>
      <c r="AV149" t="s">
        <v>243</v>
      </c>
      <c r="AW149" t="s">
        <v>243</v>
      </c>
      <c r="AX149" t="s">
        <v>243</v>
      </c>
      <c r="AY149" t="s">
        <v>243</v>
      </c>
      <c r="AZ149" t="s">
        <v>243</v>
      </c>
      <c r="BA149" t="s">
        <v>243</v>
      </c>
      <c r="BB149" t="s">
        <v>243</v>
      </c>
      <c r="BC149" t="s">
        <v>243</v>
      </c>
      <c r="BD149" t="s">
        <v>243</v>
      </c>
      <c r="BE149" t="s">
        <v>243</v>
      </c>
      <c r="BF149" t="s">
        <v>243</v>
      </c>
      <c r="BG149" t="s">
        <v>243</v>
      </c>
      <c r="BH149" t="s">
        <v>243</v>
      </c>
      <c r="BI149" t="s">
        <v>243</v>
      </c>
      <c r="BJ149" t="s">
        <v>243</v>
      </c>
      <c r="BK149" t="s">
        <v>243</v>
      </c>
      <c r="BL149" t="s">
        <v>243</v>
      </c>
      <c r="BM149" t="s">
        <v>243</v>
      </c>
      <c r="BN149" t="s">
        <v>243</v>
      </c>
      <c r="BO149" t="s">
        <v>243</v>
      </c>
      <c r="BP149" t="s">
        <v>243</v>
      </c>
      <c r="BQ149" t="s">
        <v>243</v>
      </c>
      <c r="BR149" t="s">
        <v>243</v>
      </c>
      <c r="BS149" t="s">
        <v>243</v>
      </c>
      <c r="BT149" t="s">
        <v>243</v>
      </c>
      <c r="BU149" t="s">
        <v>243</v>
      </c>
      <c r="BV149" t="s">
        <v>243</v>
      </c>
      <c r="BW149" t="s">
        <v>243</v>
      </c>
      <c r="BX149" t="s">
        <v>243</v>
      </c>
      <c r="BY149" t="s">
        <v>243</v>
      </c>
      <c r="BZ149" t="s">
        <v>243</v>
      </c>
      <c r="CA149" t="s">
        <v>243</v>
      </c>
      <c r="CB149" t="s">
        <v>243</v>
      </c>
      <c r="CC149" t="s">
        <v>243</v>
      </c>
      <c r="CD149" t="s">
        <v>243</v>
      </c>
      <c r="CE149" t="s">
        <v>243</v>
      </c>
      <c r="CF149" t="s">
        <v>243</v>
      </c>
      <c r="CG149" t="s">
        <v>243</v>
      </c>
      <c r="CH149" t="s">
        <v>243</v>
      </c>
      <c r="CI149" t="s">
        <v>243</v>
      </c>
      <c r="CJ149" t="s">
        <v>243</v>
      </c>
      <c r="CK149" t="s">
        <v>243</v>
      </c>
      <c r="CL149" t="s">
        <v>243</v>
      </c>
      <c r="CM149" t="s">
        <v>243</v>
      </c>
      <c r="CN149" t="s">
        <v>243</v>
      </c>
      <c r="CO149" t="s">
        <v>2843</v>
      </c>
      <c r="CP149" t="s">
        <v>2844</v>
      </c>
      <c r="CQ149" t="s">
        <v>430</v>
      </c>
      <c r="CR149" t="s">
        <v>3361</v>
      </c>
      <c r="CS149" t="s">
        <v>431</v>
      </c>
      <c r="CT149" t="s">
        <v>430</v>
      </c>
      <c r="CU149" t="s">
        <v>268</v>
      </c>
      <c r="CV149" t="s">
        <v>432</v>
      </c>
      <c r="CW149" t="s">
        <v>3361</v>
      </c>
      <c r="CX149" t="s">
        <v>2848</v>
      </c>
      <c r="CY149" t="s">
        <v>447</v>
      </c>
    </row>
    <row r="150" spans="1:103" ht="11.25" customHeight="1">
      <c r="A150" t="s">
        <v>243</v>
      </c>
      <c r="B150" t="s">
        <v>243</v>
      </c>
      <c r="C150" t="s">
        <v>243</v>
      </c>
      <c r="D150" t="s">
        <v>243</v>
      </c>
      <c r="E150" t="s">
        <v>243</v>
      </c>
      <c r="F150" t="s">
        <v>2816</v>
      </c>
      <c r="G150" t="s">
        <v>243</v>
      </c>
      <c r="H150" t="s">
        <v>243</v>
      </c>
      <c r="I150" t="s">
        <v>4199</v>
      </c>
      <c r="J150" t="s">
        <v>243</v>
      </c>
      <c r="K150" t="s">
        <v>2818</v>
      </c>
      <c r="L150" t="s">
        <v>243</v>
      </c>
      <c r="M150" t="s">
        <v>114</v>
      </c>
      <c r="N150" t="s">
        <v>243</v>
      </c>
      <c r="O150" t="s">
        <v>2819</v>
      </c>
      <c r="P150" t="s">
        <v>2820</v>
      </c>
      <c r="Q150" t="s">
        <v>2821</v>
      </c>
      <c r="R150" t="s">
        <v>200</v>
      </c>
      <c r="S150" t="s">
        <v>200</v>
      </c>
      <c r="T150" t="s">
        <v>2822</v>
      </c>
      <c r="U150" t="s">
        <v>2822</v>
      </c>
      <c r="V150" t="s">
        <v>2823</v>
      </c>
      <c r="W150" t="s">
        <v>2952</v>
      </c>
      <c r="X150" t="s">
        <v>2953</v>
      </c>
      <c r="Y150" t="s">
        <v>4200</v>
      </c>
      <c r="Z150" t="s">
        <v>469</v>
      </c>
      <c r="AA150" t="s">
        <v>3228</v>
      </c>
      <c r="AB150" t="s">
        <v>4201</v>
      </c>
      <c r="AC150" t="s">
        <v>2829</v>
      </c>
      <c r="AD150" t="s">
        <v>2830</v>
      </c>
      <c r="AE150" t="s">
        <v>2831</v>
      </c>
      <c r="AF150" t="s">
        <v>4202</v>
      </c>
      <c r="AG150" t="s">
        <v>2833</v>
      </c>
      <c r="AH150" t="s">
        <v>2834</v>
      </c>
      <c r="AI150" t="s">
        <v>2835</v>
      </c>
      <c r="AJ150" t="s">
        <v>2829</v>
      </c>
      <c r="AK150" t="s">
        <v>2868</v>
      </c>
      <c r="AL150" t="s">
        <v>3688</v>
      </c>
      <c r="AM150" t="s">
        <v>3058</v>
      </c>
      <c r="AN150" t="s">
        <v>2829</v>
      </c>
      <c r="AO150" t="s">
        <v>2839</v>
      </c>
      <c r="AP150" t="s">
        <v>2840</v>
      </c>
      <c r="AQ150" t="s">
        <v>2841</v>
      </c>
      <c r="AR150" t="s">
        <v>4203</v>
      </c>
      <c r="AS150" t="s">
        <v>4203</v>
      </c>
      <c r="AT150" t="s">
        <v>2829</v>
      </c>
      <c r="AU150" t="s">
        <v>2829</v>
      </c>
      <c r="AV150" t="s">
        <v>2829</v>
      </c>
      <c r="AW150" t="s">
        <v>2829</v>
      </c>
      <c r="AX150" t="s">
        <v>2829</v>
      </c>
      <c r="AY150" t="s">
        <v>2829</v>
      </c>
      <c r="AZ150" t="s">
        <v>2829</v>
      </c>
      <c r="BA150" t="s">
        <v>2829</v>
      </c>
      <c r="BB150" t="s">
        <v>2829</v>
      </c>
      <c r="BC150" t="s">
        <v>2829</v>
      </c>
      <c r="BD150" t="s">
        <v>4204</v>
      </c>
      <c r="BE150" t="s">
        <v>4204</v>
      </c>
      <c r="BF150" t="s">
        <v>243</v>
      </c>
      <c r="BG150" t="s">
        <v>243</v>
      </c>
      <c r="BH150" t="s">
        <v>243</v>
      </c>
      <c r="BI150" t="s">
        <v>243</v>
      </c>
      <c r="BJ150" t="s">
        <v>2829</v>
      </c>
      <c r="BK150" t="s">
        <v>243</v>
      </c>
      <c r="BL150" t="s">
        <v>243</v>
      </c>
      <c r="BM150" t="s">
        <v>243</v>
      </c>
      <c r="BN150" t="s">
        <v>243</v>
      </c>
      <c r="BO150" t="s">
        <v>243</v>
      </c>
      <c r="BP150" t="s">
        <v>4205</v>
      </c>
      <c r="BQ150" t="s">
        <v>4205</v>
      </c>
      <c r="BR150" t="s">
        <v>243</v>
      </c>
      <c r="BS150" t="s">
        <v>243</v>
      </c>
      <c r="BT150" t="s">
        <v>243</v>
      </c>
      <c r="BU150" t="s">
        <v>243</v>
      </c>
      <c r="BV150" t="s">
        <v>2829</v>
      </c>
      <c r="BW150" t="s">
        <v>243</v>
      </c>
      <c r="BX150" t="s">
        <v>243</v>
      </c>
      <c r="BY150" t="s">
        <v>243</v>
      </c>
      <c r="BZ150" t="s">
        <v>243</v>
      </c>
      <c r="CA150" t="s">
        <v>243</v>
      </c>
      <c r="CB150" t="s">
        <v>2829</v>
      </c>
      <c r="CC150" t="s">
        <v>243</v>
      </c>
      <c r="CD150" t="s">
        <v>243</v>
      </c>
      <c r="CE150" t="s">
        <v>243</v>
      </c>
      <c r="CF150" t="s">
        <v>243</v>
      </c>
      <c r="CG150" t="s">
        <v>243</v>
      </c>
      <c r="CH150" t="s">
        <v>2829</v>
      </c>
      <c r="CI150" t="s">
        <v>243</v>
      </c>
      <c r="CJ150" t="s">
        <v>243</v>
      </c>
      <c r="CK150" t="s">
        <v>243</v>
      </c>
      <c r="CL150" t="s">
        <v>243</v>
      </c>
      <c r="CM150" t="s">
        <v>243</v>
      </c>
      <c r="CN150" t="s">
        <v>2829</v>
      </c>
      <c r="CO150" t="s">
        <v>2843</v>
      </c>
      <c r="CP150" t="s">
        <v>2844</v>
      </c>
      <c r="CQ150" t="s">
        <v>430</v>
      </c>
      <c r="CR150" t="s">
        <v>2872</v>
      </c>
      <c r="CS150" t="s">
        <v>431</v>
      </c>
      <c r="CT150" t="s">
        <v>430</v>
      </c>
      <c r="CU150" t="s">
        <v>2846</v>
      </c>
      <c r="CV150" t="s">
        <v>2873</v>
      </c>
      <c r="CW150" t="s">
        <v>2872</v>
      </c>
      <c r="CX150" t="s">
        <v>2848</v>
      </c>
      <c r="CY150" t="s">
        <v>4206</v>
      </c>
    </row>
    <row r="151" spans="1:103" ht="11.25" customHeight="1">
      <c r="A151" t="s">
        <v>243</v>
      </c>
      <c r="B151" t="s">
        <v>243</v>
      </c>
      <c r="C151" t="s">
        <v>243</v>
      </c>
      <c r="D151" t="s">
        <v>243</v>
      </c>
      <c r="E151" t="s">
        <v>243</v>
      </c>
      <c r="F151" t="s">
        <v>2816</v>
      </c>
      <c r="G151" t="s">
        <v>243</v>
      </c>
      <c r="H151" t="s">
        <v>243</v>
      </c>
      <c r="I151" t="s">
        <v>4207</v>
      </c>
      <c r="J151" t="s">
        <v>243</v>
      </c>
      <c r="K151" t="s">
        <v>2818</v>
      </c>
      <c r="L151" t="s">
        <v>243</v>
      </c>
      <c r="M151" t="s">
        <v>114</v>
      </c>
      <c r="N151" t="s">
        <v>243</v>
      </c>
      <c r="O151" t="s">
        <v>2819</v>
      </c>
      <c r="P151" t="s">
        <v>2820</v>
      </c>
      <c r="Q151" t="s">
        <v>2821</v>
      </c>
      <c r="R151" t="s">
        <v>200</v>
      </c>
      <c r="S151" t="s">
        <v>200</v>
      </c>
      <c r="T151" t="s">
        <v>2822</v>
      </c>
      <c r="U151" t="s">
        <v>2822</v>
      </c>
      <c r="V151" t="s">
        <v>2823</v>
      </c>
      <c r="W151" t="s">
        <v>2952</v>
      </c>
      <c r="X151" t="s">
        <v>2953</v>
      </c>
      <c r="Y151" t="s">
        <v>4208</v>
      </c>
      <c r="Z151" t="s">
        <v>457</v>
      </c>
      <c r="AA151" t="s">
        <v>2855</v>
      </c>
      <c r="AB151" t="s">
        <v>4209</v>
      </c>
      <c r="AC151" t="s">
        <v>2829</v>
      </c>
      <c r="AD151" t="s">
        <v>2830</v>
      </c>
      <c r="AE151" t="s">
        <v>2831</v>
      </c>
      <c r="AF151" t="s">
        <v>4210</v>
      </c>
      <c r="AG151" t="s">
        <v>2833</v>
      </c>
      <c r="AH151" t="s">
        <v>2834</v>
      </c>
      <c r="AI151" t="s">
        <v>2835</v>
      </c>
      <c r="AJ151" t="s">
        <v>2829</v>
      </c>
      <c r="AK151" t="s">
        <v>2868</v>
      </c>
      <c r="AL151" t="s">
        <v>2855</v>
      </c>
      <c r="AM151" t="s">
        <v>3324</v>
      </c>
      <c r="AN151" t="s">
        <v>2829</v>
      </c>
      <c r="AO151" t="s">
        <v>2839</v>
      </c>
      <c r="AP151" t="s">
        <v>2840</v>
      </c>
      <c r="AQ151" t="s">
        <v>2841</v>
      </c>
      <c r="AR151" t="s">
        <v>4211</v>
      </c>
      <c r="AS151" t="s">
        <v>4211</v>
      </c>
      <c r="AT151" t="s">
        <v>2829</v>
      </c>
      <c r="AU151" t="s">
        <v>2829</v>
      </c>
      <c r="AV151" t="s">
        <v>2829</v>
      </c>
      <c r="AW151" t="s">
        <v>2829</v>
      </c>
      <c r="AX151" t="s">
        <v>2829</v>
      </c>
      <c r="AY151" t="s">
        <v>2829</v>
      </c>
      <c r="AZ151" t="s">
        <v>2829</v>
      </c>
      <c r="BA151" t="s">
        <v>2829</v>
      </c>
      <c r="BB151" t="s">
        <v>2829</v>
      </c>
      <c r="BC151" t="s">
        <v>2829</v>
      </c>
      <c r="BD151" t="s">
        <v>4211</v>
      </c>
      <c r="BE151" t="s">
        <v>4211</v>
      </c>
      <c r="BF151" t="s">
        <v>243</v>
      </c>
      <c r="BG151" t="s">
        <v>243</v>
      </c>
      <c r="BH151" t="s">
        <v>243</v>
      </c>
      <c r="BI151" t="s">
        <v>243</v>
      </c>
      <c r="BJ151" t="s">
        <v>2829</v>
      </c>
      <c r="BK151" t="s">
        <v>243</v>
      </c>
      <c r="BL151" t="s">
        <v>243</v>
      </c>
      <c r="BM151" t="s">
        <v>243</v>
      </c>
      <c r="BN151" t="s">
        <v>243</v>
      </c>
      <c r="BO151" t="s">
        <v>243</v>
      </c>
      <c r="BP151" t="s">
        <v>2829</v>
      </c>
      <c r="BQ151" t="s">
        <v>243</v>
      </c>
      <c r="BR151" t="s">
        <v>243</v>
      </c>
      <c r="BS151" t="s">
        <v>243</v>
      </c>
      <c r="BT151" t="s">
        <v>243</v>
      </c>
      <c r="BU151" t="s">
        <v>243</v>
      </c>
      <c r="BV151" t="s">
        <v>2829</v>
      </c>
      <c r="BW151" t="s">
        <v>243</v>
      </c>
      <c r="BX151" t="s">
        <v>243</v>
      </c>
      <c r="BY151" t="s">
        <v>243</v>
      </c>
      <c r="BZ151" t="s">
        <v>243</v>
      </c>
      <c r="CA151" t="s">
        <v>243</v>
      </c>
      <c r="CB151" t="s">
        <v>2829</v>
      </c>
      <c r="CC151" t="s">
        <v>243</v>
      </c>
      <c r="CD151" t="s">
        <v>243</v>
      </c>
      <c r="CE151" t="s">
        <v>243</v>
      </c>
      <c r="CF151" t="s">
        <v>243</v>
      </c>
      <c r="CG151" t="s">
        <v>243</v>
      </c>
      <c r="CH151" t="s">
        <v>2829</v>
      </c>
      <c r="CI151" t="s">
        <v>243</v>
      </c>
      <c r="CJ151" t="s">
        <v>243</v>
      </c>
      <c r="CK151" t="s">
        <v>243</v>
      </c>
      <c r="CL151" t="s">
        <v>243</v>
      </c>
      <c r="CM151" t="s">
        <v>243</v>
      </c>
      <c r="CN151" t="s">
        <v>2829</v>
      </c>
      <c r="CO151" t="s">
        <v>2843</v>
      </c>
      <c r="CP151" t="s">
        <v>2844</v>
      </c>
      <c r="CQ151" t="s">
        <v>430</v>
      </c>
      <c r="CR151" t="s">
        <v>2872</v>
      </c>
      <c r="CS151" t="s">
        <v>431</v>
      </c>
      <c r="CT151" t="s">
        <v>430</v>
      </c>
      <c r="CU151" t="s">
        <v>2846</v>
      </c>
      <c r="CV151" t="s">
        <v>2873</v>
      </c>
      <c r="CW151" t="s">
        <v>2872</v>
      </c>
      <c r="CX151" t="s">
        <v>2848</v>
      </c>
      <c r="CY151" t="s">
        <v>4212</v>
      </c>
    </row>
    <row r="152" spans="1:103" ht="11.25" customHeight="1">
      <c r="A152" t="s">
        <v>243</v>
      </c>
      <c r="B152" t="s">
        <v>243</v>
      </c>
      <c r="C152" t="s">
        <v>243</v>
      </c>
      <c r="D152" t="s">
        <v>243</v>
      </c>
      <c r="E152" t="s">
        <v>243</v>
      </c>
      <c r="F152" t="s">
        <v>2816</v>
      </c>
      <c r="G152" t="s">
        <v>243</v>
      </c>
      <c r="H152" t="s">
        <v>243</v>
      </c>
      <c r="I152" t="s">
        <v>4213</v>
      </c>
      <c r="J152" t="s">
        <v>243</v>
      </c>
      <c r="K152" t="s">
        <v>4214</v>
      </c>
      <c r="L152" t="s">
        <v>243</v>
      </c>
      <c r="M152" t="s">
        <v>114</v>
      </c>
      <c r="N152" t="s">
        <v>243</v>
      </c>
      <c r="O152" t="s">
        <v>2819</v>
      </c>
      <c r="P152" t="s">
        <v>2820</v>
      </c>
      <c r="Q152" t="s">
        <v>2821</v>
      </c>
      <c r="R152" t="s">
        <v>200</v>
      </c>
      <c r="S152" t="s">
        <v>200</v>
      </c>
      <c r="T152" t="s">
        <v>2933</v>
      </c>
      <c r="U152" t="s">
        <v>2933</v>
      </c>
      <c r="V152" t="s">
        <v>2934</v>
      </c>
      <c r="W152" t="s">
        <v>4215</v>
      </c>
      <c r="X152" t="s">
        <v>4216</v>
      </c>
      <c r="Y152" t="s">
        <v>4217</v>
      </c>
      <c r="Z152" t="s">
        <v>596</v>
      </c>
      <c r="AA152" t="s">
        <v>3094</v>
      </c>
      <c r="AB152" t="s">
        <v>4218</v>
      </c>
      <c r="AC152" t="s">
        <v>2829</v>
      </c>
      <c r="AD152" t="s">
        <v>2883</v>
      </c>
      <c r="AE152" t="s">
        <v>2831</v>
      </c>
      <c r="AF152" t="s">
        <v>4219</v>
      </c>
      <c r="AG152" t="s">
        <v>4219</v>
      </c>
      <c r="AH152" t="s">
        <v>2834</v>
      </c>
      <c r="AI152" t="s">
        <v>2835</v>
      </c>
      <c r="AJ152" t="s">
        <v>3187</v>
      </c>
      <c r="AK152" t="s">
        <v>3009</v>
      </c>
      <c r="AL152" t="s">
        <v>3094</v>
      </c>
      <c r="AM152" t="s">
        <v>4218</v>
      </c>
      <c r="AN152" t="s">
        <v>243</v>
      </c>
      <c r="AO152" t="s">
        <v>2839</v>
      </c>
      <c r="AP152" t="s">
        <v>2840</v>
      </c>
      <c r="AQ152" t="s">
        <v>2841</v>
      </c>
      <c r="AR152" t="s">
        <v>4220</v>
      </c>
      <c r="AS152" t="s">
        <v>4220</v>
      </c>
      <c r="AT152" t="s">
        <v>2829</v>
      </c>
      <c r="AU152" t="s">
        <v>2829</v>
      </c>
      <c r="AV152" t="s">
        <v>2829</v>
      </c>
      <c r="AW152" t="s">
        <v>2829</v>
      </c>
      <c r="AX152" t="s">
        <v>2829</v>
      </c>
      <c r="AY152" t="s">
        <v>2829</v>
      </c>
      <c r="AZ152" t="s">
        <v>2829</v>
      </c>
      <c r="BA152" t="s">
        <v>2829</v>
      </c>
      <c r="BB152" t="s">
        <v>2829</v>
      </c>
      <c r="BC152" t="s">
        <v>2829</v>
      </c>
      <c r="BD152" t="s">
        <v>4220</v>
      </c>
      <c r="BE152" t="s">
        <v>4220</v>
      </c>
      <c r="BF152" t="s">
        <v>243</v>
      </c>
      <c r="BG152" t="s">
        <v>243</v>
      </c>
      <c r="BH152" t="s">
        <v>243</v>
      </c>
      <c r="BI152" t="s">
        <v>243</v>
      </c>
      <c r="BJ152" t="s">
        <v>2829</v>
      </c>
      <c r="BK152" t="s">
        <v>243</v>
      </c>
      <c r="BL152" t="s">
        <v>243</v>
      </c>
      <c r="BM152" t="s">
        <v>243</v>
      </c>
      <c r="BN152" t="s">
        <v>243</v>
      </c>
      <c r="BO152" t="s">
        <v>243</v>
      </c>
      <c r="BP152" t="s">
        <v>2829</v>
      </c>
      <c r="BQ152" t="s">
        <v>243</v>
      </c>
      <c r="BR152" t="s">
        <v>243</v>
      </c>
      <c r="BS152" t="s">
        <v>243</v>
      </c>
      <c r="BT152" t="s">
        <v>243</v>
      </c>
      <c r="BU152" t="s">
        <v>243</v>
      </c>
      <c r="BV152" t="s">
        <v>2829</v>
      </c>
      <c r="BW152" t="s">
        <v>243</v>
      </c>
      <c r="BX152" t="s">
        <v>243</v>
      </c>
      <c r="BY152" t="s">
        <v>243</v>
      </c>
      <c r="BZ152" t="s">
        <v>243</v>
      </c>
      <c r="CA152" t="s">
        <v>243</v>
      </c>
      <c r="CB152" t="s">
        <v>2829</v>
      </c>
      <c r="CC152" t="s">
        <v>243</v>
      </c>
      <c r="CD152" t="s">
        <v>243</v>
      </c>
      <c r="CE152" t="s">
        <v>243</v>
      </c>
      <c r="CF152" t="s">
        <v>243</v>
      </c>
      <c r="CG152" t="s">
        <v>243</v>
      </c>
      <c r="CH152" t="s">
        <v>2829</v>
      </c>
      <c r="CI152" t="s">
        <v>243</v>
      </c>
      <c r="CJ152" t="s">
        <v>243</v>
      </c>
      <c r="CK152" t="s">
        <v>243</v>
      </c>
      <c r="CL152" t="s">
        <v>243</v>
      </c>
      <c r="CM152" t="s">
        <v>243</v>
      </c>
      <c r="CN152" t="s">
        <v>3187</v>
      </c>
      <c r="CO152" t="s">
        <v>2843</v>
      </c>
      <c r="CP152" t="s">
        <v>2844</v>
      </c>
      <c r="CQ152" t="s">
        <v>430</v>
      </c>
      <c r="CR152" t="s">
        <v>2947</v>
      </c>
      <c r="CS152" t="s">
        <v>431</v>
      </c>
      <c r="CT152" t="s">
        <v>430</v>
      </c>
      <c r="CU152" t="s">
        <v>2948</v>
      </c>
      <c r="CV152" t="s">
        <v>2949</v>
      </c>
      <c r="CW152" t="s">
        <v>2947</v>
      </c>
      <c r="CX152" t="s">
        <v>2848</v>
      </c>
      <c r="CY152" t="s">
        <v>4221</v>
      </c>
    </row>
    <row r="153" spans="1:103" ht="11.25" customHeight="1">
      <c r="A153" t="s">
        <v>243</v>
      </c>
      <c r="B153" t="s">
        <v>243</v>
      </c>
      <c r="C153" t="s">
        <v>243</v>
      </c>
      <c r="D153" t="s">
        <v>243</v>
      </c>
      <c r="E153" t="s">
        <v>243</v>
      </c>
      <c r="F153" t="s">
        <v>2816</v>
      </c>
      <c r="G153" t="s">
        <v>243</v>
      </c>
      <c r="H153" t="s">
        <v>243</v>
      </c>
      <c r="I153" t="s">
        <v>4222</v>
      </c>
      <c r="J153" t="s">
        <v>243</v>
      </c>
      <c r="K153" t="s">
        <v>4223</v>
      </c>
      <c r="L153" t="s">
        <v>243</v>
      </c>
      <c r="M153" t="s">
        <v>114</v>
      </c>
      <c r="N153" t="s">
        <v>243</v>
      </c>
      <c r="O153" t="s">
        <v>2819</v>
      </c>
      <c r="P153" t="s">
        <v>2820</v>
      </c>
      <c r="Q153" t="s">
        <v>2821</v>
      </c>
      <c r="R153" t="s">
        <v>200</v>
      </c>
      <c r="S153" t="s">
        <v>200</v>
      </c>
      <c r="T153" t="s">
        <v>2933</v>
      </c>
      <c r="U153" t="s">
        <v>2933</v>
      </c>
      <c r="V153" t="s">
        <v>2934</v>
      </c>
      <c r="W153" t="s">
        <v>2935</v>
      </c>
      <c r="X153" t="s">
        <v>2936</v>
      </c>
      <c r="Y153" t="s">
        <v>4224</v>
      </c>
      <c r="Z153" t="s">
        <v>917</v>
      </c>
      <c r="AA153" t="s">
        <v>3094</v>
      </c>
      <c r="AB153" t="s">
        <v>3473</v>
      </c>
      <c r="AC153" t="s">
        <v>2829</v>
      </c>
      <c r="AD153" t="s">
        <v>2883</v>
      </c>
      <c r="AE153" t="s">
        <v>2831</v>
      </c>
      <c r="AF153" t="s">
        <v>4219</v>
      </c>
      <c r="AG153" t="s">
        <v>4219</v>
      </c>
      <c r="AH153" t="s">
        <v>2834</v>
      </c>
      <c r="AI153" t="s">
        <v>2835</v>
      </c>
      <c r="AJ153" t="s">
        <v>3130</v>
      </c>
      <c r="AK153" t="s">
        <v>2998</v>
      </c>
      <c r="AL153" t="s">
        <v>3094</v>
      </c>
      <c r="AM153" t="s">
        <v>4225</v>
      </c>
      <c r="AN153" t="s">
        <v>243</v>
      </c>
      <c r="AO153" t="s">
        <v>2839</v>
      </c>
      <c r="AP153" t="s">
        <v>2840</v>
      </c>
      <c r="AQ153" t="s">
        <v>2841</v>
      </c>
      <c r="AR153" t="s">
        <v>4226</v>
      </c>
      <c r="AS153" t="s">
        <v>4226</v>
      </c>
      <c r="AT153" t="s">
        <v>2829</v>
      </c>
      <c r="AU153" t="s">
        <v>2829</v>
      </c>
      <c r="AV153" t="s">
        <v>2829</v>
      </c>
      <c r="AW153" t="s">
        <v>2829</v>
      </c>
      <c r="AX153" t="s">
        <v>2829</v>
      </c>
      <c r="AY153" t="s">
        <v>2829</v>
      </c>
      <c r="AZ153" t="s">
        <v>2829</v>
      </c>
      <c r="BA153" t="s">
        <v>2829</v>
      </c>
      <c r="BB153" t="s">
        <v>2829</v>
      </c>
      <c r="BC153" t="s">
        <v>2829</v>
      </c>
      <c r="BD153" t="s">
        <v>4226</v>
      </c>
      <c r="BE153" t="s">
        <v>4226</v>
      </c>
      <c r="BF153" t="s">
        <v>243</v>
      </c>
      <c r="BG153" t="s">
        <v>243</v>
      </c>
      <c r="BH153" t="s">
        <v>243</v>
      </c>
      <c r="BI153" t="s">
        <v>243</v>
      </c>
      <c r="BJ153" t="s">
        <v>2829</v>
      </c>
      <c r="BK153" t="s">
        <v>243</v>
      </c>
      <c r="BL153" t="s">
        <v>243</v>
      </c>
      <c r="BM153" t="s">
        <v>243</v>
      </c>
      <c r="BN153" t="s">
        <v>243</v>
      </c>
      <c r="BO153" t="s">
        <v>243</v>
      </c>
      <c r="BP153" t="s">
        <v>2829</v>
      </c>
      <c r="BQ153" t="s">
        <v>243</v>
      </c>
      <c r="BR153" t="s">
        <v>243</v>
      </c>
      <c r="BS153" t="s">
        <v>243</v>
      </c>
      <c r="BT153" t="s">
        <v>243</v>
      </c>
      <c r="BU153" t="s">
        <v>243</v>
      </c>
      <c r="BV153" t="s">
        <v>2829</v>
      </c>
      <c r="BW153" t="s">
        <v>243</v>
      </c>
      <c r="BX153" t="s">
        <v>243</v>
      </c>
      <c r="BY153" t="s">
        <v>243</v>
      </c>
      <c r="BZ153" t="s">
        <v>243</v>
      </c>
      <c r="CA153" t="s">
        <v>243</v>
      </c>
      <c r="CB153" t="s">
        <v>2829</v>
      </c>
      <c r="CC153" t="s">
        <v>243</v>
      </c>
      <c r="CD153" t="s">
        <v>243</v>
      </c>
      <c r="CE153" t="s">
        <v>243</v>
      </c>
      <c r="CF153" t="s">
        <v>243</v>
      </c>
      <c r="CG153" t="s">
        <v>243</v>
      </c>
      <c r="CH153" t="s">
        <v>2829</v>
      </c>
      <c r="CI153" t="s">
        <v>243</v>
      </c>
      <c r="CJ153" t="s">
        <v>243</v>
      </c>
      <c r="CK153" t="s">
        <v>243</v>
      </c>
      <c r="CL153" t="s">
        <v>243</v>
      </c>
      <c r="CM153" t="s">
        <v>243</v>
      </c>
      <c r="CN153" t="s">
        <v>3130</v>
      </c>
      <c r="CO153" t="s">
        <v>2843</v>
      </c>
      <c r="CP153" t="s">
        <v>2844</v>
      </c>
      <c r="CQ153" t="s">
        <v>430</v>
      </c>
      <c r="CR153" t="s">
        <v>2947</v>
      </c>
      <c r="CS153" t="s">
        <v>431</v>
      </c>
      <c r="CT153" t="s">
        <v>430</v>
      </c>
      <c r="CU153" t="s">
        <v>2948</v>
      </c>
      <c r="CV153" t="s">
        <v>2949</v>
      </c>
      <c r="CW153" t="s">
        <v>2947</v>
      </c>
      <c r="CX153" t="s">
        <v>2848</v>
      </c>
      <c r="CY153" t="s">
        <v>4227</v>
      </c>
    </row>
    <row r="154" spans="1:103" ht="11.25" customHeight="1">
      <c r="A154" t="s">
        <v>243</v>
      </c>
      <c r="B154" t="s">
        <v>243</v>
      </c>
      <c r="C154" t="s">
        <v>243</v>
      </c>
      <c r="D154" t="s">
        <v>243</v>
      </c>
      <c r="E154" t="s">
        <v>243</v>
      </c>
      <c r="F154" t="s">
        <v>2816</v>
      </c>
      <c r="G154" t="s">
        <v>243</v>
      </c>
      <c r="H154" t="s">
        <v>243</v>
      </c>
      <c r="I154" t="s">
        <v>4228</v>
      </c>
      <c r="J154" t="s">
        <v>243</v>
      </c>
      <c r="K154" t="s">
        <v>3115</v>
      </c>
      <c r="L154" t="s">
        <v>243</v>
      </c>
      <c r="M154" t="s">
        <v>114</v>
      </c>
      <c r="N154" t="s">
        <v>243</v>
      </c>
      <c r="O154" t="s">
        <v>2819</v>
      </c>
      <c r="P154" t="s">
        <v>2820</v>
      </c>
      <c r="Q154" t="s">
        <v>2821</v>
      </c>
      <c r="R154" t="s">
        <v>200</v>
      </c>
      <c r="S154" t="s">
        <v>200</v>
      </c>
      <c r="T154" t="s">
        <v>2968</v>
      </c>
      <c r="U154" t="s">
        <v>2968</v>
      </c>
      <c r="V154" t="s">
        <v>2969</v>
      </c>
      <c r="W154" t="s">
        <v>4097</v>
      </c>
      <c r="X154" t="s">
        <v>4098</v>
      </c>
      <c r="Y154" t="s">
        <v>2918</v>
      </c>
      <c r="Z154" t="s">
        <v>3681</v>
      </c>
      <c r="AA154" t="s">
        <v>3058</v>
      </c>
      <c r="AB154" t="s">
        <v>4229</v>
      </c>
      <c r="AC154" t="s">
        <v>2829</v>
      </c>
      <c r="AD154" t="s">
        <v>2883</v>
      </c>
      <c r="AE154" t="s">
        <v>2857</v>
      </c>
      <c r="AF154" t="s">
        <v>4230</v>
      </c>
      <c r="AG154" t="s">
        <v>4230</v>
      </c>
      <c r="AH154" t="s">
        <v>2834</v>
      </c>
      <c r="AI154" t="s">
        <v>2835</v>
      </c>
      <c r="AJ154" t="s">
        <v>3030</v>
      </c>
      <c r="AK154" t="s">
        <v>4102</v>
      </c>
      <c r="AL154" t="s">
        <v>3058</v>
      </c>
      <c r="AM154" t="s">
        <v>4229</v>
      </c>
      <c r="AN154" t="s">
        <v>2829</v>
      </c>
      <c r="AO154" t="s">
        <v>2839</v>
      </c>
      <c r="AP154" t="s">
        <v>2840</v>
      </c>
      <c r="AQ154" t="s">
        <v>2841</v>
      </c>
      <c r="AR154" t="s">
        <v>4231</v>
      </c>
      <c r="AS154" t="s">
        <v>4231</v>
      </c>
      <c r="AT154" t="s">
        <v>2829</v>
      </c>
      <c r="AU154" t="s">
        <v>2829</v>
      </c>
      <c r="AV154" t="s">
        <v>2829</v>
      </c>
      <c r="AW154" t="s">
        <v>2829</v>
      </c>
      <c r="AX154" t="s">
        <v>2829</v>
      </c>
      <c r="AY154" t="s">
        <v>2829</v>
      </c>
      <c r="AZ154" t="s">
        <v>2829</v>
      </c>
      <c r="BA154" t="s">
        <v>2829</v>
      </c>
      <c r="BB154" t="s">
        <v>2829</v>
      </c>
      <c r="BC154" t="s">
        <v>2829</v>
      </c>
      <c r="BD154" t="s">
        <v>2829</v>
      </c>
      <c r="BE154" t="s">
        <v>243</v>
      </c>
      <c r="BF154" t="s">
        <v>243</v>
      </c>
      <c r="BG154" t="s">
        <v>243</v>
      </c>
      <c r="BH154" t="s">
        <v>243</v>
      </c>
      <c r="BI154" t="s">
        <v>243</v>
      </c>
      <c r="BJ154" t="s">
        <v>2829</v>
      </c>
      <c r="BK154" t="s">
        <v>243</v>
      </c>
      <c r="BL154" t="s">
        <v>243</v>
      </c>
      <c r="BM154" t="s">
        <v>243</v>
      </c>
      <c r="BN154" t="s">
        <v>243</v>
      </c>
      <c r="BO154" t="s">
        <v>243</v>
      </c>
      <c r="BP154" t="s">
        <v>4231</v>
      </c>
      <c r="BQ154" t="s">
        <v>4231</v>
      </c>
      <c r="BR154" t="s">
        <v>243</v>
      </c>
      <c r="BS154" t="s">
        <v>243</v>
      </c>
      <c r="BT154" t="s">
        <v>243</v>
      </c>
      <c r="BU154" t="s">
        <v>243</v>
      </c>
      <c r="BV154" t="s">
        <v>2829</v>
      </c>
      <c r="BW154" t="s">
        <v>243</v>
      </c>
      <c r="BX154" t="s">
        <v>243</v>
      </c>
      <c r="BY154" t="s">
        <v>243</v>
      </c>
      <c r="BZ154" t="s">
        <v>243</v>
      </c>
      <c r="CA154" t="s">
        <v>243</v>
      </c>
      <c r="CB154" t="s">
        <v>2829</v>
      </c>
      <c r="CC154" t="s">
        <v>243</v>
      </c>
      <c r="CD154" t="s">
        <v>243</v>
      </c>
      <c r="CE154" t="s">
        <v>243</v>
      </c>
      <c r="CF154" t="s">
        <v>243</v>
      </c>
      <c r="CG154" t="s">
        <v>243</v>
      </c>
      <c r="CH154" t="s">
        <v>2829</v>
      </c>
      <c r="CI154" t="s">
        <v>243</v>
      </c>
      <c r="CJ154" t="s">
        <v>243</v>
      </c>
      <c r="CK154" t="s">
        <v>243</v>
      </c>
      <c r="CL154" t="s">
        <v>243</v>
      </c>
      <c r="CM154" t="s">
        <v>243</v>
      </c>
      <c r="CN154" t="s">
        <v>3010</v>
      </c>
      <c r="CO154" t="s">
        <v>2843</v>
      </c>
      <c r="CP154" t="s">
        <v>2844</v>
      </c>
      <c r="CQ154" t="s">
        <v>430</v>
      </c>
      <c r="CR154" t="s">
        <v>2984</v>
      </c>
      <c r="CS154" t="s">
        <v>431</v>
      </c>
      <c r="CT154" t="s">
        <v>430</v>
      </c>
      <c r="CU154" t="s">
        <v>2985</v>
      </c>
      <c r="CV154" t="s">
        <v>2986</v>
      </c>
      <c r="CW154" t="s">
        <v>2984</v>
      </c>
      <c r="CX154" t="s">
        <v>2848</v>
      </c>
      <c r="CY154" t="s">
        <v>4232</v>
      </c>
    </row>
    <row r="155" spans="1:103" ht="11.25" customHeight="1">
      <c r="A155" t="s">
        <v>243</v>
      </c>
      <c r="B155" t="s">
        <v>243</v>
      </c>
      <c r="C155" t="s">
        <v>243</v>
      </c>
      <c r="D155" t="s">
        <v>243</v>
      </c>
      <c r="E155" t="s">
        <v>243</v>
      </c>
      <c r="F155" t="s">
        <v>2816</v>
      </c>
      <c r="G155" t="s">
        <v>243</v>
      </c>
      <c r="H155" t="s">
        <v>243</v>
      </c>
      <c r="I155" t="s">
        <v>4233</v>
      </c>
      <c r="J155" t="s">
        <v>243</v>
      </c>
      <c r="K155" t="s">
        <v>3115</v>
      </c>
      <c r="L155" t="s">
        <v>243</v>
      </c>
      <c r="M155" t="s">
        <v>114</v>
      </c>
      <c r="N155" t="s">
        <v>243</v>
      </c>
      <c r="O155" t="s">
        <v>2819</v>
      </c>
      <c r="P155" t="s">
        <v>2820</v>
      </c>
      <c r="Q155" t="s">
        <v>2821</v>
      </c>
      <c r="R155" t="s">
        <v>200</v>
      </c>
      <c r="S155" t="s">
        <v>200</v>
      </c>
      <c r="T155" t="s">
        <v>2968</v>
      </c>
      <c r="U155" t="s">
        <v>2968</v>
      </c>
      <c r="V155" t="s">
        <v>2969</v>
      </c>
      <c r="W155" t="s">
        <v>4234</v>
      </c>
      <c r="X155" t="s">
        <v>4235</v>
      </c>
      <c r="Y155" t="s">
        <v>2918</v>
      </c>
      <c r="Z155" t="s">
        <v>3065</v>
      </c>
      <c r="AA155" t="s">
        <v>3058</v>
      </c>
      <c r="AB155" t="s">
        <v>4229</v>
      </c>
      <c r="AC155" t="s">
        <v>2829</v>
      </c>
      <c r="AD155" t="s">
        <v>2883</v>
      </c>
      <c r="AE155" t="s">
        <v>2857</v>
      </c>
      <c r="AF155" t="s">
        <v>4236</v>
      </c>
      <c r="AG155" t="s">
        <v>4236</v>
      </c>
      <c r="AH155" t="s">
        <v>2834</v>
      </c>
      <c r="AI155" t="s">
        <v>2835</v>
      </c>
      <c r="AJ155" t="s">
        <v>4237</v>
      </c>
      <c r="AK155" t="s">
        <v>3483</v>
      </c>
      <c r="AL155" t="s">
        <v>3058</v>
      </c>
      <c r="AM155" t="s">
        <v>4229</v>
      </c>
      <c r="AN155" t="s">
        <v>2829</v>
      </c>
      <c r="AO155" t="s">
        <v>2839</v>
      </c>
      <c r="AP155" t="s">
        <v>2840</v>
      </c>
      <c r="AQ155" t="s">
        <v>2841</v>
      </c>
      <c r="AR155" t="s">
        <v>4238</v>
      </c>
      <c r="AS155" t="s">
        <v>4238</v>
      </c>
      <c r="AT155" t="s">
        <v>2829</v>
      </c>
      <c r="AU155" t="s">
        <v>2829</v>
      </c>
      <c r="AV155" t="s">
        <v>2829</v>
      </c>
      <c r="AW155" t="s">
        <v>2829</v>
      </c>
      <c r="AX155" t="s">
        <v>2829</v>
      </c>
      <c r="AY155" t="s">
        <v>2829</v>
      </c>
      <c r="AZ155" t="s">
        <v>2829</v>
      </c>
      <c r="BA155" t="s">
        <v>2829</v>
      </c>
      <c r="BB155" t="s">
        <v>2829</v>
      </c>
      <c r="BC155" t="s">
        <v>2829</v>
      </c>
      <c r="BD155" t="s">
        <v>2829</v>
      </c>
      <c r="BE155" t="s">
        <v>243</v>
      </c>
      <c r="BF155" t="s">
        <v>243</v>
      </c>
      <c r="BG155" t="s">
        <v>243</v>
      </c>
      <c r="BH155" t="s">
        <v>243</v>
      </c>
      <c r="BI155" t="s">
        <v>243</v>
      </c>
      <c r="BJ155" t="s">
        <v>2829</v>
      </c>
      <c r="BK155" t="s">
        <v>243</v>
      </c>
      <c r="BL155" t="s">
        <v>243</v>
      </c>
      <c r="BM155" t="s">
        <v>243</v>
      </c>
      <c r="BN155" t="s">
        <v>243</v>
      </c>
      <c r="BO155" t="s">
        <v>243</v>
      </c>
      <c r="BP155" t="s">
        <v>4238</v>
      </c>
      <c r="BQ155" t="s">
        <v>4238</v>
      </c>
      <c r="BR155" t="s">
        <v>243</v>
      </c>
      <c r="BS155" t="s">
        <v>243</v>
      </c>
      <c r="BT155" t="s">
        <v>243</v>
      </c>
      <c r="BU155" t="s">
        <v>243</v>
      </c>
      <c r="BV155" t="s">
        <v>2829</v>
      </c>
      <c r="BW155" t="s">
        <v>243</v>
      </c>
      <c r="BX155" t="s">
        <v>243</v>
      </c>
      <c r="BY155" t="s">
        <v>243</v>
      </c>
      <c r="BZ155" t="s">
        <v>243</v>
      </c>
      <c r="CA155" t="s">
        <v>243</v>
      </c>
      <c r="CB155" t="s">
        <v>2829</v>
      </c>
      <c r="CC155" t="s">
        <v>243</v>
      </c>
      <c r="CD155" t="s">
        <v>243</v>
      </c>
      <c r="CE155" t="s">
        <v>243</v>
      </c>
      <c r="CF155" t="s">
        <v>243</v>
      </c>
      <c r="CG155" t="s">
        <v>243</v>
      </c>
      <c r="CH155" t="s">
        <v>2829</v>
      </c>
      <c r="CI155" t="s">
        <v>243</v>
      </c>
      <c r="CJ155" t="s">
        <v>243</v>
      </c>
      <c r="CK155" t="s">
        <v>243</v>
      </c>
      <c r="CL155" t="s">
        <v>243</v>
      </c>
      <c r="CM155" t="s">
        <v>243</v>
      </c>
      <c r="CN155" t="s">
        <v>3010</v>
      </c>
      <c r="CO155" t="s">
        <v>2843</v>
      </c>
      <c r="CP155" t="s">
        <v>2844</v>
      </c>
      <c r="CQ155" t="s">
        <v>430</v>
      </c>
      <c r="CR155" t="s">
        <v>2984</v>
      </c>
      <c r="CS155" t="s">
        <v>431</v>
      </c>
      <c r="CT155" t="s">
        <v>430</v>
      </c>
      <c r="CU155" t="s">
        <v>2985</v>
      </c>
      <c r="CV155" t="s">
        <v>2986</v>
      </c>
      <c r="CW155" t="s">
        <v>2984</v>
      </c>
      <c r="CX155" t="s">
        <v>2848</v>
      </c>
      <c r="CY155" t="s">
        <v>4239</v>
      </c>
    </row>
    <row r="156" spans="1:103" ht="11.25" customHeight="1">
      <c r="A156" t="s">
        <v>243</v>
      </c>
      <c r="B156" t="s">
        <v>243</v>
      </c>
      <c r="C156" t="s">
        <v>243</v>
      </c>
      <c r="D156" t="s">
        <v>243</v>
      </c>
      <c r="E156" t="s">
        <v>243</v>
      </c>
      <c r="F156" t="s">
        <v>2816</v>
      </c>
      <c r="G156" t="s">
        <v>243</v>
      </c>
      <c r="H156" t="s">
        <v>243</v>
      </c>
      <c r="I156" t="s">
        <v>4240</v>
      </c>
      <c r="J156" t="s">
        <v>243</v>
      </c>
      <c r="K156" t="s">
        <v>2818</v>
      </c>
      <c r="L156" t="s">
        <v>243</v>
      </c>
      <c r="M156" t="s">
        <v>114</v>
      </c>
      <c r="N156" t="s">
        <v>243</v>
      </c>
      <c r="O156" t="s">
        <v>2819</v>
      </c>
      <c r="P156" t="s">
        <v>2820</v>
      </c>
      <c r="Q156" t="s">
        <v>2821</v>
      </c>
      <c r="R156" t="s">
        <v>200</v>
      </c>
      <c r="S156" t="s">
        <v>200</v>
      </c>
      <c r="T156" t="s">
        <v>2822</v>
      </c>
      <c r="U156" t="s">
        <v>2822</v>
      </c>
      <c r="V156" t="s">
        <v>2823</v>
      </c>
      <c r="W156" t="s">
        <v>4241</v>
      </c>
      <c r="X156" t="s">
        <v>4242</v>
      </c>
      <c r="Y156" t="s">
        <v>4243</v>
      </c>
      <c r="Z156" t="s">
        <v>341</v>
      </c>
      <c r="AA156" t="s">
        <v>2904</v>
      </c>
      <c r="AB156" t="s">
        <v>4244</v>
      </c>
      <c r="AC156" t="s">
        <v>2829</v>
      </c>
      <c r="AD156" t="s">
        <v>2830</v>
      </c>
      <c r="AE156" t="s">
        <v>2857</v>
      </c>
      <c r="AF156" t="s">
        <v>4245</v>
      </c>
      <c r="AG156" t="s">
        <v>4245</v>
      </c>
      <c r="AH156" t="s">
        <v>2834</v>
      </c>
      <c r="AI156" t="s">
        <v>2835</v>
      </c>
      <c r="AJ156" t="s">
        <v>2836</v>
      </c>
      <c r="AK156" t="s">
        <v>2837</v>
      </c>
      <c r="AL156" t="s">
        <v>2904</v>
      </c>
      <c r="AM156" t="s">
        <v>2907</v>
      </c>
      <c r="AN156" t="s">
        <v>2829</v>
      </c>
      <c r="AO156" t="s">
        <v>2839</v>
      </c>
      <c r="AP156" t="s">
        <v>2840</v>
      </c>
      <c r="AQ156" t="s">
        <v>2841</v>
      </c>
      <c r="AR156" t="s">
        <v>2842</v>
      </c>
      <c r="AS156" t="s">
        <v>2842</v>
      </c>
      <c r="AT156" t="s">
        <v>2829</v>
      </c>
      <c r="AU156" t="s">
        <v>2829</v>
      </c>
      <c r="AV156" t="s">
        <v>2829</v>
      </c>
      <c r="AW156" t="s">
        <v>2829</v>
      </c>
      <c r="AX156" t="s">
        <v>2829</v>
      </c>
      <c r="AY156" t="s">
        <v>2829</v>
      </c>
      <c r="AZ156" t="s">
        <v>2829</v>
      </c>
      <c r="BA156" t="s">
        <v>2829</v>
      </c>
      <c r="BB156" t="s">
        <v>2829</v>
      </c>
      <c r="BC156" t="s">
        <v>2829</v>
      </c>
      <c r="BD156" t="s">
        <v>2842</v>
      </c>
      <c r="BE156" t="s">
        <v>2842</v>
      </c>
      <c r="BF156" t="s">
        <v>243</v>
      </c>
      <c r="BG156" t="s">
        <v>243</v>
      </c>
      <c r="BH156" t="s">
        <v>243</v>
      </c>
      <c r="BI156" t="s">
        <v>243</v>
      </c>
      <c r="BJ156" t="s">
        <v>2829</v>
      </c>
      <c r="BK156" t="s">
        <v>243</v>
      </c>
      <c r="BL156" t="s">
        <v>243</v>
      </c>
      <c r="BM156" t="s">
        <v>243</v>
      </c>
      <c r="BN156" t="s">
        <v>243</v>
      </c>
      <c r="BO156" t="s">
        <v>243</v>
      </c>
      <c r="BP156" t="s">
        <v>2829</v>
      </c>
      <c r="BQ156" t="s">
        <v>243</v>
      </c>
      <c r="BR156" t="s">
        <v>243</v>
      </c>
      <c r="BS156" t="s">
        <v>243</v>
      </c>
      <c r="BT156" t="s">
        <v>243</v>
      </c>
      <c r="BU156" t="s">
        <v>243</v>
      </c>
      <c r="BV156" t="s">
        <v>2829</v>
      </c>
      <c r="BW156" t="s">
        <v>243</v>
      </c>
      <c r="BX156" t="s">
        <v>243</v>
      </c>
      <c r="BY156" t="s">
        <v>243</v>
      </c>
      <c r="BZ156" t="s">
        <v>243</v>
      </c>
      <c r="CA156" t="s">
        <v>243</v>
      </c>
      <c r="CB156" t="s">
        <v>2829</v>
      </c>
      <c r="CC156" t="s">
        <v>243</v>
      </c>
      <c r="CD156" t="s">
        <v>243</v>
      </c>
      <c r="CE156" t="s">
        <v>243</v>
      </c>
      <c r="CF156" t="s">
        <v>243</v>
      </c>
      <c r="CG156" t="s">
        <v>243</v>
      </c>
      <c r="CH156" t="s">
        <v>2829</v>
      </c>
      <c r="CI156" t="s">
        <v>243</v>
      </c>
      <c r="CJ156" t="s">
        <v>243</v>
      </c>
      <c r="CK156" t="s">
        <v>243</v>
      </c>
      <c r="CL156" t="s">
        <v>243</v>
      </c>
      <c r="CM156" t="s">
        <v>243</v>
      </c>
      <c r="CN156" t="s">
        <v>2836</v>
      </c>
      <c r="CO156" t="s">
        <v>2843</v>
      </c>
      <c r="CP156" t="s">
        <v>2844</v>
      </c>
      <c r="CQ156" t="s">
        <v>430</v>
      </c>
      <c r="CR156" t="s">
        <v>2845</v>
      </c>
      <c r="CS156" t="s">
        <v>431</v>
      </c>
      <c r="CT156" t="s">
        <v>430</v>
      </c>
      <c r="CU156" t="s">
        <v>2846</v>
      </c>
      <c r="CV156" t="s">
        <v>2847</v>
      </c>
      <c r="CW156" t="s">
        <v>2845</v>
      </c>
      <c r="CX156" t="s">
        <v>2848</v>
      </c>
      <c r="CY156" t="s">
        <v>4246</v>
      </c>
    </row>
    <row r="157" spans="1:103" ht="11.25" customHeight="1">
      <c r="A157" t="s">
        <v>243</v>
      </c>
      <c r="B157" t="s">
        <v>243</v>
      </c>
      <c r="C157" t="s">
        <v>243</v>
      </c>
      <c r="D157" t="s">
        <v>243</v>
      </c>
      <c r="E157" t="s">
        <v>243</v>
      </c>
      <c r="F157" t="s">
        <v>2816</v>
      </c>
      <c r="G157" t="s">
        <v>243</v>
      </c>
      <c r="H157" t="s">
        <v>243</v>
      </c>
      <c r="I157" t="s">
        <v>4247</v>
      </c>
      <c r="J157" t="s">
        <v>243</v>
      </c>
      <c r="K157" t="s">
        <v>2818</v>
      </c>
      <c r="L157" t="s">
        <v>243</v>
      </c>
      <c r="M157" t="s">
        <v>114</v>
      </c>
      <c r="N157" t="s">
        <v>243</v>
      </c>
      <c r="O157" t="s">
        <v>2819</v>
      </c>
      <c r="P157" t="s">
        <v>2820</v>
      </c>
      <c r="Q157" t="s">
        <v>2821</v>
      </c>
      <c r="R157" t="s">
        <v>200</v>
      </c>
      <c r="S157" t="s">
        <v>200</v>
      </c>
      <c r="T157" t="s">
        <v>2822</v>
      </c>
      <c r="U157" t="s">
        <v>2822</v>
      </c>
      <c r="V157" t="s">
        <v>2823</v>
      </c>
      <c r="W157" t="s">
        <v>4248</v>
      </c>
      <c r="X157" t="s">
        <v>4249</v>
      </c>
      <c r="Y157" t="s">
        <v>4250</v>
      </c>
      <c r="Z157" t="s">
        <v>451</v>
      </c>
      <c r="AA157" t="s">
        <v>2904</v>
      </c>
      <c r="AB157" t="s">
        <v>4251</v>
      </c>
      <c r="AC157" t="s">
        <v>2829</v>
      </c>
      <c r="AD157" t="s">
        <v>2830</v>
      </c>
      <c r="AE157" t="s">
        <v>2857</v>
      </c>
      <c r="AF157" t="s">
        <v>4252</v>
      </c>
      <c r="AG157" t="s">
        <v>4252</v>
      </c>
      <c r="AH157" t="s">
        <v>2834</v>
      </c>
      <c r="AI157" t="s">
        <v>2835</v>
      </c>
      <c r="AJ157" t="s">
        <v>2836</v>
      </c>
      <c r="AK157" t="s">
        <v>2837</v>
      </c>
      <c r="AL157" t="s">
        <v>2904</v>
      </c>
      <c r="AM157" t="s">
        <v>3371</v>
      </c>
      <c r="AN157" t="s">
        <v>2829</v>
      </c>
      <c r="AO157" t="s">
        <v>2839</v>
      </c>
      <c r="AP157" t="s">
        <v>2840</v>
      </c>
      <c r="AQ157" t="s">
        <v>2841</v>
      </c>
      <c r="AR157" t="s">
        <v>2842</v>
      </c>
      <c r="AS157" t="s">
        <v>2842</v>
      </c>
      <c r="AT157" t="s">
        <v>2829</v>
      </c>
      <c r="AU157" t="s">
        <v>2829</v>
      </c>
      <c r="AV157" t="s">
        <v>2829</v>
      </c>
      <c r="AW157" t="s">
        <v>2829</v>
      </c>
      <c r="AX157" t="s">
        <v>2829</v>
      </c>
      <c r="AY157" t="s">
        <v>2829</v>
      </c>
      <c r="AZ157" t="s">
        <v>2829</v>
      </c>
      <c r="BA157" t="s">
        <v>2829</v>
      </c>
      <c r="BB157" t="s">
        <v>2829</v>
      </c>
      <c r="BC157" t="s">
        <v>2829</v>
      </c>
      <c r="BD157" t="s">
        <v>2842</v>
      </c>
      <c r="BE157" t="s">
        <v>2842</v>
      </c>
      <c r="BF157" t="s">
        <v>243</v>
      </c>
      <c r="BG157" t="s">
        <v>243</v>
      </c>
      <c r="BH157" t="s">
        <v>243</v>
      </c>
      <c r="BI157" t="s">
        <v>243</v>
      </c>
      <c r="BJ157" t="s">
        <v>2829</v>
      </c>
      <c r="BK157" t="s">
        <v>243</v>
      </c>
      <c r="BL157" t="s">
        <v>243</v>
      </c>
      <c r="BM157" t="s">
        <v>243</v>
      </c>
      <c r="BN157" t="s">
        <v>243</v>
      </c>
      <c r="BO157" t="s">
        <v>243</v>
      </c>
      <c r="BP157" t="s">
        <v>2829</v>
      </c>
      <c r="BQ157" t="s">
        <v>243</v>
      </c>
      <c r="BR157" t="s">
        <v>243</v>
      </c>
      <c r="BS157" t="s">
        <v>243</v>
      </c>
      <c r="BT157" t="s">
        <v>243</v>
      </c>
      <c r="BU157" t="s">
        <v>243</v>
      </c>
      <c r="BV157" t="s">
        <v>2829</v>
      </c>
      <c r="BW157" t="s">
        <v>243</v>
      </c>
      <c r="BX157" t="s">
        <v>243</v>
      </c>
      <c r="BY157" t="s">
        <v>243</v>
      </c>
      <c r="BZ157" t="s">
        <v>243</v>
      </c>
      <c r="CA157" t="s">
        <v>243</v>
      </c>
      <c r="CB157" t="s">
        <v>2829</v>
      </c>
      <c r="CC157" t="s">
        <v>243</v>
      </c>
      <c r="CD157" t="s">
        <v>243</v>
      </c>
      <c r="CE157" t="s">
        <v>243</v>
      </c>
      <c r="CF157" t="s">
        <v>243</v>
      </c>
      <c r="CG157" t="s">
        <v>243</v>
      </c>
      <c r="CH157" t="s">
        <v>2829</v>
      </c>
      <c r="CI157" t="s">
        <v>243</v>
      </c>
      <c r="CJ157" t="s">
        <v>243</v>
      </c>
      <c r="CK157" t="s">
        <v>243</v>
      </c>
      <c r="CL157" t="s">
        <v>243</v>
      </c>
      <c r="CM157" t="s">
        <v>243</v>
      </c>
      <c r="CN157" t="s">
        <v>2836</v>
      </c>
      <c r="CO157" t="s">
        <v>2843</v>
      </c>
      <c r="CP157" t="s">
        <v>2844</v>
      </c>
      <c r="CQ157" t="s">
        <v>430</v>
      </c>
      <c r="CR157" t="s">
        <v>2845</v>
      </c>
      <c r="CS157" t="s">
        <v>431</v>
      </c>
      <c r="CT157" t="s">
        <v>430</v>
      </c>
      <c r="CU157" t="s">
        <v>2846</v>
      </c>
      <c r="CV157" t="s">
        <v>2847</v>
      </c>
      <c r="CW157" t="s">
        <v>2845</v>
      </c>
      <c r="CX157" t="s">
        <v>2848</v>
      </c>
      <c r="CY157" t="s">
        <v>4253</v>
      </c>
    </row>
    <row r="158" spans="1:103" ht="11.25" customHeight="1">
      <c r="A158" t="s">
        <v>243</v>
      </c>
      <c r="B158" t="s">
        <v>243</v>
      </c>
      <c r="C158" t="s">
        <v>243</v>
      </c>
      <c r="D158" t="s">
        <v>243</v>
      </c>
      <c r="E158" t="s">
        <v>243</v>
      </c>
      <c r="F158" t="s">
        <v>2816</v>
      </c>
      <c r="G158" t="s">
        <v>243</v>
      </c>
      <c r="H158" t="s">
        <v>243</v>
      </c>
      <c r="I158" t="s">
        <v>4254</v>
      </c>
      <c r="J158" t="s">
        <v>243</v>
      </c>
      <c r="K158" t="s">
        <v>4166</v>
      </c>
      <c r="L158" t="s">
        <v>243</v>
      </c>
      <c r="M158" t="s">
        <v>114</v>
      </c>
      <c r="N158" t="s">
        <v>243</v>
      </c>
      <c r="O158" t="s">
        <v>2819</v>
      </c>
      <c r="P158" t="s">
        <v>2820</v>
      </c>
      <c r="Q158" t="s">
        <v>2821</v>
      </c>
      <c r="R158" t="s">
        <v>200</v>
      </c>
      <c r="S158" t="s">
        <v>200</v>
      </c>
      <c r="T158" t="s">
        <v>3048</v>
      </c>
      <c r="U158" t="s">
        <v>3048</v>
      </c>
      <c r="V158" t="s">
        <v>3049</v>
      </c>
      <c r="W158" t="s">
        <v>3050</v>
      </c>
      <c r="X158" t="s">
        <v>3051</v>
      </c>
      <c r="Y158" t="s">
        <v>3026</v>
      </c>
      <c r="Z158" t="s">
        <v>4255</v>
      </c>
      <c r="AA158" t="s">
        <v>4256</v>
      </c>
      <c r="AB158" t="s">
        <v>4257</v>
      </c>
      <c r="AC158" t="s">
        <v>2829</v>
      </c>
      <c r="AD158" t="s">
        <v>2883</v>
      </c>
      <c r="AE158" t="s">
        <v>2831</v>
      </c>
      <c r="AF158" t="s">
        <v>3055</v>
      </c>
      <c r="AG158" t="s">
        <v>3055</v>
      </c>
      <c r="AH158" t="s">
        <v>2834</v>
      </c>
      <c r="AI158" t="s">
        <v>2835</v>
      </c>
      <c r="AJ158" t="s">
        <v>3176</v>
      </c>
      <c r="AK158" t="s">
        <v>3070</v>
      </c>
      <c r="AL158" t="s">
        <v>4256</v>
      </c>
      <c r="AM158" t="s">
        <v>2995</v>
      </c>
      <c r="AN158" t="s">
        <v>2829</v>
      </c>
      <c r="AO158" t="s">
        <v>2839</v>
      </c>
      <c r="AP158" t="s">
        <v>2840</v>
      </c>
      <c r="AQ158" t="s">
        <v>2841</v>
      </c>
      <c r="AR158" t="s">
        <v>3278</v>
      </c>
      <c r="AS158" t="s">
        <v>3278</v>
      </c>
      <c r="AT158" t="s">
        <v>2829</v>
      </c>
      <c r="AU158" t="s">
        <v>2829</v>
      </c>
      <c r="AV158" t="s">
        <v>2829</v>
      </c>
      <c r="AW158" t="s">
        <v>2829</v>
      </c>
      <c r="AX158" t="s">
        <v>2829</v>
      </c>
      <c r="AY158" t="s">
        <v>2829</v>
      </c>
      <c r="AZ158" t="s">
        <v>2829</v>
      </c>
      <c r="BA158" t="s">
        <v>2829</v>
      </c>
      <c r="BB158" t="s">
        <v>2829</v>
      </c>
      <c r="BC158" t="s">
        <v>2829</v>
      </c>
      <c r="BD158" t="s">
        <v>3278</v>
      </c>
      <c r="BE158" t="s">
        <v>3278</v>
      </c>
      <c r="BF158" t="s">
        <v>243</v>
      </c>
      <c r="BG158" t="s">
        <v>243</v>
      </c>
      <c r="BH158" t="s">
        <v>243</v>
      </c>
      <c r="BI158" t="s">
        <v>243</v>
      </c>
      <c r="BJ158" t="s">
        <v>2829</v>
      </c>
      <c r="BK158" t="s">
        <v>243</v>
      </c>
      <c r="BL158" t="s">
        <v>243</v>
      </c>
      <c r="BM158" t="s">
        <v>243</v>
      </c>
      <c r="BN158" t="s">
        <v>243</v>
      </c>
      <c r="BO158" t="s">
        <v>243</v>
      </c>
      <c r="BP158" t="s">
        <v>2829</v>
      </c>
      <c r="BQ158" t="s">
        <v>243</v>
      </c>
      <c r="BR158" t="s">
        <v>243</v>
      </c>
      <c r="BS158" t="s">
        <v>243</v>
      </c>
      <c r="BT158" t="s">
        <v>243</v>
      </c>
      <c r="BU158" t="s">
        <v>243</v>
      </c>
      <c r="BV158" t="s">
        <v>2829</v>
      </c>
      <c r="BW158" t="s">
        <v>243</v>
      </c>
      <c r="BX158" t="s">
        <v>243</v>
      </c>
      <c r="BY158" t="s">
        <v>243</v>
      </c>
      <c r="BZ158" t="s">
        <v>243</v>
      </c>
      <c r="CA158" t="s">
        <v>243</v>
      </c>
      <c r="CB158" t="s">
        <v>2829</v>
      </c>
      <c r="CC158" t="s">
        <v>243</v>
      </c>
      <c r="CD158" t="s">
        <v>243</v>
      </c>
      <c r="CE158" t="s">
        <v>243</v>
      </c>
      <c r="CF158" t="s">
        <v>243</v>
      </c>
      <c r="CG158" t="s">
        <v>243</v>
      </c>
      <c r="CH158" t="s">
        <v>2829</v>
      </c>
      <c r="CI158" t="s">
        <v>243</v>
      </c>
      <c r="CJ158" t="s">
        <v>243</v>
      </c>
      <c r="CK158" t="s">
        <v>243</v>
      </c>
      <c r="CL158" t="s">
        <v>243</v>
      </c>
      <c r="CM158" t="s">
        <v>243</v>
      </c>
      <c r="CN158" t="s">
        <v>2942</v>
      </c>
      <c r="CO158" t="s">
        <v>2843</v>
      </c>
      <c r="CP158" t="s">
        <v>2844</v>
      </c>
      <c r="CQ158" t="s">
        <v>470</v>
      </c>
      <c r="CR158" t="s">
        <v>2872</v>
      </c>
      <c r="CS158" t="s">
        <v>431</v>
      </c>
      <c r="CT158" t="s">
        <v>470</v>
      </c>
      <c r="CU158" t="s">
        <v>3061</v>
      </c>
      <c r="CV158" t="s">
        <v>3062</v>
      </c>
      <c r="CW158" t="s">
        <v>2872</v>
      </c>
      <c r="CX158" t="s">
        <v>2848</v>
      </c>
      <c r="CY158" t="s">
        <v>4258</v>
      </c>
    </row>
    <row r="159" spans="1:103" ht="11.25" customHeight="1">
      <c r="A159" t="s">
        <v>243</v>
      </c>
      <c r="B159" t="s">
        <v>243</v>
      </c>
      <c r="C159" t="s">
        <v>243</v>
      </c>
      <c r="D159" t="s">
        <v>243</v>
      </c>
      <c r="E159" t="s">
        <v>243</v>
      </c>
      <c r="F159" t="s">
        <v>2816</v>
      </c>
      <c r="G159" t="s">
        <v>243</v>
      </c>
      <c r="H159" t="s">
        <v>243</v>
      </c>
      <c r="I159" t="s">
        <v>4259</v>
      </c>
      <c r="J159" t="s">
        <v>243</v>
      </c>
      <c r="K159" t="s">
        <v>4260</v>
      </c>
      <c r="L159" t="s">
        <v>243</v>
      </c>
      <c r="M159" t="s">
        <v>114</v>
      </c>
      <c r="N159" t="s">
        <v>243</v>
      </c>
      <c r="O159" t="s">
        <v>2819</v>
      </c>
      <c r="P159" t="s">
        <v>2820</v>
      </c>
      <c r="Q159" t="s">
        <v>2821</v>
      </c>
      <c r="R159" t="s">
        <v>200</v>
      </c>
      <c r="S159" t="s">
        <v>200</v>
      </c>
      <c r="T159" t="s">
        <v>2968</v>
      </c>
      <c r="U159" t="s">
        <v>2968</v>
      </c>
      <c r="V159" t="s">
        <v>2969</v>
      </c>
      <c r="W159" t="s">
        <v>4261</v>
      </c>
      <c r="X159" t="s">
        <v>4262</v>
      </c>
      <c r="Y159" t="s">
        <v>2929</v>
      </c>
      <c r="Z159" t="s">
        <v>4263</v>
      </c>
      <c r="AA159" t="s">
        <v>4264</v>
      </c>
      <c r="AB159" t="s">
        <v>4265</v>
      </c>
      <c r="AC159" t="s">
        <v>2829</v>
      </c>
      <c r="AD159" t="s">
        <v>2883</v>
      </c>
      <c r="AE159" t="s">
        <v>2975</v>
      </c>
      <c r="AF159" t="s">
        <v>4266</v>
      </c>
      <c r="AG159" t="s">
        <v>4266</v>
      </c>
      <c r="AH159" t="s">
        <v>2834</v>
      </c>
      <c r="AI159" t="s">
        <v>2835</v>
      </c>
      <c r="AJ159" t="s">
        <v>3572</v>
      </c>
      <c r="AK159" t="s">
        <v>4267</v>
      </c>
      <c r="AL159" t="s">
        <v>4264</v>
      </c>
      <c r="AM159" t="s">
        <v>4265</v>
      </c>
      <c r="AN159" t="s">
        <v>2829</v>
      </c>
      <c r="AO159" t="s">
        <v>2839</v>
      </c>
      <c r="AP159" t="s">
        <v>2840</v>
      </c>
      <c r="AQ159" t="s">
        <v>2841</v>
      </c>
      <c r="AR159" t="s">
        <v>4268</v>
      </c>
      <c r="AS159" t="s">
        <v>4268</v>
      </c>
      <c r="AT159" t="s">
        <v>2829</v>
      </c>
      <c r="AU159" t="s">
        <v>2829</v>
      </c>
      <c r="AV159" t="s">
        <v>2829</v>
      </c>
      <c r="AW159" t="s">
        <v>2829</v>
      </c>
      <c r="AX159" t="s">
        <v>2829</v>
      </c>
      <c r="AY159" t="s">
        <v>2829</v>
      </c>
      <c r="AZ159" t="s">
        <v>2829</v>
      </c>
      <c r="BA159" t="s">
        <v>2829</v>
      </c>
      <c r="BB159" t="s">
        <v>2829</v>
      </c>
      <c r="BC159" t="s">
        <v>2829</v>
      </c>
      <c r="BD159" t="s">
        <v>2829</v>
      </c>
      <c r="BE159" t="s">
        <v>243</v>
      </c>
      <c r="BF159" t="s">
        <v>243</v>
      </c>
      <c r="BG159" t="s">
        <v>243</v>
      </c>
      <c r="BH159" t="s">
        <v>243</v>
      </c>
      <c r="BI159" t="s">
        <v>243</v>
      </c>
      <c r="BJ159" t="s">
        <v>2829</v>
      </c>
      <c r="BK159" t="s">
        <v>243</v>
      </c>
      <c r="BL159" t="s">
        <v>243</v>
      </c>
      <c r="BM159" t="s">
        <v>243</v>
      </c>
      <c r="BN159" t="s">
        <v>243</v>
      </c>
      <c r="BO159" t="s">
        <v>243</v>
      </c>
      <c r="BP159" t="s">
        <v>4268</v>
      </c>
      <c r="BQ159" t="s">
        <v>4268</v>
      </c>
      <c r="BR159" t="s">
        <v>243</v>
      </c>
      <c r="BS159" t="s">
        <v>243</v>
      </c>
      <c r="BT159" t="s">
        <v>243</v>
      </c>
      <c r="BU159" t="s">
        <v>243</v>
      </c>
      <c r="BV159" t="s">
        <v>2829</v>
      </c>
      <c r="BW159" t="s">
        <v>243</v>
      </c>
      <c r="BX159" t="s">
        <v>243</v>
      </c>
      <c r="BY159" t="s">
        <v>243</v>
      </c>
      <c r="BZ159" t="s">
        <v>243</v>
      </c>
      <c r="CA159" t="s">
        <v>243</v>
      </c>
      <c r="CB159" t="s">
        <v>2829</v>
      </c>
      <c r="CC159" t="s">
        <v>243</v>
      </c>
      <c r="CD159" t="s">
        <v>243</v>
      </c>
      <c r="CE159" t="s">
        <v>243</v>
      </c>
      <c r="CF159" t="s">
        <v>243</v>
      </c>
      <c r="CG159" t="s">
        <v>243</v>
      </c>
      <c r="CH159" t="s">
        <v>2829</v>
      </c>
      <c r="CI159" t="s">
        <v>243</v>
      </c>
      <c r="CJ159" t="s">
        <v>243</v>
      </c>
      <c r="CK159" t="s">
        <v>243</v>
      </c>
      <c r="CL159" t="s">
        <v>243</v>
      </c>
      <c r="CM159" t="s">
        <v>243</v>
      </c>
      <c r="CN159" t="s">
        <v>3010</v>
      </c>
      <c r="CO159" t="s">
        <v>2843</v>
      </c>
      <c r="CP159" t="s">
        <v>2844</v>
      </c>
      <c r="CQ159" t="s">
        <v>430</v>
      </c>
      <c r="CR159" t="s">
        <v>2984</v>
      </c>
      <c r="CS159" t="s">
        <v>431</v>
      </c>
      <c r="CT159" t="s">
        <v>430</v>
      </c>
      <c r="CU159" t="s">
        <v>2985</v>
      </c>
      <c r="CV159" t="s">
        <v>2986</v>
      </c>
      <c r="CW159" t="s">
        <v>2984</v>
      </c>
      <c r="CX159" t="s">
        <v>2848</v>
      </c>
      <c r="CY159" t="s">
        <v>4269</v>
      </c>
    </row>
    <row r="160" spans="1:103" ht="11.25" customHeight="1">
      <c r="A160" t="s">
        <v>243</v>
      </c>
      <c r="B160" t="s">
        <v>243</v>
      </c>
      <c r="C160" t="s">
        <v>243</v>
      </c>
      <c r="D160" t="s">
        <v>243</v>
      </c>
      <c r="E160" t="s">
        <v>243</v>
      </c>
      <c r="F160" t="s">
        <v>2816</v>
      </c>
      <c r="G160" t="s">
        <v>243</v>
      </c>
      <c r="H160" t="s">
        <v>243</v>
      </c>
      <c r="I160" t="s">
        <v>466</v>
      </c>
      <c r="J160" t="s">
        <v>243</v>
      </c>
      <c r="K160" t="s">
        <v>3233</v>
      </c>
      <c r="L160" t="s">
        <v>243</v>
      </c>
      <c r="M160" t="s">
        <v>114</v>
      </c>
      <c r="N160" t="s">
        <v>243</v>
      </c>
      <c r="O160" t="s">
        <v>2819</v>
      </c>
      <c r="P160" t="s">
        <v>2820</v>
      </c>
      <c r="Q160" t="s">
        <v>2821</v>
      </c>
      <c r="R160" t="s">
        <v>200</v>
      </c>
      <c r="S160" t="s">
        <v>200</v>
      </c>
      <c r="T160" t="s">
        <v>2822</v>
      </c>
      <c r="U160" t="s">
        <v>2822</v>
      </c>
      <c r="V160" t="s">
        <v>2823</v>
      </c>
      <c r="W160" t="s">
        <v>2952</v>
      </c>
      <c r="X160" t="s">
        <v>2953</v>
      </c>
      <c r="Y160" t="s">
        <v>4270</v>
      </c>
      <c r="Z160" t="s">
        <v>4271</v>
      </c>
      <c r="AA160" t="s">
        <v>4272</v>
      </c>
      <c r="AB160" t="s">
        <v>4273</v>
      </c>
      <c r="AC160" t="s">
        <v>2829</v>
      </c>
      <c r="AD160" t="s">
        <v>2830</v>
      </c>
      <c r="AE160" t="s">
        <v>2831</v>
      </c>
      <c r="AF160" t="s">
        <v>4274</v>
      </c>
      <c r="AG160" t="s">
        <v>4275</v>
      </c>
      <c r="AH160" t="s">
        <v>2834</v>
      </c>
      <c r="AI160" t="s">
        <v>2835</v>
      </c>
      <c r="AJ160" t="s">
        <v>2960</v>
      </c>
      <c r="AK160" t="s">
        <v>3882</v>
      </c>
      <c r="AL160" t="s">
        <v>4276</v>
      </c>
      <c r="AM160" t="s">
        <v>3653</v>
      </c>
      <c r="AN160" t="s">
        <v>2829</v>
      </c>
      <c r="AO160" t="s">
        <v>2839</v>
      </c>
      <c r="AP160" t="s">
        <v>2840</v>
      </c>
      <c r="AQ160" t="s">
        <v>2841</v>
      </c>
      <c r="AR160" t="s">
        <v>4277</v>
      </c>
      <c r="AS160" t="s">
        <v>4277</v>
      </c>
      <c r="AT160" t="s">
        <v>2829</v>
      </c>
      <c r="AU160" t="s">
        <v>2829</v>
      </c>
      <c r="AV160" t="s">
        <v>2829</v>
      </c>
      <c r="AW160" t="s">
        <v>2829</v>
      </c>
      <c r="AX160" t="s">
        <v>2829</v>
      </c>
      <c r="AY160" t="s">
        <v>2829</v>
      </c>
      <c r="AZ160" t="s">
        <v>2829</v>
      </c>
      <c r="BA160" t="s">
        <v>2829</v>
      </c>
      <c r="BB160" t="s">
        <v>2829</v>
      </c>
      <c r="BC160" t="s">
        <v>2829</v>
      </c>
      <c r="BD160" t="s">
        <v>4277</v>
      </c>
      <c r="BE160" t="s">
        <v>4277</v>
      </c>
      <c r="BF160" t="s">
        <v>243</v>
      </c>
      <c r="BG160" t="s">
        <v>243</v>
      </c>
      <c r="BH160" t="s">
        <v>243</v>
      </c>
      <c r="BI160" t="s">
        <v>243</v>
      </c>
      <c r="BJ160" t="s">
        <v>2829</v>
      </c>
      <c r="BK160" t="s">
        <v>243</v>
      </c>
      <c r="BL160" t="s">
        <v>243</v>
      </c>
      <c r="BM160" t="s">
        <v>243</v>
      </c>
      <c r="BN160" t="s">
        <v>243</v>
      </c>
      <c r="BO160" t="s">
        <v>243</v>
      </c>
      <c r="BP160" t="s">
        <v>2829</v>
      </c>
      <c r="BQ160" t="s">
        <v>243</v>
      </c>
      <c r="BR160" t="s">
        <v>243</v>
      </c>
      <c r="BS160" t="s">
        <v>243</v>
      </c>
      <c r="BT160" t="s">
        <v>243</v>
      </c>
      <c r="BU160" t="s">
        <v>243</v>
      </c>
      <c r="BV160" t="s">
        <v>2829</v>
      </c>
      <c r="BW160" t="s">
        <v>243</v>
      </c>
      <c r="BX160" t="s">
        <v>243</v>
      </c>
      <c r="BY160" t="s">
        <v>243</v>
      </c>
      <c r="BZ160" t="s">
        <v>243</v>
      </c>
      <c r="CA160" t="s">
        <v>243</v>
      </c>
      <c r="CB160" t="s">
        <v>2829</v>
      </c>
      <c r="CC160" t="s">
        <v>243</v>
      </c>
      <c r="CD160" t="s">
        <v>243</v>
      </c>
      <c r="CE160" t="s">
        <v>243</v>
      </c>
      <c r="CF160" t="s">
        <v>243</v>
      </c>
      <c r="CG160" t="s">
        <v>243</v>
      </c>
      <c r="CH160" t="s">
        <v>2829</v>
      </c>
      <c r="CI160" t="s">
        <v>243</v>
      </c>
      <c r="CJ160" t="s">
        <v>243</v>
      </c>
      <c r="CK160" t="s">
        <v>243</v>
      </c>
      <c r="CL160" t="s">
        <v>243</v>
      </c>
      <c r="CM160" t="s">
        <v>243</v>
      </c>
      <c r="CN160" t="s">
        <v>2960</v>
      </c>
      <c r="CO160" t="s">
        <v>2843</v>
      </c>
      <c r="CP160" t="s">
        <v>2844</v>
      </c>
      <c r="CQ160" t="s">
        <v>430</v>
      </c>
      <c r="CR160" t="s">
        <v>2845</v>
      </c>
      <c r="CS160" t="s">
        <v>431</v>
      </c>
      <c r="CT160" t="s">
        <v>430</v>
      </c>
      <c r="CU160" t="s">
        <v>2846</v>
      </c>
      <c r="CV160" t="s">
        <v>2847</v>
      </c>
      <c r="CW160" t="s">
        <v>2845</v>
      </c>
      <c r="CX160" t="s">
        <v>2848</v>
      </c>
      <c r="CY160" t="s">
        <v>4278</v>
      </c>
    </row>
    <row r="161" spans="1:103" ht="11.25" customHeight="1">
      <c r="A161" t="s">
        <v>243</v>
      </c>
      <c r="B161" t="s">
        <v>243</v>
      </c>
      <c r="C161" t="s">
        <v>243</v>
      </c>
      <c r="D161" t="s">
        <v>243</v>
      </c>
      <c r="E161" t="s">
        <v>243</v>
      </c>
      <c r="F161" t="s">
        <v>2816</v>
      </c>
      <c r="G161" t="s">
        <v>243</v>
      </c>
      <c r="H161" t="s">
        <v>243</v>
      </c>
      <c r="I161" t="s">
        <v>4279</v>
      </c>
      <c r="J161" t="s">
        <v>243</v>
      </c>
      <c r="K161" t="s">
        <v>3507</v>
      </c>
      <c r="L161" t="s">
        <v>243</v>
      </c>
      <c r="M161" t="s">
        <v>114</v>
      </c>
      <c r="N161" t="s">
        <v>243</v>
      </c>
      <c r="O161" t="s">
        <v>2819</v>
      </c>
      <c r="P161" t="s">
        <v>2820</v>
      </c>
      <c r="Q161" t="s">
        <v>2821</v>
      </c>
      <c r="R161" t="s">
        <v>200</v>
      </c>
      <c r="S161" t="s">
        <v>200</v>
      </c>
      <c r="T161" t="s">
        <v>2968</v>
      </c>
      <c r="U161" t="s">
        <v>2968</v>
      </c>
      <c r="V161" t="s">
        <v>2969</v>
      </c>
      <c r="W161" t="s">
        <v>4280</v>
      </c>
      <c r="X161" t="s">
        <v>4281</v>
      </c>
      <c r="Y161" t="s">
        <v>3026</v>
      </c>
      <c r="Z161" t="s">
        <v>4282</v>
      </c>
      <c r="AA161" t="s">
        <v>2995</v>
      </c>
      <c r="AB161" t="s">
        <v>3511</v>
      </c>
      <c r="AC161" t="s">
        <v>2829</v>
      </c>
      <c r="AD161" t="s">
        <v>2883</v>
      </c>
      <c r="AE161" t="s">
        <v>2857</v>
      </c>
      <c r="AF161" t="s">
        <v>4283</v>
      </c>
      <c r="AG161" t="s">
        <v>4283</v>
      </c>
      <c r="AH161" t="s">
        <v>2834</v>
      </c>
      <c r="AI161" t="s">
        <v>2835</v>
      </c>
      <c r="AJ161" t="s">
        <v>3010</v>
      </c>
      <c r="AK161" t="s">
        <v>3587</v>
      </c>
      <c r="AL161" t="s">
        <v>2995</v>
      </c>
      <c r="AM161" t="s">
        <v>3511</v>
      </c>
      <c r="AN161" t="s">
        <v>2829</v>
      </c>
      <c r="AO161" t="s">
        <v>2839</v>
      </c>
      <c r="AP161" t="s">
        <v>2840</v>
      </c>
      <c r="AQ161" t="s">
        <v>2841</v>
      </c>
      <c r="AR161" t="s">
        <v>3350</v>
      </c>
      <c r="AS161" t="s">
        <v>3350</v>
      </c>
      <c r="AT161" t="s">
        <v>2829</v>
      </c>
      <c r="AU161" t="s">
        <v>2829</v>
      </c>
      <c r="AV161" t="s">
        <v>2829</v>
      </c>
      <c r="AW161" t="s">
        <v>2829</v>
      </c>
      <c r="AX161" t="s">
        <v>2829</v>
      </c>
      <c r="AY161" t="s">
        <v>2829</v>
      </c>
      <c r="AZ161" t="s">
        <v>2829</v>
      </c>
      <c r="BA161" t="s">
        <v>2829</v>
      </c>
      <c r="BB161" t="s">
        <v>2829</v>
      </c>
      <c r="BC161" t="s">
        <v>2829</v>
      </c>
      <c r="BD161" t="s">
        <v>2829</v>
      </c>
      <c r="BE161" t="s">
        <v>243</v>
      </c>
      <c r="BF161" t="s">
        <v>243</v>
      </c>
      <c r="BG161" t="s">
        <v>243</v>
      </c>
      <c r="BH161" t="s">
        <v>243</v>
      </c>
      <c r="BI161" t="s">
        <v>243</v>
      </c>
      <c r="BJ161" t="s">
        <v>2829</v>
      </c>
      <c r="BK161" t="s">
        <v>243</v>
      </c>
      <c r="BL161" t="s">
        <v>243</v>
      </c>
      <c r="BM161" t="s">
        <v>243</v>
      </c>
      <c r="BN161" t="s">
        <v>243</v>
      </c>
      <c r="BO161" t="s">
        <v>243</v>
      </c>
      <c r="BP161" t="s">
        <v>3350</v>
      </c>
      <c r="BQ161" t="s">
        <v>3350</v>
      </c>
      <c r="BR161" t="s">
        <v>243</v>
      </c>
      <c r="BS161" t="s">
        <v>243</v>
      </c>
      <c r="BT161" t="s">
        <v>243</v>
      </c>
      <c r="BU161" t="s">
        <v>243</v>
      </c>
      <c r="BV161" t="s">
        <v>2829</v>
      </c>
      <c r="BW161" t="s">
        <v>243</v>
      </c>
      <c r="BX161" t="s">
        <v>243</v>
      </c>
      <c r="BY161" t="s">
        <v>243</v>
      </c>
      <c r="BZ161" t="s">
        <v>243</v>
      </c>
      <c r="CA161" t="s">
        <v>243</v>
      </c>
      <c r="CB161" t="s">
        <v>2829</v>
      </c>
      <c r="CC161" t="s">
        <v>243</v>
      </c>
      <c r="CD161" t="s">
        <v>243</v>
      </c>
      <c r="CE161" t="s">
        <v>243</v>
      </c>
      <c r="CF161" t="s">
        <v>243</v>
      </c>
      <c r="CG161" t="s">
        <v>243</v>
      </c>
      <c r="CH161" t="s">
        <v>2829</v>
      </c>
      <c r="CI161" t="s">
        <v>243</v>
      </c>
      <c r="CJ161" t="s">
        <v>243</v>
      </c>
      <c r="CK161" t="s">
        <v>243</v>
      </c>
      <c r="CL161" t="s">
        <v>243</v>
      </c>
      <c r="CM161" t="s">
        <v>243</v>
      </c>
      <c r="CN161" t="s">
        <v>3010</v>
      </c>
      <c r="CO161" t="s">
        <v>2843</v>
      </c>
      <c r="CP161" t="s">
        <v>2844</v>
      </c>
      <c r="CQ161" t="s">
        <v>430</v>
      </c>
      <c r="CR161" t="s">
        <v>2984</v>
      </c>
      <c r="CS161" t="s">
        <v>431</v>
      </c>
      <c r="CT161" t="s">
        <v>430</v>
      </c>
      <c r="CU161" t="s">
        <v>2985</v>
      </c>
      <c r="CV161" t="s">
        <v>2986</v>
      </c>
      <c r="CW161" t="s">
        <v>2984</v>
      </c>
      <c r="CX161" t="s">
        <v>2848</v>
      </c>
      <c r="CY161" t="s">
        <v>4284</v>
      </c>
    </row>
    <row r="162" spans="1:103" ht="11.25" customHeight="1">
      <c r="A162" t="s">
        <v>243</v>
      </c>
      <c r="B162" t="s">
        <v>243</v>
      </c>
      <c r="C162" t="s">
        <v>243</v>
      </c>
      <c r="D162" t="s">
        <v>243</v>
      </c>
      <c r="E162" t="s">
        <v>243</v>
      </c>
      <c r="F162" t="s">
        <v>2816</v>
      </c>
      <c r="G162" t="s">
        <v>243</v>
      </c>
      <c r="H162" t="s">
        <v>243</v>
      </c>
      <c r="I162" t="s">
        <v>4285</v>
      </c>
      <c r="J162" t="s">
        <v>243</v>
      </c>
      <c r="K162" t="s">
        <v>4286</v>
      </c>
      <c r="L162" t="s">
        <v>243</v>
      </c>
      <c r="M162" t="s">
        <v>114</v>
      </c>
      <c r="N162" t="s">
        <v>243</v>
      </c>
      <c r="O162" t="s">
        <v>2819</v>
      </c>
      <c r="P162" t="s">
        <v>2820</v>
      </c>
      <c r="Q162" t="s">
        <v>2821</v>
      </c>
      <c r="R162" t="s">
        <v>200</v>
      </c>
      <c r="S162" t="s">
        <v>200</v>
      </c>
      <c r="T162" t="s">
        <v>3022</v>
      </c>
      <c r="U162" t="s">
        <v>3022</v>
      </c>
      <c r="V162" t="s">
        <v>3023</v>
      </c>
      <c r="W162" t="s">
        <v>3678</v>
      </c>
      <c r="X162" t="s">
        <v>3679</v>
      </c>
      <c r="Y162" t="s">
        <v>4287</v>
      </c>
      <c r="Z162" t="s">
        <v>348</v>
      </c>
      <c r="AA162" t="s">
        <v>2964</v>
      </c>
      <c r="AB162" t="s">
        <v>3395</v>
      </c>
      <c r="AC162" t="s">
        <v>2829</v>
      </c>
      <c r="AD162" t="s">
        <v>2883</v>
      </c>
      <c r="AE162" t="s">
        <v>2831</v>
      </c>
      <c r="AF162" t="s">
        <v>3682</v>
      </c>
      <c r="AG162" t="s">
        <v>3682</v>
      </c>
      <c r="AH162" t="s">
        <v>2834</v>
      </c>
      <c r="AI162" t="s">
        <v>2835</v>
      </c>
      <c r="AJ162" t="s">
        <v>3044</v>
      </c>
      <c r="AK162" t="s">
        <v>4288</v>
      </c>
      <c r="AL162" t="s">
        <v>2964</v>
      </c>
      <c r="AM162" t="s">
        <v>3395</v>
      </c>
      <c r="AN162" t="s">
        <v>2829</v>
      </c>
      <c r="AO162" t="s">
        <v>2839</v>
      </c>
      <c r="AP162" t="s">
        <v>2840</v>
      </c>
      <c r="AQ162" t="s">
        <v>2841</v>
      </c>
      <c r="AR162" t="s">
        <v>4289</v>
      </c>
      <c r="AS162" t="s">
        <v>4289</v>
      </c>
      <c r="AT162" t="s">
        <v>2829</v>
      </c>
      <c r="AU162" t="s">
        <v>2829</v>
      </c>
      <c r="AV162" t="s">
        <v>2829</v>
      </c>
      <c r="AW162" t="s">
        <v>2829</v>
      </c>
      <c r="AX162" t="s">
        <v>2829</v>
      </c>
      <c r="AY162" t="s">
        <v>2829</v>
      </c>
      <c r="AZ162" t="s">
        <v>2829</v>
      </c>
      <c r="BA162" t="s">
        <v>2829</v>
      </c>
      <c r="BB162" t="s">
        <v>2829</v>
      </c>
      <c r="BC162" t="s">
        <v>2829</v>
      </c>
      <c r="BD162" t="s">
        <v>2829</v>
      </c>
      <c r="BE162" t="s">
        <v>243</v>
      </c>
      <c r="BF162" t="s">
        <v>243</v>
      </c>
      <c r="BG162" t="s">
        <v>243</v>
      </c>
      <c r="BH162" t="s">
        <v>243</v>
      </c>
      <c r="BI162" t="s">
        <v>243</v>
      </c>
      <c r="BJ162" t="s">
        <v>2829</v>
      </c>
      <c r="BK162" t="s">
        <v>243</v>
      </c>
      <c r="BL162" t="s">
        <v>243</v>
      </c>
      <c r="BM162" t="s">
        <v>243</v>
      </c>
      <c r="BN162" t="s">
        <v>243</v>
      </c>
      <c r="BO162" t="s">
        <v>243</v>
      </c>
      <c r="BP162" t="s">
        <v>4289</v>
      </c>
      <c r="BQ162" t="s">
        <v>4289</v>
      </c>
      <c r="BR162" t="s">
        <v>243</v>
      </c>
      <c r="BS162" t="s">
        <v>243</v>
      </c>
      <c r="BT162" t="s">
        <v>243</v>
      </c>
      <c r="BU162" t="s">
        <v>243</v>
      </c>
      <c r="BV162" t="s">
        <v>2829</v>
      </c>
      <c r="BW162" t="s">
        <v>243</v>
      </c>
      <c r="BX162" t="s">
        <v>243</v>
      </c>
      <c r="BY162" t="s">
        <v>243</v>
      </c>
      <c r="BZ162" t="s">
        <v>243</v>
      </c>
      <c r="CA162" t="s">
        <v>243</v>
      </c>
      <c r="CB162" t="s">
        <v>2829</v>
      </c>
      <c r="CC162" t="s">
        <v>243</v>
      </c>
      <c r="CD162" t="s">
        <v>243</v>
      </c>
      <c r="CE162" t="s">
        <v>243</v>
      </c>
      <c r="CF162" t="s">
        <v>243</v>
      </c>
      <c r="CG162" t="s">
        <v>243</v>
      </c>
      <c r="CH162" t="s">
        <v>2829</v>
      </c>
      <c r="CI162" t="s">
        <v>243</v>
      </c>
      <c r="CJ162" t="s">
        <v>243</v>
      </c>
      <c r="CK162" t="s">
        <v>243</v>
      </c>
      <c r="CL162" t="s">
        <v>243</v>
      </c>
      <c r="CM162" t="s">
        <v>243</v>
      </c>
      <c r="CN162" t="s">
        <v>3030</v>
      </c>
      <c r="CO162" t="s">
        <v>2843</v>
      </c>
      <c r="CP162" t="s">
        <v>2844</v>
      </c>
      <c r="CQ162" t="s">
        <v>430</v>
      </c>
      <c r="CR162" t="s">
        <v>3033</v>
      </c>
      <c r="CS162" t="s">
        <v>431</v>
      </c>
      <c r="CT162" t="s">
        <v>430</v>
      </c>
      <c r="CU162" t="s">
        <v>3034</v>
      </c>
      <c r="CV162" t="s">
        <v>432</v>
      </c>
      <c r="CW162" t="s">
        <v>3033</v>
      </c>
      <c r="CX162" t="s">
        <v>2848</v>
      </c>
      <c r="CY162" t="s">
        <v>4290</v>
      </c>
    </row>
    <row r="163" spans="1:103" ht="11.25" customHeight="1">
      <c r="A163" t="s">
        <v>243</v>
      </c>
      <c r="B163" t="s">
        <v>243</v>
      </c>
      <c r="C163" t="s">
        <v>243</v>
      </c>
      <c r="D163" t="s">
        <v>243</v>
      </c>
      <c r="E163" t="s">
        <v>243</v>
      </c>
      <c r="F163" t="s">
        <v>2816</v>
      </c>
      <c r="G163" t="s">
        <v>243</v>
      </c>
      <c r="H163" t="s">
        <v>243</v>
      </c>
      <c r="I163" t="s">
        <v>4291</v>
      </c>
      <c r="J163" t="s">
        <v>243</v>
      </c>
      <c r="K163" t="s">
        <v>4073</v>
      </c>
      <c r="L163" t="s">
        <v>243</v>
      </c>
      <c r="M163" t="s">
        <v>114</v>
      </c>
      <c r="N163" t="s">
        <v>243</v>
      </c>
      <c r="O163" t="s">
        <v>2819</v>
      </c>
      <c r="P163" t="s">
        <v>2820</v>
      </c>
      <c r="Q163" t="s">
        <v>2821</v>
      </c>
      <c r="R163" t="s">
        <v>200</v>
      </c>
      <c r="S163" t="s">
        <v>200</v>
      </c>
      <c r="T163" t="s">
        <v>2822</v>
      </c>
      <c r="U163" t="s">
        <v>2822</v>
      </c>
      <c r="V163" t="s">
        <v>2823</v>
      </c>
      <c r="W163" t="s">
        <v>2952</v>
      </c>
      <c r="X163" t="s">
        <v>2953</v>
      </c>
      <c r="Y163" t="s">
        <v>4292</v>
      </c>
      <c r="Z163" t="s">
        <v>4293</v>
      </c>
      <c r="AA163" t="s">
        <v>3078</v>
      </c>
      <c r="AB163" t="s">
        <v>3464</v>
      </c>
      <c r="AC163" t="s">
        <v>2829</v>
      </c>
      <c r="AD163" t="s">
        <v>2830</v>
      </c>
      <c r="AE163" t="s">
        <v>2831</v>
      </c>
      <c r="AF163" t="s">
        <v>4294</v>
      </c>
      <c r="AG163" t="s">
        <v>4295</v>
      </c>
      <c r="AH163" t="s">
        <v>2834</v>
      </c>
      <c r="AI163" t="s">
        <v>2835</v>
      </c>
      <c r="AJ163" t="s">
        <v>2960</v>
      </c>
      <c r="AK163" t="s">
        <v>3882</v>
      </c>
      <c r="AL163" t="s">
        <v>3078</v>
      </c>
      <c r="AM163" t="s">
        <v>3464</v>
      </c>
      <c r="AN163" t="s">
        <v>2829</v>
      </c>
      <c r="AO163" t="s">
        <v>2839</v>
      </c>
      <c r="AP163" t="s">
        <v>2840</v>
      </c>
      <c r="AQ163" t="s">
        <v>2841</v>
      </c>
      <c r="AR163" t="s">
        <v>3962</v>
      </c>
      <c r="AS163" t="s">
        <v>3962</v>
      </c>
      <c r="AT163" t="s">
        <v>2829</v>
      </c>
      <c r="AU163" t="s">
        <v>2829</v>
      </c>
      <c r="AV163" t="s">
        <v>2829</v>
      </c>
      <c r="AW163" t="s">
        <v>2829</v>
      </c>
      <c r="AX163" t="s">
        <v>2829</v>
      </c>
      <c r="AY163" t="s">
        <v>2829</v>
      </c>
      <c r="AZ163" t="s">
        <v>2829</v>
      </c>
      <c r="BA163" t="s">
        <v>2829</v>
      </c>
      <c r="BB163" t="s">
        <v>2829</v>
      </c>
      <c r="BC163" t="s">
        <v>2829</v>
      </c>
      <c r="BD163" t="s">
        <v>2829</v>
      </c>
      <c r="BE163" t="s">
        <v>243</v>
      </c>
      <c r="BF163" t="s">
        <v>243</v>
      </c>
      <c r="BG163" t="s">
        <v>243</v>
      </c>
      <c r="BH163" t="s">
        <v>243</v>
      </c>
      <c r="BI163" t="s">
        <v>243</v>
      </c>
      <c r="BJ163" t="s">
        <v>2829</v>
      </c>
      <c r="BK163" t="s">
        <v>243</v>
      </c>
      <c r="BL163" t="s">
        <v>243</v>
      </c>
      <c r="BM163" t="s">
        <v>243</v>
      </c>
      <c r="BN163" t="s">
        <v>243</v>
      </c>
      <c r="BO163" t="s">
        <v>243</v>
      </c>
      <c r="BP163" t="s">
        <v>3962</v>
      </c>
      <c r="BQ163" t="s">
        <v>3962</v>
      </c>
      <c r="BR163" t="s">
        <v>243</v>
      </c>
      <c r="BS163" t="s">
        <v>243</v>
      </c>
      <c r="BT163" t="s">
        <v>243</v>
      </c>
      <c r="BU163" t="s">
        <v>243</v>
      </c>
      <c r="BV163" t="s">
        <v>2829</v>
      </c>
      <c r="BW163" t="s">
        <v>243</v>
      </c>
      <c r="BX163" t="s">
        <v>243</v>
      </c>
      <c r="BY163" t="s">
        <v>243</v>
      </c>
      <c r="BZ163" t="s">
        <v>243</v>
      </c>
      <c r="CA163" t="s">
        <v>243</v>
      </c>
      <c r="CB163" t="s">
        <v>2829</v>
      </c>
      <c r="CC163" t="s">
        <v>243</v>
      </c>
      <c r="CD163" t="s">
        <v>243</v>
      </c>
      <c r="CE163" t="s">
        <v>243</v>
      </c>
      <c r="CF163" t="s">
        <v>243</v>
      </c>
      <c r="CG163" t="s">
        <v>243</v>
      </c>
      <c r="CH163" t="s">
        <v>2829</v>
      </c>
      <c r="CI163" t="s">
        <v>243</v>
      </c>
      <c r="CJ163" t="s">
        <v>243</v>
      </c>
      <c r="CK163" t="s">
        <v>243</v>
      </c>
      <c r="CL163" t="s">
        <v>243</v>
      </c>
      <c r="CM163" t="s">
        <v>243</v>
      </c>
      <c r="CN163" t="s">
        <v>2960</v>
      </c>
      <c r="CO163" t="s">
        <v>2843</v>
      </c>
      <c r="CP163" t="s">
        <v>2844</v>
      </c>
      <c r="CQ163" t="s">
        <v>430</v>
      </c>
      <c r="CR163" t="s">
        <v>2845</v>
      </c>
      <c r="CS163" t="s">
        <v>431</v>
      </c>
      <c r="CT163" t="s">
        <v>430</v>
      </c>
      <c r="CU163" t="s">
        <v>2846</v>
      </c>
      <c r="CV163" t="s">
        <v>2847</v>
      </c>
      <c r="CW163" t="s">
        <v>2845</v>
      </c>
      <c r="CX163" t="s">
        <v>2848</v>
      </c>
      <c r="CY163" t="s">
        <v>4296</v>
      </c>
    </row>
    <row r="164" spans="1:103" ht="11.25" customHeight="1">
      <c r="A164" t="s">
        <v>243</v>
      </c>
      <c r="B164" t="s">
        <v>243</v>
      </c>
      <c r="C164" t="s">
        <v>243</v>
      </c>
      <c r="D164" t="s">
        <v>243</v>
      </c>
      <c r="E164" t="s">
        <v>243</v>
      </c>
      <c r="F164" t="s">
        <v>2816</v>
      </c>
      <c r="G164" t="s">
        <v>243</v>
      </c>
      <c r="H164" t="s">
        <v>243</v>
      </c>
      <c r="I164" t="s">
        <v>4297</v>
      </c>
      <c r="J164" t="s">
        <v>243</v>
      </c>
      <c r="K164" t="s">
        <v>2818</v>
      </c>
      <c r="L164" t="s">
        <v>243</v>
      </c>
      <c r="M164" t="s">
        <v>114</v>
      </c>
      <c r="N164" t="s">
        <v>243</v>
      </c>
      <c r="O164" t="s">
        <v>2819</v>
      </c>
      <c r="P164" t="s">
        <v>2820</v>
      </c>
      <c r="Q164" t="s">
        <v>2821</v>
      </c>
      <c r="R164" t="s">
        <v>200</v>
      </c>
      <c r="S164" t="s">
        <v>200</v>
      </c>
      <c r="T164" t="s">
        <v>2822</v>
      </c>
      <c r="U164" t="s">
        <v>2822</v>
      </c>
      <c r="V164" t="s">
        <v>2823</v>
      </c>
      <c r="W164" t="s">
        <v>4298</v>
      </c>
      <c r="X164" t="s">
        <v>4299</v>
      </c>
      <c r="Y164" t="s">
        <v>3717</v>
      </c>
      <c r="Z164" t="s">
        <v>460</v>
      </c>
      <c r="AA164" t="s">
        <v>2859</v>
      </c>
      <c r="AB164" t="s">
        <v>2859</v>
      </c>
      <c r="AC164" t="s">
        <v>243</v>
      </c>
      <c r="AD164" t="s">
        <v>2830</v>
      </c>
      <c r="AE164" t="s">
        <v>2831</v>
      </c>
      <c r="AF164" t="s">
        <v>4300</v>
      </c>
      <c r="AG164" t="s">
        <v>4300</v>
      </c>
      <c r="AH164" t="s">
        <v>2834</v>
      </c>
      <c r="AI164" t="s">
        <v>2835</v>
      </c>
      <c r="AJ164" t="s">
        <v>3287</v>
      </c>
      <c r="AK164" t="s">
        <v>4301</v>
      </c>
      <c r="AL164" t="s">
        <v>2859</v>
      </c>
      <c r="AM164" t="s">
        <v>2859</v>
      </c>
      <c r="AN164" t="s">
        <v>243</v>
      </c>
      <c r="AO164" t="s">
        <v>2839</v>
      </c>
      <c r="AP164" t="s">
        <v>2840</v>
      </c>
      <c r="AQ164" t="s">
        <v>2841</v>
      </c>
      <c r="AR164" t="s">
        <v>4302</v>
      </c>
      <c r="AS164" t="s">
        <v>4302</v>
      </c>
      <c r="AT164" t="s">
        <v>2829</v>
      </c>
      <c r="AU164" t="s">
        <v>2829</v>
      </c>
      <c r="AV164" t="s">
        <v>2829</v>
      </c>
      <c r="AW164" t="s">
        <v>2829</v>
      </c>
      <c r="AX164" t="s">
        <v>2829</v>
      </c>
      <c r="AY164" t="s">
        <v>2829</v>
      </c>
      <c r="AZ164" t="s">
        <v>2829</v>
      </c>
      <c r="BA164" t="s">
        <v>2829</v>
      </c>
      <c r="BB164" t="s">
        <v>2829</v>
      </c>
      <c r="BC164" t="s">
        <v>2829</v>
      </c>
      <c r="BD164" t="s">
        <v>4302</v>
      </c>
      <c r="BE164" t="s">
        <v>4302</v>
      </c>
      <c r="BF164" t="s">
        <v>243</v>
      </c>
      <c r="BG164" t="s">
        <v>243</v>
      </c>
      <c r="BH164" t="s">
        <v>243</v>
      </c>
      <c r="BI164" t="s">
        <v>243</v>
      </c>
      <c r="BJ164" t="s">
        <v>2829</v>
      </c>
      <c r="BK164" t="s">
        <v>243</v>
      </c>
      <c r="BL164" t="s">
        <v>243</v>
      </c>
      <c r="BM164" t="s">
        <v>243</v>
      </c>
      <c r="BN164" t="s">
        <v>243</v>
      </c>
      <c r="BO164" t="s">
        <v>243</v>
      </c>
      <c r="BP164" t="s">
        <v>2829</v>
      </c>
      <c r="BQ164" t="s">
        <v>243</v>
      </c>
      <c r="BR164" t="s">
        <v>243</v>
      </c>
      <c r="BS164" t="s">
        <v>243</v>
      </c>
      <c r="BT164" t="s">
        <v>243</v>
      </c>
      <c r="BU164" t="s">
        <v>243</v>
      </c>
      <c r="BV164" t="s">
        <v>2829</v>
      </c>
      <c r="BW164" t="s">
        <v>243</v>
      </c>
      <c r="BX164" t="s">
        <v>243</v>
      </c>
      <c r="BY164" t="s">
        <v>243</v>
      </c>
      <c r="BZ164" t="s">
        <v>243</v>
      </c>
      <c r="CA164" t="s">
        <v>243</v>
      </c>
      <c r="CB164" t="s">
        <v>2829</v>
      </c>
      <c r="CC164" t="s">
        <v>243</v>
      </c>
      <c r="CD164" t="s">
        <v>243</v>
      </c>
      <c r="CE164" t="s">
        <v>243</v>
      </c>
      <c r="CF164" t="s">
        <v>243</v>
      </c>
      <c r="CG164" t="s">
        <v>243</v>
      </c>
      <c r="CH164" t="s">
        <v>2829</v>
      </c>
      <c r="CI164" t="s">
        <v>243</v>
      </c>
      <c r="CJ164" t="s">
        <v>243</v>
      </c>
      <c r="CK164" t="s">
        <v>243</v>
      </c>
      <c r="CL164" t="s">
        <v>243</v>
      </c>
      <c r="CM164" t="s">
        <v>243</v>
      </c>
      <c r="CN164" t="s">
        <v>3287</v>
      </c>
      <c r="CO164" t="s">
        <v>2843</v>
      </c>
      <c r="CP164" t="s">
        <v>2844</v>
      </c>
      <c r="CQ164" t="s">
        <v>430</v>
      </c>
      <c r="CR164" t="s">
        <v>2872</v>
      </c>
      <c r="CS164" t="s">
        <v>431</v>
      </c>
      <c r="CT164" t="s">
        <v>430</v>
      </c>
      <c r="CU164" t="s">
        <v>2846</v>
      </c>
      <c r="CV164" t="s">
        <v>2873</v>
      </c>
      <c r="CW164" t="s">
        <v>2872</v>
      </c>
      <c r="CX164" t="s">
        <v>2848</v>
      </c>
      <c r="CY164" t="s">
        <v>4303</v>
      </c>
    </row>
    <row r="165" spans="1:103" ht="11.25" customHeight="1">
      <c r="A165" t="s">
        <v>243</v>
      </c>
      <c r="B165" t="s">
        <v>243</v>
      </c>
      <c r="C165" t="s">
        <v>243</v>
      </c>
      <c r="D165" t="s">
        <v>243</v>
      </c>
      <c r="E165" t="s">
        <v>243</v>
      </c>
      <c r="F165" t="s">
        <v>2816</v>
      </c>
      <c r="G165" t="s">
        <v>243</v>
      </c>
      <c r="H165" t="s">
        <v>243</v>
      </c>
      <c r="I165" t="s">
        <v>3830</v>
      </c>
      <c r="J165" t="s">
        <v>243</v>
      </c>
      <c r="K165" t="s">
        <v>2818</v>
      </c>
      <c r="L165" t="s">
        <v>243</v>
      </c>
      <c r="M165" t="s">
        <v>114</v>
      </c>
      <c r="N165" t="s">
        <v>243</v>
      </c>
      <c r="O165" t="s">
        <v>2819</v>
      </c>
      <c r="P165" t="s">
        <v>2820</v>
      </c>
      <c r="Q165" t="s">
        <v>2821</v>
      </c>
      <c r="R165" t="s">
        <v>200</v>
      </c>
      <c r="S165" t="s">
        <v>200</v>
      </c>
      <c r="T165" t="s">
        <v>2822</v>
      </c>
      <c r="U165" t="s">
        <v>2822</v>
      </c>
      <c r="V165" t="s">
        <v>2823</v>
      </c>
      <c r="W165" t="s">
        <v>2952</v>
      </c>
      <c r="X165" t="s">
        <v>2953</v>
      </c>
      <c r="Y165" t="s">
        <v>4304</v>
      </c>
      <c r="Z165" t="s">
        <v>341</v>
      </c>
      <c r="AA165" t="s">
        <v>2855</v>
      </c>
      <c r="AB165" t="s">
        <v>3688</v>
      </c>
      <c r="AC165" t="s">
        <v>2829</v>
      </c>
      <c r="AD165" t="s">
        <v>2830</v>
      </c>
      <c r="AE165" t="s">
        <v>2831</v>
      </c>
      <c r="AF165" t="s">
        <v>4305</v>
      </c>
      <c r="AG165" t="s">
        <v>2833</v>
      </c>
      <c r="AH165" t="s">
        <v>2834</v>
      </c>
      <c r="AI165" t="s">
        <v>2835</v>
      </c>
      <c r="AJ165" t="s">
        <v>2829</v>
      </c>
      <c r="AK165" t="s">
        <v>2868</v>
      </c>
      <c r="AL165" t="s">
        <v>2855</v>
      </c>
      <c r="AM165" t="s">
        <v>3688</v>
      </c>
      <c r="AN165" t="s">
        <v>2829</v>
      </c>
      <c r="AO165" t="s">
        <v>2839</v>
      </c>
      <c r="AP165" t="s">
        <v>2840</v>
      </c>
      <c r="AQ165" t="s">
        <v>2841</v>
      </c>
      <c r="AR165" t="s">
        <v>4306</v>
      </c>
      <c r="AS165" t="s">
        <v>4306</v>
      </c>
      <c r="AT165" t="s">
        <v>2829</v>
      </c>
      <c r="AU165" t="s">
        <v>2829</v>
      </c>
      <c r="AV165" t="s">
        <v>2829</v>
      </c>
      <c r="AW165" t="s">
        <v>2829</v>
      </c>
      <c r="AX165" t="s">
        <v>2829</v>
      </c>
      <c r="AY165" t="s">
        <v>2829</v>
      </c>
      <c r="AZ165" t="s">
        <v>2829</v>
      </c>
      <c r="BA165" t="s">
        <v>2829</v>
      </c>
      <c r="BB165" t="s">
        <v>2829</v>
      </c>
      <c r="BC165" t="s">
        <v>2829</v>
      </c>
      <c r="BD165" t="s">
        <v>4306</v>
      </c>
      <c r="BE165" t="s">
        <v>4306</v>
      </c>
      <c r="BF165" t="s">
        <v>243</v>
      </c>
      <c r="BG165" t="s">
        <v>243</v>
      </c>
      <c r="BH165" t="s">
        <v>243</v>
      </c>
      <c r="BI165" t="s">
        <v>243</v>
      </c>
      <c r="BJ165" t="s">
        <v>2829</v>
      </c>
      <c r="BK165" t="s">
        <v>243</v>
      </c>
      <c r="BL165" t="s">
        <v>243</v>
      </c>
      <c r="BM165" t="s">
        <v>243</v>
      </c>
      <c r="BN165" t="s">
        <v>243</v>
      </c>
      <c r="BO165" t="s">
        <v>243</v>
      </c>
      <c r="BP165" t="s">
        <v>2829</v>
      </c>
      <c r="BQ165" t="s">
        <v>243</v>
      </c>
      <c r="BR165" t="s">
        <v>243</v>
      </c>
      <c r="BS165" t="s">
        <v>243</v>
      </c>
      <c r="BT165" t="s">
        <v>243</v>
      </c>
      <c r="BU165" t="s">
        <v>243</v>
      </c>
      <c r="BV165" t="s">
        <v>2829</v>
      </c>
      <c r="BW165" t="s">
        <v>243</v>
      </c>
      <c r="BX165" t="s">
        <v>243</v>
      </c>
      <c r="BY165" t="s">
        <v>243</v>
      </c>
      <c r="BZ165" t="s">
        <v>243</v>
      </c>
      <c r="CA165" t="s">
        <v>243</v>
      </c>
      <c r="CB165" t="s">
        <v>2829</v>
      </c>
      <c r="CC165" t="s">
        <v>243</v>
      </c>
      <c r="CD165" t="s">
        <v>243</v>
      </c>
      <c r="CE165" t="s">
        <v>243</v>
      </c>
      <c r="CF165" t="s">
        <v>243</v>
      </c>
      <c r="CG165" t="s">
        <v>243</v>
      </c>
      <c r="CH165" t="s">
        <v>2829</v>
      </c>
      <c r="CI165" t="s">
        <v>243</v>
      </c>
      <c r="CJ165" t="s">
        <v>243</v>
      </c>
      <c r="CK165" t="s">
        <v>243</v>
      </c>
      <c r="CL165" t="s">
        <v>243</v>
      </c>
      <c r="CM165" t="s">
        <v>243</v>
      </c>
      <c r="CN165" t="s">
        <v>2829</v>
      </c>
      <c r="CO165" t="s">
        <v>2843</v>
      </c>
      <c r="CP165" t="s">
        <v>2844</v>
      </c>
      <c r="CQ165" t="s">
        <v>430</v>
      </c>
      <c r="CR165" t="s">
        <v>2872</v>
      </c>
      <c r="CS165" t="s">
        <v>431</v>
      </c>
      <c r="CT165" t="s">
        <v>430</v>
      </c>
      <c r="CU165" t="s">
        <v>2846</v>
      </c>
      <c r="CV165" t="s">
        <v>2873</v>
      </c>
      <c r="CW165" t="s">
        <v>2872</v>
      </c>
      <c r="CX165" t="s">
        <v>2848</v>
      </c>
      <c r="CY165" t="s">
        <v>4307</v>
      </c>
    </row>
    <row r="166" spans="1:103" ht="11.25" customHeight="1">
      <c r="A166" t="s">
        <v>243</v>
      </c>
      <c r="B166" t="s">
        <v>243</v>
      </c>
      <c r="C166" t="s">
        <v>243</v>
      </c>
      <c r="D166" t="s">
        <v>243</v>
      </c>
      <c r="E166" t="s">
        <v>243</v>
      </c>
      <c r="F166" t="s">
        <v>2816</v>
      </c>
      <c r="G166" t="s">
        <v>243</v>
      </c>
      <c r="H166" t="s">
        <v>243</v>
      </c>
      <c r="I166" t="s">
        <v>4308</v>
      </c>
      <c r="J166" t="s">
        <v>243</v>
      </c>
      <c r="K166" t="s">
        <v>3178</v>
      </c>
      <c r="L166" t="s">
        <v>243</v>
      </c>
      <c r="M166" t="s">
        <v>114</v>
      </c>
      <c r="N166" t="s">
        <v>243</v>
      </c>
      <c r="O166" t="s">
        <v>3356</v>
      </c>
      <c r="P166" t="s">
        <v>2820</v>
      </c>
      <c r="Q166" t="s">
        <v>2821</v>
      </c>
      <c r="R166" t="s">
        <v>190</v>
      </c>
      <c r="S166" t="s">
        <v>190</v>
      </c>
      <c r="T166" t="s">
        <v>2968</v>
      </c>
      <c r="U166" t="s">
        <v>2968</v>
      </c>
      <c r="V166" t="s">
        <v>2969</v>
      </c>
      <c r="W166" t="s">
        <v>4309</v>
      </c>
      <c r="X166" t="s">
        <v>4310</v>
      </c>
      <c r="Y166" t="s">
        <v>3321</v>
      </c>
      <c r="Z166" t="s">
        <v>4311</v>
      </c>
      <c r="AA166" t="s">
        <v>3117</v>
      </c>
      <c r="AB166" t="s">
        <v>3511</v>
      </c>
      <c r="AC166" t="s">
        <v>2829</v>
      </c>
      <c r="AD166" t="s">
        <v>2883</v>
      </c>
      <c r="AE166" t="s">
        <v>2857</v>
      </c>
      <c r="AF166" t="s">
        <v>4312</v>
      </c>
      <c r="AG166" t="s">
        <v>4312</v>
      </c>
      <c r="AH166" t="s">
        <v>2834</v>
      </c>
      <c r="AI166" t="s">
        <v>2835</v>
      </c>
      <c r="AJ166" t="s">
        <v>3446</v>
      </c>
      <c r="AK166" t="s">
        <v>4044</v>
      </c>
      <c r="AL166" t="s">
        <v>243</v>
      </c>
      <c r="AM166" t="s">
        <v>243</v>
      </c>
      <c r="AN166" t="s">
        <v>243</v>
      </c>
      <c r="AR166" t="s">
        <v>243</v>
      </c>
      <c r="AS166" t="s">
        <v>243</v>
      </c>
      <c r="AT166" t="s">
        <v>243</v>
      </c>
      <c r="AU166" t="s">
        <v>243</v>
      </c>
      <c r="AV166" t="s">
        <v>243</v>
      </c>
      <c r="AW166" t="s">
        <v>243</v>
      </c>
      <c r="AX166" t="s">
        <v>243</v>
      </c>
      <c r="AY166" t="s">
        <v>243</v>
      </c>
      <c r="AZ166" t="s">
        <v>243</v>
      </c>
      <c r="BA166" t="s">
        <v>243</v>
      </c>
      <c r="BB166" t="s">
        <v>243</v>
      </c>
      <c r="BC166" t="s">
        <v>243</v>
      </c>
      <c r="BD166" t="s">
        <v>243</v>
      </c>
      <c r="BE166" t="s">
        <v>243</v>
      </c>
      <c r="BF166" t="s">
        <v>243</v>
      </c>
      <c r="BG166" t="s">
        <v>243</v>
      </c>
      <c r="BH166" t="s">
        <v>243</v>
      </c>
      <c r="BI166" t="s">
        <v>243</v>
      </c>
      <c r="BJ166" t="s">
        <v>243</v>
      </c>
      <c r="BK166" t="s">
        <v>243</v>
      </c>
      <c r="BL166" t="s">
        <v>243</v>
      </c>
      <c r="BM166" t="s">
        <v>243</v>
      </c>
      <c r="BN166" t="s">
        <v>243</v>
      </c>
      <c r="BO166" t="s">
        <v>243</v>
      </c>
      <c r="BP166" t="s">
        <v>243</v>
      </c>
      <c r="BQ166" t="s">
        <v>243</v>
      </c>
      <c r="BR166" t="s">
        <v>243</v>
      </c>
      <c r="BS166" t="s">
        <v>243</v>
      </c>
      <c r="BT166" t="s">
        <v>243</v>
      </c>
      <c r="BU166" t="s">
        <v>243</v>
      </c>
      <c r="BV166" t="s">
        <v>243</v>
      </c>
      <c r="BW166" t="s">
        <v>243</v>
      </c>
      <c r="BX166" t="s">
        <v>243</v>
      </c>
      <c r="BY166" t="s">
        <v>243</v>
      </c>
      <c r="BZ166" t="s">
        <v>243</v>
      </c>
      <c r="CA166" t="s">
        <v>243</v>
      </c>
      <c r="CB166" t="s">
        <v>243</v>
      </c>
      <c r="CC166" t="s">
        <v>243</v>
      </c>
      <c r="CD166" t="s">
        <v>243</v>
      </c>
      <c r="CE166" t="s">
        <v>243</v>
      </c>
      <c r="CF166" t="s">
        <v>243</v>
      </c>
      <c r="CG166" t="s">
        <v>243</v>
      </c>
      <c r="CH166" t="s">
        <v>243</v>
      </c>
      <c r="CI166" t="s">
        <v>243</v>
      </c>
      <c r="CJ166" t="s">
        <v>243</v>
      </c>
      <c r="CK166" t="s">
        <v>243</v>
      </c>
      <c r="CL166" t="s">
        <v>243</v>
      </c>
      <c r="CM166" t="s">
        <v>243</v>
      </c>
      <c r="CN166" t="s">
        <v>243</v>
      </c>
      <c r="CO166" t="s">
        <v>2843</v>
      </c>
      <c r="CP166" t="s">
        <v>2844</v>
      </c>
      <c r="CQ166" t="s">
        <v>430</v>
      </c>
      <c r="CR166" t="s">
        <v>2984</v>
      </c>
      <c r="CS166" t="s">
        <v>431</v>
      </c>
      <c r="CT166" t="s">
        <v>430</v>
      </c>
      <c r="CU166" t="s">
        <v>2985</v>
      </c>
      <c r="CV166" t="s">
        <v>2986</v>
      </c>
      <c r="CW166" t="s">
        <v>2984</v>
      </c>
      <c r="CX166" t="s">
        <v>2848</v>
      </c>
      <c r="CY166" t="s">
        <v>4313</v>
      </c>
    </row>
    <row r="167" spans="1:103" ht="11.25" customHeight="1">
      <c r="A167" t="s">
        <v>243</v>
      </c>
      <c r="B167" t="s">
        <v>243</v>
      </c>
      <c r="C167" t="s">
        <v>243</v>
      </c>
      <c r="D167" t="s">
        <v>243</v>
      </c>
      <c r="E167" t="s">
        <v>243</v>
      </c>
      <c r="F167" t="s">
        <v>2816</v>
      </c>
      <c r="G167" t="s">
        <v>243</v>
      </c>
      <c r="H167" t="s">
        <v>243</v>
      </c>
      <c r="I167" t="s">
        <v>4314</v>
      </c>
      <c r="J167" t="s">
        <v>243</v>
      </c>
      <c r="K167" t="s">
        <v>2818</v>
      </c>
      <c r="L167" t="s">
        <v>243</v>
      </c>
      <c r="M167" t="s">
        <v>114</v>
      </c>
      <c r="N167" t="s">
        <v>243</v>
      </c>
      <c r="O167" t="s">
        <v>2819</v>
      </c>
      <c r="P167" t="s">
        <v>2820</v>
      </c>
      <c r="Q167" t="s">
        <v>2821</v>
      </c>
      <c r="R167" t="s">
        <v>200</v>
      </c>
      <c r="S167" t="s">
        <v>200</v>
      </c>
      <c r="T167" t="s">
        <v>2822</v>
      </c>
      <c r="U167" t="s">
        <v>2822</v>
      </c>
      <c r="V167" t="s">
        <v>2823</v>
      </c>
      <c r="W167" t="s">
        <v>2851</v>
      </c>
      <c r="X167" t="s">
        <v>2852</v>
      </c>
      <c r="Y167" t="s">
        <v>4315</v>
      </c>
      <c r="Z167" t="s">
        <v>3477</v>
      </c>
      <c r="AA167" t="s">
        <v>2865</v>
      </c>
      <c r="AB167" t="s">
        <v>4316</v>
      </c>
      <c r="AC167" t="s">
        <v>2829</v>
      </c>
      <c r="AD167" t="s">
        <v>2830</v>
      </c>
      <c r="AE167" t="s">
        <v>2857</v>
      </c>
      <c r="AF167" t="s">
        <v>2867</v>
      </c>
      <c r="AG167" t="s">
        <v>2867</v>
      </c>
      <c r="AH167" t="s">
        <v>2834</v>
      </c>
      <c r="AI167" t="s">
        <v>2835</v>
      </c>
      <c r="AJ167" t="s">
        <v>2829</v>
      </c>
      <c r="AK167" t="s">
        <v>2868</v>
      </c>
      <c r="AL167" t="s">
        <v>2865</v>
      </c>
      <c r="AM167" t="s">
        <v>2920</v>
      </c>
      <c r="AN167" t="s">
        <v>2829</v>
      </c>
      <c r="AO167" t="s">
        <v>2839</v>
      </c>
      <c r="AP167" t="s">
        <v>2840</v>
      </c>
      <c r="AQ167" t="s">
        <v>2841</v>
      </c>
      <c r="AR167" t="s">
        <v>4317</v>
      </c>
      <c r="AS167" t="s">
        <v>4317</v>
      </c>
      <c r="AT167" t="s">
        <v>2829</v>
      </c>
      <c r="AU167" t="s">
        <v>2829</v>
      </c>
      <c r="AV167" t="s">
        <v>2829</v>
      </c>
      <c r="AW167" t="s">
        <v>2829</v>
      </c>
      <c r="AX167" t="s">
        <v>2829</v>
      </c>
      <c r="AY167" t="s">
        <v>2829</v>
      </c>
      <c r="AZ167" t="s">
        <v>2829</v>
      </c>
      <c r="BA167" t="s">
        <v>2829</v>
      </c>
      <c r="BB167" t="s">
        <v>2829</v>
      </c>
      <c r="BC167" t="s">
        <v>2829</v>
      </c>
      <c r="BD167" t="s">
        <v>4317</v>
      </c>
      <c r="BE167" t="s">
        <v>4317</v>
      </c>
      <c r="BF167" t="s">
        <v>243</v>
      </c>
      <c r="BG167" t="s">
        <v>243</v>
      </c>
      <c r="BH167" t="s">
        <v>243</v>
      </c>
      <c r="BI167" t="s">
        <v>243</v>
      </c>
      <c r="BJ167" t="s">
        <v>2829</v>
      </c>
      <c r="BK167" t="s">
        <v>243</v>
      </c>
      <c r="BL167" t="s">
        <v>243</v>
      </c>
      <c r="BM167" t="s">
        <v>243</v>
      </c>
      <c r="BN167" t="s">
        <v>243</v>
      </c>
      <c r="BO167" t="s">
        <v>243</v>
      </c>
      <c r="BP167" t="s">
        <v>2829</v>
      </c>
      <c r="BQ167" t="s">
        <v>243</v>
      </c>
      <c r="BR167" t="s">
        <v>243</v>
      </c>
      <c r="BS167" t="s">
        <v>243</v>
      </c>
      <c r="BT167" t="s">
        <v>243</v>
      </c>
      <c r="BU167" t="s">
        <v>243</v>
      </c>
      <c r="BV167" t="s">
        <v>2829</v>
      </c>
      <c r="BW167" t="s">
        <v>243</v>
      </c>
      <c r="BX167" t="s">
        <v>243</v>
      </c>
      <c r="BY167" t="s">
        <v>243</v>
      </c>
      <c r="BZ167" t="s">
        <v>243</v>
      </c>
      <c r="CA167" t="s">
        <v>243</v>
      </c>
      <c r="CB167" t="s">
        <v>2829</v>
      </c>
      <c r="CC167" t="s">
        <v>243</v>
      </c>
      <c r="CD167" t="s">
        <v>243</v>
      </c>
      <c r="CE167" t="s">
        <v>243</v>
      </c>
      <c r="CF167" t="s">
        <v>243</v>
      </c>
      <c r="CG167" t="s">
        <v>243</v>
      </c>
      <c r="CH167" t="s">
        <v>2829</v>
      </c>
      <c r="CI167" t="s">
        <v>243</v>
      </c>
      <c r="CJ167" t="s">
        <v>243</v>
      </c>
      <c r="CK167" t="s">
        <v>243</v>
      </c>
      <c r="CL167" t="s">
        <v>243</v>
      </c>
      <c r="CM167" t="s">
        <v>243</v>
      </c>
      <c r="CN167" t="s">
        <v>2829</v>
      </c>
      <c r="CO167" t="s">
        <v>2843</v>
      </c>
      <c r="CP167" t="s">
        <v>2844</v>
      </c>
      <c r="CQ167" t="s">
        <v>430</v>
      </c>
      <c r="CR167" t="s">
        <v>2872</v>
      </c>
      <c r="CS167" t="s">
        <v>431</v>
      </c>
      <c r="CT167" t="s">
        <v>430</v>
      </c>
      <c r="CU167" t="s">
        <v>2846</v>
      </c>
      <c r="CV167" t="s">
        <v>2873</v>
      </c>
      <c r="CW167" t="s">
        <v>2872</v>
      </c>
      <c r="CX167" t="s">
        <v>2848</v>
      </c>
      <c r="CY167" t="s">
        <v>4318</v>
      </c>
    </row>
    <row r="168" spans="1:103" ht="11.25" customHeight="1">
      <c r="A168" t="s">
        <v>243</v>
      </c>
      <c r="B168" t="s">
        <v>243</v>
      </c>
      <c r="C168" t="s">
        <v>243</v>
      </c>
      <c r="D168" t="s">
        <v>243</v>
      </c>
      <c r="E168" t="s">
        <v>243</v>
      </c>
      <c r="F168" t="s">
        <v>2816</v>
      </c>
      <c r="G168" t="s">
        <v>243</v>
      </c>
      <c r="H168" t="s">
        <v>243</v>
      </c>
      <c r="I168" t="s">
        <v>4319</v>
      </c>
      <c r="J168" t="s">
        <v>243</v>
      </c>
      <c r="K168" t="s">
        <v>2818</v>
      </c>
      <c r="L168" t="s">
        <v>243</v>
      </c>
      <c r="M168" t="s">
        <v>114</v>
      </c>
      <c r="N168" t="s">
        <v>243</v>
      </c>
      <c r="O168" t="s">
        <v>2819</v>
      </c>
      <c r="P168" t="s">
        <v>2820</v>
      </c>
      <c r="Q168" t="s">
        <v>2821</v>
      </c>
      <c r="R168" t="s">
        <v>200</v>
      </c>
      <c r="S168" t="s">
        <v>200</v>
      </c>
      <c r="T168" t="s">
        <v>2822</v>
      </c>
      <c r="U168" t="s">
        <v>2822</v>
      </c>
      <c r="V168" t="s">
        <v>2823</v>
      </c>
      <c r="W168" t="s">
        <v>4320</v>
      </c>
      <c r="X168" t="s">
        <v>4321</v>
      </c>
      <c r="Y168" t="s">
        <v>2826</v>
      </c>
      <c r="Z168" t="s">
        <v>440</v>
      </c>
      <c r="AA168" t="s">
        <v>4322</v>
      </c>
      <c r="AB168" t="s">
        <v>4323</v>
      </c>
      <c r="AC168" t="s">
        <v>2829</v>
      </c>
      <c r="AD168" t="s">
        <v>2830</v>
      </c>
      <c r="AE168" t="s">
        <v>2857</v>
      </c>
      <c r="AF168" t="s">
        <v>4324</v>
      </c>
      <c r="AG168" t="s">
        <v>4324</v>
      </c>
      <c r="AH168" t="s">
        <v>2834</v>
      </c>
      <c r="AI168" t="s">
        <v>2835</v>
      </c>
      <c r="AJ168" t="s">
        <v>2829</v>
      </c>
      <c r="AK168" t="s">
        <v>2868</v>
      </c>
      <c r="AL168" t="s">
        <v>4322</v>
      </c>
      <c r="AM168" t="s">
        <v>3183</v>
      </c>
      <c r="AN168" t="s">
        <v>2829</v>
      </c>
      <c r="AO168" t="s">
        <v>2839</v>
      </c>
      <c r="AP168" t="s">
        <v>2840</v>
      </c>
      <c r="AQ168" t="s">
        <v>2841</v>
      </c>
      <c r="AR168" t="s">
        <v>4325</v>
      </c>
      <c r="AS168" t="s">
        <v>4325</v>
      </c>
      <c r="AT168" t="s">
        <v>2829</v>
      </c>
      <c r="AU168" t="s">
        <v>2829</v>
      </c>
      <c r="AV168" t="s">
        <v>2829</v>
      </c>
      <c r="AW168" t="s">
        <v>2829</v>
      </c>
      <c r="AX168" t="s">
        <v>2829</v>
      </c>
      <c r="AY168" t="s">
        <v>2829</v>
      </c>
      <c r="AZ168" t="s">
        <v>2829</v>
      </c>
      <c r="BA168" t="s">
        <v>2829</v>
      </c>
      <c r="BB168" t="s">
        <v>2829</v>
      </c>
      <c r="BC168" t="s">
        <v>2829</v>
      </c>
      <c r="BD168" t="s">
        <v>4325</v>
      </c>
      <c r="BE168" t="s">
        <v>4325</v>
      </c>
      <c r="BF168" t="s">
        <v>243</v>
      </c>
      <c r="BG168" t="s">
        <v>243</v>
      </c>
      <c r="BH168" t="s">
        <v>243</v>
      </c>
      <c r="BI168" t="s">
        <v>243</v>
      </c>
      <c r="BJ168" t="s">
        <v>2829</v>
      </c>
      <c r="BK168" t="s">
        <v>243</v>
      </c>
      <c r="BL168" t="s">
        <v>243</v>
      </c>
      <c r="BM168" t="s">
        <v>243</v>
      </c>
      <c r="BN168" t="s">
        <v>243</v>
      </c>
      <c r="BO168" t="s">
        <v>243</v>
      </c>
      <c r="BP168" t="s">
        <v>2829</v>
      </c>
      <c r="BQ168" t="s">
        <v>243</v>
      </c>
      <c r="BR168" t="s">
        <v>243</v>
      </c>
      <c r="BS168" t="s">
        <v>243</v>
      </c>
      <c r="BT168" t="s">
        <v>243</v>
      </c>
      <c r="BU168" t="s">
        <v>243</v>
      </c>
      <c r="BV168" t="s">
        <v>2829</v>
      </c>
      <c r="BW168" t="s">
        <v>243</v>
      </c>
      <c r="BX168" t="s">
        <v>243</v>
      </c>
      <c r="BY168" t="s">
        <v>243</v>
      </c>
      <c r="BZ168" t="s">
        <v>243</v>
      </c>
      <c r="CA168" t="s">
        <v>243</v>
      </c>
      <c r="CB168" t="s">
        <v>2829</v>
      </c>
      <c r="CC168" t="s">
        <v>243</v>
      </c>
      <c r="CD168" t="s">
        <v>243</v>
      </c>
      <c r="CE168" t="s">
        <v>243</v>
      </c>
      <c r="CF168" t="s">
        <v>243</v>
      </c>
      <c r="CG168" t="s">
        <v>243</v>
      </c>
      <c r="CH168" t="s">
        <v>2829</v>
      </c>
      <c r="CI168" t="s">
        <v>243</v>
      </c>
      <c r="CJ168" t="s">
        <v>243</v>
      </c>
      <c r="CK168" t="s">
        <v>243</v>
      </c>
      <c r="CL168" t="s">
        <v>243</v>
      </c>
      <c r="CM168" t="s">
        <v>243</v>
      </c>
      <c r="CN168" t="s">
        <v>2829</v>
      </c>
      <c r="CO168" t="s">
        <v>2843</v>
      </c>
      <c r="CP168" t="s">
        <v>2844</v>
      </c>
      <c r="CQ168" t="s">
        <v>430</v>
      </c>
      <c r="CR168" t="s">
        <v>2872</v>
      </c>
      <c r="CS168" t="s">
        <v>431</v>
      </c>
      <c r="CT168" t="s">
        <v>430</v>
      </c>
      <c r="CU168" t="s">
        <v>2846</v>
      </c>
      <c r="CV168" t="s">
        <v>2873</v>
      </c>
      <c r="CW168" t="s">
        <v>2872</v>
      </c>
      <c r="CX168" t="s">
        <v>2848</v>
      </c>
      <c r="CY168" t="s">
        <v>4326</v>
      </c>
    </row>
    <row r="169" spans="1:103" ht="11.25" customHeight="1">
      <c r="A169" t="s">
        <v>243</v>
      </c>
      <c r="B169" t="s">
        <v>243</v>
      </c>
      <c r="C169" t="s">
        <v>243</v>
      </c>
      <c r="D169" t="s">
        <v>243</v>
      </c>
      <c r="E169" t="s">
        <v>243</v>
      </c>
      <c r="F169" t="s">
        <v>2816</v>
      </c>
      <c r="G169" t="s">
        <v>243</v>
      </c>
      <c r="H169" t="s">
        <v>243</v>
      </c>
      <c r="I169" t="s">
        <v>3611</v>
      </c>
      <c r="J169" t="s">
        <v>243</v>
      </c>
      <c r="K169" t="s">
        <v>2818</v>
      </c>
      <c r="L169" t="s">
        <v>243</v>
      </c>
      <c r="M169" t="s">
        <v>114</v>
      </c>
      <c r="N169" t="s">
        <v>243</v>
      </c>
      <c r="O169" t="s">
        <v>2819</v>
      </c>
      <c r="P169" t="s">
        <v>2820</v>
      </c>
      <c r="Q169" t="s">
        <v>2821</v>
      </c>
      <c r="R169" t="s">
        <v>200</v>
      </c>
      <c r="S169" t="s">
        <v>200</v>
      </c>
      <c r="T169" t="s">
        <v>2822</v>
      </c>
      <c r="U169" t="s">
        <v>2822</v>
      </c>
      <c r="V169" t="s">
        <v>2823</v>
      </c>
      <c r="W169" t="s">
        <v>2911</v>
      </c>
      <c r="X169" t="s">
        <v>2912</v>
      </c>
      <c r="Y169" t="s">
        <v>3380</v>
      </c>
      <c r="Z169" t="s">
        <v>4327</v>
      </c>
      <c r="AA169" t="s">
        <v>3228</v>
      </c>
      <c r="AB169" t="s">
        <v>4328</v>
      </c>
      <c r="AC169" t="s">
        <v>2829</v>
      </c>
      <c r="AD169" t="s">
        <v>2830</v>
      </c>
      <c r="AE169" t="s">
        <v>2857</v>
      </c>
      <c r="AF169" t="s">
        <v>4329</v>
      </c>
      <c r="AG169" t="s">
        <v>4329</v>
      </c>
      <c r="AH169" t="s">
        <v>2834</v>
      </c>
      <c r="AI169" t="s">
        <v>2835</v>
      </c>
      <c r="AJ169" t="s">
        <v>2829</v>
      </c>
      <c r="AK169" t="s">
        <v>2868</v>
      </c>
      <c r="AL169" t="s">
        <v>3228</v>
      </c>
      <c r="AM169" t="s">
        <v>2838</v>
      </c>
      <c r="AN169" t="s">
        <v>2829</v>
      </c>
      <c r="AO169" t="s">
        <v>2839</v>
      </c>
      <c r="AP169" t="s">
        <v>2840</v>
      </c>
      <c r="AQ169" t="s">
        <v>2841</v>
      </c>
      <c r="AR169" t="s">
        <v>4330</v>
      </c>
      <c r="AS169" t="s">
        <v>4330</v>
      </c>
      <c r="AT169" t="s">
        <v>2829</v>
      </c>
      <c r="AU169" t="s">
        <v>2829</v>
      </c>
      <c r="AV169" t="s">
        <v>2829</v>
      </c>
      <c r="AW169" t="s">
        <v>2829</v>
      </c>
      <c r="AX169" t="s">
        <v>2829</v>
      </c>
      <c r="AY169" t="s">
        <v>2829</v>
      </c>
      <c r="AZ169" t="s">
        <v>2829</v>
      </c>
      <c r="BA169" t="s">
        <v>2829</v>
      </c>
      <c r="BB169" t="s">
        <v>2829</v>
      </c>
      <c r="BC169" t="s">
        <v>2829</v>
      </c>
      <c r="BD169" t="s">
        <v>4330</v>
      </c>
      <c r="BE169" t="s">
        <v>4330</v>
      </c>
      <c r="BF169" t="s">
        <v>243</v>
      </c>
      <c r="BG169" t="s">
        <v>243</v>
      </c>
      <c r="BH169" t="s">
        <v>243</v>
      </c>
      <c r="BI169" t="s">
        <v>243</v>
      </c>
      <c r="BJ169" t="s">
        <v>2829</v>
      </c>
      <c r="BK169" t="s">
        <v>243</v>
      </c>
      <c r="BL169" t="s">
        <v>243</v>
      </c>
      <c r="BM169" t="s">
        <v>243</v>
      </c>
      <c r="BN169" t="s">
        <v>243</v>
      </c>
      <c r="BO169" t="s">
        <v>243</v>
      </c>
      <c r="BP169" t="s">
        <v>2829</v>
      </c>
      <c r="BQ169" t="s">
        <v>243</v>
      </c>
      <c r="BR169" t="s">
        <v>243</v>
      </c>
      <c r="BS169" t="s">
        <v>243</v>
      </c>
      <c r="BT169" t="s">
        <v>243</v>
      </c>
      <c r="BU169" t="s">
        <v>243</v>
      </c>
      <c r="BV169" t="s">
        <v>2829</v>
      </c>
      <c r="BW169" t="s">
        <v>243</v>
      </c>
      <c r="BX169" t="s">
        <v>243</v>
      </c>
      <c r="BY169" t="s">
        <v>243</v>
      </c>
      <c r="BZ169" t="s">
        <v>243</v>
      </c>
      <c r="CA169" t="s">
        <v>243</v>
      </c>
      <c r="CB169" t="s">
        <v>2829</v>
      </c>
      <c r="CC169" t="s">
        <v>243</v>
      </c>
      <c r="CD169" t="s">
        <v>243</v>
      </c>
      <c r="CE169" t="s">
        <v>243</v>
      </c>
      <c r="CF169" t="s">
        <v>243</v>
      </c>
      <c r="CG169" t="s">
        <v>243</v>
      </c>
      <c r="CH169" t="s">
        <v>2829</v>
      </c>
      <c r="CI169" t="s">
        <v>243</v>
      </c>
      <c r="CJ169" t="s">
        <v>243</v>
      </c>
      <c r="CK169" t="s">
        <v>243</v>
      </c>
      <c r="CL169" t="s">
        <v>243</v>
      </c>
      <c r="CM169" t="s">
        <v>243</v>
      </c>
      <c r="CN169" t="s">
        <v>2829</v>
      </c>
      <c r="CO169" t="s">
        <v>2843</v>
      </c>
      <c r="CP169" t="s">
        <v>2844</v>
      </c>
      <c r="CQ169" t="s">
        <v>430</v>
      </c>
      <c r="CR169" t="s">
        <v>2872</v>
      </c>
      <c r="CS169" t="s">
        <v>431</v>
      </c>
      <c r="CT169" t="s">
        <v>430</v>
      </c>
      <c r="CU169" t="s">
        <v>2846</v>
      </c>
      <c r="CV169" t="s">
        <v>2873</v>
      </c>
      <c r="CW169" t="s">
        <v>2872</v>
      </c>
      <c r="CX169" t="s">
        <v>2848</v>
      </c>
      <c r="CY169" t="s">
        <v>4331</v>
      </c>
    </row>
    <row r="170" spans="1:103" ht="11.25" customHeight="1">
      <c r="A170" t="s">
        <v>243</v>
      </c>
      <c r="B170" t="s">
        <v>243</v>
      </c>
      <c r="C170" t="s">
        <v>243</v>
      </c>
      <c r="D170" t="s">
        <v>243</v>
      </c>
      <c r="E170" t="s">
        <v>243</v>
      </c>
      <c r="F170" t="s">
        <v>2816</v>
      </c>
      <c r="G170" t="s">
        <v>243</v>
      </c>
      <c r="H170" t="s">
        <v>243</v>
      </c>
      <c r="I170" t="s">
        <v>4311</v>
      </c>
      <c r="J170" t="s">
        <v>243</v>
      </c>
      <c r="K170" t="s">
        <v>2818</v>
      </c>
      <c r="L170" t="s">
        <v>243</v>
      </c>
      <c r="M170" t="s">
        <v>114</v>
      </c>
      <c r="N170" t="s">
        <v>243</v>
      </c>
      <c r="O170" t="s">
        <v>2819</v>
      </c>
      <c r="P170" t="s">
        <v>2820</v>
      </c>
      <c r="Q170" t="s">
        <v>2821</v>
      </c>
      <c r="R170" t="s">
        <v>200</v>
      </c>
      <c r="S170" t="s">
        <v>200</v>
      </c>
      <c r="T170" t="s">
        <v>2822</v>
      </c>
      <c r="U170" t="s">
        <v>2822</v>
      </c>
      <c r="V170" t="s">
        <v>2823</v>
      </c>
      <c r="W170" t="s">
        <v>4167</v>
      </c>
      <c r="X170" t="s">
        <v>4168</v>
      </c>
      <c r="Y170" t="s">
        <v>2929</v>
      </c>
      <c r="Z170" t="s">
        <v>443</v>
      </c>
      <c r="AA170" t="s">
        <v>4332</v>
      </c>
      <c r="AB170" t="s">
        <v>4333</v>
      </c>
      <c r="AC170" t="s">
        <v>2829</v>
      </c>
      <c r="AD170" t="s">
        <v>2830</v>
      </c>
      <c r="AE170" t="s">
        <v>2857</v>
      </c>
      <c r="AF170" t="s">
        <v>2867</v>
      </c>
      <c r="AG170" t="s">
        <v>2867</v>
      </c>
      <c r="AH170" t="s">
        <v>2834</v>
      </c>
      <c r="AI170" t="s">
        <v>2835</v>
      </c>
      <c r="AJ170" t="s">
        <v>2829</v>
      </c>
      <c r="AK170" t="s">
        <v>2868</v>
      </c>
      <c r="AL170" t="s">
        <v>4332</v>
      </c>
      <c r="AM170" t="s">
        <v>3703</v>
      </c>
      <c r="AN170" t="s">
        <v>2829</v>
      </c>
      <c r="AO170" t="s">
        <v>2839</v>
      </c>
      <c r="AP170" t="s">
        <v>2840</v>
      </c>
      <c r="AQ170" t="s">
        <v>2841</v>
      </c>
      <c r="AR170" t="s">
        <v>4334</v>
      </c>
      <c r="AS170" t="s">
        <v>4334</v>
      </c>
      <c r="AT170" t="s">
        <v>2829</v>
      </c>
      <c r="AU170" t="s">
        <v>2829</v>
      </c>
      <c r="AV170" t="s">
        <v>2829</v>
      </c>
      <c r="AW170" t="s">
        <v>2829</v>
      </c>
      <c r="AX170" t="s">
        <v>2829</v>
      </c>
      <c r="AY170" t="s">
        <v>2829</v>
      </c>
      <c r="AZ170" t="s">
        <v>2829</v>
      </c>
      <c r="BA170" t="s">
        <v>2829</v>
      </c>
      <c r="BB170" t="s">
        <v>2829</v>
      </c>
      <c r="BC170" t="s">
        <v>2829</v>
      </c>
      <c r="BD170" t="s">
        <v>4334</v>
      </c>
      <c r="BE170" t="s">
        <v>4334</v>
      </c>
      <c r="BF170" t="s">
        <v>243</v>
      </c>
      <c r="BG170" t="s">
        <v>243</v>
      </c>
      <c r="BH170" t="s">
        <v>243</v>
      </c>
      <c r="BI170" t="s">
        <v>243</v>
      </c>
      <c r="BJ170" t="s">
        <v>2829</v>
      </c>
      <c r="BK170" t="s">
        <v>243</v>
      </c>
      <c r="BL170" t="s">
        <v>243</v>
      </c>
      <c r="BM170" t="s">
        <v>243</v>
      </c>
      <c r="BN170" t="s">
        <v>243</v>
      </c>
      <c r="BO170" t="s">
        <v>243</v>
      </c>
      <c r="BP170" t="s">
        <v>2829</v>
      </c>
      <c r="BQ170" t="s">
        <v>243</v>
      </c>
      <c r="BR170" t="s">
        <v>243</v>
      </c>
      <c r="BS170" t="s">
        <v>243</v>
      </c>
      <c r="BT170" t="s">
        <v>243</v>
      </c>
      <c r="BU170" t="s">
        <v>243</v>
      </c>
      <c r="BV170" t="s">
        <v>2829</v>
      </c>
      <c r="BW170" t="s">
        <v>243</v>
      </c>
      <c r="BX170" t="s">
        <v>243</v>
      </c>
      <c r="BY170" t="s">
        <v>243</v>
      </c>
      <c r="BZ170" t="s">
        <v>243</v>
      </c>
      <c r="CA170" t="s">
        <v>243</v>
      </c>
      <c r="CB170" t="s">
        <v>2829</v>
      </c>
      <c r="CC170" t="s">
        <v>243</v>
      </c>
      <c r="CD170" t="s">
        <v>243</v>
      </c>
      <c r="CE170" t="s">
        <v>243</v>
      </c>
      <c r="CF170" t="s">
        <v>243</v>
      </c>
      <c r="CG170" t="s">
        <v>243</v>
      </c>
      <c r="CH170" t="s">
        <v>2829</v>
      </c>
      <c r="CI170" t="s">
        <v>243</v>
      </c>
      <c r="CJ170" t="s">
        <v>243</v>
      </c>
      <c r="CK170" t="s">
        <v>243</v>
      </c>
      <c r="CL170" t="s">
        <v>243</v>
      </c>
      <c r="CM170" t="s">
        <v>243</v>
      </c>
      <c r="CN170" t="s">
        <v>2829</v>
      </c>
      <c r="CO170" t="s">
        <v>2843</v>
      </c>
      <c r="CP170" t="s">
        <v>2844</v>
      </c>
      <c r="CQ170" t="s">
        <v>430</v>
      </c>
      <c r="CR170" t="s">
        <v>2872</v>
      </c>
      <c r="CS170" t="s">
        <v>431</v>
      </c>
      <c r="CT170" t="s">
        <v>430</v>
      </c>
      <c r="CU170" t="s">
        <v>2846</v>
      </c>
      <c r="CV170" t="s">
        <v>2873</v>
      </c>
      <c r="CW170" t="s">
        <v>2872</v>
      </c>
      <c r="CX170" t="s">
        <v>2848</v>
      </c>
      <c r="CY170" t="s">
        <v>4335</v>
      </c>
    </row>
    <row r="171" spans="1:103" ht="11.25" customHeight="1">
      <c r="A171" t="s">
        <v>243</v>
      </c>
      <c r="B171" t="s">
        <v>243</v>
      </c>
      <c r="C171" t="s">
        <v>243</v>
      </c>
      <c r="D171" t="s">
        <v>243</v>
      </c>
      <c r="E171" t="s">
        <v>243</v>
      </c>
      <c r="F171" t="s">
        <v>2816</v>
      </c>
      <c r="G171" t="s">
        <v>243</v>
      </c>
      <c r="H171" t="s">
        <v>243</v>
      </c>
      <c r="I171" t="s">
        <v>4336</v>
      </c>
      <c r="J171" t="s">
        <v>243</v>
      </c>
      <c r="K171" t="s">
        <v>428</v>
      </c>
      <c r="L171" t="s">
        <v>243</v>
      </c>
      <c r="M171" t="s">
        <v>114</v>
      </c>
      <c r="N171" t="s">
        <v>243</v>
      </c>
      <c r="O171" t="s">
        <v>2819</v>
      </c>
      <c r="P171" t="s">
        <v>2820</v>
      </c>
      <c r="Q171" t="s">
        <v>2821</v>
      </c>
      <c r="R171" t="s">
        <v>200</v>
      </c>
      <c r="S171" t="s">
        <v>200</v>
      </c>
      <c r="T171" t="s">
        <v>2968</v>
      </c>
      <c r="U171" t="s">
        <v>2968</v>
      </c>
      <c r="V171" t="s">
        <v>2969</v>
      </c>
      <c r="W171" t="s">
        <v>2970</v>
      </c>
      <c r="X171" t="s">
        <v>2971</v>
      </c>
      <c r="Y171" t="s">
        <v>3104</v>
      </c>
      <c r="Z171" t="s">
        <v>3909</v>
      </c>
      <c r="AA171" t="s">
        <v>4337</v>
      </c>
      <c r="AB171" t="s">
        <v>4338</v>
      </c>
      <c r="AC171" t="s">
        <v>2829</v>
      </c>
      <c r="AD171" t="s">
        <v>2883</v>
      </c>
      <c r="AE171" t="s">
        <v>2884</v>
      </c>
      <c r="AF171" t="s">
        <v>4339</v>
      </c>
      <c r="AG171" t="s">
        <v>4339</v>
      </c>
      <c r="AH171" t="s">
        <v>2834</v>
      </c>
      <c r="AI171" t="s">
        <v>2887</v>
      </c>
      <c r="AJ171" t="s">
        <v>2942</v>
      </c>
      <c r="AK171" t="s">
        <v>3425</v>
      </c>
      <c r="AL171" t="s">
        <v>4340</v>
      </c>
      <c r="AM171" t="s">
        <v>4338</v>
      </c>
      <c r="AN171" t="s">
        <v>2829</v>
      </c>
      <c r="AO171" t="s">
        <v>2839</v>
      </c>
      <c r="AP171" t="s">
        <v>2840</v>
      </c>
      <c r="AQ171" t="s">
        <v>2841</v>
      </c>
      <c r="AR171" t="s">
        <v>4341</v>
      </c>
      <c r="AS171" t="s">
        <v>4341</v>
      </c>
      <c r="AT171" t="s">
        <v>2829</v>
      </c>
      <c r="AU171" t="s">
        <v>2829</v>
      </c>
      <c r="AV171" t="s">
        <v>2829</v>
      </c>
      <c r="AW171" t="s">
        <v>2829</v>
      </c>
      <c r="AX171" t="s">
        <v>2829</v>
      </c>
      <c r="AY171" t="s">
        <v>2829</v>
      </c>
      <c r="AZ171" t="s">
        <v>2829</v>
      </c>
      <c r="BA171" t="s">
        <v>2829</v>
      </c>
      <c r="BB171" t="s">
        <v>2829</v>
      </c>
      <c r="BC171" t="s">
        <v>2829</v>
      </c>
      <c r="BD171" t="s">
        <v>4342</v>
      </c>
      <c r="BE171" t="s">
        <v>4342</v>
      </c>
      <c r="BF171" t="s">
        <v>243</v>
      </c>
      <c r="BG171" t="s">
        <v>243</v>
      </c>
      <c r="BH171" t="s">
        <v>243</v>
      </c>
      <c r="BI171" t="s">
        <v>243</v>
      </c>
      <c r="BJ171" t="s">
        <v>2829</v>
      </c>
      <c r="BK171" t="s">
        <v>243</v>
      </c>
      <c r="BL171" t="s">
        <v>243</v>
      </c>
      <c r="BM171" t="s">
        <v>243</v>
      </c>
      <c r="BN171" t="s">
        <v>243</v>
      </c>
      <c r="BO171" t="s">
        <v>243</v>
      </c>
      <c r="BP171" t="s">
        <v>4343</v>
      </c>
      <c r="BQ171" t="s">
        <v>4343</v>
      </c>
      <c r="BR171" t="s">
        <v>243</v>
      </c>
      <c r="BS171" t="s">
        <v>243</v>
      </c>
      <c r="BT171" t="s">
        <v>243</v>
      </c>
      <c r="BU171" t="s">
        <v>243</v>
      </c>
      <c r="BV171" t="s">
        <v>2829</v>
      </c>
      <c r="BW171" t="s">
        <v>243</v>
      </c>
      <c r="BX171" t="s">
        <v>243</v>
      </c>
      <c r="BY171" t="s">
        <v>243</v>
      </c>
      <c r="BZ171" t="s">
        <v>243</v>
      </c>
      <c r="CA171" t="s">
        <v>243</v>
      </c>
      <c r="CB171" t="s">
        <v>4344</v>
      </c>
      <c r="CC171" t="s">
        <v>4344</v>
      </c>
      <c r="CD171" t="s">
        <v>243</v>
      </c>
      <c r="CE171" t="s">
        <v>243</v>
      </c>
      <c r="CF171" t="s">
        <v>243</v>
      </c>
      <c r="CG171" t="s">
        <v>243</v>
      </c>
      <c r="CH171" t="s">
        <v>2829</v>
      </c>
      <c r="CI171" t="s">
        <v>243</v>
      </c>
      <c r="CJ171" t="s">
        <v>243</v>
      </c>
      <c r="CK171" t="s">
        <v>243</v>
      </c>
      <c r="CL171" t="s">
        <v>243</v>
      </c>
      <c r="CM171" t="s">
        <v>243</v>
      </c>
      <c r="CN171" t="s">
        <v>2983</v>
      </c>
      <c r="CO171" t="s">
        <v>2843</v>
      </c>
      <c r="CP171" t="s">
        <v>2844</v>
      </c>
      <c r="CQ171" t="s">
        <v>430</v>
      </c>
      <c r="CR171" t="s">
        <v>2984</v>
      </c>
      <c r="CS171" t="s">
        <v>431</v>
      </c>
      <c r="CT171" t="s">
        <v>430</v>
      </c>
      <c r="CU171" t="s">
        <v>2985</v>
      </c>
      <c r="CV171" t="s">
        <v>2986</v>
      </c>
      <c r="CW171" t="s">
        <v>2984</v>
      </c>
      <c r="CX171" t="s">
        <v>2848</v>
      </c>
      <c r="CY171" t="s">
        <v>4345</v>
      </c>
    </row>
    <row r="172" spans="1:103" ht="11.25" customHeight="1">
      <c r="A172" t="s">
        <v>243</v>
      </c>
      <c r="B172" t="s">
        <v>243</v>
      </c>
      <c r="C172" t="s">
        <v>243</v>
      </c>
      <c r="D172" t="s">
        <v>243</v>
      </c>
      <c r="E172" t="s">
        <v>243</v>
      </c>
      <c r="F172" t="s">
        <v>2816</v>
      </c>
      <c r="G172" t="s">
        <v>243</v>
      </c>
      <c r="H172" t="s">
        <v>243</v>
      </c>
      <c r="I172" t="s">
        <v>4346</v>
      </c>
      <c r="J172" t="s">
        <v>243</v>
      </c>
      <c r="K172" t="s">
        <v>4347</v>
      </c>
      <c r="L172" t="s">
        <v>243</v>
      </c>
      <c r="M172" t="s">
        <v>114</v>
      </c>
      <c r="N172" t="s">
        <v>243</v>
      </c>
      <c r="O172" t="s">
        <v>2819</v>
      </c>
      <c r="P172" t="s">
        <v>2820</v>
      </c>
      <c r="Q172" t="s">
        <v>2821</v>
      </c>
      <c r="R172" t="s">
        <v>200</v>
      </c>
      <c r="S172" t="s">
        <v>200</v>
      </c>
      <c r="T172" t="s">
        <v>3022</v>
      </c>
      <c r="U172" t="s">
        <v>3022</v>
      </c>
      <c r="V172" t="s">
        <v>3023</v>
      </c>
      <c r="W172" t="s">
        <v>4348</v>
      </c>
      <c r="X172" t="s">
        <v>4349</v>
      </c>
      <c r="Y172" t="s">
        <v>3610</v>
      </c>
      <c r="Z172" t="s">
        <v>3202</v>
      </c>
      <c r="AA172" t="s">
        <v>4350</v>
      </c>
      <c r="AB172" t="s">
        <v>3117</v>
      </c>
      <c r="AC172" t="s">
        <v>2829</v>
      </c>
      <c r="AD172" t="s">
        <v>2883</v>
      </c>
      <c r="AE172" t="s">
        <v>2831</v>
      </c>
      <c r="AF172" t="s">
        <v>4351</v>
      </c>
      <c r="AG172" t="s">
        <v>4351</v>
      </c>
      <c r="AH172" t="s">
        <v>2834</v>
      </c>
      <c r="AI172" t="s">
        <v>2835</v>
      </c>
      <c r="AJ172" t="s">
        <v>3030</v>
      </c>
      <c r="AK172" t="s">
        <v>4352</v>
      </c>
      <c r="AL172" t="s">
        <v>4350</v>
      </c>
      <c r="AM172" t="s">
        <v>3117</v>
      </c>
      <c r="AN172" t="s">
        <v>2829</v>
      </c>
      <c r="AO172" t="s">
        <v>2839</v>
      </c>
      <c r="AP172" t="s">
        <v>2840</v>
      </c>
      <c r="AQ172" t="s">
        <v>2841</v>
      </c>
      <c r="AR172" t="s">
        <v>3111</v>
      </c>
      <c r="AS172" t="s">
        <v>3111</v>
      </c>
      <c r="AT172" t="s">
        <v>2829</v>
      </c>
      <c r="AU172" t="s">
        <v>2829</v>
      </c>
      <c r="AV172" t="s">
        <v>2829</v>
      </c>
      <c r="AW172" t="s">
        <v>2829</v>
      </c>
      <c r="AX172" t="s">
        <v>2829</v>
      </c>
      <c r="AY172" t="s">
        <v>2829</v>
      </c>
      <c r="AZ172" t="s">
        <v>2829</v>
      </c>
      <c r="BA172" t="s">
        <v>2829</v>
      </c>
      <c r="BB172" t="s">
        <v>2829</v>
      </c>
      <c r="BC172" t="s">
        <v>2829</v>
      </c>
      <c r="BD172" t="s">
        <v>2829</v>
      </c>
      <c r="BE172" t="s">
        <v>243</v>
      </c>
      <c r="BF172" t="s">
        <v>243</v>
      </c>
      <c r="BG172" t="s">
        <v>243</v>
      </c>
      <c r="BH172" t="s">
        <v>243</v>
      </c>
      <c r="BI172" t="s">
        <v>243</v>
      </c>
      <c r="BJ172" t="s">
        <v>2829</v>
      </c>
      <c r="BK172" t="s">
        <v>243</v>
      </c>
      <c r="BL172" t="s">
        <v>243</v>
      </c>
      <c r="BM172" t="s">
        <v>243</v>
      </c>
      <c r="BN172" t="s">
        <v>243</v>
      </c>
      <c r="BO172" t="s">
        <v>243</v>
      </c>
      <c r="BP172" t="s">
        <v>3111</v>
      </c>
      <c r="BQ172" t="s">
        <v>3111</v>
      </c>
      <c r="BR172" t="s">
        <v>243</v>
      </c>
      <c r="BS172" t="s">
        <v>243</v>
      </c>
      <c r="BT172" t="s">
        <v>243</v>
      </c>
      <c r="BU172" t="s">
        <v>243</v>
      </c>
      <c r="BV172" t="s">
        <v>2829</v>
      </c>
      <c r="BW172" t="s">
        <v>243</v>
      </c>
      <c r="BX172" t="s">
        <v>243</v>
      </c>
      <c r="BY172" t="s">
        <v>243</v>
      </c>
      <c r="BZ172" t="s">
        <v>243</v>
      </c>
      <c r="CA172" t="s">
        <v>243</v>
      </c>
      <c r="CB172" t="s">
        <v>2829</v>
      </c>
      <c r="CC172" t="s">
        <v>243</v>
      </c>
      <c r="CD172" t="s">
        <v>243</v>
      </c>
      <c r="CE172" t="s">
        <v>243</v>
      </c>
      <c r="CF172" t="s">
        <v>243</v>
      </c>
      <c r="CG172" t="s">
        <v>243</v>
      </c>
      <c r="CH172" t="s">
        <v>2829</v>
      </c>
      <c r="CI172" t="s">
        <v>243</v>
      </c>
      <c r="CJ172" t="s">
        <v>243</v>
      </c>
      <c r="CK172" t="s">
        <v>243</v>
      </c>
      <c r="CL172" t="s">
        <v>243</v>
      </c>
      <c r="CM172" t="s">
        <v>243</v>
      </c>
      <c r="CN172" t="s">
        <v>3044</v>
      </c>
      <c r="CO172" t="s">
        <v>2843</v>
      </c>
      <c r="CP172" t="s">
        <v>2844</v>
      </c>
      <c r="CQ172" t="s">
        <v>430</v>
      </c>
      <c r="CR172" t="s">
        <v>3033</v>
      </c>
      <c r="CS172" t="s">
        <v>431</v>
      </c>
      <c r="CT172" t="s">
        <v>430</v>
      </c>
      <c r="CU172" t="s">
        <v>3034</v>
      </c>
      <c r="CV172" t="s">
        <v>432</v>
      </c>
      <c r="CW172" t="s">
        <v>3033</v>
      </c>
      <c r="CX172" t="s">
        <v>2848</v>
      </c>
      <c r="CY172" t="s">
        <v>4353</v>
      </c>
    </row>
    <row r="173" spans="1:103" ht="11.25" customHeight="1">
      <c r="A173" t="s">
        <v>243</v>
      </c>
      <c r="B173" t="s">
        <v>243</v>
      </c>
      <c r="C173" t="s">
        <v>243</v>
      </c>
      <c r="D173" t="s">
        <v>243</v>
      </c>
      <c r="E173" t="s">
        <v>243</v>
      </c>
      <c r="F173" t="s">
        <v>2816</v>
      </c>
      <c r="G173" t="s">
        <v>243</v>
      </c>
      <c r="H173" t="s">
        <v>243</v>
      </c>
      <c r="I173" t="s">
        <v>4354</v>
      </c>
      <c r="J173" t="s">
        <v>243</v>
      </c>
      <c r="K173" t="s">
        <v>3178</v>
      </c>
      <c r="L173" t="s">
        <v>243</v>
      </c>
      <c r="M173" t="s">
        <v>114</v>
      </c>
      <c r="N173" t="s">
        <v>243</v>
      </c>
      <c r="O173" t="s">
        <v>3356</v>
      </c>
      <c r="P173" t="s">
        <v>2820</v>
      </c>
      <c r="Q173" t="s">
        <v>2821</v>
      </c>
      <c r="R173" t="s">
        <v>190</v>
      </c>
      <c r="S173" t="s">
        <v>190</v>
      </c>
      <c r="T173" t="s">
        <v>2968</v>
      </c>
      <c r="U173" t="s">
        <v>2968</v>
      </c>
      <c r="V173" t="s">
        <v>2969</v>
      </c>
      <c r="W173" t="s">
        <v>4355</v>
      </c>
      <c r="X173" t="s">
        <v>4356</v>
      </c>
      <c r="Y173" t="s">
        <v>3610</v>
      </c>
      <c r="Z173" t="s">
        <v>927</v>
      </c>
      <c r="AA173" t="s">
        <v>3058</v>
      </c>
      <c r="AB173" t="s">
        <v>3703</v>
      </c>
      <c r="AC173" t="s">
        <v>2829</v>
      </c>
      <c r="AD173" t="s">
        <v>2883</v>
      </c>
      <c r="AE173" t="s">
        <v>2857</v>
      </c>
      <c r="AF173" t="s">
        <v>4357</v>
      </c>
      <c r="AG173" t="s">
        <v>4357</v>
      </c>
      <c r="AH173" t="s">
        <v>2834</v>
      </c>
      <c r="AI173" t="s">
        <v>2835</v>
      </c>
      <c r="AJ173" t="s">
        <v>3041</v>
      </c>
      <c r="AK173" t="s">
        <v>4044</v>
      </c>
      <c r="AL173" t="s">
        <v>243</v>
      </c>
      <c r="AM173" t="s">
        <v>243</v>
      </c>
      <c r="AN173" t="s">
        <v>243</v>
      </c>
      <c r="AR173" t="s">
        <v>243</v>
      </c>
      <c r="AS173" t="s">
        <v>243</v>
      </c>
      <c r="AT173" t="s">
        <v>243</v>
      </c>
      <c r="AU173" t="s">
        <v>243</v>
      </c>
      <c r="AV173" t="s">
        <v>243</v>
      </c>
      <c r="AW173" t="s">
        <v>243</v>
      </c>
      <c r="AX173" t="s">
        <v>243</v>
      </c>
      <c r="AY173" t="s">
        <v>243</v>
      </c>
      <c r="AZ173" t="s">
        <v>243</v>
      </c>
      <c r="BA173" t="s">
        <v>243</v>
      </c>
      <c r="BB173" t="s">
        <v>243</v>
      </c>
      <c r="BC173" t="s">
        <v>243</v>
      </c>
      <c r="BD173" t="s">
        <v>243</v>
      </c>
      <c r="BE173" t="s">
        <v>243</v>
      </c>
      <c r="BF173" t="s">
        <v>243</v>
      </c>
      <c r="BG173" t="s">
        <v>243</v>
      </c>
      <c r="BH173" t="s">
        <v>243</v>
      </c>
      <c r="BI173" t="s">
        <v>243</v>
      </c>
      <c r="BJ173" t="s">
        <v>243</v>
      </c>
      <c r="BK173" t="s">
        <v>243</v>
      </c>
      <c r="BL173" t="s">
        <v>243</v>
      </c>
      <c r="BM173" t="s">
        <v>243</v>
      </c>
      <c r="BN173" t="s">
        <v>243</v>
      </c>
      <c r="BO173" t="s">
        <v>243</v>
      </c>
      <c r="BP173" t="s">
        <v>243</v>
      </c>
      <c r="BQ173" t="s">
        <v>243</v>
      </c>
      <c r="BR173" t="s">
        <v>243</v>
      </c>
      <c r="BS173" t="s">
        <v>243</v>
      </c>
      <c r="BT173" t="s">
        <v>243</v>
      </c>
      <c r="BU173" t="s">
        <v>243</v>
      </c>
      <c r="BV173" t="s">
        <v>243</v>
      </c>
      <c r="BW173" t="s">
        <v>243</v>
      </c>
      <c r="BX173" t="s">
        <v>243</v>
      </c>
      <c r="BY173" t="s">
        <v>243</v>
      </c>
      <c r="BZ173" t="s">
        <v>243</v>
      </c>
      <c r="CA173" t="s">
        <v>243</v>
      </c>
      <c r="CB173" t="s">
        <v>243</v>
      </c>
      <c r="CC173" t="s">
        <v>243</v>
      </c>
      <c r="CD173" t="s">
        <v>243</v>
      </c>
      <c r="CE173" t="s">
        <v>243</v>
      </c>
      <c r="CF173" t="s">
        <v>243</v>
      </c>
      <c r="CG173" t="s">
        <v>243</v>
      </c>
      <c r="CH173" t="s">
        <v>243</v>
      </c>
      <c r="CI173" t="s">
        <v>243</v>
      </c>
      <c r="CJ173" t="s">
        <v>243</v>
      </c>
      <c r="CK173" t="s">
        <v>243</v>
      </c>
      <c r="CL173" t="s">
        <v>243</v>
      </c>
      <c r="CM173" t="s">
        <v>243</v>
      </c>
      <c r="CN173" t="s">
        <v>243</v>
      </c>
      <c r="CO173" t="s">
        <v>2843</v>
      </c>
      <c r="CP173" t="s">
        <v>2844</v>
      </c>
      <c r="CQ173" t="s">
        <v>430</v>
      </c>
      <c r="CR173" t="s">
        <v>2984</v>
      </c>
      <c r="CS173" t="s">
        <v>431</v>
      </c>
      <c r="CT173" t="s">
        <v>430</v>
      </c>
      <c r="CU173" t="s">
        <v>2985</v>
      </c>
      <c r="CV173" t="s">
        <v>2986</v>
      </c>
      <c r="CW173" t="s">
        <v>2984</v>
      </c>
      <c r="CX173" t="s">
        <v>2848</v>
      </c>
      <c r="CY173" t="s">
        <v>4358</v>
      </c>
    </row>
    <row r="174" spans="1:103" ht="11.25" customHeight="1">
      <c r="A174" t="s">
        <v>243</v>
      </c>
      <c r="B174" t="s">
        <v>243</v>
      </c>
      <c r="C174" t="s">
        <v>243</v>
      </c>
      <c r="D174" t="s">
        <v>243</v>
      </c>
      <c r="E174" t="s">
        <v>243</v>
      </c>
      <c r="F174" t="s">
        <v>2816</v>
      </c>
      <c r="G174" t="s">
        <v>243</v>
      </c>
      <c r="H174" t="s">
        <v>243</v>
      </c>
      <c r="I174" t="s">
        <v>4359</v>
      </c>
      <c r="J174" t="s">
        <v>243</v>
      </c>
      <c r="K174" t="s">
        <v>4360</v>
      </c>
      <c r="L174" t="s">
        <v>243</v>
      </c>
      <c r="M174" t="s">
        <v>114</v>
      </c>
      <c r="N174" t="s">
        <v>243</v>
      </c>
      <c r="O174" t="s">
        <v>2819</v>
      </c>
      <c r="P174" t="s">
        <v>2820</v>
      </c>
      <c r="Q174" t="s">
        <v>2821</v>
      </c>
      <c r="R174" t="s">
        <v>200</v>
      </c>
      <c r="S174" t="s">
        <v>200</v>
      </c>
      <c r="T174" t="s">
        <v>3022</v>
      </c>
      <c r="U174" t="s">
        <v>3022</v>
      </c>
      <c r="V174" t="s">
        <v>3023</v>
      </c>
      <c r="W174" t="s">
        <v>4361</v>
      </c>
      <c r="X174" t="s">
        <v>4362</v>
      </c>
      <c r="Y174" t="s">
        <v>4363</v>
      </c>
      <c r="Z174" t="s">
        <v>865</v>
      </c>
      <c r="AA174" t="s">
        <v>3095</v>
      </c>
      <c r="AB174" t="s">
        <v>4364</v>
      </c>
      <c r="AC174" t="s">
        <v>2829</v>
      </c>
      <c r="AD174" t="s">
        <v>2883</v>
      </c>
      <c r="AE174" t="s">
        <v>2831</v>
      </c>
      <c r="AF174" t="s">
        <v>4365</v>
      </c>
      <c r="AG174" t="s">
        <v>4365</v>
      </c>
      <c r="AH174" t="s">
        <v>2834</v>
      </c>
      <c r="AI174" t="s">
        <v>2835</v>
      </c>
      <c r="AJ174" t="s">
        <v>3030</v>
      </c>
      <c r="AK174" t="s">
        <v>3760</v>
      </c>
      <c r="AL174" t="s">
        <v>3095</v>
      </c>
      <c r="AM174" t="s">
        <v>4364</v>
      </c>
      <c r="AN174" t="s">
        <v>2829</v>
      </c>
      <c r="AO174" t="s">
        <v>2839</v>
      </c>
      <c r="AP174" t="s">
        <v>2840</v>
      </c>
      <c r="AQ174" t="s">
        <v>2841</v>
      </c>
      <c r="AR174" t="s">
        <v>3631</v>
      </c>
      <c r="AS174" t="s">
        <v>3631</v>
      </c>
      <c r="AT174" t="s">
        <v>2829</v>
      </c>
      <c r="AU174" t="s">
        <v>2829</v>
      </c>
      <c r="AV174" t="s">
        <v>2829</v>
      </c>
      <c r="AW174" t="s">
        <v>2829</v>
      </c>
      <c r="AX174" t="s">
        <v>2829</v>
      </c>
      <c r="AY174" t="s">
        <v>2829</v>
      </c>
      <c r="AZ174" t="s">
        <v>2829</v>
      </c>
      <c r="BA174" t="s">
        <v>2829</v>
      </c>
      <c r="BB174" t="s">
        <v>2829</v>
      </c>
      <c r="BC174" t="s">
        <v>2829</v>
      </c>
      <c r="BD174" t="s">
        <v>2829</v>
      </c>
      <c r="BE174" t="s">
        <v>243</v>
      </c>
      <c r="BF174" t="s">
        <v>243</v>
      </c>
      <c r="BG174" t="s">
        <v>243</v>
      </c>
      <c r="BH174" t="s">
        <v>243</v>
      </c>
      <c r="BI174" t="s">
        <v>243</v>
      </c>
      <c r="BJ174" t="s">
        <v>2829</v>
      </c>
      <c r="BK174" t="s">
        <v>243</v>
      </c>
      <c r="BL174" t="s">
        <v>243</v>
      </c>
      <c r="BM174" t="s">
        <v>243</v>
      </c>
      <c r="BN174" t="s">
        <v>243</v>
      </c>
      <c r="BO174" t="s">
        <v>243</v>
      </c>
      <c r="BP174" t="s">
        <v>3731</v>
      </c>
      <c r="BQ174" t="s">
        <v>3731</v>
      </c>
      <c r="BR174" t="s">
        <v>243</v>
      </c>
      <c r="BS174" t="s">
        <v>243</v>
      </c>
      <c r="BT174" t="s">
        <v>243</v>
      </c>
      <c r="BU174" t="s">
        <v>243</v>
      </c>
      <c r="BV174" t="s">
        <v>2829</v>
      </c>
      <c r="BW174" t="s">
        <v>243</v>
      </c>
      <c r="BX174" t="s">
        <v>243</v>
      </c>
      <c r="BY174" t="s">
        <v>243</v>
      </c>
      <c r="BZ174" t="s">
        <v>243</v>
      </c>
      <c r="CA174" t="s">
        <v>243</v>
      </c>
      <c r="CB174" t="s">
        <v>2907</v>
      </c>
      <c r="CC174" t="s">
        <v>2907</v>
      </c>
      <c r="CD174" t="s">
        <v>243</v>
      </c>
      <c r="CE174" t="s">
        <v>243</v>
      </c>
      <c r="CF174" t="s">
        <v>243</v>
      </c>
      <c r="CG174" t="s">
        <v>243</v>
      </c>
      <c r="CH174" t="s">
        <v>2829</v>
      </c>
      <c r="CI174" t="s">
        <v>243</v>
      </c>
      <c r="CJ174" t="s">
        <v>243</v>
      </c>
      <c r="CK174" t="s">
        <v>243</v>
      </c>
      <c r="CL174" t="s">
        <v>243</v>
      </c>
      <c r="CM174" t="s">
        <v>243</v>
      </c>
      <c r="CN174" t="s">
        <v>3041</v>
      </c>
      <c r="CO174" t="s">
        <v>2843</v>
      </c>
      <c r="CP174" t="s">
        <v>2844</v>
      </c>
      <c r="CQ174" t="s">
        <v>430</v>
      </c>
      <c r="CR174" t="s">
        <v>3033</v>
      </c>
      <c r="CS174" t="s">
        <v>431</v>
      </c>
      <c r="CT174" t="s">
        <v>430</v>
      </c>
      <c r="CU174" t="s">
        <v>3034</v>
      </c>
      <c r="CV174" t="s">
        <v>432</v>
      </c>
      <c r="CW174" t="s">
        <v>3033</v>
      </c>
      <c r="CX174" t="s">
        <v>2848</v>
      </c>
      <c r="CY174" t="s">
        <v>4366</v>
      </c>
    </row>
    <row r="175" spans="1:103" ht="11.25" customHeight="1">
      <c r="A175" t="s">
        <v>243</v>
      </c>
      <c r="B175" t="s">
        <v>243</v>
      </c>
      <c r="C175" t="s">
        <v>243</v>
      </c>
      <c r="D175" t="s">
        <v>243</v>
      </c>
      <c r="E175" t="s">
        <v>243</v>
      </c>
      <c r="F175" t="s">
        <v>2816</v>
      </c>
      <c r="G175" t="s">
        <v>243</v>
      </c>
      <c r="H175" t="s">
        <v>243</v>
      </c>
      <c r="I175" t="s">
        <v>4367</v>
      </c>
      <c r="J175" t="s">
        <v>243</v>
      </c>
      <c r="K175" t="s">
        <v>2818</v>
      </c>
      <c r="L175" t="s">
        <v>243</v>
      </c>
      <c r="M175" t="s">
        <v>114</v>
      </c>
      <c r="N175" t="s">
        <v>243</v>
      </c>
      <c r="O175" t="s">
        <v>2819</v>
      </c>
      <c r="P175" t="s">
        <v>2820</v>
      </c>
      <c r="Q175" t="s">
        <v>2821</v>
      </c>
      <c r="R175" t="s">
        <v>200</v>
      </c>
      <c r="S175" t="s">
        <v>200</v>
      </c>
      <c r="T175" t="s">
        <v>2822</v>
      </c>
      <c r="U175" t="s">
        <v>2822</v>
      </c>
      <c r="V175" t="s">
        <v>2823</v>
      </c>
      <c r="W175" t="s">
        <v>3200</v>
      </c>
      <c r="X175" t="s">
        <v>3201</v>
      </c>
      <c r="Y175" t="s">
        <v>4368</v>
      </c>
      <c r="Z175" t="s">
        <v>341</v>
      </c>
      <c r="AA175" t="s">
        <v>3058</v>
      </c>
      <c r="AB175" t="s">
        <v>4369</v>
      </c>
      <c r="AC175" t="s">
        <v>243</v>
      </c>
      <c r="AD175" t="s">
        <v>2830</v>
      </c>
      <c r="AE175" t="s">
        <v>2831</v>
      </c>
      <c r="AF175" t="s">
        <v>4300</v>
      </c>
      <c r="AG175" t="s">
        <v>4300</v>
      </c>
      <c r="AH175" t="s">
        <v>2834</v>
      </c>
      <c r="AI175" t="s">
        <v>2835</v>
      </c>
      <c r="AJ175" t="s">
        <v>3287</v>
      </c>
      <c r="AK175" t="s">
        <v>4301</v>
      </c>
      <c r="AL175" t="s">
        <v>3058</v>
      </c>
      <c r="AM175" t="s">
        <v>4369</v>
      </c>
      <c r="AN175" t="s">
        <v>243</v>
      </c>
      <c r="AO175" t="s">
        <v>2839</v>
      </c>
      <c r="AP175" t="s">
        <v>2840</v>
      </c>
      <c r="AQ175" t="s">
        <v>2841</v>
      </c>
      <c r="AR175" t="s">
        <v>4114</v>
      </c>
      <c r="AS175" t="s">
        <v>4114</v>
      </c>
      <c r="AT175" t="s">
        <v>2829</v>
      </c>
      <c r="AU175" t="s">
        <v>2829</v>
      </c>
      <c r="AV175" t="s">
        <v>2829</v>
      </c>
      <c r="AW175" t="s">
        <v>2829</v>
      </c>
      <c r="AX175" t="s">
        <v>2829</v>
      </c>
      <c r="AY175" t="s">
        <v>2829</v>
      </c>
      <c r="AZ175" t="s">
        <v>2829</v>
      </c>
      <c r="BA175" t="s">
        <v>2829</v>
      </c>
      <c r="BB175" t="s">
        <v>2829</v>
      </c>
      <c r="BC175" t="s">
        <v>2829</v>
      </c>
      <c r="BD175" t="s">
        <v>4114</v>
      </c>
      <c r="BE175" t="s">
        <v>4114</v>
      </c>
      <c r="BF175" t="s">
        <v>243</v>
      </c>
      <c r="BG175" t="s">
        <v>243</v>
      </c>
      <c r="BH175" t="s">
        <v>243</v>
      </c>
      <c r="BI175" t="s">
        <v>243</v>
      </c>
      <c r="BJ175" t="s">
        <v>2829</v>
      </c>
      <c r="BK175" t="s">
        <v>243</v>
      </c>
      <c r="BL175" t="s">
        <v>243</v>
      </c>
      <c r="BM175" t="s">
        <v>243</v>
      </c>
      <c r="BN175" t="s">
        <v>243</v>
      </c>
      <c r="BO175" t="s">
        <v>243</v>
      </c>
      <c r="BP175" t="s">
        <v>2829</v>
      </c>
      <c r="BQ175" t="s">
        <v>243</v>
      </c>
      <c r="BR175" t="s">
        <v>243</v>
      </c>
      <c r="BS175" t="s">
        <v>243</v>
      </c>
      <c r="BT175" t="s">
        <v>243</v>
      </c>
      <c r="BU175" t="s">
        <v>243</v>
      </c>
      <c r="BV175" t="s">
        <v>2829</v>
      </c>
      <c r="BW175" t="s">
        <v>243</v>
      </c>
      <c r="BX175" t="s">
        <v>243</v>
      </c>
      <c r="BY175" t="s">
        <v>243</v>
      </c>
      <c r="BZ175" t="s">
        <v>243</v>
      </c>
      <c r="CA175" t="s">
        <v>243</v>
      </c>
      <c r="CB175" t="s">
        <v>2829</v>
      </c>
      <c r="CC175" t="s">
        <v>243</v>
      </c>
      <c r="CD175" t="s">
        <v>243</v>
      </c>
      <c r="CE175" t="s">
        <v>243</v>
      </c>
      <c r="CF175" t="s">
        <v>243</v>
      </c>
      <c r="CG175" t="s">
        <v>243</v>
      </c>
      <c r="CH175" t="s">
        <v>2829</v>
      </c>
      <c r="CI175" t="s">
        <v>243</v>
      </c>
      <c r="CJ175" t="s">
        <v>243</v>
      </c>
      <c r="CK175" t="s">
        <v>243</v>
      </c>
      <c r="CL175" t="s">
        <v>243</v>
      </c>
      <c r="CM175" t="s">
        <v>243</v>
      </c>
      <c r="CN175" t="s">
        <v>3287</v>
      </c>
      <c r="CO175" t="s">
        <v>2843</v>
      </c>
      <c r="CP175" t="s">
        <v>2844</v>
      </c>
      <c r="CQ175" t="s">
        <v>430</v>
      </c>
      <c r="CR175" t="s">
        <v>2872</v>
      </c>
      <c r="CS175" t="s">
        <v>431</v>
      </c>
      <c r="CT175" t="s">
        <v>430</v>
      </c>
      <c r="CU175" t="s">
        <v>2846</v>
      </c>
      <c r="CV175" t="s">
        <v>2873</v>
      </c>
      <c r="CW175" t="s">
        <v>2872</v>
      </c>
      <c r="CX175" t="s">
        <v>2848</v>
      </c>
      <c r="CY175" t="s">
        <v>4370</v>
      </c>
    </row>
    <row r="176" spans="1:103" ht="11.25" customHeight="1">
      <c r="A176" t="s">
        <v>243</v>
      </c>
      <c r="B176" t="s">
        <v>243</v>
      </c>
      <c r="C176" t="s">
        <v>243</v>
      </c>
      <c r="D176" t="s">
        <v>243</v>
      </c>
      <c r="E176" t="s">
        <v>243</v>
      </c>
      <c r="F176" t="s">
        <v>2816</v>
      </c>
      <c r="G176" t="s">
        <v>243</v>
      </c>
      <c r="H176" t="s">
        <v>243</v>
      </c>
      <c r="I176" t="s">
        <v>4371</v>
      </c>
      <c r="J176" t="s">
        <v>243</v>
      </c>
      <c r="K176" t="s">
        <v>2818</v>
      </c>
      <c r="L176" t="s">
        <v>243</v>
      </c>
      <c r="M176" t="s">
        <v>114</v>
      </c>
      <c r="N176" t="s">
        <v>243</v>
      </c>
      <c r="O176" t="s">
        <v>2819</v>
      </c>
      <c r="P176" t="s">
        <v>2820</v>
      </c>
      <c r="Q176" t="s">
        <v>2821</v>
      </c>
      <c r="R176" t="s">
        <v>200</v>
      </c>
      <c r="S176" t="s">
        <v>200</v>
      </c>
      <c r="T176" t="s">
        <v>2822</v>
      </c>
      <c r="U176" t="s">
        <v>2822</v>
      </c>
      <c r="V176" t="s">
        <v>2823</v>
      </c>
      <c r="W176" t="s">
        <v>4080</v>
      </c>
      <c r="X176" t="s">
        <v>4081</v>
      </c>
      <c r="Y176" t="s">
        <v>3610</v>
      </c>
      <c r="Z176" t="s">
        <v>3874</v>
      </c>
      <c r="AA176" t="s">
        <v>3875</v>
      </c>
      <c r="AB176" t="s">
        <v>3217</v>
      </c>
      <c r="AC176" t="s">
        <v>243</v>
      </c>
      <c r="AD176" t="s">
        <v>2830</v>
      </c>
      <c r="AE176" t="s">
        <v>2831</v>
      </c>
      <c r="AF176" t="s">
        <v>4300</v>
      </c>
      <c r="AG176" t="s">
        <v>4300</v>
      </c>
      <c r="AH176" t="s">
        <v>2834</v>
      </c>
      <c r="AI176" t="s">
        <v>2835</v>
      </c>
      <c r="AJ176" t="s">
        <v>3287</v>
      </c>
      <c r="AK176" t="s">
        <v>2873</v>
      </c>
      <c r="AL176" t="s">
        <v>3875</v>
      </c>
      <c r="AM176" t="s">
        <v>3876</v>
      </c>
      <c r="AN176" t="s">
        <v>243</v>
      </c>
      <c r="AO176" t="s">
        <v>2839</v>
      </c>
      <c r="AP176" t="s">
        <v>2840</v>
      </c>
      <c r="AQ176" t="s">
        <v>2841</v>
      </c>
      <c r="AR176" t="s">
        <v>2842</v>
      </c>
      <c r="AS176" t="s">
        <v>2842</v>
      </c>
      <c r="AT176" t="s">
        <v>2829</v>
      </c>
      <c r="AU176" t="s">
        <v>2829</v>
      </c>
      <c r="AV176" t="s">
        <v>2829</v>
      </c>
      <c r="AW176" t="s">
        <v>2829</v>
      </c>
      <c r="AX176" t="s">
        <v>2829</v>
      </c>
      <c r="AY176" t="s">
        <v>2829</v>
      </c>
      <c r="AZ176" t="s">
        <v>2829</v>
      </c>
      <c r="BA176" t="s">
        <v>2829</v>
      </c>
      <c r="BB176" t="s">
        <v>2829</v>
      </c>
      <c r="BC176" t="s">
        <v>2829</v>
      </c>
      <c r="BD176" t="s">
        <v>2842</v>
      </c>
      <c r="BE176" t="s">
        <v>2842</v>
      </c>
      <c r="BF176" t="s">
        <v>243</v>
      </c>
      <c r="BG176" t="s">
        <v>243</v>
      </c>
      <c r="BH176" t="s">
        <v>243</v>
      </c>
      <c r="BI176" t="s">
        <v>243</v>
      </c>
      <c r="BJ176" t="s">
        <v>2829</v>
      </c>
      <c r="BK176" t="s">
        <v>243</v>
      </c>
      <c r="BL176" t="s">
        <v>243</v>
      </c>
      <c r="BM176" t="s">
        <v>243</v>
      </c>
      <c r="BN176" t="s">
        <v>243</v>
      </c>
      <c r="BO176" t="s">
        <v>243</v>
      </c>
      <c r="BP176" t="s">
        <v>2829</v>
      </c>
      <c r="BQ176" t="s">
        <v>243</v>
      </c>
      <c r="BR176" t="s">
        <v>243</v>
      </c>
      <c r="BS176" t="s">
        <v>243</v>
      </c>
      <c r="BT176" t="s">
        <v>243</v>
      </c>
      <c r="BU176" t="s">
        <v>243</v>
      </c>
      <c r="BV176" t="s">
        <v>2829</v>
      </c>
      <c r="BW176" t="s">
        <v>243</v>
      </c>
      <c r="BX176" t="s">
        <v>243</v>
      </c>
      <c r="BY176" t="s">
        <v>243</v>
      </c>
      <c r="BZ176" t="s">
        <v>243</v>
      </c>
      <c r="CA176" t="s">
        <v>243</v>
      </c>
      <c r="CB176" t="s">
        <v>2829</v>
      </c>
      <c r="CC176" t="s">
        <v>243</v>
      </c>
      <c r="CD176" t="s">
        <v>243</v>
      </c>
      <c r="CE176" t="s">
        <v>243</v>
      </c>
      <c r="CF176" t="s">
        <v>243</v>
      </c>
      <c r="CG176" t="s">
        <v>243</v>
      </c>
      <c r="CH176" t="s">
        <v>2829</v>
      </c>
      <c r="CI176" t="s">
        <v>243</v>
      </c>
      <c r="CJ176" t="s">
        <v>243</v>
      </c>
      <c r="CK176" t="s">
        <v>243</v>
      </c>
      <c r="CL176" t="s">
        <v>243</v>
      </c>
      <c r="CM176" t="s">
        <v>243</v>
      </c>
      <c r="CN176" t="s">
        <v>3287</v>
      </c>
      <c r="CO176" t="s">
        <v>2843</v>
      </c>
      <c r="CP176" t="s">
        <v>2844</v>
      </c>
      <c r="CQ176" t="s">
        <v>430</v>
      </c>
      <c r="CR176" t="s">
        <v>2872</v>
      </c>
      <c r="CS176" t="s">
        <v>431</v>
      </c>
      <c r="CT176" t="s">
        <v>430</v>
      </c>
      <c r="CU176" t="s">
        <v>2846</v>
      </c>
      <c r="CV176" t="s">
        <v>2873</v>
      </c>
      <c r="CW176" t="s">
        <v>2872</v>
      </c>
      <c r="CX176" t="s">
        <v>2848</v>
      </c>
      <c r="CY176" t="s">
        <v>4372</v>
      </c>
    </row>
    <row r="177" spans="1:103" ht="11.25" customHeight="1">
      <c r="A177" t="s">
        <v>243</v>
      </c>
      <c r="B177" t="s">
        <v>243</v>
      </c>
      <c r="C177" t="s">
        <v>243</v>
      </c>
      <c r="D177" t="s">
        <v>243</v>
      </c>
      <c r="E177" t="s">
        <v>243</v>
      </c>
      <c r="F177" t="s">
        <v>2816</v>
      </c>
      <c r="G177" t="s">
        <v>243</v>
      </c>
      <c r="H177" t="s">
        <v>243</v>
      </c>
      <c r="I177" t="s">
        <v>4373</v>
      </c>
      <c r="J177" t="s">
        <v>243</v>
      </c>
      <c r="K177" t="s">
        <v>2818</v>
      </c>
      <c r="L177" t="s">
        <v>243</v>
      </c>
      <c r="M177" t="s">
        <v>114</v>
      </c>
      <c r="N177" t="s">
        <v>243</v>
      </c>
      <c r="O177" t="s">
        <v>2819</v>
      </c>
      <c r="P177" t="s">
        <v>2820</v>
      </c>
      <c r="Q177" t="s">
        <v>2821</v>
      </c>
      <c r="R177" t="s">
        <v>200</v>
      </c>
      <c r="S177" t="s">
        <v>200</v>
      </c>
      <c r="T177" t="s">
        <v>2822</v>
      </c>
      <c r="U177" t="s">
        <v>2822</v>
      </c>
      <c r="V177" t="s">
        <v>2823</v>
      </c>
      <c r="W177" t="s">
        <v>2824</v>
      </c>
      <c r="X177" t="s">
        <v>2825</v>
      </c>
      <c r="Y177" t="s">
        <v>2826</v>
      </c>
      <c r="Z177" t="s">
        <v>348</v>
      </c>
      <c r="AA177" t="s">
        <v>2904</v>
      </c>
      <c r="AB177" t="s">
        <v>4374</v>
      </c>
      <c r="AC177" t="s">
        <v>2829</v>
      </c>
      <c r="AD177" t="s">
        <v>2830</v>
      </c>
      <c r="AE177" t="s">
        <v>2857</v>
      </c>
      <c r="AF177" t="s">
        <v>4375</v>
      </c>
      <c r="AG177" t="s">
        <v>4375</v>
      </c>
      <c r="AH177" t="s">
        <v>2834</v>
      </c>
      <c r="AI177" t="s">
        <v>2835</v>
      </c>
      <c r="AJ177" t="s">
        <v>2836</v>
      </c>
      <c r="AK177" t="s">
        <v>2837</v>
      </c>
      <c r="AL177" t="s">
        <v>2904</v>
      </c>
      <c r="AM177" t="s">
        <v>4022</v>
      </c>
      <c r="AN177" t="s">
        <v>2829</v>
      </c>
      <c r="AO177" t="s">
        <v>2839</v>
      </c>
      <c r="AP177" t="s">
        <v>2840</v>
      </c>
      <c r="AQ177" t="s">
        <v>2841</v>
      </c>
      <c r="AR177" t="s">
        <v>2842</v>
      </c>
      <c r="AS177" t="s">
        <v>2842</v>
      </c>
      <c r="AT177" t="s">
        <v>2829</v>
      </c>
      <c r="AU177" t="s">
        <v>2829</v>
      </c>
      <c r="AV177" t="s">
        <v>2829</v>
      </c>
      <c r="AW177" t="s">
        <v>2829</v>
      </c>
      <c r="AX177" t="s">
        <v>2829</v>
      </c>
      <c r="AY177" t="s">
        <v>2829</v>
      </c>
      <c r="AZ177" t="s">
        <v>2829</v>
      </c>
      <c r="BA177" t="s">
        <v>2829</v>
      </c>
      <c r="BB177" t="s">
        <v>2829</v>
      </c>
      <c r="BC177" t="s">
        <v>2829</v>
      </c>
      <c r="BD177" t="s">
        <v>2842</v>
      </c>
      <c r="BE177" t="s">
        <v>2842</v>
      </c>
      <c r="BF177" t="s">
        <v>243</v>
      </c>
      <c r="BG177" t="s">
        <v>243</v>
      </c>
      <c r="BH177" t="s">
        <v>243</v>
      </c>
      <c r="BI177" t="s">
        <v>243</v>
      </c>
      <c r="BJ177" t="s">
        <v>2829</v>
      </c>
      <c r="BK177" t="s">
        <v>243</v>
      </c>
      <c r="BL177" t="s">
        <v>243</v>
      </c>
      <c r="BM177" t="s">
        <v>243</v>
      </c>
      <c r="BN177" t="s">
        <v>243</v>
      </c>
      <c r="BO177" t="s">
        <v>243</v>
      </c>
      <c r="BP177" t="s">
        <v>2829</v>
      </c>
      <c r="BQ177" t="s">
        <v>243</v>
      </c>
      <c r="BR177" t="s">
        <v>243</v>
      </c>
      <c r="BS177" t="s">
        <v>243</v>
      </c>
      <c r="BT177" t="s">
        <v>243</v>
      </c>
      <c r="BU177" t="s">
        <v>243</v>
      </c>
      <c r="BV177" t="s">
        <v>2829</v>
      </c>
      <c r="BW177" t="s">
        <v>243</v>
      </c>
      <c r="BX177" t="s">
        <v>243</v>
      </c>
      <c r="BY177" t="s">
        <v>243</v>
      </c>
      <c r="BZ177" t="s">
        <v>243</v>
      </c>
      <c r="CA177" t="s">
        <v>243</v>
      </c>
      <c r="CB177" t="s">
        <v>2829</v>
      </c>
      <c r="CC177" t="s">
        <v>243</v>
      </c>
      <c r="CD177" t="s">
        <v>243</v>
      </c>
      <c r="CE177" t="s">
        <v>243</v>
      </c>
      <c r="CF177" t="s">
        <v>243</v>
      </c>
      <c r="CG177" t="s">
        <v>243</v>
      </c>
      <c r="CH177" t="s">
        <v>2829</v>
      </c>
      <c r="CI177" t="s">
        <v>243</v>
      </c>
      <c r="CJ177" t="s">
        <v>243</v>
      </c>
      <c r="CK177" t="s">
        <v>243</v>
      </c>
      <c r="CL177" t="s">
        <v>243</v>
      </c>
      <c r="CM177" t="s">
        <v>243</v>
      </c>
      <c r="CN177" t="s">
        <v>2836</v>
      </c>
      <c r="CO177" t="s">
        <v>2843</v>
      </c>
      <c r="CP177" t="s">
        <v>2844</v>
      </c>
      <c r="CQ177" t="s">
        <v>430</v>
      </c>
      <c r="CR177" t="s">
        <v>2845</v>
      </c>
      <c r="CS177" t="s">
        <v>431</v>
      </c>
      <c r="CT177" t="s">
        <v>430</v>
      </c>
      <c r="CU177" t="s">
        <v>2846</v>
      </c>
      <c r="CV177" t="s">
        <v>2847</v>
      </c>
      <c r="CW177" t="s">
        <v>2845</v>
      </c>
      <c r="CX177" t="s">
        <v>2848</v>
      </c>
      <c r="CY177" t="s">
        <v>4376</v>
      </c>
    </row>
    <row r="178" spans="1:103" ht="11.25" customHeight="1">
      <c r="A178" t="s">
        <v>243</v>
      </c>
      <c r="B178" t="s">
        <v>243</v>
      </c>
      <c r="C178" t="s">
        <v>243</v>
      </c>
      <c r="D178" t="s">
        <v>243</v>
      </c>
      <c r="E178" t="s">
        <v>243</v>
      </c>
      <c r="F178" t="s">
        <v>2816</v>
      </c>
      <c r="G178" t="s">
        <v>243</v>
      </c>
      <c r="H178" t="s">
        <v>243</v>
      </c>
      <c r="I178" t="s">
        <v>4377</v>
      </c>
      <c r="J178" t="s">
        <v>243</v>
      </c>
      <c r="K178" t="s">
        <v>2818</v>
      </c>
      <c r="L178" t="s">
        <v>243</v>
      </c>
      <c r="M178" t="s">
        <v>114</v>
      </c>
      <c r="N178" t="s">
        <v>243</v>
      </c>
      <c r="O178" t="s">
        <v>2819</v>
      </c>
      <c r="P178" t="s">
        <v>2820</v>
      </c>
      <c r="Q178" t="s">
        <v>2821</v>
      </c>
      <c r="R178" t="s">
        <v>200</v>
      </c>
      <c r="S178" t="s">
        <v>200</v>
      </c>
      <c r="T178" t="s">
        <v>2822</v>
      </c>
      <c r="U178" t="s">
        <v>2822</v>
      </c>
      <c r="V178" t="s">
        <v>2823</v>
      </c>
      <c r="W178" t="s">
        <v>4378</v>
      </c>
      <c r="X178" t="s">
        <v>4379</v>
      </c>
      <c r="Y178" t="s">
        <v>3380</v>
      </c>
      <c r="Z178" t="s">
        <v>4028</v>
      </c>
      <c r="AA178" t="s">
        <v>2855</v>
      </c>
      <c r="AB178" t="s">
        <v>3688</v>
      </c>
      <c r="AC178" t="s">
        <v>2829</v>
      </c>
      <c r="AD178" t="s">
        <v>2830</v>
      </c>
      <c r="AE178" t="s">
        <v>2857</v>
      </c>
      <c r="AF178" t="s">
        <v>3230</v>
      </c>
      <c r="AG178" t="s">
        <v>3230</v>
      </c>
      <c r="AH178" t="s">
        <v>2834</v>
      </c>
      <c r="AI178" t="s">
        <v>2835</v>
      </c>
      <c r="AJ178" t="s">
        <v>2829</v>
      </c>
      <c r="AK178" t="s">
        <v>2922</v>
      </c>
      <c r="AL178" t="s">
        <v>2855</v>
      </c>
      <c r="AM178" t="s">
        <v>3688</v>
      </c>
      <c r="AN178" t="s">
        <v>2829</v>
      </c>
      <c r="AO178" t="s">
        <v>2839</v>
      </c>
      <c r="AP178" t="s">
        <v>2840</v>
      </c>
      <c r="AQ178" t="s">
        <v>2841</v>
      </c>
      <c r="AR178" t="s">
        <v>3467</v>
      </c>
      <c r="AS178" t="s">
        <v>3467</v>
      </c>
      <c r="AT178" t="s">
        <v>2829</v>
      </c>
      <c r="AU178" t="s">
        <v>2829</v>
      </c>
      <c r="AV178" t="s">
        <v>2829</v>
      </c>
      <c r="AW178" t="s">
        <v>2829</v>
      </c>
      <c r="AX178" t="s">
        <v>2829</v>
      </c>
      <c r="AY178" t="s">
        <v>2829</v>
      </c>
      <c r="AZ178" t="s">
        <v>2829</v>
      </c>
      <c r="BA178" t="s">
        <v>2829</v>
      </c>
      <c r="BB178" t="s">
        <v>2829</v>
      </c>
      <c r="BC178" t="s">
        <v>2829</v>
      </c>
      <c r="BD178" t="s">
        <v>3467</v>
      </c>
      <c r="BE178" t="s">
        <v>3467</v>
      </c>
      <c r="BF178" t="s">
        <v>243</v>
      </c>
      <c r="BG178" t="s">
        <v>243</v>
      </c>
      <c r="BH178" t="s">
        <v>243</v>
      </c>
      <c r="BI178" t="s">
        <v>243</v>
      </c>
      <c r="BJ178" t="s">
        <v>2829</v>
      </c>
      <c r="BK178" t="s">
        <v>243</v>
      </c>
      <c r="BL178" t="s">
        <v>243</v>
      </c>
      <c r="BM178" t="s">
        <v>243</v>
      </c>
      <c r="BN178" t="s">
        <v>243</v>
      </c>
      <c r="BO178" t="s">
        <v>243</v>
      </c>
      <c r="BP178" t="s">
        <v>2829</v>
      </c>
      <c r="BQ178" t="s">
        <v>243</v>
      </c>
      <c r="BR178" t="s">
        <v>243</v>
      </c>
      <c r="BS178" t="s">
        <v>243</v>
      </c>
      <c r="BT178" t="s">
        <v>243</v>
      </c>
      <c r="BU178" t="s">
        <v>243</v>
      </c>
      <c r="BV178" t="s">
        <v>2829</v>
      </c>
      <c r="BW178" t="s">
        <v>243</v>
      </c>
      <c r="BX178" t="s">
        <v>243</v>
      </c>
      <c r="BY178" t="s">
        <v>243</v>
      </c>
      <c r="BZ178" t="s">
        <v>243</v>
      </c>
      <c r="CA178" t="s">
        <v>243</v>
      </c>
      <c r="CB178" t="s">
        <v>2829</v>
      </c>
      <c r="CC178" t="s">
        <v>243</v>
      </c>
      <c r="CD178" t="s">
        <v>243</v>
      </c>
      <c r="CE178" t="s">
        <v>243</v>
      </c>
      <c r="CF178" t="s">
        <v>243</v>
      </c>
      <c r="CG178" t="s">
        <v>243</v>
      </c>
      <c r="CH178" t="s">
        <v>2829</v>
      </c>
      <c r="CI178" t="s">
        <v>243</v>
      </c>
      <c r="CJ178" t="s">
        <v>243</v>
      </c>
      <c r="CK178" t="s">
        <v>243</v>
      </c>
      <c r="CL178" t="s">
        <v>243</v>
      </c>
      <c r="CM178" t="s">
        <v>243</v>
      </c>
      <c r="CN178" t="s">
        <v>2829</v>
      </c>
      <c r="CO178" t="s">
        <v>2924</v>
      </c>
      <c r="CP178" t="s">
        <v>2844</v>
      </c>
      <c r="CQ178" t="s">
        <v>430</v>
      </c>
      <c r="CR178" t="s">
        <v>2872</v>
      </c>
      <c r="CS178" t="s">
        <v>431</v>
      </c>
      <c r="CT178" t="s">
        <v>430</v>
      </c>
      <c r="CU178" t="s">
        <v>2846</v>
      </c>
      <c r="CV178" t="s">
        <v>2873</v>
      </c>
      <c r="CW178" t="s">
        <v>2872</v>
      </c>
      <c r="CX178" t="s">
        <v>2848</v>
      </c>
      <c r="CY178" t="s">
        <v>4380</v>
      </c>
    </row>
    <row r="179" spans="1:103" ht="11.25" customHeight="1">
      <c r="A179" t="s">
        <v>243</v>
      </c>
      <c r="B179" t="s">
        <v>243</v>
      </c>
      <c r="C179" t="s">
        <v>243</v>
      </c>
      <c r="D179" t="s">
        <v>243</v>
      </c>
      <c r="E179" t="s">
        <v>243</v>
      </c>
      <c r="F179" t="s">
        <v>2816</v>
      </c>
      <c r="G179" t="s">
        <v>243</v>
      </c>
      <c r="H179" t="s">
        <v>243</v>
      </c>
      <c r="I179" t="s">
        <v>4381</v>
      </c>
      <c r="J179" t="s">
        <v>243</v>
      </c>
      <c r="K179" t="s">
        <v>4382</v>
      </c>
      <c r="L179" t="s">
        <v>243</v>
      </c>
      <c r="M179" t="s">
        <v>114</v>
      </c>
      <c r="N179" t="s">
        <v>243</v>
      </c>
      <c r="O179" t="s">
        <v>2819</v>
      </c>
      <c r="P179" t="s">
        <v>2820</v>
      </c>
      <c r="Q179" t="s">
        <v>2821</v>
      </c>
      <c r="R179" t="s">
        <v>200</v>
      </c>
      <c r="S179" t="s">
        <v>200</v>
      </c>
      <c r="T179" t="s">
        <v>2933</v>
      </c>
      <c r="U179" t="s">
        <v>2933</v>
      </c>
      <c r="V179" t="s">
        <v>2934</v>
      </c>
      <c r="W179" t="s">
        <v>2935</v>
      </c>
      <c r="X179" t="s">
        <v>2936</v>
      </c>
      <c r="Y179" t="s">
        <v>4383</v>
      </c>
      <c r="Z179" t="s">
        <v>440</v>
      </c>
      <c r="AA179" t="s">
        <v>4384</v>
      </c>
      <c r="AB179" t="s">
        <v>4385</v>
      </c>
      <c r="AC179" t="s">
        <v>2939</v>
      </c>
      <c r="AD179" t="s">
        <v>2883</v>
      </c>
      <c r="AE179" t="s">
        <v>4042</v>
      </c>
      <c r="AF179" t="s">
        <v>4386</v>
      </c>
      <c r="AG179" t="s">
        <v>4386</v>
      </c>
      <c r="AH179" t="s">
        <v>2834</v>
      </c>
      <c r="AI179" t="s">
        <v>2835</v>
      </c>
      <c r="AJ179" t="s">
        <v>3010</v>
      </c>
      <c r="AK179" t="s">
        <v>3018</v>
      </c>
      <c r="AL179" t="s">
        <v>4384</v>
      </c>
      <c r="AM179" t="s">
        <v>4387</v>
      </c>
      <c r="AN179" t="s">
        <v>2939</v>
      </c>
      <c r="AO179" t="s">
        <v>2839</v>
      </c>
      <c r="AP179" t="s">
        <v>2840</v>
      </c>
      <c r="AQ179" t="s">
        <v>2841</v>
      </c>
      <c r="AR179" t="s">
        <v>4388</v>
      </c>
      <c r="AS179" t="s">
        <v>4389</v>
      </c>
      <c r="AT179" t="s">
        <v>4390</v>
      </c>
      <c r="AU179" t="s">
        <v>4391</v>
      </c>
      <c r="AV179" t="s">
        <v>3332</v>
      </c>
      <c r="AW179" t="s">
        <v>2829</v>
      </c>
      <c r="AX179" t="s">
        <v>2829</v>
      </c>
      <c r="AY179" t="s">
        <v>2829</v>
      </c>
      <c r="AZ179" t="s">
        <v>2829</v>
      </c>
      <c r="BA179" t="s">
        <v>2829</v>
      </c>
      <c r="BB179" t="s">
        <v>2829</v>
      </c>
      <c r="BC179" t="s">
        <v>2829</v>
      </c>
      <c r="BD179" t="s">
        <v>4392</v>
      </c>
      <c r="BE179" t="s">
        <v>4393</v>
      </c>
      <c r="BF179" t="s">
        <v>4394</v>
      </c>
      <c r="BG179" t="s">
        <v>4395</v>
      </c>
      <c r="BH179" t="s">
        <v>3332</v>
      </c>
      <c r="BI179" t="s">
        <v>243</v>
      </c>
      <c r="BJ179" t="s">
        <v>2829</v>
      </c>
      <c r="BK179" t="s">
        <v>243</v>
      </c>
      <c r="BL179" t="s">
        <v>243</v>
      </c>
      <c r="BM179" t="s">
        <v>243</v>
      </c>
      <c r="BN179" t="s">
        <v>243</v>
      </c>
      <c r="BO179" t="s">
        <v>243</v>
      </c>
      <c r="BP179" t="s">
        <v>4396</v>
      </c>
      <c r="BQ179" t="s">
        <v>4397</v>
      </c>
      <c r="BR179" t="s">
        <v>4398</v>
      </c>
      <c r="BS179" t="s">
        <v>4399</v>
      </c>
      <c r="BT179" t="s">
        <v>243</v>
      </c>
      <c r="BU179" t="s">
        <v>243</v>
      </c>
      <c r="BV179" t="s">
        <v>2829</v>
      </c>
      <c r="BW179" t="s">
        <v>243</v>
      </c>
      <c r="BX179" t="s">
        <v>243</v>
      </c>
      <c r="BY179" t="s">
        <v>243</v>
      </c>
      <c r="BZ179" t="s">
        <v>243</v>
      </c>
      <c r="CA179" t="s">
        <v>243</v>
      </c>
      <c r="CB179" t="s">
        <v>4400</v>
      </c>
      <c r="CC179" t="s">
        <v>4400</v>
      </c>
      <c r="CD179" t="s">
        <v>243</v>
      </c>
      <c r="CE179" t="s">
        <v>243</v>
      </c>
      <c r="CF179" t="s">
        <v>243</v>
      </c>
      <c r="CG179" t="s">
        <v>243</v>
      </c>
      <c r="CH179" t="s">
        <v>2829</v>
      </c>
      <c r="CI179" t="s">
        <v>243</v>
      </c>
      <c r="CJ179" t="s">
        <v>243</v>
      </c>
      <c r="CK179" t="s">
        <v>243</v>
      </c>
      <c r="CL179" t="s">
        <v>243</v>
      </c>
      <c r="CM179" t="s">
        <v>243</v>
      </c>
      <c r="CN179" t="s">
        <v>3010</v>
      </c>
      <c r="CO179" t="s">
        <v>2843</v>
      </c>
      <c r="CP179" t="s">
        <v>2844</v>
      </c>
      <c r="CQ179" t="s">
        <v>430</v>
      </c>
      <c r="CR179" t="s">
        <v>2947</v>
      </c>
      <c r="CS179" t="s">
        <v>431</v>
      </c>
      <c r="CT179" t="s">
        <v>430</v>
      </c>
      <c r="CU179" t="s">
        <v>2948</v>
      </c>
      <c r="CV179" t="s">
        <v>2949</v>
      </c>
      <c r="CW179" t="s">
        <v>2947</v>
      </c>
      <c r="CX179" t="s">
        <v>2848</v>
      </c>
      <c r="CY179" t="s">
        <v>4401</v>
      </c>
    </row>
    <row r="180" spans="1:103" ht="11.25" customHeight="1">
      <c r="A180" t="s">
        <v>243</v>
      </c>
      <c r="B180" t="s">
        <v>243</v>
      </c>
      <c r="C180" t="s">
        <v>243</v>
      </c>
      <c r="D180" t="s">
        <v>243</v>
      </c>
      <c r="E180" t="s">
        <v>243</v>
      </c>
      <c r="F180" t="s">
        <v>2816</v>
      </c>
      <c r="G180" t="s">
        <v>243</v>
      </c>
      <c r="H180" t="s">
        <v>243</v>
      </c>
      <c r="I180" t="s">
        <v>4402</v>
      </c>
      <c r="J180" t="s">
        <v>243</v>
      </c>
      <c r="K180" t="s">
        <v>4403</v>
      </c>
      <c r="L180" t="s">
        <v>243</v>
      </c>
      <c r="M180" t="s">
        <v>114</v>
      </c>
      <c r="N180" t="s">
        <v>243</v>
      </c>
      <c r="O180" t="s">
        <v>2819</v>
      </c>
      <c r="P180" t="s">
        <v>2820</v>
      </c>
      <c r="Q180" t="s">
        <v>2821</v>
      </c>
      <c r="R180" t="s">
        <v>200</v>
      </c>
      <c r="S180" t="s">
        <v>200</v>
      </c>
      <c r="T180" t="s">
        <v>2933</v>
      </c>
      <c r="U180" t="s">
        <v>2933</v>
      </c>
      <c r="V180" t="s">
        <v>2934</v>
      </c>
      <c r="W180" t="s">
        <v>2935</v>
      </c>
      <c r="X180" t="s">
        <v>2936</v>
      </c>
      <c r="Y180" t="s">
        <v>4404</v>
      </c>
      <c r="Z180" t="s">
        <v>2972</v>
      </c>
      <c r="AA180" t="s">
        <v>2942</v>
      </c>
      <c r="AB180" t="s">
        <v>4405</v>
      </c>
      <c r="AC180" t="s">
        <v>3385</v>
      </c>
      <c r="AD180" t="s">
        <v>2883</v>
      </c>
      <c r="AE180" t="s">
        <v>2831</v>
      </c>
      <c r="AF180" t="s">
        <v>4406</v>
      </c>
      <c r="AG180" t="s">
        <v>4406</v>
      </c>
      <c r="AH180" t="s">
        <v>2834</v>
      </c>
      <c r="AI180" t="s">
        <v>2887</v>
      </c>
      <c r="AJ180" t="s">
        <v>2942</v>
      </c>
      <c r="AK180" t="s">
        <v>3556</v>
      </c>
      <c r="AL180" t="s">
        <v>2942</v>
      </c>
      <c r="AM180" t="s">
        <v>4405</v>
      </c>
      <c r="AN180" t="s">
        <v>3385</v>
      </c>
      <c r="AO180" t="s">
        <v>2839</v>
      </c>
      <c r="AP180" t="s">
        <v>2840</v>
      </c>
      <c r="AQ180" t="s">
        <v>2841</v>
      </c>
      <c r="AR180" t="s">
        <v>4407</v>
      </c>
      <c r="AS180" t="s">
        <v>4408</v>
      </c>
      <c r="AT180" t="s">
        <v>4409</v>
      </c>
      <c r="AU180" t="s">
        <v>2829</v>
      </c>
      <c r="AV180" t="s">
        <v>2829</v>
      </c>
      <c r="AW180" t="s">
        <v>2829</v>
      </c>
      <c r="AX180" t="s">
        <v>2829</v>
      </c>
      <c r="AY180" t="s">
        <v>2829</v>
      </c>
      <c r="AZ180" t="s">
        <v>2829</v>
      </c>
      <c r="BA180" t="s">
        <v>2829</v>
      </c>
      <c r="BB180" t="s">
        <v>2829</v>
      </c>
      <c r="BC180" t="s">
        <v>2829</v>
      </c>
      <c r="BD180" t="s">
        <v>4410</v>
      </c>
      <c r="BE180" t="s">
        <v>4411</v>
      </c>
      <c r="BF180" t="s">
        <v>4412</v>
      </c>
      <c r="BG180" t="s">
        <v>243</v>
      </c>
      <c r="BH180" t="s">
        <v>243</v>
      </c>
      <c r="BI180" t="s">
        <v>243</v>
      </c>
      <c r="BJ180" t="s">
        <v>2829</v>
      </c>
      <c r="BK180" t="s">
        <v>243</v>
      </c>
      <c r="BL180" t="s">
        <v>243</v>
      </c>
      <c r="BM180" t="s">
        <v>243</v>
      </c>
      <c r="BN180" t="s">
        <v>243</v>
      </c>
      <c r="BO180" t="s">
        <v>243</v>
      </c>
      <c r="BP180" t="s">
        <v>4413</v>
      </c>
      <c r="BQ180" t="s">
        <v>4414</v>
      </c>
      <c r="BR180" t="s">
        <v>4415</v>
      </c>
      <c r="BS180" t="s">
        <v>243</v>
      </c>
      <c r="BT180" t="s">
        <v>243</v>
      </c>
      <c r="BU180" t="s">
        <v>243</v>
      </c>
      <c r="BV180" t="s">
        <v>2829</v>
      </c>
      <c r="BW180" t="s">
        <v>243</v>
      </c>
      <c r="BX180" t="s">
        <v>243</v>
      </c>
      <c r="BY180" t="s">
        <v>243</v>
      </c>
      <c r="BZ180" t="s">
        <v>243</v>
      </c>
      <c r="CA180" t="s">
        <v>243</v>
      </c>
      <c r="CB180" t="s">
        <v>2829</v>
      </c>
      <c r="CC180" t="s">
        <v>243</v>
      </c>
      <c r="CD180" t="s">
        <v>243</v>
      </c>
      <c r="CE180" t="s">
        <v>243</v>
      </c>
      <c r="CF180" t="s">
        <v>243</v>
      </c>
      <c r="CG180" t="s">
        <v>243</v>
      </c>
      <c r="CH180" t="s">
        <v>2829</v>
      </c>
      <c r="CI180" t="s">
        <v>243</v>
      </c>
      <c r="CJ180" t="s">
        <v>243</v>
      </c>
      <c r="CK180" t="s">
        <v>243</v>
      </c>
      <c r="CL180" t="s">
        <v>243</v>
      </c>
      <c r="CM180" t="s">
        <v>243</v>
      </c>
      <c r="CN180" t="s">
        <v>2942</v>
      </c>
      <c r="CO180" t="s">
        <v>2843</v>
      </c>
      <c r="CP180" t="s">
        <v>2844</v>
      </c>
      <c r="CQ180" t="s">
        <v>430</v>
      </c>
      <c r="CR180" t="s">
        <v>2947</v>
      </c>
      <c r="CS180" t="s">
        <v>431</v>
      </c>
      <c r="CT180" t="s">
        <v>430</v>
      </c>
      <c r="CU180" t="s">
        <v>2948</v>
      </c>
      <c r="CV180" t="s">
        <v>2949</v>
      </c>
      <c r="CW180" t="s">
        <v>2947</v>
      </c>
      <c r="CX180" t="s">
        <v>2848</v>
      </c>
      <c r="CY180" t="s">
        <v>4416</v>
      </c>
    </row>
    <row r="181" spans="1:103" ht="11.25" customHeight="1">
      <c r="A181" t="s">
        <v>243</v>
      </c>
      <c r="B181" t="s">
        <v>243</v>
      </c>
      <c r="C181" t="s">
        <v>243</v>
      </c>
      <c r="D181" t="s">
        <v>243</v>
      </c>
      <c r="E181" t="s">
        <v>243</v>
      </c>
      <c r="F181" t="s">
        <v>2816</v>
      </c>
      <c r="G181" t="s">
        <v>243</v>
      </c>
      <c r="H181" t="s">
        <v>243</v>
      </c>
      <c r="I181" t="s">
        <v>4417</v>
      </c>
      <c r="J181" t="s">
        <v>243</v>
      </c>
      <c r="K181" t="s">
        <v>4418</v>
      </c>
      <c r="L181" t="s">
        <v>243</v>
      </c>
      <c r="M181" t="s">
        <v>114</v>
      </c>
      <c r="N181" t="s">
        <v>243</v>
      </c>
      <c r="O181" t="s">
        <v>2819</v>
      </c>
      <c r="P181" t="s">
        <v>2820</v>
      </c>
      <c r="Q181" t="s">
        <v>2821</v>
      </c>
      <c r="R181" t="s">
        <v>200</v>
      </c>
      <c r="S181" t="s">
        <v>200</v>
      </c>
      <c r="T181" t="s">
        <v>2968</v>
      </c>
      <c r="U181" t="s">
        <v>2968</v>
      </c>
      <c r="V181" t="s">
        <v>2969</v>
      </c>
      <c r="W181" t="s">
        <v>4261</v>
      </c>
      <c r="X181" t="s">
        <v>4262</v>
      </c>
      <c r="Y181" t="s">
        <v>2929</v>
      </c>
      <c r="Z181" t="s">
        <v>3141</v>
      </c>
      <c r="AA181" t="s">
        <v>4419</v>
      </c>
      <c r="AB181" t="s">
        <v>3193</v>
      </c>
      <c r="AC181" t="s">
        <v>2829</v>
      </c>
      <c r="AD181" t="s">
        <v>2883</v>
      </c>
      <c r="AE181" t="s">
        <v>2857</v>
      </c>
      <c r="AF181" t="s">
        <v>4420</v>
      </c>
      <c r="AG181" t="s">
        <v>4420</v>
      </c>
      <c r="AH181" t="s">
        <v>2834</v>
      </c>
      <c r="AI181" t="s">
        <v>2835</v>
      </c>
      <c r="AJ181" t="s">
        <v>3572</v>
      </c>
      <c r="AK181" t="s">
        <v>2978</v>
      </c>
      <c r="AL181" t="s">
        <v>4419</v>
      </c>
      <c r="AM181" t="s">
        <v>3193</v>
      </c>
      <c r="AN181" t="s">
        <v>2829</v>
      </c>
      <c r="AO181" t="s">
        <v>2839</v>
      </c>
      <c r="AP181" t="s">
        <v>2840</v>
      </c>
      <c r="AQ181" t="s">
        <v>2841</v>
      </c>
      <c r="AR181" t="s">
        <v>4421</v>
      </c>
      <c r="AS181" t="s">
        <v>4421</v>
      </c>
      <c r="AT181" t="s">
        <v>2829</v>
      </c>
      <c r="AU181" t="s">
        <v>2829</v>
      </c>
      <c r="AV181" t="s">
        <v>2829</v>
      </c>
      <c r="AW181" t="s">
        <v>2829</v>
      </c>
      <c r="AX181" t="s">
        <v>2829</v>
      </c>
      <c r="AY181" t="s">
        <v>2829</v>
      </c>
      <c r="AZ181" t="s">
        <v>2829</v>
      </c>
      <c r="BA181" t="s">
        <v>2829</v>
      </c>
      <c r="BB181" t="s">
        <v>2829</v>
      </c>
      <c r="BC181" t="s">
        <v>2829</v>
      </c>
      <c r="BD181" t="s">
        <v>2829</v>
      </c>
      <c r="BE181" t="s">
        <v>243</v>
      </c>
      <c r="BF181" t="s">
        <v>243</v>
      </c>
      <c r="BG181" t="s">
        <v>243</v>
      </c>
      <c r="BH181" t="s">
        <v>243</v>
      </c>
      <c r="BI181" t="s">
        <v>243</v>
      </c>
      <c r="BJ181" t="s">
        <v>2829</v>
      </c>
      <c r="BK181" t="s">
        <v>243</v>
      </c>
      <c r="BL181" t="s">
        <v>243</v>
      </c>
      <c r="BM181" t="s">
        <v>243</v>
      </c>
      <c r="BN181" t="s">
        <v>243</v>
      </c>
      <c r="BO181" t="s">
        <v>243</v>
      </c>
      <c r="BP181" t="s">
        <v>4421</v>
      </c>
      <c r="BQ181" t="s">
        <v>4421</v>
      </c>
      <c r="BR181" t="s">
        <v>243</v>
      </c>
      <c r="BS181" t="s">
        <v>243</v>
      </c>
      <c r="BT181" t="s">
        <v>243</v>
      </c>
      <c r="BU181" t="s">
        <v>243</v>
      </c>
      <c r="BV181" t="s">
        <v>2829</v>
      </c>
      <c r="BW181" t="s">
        <v>243</v>
      </c>
      <c r="BX181" t="s">
        <v>243</v>
      </c>
      <c r="BY181" t="s">
        <v>243</v>
      </c>
      <c r="BZ181" t="s">
        <v>243</v>
      </c>
      <c r="CA181" t="s">
        <v>243</v>
      </c>
      <c r="CB181" t="s">
        <v>2829</v>
      </c>
      <c r="CC181" t="s">
        <v>243</v>
      </c>
      <c r="CD181" t="s">
        <v>243</v>
      </c>
      <c r="CE181" t="s">
        <v>243</v>
      </c>
      <c r="CF181" t="s">
        <v>243</v>
      </c>
      <c r="CG181" t="s">
        <v>243</v>
      </c>
      <c r="CH181" t="s">
        <v>2829</v>
      </c>
      <c r="CI181" t="s">
        <v>243</v>
      </c>
      <c r="CJ181" t="s">
        <v>243</v>
      </c>
      <c r="CK181" t="s">
        <v>243</v>
      </c>
      <c r="CL181" t="s">
        <v>243</v>
      </c>
      <c r="CM181" t="s">
        <v>243</v>
      </c>
      <c r="CN181" t="s">
        <v>3010</v>
      </c>
      <c r="CO181" t="s">
        <v>2843</v>
      </c>
      <c r="CP181" t="s">
        <v>2844</v>
      </c>
      <c r="CQ181" t="s">
        <v>430</v>
      </c>
      <c r="CR181" t="s">
        <v>2984</v>
      </c>
      <c r="CS181" t="s">
        <v>431</v>
      </c>
      <c r="CT181" t="s">
        <v>430</v>
      </c>
      <c r="CU181" t="s">
        <v>2985</v>
      </c>
      <c r="CV181" t="s">
        <v>2986</v>
      </c>
      <c r="CW181" t="s">
        <v>2984</v>
      </c>
      <c r="CX181" t="s">
        <v>2848</v>
      </c>
      <c r="CY181" t="s">
        <v>4422</v>
      </c>
    </row>
    <row r="182" spans="1:103" ht="11.25" customHeight="1">
      <c r="A182" t="s">
        <v>243</v>
      </c>
      <c r="B182" t="s">
        <v>243</v>
      </c>
      <c r="C182" t="s">
        <v>243</v>
      </c>
      <c r="D182" t="s">
        <v>243</v>
      </c>
      <c r="E182" t="s">
        <v>243</v>
      </c>
      <c r="F182" t="s">
        <v>2816</v>
      </c>
      <c r="G182" t="s">
        <v>243</v>
      </c>
      <c r="H182" t="s">
        <v>243</v>
      </c>
      <c r="I182" t="s">
        <v>4423</v>
      </c>
      <c r="J182" t="s">
        <v>243</v>
      </c>
      <c r="K182" t="s">
        <v>4424</v>
      </c>
      <c r="L182" t="s">
        <v>243</v>
      </c>
      <c r="M182" t="s">
        <v>114</v>
      </c>
      <c r="N182" t="s">
        <v>243</v>
      </c>
      <c r="O182" t="s">
        <v>2819</v>
      </c>
      <c r="P182" t="s">
        <v>2820</v>
      </c>
      <c r="Q182" t="s">
        <v>2821</v>
      </c>
      <c r="R182" t="s">
        <v>200</v>
      </c>
      <c r="S182" t="s">
        <v>200</v>
      </c>
      <c r="T182" t="s">
        <v>2968</v>
      </c>
      <c r="U182" t="s">
        <v>2968</v>
      </c>
      <c r="V182" t="s">
        <v>2969</v>
      </c>
      <c r="W182" t="s">
        <v>3508</v>
      </c>
      <c r="X182" t="s">
        <v>3509</v>
      </c>
      <c r="Y182" t="s">
        <v>3610</v>
      </c>
      <c r="Z182" t="s">
        <v>4425</v>
      </c>
      <c r="AA182" t="s">
        <v>3664</v>
      </c>
      <c r="AB182" t="s">
        <v>4426</v>
      </c>
      <c r="AC182" t="s">
        <v>2829</v>
      </c>
      <c r="AD182" t="s">
        <v>2883</v>
      </c>
      <c r="AE182" t="s">
        <v>2975</v>
      </c>
      <c r="AF182" t="s">
        <v>4427</v>
      </c>
      <c r="AG182" t="s">
        <v>4427</v>
      </c>
      <c r="AH182" t="s">
        <v>2834</v>
      </c>
      <c r="AI182" t="s">
        <v>2835</v>
      </c>
      <c r="AJ182" t="s">
        <v>2983</v>
      </c>
      <c r="AK182" t="s">
        <v>2978</v>
      </c>
      <c r="AL182" t="s">
        <v>3664</v>
      </c>
      <c r="AM182" t="s">
        <v>4426</v>
      </c>
      <c r="AN182" t="s">
        <v>2829</v>
      </c>
      <c r="AO182" t="s">
        <v>2839</v>
      </c>
      <c r="AP182" t="s">
        <v>2840</v>
      </c>
      <c r="AQ182" t="s">
        <v>2841</v>
      </c>
      <c r="AR182" t="s">
        <v>3260</v>
      </c>
      <c r="AS182" t="s">
        <v>3260</v>
      </c>
      <c r="AT182" t="s">
        <v>2829</v>
      </c>
      <c r="AU182" t="s">
        <v>2829</v>
      </c>
      <c r="AV182" t="s">
        <v>2829</v>
      </c>
      <c r="AW182" t="s">
        <v>2829</v>
      </c>
      <c r="AX182" t="s">
        <v>2829</v>
      </c>
      <c r="AY182" t="s">
        <v>2829</v>
      </c>
      <c r="AZ182" t="s">
        <v>2829</v>
      </c>
      <c r="BA182" t="s">
        <v>2829</v>
      </c>
      <c r="BB182" t="s">
        <v>2829</v>
      </c>
      <c r="BC182" t="s">
        <v>2829</v>
      </c>
      <c r="BD182" t="s">
        <v>2829</v>
      </c>
      <c r="BE182" t="s">
        <v>243</v>
      </c>
      <c r="BF182" t="s">
        <v>243</v>
      </c>
      <c r="BG182" t="s">
        <v>243</v>
      </c>
      <c r="BH182" t="s">
        <v>243</v>
      </c>
      <c r="BI182" t="s">
        <v>243</v>
      </c>
      <c r="BJ182" t="s">
        <v>2829</v>
      </c>
      <c r="BK182" t="s">
        <v>243</v>
      </c>
      <c r="BL182" t="s">
        <v>243</v>
      </c>
      <c r="BM182" t="s">
        <v>243</v>
      </c>
      <c r="BN182" t="s">
        <v>243</v>
      </c>
      <c r="BO182" t="s">
        <v>243</v>
      </c>
      <c r="BP182" t="s">
        <v>3260</v>
      </c>
      <c r="BQ182" t="s">
        <v>3260</v>
      </c>
      <c r="BR182" t="s">
        <v>243</v>
      </c>
      <c r="BS182" t="s">
        <v>243</v>
      </c>
      <c r="BT182" t="s">
        <v>243</v>
      </c>
      <c r="BU182" t="s">
        <v>243</v>
      </c>
      <c r="BV182" t="s">
        <v>2829</v>
      </c>
      <c r="BW182" t="s">
        <v>243</v>
      </c>
      <c r="BX182" t="s">
        <v>243</v>
      </c>
      <c r="BY182" t="s">
        <v>243</v>
      </c>
      <c r="BZ182" t="s">
        <v>243</v>
      </c>
      <c r="CA182" t="s">
        <v>243</v>
      </c>
      <c r="CB182" t="s">
        <v>2829</v>
      </c>
      <c r="CC182" t="s">
        <v>243</v>
      </c>
      <c r="CD182" t="s">
        <v>243</v>
      </c>
      <c r="CE182" t="s">
        <v>243</v>
      </c>
      <c r="CF182" t="s">
        <v>243</v>
      </c>
      <c r="CG182" t="s">
        <v>243</v>
      </c>
      <c r="CH182" t="s">
        <v>2829</v>
      </c>
      <c r="CI182" t="s">
        <v>243</v>
      </c>
      <c r="CJ182" t="s">
        <v>243</v>
      </c>
      <c r="CK182" t="s">
        <v>243</v>
      </c>
      <c r="CL182" t="s">
        <v>243</v>
      </c>
      <c r="CM182" t="s">
        <v>243</v>
      </c>
      <c r="CN182" t="s">
        <v>3010</v>
      </c>
      <c r="CO182" t="s">
        <v>2843</v>
      </c>
      <c r="CP182" t="s">
        <v>2844</v>
      </c>
      <c r="CQ182" t="s">
        <v>430</v>
      </c>
      <c r="CR182" t="s">
        <v>2984</v>
      </c>
      <c r="CS182" t="s">
        <v>431</v>
      </c>
      <c r="CT182" t="s">
        <v>430</v>
      </c>
      <c r="CU182" t="s">
        <v>2985</v>
      </c>
      <c r="CV182" t="s">
        <v>2986</v>
      </c>
      <c r="CW182" t="s">
        <v>2984</v>
      </c>
      <c r="CX182" t="s">
        <v>2848</v>
      </c>
      <c r="CY182" t="s">
        <v>4428</v>
      </c>
    </row>
    <row r="183" spans="1:103" ht="11.25" customHeight="1">
      <c r="A183" t="s">
        <v>243</v>
      </c>
      <c r="B183" t="s">
        <v>243</v>
      </c>
      <c r="C183" t="s">
        <v>243</v>
      </c>
      <c r="D183" t="s">
        <v>243</v>
      </c>
      <c r="E183" t="s">
        <v>243</v>
      </c>
      <c r="F183" t="s">
        <v>2816</v>
      </c>
      <c r="G183" t="s">
        <v>243</v>
      </c>
      <c r="H183" t="s">
        <v>243</v>
      </c>
      <c r="I183" t="s">
        <v>4429</v>
      </c>
      <c r="J183" t="s">
        <v>243</v>
      </c>
      <c r="K183" t="s">
        <v>428</v>
      </c>
      <c r="L183" t="s">
        <v>243</v>
      </c>
      <c r="M183" t="s">
        <v>114</v>
      </c>
      <c r="N183" t="s">
        <v>243</v>
      </c>
      <c r="O183" t="s">
        <v>2819</v>
      </c>
      <c r="P183" t="s">
        <v>2820</v>
      </c>
      <c r="Q183" t="s">
        <v>2821</v>
      </c>
      <c r="R183" t="s">
        <v>200</v>
      </c>
      <c r="S183" t="s">
        <v>200</v>
      </c>
      <c r="T183" t="s">
        <v>3022</v>
      </c>
      <c r="U183" t="s">
        <v>3022</v>
      </c>
      <c r="V183" t="s">
        <v>3023</v>
      </c>
      <c r="W183" t="s">
        <v>3431</v>
      </c>
      <c r="X183" t="s">
        <v>3432</v>
      </c>
      <c r="Y183" t="s">
        <v>4430</v>
      </c>
      <c r="Z183" t="s">
        <v>4431</v>
      </c>
      <c r="AA183" t="s">
        <v>4432</v>
      </c>
      <c r="AB183" t="s">
        <v>4433</v>
      </c>
      <c r="AC183" t="s">
        <v>2829</v>
      </c>
      <c r="AD183" t="s">
        <v>2883</v>
      </c>
      <c r="AE183" t="s">
        <v>2831</v>
      </c>
      <c r="AF183" t="s">
        <v>4434</v>
      </c>
      <c r="AG183" t="s">
        <v>4434</v>
      </c>
      <c r="AH183" t="s">
        <v>2834</v>
      </c>
      <c r="AI183" t="s">
        <v>2835</v>
      </c>
      <c r="AJ183" t="s">
        <v>2997</v>
      </c>
      <c r="AK183" t="s">
        <v>4435</v>
      </c>
      <c r="AL183" t="s">
        <v>4432</v>
      </c>
      <c r="AM183" t="s">
        <v>4433</v>
      </c>
      <c r="AN183" t="s">
        <v>2829</v>
      </c>
      <c r="AO183" t="s">
        <v>2839</v>
      </c>
      <c r="AP183" t="s">
        <v>2840</v>
      </c>
      <c r="AQ183" t="s">
        <v>2841</v>
      </c>
      <c r="AR183" t="s">
        <v>4436</v>
      </c>
      <c r="AS183" t="s">
        <v>4437</v>
      </c>
      <c r="AT183" t="s">
        <v>3659</v>
      </c>
      <c r="AU183" t="s">
        <v>2829</v>
      </c>
      <c r="AV183" t="s">
        <v>2829</v>
      </c>
      <c r="AW183" t="s">
        <v>2829</v>
      </c>
      <c r="AX183" t="s">
        <v>2829</v>
      </c>
      <c r="AY183" t="s">
        <v>2829</v>
      </c>
      <c r="AZ183" t="s">
        <v>2829</v>
      </c>
      <c r="BA183" t="s">
        <v>2829</v>
      </c>
      <c r="BB183" t="s">
        <v>2829</v>
      </c>
      <c r="BC183" t="s">
        <v>2829</v>
      </c>
      <c r="BD183" t="s">
        <v>4438</v>
      </c>
      <c r="BE183" t="s">
        <v>4439</v>
      </c>
      <c r="BF183" t="s">
        <v>3142</v>
      </c>
      <c r="BG183" t="s">
        <v>243</v>
      </c>
      <c r="BH183" t="s">
        <v>243</v>
      </c>
      <c r="BI183" t="s">
        <v>243</v>
      </c>
      <c r="BJ183" t="s">
        <v>2829</v>
      </c>
      <c r="BK183" t="s">
        <v>243</v>
      </c>
      <c r="BL183" t="s">
        <v>243</v>
      </c>
      <c r="BM183" t="s">
        <v>243</v>
      </c>
      <c r="BN183" t="s">
        <v>243</v>
      </c>
      <c r="BO183" t="s">
        <v>243</v>
      </c>
      <c r="BP183" t="s">
        <v>4440</v>
      </c>
      <c r="BQ183" t="s">
        <v>2939</v>
      </c>
      <c r="BR183" t="s">
        <v>3332</v>
      </c>
      <c r="BS183" t="s">
        <v>243</v>
      </c>
      <c r="BT183" t="s">
        <v>243</v>
      </c>
      <c r="BU183" t="s">
        <v>243</v>
      </c>
      <c r="BV183" t="s">
        <v>2829</v>
      </c>
      <c r="BW183" t="s">
        <v>243</v>
      </c>
      <c r="BX183" t="s">
        <v>243</v>
      </c>
      <c r="BY183" t="s">
        <v>243</v>
      </c>
      <c r="BZ183" t="s">
        <v>243</v>
      </c>
      <c r="CA183" t="s">
        <v>243</v>
      </c>
      <c r="CB183" t="s">
        <v>4441</v>
      </c>
      <c r="CC183" t="s">
        <v>4441</v>
      </c>
      <c r="CD183" t="s">
        <v>243</v>
      </c>
      <c r="CE183" t="s">
        <v>243</v>
      </c>
      <c r="CF183" t="s">
        <v>243</v>
      </c>
      <c r="CG183" t="s">
        <v>243</v>
      </c>
      <c r="CH183" t="s">
        <v>2829</v>
      </c>
      <c r="CI183" t="s">
        <v>243</v>
      </c>
      <c r="CJ183" t="s">
        <v>243</v>
      </c>
      <c r="CK183" t="s">
        <v>243</v>
      </c>
      <c r="CL183" t="s">
        <v>243</v>
      </c>
      <c r="CM183" t="s">
        <v>243</v>
      </c>
      <c r="CN183" t="s">
        <v>3030</v>
      </c>
      <c r="CO183" t="s">
        <v>2843</v>
      </c>
      <c r="CP183" t="s">
        <v>2844</v>
      </c>
      <c r="CQ183" t="s">
        <v>430</v>
      </c>
      <c r="CR183" t="s">
        <v>3033</v>
      </c>
      <c r="CS183" t="s">
        <v>431</v>
      </c>
      <c r="CT183" t="s">
        <v>430</v>
      </c>
      <c r="CU183" t="s">
        <v>3034</v>
      </c>
      <c r="CV183" t="s">
        <v>432</v>
      </c>
      <c r="CW183" t="s">
        <v>3033</v>
      </c>
      <c r="CX183" t="s">
        <v>2848</v>
      </c>
      <c r="CY183" t="s">
        <v>4442</v>
      </c>
    </row>
    <row r="184" spans="1:103" ht="11.25" customHeight="1">
      <c r="A184" t="s">
        <v>243</v>
      </c>
      <c r="B184" t="s">
        <v>243</v>
      </c>
      <c r="C184" t="s">
        <v>243</v>
      </c>
      <c r="D184" t="s">
        <v>243</v>
      </c>
      <c r="E184" t="s">
        <v>243</v>
      </c>
      <c r="F184" t="s">
        <v>2816</v>
      </c>
      <c r="G184" t="s">
        <v>243</v>
      </c>
      <c r="H184" t="s">
        <v>243</v>
      </c>
      <c r="I184" t="s">
        <v>4443</v>
      </c>
      <c r="J184" t="s">
        <v>243</v>
      </c>
      <c r="K184" t="s">
        <v>452</v>
      </c>
      <c r="L184" t="s">
        <v>243</v>
      </c>
      <c r="M184" t="s">
        <v>114</v>
      </c>
      <c r="N184" t="s">
        <v>243</v>
      </c>
      <c r="O184" t="s">
        <v>2819</v>
      </c>
      <c r="P184" t="s">
        <v>2820</v>
      </c>
      <c r="Q184" t="s">
        <v>2821</v>
      </c>
      <c r="R184" t="s">
        <v>200</v>
      </c>
      <c r="S184" t="s">
        <v>200</v>
      </c>
      <c r="T184" t="s">
        <v>3022</v>
      </c>
      <c r="U184" t="s">
        <v>3022</v>
      </c>
      <c r="V184" t="s">
        <v>3023</v>
      </c>
      <c r="W184" t="s">
        <v>3431</v>
      </c>
      <c r="X184" t="s">
        <v>3432</v>
      </c>
      <c r="Y184" t="s">
        <v>4430</v>
      </c>
      <c r="Z184" t="s">
        <v>4207</v>
      </c>
      <c r="AA184" t="s">
        <v>4444</v>
      </c>
      <c r="AB184" t="s">
        <v>3490</v>
      </c>
      <c r="AC184" t="s">
        <v>2829</v>
      </c>
      <c r="AD184" t="s">
        <v>2883</v>
      </c>
      <c r="AE184" t="s">
        <v>2831</v>
      </c>
      <c r="AF184" t="s">
        <v>4445</v>
      </c>
      <c r="AG184" t="s">
        <v>4445</v>
      </c>
      <c r="AH184" t="s">
        <v>2834</v>
      </c>
      <c r="AI184" t="s">
        <v>2835</v>
      </c>
      <c r="AJ184" t="s">
        <v>3661</v>
      </c>
      <c r="AK184" t="s">
        <v>3751</v>
      </c>
      <c r="AL184" t="s">
        <v>4444</v>
      </c>
      <c r="AM184" t="s">
        <v>3490</v>
      </c>
      <c r="AN184" t="s">
        <v>2829</v>
      </c>
      <c r="AO184" t="s">
        <v>2839</v>
      </c>
      <c r="AP184" t="s">
        <v>2840</v>
      </c>
      <c r="AQ184" t="s">
        <v>2841</v>
      </c>
      <c r="AR184" t="s">
        <v>4446</v>
      </c>
      <c r="AS184" t="s">
        <v>4446</v>
      </c>
      <c r="AT184" t="s">
        <v>2829</v>
      </c>
      <c r="AU184" t="s">
        <v>2829</v>
      </c>
      <c r="AV184" t="s">
        <v>2829</v>
      </c>
      <c r="AW184" t="s">
        <v>2829</v>
      </c>
      <c r="AX184" t="s">
        <v>2829</v>
      </c>
      <c r="AY184" t="s">
        <v>2829</v>
      </c>
      <c r="AZ184" t="s">
        <v>2829</v>
      </c>
      <c r="BA184" t="s">
        <v>2829</v>
      </c>
      <c r="BB184" t="s">
        <v>2829</v>
      </c>
      <c r="BC184" t="s">
        <v>2829</v>
      </c>
      <c r="BD184" t="s">
        <v>4446</v>
      </c>
      <c r="BE184" t="s">
        <v>4446</v>
      </c>
      <c r="BF184" t="s">
        <v>243</v>
      </c>
      <c r="BG184" t="s">
        <v>243</v>
      </c>
      <c r="BH184" t="s">
        <v>243</v>
      </c>
      <c r="BI184" t="s">
        <v>243</v>
      </c>
      <c r="BJ184" t="s">
        <v>2829</v>
      </c>
      <c r="BK184" t="s">
        <v>243</v>
      </c>
      <c r="BL184" t="s">
        <v>243</v>
      </c>
      <c r="BM184" t="s">
        <v>243</v>
      </c>
      <c r="BN184" t="s">
        <v>243</v>
      </c>
      <c r="BO184" t="s">
        <v>243</v>
      </c>
      <c r="BP184" t="s">
        <v>2829</v>
      </c>
      <c r="BQ184" t="s">
        <v>243</v>
      </c>
      <c r="BR184" t="s">
        <v>243</v>
      </c>
      <c r="BS184" t="s">
        <v>243</v>
      </c>
      <c r="BT184" t="s">
        <v>243</v>
      </c>
      <c r="BU184" t="s">
        <v>243</v>
      </c>
      <c r="BV184" t="s">
        <v>2829</v>
      </c>
      <c r="BW184" t="s">
        <v>243</v>
      </c>
      <c r="BX184" t="s">
        <v>243</v>
      </c>
      <c r="BY184" t="s">
        <v>243</v>
      </c>
      <c r="BZ184" t="s">
        <v>243</v>
      </c>
      <c r="CA184" t="s">
        <v>243</v>
      </c>
      <c r="CB184" t="s">
        <v>2829</v>
      </c>
      <c r="CC184" t="s">
        <v>243</v>
      </c>
      <c r="CD184" t="s">
        <v>243</v>
      </c>
      <c r="CE184" t="s">
        <v>243</v>
      </c>
      <c r="CF184" t="s">
        <v>243</v>
      </c>
      <c r="CG184" t="s">
        <v>243</v>
      </c>
      <c r="CH184" t="s">
        <v>2829</v>
      </c>
      <c r="CI184" t="s">
        <v>243</v>
      </c>
      <c r="CJ184" t="s">
        <v>243</v>
      </c>
      <c r="CK184" t="s">
        <v>243</v>
      </c>
      <c r="CL184" t="s">
        <v>243</v>
      </c>
      <c r="CM184" t="s">
        <v>243</v>
      </c>
      <c r="CN184" t="s">
        <v>3041</v>
      </c>
      <c r="CO184" t="s">
        <v>2843</v>
      </c>
      <c r="CP184" t="s">
        <v>2844</v>
      </c>
      <c r="CQ184" t="s">
        <v>430</v>
      </c>
      <c r="CR184" t="s">
        <v>3033</v>
      </c>
      <c r="CS184" t="s">
        <v>431</v>
      </c>
      <c r="CT184" t="s">
        <v>430</v>
      </c>
      <c r="CU184" t="s">
        <v>3034</v>
      </c>
      <c r="CV184" t="s">
        <v>432</v>
      </c>
      <c r="CW184" t="s">
        <v>3033</v>
      </c>
      <c r="CX184" t="s">
        <v>2848</v>
      </c>
      <c r="CY184" t="s">
        <v>4447</v>
      </c>
    </row>
    <row r="185" spans="1:103" ht="11.25" customHeight="1">
      <c r="A185" t="s">
        <v>243</v>
      </c>
      <c r="B185" t="s">
        <v>243</v>
      </c>
      <c r="C185" t="s">
        <v>243</v>
      </c>
      <c r="D185" t="s">
        <v>243</v>
      </c>
      <c r="E185" t="s">
        <v>243</v>
      </c>
      <c r="F185" t="s">
        <v>2816</v>
      </c>
      <c r="G185" t="s">
        <v>243</v>
      </c>
      <c r="H185" t="s">
        <v>243</v>
      </c>
      <c r="I185" t="s">
        <v>4308</v>
      </c>
      <c r="J185" t="s">
        <v>243</v>
      </c>
      <c r="K185" t="s">
        <v>3178</v>
      </c>
      <c r="L185" t="s">
        <v>243</v>
      </c>
      <c r="M185" t="s">
        <v>114</v>
      </c>
      <c r="N185" t="s">
        <v>243</v>
      </c>
      <c r="O185" t="s">
        <v>3356</v>
      </c>
      <c r="P185" t="s">
        <v>4448</v>
      </c>
      <c r="Q185" t="s">
        <v>2821</v>
      </c>
      <c r="R185" t="s">
        <v>190</v>
      </c>
      <c r="S185" t="s">
        <v>190</v>
      </c>
      <c r="T185" t="s">
        <v>2968</v>
      </c>
      <c r="U185" t="s">
        <v>2968</v>
      </c>
      <c r="V185" t="s">
        <v>2969</v>
      </c>
      <c r="W185" t="s">
        <v>4309</v>
      </c>
      <c r="X185" t="s">
        <v>4310</v>
      </c>
      <c r="Y185" t="s">
        <v>3321</v>
      </c>
      <c r="Z185" t="s">
        <v>4311</v>
      </c>
      <c r="AA185" t="s">
        <v>3117</v>
      </c>
      <c r="AB185" t="s">
        <v>3511</v>
      </c>
      <c r="AC185" t="s">
        <v>2829</v>
      </c>
      <c r="AD185" t="s">
        <v>2883</v>
      </c>
      <c r="AE185" t="s">
        <v>2857</v>
      </c>
      <c r="AF185" t="s">
        <v>4312</v>
      </c>
      <c r="AG185" t="s">
        <v>4312</v>
      </c>
      <c r="AH185" t="s">
        <v>2834</v>
      </c>
      <c r="AI185" t="s">
        <v>2835</v>
      </c>
      <c r="AJ185" t="s">
        <v>3446</v>
      </c>
      <c r="AK185" t="s">
        <v>4044</v>
      </c>
      <c r="AL185" t="s">
        <v>243</v>
      </c>
      <c r="AM185" t="s">
        <v>243</v>
      </c>
      <c r="AN185" t="s">
        <v>243</v>
      </c>
      <c r="AR185" t="s">
        <v>243</v>
      </c>
      <c r="AS185" t="s">
        <v>243</v>
      </c>
      <c r="AT185" t="s">
        <v>243</v>
      </c>
      <c r="AU185" t="s">
        <v>243</v>
      </c>
      <c r="AV185" t="s">
        <v>243</v>
      </c>
      <c r="AW185" t="s">
        <v>243</v>
      </c>
      <c r="AX185" t="s">
        <v>243</v>
      </c>
      <c r="AY185" t="s">
        <v>243</v>
      </c>
      <c r="AZ185" t="s">
        <v>243</v>
      </c>
      <c r="BA185" t="s">
        <v>243</v>
      </c>
      <c r="BB185" t="s">
        <v>243</v>
      </c>
      <c r="BC185" t="s">
        <v>243</v>
      </c>
      <c r="BD185" t="s">
        <v>243</v>
      </c>
      <c r="BE185" t="s">
        <v>243</v>
      </c>
      <c r="BF185" t="s">
        <v>243</v>
      </c>
      <c r="BG185" t="s">
        <v>243</v>
      </c>
      <c r="BH185" t="s">
        <v>243</v>
      </c>
      <c r="BI185" t="s">
        <v>243</v>
      </c>
      <c r="BJ185" t="s">
        <v>243</v>
      </c>
      <c r="BK185" t="s">
        <v>243</v>
      </c>
      <c r="BL185" t="s">
        <v>243</v>
      </c>
      <c r="BM185" t="s">
        <v>243</v>
      </c>
      <c r="BN185" t="s">
        <v>243</v>
      </c>
      <c r="BO185" t="s">
        <v>243</v>
      </c>
      <c r="BP185" t="s">
        <v>243</v>
      </c>
      <c r="BQ185" t="s">
        <v>243</v>
      </c>
      <c r="BR185" t="s">
        <v>243</v>
      </c>
      <c r="BS185" t="s">
        <v>243</v>
      </c>
      <c r="BT185" t="s">
        <v>243</v>
      </c>
      <c r="BU185" t="s">
        <v>243</v>
      </c>
      <c r="BV185" t="s">
        <v>243</v>
      </c>
      <c r="BW185" t="s">
        <v>243</v>
      </c>
      <c r="BX185" t="s">
        <v>243</v>
      </c>
      <c r="BY185" t="s">
        <v>243</v>
      </c>
      <c r="BZ185" t="s">
        <v>243</v>
      </c>
      <c r="CA185" t="s">
        <v>243</v>
      </c>
      <c r="CB185" t="s">
        <v>243</v>
      </c>
      <c r="CC185" t="s">
        <v>243</v>
      </c>
      <c r="CD185" t="s">
        <v>243</v>
      </c>
      <c r="CE185" t="s">
        <v>243</v>
      </c>
      <c r="CF185" t="s">
        <v>243</v>
      </c>
      <c r="CG185" t="s">
        <v>243</v>
      </c>
      <c r="CH185" t="s">
        <v>243</v>
      </c>
      <c r="CI185" t="s">
        <v>243</v>
      </c>
      <c r="CJ185" t="s">
        <v>243</v>
      </c>
      <c r="CK185" t="s">
        <v>243</v>
      </c>
      <c r="CL185" t="s">
        <v>243</v>
      </c>
      <c r="CM185" t="s">
        <v>243</v>
      </c>
      <c r="CN185" t="s">
        <v>243</v>
      </c>
      <c r="CO185" t="s">
        <v>2843</v>
      </c>
      <c r="CP185" t="s">
        <v>2844</v>
      </c>
      <c r="CQ185" t="s">
        <v>430</v>
      </c>
      <c r="CR185" t="s">
        <v>2984</v>
      </c>
      <c r="CS185" t="s">
        <v>431</v>
      </c>
      <c r="CT185" t="s">
        <v>430</v>
      </c>
      <c r="CU185" t="s">
        <v>2985</v>
      </c>
      <c r="CV185" t="s">
        <v>2986</v>
      </c>
      <c r="CW185" t="s">
        <v>2984</v>
      </c>
      <c r="CX185" t="s">
        <v>2848</v>
      </c>
      <c r="CY185" t="s">
        <v>4313</v>
      </c>
    </row>
    <row r="186" spans="1:103" ht="11.25" customHeight="1">
      <c r="A186" t="s">
        <v>243</v>
      </c>
      <c r="B186" t="s">
        <v>243</v>
      </c>
      <c r="C186" t="s">
        <v>243</v>
      </c>
      <c r="D186" t="s">
        <v>243</v>
      </c>
      <c r="E186" t="s">
        <v>243</v>
      </c>
      <c r="F186" t="s">
        <v>2816</v>
      </c>
      <c r="G186" t="s">
        <v>243</v>
      </c>
      <c r="H186" t="s">
        <v>243</v>
      </c>
      <c r="I186" t="s">
        <v>3355</v>
      </c>
      <c r="J186" t="s">
        <v>243</v>
      </c>
      <c r="K186" t="s">
        <v>428</v>
      </c>
      <c r="L186" t="s">
        <v>243</v>
      </c>
      <c r="M186" t="s">
        <v>114</v>
      </c>
      <c r="N186" t="s">
        <v>243</v>
      </c>
      <c r="O186" t="s">
        <v>3356</v>
      </c>
      <c r="P186" t="s">
        <v>4449</v>
      </c>
      <c r="Q186" t="s">
        <v>2821</v>
      </c>
      <c r="R186" t="s">
        <v>190</v>
      </c>
      <c r="S186" t="s">
        <v>190</v>
      </c>
      <c r="T186" t="s">
        <v>405</v>
      </c>
      <c r="U186" t="s">
        <v>405</v>
      </c>
      <c r="V186" t="s">
        <v>406</v>
      </c>
      <c r="W186" t="s">
        <v>3155</v>
      </c>
      <c r="X186" t="s">
        <v>3156</v>
      </c>
      <c r="Y186" t="s">
        <v>3357</v>
      </c>
      <c r="Z186" t="s">
        <v>3358</v>
      </c>
      <c r="AA186" t="s">
        <v>4450</v>
      </c>
      <c r="AB186" t="s">
        <v>3111</v>
      </c>
      <c r="AC186" t="s">
        <v>3160</v>
      </c>
      <c r="AD186" t="s">
        <v>2883</v>
      </c>
      <c r="AE186" t="s">
        <v>2831</v>
      </c>
      <c r="AF186" t="s">
        <v>3161</v>
      </c>
      <c r="AG186" t="s">
        <v>3162</v>
      </c>
      <c r="AH186" t="s">
        <v>2834</v>
      </c>
      <c r="AI186" t="s">
        <v>2835</v>
      </c>
      <c r="AJ186" t="s">
        <v>2829</v>
      </c>
      <c r="AK186" t="s">
        <v>3360</v>
      </c>
      <c r="AL186" t="s">
        <v>243</v>
      </c>
      <c r="AM186" t="s">
        <v>243</v>
      </c>
      <c r="AN186" t="s">
        <v>243</v>
      </c>
      <c r="AR186" t="s">
        <v>243</v>
      </c>
      <c r="AS186" t="s">
        <v>243</v>
      </c>
      <c r="AT186" t="s">
        <v>243</v>
      </c>
      <c r="AU186" t="s">
        <v>243</v>
      </c>
      <c r="AV186" t="s">
        <v>243</v>
      </c>
      <c r="AW186" t="s">
        <v>243</v>
      </c>
      <c r="AX186" t="s">
        <v>243</v>
      </c>
      <c r="AY186" t="s">
        <v>243</v>
      </c>
      <c r="AZ186" t="s">
        <v>243</v>
      </c>
      <c r="BA186" t="s">
        <v>243</v>
      </c>
      <c r="BB186" t="s">
        <v>243</v>
      </c>
      <c r="BC186" t="s">
        <v>243</v>
      </c>
      <c r="BD186" t="s">
        <v>243</v>
      </c>
      <c r="BE186" t="s">
        <v>243</v>
      </c>
      <c r="BF186" t="s">
        <v>243</v>
      </c>
      <c r="BG186" t="s">
        <v>243</v>
      </c>
      <c r="BH186" t="s">
        <v>243</v>
      </c>
      <c r="BI186" t="s">
        <v>243</v>
      </c>
      <c r="BJ186" t="s">
        <v>243</v>
      </c>
      <c r="BK186" t="s">
        <v>243</v>
      </c>
      <c r="BL186" t="s">
        <v>243</v>
      </c>
      <c r="BM186" t="s">
        <v>243</v>
      </c>
      <c r="BN186" t="s">
        <v>243</v>
      </c>
      <c r="BO186" t="s">
        <v>243</v>
      </c>
      <c r="BP186" t="s">
        <v>243</v>
      </c>
      <c r="BQ186" t="s">
        <v>243</v>
      </c>
      <c r="BR186" t="s">
        <v>243</v>
      </c>
      <c r="BS186" t="s">
        <v>243</v>
      </c>
      <c r="BT186" t="s">
        <v>243</v>
      </c>
      <c r="BU186" t="s">
        <v>243</v>
      </c>
      <c r="BV186" t="s">
        <v>243</v>
      </c>
      <c r="BW186" t="s">
        <v>243</v>
      </c>
      <c r="BX186" t="s">
        <v>243</v>
      </c>
      <c r="BY186" t="s">
        <v>243</v>
      </c>
      <c r="BZ186" t="s">
        <v>243</v>
      </c>
      <c r="CA186" t="s">
        <v>243</v>
      </c>
      <c r="CB186" t="s">
        <v>243</v>
      </c>
      <c r="CC186" t="s">
        <v>243</v>
      </c>
      <c r="CD186" t="s">
        <v>243</v>
      </c>
      <c r="CE186" t="s">
        <v>243</v>
      </c>
      <c r="CF186" t="s">
        <v>243</v>
      </c>
      <c r="CG186" t="s">
        <v>243</v>
      </c>
      <c r="CH186" t="s">
        <v>243</v>
      </c>
      <c r="CI186" t="s">
        <v>243</v>
      </c>
      <c r="CJ186" t="s">
        <v>243</v>
      </c>
      <c r="CK186" t="s">
        <v>243</v>
      </c>
      <c r="CL186" t="s">
        <v>243</v>
      </c>
      <c r="CM186" t="s">
        <v>243</v>
      </c>
      <c r="CN186" t="s">
        <v>243</v>
      </c>
      <c r="CO186" t="s">
        <v>2843</v>
      </c>
      <c r="CP186" t="s">
        <v>2844</v>
      </c>
      <c r="CQ186" t="s">
        <v>430</v>
      </c>
      <c r="CR186" t="s">
        <v>3361</v>
      </c>
      <c r="CS186" t="s">
        <v>431</v>
      </c>
      <c r="CT186" t="s">
        <v>430</v>
      </c>
      <c r="CU186" t="s">
        <v>268</v>
      </c>
      <c r="CV186" t="s">
        <v>432</v>
      </c>
      <c r="CW186" t="s">
        <v>3361</v>
      </c>
      <c r="CX186" t="s">
        <v>2848</v>
      </c>
      <c r="CY186" t="s">
        <v>429</v>
      </c>
    </row>
    <row r="187" spans="1:103" ht="11.25" customHeight="1">
      <c r="A187" t="s">
        <v>243</v>
      </c>
      <c r="B187" t="s">
        <v>243</v>
      </c>
      <c r="C187" t="s">
        <v>243</v>
      </c>
      <c r="D187" t="s">
        <v>243</v>
      </c>
      <c r="E187" t="s">
        <v>243</v>
      </c>
      <c r="F187" t="s">
        <v>2816</v>
      </c>
      <c r="G187" t="s">
        <v>243</v>
      </c>
      <c r="H187" t="s">
        <v>243</v>
      </c>
      <c r="I187" t="s">
        <v>4028</v>
      </c>
      <c r="J187" t="s">
        <v>243</v>
      </c>
      <c r="K187" t="s">
        <v>2818</v>
      </c>
      <c r="L187" t="s">
        <v>243</v>
      </c>
      <c r="M187" t="s">
        <v>114</v>
      </c>
      <c r="N187" t="s">
        <v>243</v>
      </c>
      <c r="O187" t="s">
        <v>2819</v>
      </c>
      <c r="P187" t="s">
        <v>4449</v>
      </c>
      <c r="Q187" t="s">
        <v>2821</v>
      </c>
      <c r="R187" t="s">
        <v>200</v>
      </c>
      <c r="S187" t="s">
        <v>200</v>
      </c>
      <c r="T187" t="s">
        <v>2822</v>
      </c>
      <c r="U187" t="s">
        <v>2822</v>
      </c>
      <c r="V187" t="s">
        <v>2823</v>
      </c>
      <c r="W187" t="s">
        <v>2911</v>
      </c>
      <c r="X187" t="s">
        <v>2912</v>
      </c>
      <c r="Y187" t="s">
        <v>2918</v>
      </c>
      <c r="Z187" t="s">
        <v>463</v>
      </c>
      <c r="AA187" t="s">
        <v>3228</v>
      </c>
      <c r="AB187" t="s">
        <v>4029</v>
      </c>
      <c r="AC187" t="s">
        <v>2829</v>
      </c>
      <c r="AD187" t="s">
        <v>2830</v>
      </c>
      <c r="AE187" t="s">
        <v>2831</v>
      </c>
      <c r="AF187" t="s">
        <v>4030</v>
      </c>
      <c r="AG187" t="s">
        <v>2833</v>
      </c>
      <c r="AH187" t="s">
        <v>2834</v>
      </c>
      <c r="AI187" t="s">
        <v>2835</v>
      </c>
      <c r="AJ187" t="s">
        <v>2836</v>
      </c>
      <c r="AK187" t="s">
        <v>2837</v>
      </c>
      <c r="AL187" t="s">
        <v>3228</v>
      </c>
      <c r="AM187" t="s">
        <v>3688</v>
      </c>
      <c r="AN187" t="s">
        <v>2829</v>
      </c>
      <c r="AO187" t="s">
        <v>2839</v>
      </c>
      <c r="AP187" t="s">
        <v>2840</v>
      </c>
      <c r="AQ187" t="s">
        <v>2841</v>
      </c>
      <c r="AR187" t="s">
        <v>2842</v>
      </c>
      <c r="AS187" t="s">
        <v>2842</v>
      </c>
      <c r="AT187" t="s">
        <v>2829</v>
      </c>
      <c r="AU187" t="s">
        <v>2829</v>
      </c>
      <c r="AV187" t="s">
        <v>2829</v>
      </c>
      <c r="AW187" t="s">
        <v>2829</v>
      </c>
      <c r="AX187" t="s">
        <v>2829</v>
      </c>
      <c r="AY187" t="s">
        <v>2829</v>
      </c>
      <c r="AZ187" t="s">
        <v>2829</v>
      </c>
      <c r="BA187" t="s">
        <v>2829</v>
      </c>
      <c r="BB187" t="s">
        <v>2829</v>
      </c>
      <c r="BC187" t="s">
        <v>2829</v>
      </c>
      <c r="BD187" t="s">
        <v>2842</v>
      </c>
      <c r="BE187" t="s">
        <v>2842</v>
      </c>
      <c r="BF187" t="s">
        <v>243</v>
      </c>
      <c r="BG187" t="s">
        <v>243</v>
      </c>
      <c r="BH187" t="s">
        <v>243</v>
      </c>
      <c r="BI187" t="s">
        <v>243</v>
      </c>
      <c r="BJ187" t="s">
        <v>2829</v>
      </c>
      <c r="BK187" t="s">
        <v>243</v>
      </c>
      <c r="BL187" t="s">
        <v>243</v>
      </c>
      <c r="BM187" t="s">
        <v>243</v>
      </c>
      <c r="BN187" t="s">
        <v>243</v>
      </c>
      <c r="BO187" t="s">
        <v>243</v>
      </c>
      <c r="BP187" t="s">
        <v>2829</v>
      </c>
      <c r="BQ187" t="s">
        <v>243</v>
      </c>
      <c r="BR187" t="s">
        <v>243</v>
      </c>
      <c r="BS187" t="s">
        <v>243</v>
      </c>
      <c r="BT187" t="s">
        <v>243</v>
      </c>
      <c r="BU187" t="s">
        <v>243</v>
      </c>
      <c r="BV187" t="s">
        <v>2829</v>
      </c>
      <c r="BW187" t="s">
        <v>243</v>
      </c>
      <c r="BX187" t="s">
        <v>243</v>
      </c>
      <c r="BY187" t="s">
        <v>243</v>
      </c>
      <c r="BZ187" t="s">
        <v>243</v>
      </c>
      <c r="CA187" t="s">
        <v>243</v>
      </c>
      <c r="CB187" t="s">
        <v>2829</v>
      </c>
      <c r="CC187" t="s">
        <v>243</v>
      </c>
      <c r="CD187" t="s">
        <v>243</v>
      </c>
      <c r="CE187" t="s">
        <v>243</v>
      </c>
      <c r="CF187" t="s">
        <v>243</v>
      </c>
      <c r="CG187" t="s">
        <v>243</v>
      </c>
      <c r="CH187" t="s">
        <v>2829</v>
      </c>
      <c r="CI187" t="s">
        <v>243</v>
      </c>
      <c r="CJ187" t="s">
        <v>243</v>
      </c>
      <c r="CK187" t="s">
        <v>243</v>
      </c>
      <c r="CL187" t="s">
        <v>243</v>
      </c>
      <c r="CM187" t="s">
        <v>243</v>
      </c>
      <c r="CN187" t="s">
        <v>2836</v>
      </c>
      <c r="CO187" t="s">
        <v>2843</v>
      </c>
      <c r="CP187" t="s">
        <v>2844</v>
      </c>
      <c r="CQ187" t="s">
        <v>430</v>
      </c>
      <c r="CR187" t="s">
        <v>2845</v>
      </c>
      <c r="CS187" t="s">
        <v>431</v>
      </c>
      <c r="CT187" t="s">
        <v>430</v>
      </c>
      <c r="CU187" t="s">
        <v>2846</v>
      </c>
      <c r="CV187" t="s">
        <v>2847</v>
      </c>
      <c r="CW187" t="s">
        <v>2845</v>
      </c>
      <c r="CX187" t="s">
        <v>2848</v>
      </c>
      <c r="CY187" t="s">
        <v>4031</v>
      </c>
    </row>
    <row r="188" spans="1:103" ht="11.25" customHeight="1">
      <c r="A188" t="s">
        <v>243</v>
      </c>
      <c r="B188" t="s">
        <v>243</v>
      </c>
      <c r="C188" t="s">
        <v>243</v>
      </c>
      <c r="D188" t="s">
        <v>243</v>
      </c>
      <c r="E188" t="s">
        <v>243</v>
      </c>
      <c r="F188" t="s">
        <v>2816</v>
      </c>
      <c r="G188" t="s">
        <v>243</v>
      </c>
      <c r="H188" t="s">
        <v>243</v>
      </c>
      <c r="I188" t="s">
        <v>443</v>
      </c>
      <c r="J188" t="s">
        <v>243</v>
      </c>
      <c r="K188" t="s">
        <v>461</v>
      </c>
      <c r="L188" t="s">
        <v>243</v>
      </c>
      <c r="M188" t="s">
        <v>114</v>
      </c>
      <c r="N188" t="s">
        <v>243</v>
      </c>
      <c r="O188" t="s">
        <v>2819</v>
      </c>
      <c r="P188" t="s">
        <v>4449</v>
      </c>
      <c r="Q188" t="s">
        <v>2821</v>
      </c>
      <c r="R188" t="s">
        <v>200</v>
      </c>
      <c r="S188" t="s">
        <v>200</v>
      </c>
      <c r="T188" t="s">
        <v>2875</v>
      </c>
      <c r="U188" t="s">
        <v>2875</v>
      </c>
      <c r="V188" t="s">
        <v>2876</v>
      </c>
      <c r="W188" t="s">
        <v>2877</v>
      </c>
      <c r="X188" t="s">
        <v>2878</v>
      </c>
      <c r="Y188" t="s">
        <v>4139</v>
      </c>
      <c r="Z188" t="s">
        <v>3202</v>
      </c>
      <c r="AA188" t="s">
        <v>2942</v>
      </c>
      <c r="AB188" t="s">
        <v>4140</v>
      </c>
      <c r="AC188" t="s">
        <v>2829</v>
      </c>
      <c r="AD188" t="s">
        <v>2883</v>
      </c>
      <c r="AE188" t="s">
        <v>2884</v>
      </c>
      <c r="AF188" t="s">
        <v>4141</v>
      </c>
      <c r="AG188" t="s">
        <v>4142</v>
      </c>
      <c r="AH188" t="s">
        <v>2834</v>
      </c>
      <c r="AI188" t="s">
        <v>2887</v>
      </c>
      <c r="AJ188" t="s">
        <v>2888</v>
      </c>
      <c r="AK188" t="s">
        <v>4143</v>
      </c>
      <c r="AL188" t="s">
        <v>2942</v>
      </c>
      <c r="AM188" t="s">
        <v>4140</v>
      </c>
      <c r="AN188" t="s">
        <v>2829</v>
      </c>
      <c r="AO188" t="s">
        <v>2839</v>
      </c>
      <c r="AP188" t="s">
        <v>2840</v>
      </c>
      <c r="AQ188" t="s">
        <v>2841</v>
      </c>
      <c r="AR188" t="s">
        <v>4144</v>
      </c>
      <c r="AS188" t="s">
        <v>4145</v>
      </c>
      <c r="AT188" t="s">
        <v>4146</v>
      </c>
      <c r="AU188" t="s">
        <v>4147</v>
      </c>
      <c r="AV188" t="s">
        <v>2829</v>
      </c>
      <c r="AW188" t="s">
        <v>2829</v>
      </c>
      <c r="AX188" t="s">
        <v>2829</v>
      </c>
      <c r="AY188" t="s">
        <v>2829</v>
      </c>
      <c r="AZ188" t="s">
        <v>2829</v>
      </c>
      <c r="BA188" t="s">
        <v>2829</v>
      </c>
      <c r="BB188" t="s">
        <v>2829</v>
      </c>
      <c r="BC188" t="s">
        <v>2829</v>
      </c>
      <c r="BD188" t="s">
        <v>4148</v>
      </c>
      <c r="BE188" t="s">
        <v>3313</v>
      </c>
      <c r="BF188" t="s">
        <v>4149</v>
      </c>
      <c r="BG188" t="s">
        <v>4150</v>
      </c>
      <c r="BH188" t="s">
        <v>243</v>
      </c>
      <c r="BI188" t="s">
        <v>243</v>
      </c>
      <c r="BJ188" t="s">
        <v>2829</v>
      </c>
      <c r="BK188" t="s">
        <v>243</v>
      </c>
      <c r="BL188" t="s">
        <v>243</v>
      </c>
      <c r="BM188" t="s">
        <v>243</v>
      </c>
      <c r="BN188" t="s">
        <v>243</v>
      </c>
      <c r="BO188" t="s">
        <v>243</v>
      </c>
      <c r="BP188" t="s">
        <v>4151</v>
      </c>
      <c r="BQ188" t="s">
        <v>4152</v>
      </c>
      <c r="BR188" t="s">
        <v>4153</v>
      </c>
      <c r="BS188" t="s">
        <v>3073</v>
      </c>
      <c r="BT188" t="s">
        <v>243</v>
      </c>
      <c r="BU188" t="s">
        <v>243</v>
      </c>
      <c r="BV188" t="s">
        <v>2829</v>
      </c>
      <c r="BW188" t="s">
        <v>243</v>
      </c>
      <c r="BX188" t="s">
        <v>243</v>
      </c>
      <c r="BY188" t="s">
        <v>243</v>
      </c>
      <c r="BZ188" t="s">
        <v>243</v>
      </c>
      <c r="CA188" t="s">
        <v>243</v>
      </c>
      <c r="CB188" t="s">
        <v>2829</v>
      </c>
      <c r="CC188" t="s">
        <v>243</v>
      </c>
      <c r="CD188" t="s">
        <v>243</v>
      </c>
      <c r="CE188" t="s">
        <v>243</v>
      </c>
      <c r="CF188" t="s">
        <v>243</v>
      </c>
      <c r="CG188" t="s">
        <v>243</v>
      </c>
      <c r="CH188" t="s">
        <v>2829</v>
      </c>
      <c r="CI188" t="s">
        <v>243</v>
      </c>
      <c r="CJ188" t="s">
        <v>243</v>
      </c>
      <c r="CK188" t="s">
        <v>243</v>
      </c>
      <c r="CL188" t="s">
        <v>243</v>
      </c>
      <c r="CM188" t="s">
        <v>243</v>
      </c>
      <c r="CN188" t="s">
        <v>2888</v>
      </c>
      <c r="CO188" t="s">
        <v>2843</v>
      </c>
      <c r="CP188" t="s">
        <v>2844</v>
      </c>
      <c r="CQ188" t="s">
        <v>430</v>
      </c>
      <c r="CR188" t="s">
        <v>2899</v>
      </c>
      <c r="CS188" t="s">
        <v>431</v>
      </c>
      <c r="CT188" t="s">
        <v>430</v>
      </c>
      <c r="CU188" t="s">
        <v>2846</v>
      </c>
      <c r="CV188" t="s">
        <v>2900</v>
      </c>
      <c r="CW188" t="s">
        <v>2899</v>
      </c>
      <c r="CX188" t="s">
        <v>2848</v>
      </c>
      <c r="CY188" t="s">
        <v>4154</v>
      </c>
    </row>
    <row r="189" spans="1:103" ht="11.25" customHeight="1">
      <c r="A189" t="s">
        <v>243</v>
      </c>
      <c r="B189" t="s">
        <v>243</v>
      </c>
      <c r="C189" t="s">
        <v>243</v>
      </c>
      <c r="D189" t="s">
        <v>243</v>
      </c>
      <c r="E189" t="s">
        <v>243</v>
      </c>
      <c r="F189" t="s">
        <v>2816</v>
      </c>
      <c r="G189" t="s">
        <v>243</v>
      </c>
      <c r="H189" t="s">
        <v>243</v>
      </c>
      <c r="I189" t="s">
        <v>4314</v>
      </c>
      <c r="J189" t="s">
        <v>243</v>
      </c>
      <c r="K189" t="s">
        <v>2818</v>
      </c>
      <c r="L189" t="s">
        <v>243</v>
      </c>
      <c r="M189" t="s">
        <v>114</v>
      </c>
      <c r="N189" t="s">
        <v>243</v>
      </c>
      <c r="O189" t="s">
        <v>2819</v>
      </c>
      <c r="P189" t="s">
        <v>4449</v>
      </c>
      <c r="Q189" t="s">
        <v>2821</v>
      </c>
      <c r="R189" t="s">
        <v>200</v>
      </c>
      <c r="S189" t="s">
        <v>200</v>
      </c>
      <c r="T189" t="s">
        <v>2822</v>
      </c>
      <c r="U189" t="s">
        <v>2822</v>
      </c>
      <c r="V189" t="s">
        <v>2823</v>
      </c>
      <c r="W189" t="s">
        <v>2851</v>
      </c>
      <c r="X189" t="s">
        <v>2852</v>
      </c>
      <c r="Y189" t="s">
        <v>4315</v>
      </c>
      <c r="Z189" t="s">
        <v>3477</v>
      </c>
      <c r="AA189" t="s">
        <v>2865</v>
      </c>
      <c r="AB189" t="s">
        <v>4316</v>
      </c>
      <c r="AC189" t="s">
        <v>2829</v>
      </c>
      <c r="AD189" t="s">
        <v>2830</v>
      </c>
      <c r="AE189" t="s">
        <v>2857</v>
      </c>
      <c r="AF189" t="s">
        <v>2867</v>
      </c>
      <c r="AG189" t="s">
        <v>2867</v>
      </c>
      <c r="AH189" t="s">
        <v>2834</v>
      </c>
      <c r="AI189" t="s">
        <v>2835</v>
      </c>
      <c r="AJ189" t="s">
        <v>2829</v>
      </c>
      <c r="AK189" t="s">
        <v>2868</v>
      </c>
      <c r="AL189" t="s">
        <v>2865</v>
      </c>
      <c r="AM189" t="s">
        <v>2920</v>
      </c>
      <c r="AN189" t="s">
        <v>2829</v>
      </c>
      <c r="AO189" t="s">
        <v>2839</v>
      </c>
      <c r="AP189" t="s">
        <v>2840</v>
      </c>
      <c r="AQ189" t="s">
        <v>2841</v>
      </c>
      <c r="AR189" t="s">
        <v>4317</v>
      </c>
      <c r="AS189" t="s">
        <v>4317</v>
      </c>
      <c r="AT189" t="s">
        <v>2829</v>
      </c>
      <c r="AU189" t="s">
        <v>2829</v>
      </c>
      <c r="AV189" t="s">
        <v>2829</v>
      </c>
      <c r="AW189" t="s">
        <v>2829</v>
      </c>
      <c r="AX189" t="s">
        <v>2829</v>
      </c>
      <c r="AY189" t="s">
        <v>2829</v>
      </c>
      <c r="AZ189" t="s">
        <v>2829</v>
      </c>
      <c r="BA189" t="s">
        <v>2829</v>
      </c>
      <c r="BB189" t="s">
        <v>2829</v>
      </c>
      <c r="BC189" t="s">
        <v>2829</v>
      </c>
      <c r="BD189" t="s">
        <v>4317</v>
      </c>
      <c r="BE189" t="s">
        <v>4317</v>
      </c>
      <c r="BF189" t="s">
        <v>243</v>
      </c>
      <c r="BG189" t="s">
        <v>243</v>
      </c>
      <c r="BH189" t="s">
        <v>243</v>
      </c>
      <c r="BI189" t="s">
        <v>243</v>
      </c>
      <c r="BJ189" t="s">
        <v>2829</v>
      </c>
      <c r="BK189" t="s">
        <v>243</v>
      </c>
      <c r="BL189" t="s">
        <v>243</v>
      </c>
      <c r="BM189" t="s">
        <v>243</v>
      </c>
      <c r="BN189" t="s">
        <v>243</v>
      </c>
      <c r="BO189" t="s">
        <v>243</v>
      </c>
      <c r="BP189" t="s">
        <v>2829</v>
      </c>
      <c r="BQ189" t="s">
        <v>243</v>
      </c>
      <c r="BR189" t="s">
        <v>243</v>
      </c>
      <c r="BS189" t="s">
        <v>243</v>
      </c>
      <c r="BT189" t="s">
        <v>243</v>
      </c>
      <c r="BU189" t="s">
        <v>243</v>
      </c>
      <c r="BV189" t="s">
        <v>2829</v>
      </c>
      <c r="BW189" t="s">
        <v>243</v>
      </c>
      <c r="BX189" t="s">
        <v>243</v>
      </c>
      <c r="BY189" t="s">
        <v>243</v>
      </c>
      <c r="BZ189" t="s">
        <v>243</v>
      </c>
      <c r="CA189" t="s">
        <v>243</v>
      </c>
      <c r="CB189" t="s">
        <v>2829</v>
      </c>
      <c r="CC189" t="s">
        <v>243</v>
      </c>
      <c r="CD189" t="s">
        <v>243</v>
      </c>
      <c r="CE189" t="s">
        <v>243</v>
      </c>
      <c r="CF189" t="s">
        <v>243</v>
      </c>
      <c r="CG189" t="s">
        <v>243</v>
      </c>
      <c r="CH189" t="s">
        <v>2829</v>
      </c>
      <c r="CI189" t="s">
        <v>243</v>
      </c>
      <c r="CJ189" t="s">
        <v>243</v>
      </c>
      <c r="CK189" t="s">
        <v>243</v>
      </c>
      <c r="CL189" t="s">
        <v>243</v>
      </c>
      <c r="CM189" t="s">
        <v>243</v>
      </c>
      <c r="CN189" t="s">
        <v>2829</v>
      </c>
      <c r="CO189" t="s">
        <v>2843</v>
      </c>
      <c r="CP189" t="s">
        <v>2844</v>
      </c>
      <c r="CQ189" t="s">
        <v>430</v>
      </c>
      <c r="CR189" t="s">
        <v>2872</v>
      </c>
      <c r="CS189" t="s">
        <v>431</v>
      </c>
      <c r="CT189" t="s">
        <v>430</v>
      </c>
      <c r="CU189" t="s">
        <v>2846</v>
      </c>
      <c r="CV189" t="s">
        <v>2873</v>
      </c>
      <c r="CW189" t="s">
        <v>2872</v>
      </c>
      <c r="CX189" t="s">
        <v>2848</v>
      </c>
      <c r="CY189" t="s">
        <v>4318</v>
      </c>
    </row>
    <row r="190" spans="1:103" ht="11.25" customHeight="1">
      <c r="A190" t="s">
        <v>243</v>
      </c>
      <c r="B190" t="s">
        <v>243</v>
      </c>
      <c r="C190" t="s">
        <v>243</v>
      </c>
      <c r="D190" t="s">
        <v>243</v>
      </c>
      <c r="E190" t="s">
        <v>243</v>
      </c>
      <c r="F190" t="s">
        <v>2816</v>
      </c>
      <c r="G190" t="s">
        <v>243</v>
      </c>
      <c r="H190" t="s">
        <v>243</v>
      </c>
      <c r="I190" t="s">
        <v>448</v>
      </c>
      <c r="J190" t="s">
        <v>243</v>
      </c>
      <c r="K190" t="s">
        <v>464</v>
      </c>
      <c r="L190" t="s">
        <v>243</v>
      </c>
      <c r="M190" t="s">
        <v>114</v>
      </c>
      <c r="N190" t="s">
        <v>243</v>
      </c>
      <c r="O190" t="s">
        <v>2819</v>
      </c>
      <c r="P190" t="s">
        <v>4449</v>
      </c>
      <c r="Q190" t="s">
        <v>2821</v>
      </c>
      <c r="R190" t="s">
        <v>200</v>
      </c>
      <c r="S190" t="s">
        <v>200</v>
      </c>
      <c r="T190" t="s">
        <v>2875</v>
      </c>
      <c r="U190" t="s">
        <v>2875</v>
      </c>
      <c r="V190" t="s">
        <v>2876</v>
      </c>
      <c r="W190" t="s">
        <v>2877</v>
      </c>
      <c r="X190" t="s">
        <v>2878</v>
      </c>
      <c r="Y190" t="s">
        <v>2879</v>
      </c>
      <c r="Z190" t="s">
        <v>2880</v>
      </c>
      <c r="AA190" t="s">
        <v>2881</v>
      </c>
      <c r="AB190" t="s">
        <v>2882</v>
      </c>
      <c r="AC190" t="s">
        <v>2829</v>
      </c>
      <c r="AD190" t="s">
        <v>2883</v>
      </c>
      <c r="AE190" t="s">
        <v>2884</v>
      </c>
      <c r="AF190" t="s">
        <v>2885</v>
      </c>
      <c r="AG190" t="s">
        <v>2886</v>
      </c>
      <c r="AH190" t="s">
        <v>2834</v>
      </c>
      <c r="AI190" t="s">
        <v>2887</v>
      </c>
      <c r="AJ190" t="s">
        <v>2888</v>
      </c>
      <c r="AK190" t="s">
        <v>2889</v>
      </c>
      <c r="AL190" t="s">
        <v>2881</v>
      </c>
      <c r="AM190" t="s">
        <v>2882</v>
      </c>
      <c r="AN190" t="s">
        <v>2829</v>
      </c>
      <c r="AO190" t="s">
        <v>2839</v>
      </c>
      <c r="AP190" t="s">
        <v>2840</v>
      </c>
      <c r="AQ190" t="s">
        <v>2841</v>
      </c>
      <c r="AR190" t="s">
        <v>2890</v>
      </c>
      <c r="AS190" t="s">
        <v>2891</v>
      </c>
      <c r="AT190" t="s">
        <v>2892</v>
      </c>
      <c r="AU190" t="s">
        <v>2829</v>
      </c>
      <c r="AV190" t="s">
        <v>2829</v>
      </c>
      <c r="AW190" t="s">
        <v>2829</v>
      </c>
      <c r="AX190" t="s">
        <v>2829</v>
      </c>
      <c r="AY190" t="s">
        <v>2829</v>
      </c>
      <c r="AZ190" t="s">
        <v>2829</v>
      </c>
      <c r="BA190" t="s">
        <v>2829</v>
      </c>
      <c r="BB190" t="s">
        <v>2829</v>
      </c>
      <c r="BC190" t="s">
        <v>2829</v>
      </c>
      <c r="BD190" t="s">
        <v>2893</v>
      </c>
      <c r="BE190" t="s">
        <v>2894</v>
      </c>
      <c r="BF190" t="s">
        <v>2895</v>
      </c>
      <c r="BG190" t="s">
        <v>243</v>
      </c>
      <c r="BH190" t="s">
        <v>243</v>
      </c>
      <c r="BI190" t="s">
        <v>243</v>
      </c>
      <c r="BJ190" t="s">
        <v>2829</v>
      </c>
      <c r="BK190" t="s">
        <v>243</v>
      </c>
      <c r="BL190" t="s">
        <v>243</v>
      </c>
      <c r="BM190" t="s">
        <v>243</v>
      </c>
      <c r="BN190" t="s">
        <v>243</v>
      </c>
      <c r="BO190" t="s">
        <v>243</v>
      </c>
      <c r="BP190" t="s">
        <v>2896</v>
      </c>
      <c r="BQ190" t="s">
        <v>2897</v>
      </c>
      <c r="BR190" t="s">
        <v>2898</v>
      </c>
      <c r="BS190" t="s">
        <v>243</v>
      </c>
      <c r="BT190" t="s">
        <v>243</v>
      </c>
      <c r="BU190" t="s">
        <v>243</v>
      </c>
      <c r="BV190" t="s">
        <v>2829</v>
      </c>
      <c r="BW190" t="s">
        <v>243</v>
      </c>
      <c r="BX190" t="s">
        <v>243</v>
      </c>
      <c r="BY190" t="s">
        <v>243</v>
      </c>
      <c r="BZ190" t="s">
        <v>243</v>
      </c>
      <c r="CA190" t="s">
        <v>243</v>
      </c>
      <c r="CB190" t="s">
        <v>2829</v>
      </c>
      <c r="CC190" t="s">
        <v>243</v>
      </c>
      <c r="CD190" t="s">
        <v>243</v>
      </c>
      <c r="CE190" t="s">
        <v>243</v>
      </c>
      <c r="CF190" t="s">
        <v>243</v>
      </c>
      <c r="CG190" t="s">
        <v>243</v>
      </c>
      <c r="CH190" t="s">
        <v>2829</v>
      </c>
      <c r="CI190" t="s">
        <v>243</v>
      </c>
      <c r="CJ190" t="s">
        <v>243</v>
      </c>
      <c r="CK190" t="s">
        <v>243</v>
      </c>
      <c r="CL190" t="s">
        <v>243</v>
      </c>
      <c r="CM190" t="s">
        <v>243</v>
      </c>
      <c r="CN190" t="s">
        <v>2888</v>
      </c>
      <c r="CO190" t="s">
        <v>2843</v>
      </c>
      <c r="CP190" t="s">
        <v>2844</v>
      </c>
      <c r="CQ190" t="s">
        <v>430</v>
      </c>
      <c r="CR190" t="s">
        <v>2899</v>
      </c>
      <c r="CS190" t="s">
        <v>431</v>
      </c>
      <c r="CT190" t="s">
        <v>430</v>
      </c>
      <c r="CU190" t="s">
        <v>2846</v>
      </c>
      <c r="CV190" t="s">
        <v>2900</v>
      </c>
      <c r="CW190" t="s">
        <v>2899</v>
      </c>
      <c r="CX190" t="s">
        <v>2848</v>
      </c>
      <c r="CY190" t="s">
        <v>2901</v>
      </c>
    </row>
    <row r="191" spans="1:103" ht="11.25" customHeight="1">
      <c r="A191" t="s">
        <v>243</v>
      </c>
      <c r="B191" t="s">
        <v>243</v>
      </c>
      <c r="C191" t="s">
        <v>243</v>
      </c>
      <c r="D191" t="s">
        <v>243</v>
      </c>
      <c r="E191" t="s">
        <v>243</v>
      </c>
      <c r="F191" t="s">
        <v>2816</v>
      </c>
      <c r="G191" t="s">
        <v>243</v>
      </c>
      <c r="H191" t="s">
        <v>243</v>
      </c>
      <c r="I191" t="s">
        <v>2861</v>
      </c>
      <c r="J191" t="s">
        <v>243</v>
      </c>
      <c r="K191" t="s">
        <v>2818</v>
      </c>
      <c r="L191" t="s">
        <v>243</v>
      </c>
      <c r="M191" t="s">
        <v>114</v>
      </c>
      <c r="N191" t="s">
        <v>243</v>
      </c>
      <c r="O191" t="s">
        <v>2819</v>
      </c>
      <c r="P191" t="s">
        <v>4449</v>
      </c>
      <c r="Q191" t="s">
        <v>2821</v>
      </c>
      <c r="R191" t="s">
        <v>200</v>
      </c>
      <c r="S191" t="s">
        <v>200</v>
      </c>
      <c r="T191" t="s">
        <v>2822</v>
      </c>
      <c r="U191" t="s">
        <v>2822</v>
      </c>
      <c r="V191" t="s">
        <v>2823</v>
      </c>
      <c r="W191" t="s">
        <v>2862</v>
      </c>
      <c r="X191" t="s">
        <v>2863</v>
      </c>
      <c r="Y191" t="s">
        <v>2864</v>
      </c>
      <c r="Z191" t="s">
        <v>460</v>
      </c>
      <c r="AA191" t="s">
        <v>2865</v>
      </c>
      <c r="AB191" t="s">
        <v>2866</v>
      </c>
      <c r="AC191" t="s">
        <v>2829</v>
      </c>
      <c r="AD191" t="s">
        <v>2830</v>
      </c>
      <c r="AE191" t="s">
        <v>2857</v>
      </c>
      <c r="AF191" t="s">
        <v>2867</v>
      </c>
      <c r="AG191" t="s">
        <v>2867</v>
      </c>
      <c r="AH191" t="s">
        <v>2834</v>
      </c>
      <c r="AI191" t="s">
        <v>2835</v>
      </c>
      <c r="AJ191" t="s">
        <v>2829</v>
      </c>
      <c r="AK191" t="s">
        <v>2868</v>
      </c>
      <c r="AL191" t="s">
        <v>2865</v>
      </c>
      <c r="AM191" t="s">
        <v>2838</v>
      </c>
      <c r="AN191" t="s">
        <v>2829</v>
      </c>
      <c r="AO191" t="s">
        <v>2839</v>
      </c>
      <c r="AP191" t="s">
        <v>2840</v>
      </c>
      <c r="AQ191" t="s">
        <v>2841</v>
      </c>
      <c r="AR191" t="s">
        <v>2869</v>
      </c>
      <c r="AS191" t="s">
        <v>2869</v>
      </c>
      <c r="AT191" t="s">
        <v>2829</v>
      </c>
      <c r="AU191" t="s">
        <v>2829</v>
      </c>
      <c r="AV191" t="s">
        <v>2829</v>
      </c>
      <c r="AW191" t="s">
        <v>2829</v>
      </c>
      <c r="AX191" t="s">
        <v>2829</v>
      </c>
      <c r="AY191" t="s">
        <v>2829</v>
      </c>
      <c r="AZ191" t="s">
        <v>2829</v>
      </c>
      <c r="BA191" t="s">
        <v>2829</v>
      </c>
      <c r="BB191" t="s">
        <v>2829</v>
      </c>
      <c r="BC191" t="s">
        <v>2829</v>
      </c>
      <c r="BD191" t="s">
        <v>2870</v>
      </c>
      <c r="BE191" t="s">
        <v>2870</v>
      </c>
      <c r="BF191" t="s">
        <v>243</v>
      </c>
      <c r="BG191" t="s">
        <v>243</v>
      </c>
      <c r="BH191" t="s">
        <v>243</v>
      </c>
      <c r="BI191" t="s">
        <v>243</v>
      </c>
      <c r="BJ191" t="s">
        <v>2829</v>
      </c>
      <c r="BK191" t="s">
        <v>243</v>
      </c>
      <c r="BL191" t="s">
        <v>243</v>
      </c>
      <c r="BM191" t="s">
        <v>243</v>
      </c>
      <c r="BN191" t="s">
        <v>243</v>
      </c>
      <c r="BO191" t="s">
        <v>243</v>
      </c>
      <c r="BP191" t="s">
        <v>2871</v>
      </c>
      <c r="BQ191" t="s">
        <v>2871</v>
      </c>
      <c r="BR191" t="s">
        <v>243</v>
      </c>
      <c r="BS191" t="s">
        <v>243</v>
      </c>
      <c r="BT191" t="s">
        <v>243</v>
      </c>
      <c r="BU191" t="s">
        <v>243</v>
      </c>
      <c r="BV191" t="s">
        <v>2829</v>
      </c>
      <c r="BW191" t="s">
        <v>243</v>
      </c>
      <c r="BX191" t="s">
        <v>243</v>
      </c>
      <c r="BY191" t="s">
        <v>243</v>
      </c>
      <c r="BZ191" t="s">
        <v>243</v>
      </c>
      <c r="CA191" t="s">
        <v>243</v>
      </c>
      <c r="CB191" t="s">
        <v>2829</v>
      </c>
      <c r="CC191" t="s">
        <v>243</v>
      </c>
      <c r="CD191" t="s">
        <v>243</v>
      </c>
      <c r="CE191" t="s">
        <v>243</v>
      </c>
      <c r="CF191" t="s">
        <v>243</v>
      </c>
      <c r="CG191" t="s">
        <v>243</v>
      </c>
      <c r="CH191" t="s">
        <v>2829</v>
      </c>
      <c r="CI191" t="s">
        <v>243</v>
      </c>
      <c r="CJ191" t="s">
        <v>243</v>
      </c>
      <c r="CK191" t="s">
        <v>243</v>
      </c>
      <c r="CL191" t="s">
        <v>243</v>
      </c>
      <c r="CM191" t="s">
        <v>243</v>
      </c>
      <c r="CN191" t="s">
        <v>2829</v>
      </c>
      <c r="CO191" t="s">
        <v>2843</v>
      </c>
      <c r="CP191" t="s">
        <v>2844</v>
      </c>
      <c r="CQ191" t="s">
        <v>430</v>
      </c>
      <c r="CR191" t="s">
        <v>2872</v>
      </c>
      <c r="CS191" t="s">
        <v>431</v>
      </c>
      <c r="CT191" t="s">
        <v>430</v>
      </c>
      <c r="CU191" t="s">
        <v>2846</v>
      </c>
      <c r="CV191" t="s">
        <v>2873</v>
      </c>
      <c r="CW191" t="s">
        <v>2872</v>
      </c>
      <c r="CX191" t="s">
        <v>2848</v>
      </c>
      <c r="CY191" t="s">
        <v>2874</v>
      </c>
    </row>
    <row r="192" spans="1:103" ht="11.25" customHeight="1">
      <c r="A192" t="s">
        <v>243</v>
      </c>
      <c r="B192" t="s">
        <v>243</v>
      </c>
      <c r="C192" t="s">
        <v>243</v>
      </c>
      <c r="D192" t="s">
        <v>243</v>
      </c>
      <c r="E192" t="s">
        <v>243</v>
      </c>
      <c r="F192" t="s">
        <v>2816</v>
      </c>
      <c r="G192" t="s">
        <v>243</v>
      </c>
      <c r="H192" t="s">
        <v>243</v>
      </c>
      <c r="I192" t="s">
        <v>2917</v>
      </c>
      <c r="J192" t="s">
        <v>243</v>
      </c>
      <c r="K192" t="s">
        <v>2818</v>
      </c>
      <c r="L192" t="s">
        <v>243</v>
      </c>
      <c r="M192" t="s">
        <v>114</v>
      </c>
      <c r="N192" t="s">
        <v>243</v>
      </c>
      <c r="O192" t="s">
        <v>2819</v>
      </c>
      <c r="P192" t="s">
        <v>4449</v>
      </c>
      <c r="Q192" t="s">
        <v>2821</v>
      </c>
      <c r="R192" t="s">
        <v>200</v>
      </c>
      <c r="S192" t="s">
        <v>200</v>
      </c>
      <c r="T192" t="s">
        <v>2822</v>
      </c>
      <c r="U192" t="s">
        <v>2822</v>
      </c>
      <c r="V192" t="s">
        <v>2823</v>
      </c>
      <c r="W192" t="s">
        <v>2824</v>
      </c>
      <c r="X192" t="s">
        <v>2825</v>
      </c>
      <c r="Y192" t="s">
        <v>2918</v>
      </c>
      <c r="Z192" t="s">
        <v>2919</v>
      </c>
      <c r="AA192" t="s">
        <v>2865</v>
      </c>
      <c r="AB192" t="s">
        <v>2920</v>
      </c>
      <c r="AC192" t="s">
        <v>2829</v>
      </c>
      <c r="AD192" t="s">
        <v>2830</v>
      </c>
      <c r="AE192" t="s">
        <v>2857</v>
      </c>
      <c r="AF192" t="s">
        <v>2921</v>
      </c>
      <c r="AG192" t="s">
        <v>2921</v>
      </c>
      <c r="AH192" t="s">
        <v>2834</v>
      </c>
      <c r="AI192" t="s">
        <v>2835</v>
      </c>
      <c r="AJ192" t="s">
        <v>2829</v>
      </c>
      <c r="AK192" t="s">
        <v>2922</v>
      </c>
      <c r="AL192" t="s">
        <v>2865</v>
      </c>
      <c r="AM192" t="s">
        <v>2920</v>
      </c>
      <c r="AN192" t="s">
        <v>2829</v>
      </c>
      <c r="AO192" t="s">
        <v>2839</v>
      </c>
      <c r="AP192" t="s">
        <v>2840</v>
      </c>
      <c r="AQ192" t="s">
        <v>2841</v>
      </c>
      <c r="AR192" t="s">
        <v>2923</v>
      </c>
      <c r="AS192" t="s">
        <v>2923</v>
      </c>
      <c r="AT192" t="s">
        <v>2829</v>
      </c>
      <c r="AU192" t="s">
        <v>2829</v>
      </c>
      <c r="AV192" t="s">
        <v>2829</v>
      </c>
      <c r="AW192" t="s">
        <v>2829</v>
      </c>
      <c r="AX192" t="s">
        <v>2829</v>
      </c>
      <c r="AY192" t="s">
        <v>2829</v>
      </c>
      <c r="AZ192" t="s">
        <v>2829</v>
      </c>
      <c r="BA192" t="s">
        <v>2829</v>
      </c>
      <c r="BB192" t="s">
        <v>2829</v>
      </c>
      <c r="BC192" t="s">
        <v>2829</v>
      </c>
      <c r="BD192" t="s">
        <v>2923</v>
      </c>
      <c r="BE192" t="s">
        <v>2923</v>
      </c>
      <c r="BF192" t="s">
        <v>243</v>
      </c>
      <c r="BG192" t="s">
        <v>243</v>
      </c>
      <c r="BH192" t="s">
        <v>243</v>
      </c>
      <c r="BI192" t="s">
        <v>243</v>
      </c>
      <c r="BJ192" t="s">
        <v>2829</v>
      </c>
      <c r="BK192" t="s">
        <v>243</v>
      </c>
      <c r="BL192" t="s">
        <v>243</v>
      </c>
      <c r="BM192" t="s">
        <v>243</v>
      </c>
      <c r="BN192" t="s">
        <v>243</v>
      </c>
      <c r="BO192" t="s">
        <v>243</v>
      </c>
      <c r="BP192" t="s">
        <v>2829</v>
      </c>
      <c r="BQ192" t="s">
        <v>243</v>
      </c>
      <c r="BR192" t="s">
        <v>243</v>
      </c>
      <c r="BS192" t="s">
        <v>243</v>
      </c>
      <c r="BT192" t="s">
        <v>243</v>
      </c>
      <c r="BU192" t="s">
        <v>243</v>
      </c>
      <c r="BV192" t="s">
        <v>2829</v>
      </c>
      <c r="BW192" t="s">
        <v>243</v>
      </c>
      <c r="BX192" t="s">
        <v>243</v>
      </c>
      <c r="BY192" t="s">
        <v>243</v>
      </c>
      <c r="BZ192" t="s">
        <v>243</v>
      </c>
      <c r="CA192" t="s">
        <v>243</v>
      </c>
      <c r="CB192" t="s">
        <v>2829</v>
      </c>
      <c r="CC192" t="s">
        <v>243</v>
      </c>
      <c r="CD192" t="s">
        <v>243</v>
      </c>
      <c r="CE192" t="s">
        <v>243</v>
      </c>
      <c r="CF192" t="s">
        <v>243</v>
      </c>
      <c r="CG192" t="s">
        <v>243</v>
      </c>
      <c r="CH192" t="s">
        <v>2829</v>
      </c>
      <c r="CI192" t="s">
        <v>243</v>
      </c>
      <c r="CJ192" t="s">
        <v>243</v>
      </c>
      <c r="CK192" t="s">
        <v>243</v>
      </c>
      <c r="CL192" t="s">
        <v>243</v>
      </c>
      <c r="CM192" t="s">
        <v>243</v>
      </c>
      <c r="CN192" t="s">
        <v>2829</v>
      </c>
      <c r="CO192" t="s">
        <v>2924</v>
      </c>
      <c r="CP192" t="s">
        <v>2844</v>
      </c>
      <c r="CQ192" t="s">
        <v>430</v>
      </c>
      <c r="CR192" t="s">
        <v>2872</v>
      </c>
      <c r="CS192" t="s">
        <v>431</v>
      </c>
      <c r="CT192" t="s">
        <v>430</v>
      </c>
      <c r="CU192" t="s">
        <v>2846</v>
      </c>
      <c r="CV192" t="s">
        <v>2873</v>
      </c>
      <c r="CW192" t="s">
        <v>2872</v>
      </c>
      <c r="CX192" t="s">
        <v>2848</v>
      </c>
      <c r="CY192" t="s">
        <v>2925</v>
      </c>
    </row>
    <row r="193" spans="1:103" ht="11.25" customHeight="1">
      <c r="A193" t="s">
        <v>243</v>
      </c>
      <c r="B193" t="s">
        <v>243</v>
      </c>
      <c r="C193" t="s">
        <v>243</v>
      </c>
      <c r="D193" t="s">
        <v>243</v>
      </c>
      <c r="E193" t="s">
        <v>243</v>
      </c>
      <c r="F193" t="s">
        <v>2816</v>
      </c>
      <c r="G193" t="s">
        <v>243</v>
      </c>
      <c r="H193" t="s">
        <v>243</v>
      </c>
      <c r="I193" t="s">
        <v>451</v>
      </c>
      <c r="J193" t="s">
        <v>243</v>
      </c>
      <c r="K193" t="s">
        <v>3210</v>
      </c>
      <c r="L193" t="s">
        <v>243</v>
      </c>
      <c r="M193" t="s">
        <v>114</v>
      </c>
      <c r="N193" t="s">
        <v>243</v>
      </c>
      <c r="O193" t="s">
        <v>2819</v>
      </c>
      <c r="P193" t="s">
        <v>4449</v>
      </c>
      <c r="Q193" t="s">
        <v>2821</v>
      </c>
      <c r="R193" t="s">
        <v>200</v>
      </c>
      <c r="S193" t="s">
        <v>200</v>
      </c>
      <c r="T193" t="s">
        <v>2875</v>
      </c>
      <c r="U193" t="s">
        <v>2875</v>
      </c>
      <c r="V193" t="s">
        <v>2876</v>
      </c>
      <c r="W193" t="s">
        <v>2877</v>
      </c>
      <c r="X193" t="s">
        <v>2878</v>
      </c>
      <c r="Y193" t="s">
        <v>3211</v>
      </c>
      <c r="Z193" t="s">
        <v>341</v>
      </c>
      <c r="AA193" t="s">
        <v>2966</v>
      </c>
      <c r="AB193" t="s">
        <v>3212</v>
      </c>
      <c r="AC193" t="s">
        <v>2829</v>
      </c>
      <c r="AD193" t="s">
        <v>2883</v>
      </c>
      <c r="AE193" t="s">
        <v>2884</v>
      </c>
      <c r="AF193" t="s">
        <v>3213</v>
      </c>
      <c r="AG193" t="s">
        <v>3214</v>
      </c>
      <c r="AH193" t="s">
        <v>2834</v>
      </c>
      <c r="AI193" t="s">
        <v>2887</v>
      </c>
      <c r="AJ193" t="s">
        <v>2888</v>
      </c>
      <c r="AK193" t="s">
        <v>3196</v>
      </c>
      <c r="AL193" t="s">
        <v>2966</v>
      </c>
      <c r="AM193" t="s">
        <v>3212</v>
      </c>
      <c r="AN193" t="s">
        <v>2829</v>
      </c>
      <c r="AO193" t="s">
        <v>2839</v>
      </c>
      <c r="AP193" t="s">
        <v>2840</v>
      </c>
      <c r="AQ193" t="s">
        <v>2841</v>
      </c>
      <c r="AR193" t="s">
        <v>3215</v>
      </c>
      <c r="AS193" t="s">
        <v>3215</v>
      </c>
      <c r="AT193" t="s">
        <v>2829</v>
      </c>
      <c r="AU193" t="s">
        <v>2829</v>
      </c>
      <c r="AV193" t="s">
        <v>2829</v>
      </c>
      <c r="AW193" t="s">
        <v>2829</v>
      </c>
      <c r="AX193" t="s">
        <v>2829</v>
      </c>
      <c r="AY193" t="s">
        <v>2829</v>
      </c>
      <c r="AZ193" t="s">
        <v>2829</v>
      </c>
      <c r="BA193" t="s">
        <v>2829</v>
      </c>
      <c r="BB193" t="s">
        <v>2829</v>
      </c>
      <c r="BC193" t="s">
        <v>2829</v>
      </c>
      <c r="BD193" t="s">
        <v>3216</v>
      </c>
      <c r="BE193" t="s">
        <v>3216</v>
      </c>
      <c r="BF193" t="s">
        <v>243</v>
      </c>
      <c r="BG193" t="s">
        <v>243</v>
      </c>
      <c r="BH193" t="s">
        <v>243</v>
      </c>
      <c r="BI193" t="s">
        <v>243</v>
      </c>
      <c r="BJ193" t="s">
        <v>2829</v>
      </c>
      <c r="BK193" t="s">
        <v>243</v>
      </c>
      <c r="BL193" t="s">
        <v>243</v>
      </c>
      <c r="BM193" t="s">
        <v>243</v>
      </c>
      <c r="BN193" t="s">
        <v>243</v>
      </c>
      <c r="BO193" t="s">
        <v>243</v>
      </c>
      <c r="BP193" t="s">
        <v>3217</v>
      </c>
      <c r="BQ193" t="s">
        <v>3217</v>
      </c>
      <c r="BR193" t="s">
        <v>243</v>
      </c>
      <c r="BS193" t="s">
        <v>243</v>
      </c>
      <c r="BT193" t="s">
        <v>243</v>
      </c>
      <c r="BU193" t="s">
        <v>243</v>
      </c>
      <c r="BV193" t="s">
        <v>2829</v>
      </c>
      <c r="BW193" t="s">
        <v>243</v>
      </c>
      <c r="BX193" t="s">
        <v>243</v>
      </c>
      <c r="BY193" t="s">
        <v>243</v>
      </c>
      <c r="BZ193" t="s">
        <v>243</v>
      </c>
      <c r="CA193" t="s">
        <v>243</v>
      </c>
      <c r="CB193" t="s">
        <v>2829</v>
      </c>
      <c r="CC193" t="s">
        <v>243</v>
      </c>
      <c r="CD193" t="s">
        <v>243</v>
      </c>
      <c r="CE193" t="s">
        <v>243</v>
      </c>
      <c r="CF193" t="s">
        <v>243</v>
      </c>
      <c r="CG193" t="s">
        <v>243</v>
      </c>
      <c r="CH193" t="s">
        <v>2829</v>
      </c>
      <c r="CI193" t="s">
        <v>243</v>
      </c>
      <c r="CJ193" t="s">
        <v>243</v>
      </c>
      <c r="CK193" t="s">
        <v>243</v>
      </c>
      <c r="CL193" t="s">
        <v>243</v>
      </c>
      <c r="CM193" t="s">
        <v>243</v>
      </c>
      <c r="CN193" t="s">
        <v>2888</v>
      </c>
      <c r="CO193" t="s">
        <v>2843</v>
      </c>
      <c r="CP193" t="s">
        <v>2844</v>
      </c>
      <c r="CQ193" t="s">
        <v>430</v>
      </c>
      <c r="CR193" t="s">
        <v>2899</v>
      </c>
      <c r="CS193" t="s">
        <v>431</v>
      </c>
      <c r="CT193" t="s">
        <v>430</v>
      </c>
      <c r="CU193" t="s">
        <v>2846</v>
      </c>
      <c r="CV193" t="s">
        <v>2900</v>
      </c>
      <c r="CW193" t="s">
        <v>2899</v>
      </c>
      <c r="CX193" t="s">
        <v>2848</v>
      </c>
      <c r="CY193" t="s">
        <v>3218</v>
      </c>
    </row>
    <row r="194" spans="1:103" ht="11.25" customHeight="1">
      <c r="A194" t="s">
        <v>243</v>
      </c>
      <c r="B194" t="s">
        <v>243</v>
      </c>
      <c r="C194" t="s">
        <v>243</v>
      </c>
      <c r="D194" t="s">
        <v>243</v>
      </c>
      <c r="E194" t="s">
        <v>243</v>
      </c>
      <c r="F194" t="s">
        <v>2816</v>
      </c>
      <c r="G194" t="s">
        <v>243</v>
      </c>
      <c r="H194" t="s">
        <v>243</v>
      </c>
      <c r="I194" t="s">
        <v>2926</v>
      </c>
      <c r="J194" t="s">
        <v>243</v>
      </c>
      <c r="K194" t="s">
        <v>2818</v>
      </c>
      <c r="L194" t="s">
        <v>243</v>
      </c>
      <c r="M194" t="s">
        <v>114</v>
      </c>
      <c r="N194" t="s">
        <v>243</v>
      </c>
      <c r="O194" t="s">
        <v>2819</v>
      </c>
      <c r="P194" t="s">
        <v>4449</v>
      </c>
      <c r="Q194" t="s">
        <v>2821</v>
      </c>
      <c r="R194" t="s">
        <v>200</v>
      </c>
      <c r="S194" t="s">
        <v>200</v>
      </c>
      <c r="T194" t="s">
        <v>2822</v>
      </c>
      <c r="U194" t="s">
        <v>2822</v>
      </c>
      <c r="V194" t="s">
        <v>2823</v>
      </c>
      <c r="W194" t="s">
        <v>2927</v>
      </c>
      <c r="X194" t="s">
        <v>2928</v>
      </c>
      <c r="Y194" t="s">
        <v>2929</v>
      </c>
      <c r="Z194" t="s">
        <v>2930</v>
      </c>
      <c r="AA194" t="s">
        <v>2865</v>
      </c>
      <c r="AB194" t="s">
        <v>2838</v>
      </c>
      <c r="AC194" t="s">
        <v>2829</v>
      </c>
      <c r="AD194" t="s">
        <v>2830</v>
      </c>
      <c r="AE194" t="s">
        <v>2857</v>
      </c>
      <c r="AF194" t="s">
        <v>2867</v>
      </c>
      <c r="AG194" t="s">
        <v>2867</v>
      </c>
      <c r="AH194" t="s">
        <v>2834</v>
      </c>
      <c r="AI194" t="s">
        <v>2835</v>
      </c>
      <c r="AJ194" t="s">
        <v>2829</v>
      </c>
      <c r="AK194" t="s">
        <v>2922</v>
      </c>
      <c r="AL194" t="s">
        <v>2865</v>
      </c>
      <c r="AM194" t="s">
        <v>2838</v>
      </c>
      <c r="AN194" t="s">
        <v>2829</v>
      </c>
      <c r="AO194" t="s">
        <v>2839</v>
      </c>
      <c r="AP194" t="s">
        <v>2840</v>
      </c>
      <c r="AQ194" t="s">
        <v>2841</v>
      </c>
      <c r="AR194" t="s">
        <v>2923</v>
      </c>
      <c r="AS194" t="s">
        <v>2923</v>
      </c>
      <c r="AT194" t="s">
        <v>2829</v>
      </c>
      <c r="AU194" t="s">
        <v>2829</v>
      </c>
      <c r="AV194" t="s">
        <v>2829</v>
      </c>
      <c r="AW194" t="s">
        <v>2829</v>
      </c>
      <c r="AX194" t="s">
        <v>2829</v>
      </c>
      <c r="AY194" t="s">
        <v>2829</v>
      </c>
      <c r="AZ194" t="s">
        <v>2829</v>
      </c>
      <c r="BA194" t="s">
        <v>2829</v>
      </c>
      <c r="BB194" t="s">
        <v>2829</v>
      </c>
      <c r="BC194" t="s">
        <v>2829</v>
      </c>
      <c r="BD194" t="s">
        <v>2923</v>
      </c>
      <c r="BE194" t="s">
        <v>2923</v>
      </c>
      <c r="BF194" t="s">
        <v>243</v>
      </c>
      <c r="BG194" t="s">
        <v>243</v>
      </c>
      <c r="BH194" t="s">
        <v>243</v>
      </c>
      <c r="BI194" t="s">
        <v>243</v>
      </c>
      <c r="BJ194" t="s">
        <v>2829</v>
      </c>
      <c r="BK194" t="s">
        <v>243</v>
      </c>
      <c r="BL194" t="s">
        <v>243</v>
      </c>
      <c r="BM194" t="s">
        <v>243</v>
      </c>
      <c r="BN194" t="s">
        <v>243</v>
      </c>
      <c r="BO194" t="s">
        <v>243</v>
      </c>
      <c r="BP194" t="s">
        <v>2829</v>
      </c>
      <c r="BQ194" t="s">
        <v>243</v>
      </c>
      <c r="BR194" t="s">
        <v>243</v>
      </c>
      <c r="BS194" t="s">
        <v>243</v>
      </c>
      <c r="BT194" t="s">
        <v>243</v>
      </c>
      <c r="BU194" t="s">
        <v>243</v>
      </c>
      <c r="BV194" t="s">
        <v>2829</v>
      </c>
      <c r="BW194" t="s">
        <v>243</v>
      </c>
      <c r="BX194" t="s">
        <v>243</v>
      </c>
      <c r="BY194" t="s">
        <v>243</v>
      </c>
      <c r="BZ194" t="s">
        <v>243</v>
      </c>
      <c r="CA194" t="s">
        <v>243</v>
      </c>
      <c r="CB194" t="s">
        <v>2829</v>
      </c>
      <c r="CC194" t="s">
        <v>243</v>
      </c>
      <c r="CD194" t="s">
        <v>243</v>
      </c>
      <c r="CE194" t="s">
        <v>243</v>
      </c>
      <c r="CF194" t="s">
        <v>243</v>
      </c>
      <c r="CG194" t="s">
        <v>243</v>
      </c>
      <c r="CH194" t="s">
        <v>2829</v>
      </c>
      <c r="CI194" t="s">
        <v>243</v>
      </c>
      <c r="CJ194" t="s">
        <v>243</v>
      </c>
      <c r="CK194" t="s">
        <v>243</v>
      </c>
      <c r="CL194" t="s">
        <v>243</v>
      </c>
      <c r="CM194" t="s">
        <v>243</v>
      </c>
      <c r="CN194" t="s">
        <v>2829</v>
      </c>
      <c r="CO194" t="s">
        <v>2924</v>
      </c>
      <c r="CP194" t="s">
        <v>2844</v>
      </c>
      <c r="CQ194" t="s">
        <v>430</v>
      </c>
      <c r="CR194" t="s">
        <v>2872</v>
      </c>
      <c r="CS194" t="s">
        <v>431</v>
      </c>
      <c r="CT194" t="s">
        <v>430</v>
      </c>
      <c r="CU194" t="s">
        <v>2846</v>
      </c>
      <c r="CV194" t="s">
        <v>2873</v>
      </c>
      <c r="CW194" t="s">
        <v>2872</v>
      </c>
      <c r="CX194" t="s">
        <v>2848</v>
      </c>
      <c r="CY194" t="s">
        <v>2931</v>
      </c>
    </row>
    <row r="195" spans="1:103" ht="11.25" customHeight="1">
      <c r="A195" t="s">
        <v>243</v>
      </c>
      <c r="B195" t="s">
        <v>243</v>
      </c>
      <c r="C195" t="s">
        <v>243</v>
      </c>
      <c r="D195" t="s">
        <v>243</v>
      </c>
      <c r="E195" t="s">
        <v>243</v>
      </c>
      <c r="F195" t="s">
        <v>2816</v>
      </c>
      <c r="G195" t="s">
        <v>243</v>
      </c>
      <c r="H195" t="s">
        <v>243</v>
      </c>
      <c r="I195" t="s">
        <v>2932</v>
      </c>
      <c r="J195" t="s">
        <v>243</v>
      </c>
      <c r="K195" t="s">
        <v>428</v>
      </c>
      <c r="L195" t="s">
        <v>243</v>
      </c>
      <c r="M195" t="s">
        <v>114</v>
      </c>
      <c r="N195" t="s">
        <v>243</v>
      </c>
      <c r="O195" t="s">
        <v>2819</v>
      </c>
      <c r="P195" t="s">
        <v>4449</v>
      </c>
      <c r="Q195" t="s">
        <v>2821</v>
      </c>
      <c r="R195" t="s">
        <v>200</v>
      </c>
      <c r="S195" t="s">
        <v>200</v>
      </c>
      <c r="T195" t="s">
        <v>4451</v>
      </c>
      <c r="U195" t="s">
        <v>4451</v>
      </c>
      <c r="V195" t="s">
        <v>4452</v>
      </c>
      <c r="W195" t="s">
        <v>2935</v>
      </c>
      <c r="X195" t="s">
        <v>4453</v>
      </c>
      <c r="Y195" t="s">
        <v>2937</v>
      </c>
      <c r="Z195" t="s">
        <v>2938</v>
      </c>
      <c r="AA195" t="s">
        <v>2939</v>
      </c>
      <c r="AB195" t="s">
        <v>2940</v>
      </c>
      <c r="AC195" t="s">
        <v>2829</v>
      </c>
      <c r="AD195" t="s">
        <v>2883</v>
      </c>
      <c r="AE195" t="s">
        <v>2831</v>
      </c>
      <c r="AF195" t="s">
        <v>2941</v>
      </c>
      <c r="AG195" t="s">
        <v>2941</v>
      </c>
      <c r="AH195" t="s">
        <v>2834</v>
      </c>
      <c r="AI195" t="s">
        <v>2835</v>
      </c>
      <c r="AJ195" t="s">
        <v>2942</v>
      </c>
      <c r="AK195" t="s">
        <v>2943</v>
      </c>
      <c r="AL195" t="s">
        <v>2939</v>
      </c>
      <c r="AM195" t="s">
        <v>2940</v>
      </c>
      <c r="AN195" t="s">
        <v>243</v>
      </c>
      <c r="AO195" t="s">
        <v>2839</v>
      </c>
      <c r="AP195" t="s">
        <v>2840</v>
      </c>
      <c r="AQ195" t="s">
        <v>2841</v>
      </c>
      <c r="AR195" t="s">
        <v>2944</v>
      </c>
      <c r="AS195" t="s">
        <v>2944</v>
      </c>
      <c r="AT195" t="s">
        <v>2829</v>
      </c>
      <c r="AU195" t="s">
        <v>2829</v>
      </c>
      <c r="AV195" t="s">
        <v>2829</v>
      </c>
      <c r="AW195" t="s">
        <v>2829</v>
      </c>
      <c r="AX195" t="s">
        <v>2829</v>
      </c>
      <c r="AY195" t="s">
        <v>2829</v>
      </c>
      <c r="AZ195" t="s">
        <v>2829</v>
      </c>
      <c r="BA195" t="s">
        <v>2829</v>
      </c>
      <c r="BB195" t="s">
        <v>2829</v>
      </c>
      <c r="BC195" t="s">
        <v>2829</v>
      </c>
      <c r="BD195" t="s">
        <v>2945</v>
      </c>
      <c r="BE195" t="s">
        <v>2945</v>
      </c>
      <c r="BF195" t="s">
        <v>243</v>
      </c>
      <c r="BG195" t="s">
        <v>243</v>
      </c>
      <c r="BH195" t="s">
        <v>243</v>
      </c>
      <c r="BI195" t="s">
        <v>243</v>
      </c>
      <c r="BJ195" t="s">
        <v>2829</v>
      </c>
      <c r="BK195" t="s">
        <v>243</v>
      </c>
      <c r="BL195" t="s">
        <v>243</v>
      </c>
      <c r="BM195" t="s">
        <v>243</v>
      </c>
      <c r="BN195" t="s">
        <v>243</v>
      </c>
      <c r="BO195" t="s">
        <v>243</v>
      </c>
      <c r="BP195" t="s">
        <v>2946</v>
      </c>
      <c r="BQ195" t="s">
        <v>2946</v>
      </c>
      <c r="BR195" t="s">
        <v>243</v>
      </c>
      <c r="BS195" t="s">
        <v>243</v>
      </c>
      <c r="BT195" t="s">
        <v>243</v>
      </c>
      <c r="BU195" t="s">
        <v>243</v>
      </c>
      <c r="BV195" t="s">
        <v>2829</v>
      </c>
      <c r="BW195" t="s">
        <v>243</v>
      </c>
      <c r="BX195" t="s">
        <v>243</v>
      </c>
      <c r="BY195" t="s">
        <v>243</v>
      </c>
      <c r="BZ195" t="s">
        <v>243</v>
      </c>
      <c r="CA195" t="s">
        <v>243</v>
      </c>
      <c r="CB195" t="s">
        <v>2829</v>
      </c>
      <c r="CC195" t="s">
        <v>243</v>
      </c>
      <c r="CD195" t="s">
        <v>243</v>
      </c>
      <c r="CE195" t="s">
        <v>243</v>
      </c>
      <c r="CF195" t="s">
        <v>243</v>
      </c>
      <c r="CG195" t="s">
        <v>243</v>
      </c>
      <c r="CH195" t="s">
        <v>2829</v>
      </c>
      <c r="CI195" t="s">
        <v>243</v>
      </c>
      <c r="CJ195" t="s">
        <v>243</v>
      </c>
      <c r="CK195" t="s">
        <v>243</v>
      </c>
      <c r="CL195" t="s">
        <v>243</v>
      </c>
      <c r="CM195" t="s">
        <v>243</v>
      </c>
      <c r="CN195" t="s">
        <v>2942</v>
      </c>
      <c r="CO195" t="s">
        <v>2843</v>
      </c>
      <c r="CP195" t="s">
        <v>2844</v>
      </c>
      <c r="CQ195" t="s">
        <v>430</v>
      </c>
      <c r="CR195" t="s">
        <v>2947</v>
      </c>
      <c r="CS195" t="s">
        <v>431</v>
      </c>
      <c r="CT195" t="s">
        <v>430</v>
      </c>
      <c r="CU195" t="s">
        <v>2948</v>
      </c>
      <c r="CV195" t="s">
        <v>2949</v>
      </c>
      <c r="CW195" t="s">
        <v>2947</v>
      </c>
      <c r="CX195" t="s">
        <v>2848</v>
      </c>
      <c r="CY195" t="s">
        <v>2950</v>
      </c>
    </row>
    <row r="196" spans="1:103" ht="11.25" customHeight="1">
      <c r="A196" t="s">
        <v>243</v>
      </c>
      <c r="B196" t="s">
        <v>243</v>
      </c>
      <c r="C196" t="s">
        <v>243</v>
      </c>
      <c r="D196" t="s">
        <v>243</v>
      </c>
      <c r="E196" t="s">
        <v>243</v>
      </c>
      <c r="F196" t="s">
        <v>2816</v>
      </c>
      <c r="G196" t="s">
        <v>243</v>
      </c>
      <c r="H196" t="s">
        <v>243</v>
      </c>
      <c r="I196" t="s">
        <v>454</v>
      </c>
      <c r="J196" t="s">
        <v>243</v>
      </c>
      <c r="K196" t="s">
        <v>3908</v>
      </c>
      <c r="L196" t="s">
        <v>243</v>
      </c>
      <c r="M196" t="s">
        <v>114</v>
      </c>
      <c r="N196" t="s">
        <v>243</v>
      </c>
      <c r="O196" t="s">
        <v>2819</v>
      </c>
      <c r="P196" t="s">
        <v>4449</v>
      </c>
      <c r="Q196" t="s">
        <v>2821</v>
      </c>
      <c r="R196" t="s">
        <v>200</v>
      </c>
      <c r="S196" t="s">
        <v>200</v>
      </c>
      <c r="T196" t="s">
        <v>2822</v>
      </c>
      <c r="U196" t="s">
        <v>2822</v>
      </c>
      <c r="V196" t="s">
        <v>2823</v>
      </c>
      <c r="W196" t="s">
        <v>2952</v>
      </c>
      <c r="X196" t="s">
        <v>2953</v>
      </c>
      <c r="Y196" t="s">
        <v>3741</v>
      </c>
      <c r="Z196" t="s">
        <v>3909</v>
      </c>
      <c r="AA196" t="s">
        <v>3910</v>
      </c>
      <c r="AB196" t="s">
        <v>3911</v>
      </c>
      <c r="AC196" t="s">
        <v>3912</v>
      </c>
      <c r="AD196" t="s">
        <v>2830</v>
      </c>
      <c r="AE196" t="s">
        <v>2831</v>
      </c>
      <c r="AF196" t="s">
        <v>3913</v>
      </c>
      <c r="AG196" t="s">
        <v>3914</v>
      </c>
      <c r="AH196" t="s">
        <v>2834</v>
      </c>
      <c r="AI196" t="s">
        <v>2835</v>
      </c>
      <c r="AJ196" t="s">
        <v>2960</v>
      </c>
      <c r="AK196" t="s">
        <v>2889</v>
      </c>
      <c r="AL196" t="s">
        <v>3910</v>
      </c>
      <c r="AM196" t="s">
        <v>3915</v>
      </c>
      <c r="AN196" t="s">
        <v>3916</v>
      </c>
      <c r="AO196" t="s">
        <v>2839</v>
      </c>
      <c r="AP196" t="s">
        <v>2840</v>
      </c>
      <c r="AQ196" t="s">
        <v>2841</v>
      </c>
      <c r="AR196" t="s">
        <v>3917</v>
      </c>
      <c r="AS196" t="s">
        <v>3918</v>
      </c>
      <c r="AT196" t="s">
        <v>3919</v>
      </c>
      <c r="AU196" t="s">
        <v>2829</v>
      </c>
      <c r="AV196" t="s">
        <v>2829</v>
      </c>
      <c r="AW196" t="s">
        <v>2829</v>
      </c>
      <c r="AX196" t="s">
        <v>2829</v>
      </c>
      <c r="AY196" t="s">
        <v>2829</v>
      </c>
      <c r="AZ196" t="s">
        <v>2829</v>
      </c>
      <c r="BA196" t="s">
        <v>2829</v>
      </c>
      <c r="BB196" t="s">
        <v>2829</v>
      </c>
      <c r="BC196" t="s">
        <v>2829</v>
      </c>
      <c r="BD196" t="s">
        <v>3920</v>
      </c>
      <c r="BE196" t="s">
        <v>3921</v>
      </c>
      <c r="BF196" t="s">
        <v>3919</v>
      </c>
      <c r="BG196" t="s">
        <v>243</v>
      </c>
      <c r="BH196" t="s">
        <v>243</v>
      </c>
      <c r="BI196" t="s">
        <v>243</v>
      </c>
      <c r="BJ196" t="s">
        <v>2829</v>
      </c>
      <c r="BK196" t="s">
        <v>243</v>
      </c>
      <c r="BL196" t="s">
        <v>243</v>
      </c>
      <c r="BM196" t="s">
        <v>243</v>
      </c>
      <c r="BN196" t="s">
        <v>243</v>
      </c>
      <c r="BO196" t="s">
        <v>243</v>
      </c>
      <c r="BP196" t="s">
        <v>3922</v>
      </c>
      <c r="BQ196" t="s">
        <v>3922</v>
      </c>
      <c r="BR196" t="s">
        <v>243</v>
      </c>
      <c r="BS196" t="s">
        <v>243</v>
      </c>
      <c r="BT196" t="s">
        <v>243</v>
      </c>
      <c r="BU196" t="s">
        <v>243</v>
      </c>
      <c r="BV196" t="s">
        <v>2829</v>
      </c>
      <c r="BW196" t="s">
        <v>243</v>
      </c>
      <c r="BX196" t="s">
        <v>243</v>
      </c>
      <c r="BY196" t="s">
        <v>243</v>
      </c>
      <c r="BZ196" t="s">
        <v>243</v>
      </c>
      <c r="CA196" t="s">
        <v>243</v>
      </c>
      <c r="CB196" t="s">
        <v>2829</v>
      </c>
      <c r="CC196" t="s">
        <v>243</v>
      </c>
      <c r="CD196" t="s">
        <v>243</v>
      </c>
      <c r="CE196" t="s">
        <v>243</v>
      </c>
      <c r="CF196" t="s">
        <v>243</v>
      </c>
      <c r="CG196" t="s">
        <v>243</v>
      </c>
      <c r="CH196" t="s">
        <v>2829</v>
      </c>
      <c r="CI196" t="s">
        <v>243</v>
      </c>
      <c r="CJ196" t="s">
        <v>243</v>
      </c>
      <c r="CK196" t="s">
        <v>243</v>
      </c>
      <c r="CL196" t="s">
        <v>243</v>
      </c>
      <c r="CM196" t="s">
        <v>243</v>
      </c>
      <c r="CN196" t="s">
        <v>2960</v>
      </c>
      <c r="CO196" t="s">
        <v>2843</v>
      </c>
      <c r="CP196" t="s">
        <v>2844</v>
      </c>
      <c r="CQ196" t="s">
        <v>430</v>
      </c>
      <c r="CR196" t="s">
        <v>2845</v>
      </c>
      <c r="CS196" t="s">
        <v>431</v>
      </c>
      <c r="CT196" t="s">
        <v>430</v>
      </c>
      <c r="CU196" t="s">
        <v>2846</v>
      </c>
      <c r="CV196" t="s">
        <v>2847</v>
      </c>
      <c r="CW196" t="s">
        <v>2845</v>
      </c>
      <c r="CX196" t="s">
        <v>2848</v>
      </c>
      <c r="CY196" t="s">
        <v>3923</v>
      </c>
    </row>
    <row r="197" spans="1:103" ht="11.25" customHeight="1">
      <c r="A197" t="s">
        <v>243</v>
      </c>
      <c r="B197" t="s">
        <v>243</v>
      </c>
      <c r="C197" t="s">
        <v>243</v>
      </c>
      <c r="D197" t="s">
        <v>243</v>
      </c>
      <c r="E197" t="s">
        <v>243</v>
      </c>
      <c r="F197" t="s">
        <v>2816</v>
      </c>
      <c r="G197" t="s">
        <v>243</v>
      </c>
      <c r="H197" t="s">
        <v>243</v>
      </c>
      <c r="I197" t="s">
        <v>341</v>
      </c>
      <c r="J197" t="s">
        <v>243</v>
      </c>
      <c r="K197" t="s">
        <v>3991</v>
      </c>
      <c r="L197" t="s">
        <v>243</v>
      </c>
      <c r="M197" t="s">
        <v>114</v>
      </c>
      <c r="N197" t="s">
        <v>243</v>
      </c>
      <c r="O197" t="s">
        <v>2819</v>
      </c>
      <c r="P197" t="s">
        <v>4449</v>
      </c>
      <c r="Q197" t="s">
        <v>2821</v>
      </c>
      <c r="R197" t="s">
        <v>200</v>
      </c>
      <c r="S197" t="s">
        <v>200</v>
      </c>
      <c r="T197" t="s">
        <v>3282</v>
      </c>
      <c r="U197" t="s">
        <v>3282</v>
      </c>
      <c r="V197" t="s">
        <v>3283</v>
      </c>
      <c r="W197" t="s">
        <v>3284</v>
      </c>
      <c r="X197" t="s">
        <v>3285</v>
      </c>
      <c r="Y197" t="s">
        <v>3992</v>
      </c>
      <c r="Z197" t="s">
        <v>457</v>
      </c>
      <c r="AA197" t="s">
        <v>3993</v>
      </c>
      <c r="AB197" t="s">
        <v>3994</v>
      </c>
      <c r="AC197" t="s">
        <v>2829</v>
      </c>
      <c r="AD197" t="s">
        <v>2883</v>
      </c>
      <c r="AE197" t="s">
        <v>2975</v>
      </c>
      <c r="AF197" t="s">
        <v>3995</v>
      </c>
      <c r="AG197" t="s">
        <v>3290</v>
      </c>
      <c r="AH197" t="s">
        <v>2834</v>
      </c>
      <c r="AI197" t="s">
        <v>2887</v>
      </c>
      <c r="AJ197" t="s">
        <v>2888</v>
      </c>
      <c r="AK197" t="s">
        <v>3949</v>
      </c>
      <c r="AL197" t="s">
        <v>3993</v>
      </c>
      <c r="AM197" t="s">
        <v>3994</v>
      </c>
      <c r="AN197" t="s">
        <v>2829</v>
      </c>
      <c r="AO197" t="s">
        <v>2839</v>
      </c>
      <c r="AP197" t="s">
        <v>2840</v>
      </c>
      <c r="AQ197" t="s">
        <v>2841</v>
      </c>
      <c r="AR197" t="s">
        <v>3996</v>
      </c>
      <c r="AS197" t="s">
        <v>3997</v>
      </c>
      <c r="AT197" t="s">
        <v>3998</v>
      </c>
      <c r="AU197" t="s">
        <v>3999</v>
      </c>
      <c r="AV197" t="s">
        <v>4000</v>
      </c>
      <c r="AW197" t="s">
        <v>2829</v>
      </c>
      <c r="AX197" t="s">
        <v>2829</v>
      </c>
      <c r="AY197" t="s">
        <v>2829</v>
      </c>
      <c r="AZ197" t="s">
        <v>2829</v>
      </c>
      <c r="BA197" t="s">
        <v>2829</v>
      </c>
      <c r="BB197" t="s">
        <v>2829</v>
      </c>
      <c r="BC197" t="s">
        <v>2829</v>
      </c>
      <c r="BD197" t="s">
        <v>4001</v>
      </c>
      <c r="BE197" t="s">
        <v>4002</v>
      </c>
      <c r="BF197" t="s">
        <v>4003</v>
      </c>
      <c r="BG197" t="s">
        <v>4004</v>
      </c>
      <c r="BH197" t="s">
        <v>4000</v>
      </c>
      <c r="BI197" t="s">
        <v>243</v>
      </c>
      <c r="BJ197" t="s">
        <v>2829</v>
      </c>
      <c r="BK197" t="s">
        <v>243</v>
      </c>
      <c r="BL197" t="s">
        <v>243</v>
      </c>
      <c r="BM197" t="s">
        <v>243</v>
      </c>
      <c r="BN197" t="s">
        <v>243</v>
      </c>
      <c r="BO197" t="s">
        <v>243</v>
      </c>
      <c r="BP197" t="s">
        <v>4005</v>
      </c>
      <c r="BQ197" t="s">
        <v>4006</v>
      </c>
      <c r="BR197" t="s">
        <v>4007</v>
      </c>
      <c r="BS197" t="s">
        <v>4008</v>
      </c>
      <c r="BT197" t="s">
        <v>243</v>
      </c>
      <c r="BU197" t="s">
        <v>243</v>
      </c>
      <c r="BV197" t="s">
        <v>2829</v>
      </c>
      <c r="BW197" t="s">
        <v>243</v>
      </c>
      <c r="BX197" t="s">
        <v>243</v>
      </c>
      <c r="BY197" t="s">
        <v>243</v>
      </c>
      <c r="BZ197" t="s">
        <v>243</v>
      </c>
      <c r="CA197" t="s">
        <v>243</v>
      </c>
      <c r="CB197" t="s">
        <v>2829</v>
      </c>
      <c r="CC197" t="s">
        <v>243</v>
      </c>
      <c r="CD197" t="s">
        <v>243</v>
      </c>
      <c r="CE197" t="s">
        <v>243</v>
      </c>
      <c r="CF197" t="s">
        <v>243</v>
      </c>
      <c r="CG197" t="s">
        <v>243</v>
      </c>
      <c r="CH197" t="s">
        <v>2829</v>
      </c>
      <c r="CI197" t="s">
        <v>243</v>
      </c>
      <c r="CJ197" t="s">
        <v>243</v>
      </c>
      <c r="CK197" t="s">
        <v>243</v>
      </c>
      <c r="CL197" t="s">
        <v>243</v>
      </c>
      <c r="CM197" t="s">
        <v>243</v>
      </c>
      <c r="CN197" t="s">
        <v>2888</v>
      </c>
      <c r="CO197" t="s">
        <v>2843</v>
      </c>
      <c r="CP197" t="s">
        <v>2844</v>
      </c>
      <c r="CQ197" t="s">
        <v>430</v>
      </c>
      <c r="CR197" t="s">
        <v>3297</v>
      </c>
      <c r="CS197" t="s">
        <v>431</v>
      </c>
      <c r="CT197" t="s">
        <v>430</v>
      </c>
      <c r="CU197" t="s">
        <v>341</v>
      </c>
      <c r="CV197" t="s">
        <v>2900</v>
      </c>
      <c r="CW197" t="s">
        <v>3297</v>
      </c>
      <c r="CX197" t="s">
        <v>2848</v>
      </c>
      <c r="CY197" t="s">
        <v>4009</v>
      </c>
    </row>
    <row r="198" spans="1:103" ht="11.25" customHeight="1">
      <c r="A198" t="s">
        <v>243</v>
      </c>
      <c r="B198" t="s">
        <v>243</v>
      </c>
      <c r="C198" t="s">
        <v>243</v>
      </c>
      <c r="D198" t="s">
        <v>243</v>
      </c>
      <c r="E198" t="s">
        <v>243</v>
      </c>
      <c r="F198" t="s">
        <v>2816</v>
      </c>
      <c r="G198" t="s">
        <v>243</v>
      </c>
      <c r="H198" t="s">
        <v>243</v>
      </c>
      <c r="I198" t="s">
        <v>3232</v>
      </c>
      <c r="J198" t="s">
        <v>243</v>
      </c>
      <c r="K198" t="s">
        <v>3233</v>
      </c>
      <c r="L198" t="s">
        <v>243</v>
      </c>
      <c r="M198" t="s">
        <v>114</v>
      </c>
      <c r="N198" t="s">
        <v>243</v>
      </c>
      <c r="O198" t="s">
        <v>2819</v>
      </c>
      <c r="P198" t="s">
        <v>4449</v>
      </c>
      <c r="Q198" t="s">
        <v>2821</v>
      </c>
      <c r="R198" t="s">
        <v>200</v>
      </c>
      <c r="S198" t="s">
        <v>200</v>
      </c>
      <c r="T198" t="s">
        <v>4451</v>
      </c>
      <c r="U198" t="s">
        <v>4451</v>
      </c>
      <c r="V198" t="s">
        <v>4452</v>
      </c>
      <c r="W198" t="s">
        <v>2935</v>
      </c>
      <c r="X198" t="s">
        <v>4453</v>
      </c>
      <c r="Y198" t="s">
        <v>3234</v>
      </c>
      <c r="Z198" t="s">
        <v>3235</v>
      </c>
      <c r="AA198" t="s">
        <v>3236</v>
      </c>
      <c r="AB198" t="s">
        <v>3237</v>
      </c>
      <c r="AC198" t="s">
        <v>2829</v>
      </c>
      <c r="AD198" t="s">
        <v>2883</v>
      </c>
      <c r="AE198" t="s">
        <v>2831</v>
      </c>
      <c r="AF198" t="s">
        <v>3238</v>
      </c>
      <c r="AG198" t="s">
        <v>3238</v>
      </c>
      <c r="AH198" t="s">
        <v>2834</v>
      </c>
      <c r="AI198" t="s">
        <v>2835</v>
      </c>
      <c r="AJ198" t="s">
        <v>2942</v>
      </c>
      <c r="AK198" t="s">
        <v>3239</v>
      </c>
      <c r="AL198" t="s">
        <v>3236</v>
      </c>
      <c r="AM198" t="s">
        <v>3237</v>
      </c>
      <c r="AN198" t="s">
        <v>243</v>
      </c>
      <c r="AO198" t="s">
        <v>2839</v>
      </c>
      <c r="AP198" t="s">
        <v>2840</v>
      </c>
      <c r="AQ198" t="s">
        <v>2841</v>
      </c>
      <c r="AR198" t="s">
        <v>3240</v>
      </c>
      <c r="AS198" t="s">
        <v>3240</v>
      </c>
      <c r="AT198" t="s">
        <v>2829</v>
      </c>
      <c r="AU198" t="s">
        <v>2829</v>
      </c>
      <c r="AV198" t="s">
        <v>2829</v>
      </c>
      <c r="AW198" t="s">
        <v>2829</v>
      </c>
      <c r="AX198" t="s">
        <v>2829</v>
      </c>
      <c r="AY198" t="s">
        <v>2829</v>
      </c>
      <c r="AZ198" t="s">
        <v>2829</v>
      </c>
      <c r="BA198" t="s">
        <v>2829</v>
      </c>
      <c r="BB198" t="s">
        <v>2829</v>
      </c>
      <c r="BC198" t="s">
        <v>2829</v>
      </c>
      <c r="BD198" t="s">
        <v>3241</v>
      </c>
      <c r="BE198" t="s">
        <v>3241</v>
      </c>
      <c r="BF198" t="s">
        <v>243</v>
      </c>
      <c r="BG198" t="s">
        <v>243</v>
      </c>
      <c r="BH198" t="s">
        <v>243</v>
      </c>
      <c r="BI198" t="s">
        <v>243</v>
      </c>
      <c r="BJ198" t="s">
        <v>2829</v>
      </c>
      <c r="BK198" t="s">
        <v>243</v>
      </c>
      <c r="BL198" t="s">
        <v>243</v>
      </c>
      <c r="BM198" t="s">
        <v>243</v>
      </c>
      <c r="BN198" t="s">
        <v>243</v>
      </c>
      <c r="BO198" t="s">
        <v>243</v>
      </c>
      <c r="BP198" t="s">
        <v>3242</v>
      </c>
      <c r="BQ198" t="s">
        <v>3242</v>
      </c>
      <c r="BR198" t="s">
        <v>243</v>
      </c>
      <c r="BS198" t="s">
        <v>243</v>
      </c>
      <c r="BT198" t="s">
        <v>243</v>
      </c>
      <c r="BU198" t="s">
        <v>243</v>
      </c>
      <c r="BV198" t="s">
        <v>2829</v>
      </c>
      <c r="BW198" t="s">
        <v>243</v>
      </c>
      <c r="BX198" t="s">
        <v>243</v>
      </c>
      <c r="BY198" t="s">
        <v>243</v>
      </c>
      <c r="BZ198" t="s">
        <v>243</v>
      </c>
      <c r="CA198" t="s">
        <v>243</v>
      </c>
      <c r="CB198" t="s">
        <v>2829</v>
      </c>
      <c r="CC198" t="s">
        <v>243</v>
      </c>
      <c r="CD198" t="s">
        <v>243</v>
      </c>
      <c r="CE198" t="s">
        <v>243</v>
      </c>
      <c r="CF198" t="s">
        <v>243</v>
      </c>
      <c r="CG198" t="s">
        <v>243</v>
      </c>
      <c r="CH198" t="s">
        <v>2829</v>
      </c>
      <c r="CI198" t="s">
        <v>243</v>
      </c>
      <c r="CJ198" t="s">
        <v>243</v>
      </c>
      <c r="CK198" t="s">
        <v>243</v>
      </c>
      <c r="CL198" t="s">
        <v>243</v>
      </c>
      <c r="CM198" t="s">
        <v>243</v>
      </c>
      <c r="CN198" t="s">
        <v>2942</v>
      </c>
      <c r="CO198" t="s">
        <v>2843</v>
      </c>
      <c r="CP198" t="s">
        <v>2844</v>
      </c>
      <c r="CQ198" t="s">
        <v>430</v>
      </c>
      <c r="CR198" t="s">
        <v>2947</v>
      </c>
      <c r="CS198" t="s">
        <v>431</v>
      </c>
      <c r="CT198" t="s">
        <v>430</v>
      </c>
      <c r="CU198" t="s">
        <v>2948</v>
      </c>
      <c r="CV198" t="s">
        <v>2949</v>
      </c>
      <c r="CW198" t="s">
        <v>2947</v>
      </c>
      <c r="CX198" t="s">
        <v>2848</v>
      </c>
      <c r="CY198" t="s">
        <v>3243</v>
      </c>
    </row>
    <row r="199" spans="1:103" ht="11.25" customHeight="1">
      <c r="A199" t="s">
        <v>243</v>
      </c>
      <c r="B199" t="s">
        <v>243</v>
      </c>
      <c r="C199" t="s">
        <v>243</v>
      </c>
      <c r="D199" t="s">
        <v>243</v>
      </c>
      <c r="E199" t="s">
        <v>243</v>
      </c>
      <c r="F199" t="s">
        <v>2816</v>
      </c>
      <c r="G199" t="s">
        <v>243</v>
      </c>
      <c r="H199" t="s">
        <v>243</v>
      </c>
      <c r="I199" t="s">
        <v>3601</v>
      </c>
      <c r="J199" t="s">
        <v>243</v>
      </c>
      <c r="K199" t="s">
        <v>3281</v>
      </c>
      <c r="L199" t="s">
        <v>243</v>
      </c>
      <c r="M199" t="s">
        <v>114</v>
      </c>
      <c r="N199" t="s">
        <v>243</v>
      </c>
      <c r="O199" t="s">
        <v>2819</v>
      </c>
      <c r="P199" t="s">
        <v>4449</v>
      </c>
      <c r="Q199" t="s">
        <v>2821</v>
      </c>
      <c r="R199" t="s">
        <v>200</v>
      </c>
      <c r="S199" t="s">
        <v>200</v>
      </c>
      <c r="T199" t="s">
        <v>2968</v>
      </c>
      <c r="U199" t="s">
        <v>2968</v>
      </c>
      <c r="V199" t="s">
        <v>2969</v>
      </c>
      <c r="W199" t="s">
        <v>2970</v>
      </c>
      <c r="X199" t="s">
        <v>2971</v>
      </c>
      <c r="Y199" t="s">
        <v>3602</v>
      </c>
      <c r="Z199" t="s">
        <v>3603</v>
      </c>
      <c r="AA199" t="s">
        <v>3094</v>
      </c>
      <c r="AB199" t="s">
        <v>3182</v>
      </c>
      <c r="AC199" t="s">
        <v>2829</v>
      </c>
      <c r="AD199" t="s">
        <v>2883</v>
      </c>
      <c r="AE199" t="s">
        <v>2975</v>
      </c>
      <c r="AF199" t="s">
        <v>2958</v>
      </c>
      <c r="AG199" t="s">
        <v>2958</v>
      </c>
      <c r="AH199" t="s">
        <v>2834</v>
      </c>
      <c r="AI199" t="s">
        <v>2835</v>
      </c>
      <c r="AJ199" t="s">
        <v>2997</v>
      </c>
      <c r="AK199" t="s">
        <v>3604</v>
      </c>
      <c r="AL199" t="s">
        <v>3094</v>
      </c>
      <c r="AM199" t="s">
        <v>3182</v>
      </c>
      <c r="AN199" t="s">
        <v>2829</v>
      </c>
      <c r="AO199" t="s">
        <v>2839</v>
      </c>
      <c r="AP199" t="s">
        <v>2840</v>
      </c>
      <c r="AQ199" t="s">
        <v>2841</v>
      </c>
      <c r="AR199" t="s">
        <v>3605</v>
      </c>
      <c r="AS199" t="s">
        <v>3605</v>
      </c>
      <c r="AT199" t="s">
        <v>2829</v>
      </c>
      <c r="AU199" t="s">
        <v>2829</v>
      </c>
      <c r="AV199" t="s">
        <v>2829</v>
      </c>
      <c r="AW199" t="s">
        <v>2829</v>
      </c>
      <c r="AX199" t="s">
        <v>2829</v>
      </c>
      <c r="AY199" t="s">
        <v>2829</v>
      </c>
      <c r="AZ199" t="s">
        <v>2829</v>
      </c>
      <c r="BA199" t="s">
        <v>2829</v>
      </c>
      <c r="BB199" t="s">
        <v>2829</v>
      </c>
      <c r="BC199" t="s">
        <v>2829</v>
      </c>
      <c r="BD199" t="s">
        <v>2829</v>
      </c>
      <c r="BE199" t="s">
        <v>243</v>
      </c>
      <c r="BF199" t="s">
        <v>243</v>
      </c>
      <c r="BG199" t="s">
        <v>243</v>
      </c>
      <c r="BH199" t="s">
        <v>243</v>
      </c>
      <c r="BI199" t="s">
        <v>243</v>
      </c>
      <c r="BJ199" t="s">
        <v>2829</v>
      </c>
      <c r="BK199" t="s">
        <v>243</v>
      </c>
      <c r="BL199" t="s">
        <v>243</v>
      </c>
      <c r="BM199" t="s">
        <v>243</v>
      </c>
      <c r="BN199" t="s">
        <v>243</v>
      </c>
      <c r="BO199" t="s">
        <v>243</v>
      </c>
      <c r="BP199" t="s">
        <v>3605</v>
      </c>
      <c r="BQ199" t="s">
        <v>3605</v>
      </c>
      <c r="BR199" t="s">
        <v>243</v>
      </c>
      <c r="BS199" t="s">
        <v>243</v>
      </c>
      <c r="BT199" t="s">
        <v>243</v>
      </c>
      <c r="BU199" t="s">
        <v>243</v>
      </c>
      <c r="BV199" t="s">
        <v>2829</v>
      </c>
      <c r="BW199" t="s">
        <v>243</v>
      </c>
      <c r="BX199" t="s">
        <v>243</v>
      </c>
      <c r="BY199" t="s">
        <v>243</v>
      </c>
      <c r="BZ199" t="s">
        <v>243</v>
      </c>
      <c r="CA199" t="s">
        <v>243</v>
      </c>
      <c r="CB199" t="s">
        <v>2829</v>
      </c>
      <c r="CC199" t="s">
        <v>243</v>
      </c>
      <c r="CD199" t="s">
        <v>243</v>
      </c>
      <c r="CE199" t="s">
        <v>243</v>
      </c>
      <c r="CF199" t="s">
        <v>243</v>
      </c>
      <c r="CG199" t="s">
        <v>243</v>
      </c>
      <c r="CH199" t="s">
        <v>2829</v>
      </c>
      <c r="CI199" t="s">
        <v>243</v>
      </c>
      <c r="CJ199" t="s">
        <v>243</v>
      </c>
      <c r="CK199" t="s">
        <v>243</v>
      </c>
      <c r="CL199" t="s">
        <v>243</v>
      </c>
      <c r="CM199" t="s">
        <v>243</v>
      </c>
      <c r="CN199" t="s">
        <v>2983</v>
      </c>
      <c r="CO199" t="s">
        <v>2843</v>
      </c>
      <c r="CP199" t="s">
        <v>2844</v>
      </c>
      <c r="CQ199" t="s">
        <v>430</v>
      </c>
      <c r="CR199" t="s">
        <v>2984</v>
      </c>
      <c r="CS199" t="s">
        <v>431</v>
      </c>
      <c r="CT199" t="s">
        <v>430</v>
      </c>
      <c r="CU199" t="s">
        <v>2985</v>
      </c>
      <c r="CV199" t="s">
        <v>2986</v>
      </c>
      <c r="CW199" t="s">
        <v>2984</v>
      </c>
      <c r="CX199" t="s">
        <v>2848</v>
      </c>
      <c r="CY199" t="s">
        <v>3606</v>
      </c>
    </row>
    <row r="200" spans="1:103" ht="11.25" customHeight="1">
      <c r="A200" t="s">
        <v>243</v>
      </c>
      <c r="B200" t="s">
        <v>243</v>
      </c>
      <c r="C200" t="s">
        <v>243</v>
      </c>
      <c r="D200" t="s">
        <v>243</v>
      </c>
      <c r="E200" t="s">
        <v>243</v>
      </c>
      <c r="F200" t="s">
        <v>2816</v>
      </c>
      <c r="G200" t="s">
        <v>243</v>
      </c>
      <c r="H200" t="s">
        <v>243</v>
      </c>
      <c r="I200" t="s">
        <v>252</v>
      </c>
      <c r="J200" t="s">
        <v>243</v>
      </c>
      <c r="K200" t="s">
        <v>458</v>
      </c>
      <c r="L200" t="s">
        <v>243</v>
      </c>
      <c r="M200" t="s">
        <v>114</v>
      </c>
      <c r="N200" t="s">
        <v>243</v>
      </c>
      <c r="O200" t="s">
        <v>2819</v>
      </c>
      <c r="P200" t="s">
        <v>4449</v>
      </c>
      <c r="Q200" t="s">
        <v>2821</v>
      </c>
      <c r="R200" t="s">
        <v>200</v>
      </c>
      <c r="S200" t="s">
        <v>200</v>
      </c>
      <c r="T200" t="s">
        <v>2968</v>
      </c>
      <c r="U200" t="s">
        <v>2968</v>
      </c>
      <c r="V200" t="s">
        <v>2969</v>
      </c>
      <c r="W200" t="s">
        <v>2970</v>
      </c>
      <c r="X200" t="s">
        <v>2971</v>
      </c>
      <c r="Y200" t="s">
        <v>2929</v>
      </c>
      <c r="Z200" t="s">
        <v>2972</v>
      </c>
      <c r="AA200" t="s">
        <v>2973</v>
      </c>
      <c r="AB200" t="s">
        <v>2974</v>
      </c>
      <c r="AC200" t="s">
        <v>2829</v>
      </c>
      <c r="AD200" t="s">
        <v>2883</v>
      </c>
      <c r="AE200" t="s">
        <v>2975</v>
      </c>
      <c r="AF200" t="s">
        <v>2976</v>
      </c>
      <c r="AG200" t="s">
        <v>2976</v>
      </c>
      <c r="AH200" t="s">
        <v>2834</v>
      </c>
      <c r="AI200" t="s">
        <v>2835</v>
      </c>
      <c r="AJ200" t="s">
        <v>2977</v>
      </c>
      <c r="AK200" t="s">
        <v>2978</v>
      </c>
      <c r="AL200" t="s">
        <v>2973</v>
      </c>
      <c r="AM200" t="s">
        <v>2979</v>
      </c>
      <c r="AN200" t="s">
        <v>2829</v>
      </c>
      <c r="AO200" t="s">
        <v>2839</v>
      </c>
      <c r="AP200" t="s">
        <v>2840</v>
      </c>
      <c r="AQ200" t="s">
        <v>2841</v>
      </c>
      <c r="AR200" t="s">
        <v>2980</v>
      </c>
      <c r="AS200" t="s">
        <v>2980</v>
      </c>
      <c r="AT200" t="s">
        <v>2829</v>
      </c>
      <c r="AU200" t="s">
        <v>2829</v>
      </c>
      <c r="AV200" t="s">
        <v>2829</v>
      </c>
      <c r="AW200" t="s">
        <v>2829</v>
      </c>
      <c r="AX200" t="s">
        <v>2829</v>
      </c>
      <c r="AY200" t="s">
        <v>2829</v>
      </c>
      <c r="AZ200" t="s">
        <v>2829</v>
      </c>
      <c r="BA200" t="s">
        <v>2829</v>
      </c>
      <c r="BB200" t="s">
        <v>2829</v>
      </c>
      <c r="BC200" t="s">
        <v>2829</v>
      </c>
      <c r="BD200" t="s">
        <v>2981</v>
      </c>
      <c r="BE200" t="s">
        <v>2981</v>
      </c>
      <c r="BF200" t="s">
        <v>243</v>
      </c>
      <c r="BG200" t="s">
        <v>243</v>
      </c>
      <c r="BH200" t="s">
        <v>243</v>
      </c>
      <c r="BI200" t="s">
        <v>243</v>
      </c>
      <c r="BJ200" t="s">
        <v>2829</v>
      </c>
      <c r="BK200" t="s">
        <v>243</v>
      </c>
      <c r="BL200" t="s">
        <v>243</v>
      </c>
      <c r="BM200" t="s">
        <v>243</v>
      </c>
      <c r="BN200" t="s">
        <v>243</v>
      </c>
      <c r="BO200" t="s">
        <v>243</v>
      </c>
      <c r="BP200" t="s">
        <v>2982</v>
      </c>
      <c r="BQ200" t="s">
        <v>2982</v>
      </c>
      <c r="BR200" t="s">
        <v>243</v>
      </c>
      <c r="BS200" t="s">
        <v>243</v>
      </c>
      <c r="BT200" t="s">
        <v>243</v>
      </c>
      <c r="BU200" t="s">
        <v>243</v>
      </c>
      <c r="BV200" t="s">
        <v>2829</v>
      </c>
      <c r="BW200" t="s">
        <v>243</v>
      </c>
      <c r="BX200" t="s">
        <v>243</v>
      </c>
      <c r="BY200" t="s">
        <v>243</v>
      </c>
      <c r="BZ200" t="s">
        <v>243</v>
      </c>
      <c r="CA200" t="s">
        <v>243</v>
      </c>
      <c r="CB200" t="s">
        <v>2829</v>
      </c>
      <c r="CC200" t="s">
        <v>243</v>
      </c>
      <c r="CD200" t="s">
        <v>243</v>
      </c>
      <c r="CE200" t="s">
        <v>243</v>
      </c>
      <c r="CF200" t="s">
        <v>243</v>
      </c>
      <c r="CG200" t="s">
        <v>243</v>
      </c>
      <c r="CH200" t="s">
        <v>2829</v>
      </c>
      <c r="CI200" t="s">
        <v>243</v>
      </c>
      <c r="CJ200" t="s">
        <v>243</v>
      </c>
      <c r="CK200" t="s">
        <v>243</v>
      </c>
      <c r="CL200" t="s">
        <v>243</v>
      </c>
      <c r="CM200" t="s">
        <v>243</v>
      </c>
      <c r="CN200" t="s">
        <v>2983</v>
      </c>
      <c r="CO200" t="s">
        <v>2843</v>
      </c>
      <c r="CP200" t="s">
        <v>2844</v>
      </c>
      <c r="CQ200" t="s">
        <v>430</v>
      </c>
      <c r="CR200" t="s">
        <v>2984</v>
      </c>
      <c r="CS200" t="s">
        <v>431</v>
      </c>
      <c r="CT200" t="s">
        <v>430</v>
      </c>
      <c r="CU200" t="s">
        <v>2985</v>
      </c>
      <c r="CV200" t="s">
        <v>2986</v>
      </c>
      <c r="CW200" t="s">
        <v>2984</v>
      </c>
      <c r="CX200" t="s">
        <v>2848</v>
      </c>
      <c r="CY200" t="s">
        <v>2987</v>
      </c>
    </row>
    <row r="201" spans="1:103" ht="11.25" customHeight="1">
      <c r="A201" t="s">
        <v>243</v>
      </c>
      <c r="B201" t="s">
        <v>243</v>
      </c>
      <c r="C201" t="s">
        <v>243</v>
      </c>
      <c r="D201" t="s">
        <v>243</v>
      </c>
      <c r="E201" t="s">
        <v>243</v>
      </c>
      <c r="F201" t="s">
        <v>2816</v>
      </c>
      <c r="G201" t="s">
        <v>243</v>
      </c>
      <c r="H201" t="s">
        <v>243</v>
      </c>
      <c r="I201" t="s">
        <v>457</v>
      </c>
      <c r="J201" t="s">
        <v>243</v>
      </c>
      <c r="K201" t="s">
        <v>2951</v>
      </c>
      <c r="L201" t="s">
        <v>243</v>
      </c>
      <c r="M201" t="s">
        <v>114</v>
      </c>
      <c r="N201" t="s">
        <v>243</v>
      </c>
      <c r="O201" t="s">
        <v>2819</v>
      </c>
      <c r="P201" t="s">
        <v>4449</v>
      </c>
      <c r="Q201" t="s">
        <v>2821</v>
      </c>
      <c r="R201" t="s">
        <v>200</v>
      </c>
      <c r="S201" t="s">
        <v>200</v>
      </c>
      <c r="T201" t="s">
        <v>2822</v>
      </c>
      <c r="U201" t="s">
        <v>2822</v>
      </c>
      <c r="V201" t="s">
        <v>2823</v>
      </c>
      <c r="W201" t="s">
        <v>2952</v>
      </c>
      <c r="X201" t="s">
        <v>2953</v>
      </c>
      <c r="Y201" t="s">
        <v>2954</v>
      </c>
      <c r="Z201" t="s">
        <v>2955</v>
      </c>
      <c r="AA201" t="s">
        <v>2956</v>
      </c>
      <c r="AB201" t="s">
        <v>2957</v>
      </c>
      <c r="AC201" t="s">
        <v>2829</v>
      </c>
      <c r="AD201" t="s">
        <v>2830</v>
      </c>
      <c r="AE201" t="s">
        <v>2831</v>
      </c>
      <c r="AF201" t="s">
        <v>2958</v>
      </c>
      <c r="AG201" t="s">
        <v>2959</v>
      </c>
      <c r="AH201" t="s">
        <v>2834</v>
      </c>
      <c r="AI201" t="s">
        <v>2835</v>
      </c>
      <c r="AJ201" t="s">
        <v>2960</v>
      </c>
      <c r="AK201" t="s">
        <v>2961</v>
      </c>
      <c r="AL201" t="s">
        <v>2956</v>
      </c>
      <c r="AM201" t="s">
        <v>2962</v>
      </c>
      <c r="AN201" t="s">
        <v>2829</v>
      </c>
      <c r="AO201" t="s">
        <v>2839</v>
      </c>
      <c r="AP201" t="s">
        <v>2840</v>
      </c>
      <c r="AQ201" t="s">
        <v>2841</v>
      </c>
      <c r="AR201" t="s">
        <v>2963</v>
      </c>
      <c r="AS201" t="s">
        <v>2964</v>
      </c>
      <c r="AT201" t="s">
        <v>2842</v>
      </c>
      <c r="AU201" t="s">
        <v>2829</v>
      </c>
      <c r="AV201" t="s">
        <v>2829</v>
      </c>
      <c r="AW201" t="s">
        <v>2829</v>
      </c>
      <c r="AX201" t="s">
        <v>2829</v>
      </c>
      <c r="AY201" t="s">
        <v>2829</v>
      </c>
      <c r="AZ201" t="s">
        <v>2829</v>
      </c>
      <c r="BA201" t="s">
        <v>2829</v>
      </c>
      <c r="BB201" t="s">
        <v>2829</v>
      </c>
      <c r="BC201" t="s">
        <v>2829</v>
      </c>
      <c r="BD201" t="s">
        <v>2965</v>
      </c>
      <c r="BE201" t="s">
        <v>2966</v>
      </c>
      <c r="BF201" t="s">
        <v>2842</v>
      </c>
      <c r="BG201" t="s">
        <v>243</v>
      </c>
      <c r="BH201" t="s">
        <v>243</v>
      </c>
      <c r="BI201" t="s">
        <v>243</v>
      </c>
      <c r="BJ201" t="s">
        <v>2829</v>
      </c>
      <c r="BK201" t="s">
        <v>243</v>
      </c>
      <c r="BL201" t="s">
        <v>243</v>
      </c>
      <c r="BM201" t="s">
        <v>243</v>
      </c>
      <c r="BN201" t="s">
        <v>243</v>
      </c>
      <c r="BO201" t="s">
        <v>243</v>
      </c>
      <c r="BP201" t="s">
        <v>2966</v>
      </c>
      <c r="BQ201" t="s">
        <v>2966</v>
      </c>
      <c r="BR201" t="s">
        <v>243</v>
      </c>
      <c r="BS201" t="s">
        <v>243</v>
      </c>
      <c r="BT201" t="s">
        <v>243</v>
      </c>
      <c r="BU201" t="s">
        <v>243</v>
      </c>
      <c r="BV201" t="s">
        <v>2829</v>
      </c>
      <c r="BW201" t="s">
        <v>243</v>
      </c>
      <c r="BX201" t="s">
        <v>243</v>
      </c>
      <c r="BY201" t="s">
        <v>243</v>
      </c>
      <c r="BZ201" t="s">
        <v>243</v>
      </c>
      <c r="CA201" t="s">
        <v>243</v>
      </c>
      <c r="CB201" t="s">
        <v>2829</v>
      </c>
      <c r="CC201" t="s">
        <v>243</v>
      </c>
      <c r="CD201" t="s">
        <v>243</v>
      </c>
      <c r="CE201" t="s">
        <v>243</v>
      </c>
      <c r="CF201" t="s">
        <v>243</v>
      </c>
      <c r="CG201" t="s">
        <v>243</v>
      </c>
      <c r="CH201" t="s">
        <v>2829</v>
      </c>
      <c r="CI201" t="s">
        <v>243</v>
      </c>
      <c r="CJ201" t="s">
        <v>243</v>
      </c>
      <c r="CK201" t="s">
        <v>243</v>
      </c>
      <c r="CL201" t="s">
        <v>243</v>
      </c>
      <c r="CM201" t="s">
        <v>243</v>
      </c>
      <c r="CN201" t="s">
        <v>2960</v>
      </c>
      <c r="CO201" t="s">
        <v>2843</v>
      </c>
      <c r="CP201" t="s">
        <v>2844</v>
      </c>
      <c r="CQ201" t="s">
        <v>430</v>
      </c>
      <c r="CR201" t="s">
        <v>2845</v>
      </c>
      <c r="CS201" t="s">
        <v>431</v>
      </c>
      <c r="CT201" t="s">
        <v>430</v>
      </c>
      <c r="CU201" t="s">
        <v>2846</v>
      </c>
      <c r="CV201" t="s">
        <v>2847</v>
      </c>
      <c r="CW201" t="s">
        <v>2845</v>
      </c>
      <c r="CX201" t="s">
        <v>2848</v>
      </c>
      <c r="CY201" t="s">
        <v>2967</v>
      </c>
    </row>
    <row r="202" spans="1:103" ht="11.25" customHeight="1">
      <c r="A202" t="s">
        <v>243</v>
      </c>
      <c r="B202" t="s">
        <v>243</v>
      </c>
      <c r="C202" t="s">
        <v>243</v>
      </c>
      <c r="D202" t="s">
        <v>243</v>
      </c>
      <c r="E202" t="s">
        <v>243</v>
      </c>
      <c r="F202" t="s">
        <v>2816</v>
      </c>
      <c r="G202" t="s">
        <v>243</v>
      </c>
      <c r="H202" t="s">
        <v>243</v>
      </c>
      <c r="I202" t="s">
        <v>258</v>
      </c>
      <c r="J202" t="s">
        <v>243</v>
      </c>
      <c r="K202" t="s">
        <v>433</v>
      </c>
      <c r="L202" t="s">
        <v>243</v>
      </c>
      <c r="M202" t="s">
        <v>114</v>
      </c>
      <c r="N202" t="s">
        <v>243</v>
      </c>
      <c r="O202" t="s">
        <v>2819</v>
      </c>
      <c r="P202" t="s">
        <v>4449</v>
      </c>
      <c r="Q202" t="s">
        <v>2821</v>
      </c>
      <c r="R202" t="s">
        <v>200</v>
      </c>
      <c r="S202" t="s">
        <v>200</v>
      </c>
      <c r="T202" t="s">
        <v>2968</v>
      </c>
      <c r="U202" t="s">
        <v>2968</v>
      </c>
      <c r="V202" t="s">
        <v>2969</v>
      </c>
      <c r="W202" t="s">
        <v>3102</v>
      </c>
      <c r="X202" t="s">
        <v>3103</v>
      </c>
      <c r="Y202" t="s">
        <v>3104</v>
      </c>
      <c r="Z202" t="s">
        <v>3105</v>
      </c>
      <c r="AA202" t="s">
        <v>3106</v>
      </c>
      <c r="AB202" t="s">
        <v>3107</v>
      </c>
      <c r="AC202" t="s">
        <v>2829</v>
      </c>
      <c r="AD202" t="s">
        <v>2883</v>
      </c>
      <c r="AE202" t="s">
        <v>2857</v>
      </c>
      <c r="AF202" t="s">
        <v>3108</v>
      </c>
      <c r="AG202" t="s">
        <v>3108</v>
      </c>
      <c r="AH202" t="s">
        <v>2834</v>
      </c>
      <c r="AI202" t="s">
        <v>2835</v>
      </c>
      <c r="AJ202" t="s">
        <v>3109</v>
      </c>
      <c r="AK202" t="s">
        <v>2978</v>
      </c>
      <c r="AL202" t="s">
        <v>3106</v>
      </c>
      <c r="AM202" t="s">
        <v>3107</v>
      </c>
      <c r="AN202" t="s">
        <v>2829</v>
      </c>
      <c r="AO202" t="s">
        <v>2839</v>
      </c>
      <c r="AP202" t="s">
        <v>2840</v>
      </c>
      <c r="AQ202" t="s">
        <v>2841</v>
      </c>
      <c r="AR202" t="s">
        <v>3110</v>
      </c>
      <c r="AS202" t="s">
        <v>3110</v>
      </c>
      <c r="AT202" t="s">
        <v>2829</v>
      </c>
      <c r="AU202" t="s">
        <v>2829</v>
      </c>
      <c r="AV202" t="s">
        <v>2829</v>
      </c>
      <c r="AW202" t="s">
        <v>2829</v>
      </c>
      <c r="AX202" t="s">
        <v>2829</v>
      </c>
      <c r="AY202" t="s">
        <v>2829</v>
      </c>
      <c r="AZ202" t="s">
        <v>2829</v>
      </c>
      <c r="BA202" t="s">
        <v>2829</v>
      </c>
      <c r="BB202" t="s">
        <v>2829</v>
      </c>
      <c r="BC202" t="s">
        <v>2829</v>
      </c>
      <c r="BD202" t="s">
        <v>3111</v>
      </c>
      <c r="BE202" t="s">
        <v>3111</v>
      </c>
      <c r="BF202" t="s">
        <v>243</v>
      </c>
      <c r="BG202" t="s">
        <v>243</v>
      </c>
      <c r="BH202" t="s">
        <v>243</v>
      </c>
      <c r="BI202" t="s">
        <v>243</v>
      </c>
      <c r="BJ202" t="s">
        <v>2829</v>
      </c>
      <c r="BK202" t="s">
        <v>243</v>
      </c>
      <c r="BL202" t="s">
        <v>243</v>
      </c>
      <c r="BM202" t="s">
        <v>243</v>
      </c>
      <c r="BN202" t="s">
        <v>243</v>
      </c>
      <c r="BO202" t="s">
        <v>243</v>
      </c>
      <c r="BP202" t="s">
        <v>3112</v>
      </c>
      <c r="BQ202" t="s">
        <v>3112</v>
      </c>
      <c r="BR202" t="s">
        <v>243</v>
      </c>
      <c r="BS202" t="s">
        <v>243</v>
      </c>
      <c r="BT202" t="s">
        <v>243</v>
      </c>
      <c r="BU202" t="s">
        <v>243</v>
      </c>
      <c r="BV202" t="s">
        <v>2829</v>
      </c>
      <c r="BW202" t="s">
        <v>243</v>
      </c>
      <c r="BX202" t="s">
        <v>243</v>
      </c>
      <c r="BY202" t="s">
        <v>243</v>
      </c>
      <c r="BZ202" t="s">
        <v>243</v>
      </c>
      <c r="CA202" t="s">
        <v>243</v>
      </c>
      <c r="CB202" t="s">
        <v>2829</v>
      </c>
      <c r="CC202" t="s">
        <v>243</v>
      </c>
      <c r="CD202" t="s">
        <v>243</v>
      </c>
      <c r="CE202" t="s">
        <v>243</v>
      </c>
      <c r="CF202" t="s">
        <v>243</v>
      </c>
      <c r="CG202" t="s">
        <v>243</v>
      </c>
      <c r="CH202" t="s">
        <v>2829</v>
      </c>
      <c r="CI202" t="s">
        <v>243</v>
      </c>
      <c r="CJ202" t="s">
        <v>243</v>
      </c>
      <c r="CK202" t="s">
        <v>243</v>
      </c>
      <c r="CL202" t="s">
        <v>243</v>
      </c>
      <c r="CM202" t="s">
        <v>243</v>
      </c>
      <c r="CN202" t="s">
        <v>2983</v>
      </c>
      <c r="CO202" t="s">
        <v>2843</v>
      </c>
      <c r="CP202" t="s">
        <v>2844</v>
      </c>
      <c r="CQ202" t="s">
        <v>430</v>
      </c>
      <c r="CR202" t="s">
        <v>2984</v>
      </c>
      <c r="CS202" t="s">
        <v>431</v>
      </c>
      <c r="CT202" t="s">
        <v>430</v>
      </c>
      <c r="CU202" t="s">
        <v>2985</v>
      </c>
      <c r="CV202" t="s">
        <v>2986</v>
      </c>
      <c r="CW202" t="s">
        <v>2984</v>
      </c>
      <c r="CX202" t="s">
        <v>2848</v>
      </c>
      <c r="CY202" t="s">
        <v>3113</v>
      </c>
    </row>
    <row r="203" spans="1:103" ht="11.25" customHeight="1">
      <c r="A203" t="s">
        <v>243</v>
      </c>
      <c r="B203" t="s">
        <v>243</v>
      </c>
      <c r="C203" t="s">
        <v>243</v>
      </c>
      <c r="D203" t="s">
        <v>243</v>
      </c>
      <c r="E203" t="s">
        <v>243</v>
      </c>
      <c r="F203" t="s">
        <v>2816</v>
      </c>
      <c r="G203" t="s">
        <v>243</v>
      </c>
      <c r="H203" t="s">
        <v>243</v>
      </c>
      <c r="I203" t="s">
        <v>2988</v>
      </c>
      <c r="J203" t="s">
        <v>243</v>
      </c>
      <c r="K203" t="s">
        <v>2989</v>
      </c>
      <c r="L203" t="s">
        <v>243</v>
      </c>
      <c r="M203" t="s">
        <v>114</v>
      </c>
      <c r="N203" t="s">
        <v>243</v>
      </c>
      <c r="O203" t="s">
        <v>2819</v>
      </c>
      <c r="P203" t="s">
        <v>4449</v>
      </c>
      <c r="Q203" t="s">
        <v>2821</v>
      </c>
      <c r="R203" t="s">
        <v>200</v>
      </c>
      <c r="S203" t="s">
        <v>200</v>
      </c>
      <c r="T203" t="s">
        <v>2968</v>
      </c>
      <c r="U203" t="s">
        <v>2968</v>
      </c>
      <c r="V203" t="s">
        <v>2969</v>
      </c>
      <c r="W203" t="s">
        <v>2990</v>
      </c>
      <c r="X203" t="s">
        <v>2991</v>
      </c>
      <c r="Y203" t="s">
        <v>2992</v>
      </c>
      <c r="Z203" t="s">
        <v>2993</v>
      </c>
      <c r="AA203" t="s">
        <v>2994</v>
      </c>
      <c r="AB203" t="s">
        <v>2995</v>
      </c>
      <c r="AC203" t="s">
        <v>2829</v>
      </c>
      <c r="AD203" t="s">
        <v>2883</v>
      </c>
      <c r="AE203" t="s">
        <v>2857</v>
      </c>
      <c r="AF203" t="s">
        <v>2996</v>
      </c>
      <c r="AG203" t="s">
        <v>2996</v>
      </c>
      <c r="AH203" t="s">
        <v>2834</v>
      </c>
      <c r="AI203" t="s">
        <v>2835</v>
      </c>
      <c r="AJ203" t="s">
        <v>2997</v>
      </c>
      <c r="AK203" t="s">
        <v>2998</v>
      </c>
      <c r="AL203" t="s">
        <v>2994</v>
      </c>
      <c r="AM203" t="s">
        <v>2995</v>
      </c>
      <c r="AN203" t="s">
        <v>2829</v>
      </c>
      <c r="AO203" t="s">
        <v>2839</v>
      </c>
      <c r="AP203" t="s">
        <v>2840</v>
      </c>
      <c r="AQ203" t="s">
        <v>2841</v>
      </c>
      <c r="AR203" t="s">
        <v>2999</v>
      </c>
      <c r="AS203" t="s">
        <v>2999</v>
      </c>
      <c r="AT203" t="s">
        <v>2829</v>
      </c>
      <c r="AU203" t="s">
        <v>2829</v>
      </c>
      <c r="AV203" t="s">
        <v>2829</v>
      </c>
      <c r="AW203" t="s">
        <v>2829</v>
      </c>
      <c r="AX203" t="s">
        <v>2829</v>
      </c>
      <c r="AY203" t="s">
        <v>2829</v>
      </c>
      <c r="AZ203" t="s">
        <v>2829</v>
      </c>
      <c r="BA203" t="s">
        <v>2829</v>
      </c>
      <c r="BB203" t="s">
        <v>2829</v>
      </c>
      <c r="BC203" t="s">
        <v>2829</v>
      </c>
      <c r="BD203" t="s">
        <v>2829</v>
      </c>
      <c r="BE203" t="s">
        <v>243</v>
      </c>
      <c r="BF203" t="s">
        <v>243</v>
      </c>
      <c r="BG203" t="s">
        <v>243</v>
      </c>
      <c r="BH203" t="s">
        <v>243</v>
      </c>
      <c r="BI203" t="s">
        <v>243</v>
      </c>
      <c r="BJ203" t="s">
        <v>2829</v>
      </c>
      <c r="BK203" t="s">
        <v>243</v>
      </c>
      <c r="BL203" t="s">
        <v>243</v>
      </c>
      <c r="BM203" t="s">
        <v>243</v>
      </c>
      <c r="BN203" t="s">
        <v>243</v>
      </c>
      <c r="BO203" t="s">
        <v>243</v>
      </c>
      <c r="BP203" t="s">
        <v>2999</v>
      </c>
      <c r="BQ203" t="s">
        <v>2999</v>
      </c>
      <c r="BR203" t="s">
        <v>243</v>
      </c>
      <c r="BS203" t="s">
        <v>243</v>
      </c>
      <c r="BT203" t="s">
        <v>243</v>
      </c>
      <c r="BU203" t="s">
        <v>243</v>
      </c>
      <c r="BV203" t="s">
        <v>2829</v>
      </c>
      <c r="BW203" t="s">
        <v>243</v>
      </c>
      <c r="BX203" t="s">
        <v>243</v>
      </c>
      <c r="BY203" t="s">
        <v>243</v>
      </c>
      <c r="BZ203" t="s">
        <v>243</v>
      </c>
      <c r="CA203" t="s">
        <v>243</v>
      </c>
      <c r="CB203" t="s">
        <v>2829</v>
      </c>
      <c r="CC203" t="s">
        <v>243</v>
      </c>
      <c r="CD203" t="s">
        <v>243</v>
      </c>
      <c r="CE203" t="s">
        <v>243</v>
      </c>
      <c r="CF203" t="s">
        <v>243</v>
      </c>
      <c r="CG203" t="s">
        <v>243</v>
      </c>
      <c r="CH203" t="s">
        <v>2829</v>
      </c>
      <c r="CI203" t="s">
        <v>243</v>
      </c>
      <c r="CJ203" t="s">
        <v>243</v>
      </c>
      <c r="CK203" t="s">
        <v>243</v>
      </c>
      <c r="CL203" t="s">
        <v>243</v>
      </c>
      <c r="CM203" t="s">
        <v>243</v>
      </c>
      <c r="CN203" t="s">
        <v>2997</v>
      </c>
      <c r="CO203" t="s">
        <v>2843</v>
      </c>
      <c r="CP203" t="s">
        <v>2844</v>
      </c>
      <c r="CQ203" t="s">
        <v>430</v>
      </c>
      <c r="CR203" t="s">
        <v>2984</v>
      </c>
      <c r="CS203" t="s">
        <v>431</v>
      </c>
      <c r="CT203" t="s">
        <v>430</v>
      </c>
      <c r="CU203" t="s">
        <v>2985</v>
      </c>
      <c r="CV203" t="s">
        <v>2986</v>
      </c>
      <c r="CW203" t="s">
        <v>2984</v>
      </c>
      <c r="CX203" t="s">
        <v>2848</v>
      </c>
      <c r="CY203" t="s">
        <v>3000</v>
      </c>
    </row>
    <row r="204" spans="1:103" ht="11.25" customHeight="1">
      <c r="A204" t="s">
        <v>243</v>
      </c>
      <c r="B204" t="s">
        <v>243</v>
      </c>
      <c r="C204" t="s">
        <v>243</v>
      </c>
      <c r="D204" t="s">
        <v>243</v>
      </c>
      <c r="E204" t="s">
        <v>243</v>
      </c>
      <c r="F204" t="s">
        <v>2816</v>
      </c>
      <c r="G204" t="s">
        <v>243</v>
      </c>
      <c r="H204" t="s">
        <v>243</v>
      </c>
      <c r="I204" t="s">
        <v>3001</v>
      </c>
      <c r="J204" t="s">
        <v>243</v>
      </c>
      <c r="K204" t="s">
        <v>3002</v>
      </c>
      <c r="L204" t="s">
        <v>243</v>
      </c>
      <c r="M204" t="s">
        <v>114</v>
      </c>
      <c r="N204" t="s">
        <v>243</v>
      </c>
      <c r="O204" t="s">
        <v>2819</v>
      </c>
      <c r="P204" t="s">
        <v>4449</v>
      </c>
      <c r="Q204" t="s">
        <v>2821</v>
      </c>
      <c r="R204" t="s">
        <v>200</v>
      </c>
      <c r="S204" t="s">
        <v>200</v>
      </c>
      <c r="T204" t="s">
        <v>2968</v>
      </c>
      <c r="U204" t="s">
        <v>2968</v>
      </c>
      <c r="V204" t="s">
        <v>2969</v>
      </c>
      <c r="W204" t="s">
        <v>3003</v>
      </c>
      <c r="X204" t="s">
        <v>3004</v>
      </c>
      <c r="Y204" t="s">
        <v>2918</v>
      </c>
      <c r="Z204" t="s">
        <v>2972</v>
      </c>
      <c r="AA204" t="s">
        <v>3005</v>
      </c>
      <c r="AB204" t="s">
        <v>3006</v>
      </c>
      <c r="AC204" t="s">
        <v>2829</v>
      </c>
      <c r="AD204" t="s">
        <v>2883</v>
      </c>
      <c r="AE204" t="s">
        <v>2975</v>
      </c>
      <c r="AF204" t="s">
        <v>3007</v>
      </c>
      <c r="AG204" t="s">
        <v>3007</v>
      </c>
      <c r="AH204" t="s">
        <v>2834</v>
      </c>
      <c r="AI204" t="s">
        <v>2835</v>
      </c>
      <c r="AJ204" t="s">
        <v>3008</v>
      </c>
      <c r="AK204" t="s">
        <v>3009</v>
      </c>
      <c r="AL204" t="s">
        <v>3005</v>
      </c>
      <c r="AM204" t="s">
        <v>3006</v>
      </c>
      <c r="AN204" t="s">
        <v>2829</v>
      </c>
      <c r="AO204" t="s">
        <v>2839</v>
      </c>
      <c r="AP204" t="s">
        <v>2840</v>
      </c>
      <c r="AQ204" t="s">
        <v>2841</v>
      </c>
      <c r="AR204" t="s">
        <v>2842</v>
      </c>
      <c r="AS204" t="s">
        <v>2842</v>
      </c>
      <c r="AT204" t="s">
        <v>2829</v>
      </c>
      <c r="AU204" t="s">
        <v>2829</v>
      </c>
      <c r="AV204" t="s">
        <v>2829</v>
      </c>
      <c r="AW204" t="s">
        <v>2829</v>
      </c>
      <c r="AX204" t="s">
        <v>2829</v>
      </c>
      <c r="AY204" t="s">
        <v>2829</v>
      </c>
      <c r="AZ204" t="s">
        <v>2829</v>
      </c>
      <c r="BA204" t="s">
        <v>2829</v>
      </c>
      <c r="BB204" t="s">
        <v>2829</v>
      </c>
      <c r="BC204" t="s">
        <v>2829</v>
      </c>
      <c r="BD204" t="s">
        <v>2829</v>
      </c>
      <c r="BE204" t="s">
        <v>243</v>
      </c>
      <c r="BF204" t="s">
        <v>243</v>
      </c>
      <c r="BG204" t="s">
        <v>243</v>
      </c>
      <c r="BH204" t="s">
        <v>243</v>
      </c>
      <c r="BI204" t="s">
        <v>243</v>
      </c>
      <c r="BJ204" t="s">
        <v>2829</v>
      </c>
      <c r="BK204" t="s">
        <v>243</v>
      </c>
      <c r="BL204" t="s">
        <v>243</v>
      </c>
      <c r="BM204" t="s">
        <v>243</v>
      </c>
      <c r="BN204" t="s">
        <v>243</v>
      </c>
      <c r="BO204" t="s">
        <v>243</v>
      </c>
      <c r="BP204" t="s">
        <v>2842</v>
      </c>
      <c r="BQ204" t="s">
        <v>2842</v>
      </c>
      <c r="BR204" t="s">
        <v>243</v>
      </c>
      <c r="BS204" t="s">
        <v>243</v>
      </c>
      <c r="BT204" t="s">
        <v>243</v>
      </c>
      <c r="BU204" t="s">
        <v>243</v>
      </c>
      <c r="BV204" t="s">
        <v>2829</v>
      </c>
      <c r="BW204" t="s">
        <v>243</v>
      </c>
      <c r="BX204" t="s">
        <v>243</v>
      </c>
      <c r="BY204" t="s">
        <v>243</v>
      </c>
      <c r="BZ204" t="s">
        <v>243</v>
      </c>
      <c r="CA204" t="s">
        <v>243</v>
      </c>
      <c r="CB204" t="s">
        <v>2829</v>
      </c>
      <c r="CC204" t="s">
        <v>243</v>
      </c>
      <c r="CD204" t="s">
        <v>243</v>
      </c>
      <c r="CE204" t="s">
        <v>243</v>
      </c>
      <c r="CF204" t="s">
        <v>243</v>
      </c>
      <c r="CG204" t="s">
        <v>243</v>
      </c>
      <c r="CH204" t="s">
        <v>2829</v>
      </c>
      <c r="CI204" t="s">
        <v>243</v>
      </c>
      <c r="CJ204" t="s">
        <v>243</v>
      </c>
      <c r="CK204" t="s">
        <v>243</v>
      </c>
      <c r="CL204" t="s">
        <v>243</v>
      </c>
      <c r="CM204" t="s">
        <v>243</v>
      </c>
      <c r="CN204" t="s">
        <v>3010</v>
      </c>
      <c r="CO204" t="s">
        <v>2843</v>
      </c>
      <c r="CP204" t="s">
        <v>2844</v>
      </c>
      <c r="CQ204" t="s">
        <v>430</v>
      </c>
      <c r="CR204" t="s">
        <v>2984</v>
      </c>
      <c r="CS204" t="s">
        <v>431</v>
      </c>
      <c r="CT204" t="s">
        <v>430</v>
      </c>
      <c r="CU204" t="s">
        <v>2985</v>
      </c>
      <c r="CV204" t="s">
        <v>2986</v>
      </c>
      <c r="CW204" t="s">
        <v>2984</v>
      </c>
      <c r="CX204" t="s">
        <v>2848</v>
      </c>
      <c r="CY204" t="s">
        <v>3011</v>
      </c>
    </row>
    <row r="205" spans="1:103" ht="11.25" customHeight="1">
      <c r="A205" t="s">
        <v>243</v>
      </c>
      <c r="B205" t="s">
        <v>243</v>
      </c>
      <c r="C205" t="s">
        <v>243</v>
      </c>
      <c r="D205" t="s">
        <v>243</v>
      </c>
      <c r="E205" t="s">
        <v>243</v>
      </c>
      <c r="F205" t="s">
        <v>2816</v>
      </c>
      <c r="G205" t="s">
        <v>243</v>
      </c>
      <c r="H205" t="s">
        <v>243</v>
      </c>
      <c r="I205" t="s">
        <v>463</v>
      </c>
      <c r="J205" t="s">
        <v>243</v>
      </c>
      <c r="K205" t="s">
        <v>4116</v>
      </c>
      <c r="L205" t="s">
        <v>243</v>
      </c>
      <c r="M205" t="s">
        <v>114</v>
      </c>
      <c r="N205" t="s">
        <v>243</v>
      </c>
      <c r="O205" t="s">
        <v>2819</v>
      </c>
      <c r="P205" t="s">
        <v>4449</v>
      </c>
      <c r="Q205" t="s">
        <v>2821</v>
      </c>
      <c r="R205" t="s">
        <v>200</v>
      </c>
      <c r="S205" t="s">
        <v>200</v>
      </c>
      <c r="T205" t="s">
        <v>2822</v>
      </c>
      <c r="U205" t="s">
        <v>2822</v>
      </c>
      <c r="V205" t="s">
        <v>2823</v>
      </c>
      <c r="W205" t="s">
        <v>2952</v>
      </c>
      <c r="X205" t="s">
        <v>2953</v>
      </c>
      <c r="Y205" t="s">
        <v>4117</v>
      </c>
      <c r="Z205" t="s">
        <v>4118</v>
      </c>
      <c r="AA205" t="s">
        <v>4119</v>
      </c>
      <c r="AB205" t="s">
        <v>4120</v>
      </c>
      <c r="AC205" t="s">
        <v>2829</v>
      </c>
      <c r="AD205" t="s">
        <v>2830</v>
      </c>
      <c r="AE205" t="s">
        <v>2831</v>
      </c>
      <c r="AF205" t="s">
        <v>4121</v>
      </c>
      <c r="AG205" t="s">
        <v>4122</v>
      </c>
      <c r="AH205" t="s">
        <v>2834</v>
      </c>
      <c r="AI205" t="s">
        <v>2835</v>
      </c>
      <c r="AJ205" t="s">
        <v>2960</v>
      </c>
      <c r="AK205" t="s">
        <v>2961</v>
      </c>
      <c r="AL205" t="s">
        <v>4123</v>
      </c>
      <c r="AM205" t="s">
        <v>4124</v>
      </c>
      <c r="AN205" t="s">
        <v>2829</v>
      </c>
      <c r="AO205" t="s">
        <v>2839</v>
      </c>
      <c r="AP205" t="s">
        <v>2840</v>
      </c>
      <c r="AQ205" t="s">
        <v>2841</v>
      </c>
      <c r="AR205" t="s">
        <v>4125</v>
      </c>
      <c r="AS205" t="s">
        <v>4125</v>
      </c>
      <c r="AT205" t="s">
        <v>2829</v>
      </c>
      <c r="AU205" t="s">
        <v>2829</v>
      </c>
      <c r="AV205" t="s">
        <v>2829</v>
      </c>
      <c r="AW205" t="s">
        <v>2829</v>
      </c>
      <c r="AX205" t="s">
        <v>2829</v>
      </c>
      <c r="AY205" t="s">
        <v>2829</v>
      </c>
      <c r="AZ205" t="s">
        <v>2829</v>
      </c>
      <c r="BA205" t="s">
        <v>2829</v>
      </c>
      <c r="BB205" t="s">
        <v>2829</v>
      </c>
      <c r="BC205" t="s">
        <v>2829</v>
      </c>
      <c r="BD205" t="s">
        <v>4126</v>
      </c>
      <c r="BE205" t="s">
        <v>4126</v>
      </c>
      <c r="BF205" t="s">
        <v>243</v>
      </c>
      <c r="BG205" t="s">
        <v>243</v>
      </c>
      <c r="BH205" t="s">
        <v>243</v>
      </c>
      <c r="BI205" t="s">
        <v>243</v>
      </c>
      <c r="BJ205" t="s">
        <v>2829</v>
      </c>
      <c r="BK205" t="s">
        <v>243</v>
      </c>
      <c r="BL205" t="s">
        <v>243</v>
      </c>
      <c r="BM205" t="s">
        <v>243</v>
      </c>
      <c r="BN205" t="s">
        <v>243</v>
      </c>
      <c r="BO205" t="s">
        <v>243</v>
      </c>
      <c r="BP205" t="s">
        <v>4127</v>
      </c>
      <c r="BQ205" t="s">
        <v>4127</v>
      </c>
      <c r="BR205" t="s">
        <v>243</v>
      </c>
      <c r="BS205" t="s">
        <v>243</v>
      </c>
      <c r="BT205" t="s">
        <v>243</v>
      </c>
      <c r="BU205" t="s">
        <v>243</v>
      </c>
      <c r="BV205" t="s">
        <v>2829</v>
      </c>
      <c r="BW205" t="s">
        <v>243</v>
      </c>
      <c r="BX205" t="s">
        <v>243</v>
      </c>
      <c r="BY205" t="s">
        <v>243</v>
      </c>
      <c r="BZ205" t="s">
        <v>243</v>
      </c>
      <c r="CA205" t="s">
        <v>243</v>
      </c>
      <c r="CB205" t="s">
        <v>2829</v>
      </c>
      <c r="CC205" t="s">
        <v>243</v>
      </c>
      <c r="CD205" t="s">
        <v>243</v>
      </c>
      <c r="CE205" t="s">
        <v>243</v>
      </c>
      <c r="CF205" t="s">
        <v>243</v>
      </c>
      <c r="CG205" t="s">
        <v>243</v>
      </c>
      <c r="CH205" t="s">
        <v>2829</v>
      </c>
      <c r="CI205" t="s">
        <v>243</v>
      </c>
      <c r="CJ205" t="s">
        <v>243</v>
      </c>
      <c r="CK205" t="s">
        <v>243</v>
      </c>
      <c r="CL205" t="s">
        <v>243</v>
      </c>
      <c r="CM205" t="s">
        <v>243</v>
      </c>
      <c r="CN205" t="s">
        <v>2960</v>
      </c>
      <c r="CO205" t="s">
        <v>2843</v>
      </c>
      <c r="CP205" t="s">
        <v>2844</v>
      </c>
      <c r="CQ205" t="s">
        <v>430</v>
      </c>
      <c r="CR205" t="s">
        <v>2845</v>
      </c>
      <c r="CS205" t="s">
        <v>431</v>
      </c>
      <c r="CT205" t="s">
        <v>430</v>
      </c>
      <c r="CU205" t="s">
        <v>2846</v>
      </c>
      <c r="CV205" t="s">
        <v>2847</v>
      </c>
      <c r="CW205" t="s">
        <v>2845</v>
      </c>
      <c r="CX205" t="s">
        <v>2848</v>
      </c>
      <c r="CY205" t="s">
        <v>4128</v>
      </c>
    </row>
    <row r="206" spans="1:103" ht="11.25" customHeight="1">
      <c r="A206" t="s">
        <v>243</v>
      </c>
      <c r="B206" t="s">
        <v>243</v>
      </c>
      <c r="C206" t="s">
        <v>243</v>
      </c>
      <c r="D206" t="s">
        <v>243</v>
      </c>
      <c r="E206" t="s">
        <v>243</v>
      </c>
      <c r="F206" t="s">
        <v>2816</v>
      </c>
      <c r="G206" t="s">
        <v>243</v>
      </c>
      <c r="H206" t="s">
        <v>243</v>
      </c>
      <c r="I206" t="s">
        <v>3012</v>
      </c>
      <c r="J206" t="s">
        <v>243</v>
      </c>
      <c r="K206" t="s">
        <v>3013</v>
      </c>
      <c r="L206" t="s">
        <v>243</v>
      </c>
      <c r="M206" t="s">
        <v>114</v>
      </c>
      <c r="N206" t="s">
        <v>243</v>
      </c>
      <c r="O206" t="s">
        <v>2819</v>
      </c>
      <c r="P206" t="s">
        <v>4449</v>
      </c>
      <c r="Q206" t="s">
        <v>2821</v>
      </c>
      <c r="R206" t="s">
        <v>200</v>
      </c>
      <c r="S206" t="s">
        <v>200</v>
      </c>
      <c r="T206" t="s">
        <v>2968</v>
      </c>
      <c r="U206" t="s">
        <v>2968</v>
      </c>
      <c r="V206" t="s">
        <v>2969</v>
      </c>
      <c r="W206" t="s">
        <v>3003</v>
      </c>
      <c r="X206" t="s">
        <v>3004</v>
      </c>
      <c r="Y206" t="s">
        <v>3014</v>
      </c>
      <c r="Z206" t="s">
        <v>3015</v>
      </c>
      <c r="AA206" t="s">
        <v>3005</v>
      </c>
      <c r="AB206" t="s">
        <v>3016</v>
      </c>
      <c r="AC206" t="s">
        <v>2829</v>
      </c>
      <c r="AD206" t="s">
        <v>2883</v>
      </c>
      <c r="AE206" t="s">
        <v>2975</v>
      </c>
      <c r="AF206" t="s">
        <v>3017</v>
      </c>
      <c r="AG206" t="s">
        <v>3017</v>
      </c>
      <c r="AH206" t="s">
        <v>2834</v>
      </c>
      <c r="AI206" t="s">
        <v>2835</v>
      </c>
      <c r="AJ206" t="s">
        <v>3008</v>
      </c>
      <c r="AK206" t="s">
        <v>3018</v>
      </c>
      <c r="AL206" t="s">
        <v>3005</v>
      </c>
      <c r="AM206" t="s">
        <v>3016</v>
      </c>
      <c r="AN206" t="s">
        <v>2829</v>
      </c>
      <c r="AO206" t="s">
        <v>2839</v>
      </c>
      <c r="AP206" t="s">
        <v>2840</v>
      </c>
      <c r="AQ206" t="s">
        <v>2841</v>
      </c>
      <c r="AR206" t="s">
        <v>2842</v>
      </c>
      <c r="AS206" t="s">
        <v>2842</v>
      </c>
      <c r="AT206" t="s">
        <v>2829</v>
      </c>
      <c r="AU206" t="s">
        <v>2829</v>
      </c>
      <c r="AV206" t="s">
        <v>2829</v>
      </c>
      <c r="AW206" t="s">
        <v>2829</v>
      </c>
      <c r="AX206" t="s">
        <v>2829</v>
      </c>
      <c r="AY206" t="s">
        <v>2829</v>
      </c>
      <c r="AZ206" t="s">
        <v>2829</v>
      </c>
      <c r="BA206" t="s">
        <v>2829</v>
      </c>
      <c r="BB206" t="s">
        <v>2829</v>
      </c>
      <c r="BC206" t="s">
        <v>2829</v>
      </c>
      <c r="BD206" t="s">
        <v>2829</v>
      </c>
      <c r="BE206" t="s">
        <v>243</v>
      </c>
      <c r="BF206" t="s">
        <v>243</v>
      </c>
      <c r="BG206" t="s">
        <v>243</v>
      </c>
      <c r="BH206" t="s">
        <v>243</v>
      </c>
      <c r="BI206" t="s">
        <v>243</v>
      </c>
      <c r="BJ206" t="s">
        <v>2829</v>
      </c>
      <c r="BK206" t="s">
        <v>243</v>
      </c>
      <c r="BL206" t="s">
        <v>243</v>
      </c>
      <c r="BM206" t="s">
        <v>243</v>
      </c>
      <c r="BN206" t="s">
        <v>243</v>
      </c>
      <c r="BO206" t="s">
        <v>243</v>
      </c>
      <c r="BP206" t="s">
        <v>2842</v>
      </c>
      <c r="BQ206" t="s">
        <v>2842</v>
      </c>
      <c r="BR206" t="s">
        <v>243</v>
      </c>
      <c r="BS206" t="s">
        <v>243</v>
      </c>
      <c r="BT206" t="s">
        <v>243</v>
      </c>
      <c r="BU206" t="s">
        <v>243</v>
      </c>
      <c r="BV206" t="s">
        <v>2829</v>
      </c>
      <c r="BW206" t="s">
        <v>243</v>
      </c>
      <c r="BX206" t="s">
        <v>243</v>
      </c>
      <c r="BY206" t="s">
        <v>243</v>
      </c>
      <c r="BZ206" t="s">
        <v>243</v>
      </c>
      <c r="CA206" t="s">
        <v>243</v>
      </c>
      <c r="CB206" t="s">
        <v>2829</v>
      </c>
      <c r="CC206" t="s">
        <v>243</v>
      </c>
      <c r="CD206" t="s">
        <v>243</v>
      </c>
      <c r="CE206" t="s">
        <v>243</v>
      </c>
      <c r="CF206" t="s">
        <v>243</v>
      </c>
      <c r="CG206" t="s">
        <v>243</v>
      </c>
      <c r="CH206" t="s">
        <v>2829</v>
      </c>
      <c r="CI206" t="s">
        <v>243</v>
      </c>
      <c r="CJ206" t="s">
        <v>243</v>
      </c>
      <c r="CK206" t="s">
        <v>243</v>
      </c>
      <c r="CL206" t="s">
        <v>243</v>
      </c>
      <c r="CM206" t="s">
        <v>243</v>
      </c>
      <c r="CN206" t="s">
        <v>3010</v>
      </c>
      <c r="CO206" t="s">
        <v>2843</v>
      </c>
      <c r="CP206" t="s">
        <v>2844</v>
      </c>
      <c r="CQ206" t="s">
        <v>430</v>
      </c>
      <c r="CR206" t="s">
        <v>2984</v>
      </c>
      <c r="CS206" t="s">
        <v>431</v>
      </c>
      <c r="CT206" t="s">
        <v>430</v>
      </c>
      <c r="CU206" t="s">
        <v>2985</v>
      </c>
      <c r="CV206" t="s">
        <v>2986</v>
      </c>
      <c r="CW206" t="s">
        <v>2984</v>
      </c>
      <c r="CX206" t="s">
        <v>2848</v>
      </c>
      <c r="CY206" t="s">
        <v>3019</v>
      </c>
    </row>
    <row r="207" spans="1:103" ht="11.25" customHeight="1">
      <c r="A207" t="s">
        <v>243</v>
      </c>
      <c r="B207" t="s">
        <v>243</v>
      </c>
      <c r="C207" t="s">
        <v>243</v>
      </c>
      <c r="D207" t="s">
        <v>243</v>
      </c>
      <c r="E207" t="s">
        <v>243</v>
      </c>
      <c r="F207" t="s">
        <v>2816</v>
      </c>
      <c r="G207" t="s">
        <v>243</v>
      </c>
      <c r="H207" t="s">
        <v>243</v>
      </c>
      <c r="I207" t="s">
        <v>3036</v>
      </c>
      <c r="J207" t="s">
        <v>243</v>
      </c>
      <c r="K207" t="s">
        <v>3037</v>
      </c>
      <c r="L207" t="s">
        <v>243</v>
      </c>
      <c r="M207" t="s">
        <v>114</v>
      </c>
      <c r="N207" t="s">
        <v>243</v>
      </c>
      <c r="O207" t="s">
        <v>2819</v>
      </c>
      <c r="P207" t="s">
        <v>4449</v>
      </c>
      <c r="Q207" t="s">
        <v>2821</v>
      </c>
      <c r="R207" t="s">
        <v>200</v>
      </c>
      <c r="S207" t="s">
        <v>200</v>
      </c>
      <c r="T207" t="s">
        <v>3022</v>
      </c>
      <c r="U207" t="s">
        <v>3022</v>
      </c>
      <c r="V207" t="s">
        <v>3023</v>
      </c>
      <c r="W207" t="s">
        <v>3024</v>
      </c>
      <c r="X207" t="s">
        <v>3025</v>
      </c>
      <c r="Y207" t="s">
        <v>2918</v>
      </c>
      <c r="Z207" t="s">
        <v>469</v>
      </c>
      <c r="AA207" t="s">
        <v>3038</v>
      </c>
      <c r="AB207" t="s">
        <v>3039</v>
      </c>
      <c r="AC207" t="s">
        <v>2829</v>
      </c>
      <c r="AD207" t="s">
        <v>2883</v>
      </c>
      <c r="AE207" t="s">
        <v>2831</v>
      </c>
      <c r="AF207" t="s">
        <v>3040</v>
      </c>
      <c r="AG207" t="s">
        <v>3040</v>
      </c>
      <c r="AH207" t="s">
        <v>2834</v>
      </c>
      <c r="AI207" t="s">
        <v>2835</v>
      </c>
      <c r="AJ207" t="s">
        <v>3041</v>
      </c>
      <c r="AK207" t="s">
        <v>3042</v>
      </c>
      <c r="AL207" t="s">
        <v>3038</v>
      </c>
      <c r="AM207" t="s">
        <v>3039</v>
      </c>
      <c r="AN207" t="s">
        <v>2829</v>
      </c>
      <c r="AO207" t="s">
        <v>2839</v>
      </c>
      <c r="AP207" t="s">
        <v>2840</v>
      </c>
      <c r="AQ207" t="s">
        <v>2841</v>
      </c>
      <c r="AR207" t="s">
        <v>3043</v>
      </c>
      <c r="AS207" t="s">
        <v>3043</v>
      </c>
      <c r="AT207" t="s">
        <v>2829</v>
      </c>
      <c r="AU207" t="s">
        <v>2829</v>
      </c>
      <c r="AV207" t="s">
        <v>2829</v>
      </c>
      <c r="AW207" t="s">
        <v>2829</v>
      </c>
      <c r="AX207" t="s">
        <v>2829</v>
      </c>
      <c r="AY207" t="s">
        <v>2829</v>
      </c>
      <c r="AZ207" t="s">
        <v>2829</v>
      </c>
      <c r="BA207" t="s">
        <v>2829</v>
      </c>
      <c r="BB207" t="s">
        <v>2829</v>
      </c>
      <c r="BC207" t="s">
        <v>2829</v>
      </c>
      <c r="BD207" t="s">
        <v>2829</v>
      </c>
      <c r="BE207" t="s">
        <v>243</v>
      </c>
      <c r="BF207" t="s">
        <v>243</v>
      </c>
      <c r="BG207" t="s">
        <v>243</v>
      </c>
      <c r="BH207" t="s">
        <v>243</v>
      </c>
      <c r="BI207" t="s">
        <v>243</v>
      </c>
      <c r="BJ207" t="s">
        <v>2829</v>
      </c>
      <c r="BK207" t="s">
        <v>243</v>
      </c>
      <c r="BL207" t="s">
        <v>243</v>
      </c>
      <c r="BM207" t="s">
        <v>243</v>
      </c>
      <c r="BN207" t="s">
        <v>243</v>
      </c>
      <c r="BO207" t="s">
        <v>243</v>
      </c>
      <c r="BP207" t="s">
        <v>3043</v>
      </c>
      <c r="BQ207" t="s">
        <v>3043</v>
      </c>
      <c r="BR207" t="s">
        <v>243</v>
      </c>
      <c r="BS207" t="s">
        <v>243</v>
      </c>
      <c r="BT207" t="s">
        <v>243</v>
      </c>
      <c r="BU207" t="s">
        <v>243</v>
      </c>
      <c r="BV207" t="s">
        <v>2829</v>
      </c>
      <c r="BW207" t="s">
        <v>243</v>
      </c>
      <c r="BX207" t="s">
        <v>243</v>
      </c>
      <c r="BY207" t="s">
        <v>243</v>
      </c>
      <c r="BZ207" t="s">
        <v>243</v>
      </c>
      <c r="CA207" t="s">
        <v>243</v>
      </c>
      <c r="CB207" t="s">
        <v>2829</v>
      </c>
      <c r="CC207" t="s">
        <v>243</v>
      </c>
      <c r="CD207" t="s">
        <v>243</v>
      </c>
      <c r="CE207" t="s">
        <v>243</v>
      </c>
      <c r="CF207" t="s">
        <v>243</v>
      </c>
      <c r="CG207" t="s">
        <v>243</v>
      </c>
      <c r="CH207" t="s">
        <v>2829</v>
      </c>
      <c r="CI207" t="s">
        <v>243</v>
      </c>
      <c r="CJ207" t="s">
        <v>243</v>
      </c>
      <c r="CK207" t="s">
        <v>243</v>
      </c>
      <c r="CL207" t="s">
        <v>243</v>
      </c>
      <c r="CM207" t="s">
        <v>243</v>
      </c>
      <c r="CN207" t="s">
        <v>3044</v>
      </c>
      <c r="CO207" t="s">
        <v>2843</v>
      </c>
      <c r="CP207" t="s">
        <v>2844</v>
      </c>
      <c r="CQ207" t="s">
        <v>430</v>
      </c>
      <c r="CR207" t="s">
        <v>3033</v>
      </c>
      <c r="CS207" t="s">
        <v>431</v>
      </c>
      <c r="CT207" t="s">
        <v>430</v>
      </c>
      <c r="CU207" t="s">
        <v>3034</v>
      </c>
      <c r="CV207" t="s">
        <v>432</v>
      </c>
      <c r="CW207" t="s">
        <v>3033</v>
      </c>
      <c r="CX207" t="s">
        <v>2848</v>
      </c>
      <c r="CY207" t="s">
        <v>3045</v>
      </c>
    </row>
    <row r="208" spans="1:103" ht="11.25" customHeight="1">
      <c r="A208" t="s">
        <v>243</v>
      </c>
      <c r="B208" t="s">
        <v>243</v>
      </c>
      <c r="C208" t="s">
        <v>243</v>
      </c>
      <c r="D208" t="s">
        <v>243</v>
      </c>
      <c r="E208" t="s">
        <v>243</v>
      </c>
      <c r="F208" t="s">
        <v>2816</v>
      </c>
      <c r="G208" t="s">
        <v>243</v>
      </c>
      <c r="H208" t="s">
        <v>243</v>
      </c>
      <c r="I208" t="s">
        <v>469</v>
      </c>
      <c r="J208" t="s">
        <v>243</v>
      </c>
      <c r="K208" t="s">
        <v>3516</v>
      </c>
      <c r="L208" t="s">
        <v>243</v>
      </c>
      <c r="M208" t="s">
        <v>114</v>
      </c>
      <c r="N208" t="s">
        <v>243</v>
      </c>
      <c r="O208" t="s">
        <v>2819</v>
      </c>
      <c r="P208" t="s">
        <v>4449</v>
      </c>
      <c r="Q208" t="s">
        <v>2821</v>
      </c>
      <c r="R208" t="s">
        <v>200</v>
      </c>
      <c r="S208" t="s">
        <v>200</v>
      </c>
      <c r="T208" t="s">
        <v>2822</v>
      </c>
      <c r="U208" t="s">
        <v>2822</v>
      </c>
      <c r="V208" t="s">
        <v>2823</v>
      </c>
      <c r="W208" t="s">
        <v>2952</v>
      </c>
      <c r="X208" t="s">
        <v>2953</v>
      </c>
      <c r="Y208" t="s">
        <v>3064</v>
      </c>
      <c r="Z208" t="s">
        <v>3517</v>
      </c>
      <c r="AA208" t="s">
        <v>3094</v>
      </c>
      <c r="AB208" t="s">
        <v>3518</v>
      </c>
      <c r="AC208" t="s">
        <v>2829</v>
      </c>
      <c r="AD208" t="s">
        <v>2830</v>
      </c>
      <c r="AE208" t="s">
        <v>2831</v>
      </c>
      <c r="AF208" t="s">
        <v>3519</v>
      </c>
      <c r="AG208" t="s">
        <v>3520</v>
      </c>
      <c r="AH208" t="s">
        <v>2834</v>
      </c>
      <c r="AI208" t="s">
        <v>2835</v>
      </c>
      <c r="AJ208" t="s">
        <v>2960</v>
      </c>
      <c r="AK208" t="s">
        <v>3521</v>
      </c>
      <c r="AL208" t="s">
        <v>3522</v>
      </c>
      <c r="AM208" t="s">
        <v>3518</v>
      </c>
      <c r="AN208" t="s">
        <v>2829</v>
      </c>
      <c r="AO208" t="s">
        <v>2839</v>
      </c>
      <c r="AP208" t="s">
        <v>2840</v>
      </c>
      <c r="AQ208" t="s">
        <v>2841</v>
      </c>
      <c r="AR208" t="s">
        <v>3523</v>
      </c>
      <c r="AS208" t="s">
        <v>3523</v>
      </c>
      <c r="AT208" t="s">
        <v>2829</v>
      </c>
      <c r="AU208" t="s">
        <v>2829</v>
      </c>
      <c r="AV208" t="s">
        <v>2829</v>
      </c>
      <c r="AW208" t="s">
        <v>2829</v>
      </c>
      <c r="AX208" t="s">
        <v>2829</v>
      </c>
      <c r="AY208" t="s">
        <v>2829</v>
      </c>
      <c r="AZ208" t="s">
        <v>2829</v>
      </c>
      <c r="BA208" t="s">
        <v>2829</v>
      </c>
      <c r="BB208" t="s">
        <v>2829</v>
      </c>
      <c r="BC208" t="s">
        <v>2829</v>
      </c>
      <c r="BD208" t="s">
        <v>3523</v>
      </c>
      <c r="BE208" t="s">
        <v>3523</v>
      </c>
      <c r="BF208" t="s">
        <v>243</v>
      </c>
      <c r="BG208" t="s">
        <v>243</v>
      </c>
      <c r="BH208" t="s">
        <v>243</v>
      </c>
      <c r="BI208" t="s">
        <v>243</v>
      </c>
      <c r="BJ208" t="s">
        <v>2829</v>
      </c>
      <c r="BK208" t="s">
        <v>243</v>
      </c>
      <c r="BL208" t="s">
        <v>243</v>
      </c>
      <c r="BM208" t="s">
        <v>243</v>
      </c>
      <c r="BN208" t="s">
        <v>243</v>
      </c>
      <c r="BO208" t="s">
        <v>243</v>
      </c>
      <c r="BP208" t="s">
        <v>2829</v>
      </c>
      <c r="BQ208" t="s">
        <v>243</v>
      </c>
      <c r="BR208" t="s">
        <v>243</v>
      </c>
      <c r="BS208" t="s">
        <v>243</v>
      </c>
      <c r="BT208" t="s">
        <v>243</v>
      </c>
      <c r="BU208" t="s">
        <v>243</v>
      </c>
      <c r="BV208" t="s">
        <v>2829</v>
      </c>
      <c r="BW208" t="s">
        <v>243</v>
      </c>
      <c r="BX208" t="s">
        <v>243</v>
      </c>
      <c r="BY208" t="s">
        <v>243</v>
      </c>
      <c r="BZ208" t="s">
        <v>243</v>
      </c>
      <c r="CA208" t="s">
        <v>243</v>
      </c>
      <c r="CB208" t="s">
        <v>2829</v>
      </c>
      <c r="CC208" t="s">
        <v>243</v>
      </c>
      <c r="CD208" t="s">
        <v>243</v>
      </c>
      <c r="CE208" t="s">
        <v>243</v>
      </c>
      <c r="CF208" t="s">
        <v>243</v>
      </c>
      <c r="CG208" t="s">
        <v>243</v>
      </c>
      <c r="CH208" t="s">
        <v>2829</v>
      </c>
      <c r="CI208" t="s">
        <v>243</v>
      </c>
      <c r="CJ208" t="s">
        <v>243</v>
      </c>
      <c r="CK208" t="s">
        <v>243</v>
      </c>
      <c r="CL208" t="s">
        <v>243</v>
      </c>
      <c r="CM208" t="s">
        <v>243</v>
      </c>
      <c r="CN208" t="s">
        <v>2960</v>
      </c>
      <c r="CO208" t="s">
        <v>2843</v>
      </c>
      <c r="CP208" t="s">
        <v>2844</v>
      </c>
      <c r="CQ208" t="s">
        <v>430</v>
      </c>
      <c r="CR208" t="s">
        <v>2845</v>
      </c>
      <c r="CS208" t="s">
        <v>431</v>
      </c>
      <c r="CT208" t="s">
        <v>430</v>
      </c>
      <c r="CU208" t="s">
        <v>2846</v>
      </c>
      <c r="CV208" t="s">
        <v>2847</v>
      </c>
      <c r="CW208" t="s">
        <v>2845</v>
      </c>
      <c r="CX208" t="s">
        <v>2848</v>
      </c>
      <c r="CY208" t="s">
        <v>3524</v>
      </c>
    </row>
    <row r="209" spans="1:103" ht="11.25" customHeight="1">
      <c r="A209" t="s">
        <v>243</v>
      </c>
      <c r="B209" t="s">
        <v>243</v>
      </c>
      <c r="C209" t="s">
        <v>243</v>
      </c>
      <c r="D209" t="s">
        <v>243</v>
      </c>
      <c r="E209" t="s">
        <v>243</v>
      </c>
      <c r="F209" t="s">
        <v>2816</v>
      </c>
      <c r="G209" t="s">
        <v>243</v>
      </c>
      <c r="H209" t="s">
        <v>243</v>
      </c>
      <c r="I209" t="s">
        <v>3244</v>
      </c>
      <c r="J209" t="s">
        <v>243</v>
      </c>
      <c r="K209" t="s">
        <v>3245</v>
      </c>
      <c r="L209" t="s">
        <v>243</v>
      </c>
      <c r="M209" t="s">
        <v>114</v>
      </c>
      <c r="N209" t="s">
        <v>243</v>
      </c>
      <c r="O209" t="s">
        <v>2819</v>
      </c>
      <c r="P209" t="s">
        <v>4449</v>
      </c>
      <c r="Q209" t="s">
        <v>2821</v>
      </c>
      <c r="R209" t="s">
        <v>200</v>
      </c>
      <c r="S209" t="s">
        <v>200</v>
      </c>
      <c r="T209" t="s">
        <v>3022</v>
      </c>
      <c r="U209" t="s">
        <v>3022</v>
      </c>
      <c r="V209" t="s">
        <v>3023</v>
      </c>
      <c r="W209" t="s">
        <v>3246</v>
      </c>
      <c r="X209" t="s">
        <v>3247</v>
      </c>
      <c r="Y209" t="s">
        <v>3248</v>
      </c>
      <c r="Z209" t="s">
        <v>3249</v>
      </c>
      <c r="AA209" t="s">
        <v>3250</v>
      </c>
      <c r="AB209" t="s">
        <v>3251</v>
      </c>
      <c r="AC209" t="s">
        <v>2829</v>
      </c>
      <c r="AD209" t="s">
        <v>2883</v>
      </c>
      <c r="AE209" t="s">
        <v>2831</v>
      </c>
      <c r="AF209" t="s">
        <v>3252</v>
      </c>
      <c r="AG209" t="s">
        <v>3252</v>
      </c>
      <c r="AH209" t="s">
        <v>2834</v>
      </c>
      <c r="AI209" t="s">
        <v>2835</v>
      </c>
      <c r="AJ209" t="s">
        <v>3041</v>
      </c>
      <c r="AK209" t="s">
        <v>3253</v>
      </c>
      <c r="AL209" t="s">
        <v>3250</v>
      </c>
      <c r="AM209" t="s">
        <v>3251</v>
      </c>
      <c r="AN209" t="s">
        <v>2829</v>
      </c>
      <c r="AO209" t="s">
        <v>2839</v>
      </c>
      <c r="AP209" t="s">
        <v>2840</v>
      </c>
      <c r="AQ209" t="s">
        <v>2841</v>
      </c>
      <c r="AR209" t="s">
        <v>3254</v>
      </c>
      <c r="AS209" t="s">
        <v>3255</v>
      </c>
      <c r="AT209" t="s">
        <v>3107</v>
      </c>
      <c r="AU209" t="s">
        <v>2829</v>
      </c>
      <c r="AV209" t="s">
        <v>2829</v>
      </c>
      <c r="AW209" t="s">
        <v>2829</v>
      </c>
      <c r="AX209" t="s">
        <v>2829</v>
      </c>
      <c r="AY209" t="s">
        <v>2829</v>
      </c>
      <c r="AZ209" t="s">
        <v>2829</v>
      </c>
      <c r="BA209" t="s">
        <v>2829</v>
      </c>
      <c r="BB209" t="s">
        <v>2829</v>
      </c>
      <c r="BC209" t="s">
        <v>2829</v>
      </c>
      <c r="BD209" t="s">
        <v>3256</v>
      </c>
      <c r="BE209" t="s">
        <v>3257</v>
      </c>
      <c r="BF209" t="s">
        <v>3107</v>
      </c>
      <c r="BG209" t="s">
        <v>243</v>
      </c>
      <c r="BH209" t="s">
        <v>243</v>
      </c>
      <c r="BI209" t="s">
        <v>243</v>
      </c>
      <c r="BJ209" t="s">
        <v>2829</v>
      </c>
      <c r="BK209" t="s">
        <v>243</v>
      </c>
      <c r="BL209" t="s">
        <v>243</v>
      </c>
      <c r="BM209" t="s">
        <v>243</v>
      </c>
      <c r="BN209" t="s">
        <v>243</v>
      </c>
      <c r="BO209" t="s">
        <v>243</v>
      </c>
      <c r="BP209" t="s">
        <v>3005</v>
      </c>
      <c r="BQ209" t="s">
        <v>3005</v>
      </c>
      <c r="BR209" t="s">
        <v>243</v>
      </c>
      <c r="BS209" t="s">
        <v>243</v>
      </c>
      <c r="BT209" t="s">
        <v>243</v>
      </c>
      <c r="BU209" t="s">
        <v>243</v>
      </c>
      <c r="BV209" t="s">
        <v>2829</v>
      </c>
      <c r="BW209" t="s">
        <v>243</v>
      </c>
      <c r="BX209" t="s">
        <v>243</v>
      </c>
      <c r="BY209" t="s">
        <v>243</v>
      </c>
      <c r="BZ209" t="s">
        <v>243</v>
      </c>
      <c r="CA209" t="s">
        <v>243</v>
      </c>
      <c r="CB209" t="s">
        <v>2829</v>
      </c>
      <c r="CC209" t="s">
        <v>243</v>
      </c>
      <c r="CD209" t="s">
        <v>243</v>
      </c>
      <c r="CE209" t="s">
        <v>243</v>
      </c>
      <c r="CF209" t="s">
        <v>243</v>
      </c>
      <c r="CG209" t="s">
        <v>243</v>
      </c>
      <c r="CH209" t="s">
        <v>2829</v>
      </c>
      <c r="CI209" t="s">
        <v>243</v>
      </c>
      <c r="CJ209" t="s">
        <v>243</v>
      </c>
      <c r="CK209" t="s">
        <v>243</v>
      </c>
      <c r="CL209" t="s">
        <v>243</v>
      </c>
      <c r="CM209" t="s">
        <v>243</v>
      </c>
      <c r="CN209" t="s">
        <v>3030</v>
      </c>
      <c r="CO209" t="s">
        <v>2843</v>
      </c>
      <c r="CP209" t="s">
        <v>2844</v>
      </c>
      <c r="CQ209" t="s">
        <v>430</v>
      </c>
      <c r="CR209" t="s">
        <v>3033</v>
      </c>
      <c r="CS209" t="s">
        <v>431</v>
      </c>
      <c r="CT209" t="s">
        <v>430</v>
      </c>
      <c r="CU209" t="s">
        <v>3034</v>
      </c>
      <c r="CV209" t="s">
        <v>432</v>
      </c>
      <c r="CW209" t="s">
        <v>3033</v>
      </c>
      <c r="CX209" t="s">
        <v>2848</v>
      </c>
      <c r="CY209" t="s">
        <v>3258</v>
      </c>
    </row>
    <row r="210" spans="1:103" ht="11.25" customHeight="1">
      <c r="A210" t="s">
        <v>243</v>
      </c>
      <c r="B210" t="s">
        <v>243</v>
      </c>
      <c r="C210" t="s">
        <v>243</v>
      </c>
      <c r="D210" t="s">
        <v>243</v>
      </c>
      <c r="E210" t="s">
        <v>243</v>
      </c>
      <c r="F210" t="s">
        <v>2816</v>
      </c>
      <c r="G210" t="s">
        <v>243</v>
      </c>
      <c r="H210" t="s">
        <v>243</v>
      </c>
      <c r="I210" t="s">
        <v>3123</v>
      </c>
      <c r="J210" t="s">
        <v>243</v>
      </c>
      <c r="K210" t="s">
        <v>3124</v>
      </c>
      <c r="L210" t="s">
        <v>243</v>
      </c>
      <c r="M210" t="s">
        <v>114</v>
      </c>
      <c r="N210" t="s">
        <v>243</v>
      </c>
      <c r="O210" t="s">
        <v>2819</v>
      </c>
      <c r="P210" t="s">
        <v>4449</v>
      </c>
      <c r="Q210" t="s">
        <v>2821</v>
      </c>
      <c r="R210" t="s">
        <v>200</v>
      </c>
      <c r="S210" t="s">
        <v>200</v>
      </c>
      <c r="T210" t="s">
        <v>3022</v>
      </c>
      <c r="U210" t="s">
        <v>3022</v>
      </c>
      <c r="V210" t="s">
        <v>3023</v>
      </c>
      <c r="W210" t="s">
        <v>3125</v>
      </c>
      <c r="X210" t="s">
        <v>3126</v>
      </c>
      <c r="Y210" t="s">
        <v>3127</v>
      </c>
      <c r="Z210" t="s">
        <v>454</v>
      </c>
      <c r="AA210" t="s">
        <v>3109</v>
      </c>
      <c r="AB210" t="s">
        <v>3128</v>
      </c>
      <c r="AC210" t="s">
        <v>2829</v>
      </c>
      <c r="AD210" t="s">
        <v>2883</v>
      </c>
      <c r="AE210" t="s">
        <v>2831</v>
      </c>
      <c r="AF210" t="s">
        <v>3129</v>
      </c>
      <c r="AG210" t="s">
        <v>3129</v>
      </c>
      <c r="AH210" t="s">
        <v>2834</v>
      </c>
      <c r="AI210" t="s">
        <v>2835</v>
      </c>
      <c r="AJ210" t="s">
        <v>3130</v>
      </c>
      <c r="AK210" t="s">
        <v>3131</v>
      </c>
      <c r="AL210" t="s">
        <v>3109</v>
      </c>
      <c r="AM210" t="s">
        <v>3128</v>
      </c>
      <c r="AN210" t="s">
        <v>2829</v>
      </c>
      <c r="AO210" t="s">
        <v>2839</v>
      </c>
      <c r="AP210" t="s">
        <v>2840</v>
      </c>
      <c r="AQ210" t="s">
        <v>2841</v>
      </c>
      <c r="AR210" t="s">
        <v>3132</v>
      </c>
      <c r="AS210" t="s">
        <v>3132</v>
      </c>
      <c r="AT210" t="s">
        <v>2829</v>
      </c>
      <c r="AU210" t="s">
        <v>2829</v>
      </c>
      <c r="AV210" t="s">
        <v>2829</v>
      </c>
      <c r="AW210" t="s">
        <v>2829</v>
      </c>
      <c r="AX210" t="s">
        <v>2829</v>
      </c>
      <c r="AY210" t="s">
        <v>2829</v>
      </c>
      <c r="AZ210" t="s">
        <v>2829</v>
      </c>
      <c r="BA210" t="s">
        <v>2829</v>
      </c>
      <c r="BB210" t="s">
        <v>2829</v>
      </c>
      <c r="BC210" t="s">
        <v>2829</v>
      </c>
      <c r="BD210" t="s">
        <v>3133</v>
      </c>
      <c r="BE210" t="s">
        <v>3133</v>
      </c>
      <c r="BF210" t="s">
        <v>243</v>
      </c>
      <c r="BG210" t="s">
        <v>243</v>
      </c>
      <c r="BH210" t="s">
        <v>243</v>
      </c>
      <c r="BI210" t="s">
        <v>243</v>
      </c>
      <c r="BJ210" t="s">
        <v>2829</v>
      </c>
      <c r="BK210" t="s">
        <v>243</v>
      </c>
      <c r="BL210" t="s">
        <v>243</v>
      </c>
      <c r="BM210" t="s">
        <v>243</v>
      </c>
      <c r="BN210" t="s">
        <v>243</v>
      </c>
      <c r="BO210" t="s">
        <v>243</v>
      </c>
      <c r="BP210" t="s">
        <v>2829</v>
      </c>
      <c r="BQ210" t="s">
        <v>243</v>
      </c>
      <c r="BR210" t="s">
        <v>243</v>
      </c>
      <c r="BS210" t="s">
        <v>243</v>
      </c>
      <c r="BT210" t="s">
        <v>243</v>
      </c>
      <c r="BU210" t="s">
        <v>243</v>
      </c>
      <c r="BV210" t="s">
        <v>2829</v>
      </c>
      <c r="BW210" t="s">
        <v>243</v>
      </c>
      <c r="BX210" t="s">
        <v>243</v>
      </c>
      <c r="BY210" t="s">
        <v>243</v>
      </c>
      <c r="BZ210" t="s">
        <v>243</v>
      </c>
      <c r="CA210" t="s">
        <v>243</v>
      </c>
      <c r="CB210" t="s">
        <v>3134</v>
      </c>
      <c r="CC210" t="s">
        <v>3134</v>
      </c>
      <c r="CD210" t="s">
        <v>243</v>
      </c>
      <c r="CE210" t="s">
        <v>243</v>
      </c>
      <c r="CF210" t="s">
        <v>243</v>
      </c>
      <c r="CG210" t="s">
        <v>243</v>
      </c>
      <c r="CH210" t="s">
        <v>2829</v>
      </c>
      <c r="CI210" t="s">
        <v>243</v>
      </c>
      <c r="CJ210" t="s">
        <v>243</v>
      </c>
      <c r="CK210" t="s">
        <v>243</v>
      </c>
      <c r="CL210" t="s">
        <v>243</v>
      </c>
      <c r="CM210" t="s">
        <v>243</v>
      </c>
      <c r="CN210" t="s">
        <v>3030</v>
      </c>
      <c r="CO210" t="s">
        <v>2843</v>
      </c>
      <c r="CP210" t="s">
        <v>2844</v>
      </c>
      <c r="CQ210" t="s">
        <v>430</v>
      </c>
      <c r="CR210" t="s">
        <v>3033</v>
      </c>
      <c r="CS210" t="s">
        <v>431</v>
      </c>
      <c r="CT210" t="s">
        <v>430</v>
      </c>
      <c r="CU210" t="s">
        <v>3034</v>
      </c>
      <c r="CV210" t="s">
        <v>432</v>
      </c>
      <c r="CW210" t="s">
        <v>3033</v>
      </c>
      <c r="CX210" t="s">
        <v>2848</v>
      </c>
      <c r="CY210" t="s">
        <v>3135</v>
      </c>
    </row>
    <row r="211" spans="1:103" ht="11.25" customHeight="1">
      <c r="A211" t="s">
        <v>243</v>
      </c>
      <c r="B211" t="s">
        <v>243</v>
      </c>
      <c r="C211" t="s">
        <v>243</v>
      </c>
      <c r="D211" t="s">
        <v>243</v>
      </c>
      <c r="E211" t="s">
        <v>243</v>
      </c>
      <c r="F211" t="s">
        <v>2816</v>
      </c>
      <c r="G211" t="s">
        <v>243</v>
      </c>
      <c r="H211" t="s">
        <v>243</v>
      </c>
      <c r="I211" t="s">
        <v>3366</v>
      </c>
      <c r="J211" t="s">
        <v>243</v>
      </c>
      <c r="K211" t="s">
        <v>449</v>
      </c>
      <c r="L211" t="s">
        <v>243</v>
      </c>
      <c r="M211" t="s">
        <v>114</v>
      </c>
      <c r="N211" t="s">
        <v>243</v>
      </c>
      <c r="O211" t="s">
        <v>3356</v>
      </c>
      <c r="P211" t="s">
        <v>4449</v>
      </c>
      <c r="Q211" t="s">
        <v>2821</v>
      </c>
      <c r="R211" t="s">
        <v>190</v>
      </c>
      <c r="S211" t="s">
        <v>190</v>
      </c>
      <c r="T211" t="s">
        <v>405</v>
      </c>
      <c r="U211" t="s">
        <v>405</v>
      </c>
      <c r="V211" t="s">
        <v>406</v>
      </c>
      <c r="W211" t="s">
        <v>3367</v>
      </c>
      <c r="X211" t="s">
        <v>3368</v>
      </c>
      <c r="Y211" t="s">
        <v>3369</v>
      </c>
      <c r="Z211" t="s">
        <v>3370</v>
      </c>
      <c r="AA211" t="s">
        <v>4322</v>
      </c>
      <c r="AB211" t="s">
        <v>3371</v>
      </c>
      <c r="AC211" t="s">
        <v>243</v>
      </c>
      <c r="AD211" t="s">
        <v>2883</v>
      </c>
      <c r="AE211" t="s">
        <v>3372</v>
      </c>
      <c r="AF211" t="s">
        <v>3373</v>
      </c>
      <c r="AG211" t="s">
        <v>3374</v>
      </c>
      <c r="AH211" t="s">
        <v>2834</v>
      </c>
      <c r="AI211" t="s">
        <v>2835</v>
      </c>
      <c r="AJ211" t="s">
        <v>3317</v>
      </c>
      <c r="AK211" t="s">
        <v>3375</v>
      </c>
      <c r="AL211" t="s">
        <v>243</v>
      </c>
      <c r="AM211" t="s">
        <v>243</v>
      </c>
      <c r="AN211" t="s">
        <v>243</v>
      </c>
      <c r="AR211" t="s">
        <v>243</v>
      </c>
      <c r="AS211" t="s">
        <v>243</v>
      </c>
      <c r="AT211" t="s">
        <v>243</v>
      </c>
      <c r="AU211" t="s">
        <v>243</v>
      </c>
      <c r="AV211" t="s">
        <v>243</v>
      </c>
      <c r="AW211" t="s">
        <v>243</v>
      </c>
      <c r="AX211" t="s">
        <v>243</v>
      </c>
      <c r="AY211" t="s">
        <v>243</v>
      </c>
      <c r="AZ211" t="s">
        <v>243</v>
      </c>
      <c r="BA211" t="s">
        <v>243</v>
      </c>
      <c r="BB211" t="s">
        <v>243</v>
      </c>
      <c r="BC211" t="s">
        <v>243</v>
      </c>
      <c r="BD211" t="s">
        <v>243</v>
      </c>
      <c r="BE211" t="s">
        <v>243</v>
      </c>
      <c r="BF211" t="s">
        <v>243</v>
      </c>
      <c r="BG211" t="s">
        <v>243</v>
      </c>
      <c r="BH211" t="s">
        <v>243</v>
      </c>
      <c r="BI211" t="s">
        <v>243</v>
      </c>
      <c r="BJ211" t="s">
        <v>243</v>
      </c>
      <c r="BK211" t="s">
        <v>243</v>
      </c>
      <c r="BL211" t="s">
        <v>243</v>
      </c>
      <c r="BM211" t="s">
        <v>243</v>
      </c>
      <c r="BN211" t="s">
        <v>243</v>
      </c>
      <c r="BO211" t="s">
        <v>243</v>
      </c>
      <c r="BP211" t="s">
        <v>243</v>
      </c>
      <c r="BQ211" t="s">
        <v>243</v>
      </c>
      <c r="BR211" t="s">
        <v>243</v>
      </c>
      <c r="BS211" t="s">
        <v>243</v>
      </c>
      <c r="BT211" t="s">
        <v>243</v>
      </c>
      <c r="BU211" t="s">
        <v>243</v>
      </c>
      <c r="BV211" t="s">
        <v>243</v>
      </c>
      <c r="BW211" t="s">
        <v>243</v>
      </c>
      <c r="BX211" t="s">
        <v>243</v>
      </c>
      <c r="BY211" t="s">
        <v>243</v>
      </c>
      <c r="BZ211" t="s">
        <v>243</v>
      </c>
      <c r="CA211" t="s">
        <v>243</v>
      </c>
      <c r="CB211" t="s">
        <v>243</v>
      </c>
      <c r="CC211" t="s">
        <v>243</v>
      </c>
      <c r="CD211" t="s">
        <v>243</v>
      </c>
      <c r="CE211" t="s">
        <v>243</v>
      </c>
      <c r="CF211" t="s">
        <v>243</v>
      </c>
      <c r="CG211" t="s">
        <v>243</v>
      </c>
      <c r="CH211" t="s">
        <v>243</v>
      </c>
      <c r="CI211" t="s">
        <v>243</v>
      </c>
      <c r="CJ211" t="s">
        <v>243</v>
      </c>
      <c r="CK211" t="s">
        <v>243</v>
      </c>
      <c r="CL211" t="s">
        <v>243</v>
      </c>
      <c r="CM211" t="s">
        <v>243</v>
      </c>
      <c r="CN211" t="s">
        <v>243</v>
      </c>
      <c r="CO211" t="s">
        <v>2843</v>
      </c>
      <c r="CP211" t="s">
        <v>2844</v>
      </c>
      <c r="CQ211" t="s">
        <v>430</v>
      </c>
      <c r="CR211" t="s">
        <v>3361</v>
      </c>
      <c r="CS211" t="s">
        <v>431</v>
      </c>
      <c r="CT211" t="s">
        <v>430</v>
      </c>
      <c r="CU211" t="s">
        <v>268</v>
      </c>
      <c r="CV211" t="s">
        <v>432</v>
      </c>
      <c r="CW211" t="s">
        <v>3361</v>
      </c>
      <c r="CX211" t="s">
        <v>2848</v>
      </c>
      <c r="CY211" t="s">
        <v>450</v>
      </c>
    </row>
    <row r="212" spans="1:103" ht="11.25" customHeight="1">
      <c r="A212" t="s">
        <v>243</v>
      </c>
      <c r="B212" t="s">
        <v>243</v>
      </c>
      <c r="C212" t="s">
        <v>243</v>
      </c>
      <c r="D212" t="s">
        <v>243</v>
      </c>
      <c r="E212" t="s">
        <v>243</v>
      </c>
      <c r="F212" t="s">
        <v>2816</v>
      </c>
      <c r="G212" t="s">
        <v>243</v>
      </c>
      <c r="H212" t="s">
        <v>243</v>
      </c>
      <c r="I212" t="s">
        <v>1776</v>
      </c>
      <c r="J212" t="s">
        <v>243</v>
      </c>
      <c r="K212" t="s">
        <v>455</v>
      </c>
      <c r="L212" t="s">
        <v>243</v>
      </c>
      <c r="M212" t="s">
        <v>114</v>
      </c>
      <c r="N212" t="s">
        <v>243</v>
      </c>
      <c r="O212" t="s">
        <v>2819</v>
      </c>
      <c r="P212" t="s">
        <v>4449</v>
      </c>
      <c r="Q212" t="s">
        <v>2821</v>
      </c>
      <c r="R212" t="s">
        <v>200</v>
      </c>
      <c r="S212" t="s">
        <v>200</v>
      </c>
      <c r="T212" t="s">
        <v>2822</v>
      </c>
      <c r="U212" t="s">
        <v>2822</v>
      </c>
      <c r="V212" t="s">
        <v>2823</v>
      </c>
      <c r="W212" t="s">
        <v>2952</v>
      </c>
      <c r="X212" t="s">
        <v>2953</v>
      </c>
      <c r="Y212" t="s">
        <v>2864</v>
      </c>
      <c r="Z212" t="s">
        <v>3734</v>
      </c>
      <c r="AA212" t="s">
        <v>3260</v>
      </c>
      <c r="AB212" t="s">
        <v>3735</v>
      </c>
      <c r="AC212" t="s">
        <v>2829</v>
      </c>
      <c r="AD212" t="s">
        <v>2830</v>
      </c>
      <c r="AE212" t="s">
        <v>2831</v>
      </c>
      <c r="AF212" t="s">
        <v>3736</v>
      </c>
      <c r="AG212" t="s">
        <v>3737</v>
      </c>
      <c r="AH212" t="s">
        <v>2834</v>
      </c>
      <c r="AI212" t="s">
        <v>2835</v>
      </c>
      <c r="AJ212" t="s">
        <v>2960</v>
      </c>
      <c r="AK212" t="s">
        <v>2961</v>
      </c>
      <c r="AL212" t="s">
        <v>2966</v>
      </c>
      <c r="AM212" t="s">
        <v>3738</v>
      </c>
      <c r="AN212" t="s">
        <v>2829</v>
      </c>
      <c r="AO212" t="s">
        <v>2839</v>
      </c>
      <c r="AP212" t="s">
        <v>2840</v>
      </c>
      <c r="AQ212" t="s">
        <v>2841</v>
      </c>
      <c r="AR212" t="s">
        <v>3739</v>
      </c>
      <c r="AS212" t="s">
        <v>3739</v>
      </c>
      <c r="AT212" t="s">
        <v>2829</v>
      </c>
      <c r="AU212" t="s">
        <v>2829</v>
      </c>
      <c r="AV212" t="s">
        <v>2829</v>
      </c>
      <c r="AW212" t="s">
        <v>2829</v>
      </c>
      <c r="AX212" t="s">
        <v>2829</v>
      </c>
      <c r="AY212" t="s">
        <v>2829</v>
      </c>
      <c r="AZ212" t="s">
        <v>2829</v>
      </c>
      <c r="BA212" t="s">
        <v>2829</v>
      </c>
      <c r="BB212" t="s">
        <v>2829</v>
      </c>
      <c r="BC212" t="s">
        <v>2829</v>
      </c>
      <c r="BD212" t="s">
        <v>2829</v>
      </c>
      <c r="BE212" t="s">
        <v>243</v>
      </c>
      <c r="BF212" t="s">
        <v>243</v>
      </c>
      <c r="BG212" t="s">
        <v>243</v>
      </c>
      <c r="BH212" t="s">
        <v>243</v>
      </c>
      <c r="BI212" t="s">
        <v>243</v>
      </c>
      <c r="BJ212" t="s">
        <v>2829</v>
      </c>
      <c r="BK212" t="s">
        <v>243</v>
      </c>
      <c r="BL212" t="s">
        <v>243</v>
      </c>
      <c r="BM212" t="s">
        <v>243</v>
      </c>
      <c r="BN212" t="s">
        <v>243</v>
      </c>
      <c r="BO212" t="s">
        <v>243</v>
      </c>
      <c r="BP212" t="s">
        <v>3739</v>
      </c>
      <c r="BQ212" t="s">
        <v>3739</v>
      </c>
      <c r="BR212" t="s">
        <v>243</v>
      </c>
      <c r="BS212" t="s">
        <v>243</v>
      </c>
      <c r="BT212" t="s">
        <v>243</v>
      </c>
      <c r="BU212" t="s">
        <v>243</v>
      </c>
      <c r="BV212" t="s">
        <v>2829</v>
      </c>
      <c r="BW212" t="s">
        <v>243</v>
      </c>
      <c r="BX212" t="s">
        <v>243</v>
      </c>
      <c r="BY212" t="s">
        <v>243</v>
      </c>
      <c r="BZ212" t="s">
        <v>243</v>
      </c>
      <c r="CA212" t="s">
        <v>243</v>
      </c>
      <c r="CB212" t="s">
        <v>2829</v>
      </c>
      <c r="CC212" t="s">
        <v>243</v>
      </c>
      <c r="CD212" t="s">
        <v>243</v>
      </c>
      <c r="CE212" t="s">
        <v>243</v>
      </c>
      <c r="CF212" t="s">
        <v>243</v>
      </c>
      <c r="CG212" t="s">
        <v>243</v>
      </c>
      <c r="CH212" t="s">
        <v>2829</v>
      </c>
      <c r="CI212" t="s">
        <v>243</v>
      </c>
      <c r="CJ212" t="s">
        <v>243</v>
      </c>
      <c r="CK212" t="s">
        <v>243</v>
      </c>
      <c r="CL212" t="s">
        <v>243</v>
      </c>
      <c r="CM212" t="s">
        <v>243</v>
      </c>
      <c r="CN212" t="s">
        <v>2960</v>
      </c>
      <c r="CO212" t="s">
        <v>2843</v>
      </c>
      <c r="CP212" t="s">
        <v>2844</v>
      </c>
      <c r="CQ212" t="s">
        <v>430</v>
      </c>
      <c r="CR212" t="s">
        <v>2845</v>
      </c>
      <c r="CS212" t="s">
        <v>431</v>
      </c>
      <c r="CT212" t="s">
        <v>430</v>
      </c>
      <c r="CU212" t="s">
        <v>2846</v>
      </c>
      <c r="CV212" t="s">
        <v>2847</v>
      </c>
      <c r="CW212" t="s">
        <v>2845</v>
      </c>
      <c r="CX212" t="s">
        <v>2848</v>
      </c>
      <c r="CY212" t="s">
        <v>3740</v>
      </c>
    </row>
    <row r="213" spans="1:103" ht="11.25" customHeight="1">
      <c r="A213" t="s">
        <v>243</v>
      </c>
      <c r="B213" t="s">
        <v>243</v>
      </c>
      <c r="C213" t="s">
        <v>243</v>
      </c>
      <c r="D213" t="s">
        <v>243</v>
      </c>
      <c r="E213" t="s">
        <v>243</v>
      </c>
      <c r="F213" t="s">
        <v>2816</v>
      </c>
      <c r="G213" t="s">
        <v>243</v>
      </c>
      <c r="H213" t="s">
        <v>243</v>
      </c>
      <c r="I213" t="s">
        <v>4194</v>
      </c>
      <c r="J213" t="s">
        <v>243</v>
      </c>
      <c r="K213" t="s">
        <v>446</v>
      </c>
      <c r="L213" t="s">
        <v>243</v>
      </c>
      <c r="M213" t="s">
        <v>114</v>
      </c>
      <c r="N213" t="s">
        <v>243</v>
      </c>
      <c r="O213" t="s">
        <v>3356</v>
      </c>
      <c r="P213" t="s">
        <v>4449</v>
      </c>
      <c r="Q213" t="s">
        <v>2821</v>
      </c>
      <c r="R213" t="s">
        <v>190</v>
      </c>
      <c r="S213" t="s">
        <v>190</v>
      </c>
      <c r="T213" t="s">
        <v>405</v>
      </c>
      <c r="U213" t="s">
        <v>405</v>
      </c>
      <c r="V213" t="s">
        <v>406</v>
      </c>
      <c r="W213" t="s">
        <v>4195</v>
      </c>
      <c r="X213" t="s">
        <v>4196</v>
      </c>
      <c r="Y213" t="s">
        <v>4197</v>
      </c>
      <c r="Z213" t="s">
        <v>341</v>
      </c>
      <c r="AA213" t="s">
        <v>4454</v>
      </c>
      <c r="AB213" t="s">
        <v>3059</v>
      </c>
      <c r="AC213" t="s">
        <v>243</v>
      </c>
      <c r="AD213" t="s">
        <v>2883</v>
      </c>
      <c r="AE213" t="s">
        <v>2831</v>
      </c>
      <c r="AF213" t="s">
        <v>3161</v>
      </c>
      <c r="AG213" t="s">
        <v>3162</v>
      </c>
      <c r="AH213" t="s">
        <v>2834</v>
      </c>
      <c r="AI213" t="s">
        <v>2835</v>
      </c>
      <c r="AJ213" t="s">
        <v>3030</v>
      </c>
      <c r="AK213" t="s">
        <v>4198</v>
      </c>
      <c r="AL213" t="s">
        <v>243</v>
      </c>
      <c r="AM213" t="s">
        <v>243</v>
      </c>
      <c r="AN213" t="s">
        <v>243</v>
      </c>
      <c r="AR213" t="s">
        <v>243</v>
      </c>
      <c r="AS213" t="s">
        <v>243</v>
      </c>
      <c r="AT213" t="s">
        <v>243</v>
      </c>
      <c r="AU213" t="s">
        <v>243</v>
      </c>
      <c r="AV213" t="s">
        <v>243</v>
      </c>
      <c r="AW213" t="s">
        <v>243</v>
      </c>
      <c r="AX213" t="s">
        <v>243</v>
      </c>
      <c r="AY213" t="s">
        <v>243</v>
      </c>
      <c r="AZ213" t="s">
        <v>243</v>
      </c>
      <c r="BA213" t="s">
        <v>243</v>
      </c>
      <c r="BB213" t="s">
        <v>243</v>
      </c>
      <c r="BC213" t="s">
        <v>243</v>
      </c>
      <c r="BD213" t="s">
        <v>243</v>
      </c>
      <c r="BE213" t="s">
        <v>243</v>
      </c>
      <c r="BF213" t="s">
        <v>243</v>
      </c>
      <c r="BG213" t="s">
        <v>243</v>
      </c>
      <c r="BH213" t="s">
        <v>243</v>
      </c>
      <c r="BI213" t="s">
        <v>243</v>
      </c>
      <c r="BJ213" t="s">
        <v>243</v>
      </c>
      <c r="BK213" t="s">
        <v>243</v>
      </c>
      <c r="BL213" t="s">
        <v>243</v>
      </c>
      <c r="BM213" t="s">
        <v>243</v>
      </c>
      <c r="BN213" t="s">
        <v>243</v>
      </c>
      <c r="BO213" t="s">
        <v>243</v>
      </c>
      <c r="BP213" t="s">
        <v>243</v>
      </c>
      <c r="BQ213" t="s">
        <v>243</v>
      </c>
      <c r="BR213" t="s">
        <v>243</v>
      </c>
      <c r="BS213" t="s">
        <v>243</v>
      </c>
      <c r="BT213" t="s">
        <v>243</v>
      </c>
      <c r="BU213" t="s">
        <v>243</v>
      </c>
      <c r="BV213" t="s">
        <v>243</v>
      </c>
      <c r="BW213" t="s">
        <v>243</v>
      </c>
      <c r="BX213" t="s">
        <v>243</v>
      </c>
      <c r="BY213" t="s">
        <v>243</v>
      </c>
      <c r="BZ213" t="s">
        <v>243</v>
      </c>
      <c r="CA213" t="s">
        <v>243</v>
      </c>
      <c r="CB213" t="s">
        <v>243</v>
      </c>
      <c r="CC213" t="s">
        <v>243</v>
      </c>
      <c r="CD213" t="s">
        <v>243</v>
      </c>
      <c r="CE213" t="s">
        <v>243</v>
      </c>
      <c r="CF213" t="s">
        <v>243</v>
      </c>
      <c r="CG213" t="s">
        <v>243</v>
      </c>
      <c r="CH213" t="s">
        <v>243</v>
      </c>
      <c r="CI213" t="s">
        <v>243</v>
      </c>
      <c r="CJ213" t="s">
        <v>243</v>
      </c>
      <c r="CK213" t="s">
        <v>243</v>
      </c>
      <c r="CL213" t="s">
        <v>243</v>
      </c>
      <c r="CM213" t="s">
        <v>243</v>
      </c>
      <c r="CN213" t="s">
        <v>243</v>
      </c>
      <c r="CO213" t="s">
        <v>2843</v>
      </c>
      <c r="CP213" t="s">
        <v>2844</v>
      </c>
      <c r="CQ213" t="s">
        <v>430</v>
      </c>
      <c r="CR213" t="s">
        <v>3361</v>
      </c>
      <c r="CS213" t="s">
        <v>431</v>
      </c>
      <c r="CT213" t="s">
        <v>430</v>
      </c>
      <c r="CU213" t="s">
        <v>268</v>
      </c>
      <c r="CV213" t="s">
        <v>432</v>
      </c>
      <c r="CW213" t="s">
        <v>3361</v>
      </c>
      <c r="CX213" t="s">
        <v>2848</v>
      </c>
      <c r="CY213" t="s">
        <v>447</v>
      </c>
    </row>
    <row r="214" spans="1:103" ht="11.25" customHeight="1">
      <c r="A214" t="s">
        <v>243</v>
      </c>
      <c r="B214" t="s">
        <v>243</v>
      </c>
      <c r="C214" t="s">
        <v>243</v>
      </c>
      <c r="D214" t="s">
        <v>243</v>
      </c>
      <c r="E214" t="s">
        <v>243</v>
      </c>
      <c r="F214" t="s">
        <v>2816</v>
      </c>
      <c r="G214" t="s">
        <v>243</v>
      </c>
      <c r="H214" t="s">
        <v>243</v>
      </c>
      <c r="I214" t="s">
        <v>4291</v>
      </c>
      <c r="J214" t="s">
        <v>243</v>
      </c>
      <c r="K214" t="s">
        <v>4073</v>
      </c>
      <c r="L214" t="s">
        <v>243</v>
      </c>
      <c r="M214" t="s">
        <v>114</v>
      </c>
      <c r="N214" t="s">
        <v>243</v>
      </c>
      <c r="O214" t="s">
        <v>2819</v>
      </c>
      <c r="P214" t="s">
        <v>4449</v>
      </c>
      <c r="Q214" t="s">
        <v>2821</v>
      </c>
      <c r="R214" t="s">
        <v>200</v>
      </c>
      <c r="S214" t="s">
        <v>200</v>
      </c>
      <c r="T214" t="s">
        <v>2822</v>
      </c>
      <c r="U214" t="s">
        <v>2822</v>
      </c>
      <c r="V214" t="s">
        <v>2823</v>
      </c>
      <c r="W214" t="s">
        <v>2952</v>
      </c>
      <c r="X214" t="s">
        <v>2953</v>
      </c>
      <c r="Y214" t="s">
        <v>4292</v>
      </c>
      <c r="Z214" t="s">
        <v>4293</v>
      </c>
      <c r="AA214" t="s">
        <v>3078</v>
      </c>
      <c r="AB214" t="s">
        <v>3464</v>
      </c>
      <c r="AC214" t="s">
        <v>2829</v>
      </c>
      <c r="AD214" t="s">
        <v>2830</v>
      </c>
      <c r="AE214" t="s">
        <v>2831</v>
      </c>
      <c r="AF214" t="s">
        <v>4294</v>
      </c>
      <c r="AG214" t="s">
        <v>4295</v>
      </c>
      <c r="AH214" t="s">
        <v>2834</v>
      </c>
      <c r="AI214" t="s">
        <v>2835</v>
      </c>
      <c r="AJ214" t="s">
        <v>2960</v>
      </c>
      <c r="AK214" t="s">
        <v>3882</v>
      </c>
      <c r="AL214" t="s">
        <v>3078</v>
      </c>
      <c r="AM214" t="s">
        <v>3464</v>
      </c>
      <c r="AN214" t="s">
        <v>2829</v>
      </c>
      <c r="AO214" t="s">
        <v>2839</v>
      </c>
      <c r="AP214" t="s">
        <v>2840</v>
      </c>
      <c r="AQ214" t="s">
        <v>2841</v>
      </c>
      <c r="AR214" t="s">
        <v>3962</v>
      </c>
      <c r="AS214" t="s">
        <v>3962</v>
      </c>
      <c r="AT214" t="s">
        <v>2829</v>
      </c>
      <c r="AU214" t="s">
        <v>2829</v>
      </c>
      <c r="AV214" t="s">
        <v>2829</v>
      </c>
      <c r="AW214" t="s">
        <v>2829</v>
      </c>
      <c r="AX214" t="s">
        <v>2829</v>
      </c>
      <c r="AY214" t="s">
        <v>2829</v>
      </c>
      <c r="AZ214" t="s">
        <v>2829</v>
      </c>
      <c r="BA214" t="s">
        <v>2829</v>
      </c>
      <c r="BB214" t="s">
        <v>2829</v>
      </c>
      <c r="BC214" t="s">
        <v>2829</v>
      </c>
      <c r="BD214" t="s">
        <v>2829</v>
      </c>
      <c r="BE214" t="s">
        <v>243</v>
      </c>
      <c r="BF214" t="s">
        <v>243</v>
      </c>
      <c r="BG214" t="s">
        <v>243</v>
      </c>
      <c r="BH214" t="s">
        <v>243</v>
      </c>
      <c r="BI214" t="s">
        <v>243</v>
      </c>
      <c r="BJ214" t="s">
        <v>2829</v>
      </c>
      <c r="BK214" t="s">
        <v>243</v>
      </c>
      <c r="BL214" t="s">
        <v>243</v>
      </c>
      <c r="BM214" t="s">
        <v>243</v>
      </c>
      <c r="BN214" t="s">
        <v>243</v>
      </c>
      <c r="BO214" t="s">
        <v>243</v>
      </c>
      <c r="BP214" t="s">
        <v>3962</v>
      </c>
      <c r="BQ214" t="s">
        <v>3962</v>
      </c>
      <c r="BR214" t="s">
        <v>243</v>
      </c>
      <c r="BS214" t="s">
        <v>243</v>
      </c>
      <c r="BT214" t="s">
        <v>243</v>
      </c>
      <c r="BU214" t="s">
        <v>243</v>
      </c>
      <c r="BV214" t="s">
        <v>2829</v>
      </c>
      <c r="BW214" t="s">
        <v>243</v>
      </c>
      <c r="BX214" t="s">
        <v>243</v>
      </c>
      <c r="BY214" t="s">
        <v>243</v>
      </c>
      <c r="BZ214" t="s">
        <v>243</v>
      </c>
      <c r="CA214" t="s">
        <v>243</v>
      </c>
      <c r="CB214" t="s">
        <v>2829</v>
      </c>
      <c r="CC214" t="s">
        <v>243</v>
      </c>
      <c r="CD214" t="s">
        <v>243</v>
      </c>
      <c r="CE214" t="s">
        <v>243</v>
      </c>
      <c r="CF214" t="s">
        <v>243</v>
      </c>
      <c r="CG214" t="s">
        <v>243</v>
      </c>
      <c r="CH214" t="s">
        <v>2829</v>
      </c>
      <c r="CI214" t="s">
        <v>243</v>
      </c>
      <c r="CJ214" t="s">
        <v>243</v>
      </c>
      <c r="CK214" t="s">
        <v>243</v>
      </c>
      <c r="CL214" t="s">
        <v>243</v>
      </c>
      <c r="CM214" t="s">
        <v>243</v>
      </c>
      <c r="CN214" t="s">
        <v>2960</v>
      </c>
      <c r="CO214" t="s">
        <v>2843</v>
      </c>
      <c r="CP214" t="s">
        <v>2844</v>
      </c>
      <c r="CQ214" t="s">
        <v>430</v>
      </c>
      <c r="CR214" t="s">
        <v>2845</v>
      </c>
      <c r="CS214" t="s">
        <v>431</v>
      </c>
      <c r="CT214" t="s">
        <v>430</v>
      </c>
      <c r="CU214" t="s">
        <v>2846</v>
      </c>
      <c r="CV214" t="s">
        <v>2847</v>
      </c>
      <c r="CW214" t="s">
        <v>2845</v>
      </c>
      <c r="CX214" t="s">
        <v>2848</v>
      </c>
      <c r="CY214" t="s">
        <v>4296</v>
      </c>
    </row>
    <row r="215" spans="1:103" ht="11.25" customHeight="1">
      <c r="A215" t="s">
        <v>243</v>
      </c>
      <c r="B215" t="s">
        <v>243</v>
      </c>
      <c r="C215" t="s">
        <v>243</v>
      </c>
      <c r="D215" t="s">
        <v>243</v>
      </c>
      <c r="E215" t="s">
        <v>243</v>
      </c>
      <c r="F215" t="s">
        <v>2816</v>
      </c>
      <c r="G215" t="s">
        <v>243</v>
      </c>
      <c r="H215" t="s">
        <v>243</v>
      </c>
      <c r="I215" t="s">
        <v>348</v>
      </c>
      <c r="J215" t="s">
        <v>243</v>
      </c>
      <c r="K215" t="s">
        <v>3281</v>
      </c>
      <c r="L215" t="s">
        <v>243</v>
      </c>
      <c r="M215" t="s">
        <v>114</v>
      </c>
      <c r="N215" t="s">
        <v>243</v>
      </c>
      <c r="O215" t="s">
        <v>2819</v>
      </c>
      <c r="P215" t="s">
        <v>4449</v>
      </c>
      <c r="Q215" t="s">
        <v>2821</v>
      </c>
      <c r="R215" t="s">
        <v>200</v>
      </c>
      <c r="S215" t="s">
        <v>200</v>
      </c>
      <c r="T215" t="s">
        <v>3282</v>
      </c>
      <c r="U215" t="s">
        <v>3282</v>
      </c>
      <c r="V215" t="s">
        <v>3283</v>
      </c>
      <c r="W215" t="s">
        <v>3284</v>
      </c>
      <c r="X215" t="s">
        <v>3285</v>
      </c>
      <c r="Y215" t="s">
        <v>3286</v>
      </c>
      <c r="Z215" t="s">
        <v>902</v>
      </c>
      <c r="AA215" t="s">
        <v>3287</v>
      </c>
      <c r="AB215" t="s">
        <v>3288</v>
      </c>
      <c r="AC215" t="s">
        <v>3260</v>
      </c>
      <c r="AD215" t="s">
        <v>2883</v>
      </c>
      <c r="AE215" t="s">
        <v>2975</v>
      </c>
      <c r="AF215" t="s">
        <v>3289</v>
      </c>
      <c r="AG215" t="s">
        <v>3290</v>
      </c>
      <c r="AH215" t="s">
        <v>2834</v>
      </c>
      <c r="AI215" t="s">
        <v>2887</v>
      </c>
      <c r="AJ215" t="s">
        <v>2888</v>
      </c>
      <c r="AK215" t="s">
        <v>2889</v>
      </c>
      <c r="AL215" t="s">
        <v>3287</v>
      </c>
      <c r="AM215" t="s">
        <v>3288</v>
      </c>
      <c r="AN215" t="s">
        <v>3260</v>
      </c>
      <c r="AO215" t="s">
        <v>2839</v>
      </c>
      <c r="AP215" t="s">
        <v>2840</v>
      </c>
      <c r="AQ215" t="s">
        <v>2841</v>
      </c>
      <c r="AR215" t="s">
        <v>3291</v>
      </c>
      <c r="AS215" t="s">
        <v>3292</v>
      </c>
      <c r="AT215" t="s">
        <v>3293</v>
      </c>
      <c r="AU215" t="s">
        <v>2829</v>
      </c>
      <c r="AV215" t="s">
        <v>2829</v>
      </c>
      <c r="AW215" t="s">
        <v>2829</v>
      </c>
      <c r="AX215" t="s">
        <v>2829</v>
      </c>
      <c r="AY215" t="s">
        <v>2829</v>
      </c>
      <c r="AZ215" t="s">
        <v>2829</v>
      </c>
      <c r="BA215" t="s">
        <v>2829</v>
      </c>
      <c r="BB215" t="s">
        <v>2829</v>
      </c>
      <c r="BC215" t="s">
        <v>2829</v>
      </c>
      <c r="BD215" t="s">
        <v>3294</v>
      </c>
      <c r="BE215" t="s">
        <v>3295</v>
      </c>
      <c r="BF215" t="s">
        <v>3293</v>
      </c>
      <c r="BG215" t="s">
        <v>243</v>
      </c>
      <c r="BH215" t="s">
        <v>243</v>
      </c>
      <c r="BI215" t="s">
        <v>243</v>
      </c>
      <c r="BJ215" t="s">
        <v>2829</v>
      </c>
      <c r="BK215" t="s">
        <v>243</v>
      </c>
      <c r="BL215" t="s">
        <v>243</v>
      </c>
      <c r="BM215" t="s">
        <v>243</v>
      </c>
      <c r="BN215" t="s">
        <v>243</v>
      </c>
      <c r="BO215" t="s">
        <v>243</v>
      </c>
      <c r="BP215" t="s">
        <v>3296</v>
      </c>
      <c r="BQ215" t="s">
        <v>3296</v>
      </c>
      <c r="BR215" t="s">
        <v>243</v>
      </c>
      <c r="BS215" t="s">
        <v>243</v>
      </c>
      <c r="BT215" t="s">
        <v>243</v>
      </c>
      <c r="BU215" t="s">
        <v>243</v>
      </c>
      <c r="BV215" t="s">
        <v>2829</v>
      </c>
      <c r="BW215" t="s">
        <v>243</v>
      </c>
      <c r="BX215" t="s">
        <v>243</v>
      </c>
      <c r="BY215" t="s">
        <v>243</v>
      </c>
      <c r="BZ215" t="s">
        <v>243</v>
      </c>
      <c r="CA215" t="s">
        <v>243</v>
      </c>
      <c r="CB215" t="s">
        <v>2829</v>
      </c>
      <c r="CC215" t="s">
        <v>243</v>
      </c>
      <c r="CD215" t="s">
        <v>243</v>
      </c>
      <c r="CE215" t="s">
        <v>243</v>
      </c>
      <c r="CF215" t="s">
        <v>243</v>
      </c>
      <c r="CG215" t="s">
        <v>243</v>
      </c>
      <c r="CH215" t="s">
        <v>2829</v>
      </c>
      <c r="CI215" t="s">
        <v>243</v>
      </c>
      <c r="CJ215" t="s">
        <v>243</v>
      </c>
      <c r="CK215" t="s">
        <v>243</v>
      </c>
      <c r="CL215" t="s">
        <v>243</v>
      </c>
      <c r="CM215" t="s">
        <v>243</v>
      </c>
      <c r="CN215" t="s">
        <v>2888</v>
      </c>
      <c r="CO215" t="s">
        <v>2843</v>
      </c>
      <c r="CP215" t="s">
        <v>2844</v>
      </c>
      <c r="CQ215" t="s">
        <v>430</v>
      </c>
      <c r="CR215" t="s">
        <v>3297</v>
      </c>
      <c r="CS215" t="s">
        <v>431</v>
      </c>
      <c r="CT215" t="s">
        <v>430</v>
      </c>
      <c r="CU215" t="s">
        <v>341</v>
      </c>
      <c r="CV215" t="s">
        <v>2900</v>
      </c>
      <c r="CW215" t="s">
        <v>3297</v>
      </c>
      <c r="CX215" t="s">
        <v>2848</v>
      </c>
      <c r="CY215" t="s">
        <v>3298</v>
      </c>
    </row>
    <row r="216" spans="1:103" ht="11.25" customHeight="1">
      <c r="A216" t="s">
        <v>243</v>
      </c>
      <c r="B216" t="s">
        <v>243</v>
      </c>
      <c r="C216" t="s">
        <v>243</v>
      </c>
      <c r="D216" t="s">
        <v>243</v>
      </c>
      <c r="E216" t="s">
        <v>243</v>
      </c>
      <c r="F216" t="s">
        <v>2816</v>
      </c>
      <c r="G216" t="s">
        <v>243</v>
      </c>
      <c r="H216" t="s">
        <v>243</v>
      </c>
      <c r="I216" t="s">
        <v>3336</v>
      </c>
      <c r="J216" t="s">
        <v>243</v>
      </c>
      <c r="K216" t="s">
        <v>3178</v>
      </c>
      <c r="L216" t="s">
        <v>243</v>
      </c>
      <c r="M216" t="s">
        <v>114</v>
      </c>
      <c r="N216" t="s">
        <v>243</v>
      </c>
      <c r="O216" t="s">
        <v>2819</v>
      </c>
      <c r="P216" t="s">
        <v>4449</v>
      </c>
      <c r="Q216" t="s">
        <v>2821</v>
      </c>
      <c r="R216" t="s">
        <v>200</v>
      </c>
      <c r="S216" t="s">
        <v>200</v>
      </c>
      <c r="T216" t="s">
        <v>3048</v>
      </c>
      <c r="U216" t="s">
        <v>3048</v>
      </c>
      <c r="V216" t="s">
        <v>3049</v>
      </c>
      <c r="W216" t="s">
        <v>3337</v>
      </c>
      <c r="X216" t="s">
        <v>3338</v>
      </c>
      <c r="Y216" t="s">
        <v>2913</v>
      </c>
      <c r="Z216" t="s">
        <v>454</v>
      </c>
      <c r="AA216" t="s">
        <v>3078</v>
      </c>
      <c r="AB216" t="s">
        <v>2907</v>
      </c>
      <c r="AC216" t="s">
        <v>2829</v>
      </c>
      <c r="AD216" t="s">
        <v>2883</v>
      </c>
      <c r="AE216" t="s">
        <v>2831</v>
      </c>
      <c r="AF216" t="s">
        <v>3055</v>
      </c>
      <c r="AG216" t="s">
        <v>3055</v>
      </c>
      <c r="AH216" t="s">
        <v>2834</v>
      </c>
      <c r="AI216" t="s">
        <v>2835</v>
      </c>
      <c r="AJ216" t="s">
        <v>3187</v>
      </c>
      <c r="AK216" t="s">
        <v>3325</v>
      </c>
      <c r="AL216" t="s">
        <v>3078</v>
      </c>
      <c r="AM216" t="s">
        <v>2907</v>
      </c>
      <c r="AN216" t="s">
        <v>2829</v>
      </c>
      <c r="AO216" t="s">
        <v>2839</v>
      </c>
      <c r="AP216" t="s">
        <v>2840</v>
      </c>
      <c r="AQ216" t="s">
        <v>2841</v>
      </c>
      <c r="AR216" t="s">
        <v>3005</v>
      </c>
      <c r="AS216" t="s">
        <v>3005</v>
      </c>
      <c r="AT216" t="s">
        <v>2829</v>
      </c>
      <c r="AU216" t="s">
        <v>2829</v>
      </c>
      <c r="AV216" t="s">
        <v>2829</v>
      </c>
      <c r="AW216" t="s">
        <v>2829</v>
      </c>
      <c r="AX216" t="s">
        <v>2829</v>
      </c>
      <c r="AY216" t="s">
        <v>2829</v>
      </c>
      <c r="AZ216" t="s">
        <v>2829</v>
      </c>
      <c r="BA216" t="s">
        <v>2829</v>
      </c>
      <c r="BB216" t="s">
        <v>2829</v>
      </c>
      <c r="BC216" t="s">
        <v>2829</v>
      </c>
      <c r="BD216" t="s">
        <v>3005</v>
      </c>
      <c r="BE216" t="s">
        <v>3005</v>
      </c>
      <c r="BF216" t="s">
        <v>243</v>
      </c>
      <c r="BG216" t="s">
        <v>243</v>
      </c>
      <c r="BH216" t="s">
        <v>243</v>
      </c>
      <c r="BI216" t="s">
        <v>243</v>
      </c>
      <c r="BJ216" t="s">
        <v>2829</v>
      </c>
      <c r="BK216" t="s">
        <v>243</v>
      </c>
      <c r="BL216" t="s">
        <v>243</v>
      </c>
      <c r="BM216" t="s">
        <v>243</v>
      </c>
      <c r="BN216" t="s">
        <v>243</v>
      </c>
      <c r="BO216" t="s">
        <v>243</v>
      </c>
      <c r="BP216" t="s">
        <v>2829</v>
      </c>
      <c r="BQ216" t="s">
        <v>243</v>
      </c>
      <c r="BR216" t="s">
        <v>243</v>
      </c>
      <c r="BS216" t="s">
        <v>243</v>
      </c>
      <c r="BT216" t="s">
        <v>243</v>
      </c>
      <c r="BU216" t="s">
        <v>243</v>
      </c>
      <c r="BV216" t="s">
        <v>2829</v>
      </c>
      <c r="BW216" t="s">
        <v>243</v>
      </c>
      <c r="BX216" t="s">
        <v>243</v>
      </c>
      <c r="BY216" t="s">
        <v>243</v>
      </c>
      <c r="BZ216" t="s">
        <v>243</v>
      </c>
      <c r="CA216" t="s">
        <v>243</v>
      </c>
      <c r="CB216" t="s">
        <v>2829</v>
      </c>
      <c r="CC216" t="s">
        <v>243</v>
      </c>
      <c r="CD216" t="s">
        <v>243</v>
      </c>
      <c r="CE216" t="s">
        <v>243</v>
      </c>
      <c r="CF216" t="s">
        <v>243</v>
      </c>
      <c r="CG216" t="s">
        <v>243</v>
      </c>
      <c r="CH216" t="s">
        <v>2829</v>
      </c>
      <c r="CI216" t="s">
        <v>243</v>
      </c>
      <c r="CJ216" t="s">
        <v>243</v>
      </c>
      <c r="CK216" t="s">
        <v>243</v>
      </c>
      <c r="CL216" t="s">
        <v>243</v>
      </c>
      <c r="CM216" t="s">
        <v>243</v>
      </c>
      <c r="CN216" t="s">
        <v>2888</v>
      </c>
      <c r="CO216" t="s">
        <v>2843</v>
      </c>
      <c r="CP216" t="s">
        <v>2844</v>
      </c>
      <c r="CQ216" t="s">
        <v>430</v>
      </c>
      <c r="CR216" t="s">
        <v>2872</v>
      </c>
      <c r="CS216" t="s">
        <v>431</v>
      </c>
      <c r="CT216" t="s">
        <v>430</v>
      </c>
      <c r="CU216" t="s">
        <v>3061</v>
      </c>
      <c r="CV216" t="s">
        <v>3062</v>
      </c>
      <c r="CW216" t="s">
        <v>2872</v>
      </c>
      <c r="CX216" t="s">
        <v>2848</v>
      </c>
      <c r="CY216" t="s">
        <v>3339</v>
      </c>
    </row>
    <row r="217" spans="1:103" ht="11.25" customHeight="1">
      <c r="A217" t="s">
        <v>243</v>
      </c>
      <c r="B217" t="s">
        <v>243</v>
      </c>
      <c r="C217" t="s">
        <v>243</v>
      </c>
      <c r="D217" t="s">
        <v>243</v>
      </c>
      <c r="E217" t="s">
        <v>243</v>
      </c>
      <c r="F217" t="s">
        <v>2816</v>
      </c>
      <c r="G217" t="s">
        <v>243</v>
      </c>
      <c r="H217" t="s">
        <v>243</v>
      </c>
      <c r="I217" t="s">
        <v>1815</v>
      </c>
      <c r="J217" t="s">
        <v>243</v>
      </c>
      <c r="K217" t="s">
        <v>428</v>
      </c>
      <c r="L217" t="s">
        <v>243</v>
      </c>
      <c r="M217" t="s">
        <v>114</v>
      </c>
      <c r="N217" t="s">
        <v>243</v>
      </c>
      <c r="O217" t="s">
        <v>2819</v>
      </c>
      <c r="P217" t="s">
        <v>4449</v>
      </c>
      <c r="Q217" t="s">
        <v>2821</v>
      </c>
      <c r="R217" t="s">
        <v>200</v>
      </c>
      <c r="S217" t="s">
        <v>200</v>
      </c>
      <c r="T217" t="s">
        <v>2822</v>
      </c>
      <c r="U217" t="s">
        <v>2822</v>
      </c>
      <c r="V217" t="s">
        <v>2823</v>
      </c>
      <c r="W217" t="s">
        <v>2952</v>
      </c>
      <c r="X217" t="s">
        <v>2953</v>
      </c>
      <c r="Y217" t="s">
        <v>3064</v>
      </c>
      <c r="Z217" t="s">
        <v>3065</v>
      </c>
      <c r="AA217" t="s">
        <v>3066</v>
      </c>
      <c r="AB217" t="s">
        <v>3067</v>
      </c>
      <c r="AC217" t="s">
        <v>2829</v>
      </c>
      <c r="AD217" t="s">
        <v>2830</v>
      </c>
      <c r="AE217" t="s">
        <v>2831</v>
      </c>
      <c r="AF217" t="s">
        <v>3068</v>
      </c>
      <c r="AG217" t="s">
        <v>3069</v>
      </c>
      <c r="AH217" t="s">
        <v>2834</v>
      </c>
      <c r="AI217" t="s">
        <v>2835</v>
      </c>
      <c r="AJ217" t="s">
        <v>2960</v>
      </c>
      <c r="AK217" t="s">
        <v>3070</v>
      </c>
      <c r="AL217" t="s">
        <v>3071</v>
      </c>
      <c r="AM217" t="s">
        <v>3072</v>
      </c>
      <c r="AN217" t="s">
        <v>2829</v>
      </c>
      <c r="AO217" t="s">
        <v>2839</v>
      </c>
      <c r="AP217" t="s">
        <v>2840</v>
      </c>
      <c r="AQ217" t="s">
        <v>2841</v>
      </c>
      <c r="AR217" t="s">
        <v>3073</v>
      </c>
      <c r="AS217" t="s">
        <v>3073</v>
      </c>
      <c r="AT217" t="s">
        <v>2829</v>
      </c>
      <c r="AU217" t="s">
        <v>2829</v>
      </c>
      <c r="AV217" t="s">
        <v>2829</v>
      </c>
      <c r="AW217" t="s">
        <v>2829</v>
      </c>
      <c r="AX217" t="s">
        <v>2829</v>
      </c>
      <c r="AY217" t="s">
        <v>2829</v>
      </c>
      <c r="AZ217" t="s">
        <v>2829</v>
      </c>
      <c r="BA217" t="s">
        <v>2829</v>
      </c>
      <c r="BB217" t="s">
        <v>2829</v>
      </c>
      <c r="BC217" t="s">
        <v>2829</v>
      </c>
      <c r="BD217" t="s">
        <v>2829</v>
      </c>
      <c r="BE217" t="s">
        <v>243</v>
      </c>
      <c r="BF217" t="s">
        <v>243</v>
      </c>
      <c r="BG217" t="s">
        <v>243</v>
      </c>
      <c r="BH217" t="s">
        <v>243</v>
      </c>
      <c r="BI217" t="s">
        <v>243</v>
      </c>
      <c r="BJ217" t="s">
        <v>2829</v>
      </c>
      <c r="BK217" t="s">
        <v>243</v>
      </c>
      <c r="BL217" t="s">
        <v>243</v>
      </c>
      <c r="BM217" t="s">
        <v>243</v>
      </c>
      <c r="BN217" t="s">
        <v>243</v>
      </c>
      <c r="BO217" t="s">
        <v>243</v>
      </c>
      <c r="BP217" t="s">
        <v>3073</v>
      </c>
      <c r="BQ217" t="s">
        <v>3073</v>
      </c>
      <c r="BR217" t="s">
        <v>243</v>
      </c>
      <c r="BS217" t="s">
        <v>243</v>
      </c>
      <c r="BT217" t="s">
        <v>243</v>
      </c>
      <c r="BU217" t="s">
        <v>243</v>
      </c>
      <c r="BV217" t="s">
        <v>2829</v>
      </c>
      <c r="BW217" t="s">
        <v>243</v>
      </c>
      <c r="BX217" t="s">
        <v>243</v>
      </c>
      <c r="BY217" t="s">
        <v>243</v>
      </c>
      <c r="BZ217" t="s">
        <v>243</v>
      </c>
      <c r="CA217" t="s">
        <v>243</v>
      </c>
      <c r="CB217" t="s">
        <v>2829</v>
      </c>
      <c r="CC217" t="s">
        <v>243</v>
      </c>
      <c r="CD217" t="s">
        <v>243</v>
      </c>
      <c r="CE217" t="s">
        <v>243</v>
      </c>
      <c r="CF217" t="s">
        <v>243</v>
      </c>
      <c r="CG217" t="s">
        <v>243</v>
      </c>
      <c r="CH217" t="s">
        <v>2829</v>
      </c>
      <c r="CI217" t="s">
        <v>243</v>
      </c>
      <c r="CJ217" t="s">
        <v>243</v>
      </c>
      <c r="CK217" t="s">
        <v>243</v>
      </c>
      <c r="CL217" t="s">
        <v>243</v>
      </c>
      <c r="CM217" t="s">
        <v>243</v>
      </c>
      <c r="CN217" t="s">
        <v>2960</v>
      </c>
      <c r="CO217" t="s">
        <v>2843</v>
      </c>
      <c r="CP217" t="s">
        <v>2844</v>
      </c>
      <c r="CQ217" t="s">
        <v>430</v>
      </c>
      <c r="CR217" t="s">
        <v>2845</v>
      </c>
      <c r="CS217" t="s">
        <v>431</v>
      </c>
      <c r="CT217" t="s">
        <v>430</v>
      </c>
      <c r="CU217" t="s">
        <v>2846</v>
      </c>
      <c r="CV217" t="s">
        <v>2847</v>
      </c>
      <c r="CW217" t="s">
        <v>2845</v>
      </c>
      <c r="CX217" t="s">
        <v>2848</v>
      </c>
      <c r="CY217" t="s">
        <v>3074</v>
      </c>
    </row>
    <row r="218" spans="1:103" ht="11.25" customHeight="1">
      <c r="A218" t="s">
        <v>243</v>
      </c>
      <c r="B218" t="s">
        <v>243</v>
      </c>
      <c r="C218" t="s">
        <v>243</v>
      </c>
      <c r="D218" t="s">
        <v>243</v>
      </c>
      <c r="E218" t="s">
        <v>243</v>
      </c>
      <c r="F218" t="s">
        <v>2816</v>
      </c>
      <c r="G218" t="s">
        <v>243</v>
      </c>
      <c r="H218" t="s">
        <v>243</v>
      </c>
      <c r="I218" t="s">
        <v>3340</v>
      </c>
      <c r="J218" t="s">
        <v>243</v>
      </c>
      <c r="K218" t="s">
        <v>3341</v>
      </c>
      <c r="L218" t="s">
        <v>243</v>
      </c>
      <c r="M218" t="s">
        <v>114</v>
      </c>
      <c r="N218" t="s">
        <v>243</v>
      </c>
      <c r="O218" t="s">
        <v>2819</v>
      </c>
      <c r="P218" t="s">
        <v>4449</v>
      </c>
      <c r="Q218" t="s">
        <v>2821</v>
      </c>
      <c r="R218" t="s">
        <v>200</v>
      </c>
      <c r="S218" t="s">
        <v>200</v>
      </c>
      <c r="T218" t="s">
        <v>3048</v>
      </c>
      <c r="U218" t="s">
        <v>3048</v>
      </c>
      <c r="V218" t="s">
        <v>3049</v>
      </c>
      <c r="W218" t="s">
        <v>3342</v>
      </c>
      <c r="X218" t="s">
        <v>3343</v>
      </c>
      <c r="Y218" t="s">
        <v>3088</v>
      </c>
      <c r="Z218" t="s">
        <v>2848</v>
      </c>
      <c r="AA218" t="s">
        <v>3078</v>
      </c>
      <c r="AB218" t="s">
        <v>3324</v>
      </c>
      <c r="AC218" t="s">
        <v>2829</v>
      </c>
      <c r="AD218" t="s">
        <v>2883</v>
      </c>
      <c r="AE218" t="s">
        <v>2831</v>
      </c>
      <c r="AF218" t="s">
        <v>3055</v>
      </c>
      <c r="AG218" t="s">
        <v>3055</v>
      </c>
      <c r="AH218" t="s">
        <v>2834</v>
      </c>
      <c r="AI218" t="s">
        <v>2835</v>
      </c>
      <c r="AJ218" t="s">
        <v>2888</v>
      </c>
      <c r="AK218" t="s">
        <v>3080</v>
      </c>
      <c r="AL218" t="s">
        <v>3078</v>
      </c>
      <c r="AM218" t="s">
        <v>3324</v>
      </c>
      <c r="AN218" t="s">
        <v>243</v>
      </c>
      <c r="AO218" t="s">
        <v>2839</v>
      </c>
      <c r="AP218" t="s">
        <v>2840</v>
      </c>
      <c r="AQ218" t="s">
        <v>2841</v>
      </c>
      <c r="AR218" t="s">
        <v>3324</v>
      </c>
      <c r="AS218" t="s">
        <v>3324</v>
      </c>
      <c r="AT218" t="s">
        <v>2829</v>
      </c>
      <c r="AU218" t="s">
        <v>2829</v>
      </c>
      <c r="AV218" t="s">
        <v>2829</v>
      </c>
      <c r="AW218" t="s">
        <v>2829</v>
      </c>
      <c r="AX218" t="s">
        <v>2829</v>
      </c>
      <c r="AY218" t="s">
        <v>2829</v>
      </c>
      <c r="AZ218" t="s">
        <v>2829</v>
      </c>
      <c r="BA218" t="s">
        <v>2829</v>
      </c>
      <c r="BB218" t="s">
        <v>2829</v>
      </c>
      <c r="BC218" t="s">
        <v>2829</v>
      </c>
      <c r="BD218" t="s">
        <v>3324</v>
      </c>
      <c r="BE218" t="s">
        <v>3324</v>
      </c>
      <c r="BF218" t="s">
        <v>243</v>
      </c>
      <c r="BG218" t="s">
        <v>243</v>
      </c>
      <c r="BH218" t="s">
        <v>243</v>
      </c>
      <c r="BI218" t="s">
        <v>243</v>
      </c>
      <c r="BJ218" t="s">
        <v>2829</v>
      </c>
      <c r="BK218" t="s">
        <v>243</v>
      </c>
      <c r="BL218" t="s">
        <v>243</v>
      </c>
      <c r="BM218" t="s">
        <v>243</v>
      </c>
      <c r="BN218" t="s">
        <v>243</v>
      </c>
      <c r="BO218" t="s">
        <v>243</v>
      </c>
      <c r="BP218" t="s">
        <v>2829</v>
      </c>
      <c r="BQ218" t="s">
        <v>243</v>
      </c>
      <c r="BR218" t="s">
        <v>243</v>
      </c>
      <c r="BS218" t="s">
        <v>243</v>
      </c>
      <c r="BT218" t="s">
        <v>243</v>
      </c>
      <c r="BU218" t="s">
        <v>243</v>
      </c>
      <c r="BV218" t="s">
        <v>2829</v>
      </c>
      <c r="BW218" t="s">
        <v>243</v>
      </c>
      <c r="BX218" t="s">
        <v>243</v>
      </c>
      <c r="BY218" t="s">
        <v>243</v>
      </c>
      <c r="BZ218" t="s">
        <v>243</v>
      </c>
      <c r="CA218" t="s">
        <v>243</v>
      </c>
      <c r="CB218" t="s">
        <v>2829</v>
      </c>
      <c r="CC218" t="s">
        <v>243</v>
      </c>
      <c r="CD218" t="s">
        <v>243</v>
      </c>
      <c r="CE218" t="s">
        <v>243</v>
      </c>
      <c r="CF218" t="s">
        <v>243</v>
      </c>
      <c r="CG218" t="s">
        <v>243</v>
      </c>
      <c r="CH218" t="s">
        <v>2829</v>
      </c>
      <c r="CI218" t="s">
        <v>243</v>
      </c>
      <c r="CJ218" t="s">
        <v>243</v>
      </c>
      <c r="CK218" t="s">
        <v>243</v>
      </c>
      <c r="CL218" t="s">
        <v>243</v>
      </c>
      <c r="CM218" t="s">
        <v>243</v>
      </c>
      <c r="CN218" t="s">
        <v>2888</v>
      </c>
      <c r="CO218" t="s">
        <v>2843</v>
      </c>
      <c r="CP218" t="s">
        <v>2844</v>
      </c>
      <c r="CQ218" t="s">
        <v>430</v>
      </c>
      <c r="CR218" t="s">
        <v>2872</v>
      </c>
      <c r="CS218" t="s">
        <v>431</v>
      </c>
      <c r="CT218" t="s">
        <v>430</v>
      </c>
      <c r="CU218" t="s">
        <v>3061</v>
      </c>
      <c r="CV218" t="s">
        <v>3062</v>
      </c>
      <c r="CW218" t="s">
        <v>2872</v>
      </c>
      <c r="CX218" t="s">
        <v>2848</v>
      </c>
      <c r="CY218" t="s">
        <v>3344</v>
      </c>
    </row>
    <row r="219" spans="1:103" ht="11.25" customHeight="1">
      <c r="A219" t="s">
        <v>243</v>
      </c>
      <c r="B219" t="s">
        <v>243</v>
      </c>
      <c r="C219" t="s">
        <v>243</v>
      </c>
      <c r="D219" t="s">
        <v>243</v>
      </c>
      <c r="E219" t="s">
        <v>243</v>
      </c>
      <c r="F219" t="s">
        <v>2816</v>
      </c>
      <c r="G219" t="s">
        <v>243</v>
      </c>
      <c r="H219" t="s">
        <v>243</v>
      </c>
      <c r="I219" t="s">
        <v>3833</v>
      </c>
      <c r="J219" t="s">
        <v>243</v>
      </c>
      <c r="K219" t="s">
        <v>3487</v>
      </c>
      <c r="L219" t="s">
        <v>243</v>
      </c>
      <c r="M219" t="s">
        <v>114</v>
      </c>
      <c r="N219" t="s">
        <v>243</v>
      </c>
      <c r="O219" t="s">
        <v>2819</v>
      </c>
      <c r="P219" t="s">
        <v>4449</v>
      </c>
      <c r="Q219" t="s">
        <v>2821</v>
      </c>
      <c r="R219" t="s">
        <v>200</v>
      </c>
      <c r="S219" t="s">
        <v>200</v>
      </c>
      <c r="T219" t="s">
        <v>2822</v>
      </c>
      <c r="U219" t="s">
        <v>2822</v>
      </c>
      <c r="V219" t="s">
        <v>2823</v>
      </c>
      <c r="W219" t="s">
        <v>3834</v>
      </c>
      <c r="X219" t="s">
        <v>3835</v>
      </c>
      <c r="Y219" t="s">
        <v>2918</v>
      </c>
      <c r="Z219" t="s">
        <v>861</v>
      </c>
      <c r="AA219" t="s">
        <v>3457</v>
      </c>
      <c r="AB219" t="s">
        <v>2859</v>
      </c>
      <c r="AC219" t="s">
        <v>2829</v>
      </c>
      <c r="AD219" t="s">
        <v>2830</v>
      </c>
      <c r="AE219" t="s">
        <v>2831</v>
      </c>
      <c r="AF219" t="s">
        <v>3836</v>
      </c>
      <c r="AG219" t="s">
        <v>3837</v>
      </c>
      <c r="AH219" t="s">
        <v>2834</v>
      </c>
      <c r="AI219" t="s">
        <v>2835</v>
      </c>
      <c r="AJ219" t="s">
        <v>2960</v>
      </c>
      <c r="AK219" t="s">
        <v>3838</v>
      </c>
      <c r="AL219" t="s">
        <v>3457</v>
      </c>
      <c r="AM219" t="s">
        <v>2859</v>
      </c>
      <c r="AN219" t="s">
        <v>2829</v>
      </c>
      <c r="AO219" t="s">
        <v>2839</v>
      </c>
      <c r="AP219" t="s">
        <v>2840</v>
      </c>
      <c r="AQ219" t="s">
        <v>2841</v>
      </c>
      <c r="AR219" t="s">
        <v>3839</v>
      </c>
      <c r="AS219" t="s">
        <v>3839</v>
      </c>
      <c r="AT219" t="s">
        <v>2829</v>
      </c>
      <c r="AU219" t="s">
        <v>2829</v>
      </c>
      <c r="AV219" t="s">
        <v>2829</v>
      </c>
      <c r="AW219" t="s">
        <v>2829</v>
      </c>
      <c r="AX219" t="s">
        <v>2829</v>
      </c>
      <c r="AY219" t="s">
        <v>2829</v>
      </c>
      <c r="AZ219" t="s">
        <v>2829</v>
      </c>
      <c r="BA219" t="s">
        <v>2829</v>
      </c>
      <c r="BB219" t="s">
        <v>2829</v>
      </c>
      <c r="BC219" t="s">
        <v>2829</v>
      </c>
      <c r="BD219" t="s">
        <v>3839</v>
      </c>
      <c r="BE219" t="s">
        <v>3839</v>
      </c>
      <c r="BF219" t="s">
        <v>243</v>
      </c>
      <c r="BG219" t="s">
        <v>243</v>
      </c>
      <c r="BH219" t="s">
        <v>243</v>
      </c>
      <c r="BI219" t="s">
        <v>243</v>
      </c>
      <c r="BJ219" t="s">
        <v>2829</v>
      </c>
      <c r="BK219" t="s">
        <v>243</v>
      </c>
      <c r="BL219" t="s">
        <v>243</v>
      </c>
      <c r="BM219" t="s">
        <v>243</v>
      </c>
      <c r="BN219" t="s">
        <v>243</v>
      </c>
      <c r="BO219" t="s">
        <v>243</v>
      </c>
      <c r="BP219" t="s">
        <v>2829</v>
      </c>
      <c r="BQ219" t="s">
        <v>243</v>
      </c>
      <c r="BR219" t="s">
        <v>243</v>
      </c>
      <c r="BS219" t="s">
        <v>243</v>
      </c>
      <c r="BT219" t="s">
        <v>243</v>
      </c>
      <c r="BU219" t="s">
        <v>243</v>
      </c>
      <c r="BV219" t="s">
        <v>2829</v>
      </c>
      <c r="BW219" t="s">
        <v>243</v>
      </c>
      <c r="BX219" t="s">
        <v>243</v>
      </c>
      <c r="BY219" t="s">
        <v>243</v>
      </c>
      <c r="BZ219" t="s">
        <v>243</v>
      </c>
      <c r="CA219" t="s">
        <v>243</v>
      </c>
      <c r="CB219" t="s">
        <v>2829</v>
      </c>
      <c r="CC219" t="s">
        <v>243</v>
      </c>
      <c r="CD219" t="s">
        <v>243</v>
      </c>
      <c r="CE219" t="s">
        <v>243</v>
      </c>
      <c r="CF219" t="s">
        <v>243</v>
      </c>
      <c r="CG219" t="s">
        <v>243</v>
      </c>
      <c r="CH219" t="s">
        <v>2829</v>
      </c>
      <c r="CI219" t="s">
        <v>243</v>
      </c>
      <c r="CJ219" t="s">
        <v>243</v>
      </c>
      <c r="CK219" t="s">
        <v>243</v>
      </c>
      <c r="CL219" t="s">
        <v>243</v>
      </c>
      <c r="CM219" t="s">
        <v>243</v>
      </c>
      <c r="CN219" t="s">
        <v>2960</v>
      </c>
      <c r="CO219" t="s">
        <v>2843</v>
      </c>
      <c r="CP219" t="s">
        <v>2844</v>
      </c>
      <c r="CQ219" t="s">
        <v>430</v>
      </c>
      <c r="CR219" t="s">
        <v>2845</v>
      </c>
      <c r="CS219" t="s">
        <v>431</v>
      </c>
      <c r="CT219" t="s">
        <v>430</v>
      </c>
      <c r="CU219" t="s">
        <v>2846</v>
      </c>
      <c r="CV219" t="s">
        <v>2847</v>
      </c>
      <c r="CW219" t="s">
        <v>2845</v>
      </c>
      <c r="CX219" t="s">
        <v>2848</v>
      </c>
      <c r="CY219" t="s">
        <v>3840</v>
      </c>
    </row>
    <row r="220" spans="1:103" ht="11.25" customHeight="1">
      <c r="A220" t="s">
        <v>243</v>
      </c>
      <c r="B220" t="s">
        <v>243</v>
      </c>
      <c r="C220" t="s">
        <v>243</v>
      </c>
      <c r="D220" t="s">
        <v>243</v>
      </c>
      <c r="E220" t="s">
        <v>243</v>
      </c>
      <c r="F220" t="s">
        <v>2816</v>
      </c>
      <c r="G220" t="s">
        <v>243</v>
      </c>
      <c r="H220" t="s">
        <v>243</v>
      </c>
      <c r="I220" t="s">
        <v>437</v>
      </c>
      <c r="J220" t="s">
        <v>243</v>
      </c>
      <c r="K220" t="s">
        <v>458</v>
      </c>
      <c r="L220" t="s">
        <v>243</v>
      </c>
      <c r="M220" t="s">
        <v>114</v>
      </c>
      <c r="N220" t="s">
        <v>243</v>
      </c>
      <c r="O220" t="s">
        <v>2819</v>
      </c>
      <c r="P220" t="s">
        <v>4449</v>
      </c>
      <c r="Q220" t="s">
        <v>2821</v>
      </c>
      <c r="R220" t="s">
        <v>200</v>
      </c>
      <c r="S220" t="s">
        <v>200</v>
      </c>
      <c r="T220" t="s">
        <v>3282</v>
      </c>
      <c r="U220" t="s">
        <v>3282</v>
      </c>
      <c r="V220" t="s">
        <v>3283</v>
      </c>
      <c r="W220" t="s">
        <v>3810</v>
      </c>
      <c r="X220" t="s">
        <v>3811</v>
      </c>
      <c r="Y220" t="s">
        <v>3812</v>
      </c>
      <c r="Z220" t="s">
        <v>341</v>
      </c>
      <c r="AA220" t="s">
        <v>2966</v>
      </c>
      <c r="AB220" t="s">
        <v>3813</v>
      </c>
      <c r="AC220" t="s">
        <v>2829</v>
      </c>
      <c r="AD220" t="s">
        <v>2883</v>
      </c>
      <c r="AE220" t="s">
        <v>2975</v>
      </c>
      <c r="AF220" t="s">
        <v>3814</v>
      </c>
      <c r="AG220" t="s">
        <v>2833</v>
      </c>
      <c r="AH220" t="s">
        <v>2834</v>
      </c>
      <c r="AI220" t="s">
        <v>2887</v>
      </c>
      <c r="AJ220" t="s">
        <v>2888</v>
      </c>
      <c r="AK220" t="s">
        <v>3445</v>
      </c>
      <c r="AL220" t="s">
        <v>2966</v>
      </c>
      <c r="AM220" t="s">
        <v>3813</v>
      </c>
      <c r="AN220" t="s">
        <v>2829</v>
      </c>
      <c r="AO220" t="s">
        <v>2839</v>
      </c>
      <c r="AP220" t="s">
        <v>2840</v>
      </c>
      <c r="AQ220" t="s">
        <v>2841</v>
      </c>
      <c r="AR220" t="s">
        <v>3815</v>
      </c>
      <c r="AS220" t="s">
        <v>3815</v>
      </c>
      <c r="AT220" t="s">
        <v>2829</v>
      </c>
      <c r="AU220" t="s">
        <v>2829</v>
      </c>
      <c r="AV220" t="s">
        <v>2829</v>
      </c>
      <c r="AW220" t="s">
        <v>2829</v>
      </c>
      <c r="AX220" t="s">
        <v>2829</v>
      </c>
      <c r="AY220" t="s">
        <v>2829</v>
      </c>
      <c r="AZ220" t="s">
        <v>2829</v>
      </c>
      <c r="BA220" t="s">
        <v>2829</v>
      </c>
      <c r="BB220" t="s">
        <v>2829</v>
      </c>
      <c r="BC220" t="s">
        <v>2829</v>
      </c>
      <c r="BD220" t="s">
        <v>2829</v>
      </c>
      <c r="BE220" t="s">
        <v>243</v>
      </c>
      <c r="BF220" t="s">
        <v>243</v>
      </c>
      <c r="BG220" t="s">
        <v>243</v>
      </c>
      <c r="BH220" t="s">
        <v>243</v>
      </c>
      <c r="BI220" t="s">
        <v>243</v>
      </c>
      <c r="BJ220" t="s">
        <v>2829</v>
      </c>
      <c r="BK220" t="s">
        <v>243</v>
      </c>
      <c r="BL220" t="s">
        <v>243</v>
      </c>
      <c r="BM220" t="s">
        <v>243</v>
      </c>
      <c r="BN220" t="s">
        <v>243</v>
      </c>
      <c r="BO220" t="s">
        <v>243</v>
      </c>
      <c r="BP220" t="s">
        <v>3815</v>
      </c>
      <c r="BQ220" t="s">
        <v>3815</v>
      </c>
      <c r="BR220" t="s">
        <v>243</v>
      </c>
      <c r="BS220" t="s">
        <v>243</v>
      </c>
      <c r="BT220" t="s">
        <v>243</v>
      </c>
      <c r="BU220" t="s">
        <v>243</v>
      </c>
      <c r="BV220" t="s">
        <v>2829</v>
      </c>
      <c r="BW220" t="s">
        <v>243</v>
      </c>
      <c r="BX220" t="s">
        <v>243</v>
      </c>
      <c r="BY220" t="s">
        <v>243</v>
      </c>
      <c r="BZ220" t="s">
        <v>243</v>
      </c>
      <c r="CA220" t="s">
        <v>243</v>
      </c>
      <c r="CB220" t="s">
        <v>2829</v>
      </c>
      <c r="CC220" t="s">
        <v>243</v>
      </c>
      <c r="CD220" t="s">
        <v>243</v>
      </c>
      <c r="CE220" t="s">
        <v>243</v>
      </c>
      <c r="CF220" t="s">
        <v>243</v>
      </c>
      <c r="CG220" t="s">
        <v>243</v>
      </c>
      <c r="CH220" t="s">
        <v>2829</v>
      </c>
      <c r="CI220" t="s">
        <v>243</v>
      </c>
      <c r="CJ220" t="s">
        <v>243</v>
      </c>
      <c r="CK220" t="s">
        <v>243</v>
      </c>
      <c r="CL220" t="s">
        <v>243</v>
      </c>
      <c r="CM220" t="s">
        <v>243</v>
      </c>
      <c r="CN220" t="s">
        <v>2888</v>
      </c>
      <c r="CO220" t="s">
        <v>2843</v>
      </c>
      <c r="CP220" t="s">
        <v>2844</v>
      </c>
      <c r="CQ220" t="s">
        <v>430</v>
      </c>
      <c r="CR220" t="s">
        <v>3297</v>
      </c>
      <c r="CS220" t="s">
        <v>431</v>
      </c>
      <c r="CT220" t="s">
        <v>430</v>
      </c>
      <c r="CU220" t="s">
        <v>341</v>
      </c>
      <c r="CV220" t="s">
        <v>2900</v>
      </c>
      <c r="CW220" t="s">
        <v>3297</v>
      </c>
      <c r="CX220" t="s">
        <v>2848</v>
      </c>
      <c r="CY220" t="s">
        <v>3816</v>
      </c>
    </row>
    <row r="221" spans="1:103" ht="11.25" customHeight="1">
      <c r="A221" t="s">
        <v>243</v>
      </c>
      <c r="B221" t="s">
        <v>243</v>
      </c>
      <c r="C221" t="s">
        <v>243</v>
      </c>
      <c r="D221" t="s">
        <v>243</v>
      </c>
      <c r="E221" t="s">
        <v>243</v>
      </c>
      <c r="F221" t="s">
        <v>2816</v>
      </c>
      <c r="G221" t="s">
        <v>243</v>
      </c>
      <c r="H221" t="s">
        <v>243</v>
      </c>
      <c r="I221" t="s">
        <v>861</v>
      </c>
      <c r="J221" t="s">
        <v>243</v>
      </c>
      <c r="K221" t="s">
        <v>3281</v>
      </c>
      <c r="L221" t="s">
        <v>243</v>
      </c>
      <c r="M221" t="s">
        <v>114</v>
      </c>
      <c r="N221" t="s">
        <v>243</v>
      </c>
      <c r="O221" t="s">
        <v>2819</v>
      </c>
      <c r="P221" t="s">
        <v>4449</v>
      </c>
      <c r="Q221" t="s">
        <v>2821</v>
      </c>
      <c r="R221" t="s">
        <v>200</v>
      </c>
      <c r="S221" t="s">
        <v>200</v>
      </c>
      <c r="T221" t="s">
        <v>2822</v>
      </c>
      <c r="U221" t="s">
        <v>2822</v>
      </c>
      <c r="V221" t="s">
        <v>2823</v>
      </c>
      <c r="W221" t="s">
        <v>3841</v>
      </c>
      <c r="X221" t="s">
        <v>3842</v>
      </c>
      <c r="Y221" t="s">
        <v>2913</v>
      </c>
      <c r="Z221" t="s">
        <v>3843</v>
      </c>
      <c r="AA221" t="s">
        <v>3094</v>
      </c>
      <c r="AB221" t="s">
        <v>3229</v>
      </c>
      <c r="AC221" t="s">
        <v>2829</v>
      </c>
      <c r="AD221" t="s">
        <v>2830</v>
      </c>
      <c r="AE221" t="s">
        <v>2831</v>
      </c>
      <c r="AF221" t="s">
        <v>3844</v>
      </c>
      <c r="AG221" t="s">
        <v>3845</v>
      </c>
      <c r="AH221" t="s">
        <v>2834</v>
      </c>
      <c r="AI221" t="s">
        <v>2835</v>
      </c>
      <c r="AJ221" t="s">
        <v>2960</v>
      </c>
      <c r="AK221" t="s">
        <v>2889</v>
      </c>
      <c r="AL221" t="s">
        <v>3094</v>
      </c>
      <c r="AM221" t="s">
        <v>3229</v>
      </c>
      <c r="AN221" t="s">
        <v>2829</v>
      </c>
      <c r="AO221" t="s">
        <v>2839</v>
      </c>
      <c r="AP221" t="s">
        <v>2840</v>
      </c>
      <c r="AQ221" t="s">
        <v>2841</v>
      </c>
      <c r="AR221" t="s">
        <v>3779</v>
      </c>
      <c r="AS221" t="s">
        <v>3779</v>
      </c>
      <c r="AT221" t="s">
        <v>2829</v>
      </c>
      <c r="AU221" t="s">
        <v>2829</v>
      </c>
      <c r="AV221" t="s">
        <v>2829</v>
      </c>
      <c r="AW221" t="s">
        <v>2829</v>
      </c>
      <c r="AX221" t="s">
        <v>2829</v>
      </c>
      <c r="AY221" t="s">
        <v>2829</v>
      </c>
      <c r="AZ221" t="s">
        <v>2829</v>
      </c>
      <c r="BA221" t="s">
        <v>2829</v>
      </c>
      <c r="BB221" t="s">
        <v>2829</v>
      </c>
      <c r="BC221" t="s">
        <v>2829</v>
      </c>
      <c r="BD221" t="s">
        <v>3846</v>
      </c>
      <c r="BE221" t="s">
        <v>3846</v>
      </c>
      <c r="BF221" t="s">
        <v>243</v>
      </c>
      <c r="BG221" t="s">
        <v>243</v>
      </c>
      <c r="BH221" t="s">
        <v>243</v>
      </c>
      <c r="BI221" t="s">
        <v>243</v>
      </c>
      <c r="BJ221" t="s">
        <v>2829</v>
      </c>
      <c r="BK221" t="s">
        <v>243</v>
      </c>
      <c r="BL221" t="s">
        <v>243</v>
      </c>
      <c r="BM221" t="s">
        <v>243</v>
      </c>
      <c r="BN221" t="s">
        <v>243</v>
      </c>
      <c r="BO221" t="s">
        <v>243</v>
      </c>
      <c r="BP221" t="s">
        <v>2829</v>
      </c>
      <c r="BQ221" t="s">
        <v>243</v>
      </c>
      <c r="BR221" t="s">
        <v>243</v>
      </c>
      <c r="BS221" t="s">
        <v>243</v>
      </c>
      <c r="BT221" t="s">
        <v>243</v>
      </c>
      <c r="BU221" t="s">
        <v>243</v>
      </c>
      <c r="BV221" t="s">
        <v>2829</v>
      </c>
      <c r="BW221" t="s">
        <v>243</v>
      </c>
      <c r="BX221" t="s">
        <v>243</v>
      </c>
      <c r="BY221" t="s">
        <v>243</v>
      </c>
      <c r="BZ221" t="s">
        <v>243</v>
      </c>
      <c r="CA221" t="s">
        <v>243</v>
      </c>
      <c r="CB221" t="s">
        <v>3846</v>
      </c>
      <c r="CC221" t="s">
        <v>3846</v>
      </c>
      <c r="CD221" t="s">
        <v>243</v>
      </c>
      <c r="CE221" t="s">
        <v>243</v>
      </c>
      <c r="CF221" t="s">
        <v>243</v>
      </c>
      <c r="CG221" t="s">
        <v>243</v>
      </c>
      <c r="CH221" t="s">
        <v>2829</v>
      </c>
      <c r="CI221" t="s">
        <v>243</v>
      </c>
      <c r="CJ221" t="s">
        <v>243</v>
      </c>
      <c r="CK221" t="s">
        <v>243</v>
      </c>
      <c r="CL221" t="s">
        <v>243</v>
      </c>
      <c r="CM221" t="s">
        <v>243</v>
      </c>
      <c r="CN221" t="s">
        <v>2960</v>
      </c>
      <c r="CO221" t="s">
        <v>2843</v>
      </c>
      <c r="CP221" t="s">
        <v>2844</v>
      </c>
      <c r="CQ221" t="s">
        <v>430</v>
      </c>
      <c r="CR221" t="s">
        <v>2845</v>
      </c>
      <c r="CS221" t="s">
        <v>431</v>
      </c>
      <c r="CT221" t="s">
        <v>430</v>
      </c>
      <c r="CU221" t="s">
        <v>2846</v>
      </c>
      <c r="CV221" t="s">
        <v>2847</v>
      </c>
      <c r="CW221" t="s">
        <v>2845</v>
      </c>
      <c r="CX221" t="s">
        <v>2848</v>
      </c>
      <c r="CY221" t="s">
        <v>3847</v>
      </c>
    </row>
    <row r="222" spans="1:103" ht="11.25" customHeight="1">
      <c r="A222" t="s">
        <v>243</v>
      </c>
      <c r="B222" t="s">
        <v>243</v>
      </c>
      <c r="C222" t="s">
        <v>243</v>
      </c>
      <c r="D222" t="s">
        <v>243</v>
      </c>
      <c r="E222" t="s">
        <v>243</v>
      </c>
      <c r="F222" t="s">
        <v>2816</v>
      </c>
      <c r="G222" t="s">
        <v>243</v>
      </c>
      <c r="H222" t="s">
        <v>243</v>
      </c>
      <c r="I222" t="s">
        <v>897</v>
      </c>
      <c r="J222" t="s">
        <v>243</v>
      </c>
      <c r="K222" t="s">
        <v>441</v>
      </c>
      <c r="L222" t="s">
        <v>243</v>
      </c>
      <c r="M222" t="s">
        <v>114</v>
      </c>
      <c r="N222" t="s">
        <v>243</v>
      </c>
      <c r="O222" t="s">
        <v>2819</v>
      </c>
      <c r="P222" t="s">
        <v>4449</v>
      </c>
      <c r="Q222" t="s">
        <v>2821</v>
      </c>
      <c r="R222" t="s">
        <v>200</v>
      </c>
      <c r="S222" t="s">
        <v>200</v>
      </c>
      <c r="T222" t="s">
        <v>2822</v>
      </c>
      <c r="U222" t="s">
        <v>2822</v>
      </c>
      <c r="V222" t="s">
        <v>2823</v>
      </c>
      <c r="W222" t="s">
        <v>4183</v>
      </c>
      <c r="X222" t="s">
        <v>4184</v>
      </c>
      <c r="Y222" t="s">
        <v>3064</v>
      </c>
      <c r="Z222" t="s">
        <v>4185</v>
      </c>
      <c r="AA222" t="s">
        <v>3260</v>
      </c>
      <c r="AB222" t="s">
        <v>4186</v>
      </c>
      <c r="AC222" t="s">
        <v>2829</v>
      </c>
      <c r="AD222" t="s">
        <v>2830</v>
      </c>
      <c r="AE222" t="s">
        <v>2831</v>
      </c>
      <c r="AF222" t="s">
        <v>4187</v>
      </c>
      <c r="AG222" t="s">
        <v>4188</v>
      </c>
      <c r="AH222" t="s">
        <v>2834</v>
      </c>
      <c r="AI222" t="s">
        <v>2835</v>
      </c>
      <c r="AJ222" t="s">
        <v>2960</v>
      </c>
      <c r="AK222" t="s">
        <v>3057</v>
      </c>
      <c r="AL222" t="s">
        <v>3260</v>
      </c>
      <c r="AM222" t="s">
        <v>3118</v>
      </c>
      <c r="AN222" t="s">
        <v>2829</v>
      </c>
      <c r="AO222" t="s">
        <v>2839</v>
      </c>
      <c r="AP222" t="s">
        <v>2840</v>
      </c>
      <c r="AQ222" t="s">
        <v>2841</v>
      </c>
      <c r="AR222" t="s">
        <v>4189</v>
      </c>
      <c r="AS222" t="s">
        <v>4189</v>
      </c>
      <c r="AT222" t="s">
        <v>2829</v>
      </c>
      <c r="AU222" t="s">
        <v>2829</v>
      </c>
      <c r="AV222" t="s">
        <v>2829</v>
      </c>
      <c r="AW222" t="s">
        <v>2829</v>
      </c>
      <c r="AX222" t="s">
        <v>2829</v>
      </c>
      <c r="AY222" t="s">
        <v>2829</v>
      </c>
      <c r="AZ222" t="s">
        <v>2829</v>
      </c>
      <c r="BA222" t="s">
        <v>2829</v>
      </c>
      <c r="BB222" t="s">
        <v>2829</v>
      </c>
      <c r="BC222" t="s">
        <v>2829</v>
      </c>
      <c r="BD222" t="s">
        <v>2829</v>
      </c>
      <c r="BE222" t="s">
        <v>243</v>
      </c>
      <c r="BF222" t="s">
        <v>243</v>
      </c>
      <c r="BG222" t="s">
        <v>243</v>
      </c>
      <c r="BH222" t="s">
        <v>243</v>
      </c>
      <c r="BI222" t="s">
        <v>243</v>
      </c>
      <c r="BJ222" t="s">
        <v>2829</v>
      </c>
      <c r="BK222" t="s">
        <v>243</v>
      </c>
      <c r="BL222" t="s">
        <v>243</v>
      </c>
      <c r="BM222" t="s">
        <v>243</v>
      </c>
      <c r="BN222" t="s">
        <v>243</v>
      </c>
      <c r="BO222" t="s">
        <v>243</v>
      </c>
      <c r="BP222" t="s">
        <v>2829</v>
      </c>
      <c r="BQ222" t="s">
        <v>243</v>
      </c>
      <c r="BR222" t="s">
        <v>243</v>
      </c>
      <c r="BS222" t="s">
        <v>243</v>
      </c>
      <c r="BT222" t="s">
        <v>243</v>
      </c>
      <c r="BU222" t="s">
        <v>243</v>
      </c>
      <c r="BV222" t="s">
        <v>2829</v>
      </c>
      <c r="BW222" t="s">
        <v>243</v>
      </c>
      <c r="BX222" t="s">
        <v>243</v>
      </c>
      <c r="BY222" t="s">
        <v>243</v>
      </c>
      <c r="BZ222" t="s">
        <v>243</v>
      </c>
      <c r="CA222" t="s">
        <v>243</v>
      </c>
      <c r="CB222" t="s">
        <v>4189</v>
      </c>
      <c r="CC222" t="s">
        <v>4189</v>
      </c>
      <c r="CD222" t="s">
        <v>243</v>
      </c>
      <c r="CE222" t="s">
        <v>243</v>
      </c>
      <c r="CF222" t="s">
        <v>243</v>
      </c>
      <c r="CG222" t="s">
        <v>243</v>
      </c>
      <c r="CH222" t="s">
        <v>2829</v>
      </c>
      <c r="CI222" t="s">
        <v>243</v>
      </c>
      <c r="CJ222" t="s">
        <v>243</v>
      </c>
      <c r="CK222" t="s">
        <v>243</v>
      </c>
      <c r="CL222" t="s">
        <v>243</v>
      </c>
      <c r="CM222" t="s">
        <v>243</v>
      </c>
      <c r="CN222" t="s">
        <v>2960</v>
      </c>
      <c r="CO222" t="s">
        <v>2843</v>
      </c>
      <c r="CP222" t="s">
        <v>2844</v>
      </c>
      <c r="CQ222" t="s">
        <v>430</v>
      </c>
      <c r="CR222" t="s">
        <v>2845</v>
      </c>
      <c r="CS222" t="s">
        <v>431</v>
      </c>
      <c r="CT222" t="s">
        <v>430</v>
      </c>
      <c r="CU222" t="s">
        <v>2846</v>
      </c>
      <c r="CV222" t="s">
        <v>2847</v>
      </c>
      <c r="CW222" t="s">
        <v>2845</v>
      </c>
      <c r="CX222" t="s">
        <v>2848</v>
      </c>
      <c r="CY222" t="s">
        <v>4190</v>
      </c>
    </row>
    <row r="223" spans="1:103" ht="11.25" customHeight="1">
      <c r="A223" t="s">
        <v>243</v>
      </c>
      <c r="B223" t="s">
        <v>243</v>
      </c>
      <c r="C223" t="s">
        <v>243</v>
      </c>
      <c r="D223" t="s">
        <v>243</v>
      </c>
      <c r="E223" t="s">
        <v>243</v>
      </c>
      <c r="F223" t="s">
        <v>2816</v>
      </c>
      <c r="G223" t="s">
        <v>243</v>
      </c>
      <c r="H223" t="s">
        <v>243</v>
      </c>
      <c r="I223" t="s">
        <v>440</v>
      </c>
      <c r="J223" t="s">
        <v>243</v>
      </c>
      <c r="K223" t="s">
        <v>3860</v>
      </c>
      <c r="L223" t="s">
        <v>243</v>
      </c>
      <c r="M223" t="s">
        <v>114</v>
      </c>
      <c r="N223" t="s">
        <v>243</v>
      </c>
      <c r="O223" t="s">
        <v>2819</v>
      </c>
      <c r="P223" t="s">
        <v>4449</v>
      </c>
      <c r="Q223" t="s">
        <v>2821</v>
      </c>
      <c r="R223" t="s">
        <v>200</v>
      </c>
      <c r="S223" t="s">
        <v>200</v>
      </c>
      <c r="T223" t="s">
        <v>3282</v>
      </c>
      <c r="U223" t="s">
        <v>3282</v>
      </c>
      <c r="V223" t="s">
        <v>3283</v>
      </c>
      <c r="W223" t="s">
        <v>3284</v>
      </c>
      <c r="X223" t="s">
        <v>3285</v>
      </c>
      <c r="Y223" t="s">
        <v>3861</v>
      </c>
      <c r="Z223" t="s">
        <v>341</v>
      </c>
      <c r="AA223" t="s">
        <v>3862</v>
      </c>
      <c r="AB223" t="s">
        <v>3863</v>
      </c>
      <c r="AC223" t="s">
        <v>3260</v>
      </c>
      <c r="AD223" t="s">
        <v>2883</v>
      </c>
      <c r="AE223" t="s">
        <v>2975</v>
      </c>
      <c r="AF223" t="s">
        <v>3814</v>
      </c>
      <c r="AG223" t="s">
        <v>3814</v>
      </c>
      <c r="AH223" t="s">
        <v>2834</v>
      </c>
      <c r="AI223" t="s">
        <v>2887</v>
      </c>
      <c r="AJ223" t="s">
        <v>2888</v>
      </c>
      <c r="AK223" t="s">
        <v>3445</v>
      </c>
      <c r="AL223" t="s">
        <v>3862</v>
      </c>
      <c r="AM223" t="s">
        <v>3863</v>
      </c>
      <c r="AN223" t="s">
        <v>3260</v>
      </c>
      <c r="AO223" t="s">
        <v>2839</v>
      </c>
      <c r="AP223" t="s">
        <v>2840</v>
      </c>
      <c r="AQ223" t="s">
        <v>2841</v>
      </c>
      <c r="AR223" t="s">
        <v>3864</v>
      </c>
      <c r="AS223" t="s">
        <v>3865</v>
      </c>
      <c r="AT223" t="s">
        <v>3866</v>
      </c>
      <c r="AU223" t="s">
        <v>2829</v>
      </c>
      <c r="AV223" t="s">
        <v>2829</v>
      </c>
      <c r="AW223" t="s">
        <v>2829</v>
      </c>
      <c r="AX223" t="s">
        <v>2829</v>
      </c>
      <c r="AY223" t="s">
        <v>2829</v>
      </c>
      <c r="AZ223" t="s">
        <v>2829</v>
      </c>
      <c r="BA223" t="s">
        <v>2829</v>
      </c>
      <c r="BB223" t="s">
        <v>2829</v>
      </c>
      <c r="BC223" t="s">
        <v>2829</v>
      </c>
      <c r="BD223" t="s">
        <v>3867</v>
      </c>
      <c r="BE223" t="s">
        <v>3868</v>
      </c>
      <c r="BF223" t="s">
        <v>3869</v>
      </c>
      <c r="BG223" t="s">
        <v>243</v>
      </c>
      <c r="BH223" t="s">
        <v>243</v>
      </c>
      <c r="BI223" t="s">
        <v>243</v>
      </c>
      <c r="BJ223" t="s">
        <v>2829</v>
      </c>
      <c r="BK223" t="s">
        <v>243</v>
      </c>
      <c r="BL223" t="s">
        <v>243</v>
      </c>
      <c r="BM223" t="s">
        <v>243</v>
      </c>
      <c r="BN223" t="s">
        <v>243</v>
      </c>
      <c r="BO223" t="s">
        <v>243</v>
      </c>
      <c r="BP223" t="s">
        <v>3870</v>
      </c>
      <c r="BQ223" t="s">
        <v>3871</v>
      </c>
      <c r="BR223" t="s">
        <v>3872</v>
      </c>
      <c r="BS223" t="s">
        <v>243</v>
      </c>
      <c r="BT223" t="s">
        <v>243</v>
      </c>
      <c r="BU223" t="s">
        <v>243</v>
      </c>
      <c r="BV223" t="s">
        <v>2829</v>
      </c>
      <c r="BW223" t="s">
        <v>243</v>
      </c>
      <c r="BX223" t="s">
        <v>243</v>
      </c>
      <c r="BY223" t="s">
        <v>243</v>
      </c>
      <c r="BZ223" t="s">
        <v>243</v>
      </c>
      <c r="CA223" t="s">
        <v>243</v>
      </c>
      <c r="CB223" t="s">
        <v>2829</v>
      </c>
      <c r="CC223" t="s">
        <v>243</v>
      </c>
      <c r="CD223" t="s">
        <v>243</v>
      </c>
      <c r="CE223" t="s">
        <v>243</v>
      </c>
      <c r="CF223" t="s">
        <v>243</v>
      </c>
      <c r="CG223" t="s">
        <v>243</v>
      </c>
      <c r="CH223" t="s">
        <v>2829</v>
      </c>
      <c r="CI223" t="s">
        <v>243</v>
      </c>
      <c r="CJ223" t="s">
        <v>243</v>
      </c>
      <c r="CK223" t="s">
        <v>243</v>
      </c>
      <c r="CL223" t="s">
        <v>243</v>
      </c>
      <c r="CM223" t="s">
        <v>243</v>
      </c>
      <c r="CN223" t="s">
        <v>2888</v>
      </c>
      <c r="CO223" t="s">
        <v>2843</v>
      </c>
      <c r="CP223" t="s">
        <v>2844</v>
      </c>
      <c r="CQ223" t="s">
        <v>430</v>
      </c>
      <c r="CR223" t="s">
        <v>3297</v>
      </c>
      <c r="CS223" t="s">
        <v>431</v>
      </c>
      <c r="CT223" t="s">
        <v>430</v>
      </c>
      <c r="CU223" t="s">
        <v>341</v>
      </c>
      <c r="CV223" t="s">
        <v>2900</v>
      </c>
      <c r="CW223" t="s">
        <v>3297</v>
      </c>
      <c r="CX223" t="s">
        <v>2848</v>
      </c>
      <c r="CY223" t="s">
        <v>3873</v>
      </c>
    </row>
    <row r="224" spans="1:103" ht="11.25" customHeight="1">
      <c r="A224" t="s">
        <v>243</v>
      </c>
      <c r="B224" t="s">
        <v>243</v>
      </c>
      <c r="C224" t="s">
        <v>243</v>
      </c>
      <c r="D224" t="s">
        <v>243</v>
      </c>
      <c r="E224" t="s">
        <v>243</v>
      </c>
      <c r="F224" t="s">
        <v>2816</v>
      </c>
      <c r="G224" t="s">
        <v>243</v>
      </c>
      <c r="H224" t="s">
        <v>243</v>
      </c>
      <c r="I224" t="s">
        <v>902</v>
      </c>
      <c r="J224" t="s">
        <v>243</v>
      </c>
      <c r="K224" t="s">
        <v>428</v>
      </c>
      <c r="L224" t="s">
        <v>243</v>
      </c>
      <c r="M224" t="s">
        <v>114</v>
      </c>
      <c r="N224" t="s">
        <v>243</v>
      </c>
      <c r="O224" t="s">
        <v>2819</v>
      </c>
      <c r="P224" t="s">
        <v>4449</v>
      </c>
      <c r="Q224" t="s">
        <v>2821</v>
      </c>
      <c r="R224" t="s">
        <v>200</v>
      </c>
      <c r="S224" t="s">
        <v>200</v>
      </c>
      <c r="T224" t="s">
        <v>2822</v>
      </c>
      <c r="U224" t="s">
        <v>2822</v>
      </c>
      <c r="V224" t="s">
        <v>2823</v>
      </c>
      <c r="W224" t="s">
        <v>3190</v>
      </c>
      <c r="X224" t="s">
        <v>3191</v>
      </c>
      <c r="Y224" t="s">
        <v>4016</v>
      </c>
      <c r="Z224" t="s">
        <v>460</v>
      </c>
      <c r="AA224" t="s">
        <v>3359</v>
      </c>
      <c r="AB224" t="s">
        <v>4017</v>
      </c>
      <c r="AC224" t="s">
        <v>2829</v>
      </c>
      <c r="AD224" t="s">
        <v>2830</v>
      </c>
      <c r="AE224" t="s">
        <v>2831</v>
      </c>
      <c r="AF224" t="s">
        <v>4018</v>
      </c>
      <c r="AG224" t="s">
        <v>4019</v>
      </c>
      <c r="AH224" t="s">
        <v>2834</v>
      </c>
      <c r="AI224" t="s">
        <v>2835</v>
      </c>
      <c r="AJ224" t="s">
        <v>2960</v>
      </c>
      <c r="AK224" t="s">
        <v>3856</v>
      </c>
      <c r="AL224" t="s">
        <v>3359</v>
      </c>
      <c r="AM224" t="s">
        <v>3039</v>
      </c>
      <c r="AN224" t="s">
        <v>2829</v>
      </c>
      <c r="AO224" t="s">
        <v>2839</v>
      </c>
      <c r="AP224" t="s">
        <v>2840</v>
      </c>
      <c r="AQ224" t="s">
        <v>2841</v>
      </c>
      <c r="AR224" t="s">
        <v>3303</v>
      </c>
      <c r="AS224" t="s">
        <v>3303</v>
      </c>
      <c r="AT224" t="s">
        <v>2829</v>
      </c>
      <c r="AU224" t="s">
        <v>2829</v>
      </c>
      <c r="AV224" t="s">
        <v>2829</v>
      </c>
      <c r="AW224" t="s">
        <v>2829</v>
      </c>
      <c r="AX224" t="s">
        <v>2829</v>
      </c>
      <c r="AY224" t="s">
        <v>2829</v>
      </c>
      <c r="AZ224" t="s">
        <v>2829</v>
      </c>
      <c r="BA224" t="s">
        <v>2829</v>
      </c>
      <c r="BB224" t="s">
        <v>2829</v>
      </c>
      <c r="BC224" t="s">
        <v>2829</v>
      </c>
      <c r="BD224" t="s">
        <v>2842</v>
      </c>
      <c r="BE224" t="s">
        <v>2842</v>
      </c>
      <c r="BF224" t="s">
        <v>243</v>
      </c>
      <c r="BG224" t="s">
        <v>243</v>
      </c>
      <c r="BH224" t="s">
        <v>243</v>
      </c>
      <c r="BI224" t="s">
        <v>243</v>
      </c>
      <c r="BJ224" t="s">
        <v>2829</v>
      </c>
      <c r="BK224" t="s">
        <v>243</v>
      </c>
      <c r="BL224" t="s">
        <v>243</v>
      </c>
      <c r="BM224" t="s">
        <v>243</v>
      </c>
      <c r="BN224" t="s">
        <v>243</v>
      </c>
      <c r="BO224" t="s">
        <v>243</v>
      </c>
      <c r="BP224" t="s">
        <v>2829</v>
      </c>
      <c r="BQ224" t="s">
        <v>243</v>
      </c>
      <c r="BR224" t="s">
        <v>243</v>
      </c>
      <c r="BS224" t="s">
        <v>243</v>
      </c>
      <c r="BT224" t="s">
        <v>243</v>
      </c>
      <c r="BU224" t="s">
        <v>243</v>
      </c>
      <c r="BV224" t="s">
        <v>2829</v>
      </c>
      <c r="BW224" t="s">
        <v>243</v>
      </c>
      <c r="BX224" t="s">
        <v>243</v>
      </c>
      <c r="BY224" t="s">
        <v>243</v>
      </c>
      <c r="BZ224" t="s">
        <v>243</v>
      </c>
      <c r="CA224" t="s">
        <v>243</v>
      </c>
      <c r="CB224" t="s">
        <v>3073</v>
      </c>
      <c r="CC224" t="s">
        <v>3073</v>
      </c>
      <c r="CD224" t="s">
        <v>243</v>
      </c>
      <c r="CE224" t="s">
        <v>243</v>
      </c>
      <c r="CF224" t="s">
        <v>243</v>
      </c>
      <c r="CG224" t="s">
        <v>243</v>
      </c>
      <c r="CH224" t="s">
        <v>2829</v>
      </c>
      <c r="CI224" t="s">
        <v>243</v>
      </c>
      <c r="CJ224" t="s">
        <v>243</v>
      </c>
      <c r="CK224" t="s">
        <v>243</v>
      </c>
      <c r="CL224" t="s">
        <v>243</v>
      </c>
      <c r="CM224" t="s">
        <v>243</v>
      </c>
      <c r="CN224" t="s">
        <v>2960</v>
      </c>
      <c r="CO224" t="s">
        <v>2843</v>
      </c>
      <c r="CP224" t="s">
        <v>2844</v>
      </c>
      <c r="CQ224" t="s">
        <v>430</v>
      </c>
      <c r="CR224" t="s">
        <v>2845</v>
      </c>
      <c r="CS224" t="s">
        <v>431</v>
      </c>
      <c r="CT224" t="s">
        <v>430</v>
      </c>
      <c r="CU224" t="s">
        <v>2846</v>
      </c>
      <c r="CV224" t="s">
        <v>2847</v>
      </c>
      <c r="CW224" t="s">
        <v>2845</v>
      </c>
      <c r="CX224" t="s">
        <v>2848</v>
      </c>
      <c r="CY224" t="s">
        <v>4020</v>
      </c>
    </row>
    <row r="225" spans="1:103" ht="11.25" customHeight="1">
      <c r="A225" t="s">
        <v>243</v>
      </c>
      <c r="B225" t="s">
        <v>243</v>
      </c>
      <c r="C225" t="s">
        <v>243</v>
      </c>
      <c r="D225" t="s">
        <v>243</v>
      </c>
      <c r="E225" t="s">
        <v>243</v>
      </c>
      <c r="F225" t="s">
        <v>2816</v>
      </c>
      <c r="G225" t="s">
        <v>243</v>
      </c>
      <c r="H225" t="s">
        <v>243</v>
      </c>
      <c r="I225" t="s">
        <v>907</v>
      </c>
      <c r="J225" t="s">
        <v>243</v>
      </c>
      <c r="K225" t="s">
        <v>455</v>
      </c>
      <c r="L225" t="s">
        <v>243</v>
      </c>
      <c r="M225" t="s">
        <v>114</v>
      </c>
      <c r="N225" t="s">
        <v>243</v>
      </c>
      <c r="O225" t="s">
        <v>2819</v>
      </c>
      <c r="P225" t="s">
        <v>4449</v>
      </c>
      <c r="Q225" t="s">
        <v>2821</v>
      </c>
      <c r="R225" t="s">
        <v>200</v>
      </c>
      <c r="S225" t="s">
        <v>200</v>
      </c>
      <c r="T225" t="s">
        <v>2822</v>
      </c>
      <c r="U225" t="s">
        <v>2822</v>
      </c>
      <c r="V225" t="s">
        <v>2823</v>
      </c>
      <c r="W225" t="s">
        <v>3190</v>
      </c>
      <c r="X225" t="s">
        <v>3191</v>
      </c>
      <c r="Y225" t="s">
        <v>4021</v>
      </c>
      <c r="Z225" t="s">
        <v>448</v>
      </c>
      <c r="AA225" t="s">
        <v>4022</v>
      </c>
      <c r="AB225" t="s">
        <v>2907</v>
      </c>
      <c r="AC225" t="s">
        <v>2829</v>
      </c>
      <c r="AD225" t="s">
        <v>2830</v>
      </c>
      <c r="AE225" t="s">
        <v>2831</v>
      </c>
      <c r="AF225" t="s">
        <v>4023</v>
      </c>
      <c r="AG225" t="s">
        <v>4024</v>
      </c>
      <c r="AH225" t="s">
        <v>2834</v>
      </c>
      <c r="AI225" t="s">
        <v>2835</v>
      </c>
      <c r="AJ225" t="s">
        <v>2960</v>
      </c>
      <c r="AK225" t="s">
        <v>4025</v>
      </c>
      <c r="AL225" t="s">
        <v>4022</v>
      </c>
      <c r="AM225" t="s">
        <v>3143</v>
      </c>
      <c r="AN225" t="s">
        <v>2829</v>
      </c>
      <c r="AO225" t="s">
        <v>2839</v>
      </c>
      <c r="AP225" t="s">
        <v>2840</v>
      </c>
      <c r="AQ225" t="s">
        <v>2841</v>
      </c>
      <c r="AR225" t="s">
        <v>4026</v>
      </c>
      <c r="AS225" t="s">
        <v>4026</v>
      </c>
      <c r="AT225" t="s">
        <v>2829</v>
      </c>
      <c r="AU225" t="s">
        <v>2829</v>
      </c>
      <c r="AV225" t="s">
        <v>2829</v>
      </c>
      <c r="AW225" t="s">
        <v>2829</v>
      </c>
      <c r="AX225" t="s">
        <v>2829</v>
      </c>
      <c r="AY225" t="s">
        <v>2829</v>
      </c>
      <c r="AZ225" t="s">
        <v>2829</v>
      </c>
      <c r="BA225" t="s">
        <v>2829</v>
      </c>
      <c r="BB225" t="s">
        <v>2829</v>
      </c>
      <c r="BC225" t="s">
        <v>2829</v>
      </c>
      <c r="BD225" t="s">
        <v>2829</v>
      </c>
      <c r="BE225" t="s">
        <v>243</v>
      </c>
      <c r="BF225" t="s">
        <v>243</v>
      </c>
      <c r="BG225" t="s">
        <v>243</v>
      </c>
      <c r="BH225" t="s">
        <v>243</v>
      </c>
      <c r="BI225" t="s">
        <v>243</v>
      </c>
      <c r="BJ225" t="s">
        <v>2829</v>
      </c>
      <c r="BK225" t="s">
        <v>243</v>
      </c>
      <c r="BL225" t="s">
        <v>243</v>
      </c>
      <c r="BM225" t="s">
        <v>243</v>
      </c>
      <c r="BN225" t="s">
        <v>243</v>
      </c>
      <c r="BO225" t="s">
        <v>243</v>
      </c>
      <c r="BP225" t="s">
        <v>2829</v>
      </c>
      <c r="BQ225" t="s">
        <v>243</v>
      </c>
      <c r="BR225" t="s">
        <v>243</v>
      </c>
      <c r="BS225" t="s">
        <v>243</v>
      </c>
      <c r="BT225" t="s">
        <v>243</v>
      </c>
      <c r="BU225" t="s">
        <v>243</v>
      </c>
      <c r="BV225" t="s">
        <v>2829</v>
      </c>
      <c r="BW225" t="s">
        <v>243</v>
      </c>
      <c r="BX225" t="s">
        <v>243</v>
      </c>
      <c r="BY225" t="s">
        <v>243</v>
      </c>
      <c r="BZ225" t="s">
        <v>243</v>
      </c>
      <c r="CA225" t="s">
        <v>243</v>
      </c>
      <c r="CB225" t="s">
        <v>4026</v>
      </c>
      <c r="CC225" t="s">
        <v>4026</v>
      </c>
      <c r="CD225" t="s">
        <v>243</v>
      </c>
      <c r="CE225" t="s">
        <v>243</v>
      </c>
      <c r="CF225" t="s">
        <v>243</v>
      </c>
      <c r="CG225" t="s">
        <v>243</v>
      </c>
      <c r="CH225" t="s">
        <v>2829</v>
      </c>
      <c r="CI225" t="s">
        <v>243</v>
      </c>
      <c r="CJ225" t="s">
        <v>243</v>
      </c>
      <c r="CK225" t="s">
        <v>243</v>
      </c>
      <c r="CL225" t="s">
        <v>243</v>
      </c>
      <c r="CM225" t="s">
        <v>243</v>
      </c>
      <c r="CN225" t="s">
        <v>2960</v>
      </c>
      <c r="CO225" t="s">
        <v>2843</v>
      </c>
      <c r="CP225" t="s">
        <v>2844</v>
      </c>
      <c r="CQ225" t="s">
        <v>430</v>
      </c>
      <c r="CR225" t="s">
        <v>2845</v>
      </c>
      <c r="CS225" t="s">
        <v>431</v>
      </c>
      <c r="CT225" t="s">
        <v>430</v>
      </c>
      <c r="CU225" t="s">
        <v>2846</v>
      </c>
      <c r="CV225" t="s">
        <v>2847</v>
      </c>
      <c r="CW225" t="s">
        <v>2845</v>
      </c>
      <c r="CX225" t="s">
        <v>2848</v>
      </c>
      <c r="CY225" t="s">
        <v>4027</v>
      </c>
    </row>
    <row r="226" spans="1:103" ht="11.25" customHeight="1">
      <c r="A226" t="s">
        <v>243</v>
      </c>
      <c r="B226" t="s">
        <v>243</v>
      </c>
      <c r="C226" t="s">
        <v>243</v>
      </c>
      <c r="D226" t="s">
        <v>243</v>
      </c>
      <c r="E226" t="s">
        <v>243</v>
      </c>
      <c r="F226" t="s">
        <v>2816</v>
      </c>
      <c r="G226" t="s">
        <v>243</v>
      </c>
      <c r="H226" t="s">
        <v>243</v>
      </c>
      <c r="I226" t="s">
        <v>4032</v>
      </c>
      <c r="J226" t="s">
        <v>243</v>
      </c>
      <c r="K226" t="s">
        <v>2818</v>
      </c>
      <c r="L226" t="s">
        <v>243</v>
      </c>
      <c r="M226" t="s">
        <v>114</v>
      </c>
      <c r="N226" t="s">
        <v>243</v>
      </c>
      <c r="O226" t="s">
        <v>2819</v>
      </c>
      <c r="P226" t="s">
        <v>4449</v>
      </c>
      <c r="Q226" t="s">
        <v>2821</v>
      </c>
      <c r="R226" t="s">
        <v>200</v>
      </c>
      <c r="S226" t="s">
        <v>200</v>
      </c>
      <c r="T226" t="s">
        <v>2822</v>
      </c>
      <c r="U226" t="s">
        <v>2822</v>
      </c>
      <c r="V226" t="s">
        <v>2823</v>
      </c>
      <c r="W226" t="s">
        <v>3763</v>
      </c>
      <c r="X226" t="s">
        <v>3764</v>
      </c>
      <c r="Y226" t="s">
        <v>4033</v>
      </c>
      <c r="Z226" t="s">
        <v>1776</v>
      </c>
      <c r="AA226" t="s">
        <v>2904</v>
      </c>
      <c r="AB226" t="s">
        <v>4034</v>
      </c>
      <c r="AC226" t="s">
        <v>2829</v>
      </c>
      <c r="AD226" t="s">
        <v>2830</v>
      </c>
      <c r="AE226" t="s">
        <v>2831</v>
      </c>
      <c r="AF226" t="s">
        <v>4035</v>
      </c>
      <c r="AG226" t="s">
        <v>2833</v>
      </c>
      <c r="AH226" t="s">
        <v>2834</v>
      </c>
      <c r="AI226" t="s">
        <v>2835</v>
      </c>
      <c r="AJ226" t="s">
        <v>2836</v>
      </c>
      <c r="AK226" t="s">
        <v>2837</v>
      </c>
      <c r="AL226" t="s">
        <v>2904</v>
      </c>
      <c r="AM226" t="s">
        <v>3194</v>
      </c>
      <c r="AN226" t="s">
        <v>2829</v>
      </c>
      <c r="AO226" t="s">
        <v>2839</v>
      </c>
      <c r="AP226" t="s">
        <v>2840</v>
      </c>
      <c r="AQ226" t="s">
        <v>2841</v>
      </c>
      <c r="AR226" t="s">
        <v>2842</v>
      </c>
      <c r="AS226" t="s">
        <v>2842</v>
      </c>
      <c r="AT226" t="s">
        <v>2829</v>
      </c>
      <c r="AU226" t="s">
        <v>2829</v>
      </c>
      <c r="AV226" t="s">
        <v>2829</v>
      </c>
      <c r="AW226" t="s">
        <v>2829</v>
      </c>
      <c r="AX226" t="s">
        <v>2829</v>
      </c>
      <c r="AY226" t="s">
        <v>2829</v>
      </c>
      <c r="AZ226" t="s">
        <v>2829</v>
      </c>
      <c r="BA226" t="s">
        <v>2829</v>
      </c>
      <c r="BB226" t="s">
        <v>2829</v>
      </c>
      <c r="BC226" t="s">
        <v>2829</v>
      </c>
      <c r="BD226" t="s">
        <v>2842</v>
      </c>
      <c r="BE226" t="s">
        <v>2842</v>
      </c>
      <c r="BF226" t="s">
        <v>243</v>
      </c>
      <c r="BG226" t="s">
        <v>243</v>
      </c>
      <c r="BH226" t="s">
        <v>243</v>
      </c>
      <c r="BI226" t="s">
        <v>243</v>
      </c>
      <c r="BJ226" t="s">
        <v>2829</v>
      </c>
      <c r="BK226" t="s">
        <v>243</v>
      </c>
      <c r="BL226" t="s">
        <v>243</v>
      </c>
      <c r="BM226" t="s">
        <v>243</v>
      </c>
      <c r="BN226" t="s">
        <v>243</v>
      </c>
      <c r="BO226" t="s">
        <v>243</v>
      </c>
      <c r="BP226" t="s">
        <v>2829</v>
      </c>
      <c r="BQ226" t="s">
        <v>243</v>
      </c>
      <c r="BR226" t="s">
        <v>243</v>
      </c>
      <c r="BS226" t="s">
        <v>243</v>
      </c>
      <c r="BT226" t="s">
        <v>243</v>
      </c>
      <c r="BU226" t="s">
        <v>243</v>
      </c>
      <c r="BV226" t="s">
        <v>2829</v>
      </c>
      <c r="BW226" t="s">
        <v>243</v>
      </c>
      <c r="BX226" t="s">
        <v>243</v>
      </c>
      <c r="BY226" t="s">
        <v>243</v>
      </c>
      <c r="BZ226" t="s">
        <v>243</v>
      </c>
      <c r="CA226" t="s">
        <v>243</v>
      </c>
      <c r="CB226" t="s">
        <v>2829</v>
      </c>
      <c r="CC226" t="s">
        <v>243</v>
      </c>
      <c r="CD226" t="s">
        <v>243</v>
      </c>
      <c r="CE226" t="s">
        <v>243</v>
      </c>
      <c r="CF226" t="s">
        <v>243</v>
      </c>
      <c r="CG226" t="s">
        <v>243</v>
      </c>
      <c r="CH226" t="s">
        <v>2829</v>
      </c>
      <c r="CI226" t="s">
        <v>243</v>
      </c>
      <c r="CJ226" t="s">
        <v>243</v>
      </c>
      <c r="CK226" t="s">
        <v>243</v>
      </c>
      <c r="CL226" t="s">
        <v>243</v>
      </c>
      <c r="CM226" t="s">
        <v>243</v>
      </c>
      <c r="CN226" t="s">
        <v>2836</v>
      </c>
      <c r="CO226" t="s">
        <v>2843</v>
      </c>
      <c r="CP226" t="s">
        <v>2844</v>
      </c>
      <c r="CQ226" t="s">
        <v>430</v>
      </c>
      <c r="CR226" t="s">
        <v>2845</v>
      </c>
      <c r="CS226" t="s">
        <v>431</v>
      </c>
      <c r="CT226" t="s">
        <v>430</v>
      </c>
      <c r="CU226" t="s">
        <v>2846</v>
      </c>
      <c r="CV226" t="s">
        <v>2847</v>
      </c>
      <c r="CW226" t="s">
        <v>2845</v>
      </c>
      <c r="CX226" t="s">
        <v>2848</v>
      </c>
      <c r="CY226" t="s">
        <v>4036</v>
      </c>
    </row>
    <row r="227" spans="1:103" ht="11.25" customHeight="1">
      <c r="A227" t="s">
        <v>243</v>
      </c>
      <c r="B227" t="s">
        <v>243</v>
      </c>
      <c r="C227" t="s">
        <v>243</v>
      </c>
      <c r="D227" t="s">
        <v>243</v>
      </c>
      <c r="E227" t="s">
        <v>243</v>
      </c>
      <c r="F227" t="s">
        <v>2816</v>
      </c>
      <c r="G227" t="s">
        <v>243</v>
      </c>
      <c r="H227" t="s">
        <v>243</v>
      </c>
      <c r="I227" t="s">
        <v>2902</v>
      </c>
      <c r="J227" t="s">
        <v>243</v>
      </c>
      <c r="K227" t="s">
        <v>2818</v>
      </c>
      <c r="L227" t="s">
        <v>243</v>
      </c>
      <c r="M227" t="s">
        <v>114</v>
      </c>
      <c r="N227" t="s">
        <v>243</v>
      </c>
      <c r="O227" t="s">
        <v>2819</v>
      </c>
      <c r="P227" t="s">
        <v>4449</v>
      </c>
      <c r="Q227" t="s">
        <v>2821</v>
      </c>
      <c r="R227" t="s">
        <v>200</v>
      </c>
      <c r="S227" t="s">
        <v>200</v>
      </c>
      <c r="T227" t="s">
        <v>2822</v>
      </c>
      <c r="U227" t="s">
        <v>2822</v>
      </c>
      <c r="V227" t="s">
        <v>2823</v>
      </c>
      <c r="W227" t="s">
        <v>2862</v>
      </c>
      <c r="X227" t="s">
        <v>2863</v>
      </c>
      <c r="Y227" t="s">
        <v>2903</v>
      </c>
      <c r="Z227" t="s">
        <v>341</v>
      </c>
      <c r="AA227" t="s">
        <v>2904</v>
      </c>
      <c r="AB227" t="s">
        <v>2905</v>
      </c>
      <c r="AC227" t="s">
        <v>2829</v>
      </c>
      <c r="AD227" t="s">
        <v>2830</v>
      </c>
      <c r="AE227" t="s">
        <v>2857</v>
      </c>
      <c r="AF227" t="s">
        <v>2906</v>
      </c>
      <c r="AG227" t="s">
        <v>2906</v>
      </c>
      <c r="AH227" t="s">
        <v>2834</v>
      </c>
      <c r="AI227" t="s">
        <v>2835</v>
      </c>
      <c r="AJ227" t="s">
        <v>2829</v>
      </c>
      <c r="AK227" t="s">
        <v>2868</v>
      </c>
      <c r="AL227" t="s">
        <v>2904</v>
      </c>
      <c r="AM227" t="s">
        <v>2907</v>
      </c>
      <c r="AN227" t="s">
        <v>2829</v>
      </c>
      <c r="AO227" t="s">
        <v>2839</v>
      </c>
      <c r="AP227" t="s">
        <v>2840</v>
      </c>
      <c r="AQ227" t="s">
        <v>2841</v>
      </c>
      <c r="AR227" t="s">
        <v>2908</v>
      </c>
      <c r="AS227" t="s">
        <v>2908</v>
      </c>
      <c r="AT227" t="s">
        <v>2829</v>
      </c>
      <c r="AU227" t="s">
        <v>2829</v>
      </c>
      <c r="AV227" t="s">
        <v>2829</v>
      </c>
      <c r="AW227" t="s">
        <v>2829</v>
      </c>
      <c r="AX227" t="s">
        <v>2829</v>
      </c>
      <c r="AY227" t="s">
        <v>2829</v>
      </c>
      <c r="AZ227" t="s">
        <v>2829</v>
      </c>
      <c r="BA227" t="s">
        <v>2829</v>
      </c>
      <c r="BB227" t="s">
        <v>2829</v>
      </c>
      <c r="BC227" t="s">
        <v>2829</v>
      </c>
      <c r="BD227" t="s">
        <v>2908</v>
      </c>
      <c r="BE227" t="s">
        <v>2908</v>
      </c>
      <c r="BF227" t="s">
        <v>243</v>
      </c>
      <c r="BG227" t="s">
        <v>243</v>
      </c>
      <c r="BH227" t="s">
        <v>243</v>
      </c>
      <c r="BI227" t="s">
        <v>243</v>
      </c>
      <c r="BJ227" t="s">
        <v>2829</v>
      </c>
      <c r="BK227" t="s">
        <v>243</v>
      </c>
      <c r="BL227" t="s">
        <v>243</v>
      </c>
      <c r="BM227" t="s">
        <v>243</v>
      </c>
      <c r="BN227" t="s">
        <v>243</v>
      </c>
      <c r="BO227" t="s">
        <v>243</v>
      </c>
      <c r="BP227" t="s">
        <v>2829</v>
      </c>
      <c r="BQ227" t="s">
        <v>243</v>
      </c>
      <c r="BR227" t="s">
        <v>243</v>
      </c>
      <c r="BS227" t="s">
        <v>243</v>
      </c>
      <c r="BT227" t="s">
        <v>243</v>
      </c>
      <c r="BU227" t="s">
        <v>243</v>
      </c>
      <c r="BV227" t="s">
        <v>2829</v>
      </c>
      <c r="BW227" t="s">
        <v>243</v>
      </c>
      <c r="BX227" t="s">
        <v>243</v>
      </c>
      <c r="BY227" t="s">
        <v>243</v>
      </c>
      <c r="BZ227" t="s">
        <v>243</v>
      </c>
      <c r="CA227" t="s">
        <v>243</v>
      </c>
      <c r="CB227" t="s">
        <v>2829</v>
      </c>
      <c r="CC227" t="s">
        <v>243</v>
      </c>
      <c r="CD227" t="s">
        <v>243</v>
      </c>
      <c r="CE227" t="s">
        <v>243</v>
      </c>
      <c r="CF227" t="s">
        <v>243</v>
      </c>
      <c r="CG227" t="s">
        <v>243</v>
      </c>
      <c r="CH227" t="s">
        <v>2829</v>
      </c>
      <c r="CI227" t="s">
        <v>243</v>
      </c>
      <c r="CJ227" t="s">
        <v>243</v>
      </c>
      <c r="CK227" t="s">
        <v>243</v>
      </c>
      <c r="CL227" t="s">
        <v>243</v>
      </c>
      <c r="CM227" t="s">
        <v>243</v>
      </c>
      <c r="CN227" t="s">
        <v>2829</v>
      </c>
      <c r="CO227" t="s">
        <v>2843</v>
      </c>
      <c r="CP227" t="s">
        <v>2844</v>
      </c>
      <c r="CQ227" t="s">
        <v>430</v>
      </c>
      <c r="CR227" t="s">
        <v>2872</v>
      </c>
      <c r="CS227" t="s">
        <v>431</v>
      </c>
      <c r="CT227" t="s">
        <v>430</v>
      </c>
      <c r="CU227" t="s">
        <v>2846</v>
      </c>
      <c r="CV227" t="s">
        <v>2873</v>
      </c>
      <c r="CW227" t="s">
        <v>2872</v>
      </c>
      <c r="CX227" t="s">
        <v>2848</v>
      </c>
      <c r="CY227" t="s">
        <v>2909</v>
      </c>
    </row>
    <row r="228" spans="1:103" ht="11.25" customHeight="1">
      <c r="A228" t="s">
        <v>243</v>
      </c>
      <c r="B228" t="s">
        <v>243</v>
      </c>
      <c r="C228" t="s">
        <v>243</v>
      </c>
      <c r="D228" t="s">
        <v>243</v>
      </c>
      <c r="E228" t="s">
        <v>243</v>
      </c>
      <c r="F228" t="s">
        <v>2816</v>
      </c>
      <c r="G228" t="s">
        <v>243</v>
      </c>
      <c r="H228" t="s">
        <v>243</v>
      </c>
      <c r="I228" t="s">
        <v>2910</v>
      </c>
      <c r="J228" t="s">
        <v>243</v>
      </c>
      <c r="K228" t="s">
        <v>2818</v>
      </c>
      <c r="L228" t="s">
        <v>243</v>
      </c>
      <c r="M228" t="s">
        <v>114</v>
      </c>
      <c r="N228" t="s">
        <v>243</v>
      </c>
      <c r="O228" t="s">
        <v>2819</v>
      </c>
      <c r="P228" t="s">
        <v>4449</v>
      </c>
      <c r="Q228" t="s">
        <v>2821</v>
      </c>
      <c r="R228" t="s">
        <v>200</v>
      </c>
      <c r="S228" t="s">
        <v>200</v>
      </c>
      <c r="T228" t="s">
        <v>2822</v>
      </c>
      <c r="U228" t="s">
        <v>2822</v>
      </c>
      <c r="V228" t="s">
        <v>2823</v>
      </c>
      <c r="W228" t="s">
        <v>2911</v>
      </c>
      <c r="X228" t="s">
        <v>2912</v>
      </c>
      <c r="Y228" t="s">
        <v>2913</v>
      </c>
      <c r="Z228" t="s">
        <v>348</v>
      </c>
      <c r="AA228" t="s">
        <v>2865</v>
      </c>
      <c r="AB228" t="s">
        <v>2838</v>
      </c>
      <c r="AC228" t="s">
        <v>2829</v>
      </c>
      <c r="AD228" t="s">
        <v>2830</v>
      </c>
      <c r="AE228" t="s">
        <v>2857</v>
      </c>
      <c r="AF228" t="s">
        <v>2914</v>
      </c>
      <c r="AG228" t="s">
        <v>2914</v>
      </c>
      <c r="AH228" t="s">
        <v>2834</v>
      </c>
      <c r="AI228" t="s">
        <v>2835</v>
      </c>
      <c r="AJ228" t="s">
        <v>2829</v>
      </c>
      <c r="AK228" t="s">
        <v>2868</v>
      </c>
      <c r="AL228" t="s">
        <v>2865</v>
      </c>
      <c r="AM228" t="s">
        <v>2838</v>
      </c>
      <c r="AN228" t="s">
        <v>2829</v>
      </c>
      <c r="AO228" t="s">
        <v>2839</v>
      </c>
      <c r="AP228" t="s">
        <v>2840</v>
      </c>
      <c r="AQ228" t="s">
        <v>2841</v>
      </c>
      <c r="AR228" t="s">
        <v>2915</v>
      </c>
      <c r="AS228" t="s">
        <v>2915</v>
      </c>
      <c r="AT228" t="s">
        <v>2829</v>
      </c>
      <c r="AU228" t="s">
        <v>2829</v>
      </c>
      <c r="AV228" t="s">
        <v>2829</v>
      </c>
      <c r="AW228" t="s">
        <v>2829</v>
      </c>
      <c r="AX228" t="s">
        <v>2829</v>
      </c>
      <c r="AY228" t="s">
        <v>2829</v>
      </c>
      <c r="AZ228" t="s">
        <v>2829</v>
      </c>
      <c r="BA228" t="s">
        <v>2829</v>
      </c>
      <c r="BB228" t="s">
        <v>2829</v>
      </c>
      <c r="BC228" t="s">
        <v>2829</v>
      </c>
      <c r="BD228" t="s">
        <v>2915</v>
      </c>
      <c r="BE228" t="s">
        <v>2915</v>
      </c>
      <c r="BF228" t="s">
        <v>243</v>
      </c>
      <c r="BG228" t="s">
        <v>243</v>
      </c>
      <c r="BH228" t="s">
        <v>243</v>
      </c>
      <c r="BI228" t="s">
        <v>243</v>
      </c>
      <c r="BJ228" t="s">
        <v>2829</v>
      </c>
      <c r="BK228" t="s">
        <v>243</v>
      </c>
      <c r="BL228" t="s">
        <v>243</v>
      </c>
      <c r="BM228" t="s">
        <v>243</v>
      </c>
      <c r="BN228" t="s">
        <v>243</v>
      </c>
      <c r="BO228" t="s">
        <v>243</v>
      </c>
      <c r="BP228" t="s">
        <v>2829</v>
      </c>
      <c r="BQ228" t="s">
        <v>243</v>
      </c>
      <c r="BR228" t="s">
        <v>243</v>
      </c>
      <c r="BS228" t="s">
        <v>243</v>
      </c>
      <c r="BT228" t="s">
        <v>243</v>
      </c>
      <c r="BU228" t="s">
        <v>243</v>
      </c>
      <c r="BV228" t="s">
        <v>2829</v>
      </c>
      <c r="BW228" t="s">
        <v>243</v>
      </c>
      <c r="BX228" t="s">
        <v>243</v>
      </c>
      <c r="BY228" t="s">
        <v>243</v>
      </c>
      <c r="BZ228" t="s">
        <v>243</v>
      </c>
      <c r="CA228" t="s">
        <v>243</v>
      </c>
      <c r="CB228" t="s">
        <v>2829</v>
      </c>
      <c r="CC228" t="s">
        <v>243</v>
      </c>
      <c r="CD228" t="s">
        <v>243</v>
      </c>
      <c r="CE228" t="s">
        <v>243</v>
      </c>
      <c r="CF228" t="s">
        <v>243</v>
      </c>
      <c r="CG228" t="s">
        <v>243</v>
      </c>
      <c r="CH228" t="s">
        <v>2829</v>
      </c>
      <c r="CI228" t="s">
        <v>243</v>
      </c>
      <c r="CJ228" t="s">
        <v>243</v>
      </c>
      <c r="CK228" t="s">
        <v>243</v>
      </c>
      <c r="CL228" t="s">
        <v>243</v>
      </c>
      <c r="CM228" t="s">
        <v>243</v>
      </c>
      <c r="CN228" t="s">
        <v>2829</v>
      </c>
      <c r="CO228" t="s">
        <v>2843</v>
      </c>
      <c r="CP228" t="s">
        <v>2844</v>
      </c>
      <c r="CQ228" t="s">
        <v>430</v>
      </c>
      <c r="CR228" t="s">
        <v>2872</v>
      </c>
      <c r="CS228" t="s">
        <v>431</v>
      </c>
      <c r="CT228" t="s">
        <v>430</v>
      </c>
      <c r="CU228" t="s">
        <v>2846</v>
      </c>
      <c r="CV228" t="s">
        <v>2873</v>
      </c>
      <c r="CW228" t="s">
        <v>2872</v>
      </c>
      <c r="CX228" t="s">
        <v>2848</v>
      </c>
      <c r="CY228" t="s">
        <v>2916</v>
      </c>
    </row>
    <row r="229" spans="1:103" ht="11.25" customHeight="1">
      <c r="A229" t="s">
        <v>243</v>
      </c>
      <c r="B229" t="s">
        <v>243</v>
      </c>
      <c r="C229" t="s">
        <v>243</v>
      </c>
      <c r="D229" t="s">
        <v>243</v>
      </c>
      <c r="E229" t="s">
        <v>243</v>
      </c>
      <c r="F229" t="s">
        <v>2816</v>
      </c>
      <c r="G229" t="s">
        <v>243</v>
      </c>
      <c r="H229" t="s">
        <v>243</v>
      </c>
      <c r="I229" t="s">
        <v>3219</v>
      </c>
      <c r="J229" t="s">
        <v>243</v>
      </c>
      <c r="K229" t="s">
        <v>2818</v>
      </c>
      <c r="L229" t="s">
        <v>243</v>
      </c>
      <c r="M229" t="s">
        <v>114</v>
      </c>
      <c r="N229" t="s">
        <v>243</v>
      </c>
      <c r="O229" t="s">
        <v>2819</v>
      </c>
      <c r="P229" t="s">
        <v>4449</v>
      </c>
      <c r="Q229" t="s">
        <v>2821</v>
      </c>
      <c r="R229" t="s">
        <v>200</v>
      </c>
      <c r="S229" t="s">
        <v>200</v>
      </c>
      <c r="T229" t="s">
        <v>2822</v>
      </c>
      <c r="U229" t="s">
        <v>2822</v>
      </c>
      <c r="V229" t="s">
        <v>2823</v>
      </c>
      <c r="W229" t="s">
        <v>3220</v>
      </c>
      <c r="X229" t="s">
        <v>3221</v>
      </c>
      <c r="Y229" t="s">
        <v>2918</v>
      </c>
      <c r="Z229" t="s">
        <v>3222</v>
      </c>
      <c r="AA229" t="s">
        <v>2865</v>
      </c>
      <c r="AB229" t="s">
        <v>2838</v>
      </c>
      <c r="AC229" t="s">
        <v>2829</v>
      </c>
      <c r="AD229" t="s">
        <v>2830</v>
      </c>
      <c r="AE229" t="s">
        <v>2857</v>
      </c>
      <c r="AF229" t="s">
        <v>2867</v>
      </c>
      <c r="AG229" t="s">
        <v>2867</v>
      </c>
      <c r="AH229" t="s">
        <v>2834</v>
      </c>
      <c r="AI229" t="s">
        <v>2835</v>
      </c>
      <c r="AJ229" t="s">
        <v>2829</v>
      </c>
      <c r="AK229" t="s">
        <v>2922</v>
      </c>
      <c r="AL229" t="s">
        <v>2865</v>
      </c>
      <c r="AM229" t="s">
        <v>2838</v>
      </c>
      <c r="AN229" t="s">
        <v>2829</v>
      </c>
      <c r="AO229" t="s">
        <v>2839</v>
      </c>
      <c r="AP229" t="s">
        <v>2840</v>
      </c>
      <c r="AQ229" t="s">
        <v>2841</v>
      </c>
      <c r="AR229" t="s">
        <v>2923</v>
      </c>
      <c r="AS229" t="s">
        <v>2923</v>
      </c>
      <c r="AT229" t="s">
        <v>2829</v>
      </c>
      <c r="AU229" t="s">
        <v>2829</v>
      </c>
      <c r="AV229" t="s">
        <v>2829</v>
      </c>
      <c r="AW229" t="s">
        <v>2829</v>
      </c>
      <c r="AX229" t="s">
        <v>2829</v>
      </c>
      <c r="AY229" t="s">
        <v>2829</v>
      </c>
      <c r="AZ229" t="s">
        <v>2829</v>
      </c>
      <c r="BA229" t="s">
        <v>2829</v>
      </c>
      <c r="BB229" t="s">
        <v>2829</v>
      </c>
      <c r="BC229" t="s">
        <v>2829</v>
      </c>
      <c r="BD229" t="s">
        <v>2923</v>
      </c>
      <c r="BE229" t="s">
        <v>2923</v>
      </c>
      <c r="BF229" t="s">
        <v>243</v>
      </c>
      <c r="BG229" t="s">
        <v>243</v>
      </c>
      <c r="BH229" t="s">
        <v>243</v>
      </c>
      <c r="BI229" t="s">
        <v>243</v>
      </c>
      <c r="BJ229" t="s">
        <v>2829</v>
      </c>
      <c r="BK229" t="s">
        <v>243</v>
      </c>
      <c r="BL229" t="s">
        <v>243</v>
      </c>
      <c r="BM229" t="s">
        <v>243</v>
      </c>
      <c r="BN229" t="s">
        <v>243</v>
      </c>
      <c r="BO229" t="s">
        <v>243</v>
      </c>
      <c r="BP229" t="s">
        <v>2829</v>
      </c>
      <c r="BQ229" t="s">
        <v>243</v>
      </c>
      <c r="BR229" t="s">
        <v>243</v>
      </c>
      <c r="BS229" t="s">
        <v>243</v>
      </c>
      <c r="BT229" t="s">
        <v>243</v>
      </c>
      <c r="BU229" t="s">
        <v>243</v>
      </c>
      <c r="BV229" t="s">
        <v>2829</v>
      </c>
      <c r="BW229" t="s">
        <v>243</v>
      </c>
      <c r="BX229" t="s">
        <v>243</v>
      </c>
      <c r="BY229" t="s">
        <v>243</v>
      </c>
      <c r="BZ229" t="s">
        <v>243</v>
      </c>
      <c r="CA229" t="s">
        <v>243</v>
      </c>
      <c r="CB229" t="s">
        <v>2829</v>
      </c>
      <c r="CC229" t="s">
        <v>243</v>
      </c>
      <c r="CD229" t="s">
        <v>243</v>
      </c>
      <c r="CE229" t="s">
        <v>243</v>
      </c>
      <c r="CF229" t="s">
        <v>243</v>
      </c>
      <c r="CG229" t="s">
        <v>243</v>
      </c>
      <c r="CH229" t="s">
        <v>2829</v>
      </c>
      <c r="CI229" t="s">
        <v>243</v>
      </c>
      <c r="CJ229" t="s">
        <v>243</v>
      </c>
      <c r="CK229" t="s">
        <v>243</v>
      </c>
      <c r="CL229" t="s">
        <v>243</v>
      </c>
      <c r="CM229" t="s">
        <v>243</v>
      </c>
      <c r="CN229" t="s">
        <v>2829</v>
      </c>
      <c r="CO229" t="s">
        <v>2924</v>
      </c>
      <c r="CP229" t="s">
        <v>2844</v>
      </c>
      <c r="CQ229" t="s">
        <v>430</v>
      </c>
      <c r="CR229" t="s">
        <v>2872</v>
      </c>
      <c r="CS229" t="s">
        <v>431</v>
      </c>
      <c r="CT229" t="s">
        <v>430</v>
      </c>
      <c r="CU229" t="s">
        <v>2846</v>
      </c>
      <c r="CV229" t="s">
        <v>2873</v>
      </c>
      <c r="CW229" t="s">
        <v>2872</v>
      </c>
      <c r="CX229" t="s">
        <v>2848</v>
      </c>
      <c r="CY229" t="s">
        <v>3223</v>
      </c>
    </row>
    <row r="230" spans="1:103" ht="11.25" customHeight="1">
      <c r="A230" t="s">
        <v>243</v>
      </c>
      <c r="B230" t="s">
        <v>243</v>
      </c>
      <c r="C230" t="s">
        <v>243</v>
      </c>
      <c r="D230" t="s">
        <v>243</v>
      </c>
      <c r="E230" t="s">
        <v>243</v>
      </c>
      <c r="F230" t="s">
        <v>2816</v>
      </c>
      <c r="G230" t="s">
        <v>243</v>
      </c>
      <c r="H230" t="s">
        <v>243</v>
      </c>
      <c r="I230" t="s">
        <v>3224</v>
      </c>
      <c r="J230" t="s">
        <v>243</v>
      </c>
      <c r="K230" t="s">
        <v>2818</v>
      </c>
      <c r="L230" t="s">
        <v>243</v>
      </c>
      <c r="M230" t="s">
        <v>114</v>
      </c>
      <c r="N230" t="s">
        <v>243</v>
      </c>
      <c r="O230" t="s">
        <v>2819</v>
      </c>
      <c r="P230" t="s">
        <v>4449</v>
      </c>
      <c r="Q230" t="s">
        <v>2821</v>
      </c>
      <c r="R230" t="s">
        <v>200</v>
      </c>
      <c r="S230" t="s">
        <v>200</v>
      </c>
      <c r="T230" t="s">
        <v>2822</v>
      </c>
      <c r="U230" t="s">
        <v>2822</v>
      </c>
      <c r="V230" t="s">
        <v>2823</v>
      </c>
      <c r="W230" t="s">
        <v>3225</v>
      </c>
      <c r="X230" t="s">
        <v>3226</v>
      </c>
      <c r="Y230" t="s">
        <v>3227</v>
      </c>
      <c r="Z230" t="s">
        <v>2917</v>
      </c>
      <c r="AA230" t="s">
        <v>3228</v>
      </c>
      <c r="AB230" t="s">
        <v>3229</v>
      </c>
      <c r="AC230" t="s">
        <v>2829</v>
      </c>
      <c r="AD230" t="s">
        <v>2830</v>
      </c>
      <c r="AE230" t="s">
        <v>2857</v>
      </c>
      <c r="AF230" t="s">
        <v>3230</v>
      </c>
      <c r="AG230" t="s">
        <v>3230</v>
      </c>
      <c r="AH230" t="s">
        <v>2834</v>
      </c>
      <c r="AI230" t="s">
        <v>2835</v>
      </c>
      <c r="AJ230" t="s">
        <v>2829</v>
      </c>
      <c r="AK230" t="s">
        <v>2922</v>
      </c>
      <c r="AL230" t="s">
        <v>3228</v>
      </c>
      <c r="AM230" t="s">
        <v>3229</v>
      </c>
      <c r="AN230" t="s">
        <v>2829</v>
      </c>
      <c r="AO230" t="s">
        <v>2839</v>
      </c>
      <c r="AP230" t="s">
        <v>2840</v>
      </c>
      <c r="AQ230" t="s">
        <v>2841</v>
      </c>
      <c r="AR230" t="s">
        <v>2923</v>
      </c>
      <c r="AS230" t="s">
        <v>2923</v>
      </c>
      <c r="AT230" t="s">
        <v>2829</v>
      </c>
      <c r="AU230" t="s">
        <v>2829</v>
      </c>
      <c r="AV230" t="s">
        <v>2829</v>
      </c>
      <c r="AW230" t="s">
        <v>2829</v>
      </c>
      <c r="AX230" t="s">
        <v>2829</v>
      </c>
      <c r="AY230" t="s">
        <v>2829</v>
      </c>
      <c r="AZ230" t="s">
        <v>2829</v>
      </c>
      <c r="BA230" t="s">
        <v>2829</v>
      </c>
      <c r="BB230" t="s">
        <v>2829</v>
      </c>
      <c r="BC230" t="s">
        <v>2829</v>
      </c>
      <c r="BD230" t="s">
        <v>2923</v>
      </c>
      <c r="BE230" t="s">
        <v>2923</v>
      </c>
      <c r="BF230" t="s">
        <v>243</v>
      </c>
      <c r="BG230" t="s">
        <v>243</v>
      </c>
      <c r="BH230" t="s">
        <v>243</v>
      </c>
      <c r="BI230" t="s">
        <v>243</v>
      </c>
      <c r="BJ230" t="s">
        <v>2829</v>
      </c>
      <c r="BK230" t="s">
        <v>243</v>
      </c>
      <c r="BL230" t="s">
        <v>243</v>
      </c>
      <c r="BM230" t="s">
        <v>243</v>
      </c>
      <c r="BN230" t="s">
        <v>243</v>
      </c>
      <c r="BO230" t="s">
        <v>243</v>
      </c>
      <c r="BP230" t="s">
        <v>2829</v>
      </c>
      <c r="BQ230" t="s">
        <v>243</v>
      </c>
      <c r="BR230" t="s">
        <v>243</v>
      </c>
      <c r="BS230" t="s">
        <v>243</v>
      </c>
      <c r="BT230" t="s">
        <v>243</v>
      </c>
      <c r="BU230" t="s">
        <v>243</v>
      </c>
      <c r="BV230" t="s">
        <v>2829</v>
      </c>
      <c r="BW230" t="s">
        <v>243</v>
      </c>
      <c r="BX230" t="s">
        <v>243</v>
      </c>
      <c r="BY230" t="s">
        <v>243</v>
      </c>
      <c r="BZ230" t="s">
        <v>243</v>
      </c>
      <c r="CA230" t="s">
        <v>243</v>
      </c>
      <c r="CB230" t="s">
        <v>2829</v>
      </c>
      <c r="CC230" t="s">
        <v>243</v>
      </c>
      <c r="CD230" t="s">
        <v>243</v>
      </c>
      <c r="CE230" t="s">
        <v>243</v>
      </c>
      <c r="CF230" t="s">
        <v>243</v>
      </c>
      <c r="CG230" t="s">
        <v>243</v>
      </c>
      <c r="CH230" t="s">
        <v>2829</v>
      </c>
      <c r="CI230" t="s">
        <v>243</v>
      </c>
      <c r="CJ230" t="s">
        <v>243</v>
      </c>
      <c r="CK230" t="s">
        <v>243</v>
      </c>
      <c r="CL230" t="s">
        <v>243</v>
      </c>
      <c r="CM230" t="s">
        <v>243</v>
      </c>
      <c r="CN230" t="s">
        <v>2829</v>
      </c>
      <c r="CO230" t="s">
        <v>2924</v>
      </c>
      <c r="CP230" t="s">
        <v>2844</v>
      </c>
      <c r="CQ230" t="s">
        <v>430</v>
      </c>
      <c r="CR230" t="s">
        <v>2872</v>
      </c>
      <c r="CS230" t="s">
        <v>431</v>
      </c>
      <c r="CT230" t="s">
        <v>430</v>
      </c>
      <c r="CU230" t="s">
        <v>2846</v>
      </c>
      <c r="CV230" t="s">
        <v>2873</v>
      </c>
      <c r="CW230" t="s">
        <v>2872</v>
      </c>
      <c r="CX230" t="s">
        <v>2848</v>
      </c>
      <c r="CY230" t="s">
        <v>3231</v>
      </c>
    </row>
    <row r="231" spans="1:103" ht="11.25" customHeight="1">
      <c r="A231" t="s">
        <v>243</v>
      </c>
      <c r="B231" t="s">
        <v>243</v>
      </c>
      <c r="C231" t="s">
        <v>243</v>
      </c>
      <c r="D231" t="s">
        <v>243</v>
      </c>
      <c r="E231" t="s">
        <v>243</v>
      </c>
      <c r="F231" t="s">
        <v>2816</v>
      </c>
      <c r="G231" t="s">
        <v>243</v>
      </c>
      <c r="H231" t="s">
        <v>243</v>
      </c>
      <c r="I231" t="s">
        <v>3090</v>
      </c>
      <c r="J231" t="s">
        <v>243</v>
      </c>
      <c r="K231" t="s">
        <v>3091</v>
      </c>
      <c r="L231" t="s">
        <v>243</v>
      </c>
      <c r="M231" t="s">
        <v>114</v>
      </c>
      <c r="N231" t="s">
        <v>243</v>
      </c>
      <c r="O231" t="s">
        <v>2819</v>
      </c>
      <c r="P231" t="s">
        <v>4449</v>
      </c>
      <c r="Q231" t="s">
        <v>2821</v>
      </c>
      <c r="R231" t="s">
        <v>200</v>
      </c>
      <c r="S231" t="s">
        <v>200</v>
      </c>
      <c r="T231" t="s">
        <v>4451</v>
      </c>
      <c r="U231" t="s">
        <v>4451</v>
      </c>
      <c r="V231" t="s">
        <v>4452</v>
      </c>
      <c r="W231" t="s">
        <v>2935</v>
      </c>
      <c r="X231" t="s">
        <v>4453</v>
      </c>
      <c r="Y231" t="s">
        <v>3092</v>
      </c>
      <c r="Z231" t="s">
        <v>3093</v>
      </c>
      <c r="AA231" t="s">
        <v>3094</v>
      </c>
      <c r="AB231" t="s">
        <v>3095</v>
      </c>
      <c r="AC231" t="s">
        <v>2829</v>
      </c>
      <c r="AD231" t="s">
        <v>2883</v>
      </c>
      <c r="AE231" t="s">
        <v>2831</v>
      </c>
      <c r="AF231" t="s">
        <v>3096</v>
      </c>
      <c r="AG231" t="s">
        <v>3096</v>
      </c>
      <c r="AH231" t="s">
        <v>2834</v>
      </c>
      <c r="AI231" t="s">
        <v>2835</v>
      </c>
      <c r="AJ231" t="s">
        <v>2942</v>
      </c>
      <c r="AK231" t="s">
        <v>3097</v>
      </c>
      <c r="AL231" t="s">
        <v>3094</v>
      </c>
      <c r="AM231" t="s">
        <v>3095</v>
      </c>
      <c r="AN231" t="s">
        <v>243</v>
      </c>
      <c r="AO231" t="s">
        <v>2839</v>
      </c>
      <c r="AP231" t="s">
        <v>2840</v>
      </c>
      <c r="AQ231" t="s">
        <v>2841</v>
      </c>
      <c r="AR231" t="s">
        <v>3098</v>
      </c>
      <c r="AS231" t="s">
        <v>3098</v>
      </c>
      <c r="AT231" t="s">
        <v>2829</v>
      </c>
      <c r="AU231" t="s">
        <v>2829</v>
      </c>
      <c r="AV231" t="s">
        <v>2829</v>
      </c>
      <c r="AW231" t="s">
        <v>2829</v>
      </c>
      <c r="AX231" t="s">
        <v>2829</v>
      </c>
      <c r="AY231" t="s">
        <v>2829</v>
      </c>
      <c r="AZ231" t="s">
        <v>2829</v>
      </c>
      <c r="BA231" t="s">
        <v>2829</v>
      </c>
      <c r="BB231" t="s">
        <v>2829</v>
      </c>
      <c r="BC231" t="s">
        <v>2829</v>
      </c>
      <c r="BD231" t="s">
        <v>3099</v>
      </c>
      <c r="BE231" t="s">
        <v>3099</v>
      </c>
      <c r="BF231" t="s">
        <v>243</v>
      </c>
      <c r="BG231" t="s">
        <v>243</v>
      </c>
      <c r="BH231" t="s">
        <v>243</v>
      </c>
      <c r="BI231" t="s">
        <v>243</v>
      </c>
      <c r="BJ231" t="s">
        <v>2829</v>
      </c>
      <c r="BK231" t="s">
        <v>243</v>
      </c>
      <c r="BL231" t="s">
        <v>243</v>
      </c>
      <c r="BM231" t="s">
        <v>243</v>
      </c>
      <c r="BN231" t="s">
        <v>243</v>
      </c>
      <c r="BO231" t="s">
        <v>243</v>
      </c>
      <c r="BP231" t="s">
        <v>3100</v>
      </c>
      <c r="BQ231" t="s">
        <v>3100</v>
      </c>
      <c r="BR231" t="s">
        <v>243</v>
      </c>
      <c r="BS231" t="s">
        <v>243</v>
      </c>
      <c r="BT231" t="s">
        <v>243</v>
      </c>
      <c r="BU231" t="s">
        <v>243</v>
      </c>
      <c r="BV231" t="s">
        <v>2829</v>
      </c>
      <c r="BW231" t="s">
        <v>243</v>
      </c>
      <c r="BX231" t="s">
        <v>243</v>
      </c>
      <c r="BY231" t="s">
        <v>243</v>
      </c>
      <c r="BZ231" t="s">
        <v>243</v>
      </c>
      <c r="CA231" t="s">
        <v>243</v>
      </c>
      <c r="CB231" t="s">
        <v>2829</v>
      </c>
      <c r="CC231" t="s">
        <v>243</v>
      </c>
      <c r="CD231" t="s">
        <v>243</v>
      </c>
      <c r="CE231" t="s">
        <v>243</v>
      </c>
      <c r="CF231" t="s">
        <v>243</v>
      </c>
      <c r="CG231" t="s">
        <v>243</v>
      </c>
      <c r="CH231" t="s">
        <v>2829</v>
      </c>
      <c r="CI231" t="s">
        <v>243</v>
      </c>
      <c r="CJ231" t="s">
        <v>243</v>
      </c>
      <c r="CK231" t="s">
        <v>243</v>
      </c>
      <c r="CL231" t="s">
        <v>243</v>
      </c>
      <c r="CM231" t="s">
        <v>243</v>
      </c>
      <c r="CN231" t="s">
        <v>2942</v>
      </c>
      <c r="CO231" t="s">
        <v>2843</v>
      </c>
      <c r="CP231" t="s">
        <v>2844</v>
      </c>
      <c r="CQ231" t="s">
        <v>430</v>
      </c>
      <c r="CR231" t="s">
        <v>2947</v>
      </c>
      <c r="CS231" t="s">
        <v>431</v>
      </c>
      <c r="CT231" t="s">
        <v>430</v>
      </c>
      <c r="CU231" t="s">
        <v>2948</v>
      </c>
      <c r="CV231" t="s">
        <v>2949</v>
      </c>
      <c r="CW231" t="s">
        <v>2947</v>
      </c>
      <c r="CX231" t="s">
        <v>2848</v>
      </c>
      <c r="CY231" t="s">
        <v>3101</v>
      </c>
    </row>
    <row r="232" spans="1:103" ht="11.25" customHeight="1">
      <c r="A232" t="s">
        <v>243</v>
      </c>
      <c r="B232" t="s">
        <v>243</v>
      </c>
      <c r="C232" t="s">
        <v>243</v>
      </c>
      <c r="D232" t="s">
        <v>243</v>
      </c>
      <c r="E232" t="s">
        <v>243</v>
      </c>
      <c r="F232" t="s">
        <v>2816</v>
      </c>
      <c r="G232" t="s">
        <v>243</v>
      </c>
      <c r="H232" t="s">
        <v>243</v>
      </c>
      <c r="I232" t="s">
        <v>3614</v>
      </c>
      <c r="J232" t="s">
        <v>243</v>
      </c>
      <c r="K232" t="s">
        <v>3615</v>
      </c>
      <c r="L232" t="s">
        <v>243</v>
      </c>
      <c r="M232" t="s">
        <v>114</v>
      </c>
      <c r="N232" t="s">
        <v>243</v>
      </c>
      <c r="O232" t="s">
        <v>2819</v>
      </c>
      <c r="P232" t="s">
        <v>4449</v>
      </c>
      <c r="Q232" t="s">
        <v>2821</v>
      </c>
      <c r="R232" t="s">
        <v>200</v>
      </c>
      <c r="S232" t="s">
        <v>200</v>
      </c>
      <c r="T232" t="s">
        <v>4451</v>
      </c>
      <c r="U232" t="s">
        <v>4451</v>
      </c>
      <c r="V232" t="s">
        <v>4452</v>
      </c>
      <c r="W232" t="s">
        <v>2935</v>
      </c>
      <c r="X232" t="s">
        <v>4453</v>
      </c>
      <c r="Y232" t="s">
        <v>3616</v>
      </c>
      <c r="Z232" t="s">
        <v>3235</v>
      </c>
      <c r="AA232" t="s">
        <v>3617</v>
      </c>
      <c r="AB232" t="s">
        <v>3618</v>
      </c>
      <c r="AC232" t="s">
        <v>2829</v>
      </c>
      <c r="AD232" t="s">
        <v>2883</v>
      </c>
      <c r="AE232" t="s">
        <v>2831</v>
      </c>
      <c r="AF232" t="s">
        <v>4455</v>
      </c>
      <c r="AG232" t="s">
        <v>4455</v>
      </c>
      <c r="AH232" t="s">
        <v>2834</v>
      </c>
      <c r="AI232" t="s">
        <v>2835</v>
      </c>
      <c r="AJ232" t="s">
        <v>2942</v>
      </c>
      <c r="AK232" t="s">
        <v>3621</v>
      </c>
      <c r="AL232" t="s">
        <v>3617</v>
      </c>
      <c r="AM232" t="s">
        <v>3622</v>
      </c>
      <c r="AN232" t="s">
        <v>243</v>
      </c>
      <c r="AO232" t="s">
        <v>2839</v>
      </c>
      <c r="AP232" t="s">
        <v>2840</v>
      </c>
      <c r="AQ232" t="s">
        <v>2841</v>
      </c>
      <c r="AR232" t="s">
        <v>3623</v>
      </c>
      <c r="AS232" t="s">
        <v>3623</v>
      </c>
      <c r="AT232" t="s">
        <v>2829</v>
      </c>
      <c r="AU232" t="s">
        <v>2829</v>
      </c>
      <c r="AV232" t="s">
        <v>2829</v>
      </c>
      <c r="AW232" t="s">
        <v>2829</v>
      </c>
      <c r="AX232" t="s">
        <v>2829</v>
      </c>
      <c r="AY232" t="s">
        <v>2829</v>
      </c>
      <c r="AZ232" t="s">
        <v>2829</v>
      </c>
      <c r="BA232" t="s">
        <v>2829</v>
      </c>
      <c r="BB232" t="s">
        <v>2829</v>
      </c>
      <c r="BC232" t="s">
        <v>2829</v>
      </c>
      <c r="BD232" t="s">
        <v>3624</v>
      </c>
      <c r="BE232" t="s">
        <v>3624</v>
      </c>
      <c r="BF232" t="s">
        <v>243</v>
      </c>
      <c r="BG232" t="s">
        <v>243</v>
      </c>
      <c r="BH232" t="s">
        <v>243</v>
      </c>
      <c r="BI232" t="s">
        <v>243</v>
      </c>
      <c r="BJ232" t="s">
        <v>2829</v>
      </c>
      <c r="BK232" t="s">
        <v>243</v>
      </c>
      <c r="BL232" t="s">
        <v>243</v>
      </c>
      <c r="BM232" t="s">
        <v>243</v>
      </c>
      <c r="BN232" t="s">
        <v>243</v>
      </c>
      <c r="BO232" t="s">
        <v>243</v>
      </c>
      <c r="BP232" t="s">
        <v>3625</v>
      </c>
      <c r="BQ232" t="s">
        <v>3625</v>
      </c>
      <c r="BR232" t="s">
        <v>243</v>
      </c>
      <c r="BS232" t="s">
        <v>243</v>
      </c>
      <c r="BT232" t="s">
        <v>243</v>
      </c>
      <c r="BU232" t="s">
        <v>243</v>
      </c>
      <c r="BV232" t="s">
        <v>2829</v>
      </c>
      <c r="BW232" t="s">
        <v>243</v>
      </c>
      <c r="BX232" t="s">
        <v>243</v>
      </c>
      <c r="BY232" t="s">
        <v>243</v>
      </c>
      <c r="BZ232" t="s">
        <v>243</v>
      </c>
      <c r="CA232" t="s">
        <v>243</v>
      </c>
      <c r="CB232" t="s">
        <v>2829</v>
      </c>
      <c r="CC232" t="s">
        <v>243</v>
      </c>
      <c r="CD232" t="s">
        <v>243</v>
      </c>
      <c r="CE232" t="s">
        <v>243</v>
      </c>
      <c r="CF232" t="s">
        <v>243</v>
      </c>
      <c r="CG232" t="s">
        <v>243</v>
      </c>
      <c r="CH232" t="s">
        <v>2829</v>
      </c>
      <c r="CI232" t="s">
        <v>243</v>
      </c>
      <c r="CJ232" t="s">
        <v>243</v>
      </c>
      <c r="CK232" t="s">
        <v>243</v>
      </c>
      <c r="CL232" t="s">
        <v>243</v>
      </c>
      <c r="CM232" t="s">
        <v>243</v>
      </c>
      <c r="CN232" t="s">
        <v>2942</v>
      </c>
      <c r="CO232" t="s">
        <v>2843</v>
      </c>
      <c r="CP232" t="s">
        <v>2844</v>
      </c>
      <c r="CQ232" t="s">
        <v>430</v>
      </c>
      <c r="CR232" t="s">
        <v>2947</v>
      </c>
      <c r="CS232" t="s">
        <v>431</v>
      </c>
      <c r="CT232" t="s">
        <v>430</v>
      </c>
      <c r="CU232" t="s">
        <v>2948</v>
      </c>
      <c r="CV232" t="s">
        <v>2949</v>
      </c>
      <c r="CW232" t="s">
        <v>2947</v>
      </c>
      <c r="CX232" t="s">
        <v>2848</v>
      </c>
      <c r="CY232" t="s">
        <v>3626</v>
      </c>
    </row>
    <row r="233" spans="1:103" ht="11.25" customHeight="1">
      <c r="A233" t="s">
        <v>243</v>
      </c>
      <c r="B233" t="s">
        <v>243</v>
      </c>
      <c r="C233" t="s">
        <v>243</v>
      </c>
      <c r="D233" t="s">
        <v>243</v>
      </c>
      <c r="E233" t="s">
        <v>243</v>
      </c>
      <c r="F233" t="s">
        <v>2816</v>
      </c>
      <c r="G233" t="s">
        <v>243</v>
      </c>
      <c r="H233" t="s">
        <v>243</v>
      </c>
      <c r="I233" t="s">
        <v>3114</v>
      </c>
      <c r="J233" t="s">
        <v>243</v>
      </c>
      <c r="K233" t="s">
        <v>3115</v>
      </c>
      <c r="L233" t="s">
        <v>243</v>
      </c>
      <c r="M233" t="s">
        <v>114</v>
      </c>
      <c r="N233" t="s">
        <v>243</v>
      </c>
      <c r="O233" t="s">
        <v>2819</v>
      </c>
      <c r="P233" t="s">
        <v>4449</v>
      </c>
      <c r="Q233" t="s">
        <v>2821</v>
      </c>
      <c r="R233" t="s">
        <v>200</v>
      </c>
      <c r="S233" t="s">
        <v>200</v>
      </c>
      <c r="T233" t="s">
        <v>2968</v>
      </c>
      <c r="U233" t="s">
        <v>2968</v>
      </c>
      <c r="V233" t="s">
        <v>2969</v>
      </c>
      <c r="W233" t="s">
        <v>3102</v>
      </c>
      <c r="X233" t="s">
        <v>3103</v>
      </c>
      <c r="Y233" t="s">
        <v>3104</v>
      </c>
      <c r="Z233" t="s">
        <v>3116</v>
      </c>
      <c r="AA233" t="s">
        <v>3117</v>
      </c>
      <c r="AB233" t="s">
        <v>3118</v>
      </c>
      <c r="AC233" t="s">
        <v>2829</v>
      </c>
      <c r="AD233" t="s">
        <v>2883</v>
      </c>
      <c r="AE233" t="s">
        <v>2857</v>
      </c>
      <c r="AF233" t="s">
        <v>3119</v>
      </c>
      <c r="AG233" t="s">
        <v>3119</v>
      </c>
      <c r="AH233" t="s">
        <v>2834</v>
      </c>
      <c r="AI233" t="s">
        <v>2835</v>
      </c>
      <c r="AJ233" t="s">
        <v>3008</v>
      </c>
      <c r="AK233" t="s">
        <v>3120</v>
      </c>
      <c r="AL233" t="s">
        <v>3117</v>
      </c>
      <c r="AM233" t="s">
        <v>3118</v>
      </c>
      <c r="AN233" t="s">
        <v>2829</v>
      </c>
      <c r="AO233" t="s">
        <v>2839</v>
      </c>
      <c r="AP233" t="s">
        <v>2840</v>
      </c>
      <c r="AQ233" t="s">
        <v>2841</v>
      </c>
      <c r="AR233" t="s">
        <v>3121</v>
      </c>
      <c r="AS233" t="s">
        <v>3121</v>
      </c>
      <c r="AT233" t="s">
        <v>2829</v>
      </c>
      <c r="AU233" t="s">
        <v>2829</v>
      </c>
      <c r="AV233" t="s">
        <v>2829</v>
      </c>
      <c r="AW233" t="s">
        <v>2829</v>
      </c>
      <c r="AX233" t="s">
        <v>2829</v>
      </c>
      <c r="AY233" t="s">
        <v>2829</v>
      </c>
      <c r="AZ233" t="s">
        <v>2829</v>
      </c>
      <c r="BA233" t="s">
        <v>2829</v>
      </c>
      <c r="BB233" t="s">
        <v>2829</v>
      </c>
      <c r="BC233" t="s">
        <v>2829</v>
      </c>
      <c r="BD233" t="s">
        <v>2829</v>
      </c>
      <c r="BE233" t="s">
        <v>243</v>
      </c>
      <c r="BF233" t="s">
        <v>243</v>
      </c>
      <c r="BG233" t="s">
        <v>243</v>
      </c>
      <c r="BH233" t="s">
        <v>243</v>
      </c>
      <c r="BI233" t="s">
        <v>243</v>
      </c>
      <c r="BJ233" t="s">
        <v>2829</v>
      </c>
      <c r="BK233" t="s">
        <v>243</v>
      </c>
      <c r="BL233" t="s">
        <v>243</v>
      </c>
      <c r="BM233" t="s">
        <v>243</v>
      </c>
      <c r="BN233" t="s">
        <v>243</v>
      </c>
      <c r="BO233" t="s">
        <v>243</v>
      </c>
      <c r="BP233" t="s">
        <v>3121</v>
      </c>
      <c r="BQ233" t="s">
        <v>3121</v>
      </c>
      <c r="BR233" t="s">
        <v>243</v>
      </c>
      <c r="BS233" t="s">
        <v>243</v>
      </c>
      <c r="BT233" t="s">
        <v>243</v>
      </c>
      <c r="BU233" t="s">
        <v>243</v>
      </c>
      <c r="BV233" t="s">
        <v>2829</v>
      </c>
      <c r="BW233" t="s">
        <v>243</v>
      </c>
      <c r="BX233" t="s">
        <v>243</v>
      </c>
      <c r="BY233" t="s">
        <v>243</v>
      </c>
      <c r="BZ233" t="s">
        <v>243</v>
      </c>
      <c r="CA233" t="s">
        <v>243</v>
      </c>
      <c r="CB233" t="s">
        <v>2829</v>
      </c>
      <c r="CC233" t="s">
        <v>243</v>
      </c>
      <c r="CD233" t="s">
        <v>243</v>
      </c>
      <c r="CE233" t="s">
        <v>243</v>
      </c>
      <c r="CF233" t="s">
        <v>243</v>
      </c>
      <c r="CG233" t="s">
        <v>243</v>
      </c>
      <c r="CH233" t="s">
        <v>2829</v>
      </c>
      <c r="CI233" t="s">
        <v>243</v>
      </c>
      <c r="CJ233" t="s">
        <v>243</v>
      </c>
      <c r="CK233" t="s">
        <v>243</v>
      </c>
      <c r="CL233" t="s">
        <v>243</v>
      </c>
      <c r="CM233" t="s">
        <v>243</v>
      </c>
      <c r="CN233" t="s">
        <v>3008</v>
      </c>
      <c r="CO233" t="s">
        <v>2843</v>
      </c>
      <c r="CP233" t="s">
        <v>2844</v>
      </c>
      <c r="CQ233" t="s">
        <v>430</v>
      </c>
      <c r="CR233" t="s">
        <v>2984</v>
      </c>
      <c r="CS233" t="s">
        <v>431</v>
      </c>
      <c r="CT233" t="s">
        <v>430</v>
      </c>
      <c r="CU233" t="s">
        <v>2985</v>
      </c>
      <c r="CV233" t="s">
        <v>2986</v>
      </c>
      <c r="CW233" t="s">
        <v>2984</v>
      </c>
      <c r="CX233" t="s">
        <v>2848</v>
      </c>
      <c r="CY233" t="s">
        <v>3122</v>
      </c>
    </row>
    <row r="234" spans="1:103" ht="11.25" customHeight="1">
      <c r="A234" t="s">
        <v>243</v>
      </c>
      <c r="B234" t="s">
        <v>243</v>
      </c>
      <c r="C234" t="s">
        <v>243</v>
      </c>
      <c r="D234" t="s">
        <v>243</v>
      </c>
      <c r="E234" t="s">
        <v>243</v>
      </c>
      <c r="F234" t="s">
        <v>2816</v>
      </c>
      <c r="G234" t="s">
        <v>243</v>
      </c>
      <c r="H234" t="s">
        <v>243</v>
      </c>
      <c r="I234" t="s">
        <v>460</v>
      </c>
      <c r="J234" t="s">
        <v>243</v>
      </c>
      <c r="K234" t="s">
        <v>3497</v>
      </c>
      <c r="L234" t="s">
        <v>243</v>
      </c>
      <c r="M234" t="s">
        <v>114</v>
      </c>
      <c r="N234" t="s">
        <v>243</v>
      </c>
      <c r="O234" t="s">
        <v>2819</v>
      </c>
      <c r="P234" t="s">
        <v>4449</v>
      </c>
      <c r="Q234" t="s">
        <v>2821</v>
      </c>
      <c r="R234" t="s">
        <v>200</v>
      </c>
      <c r="S234" t="s">
        <v>200</v>
      </c>
      <c r="T234" t="s">
        <v>2822</v>
      </c>
      <c r="U234" t="s">
        <v>2822</v>
      </c>
      <c r="V234" t="s">
        <v>2823</v>
      </c>
      <c r="W234" t="s">
        <v>2952</v>
      </c>
      <c r="X234" t="s">
        <v>2953</v>
      </c>
      <c r="Y234" t="s">
        <v>3498</v>
      </c>
      <c r="Z234" t="s">
        <v>2880</v>
      </c>
      <c r="AA234" t="s">
        <v>3499</v>
      </c>
      <c r="AB234" t="s">
        <v>3500</v>
      </c>
      <c r="AC234" t="s">
        <v>2829</v>
      </c>
      <c r="AD234" t="s">
        <v>2830</v>
      </c>
      <c r="AE234" t="s">
        <v>2831</v>
      </c>
      <c r="AF234" t="s">
        <v>3501</v>
      </c>
      <c r="AG234" t="s">
        <v>3502</v>
      </c>
      <c r="AH234" t="s">
        <v>2834</v>
      </c>
      <c r="AI234" t="s">
        <v>2835</v>
      </c>
      <c r="AJ234" t="s">
        <v>2960</v>
      </c>
      <c r="AK234" t="s">
        <v>3264</v>
      </c>
      <c r="AL234" t="s">
        <v>3499</v>
      </c>
      <c r="AM234" t="s">
        <v>3385</v>
      </c>
      <c r="AN234" t="s">
        <v>2829</v>
      </c>
      <c r="AO234" t="s">
        <v>2839</v>
      </c>
      <c r="AP234" t="s">
        <v>2840</v>
      </c>
      <c r="AQ234" t="s">
        <v>2841</v>
      </c>
      <c r="AR234" t="s">
        <v>3503</v>
      </c>
      <c r="AS234" t="s">
        <v>3503</v>
      </c>
      <c r="AT234" t="s">
        <v>2829</v>
      </c>
      <c r="AU234" t="s">
        <v>2829</v>
      </c>
      <c r="AV234" t="s">
        <v>2829</v>
      </c>
      <c r="AW234" t="s">
        <v>2829</v>
      </c>
      <c r="AX234" t="s">
        <v>2829</v>
      </c>
      <c r="AY234" t="s">
        <v>2829</v>
      </c>
      <c r="AZ234" t="s">
        <v>2829</v>
      </c>
      <c r="BA234" t="s">
        <v>2829</v>
      </c>
      <c r="BB234" t="s">
        <v>2829</v>
      </c>
      <c r="BC234" t="s">
        <v>2829</v>
      </c>
      <c r="BD234" t="s">
        <v>2965</v>
      </c>
      <c r="BE234" t="s">
        <v>2965</v>
      </c>
      <c r="BF234" t="s">
        <v>243</v>
      </c>
      <c r="BG234" t="s">
        <v>243</v>
      </c>
      <c r="BH234" t="s">
        <v>243</v>
      </c>
      <c r="BI234" t="s">
        <v>243</v>
      </c>
      <c r="BJ234" t="s">
        <v>2829</v>
      </c>
      <c r="BK234" t="s">
        <v>243</v>
      </c>
      <c r="BL234" t="s">
        <v>243</v>
      </c>
      <c r="BM234" t="s">
        <v>243</v>
      </c>
      <c r="BN234" t="s">
        <v>243</v>
      </c>
      <c r="BO234" t="s">
        <v>243</v>
      </c>
      <c r="BP234" t="s">
        <v>3504</v>
      </c>
      <c r="BQ234" t="s">
        <v>3504</v>
      </c>
      <c r="BR234" t="s">
        <v>243</v>
      </c>
      <c r="BS234" t="s">
        <v>243</v>
      </c>
      <c r="BT234" t="s">
        <v>243</v>
      </c>
      <c r="BU234" t="s">
        <v>243</v>
      </c>
      <c r="BV234" t="s">
        <v>2829</v>
      </c>
      <c r="BW234" t="s">
        <v>243</v>
      </c>
      <c r="BX234" t="s">
        <v>243</v>
      </c>
      <c r="BY234" t="s">
        <v>243</v>
      </c>
      <c r="BZ234" t="s">
        <v>243</v>
      </c>
      <c r="CA234" t="s">
        <v>243</v>
      </c>
      <c r="CB234" t="s">
        <v>2829</v>
      </c>
      <c r="CC234" t="s">
        <v>243</v>
      </c>
      <c r="CD234" t="s">
        <v>243</v>
      </c>
      <c r="CE234" t="s">
        <v>243</v>
      </c>
      <c r="CF234" t="s">
        <v>243</v>
      </c>
      <c r="CG234" t="s">
        <v>243</v>
      </c>
      <c r="CH234" t="s">
        <v>2829</v>
      </c>
      <c r="CI234" t="s">
        <v>243</v>
      </c>
      <c r="CJ234" t="s">
        <v>243</v>
      </c>
      <c r="CK234" t="s">
        <v>243</v>
      </c>
      <c r="CL234" t="s">
        <v>243</v>
      </c>
      <c r="CM234" t="s">
        <v>243</v>
      </c>
      <c r="CN234" t="s">
        <v>2960</v>
      </c>
      <c r="CO234" t="s">
        <v>2843</v>
      </c>
      <c r="CP234" t="s">
        <v>2844</v>
      </c>
      <c r="CQ234" t="s">
        <v>430</v>
      </c>
      <c r="CR234" t="s">
        <v>2845</v>
      </c>
      <c r="CS234" t="s">
        <v>431</v>
      </c>
      <c r="CT234" t="s">
        <v>430</v>
      </c>
      <c r="CU234" t="s">
        <v>2846</v>
      </c>
      <c r="CV234" t="s">
        <v>2847</v>
      </c>
      <c r="CW234" t="s">
        <v>2845</v>
      </c>
      <c r="CX234" t="s">
        <v>2848</v>
      </c>
      <c r="CY234" t="s">
        <v>3505</v>
      </c>
    </row>
    <row r="235" spans="1:103" ht="11.25" customHeight="1">
      <c r="A235" t="s">
        <v>243</v>
      </c>
      <c r="B235" t="s">
        <v>243</v>
      </c>
      <c r="C235" t="s">
        <v>243</v>
      </c>
      <c r="D235" t="s">
        <v>243</v>
      </c>
      <c r="E235" t="s">
        <v>243</v>
      </c>
      <c r="F235" t="s">
        <v>2816</v>
      </c>
      <c r="G235" t="s">
        <v>243</v>
      </c>
      <c r="H235" t="s">
        <v>243</v>
      </c>
      <c r="I235" t="s">
        <v>3627</v>
      </c>
      <c r="J235" t="s">
        <v>243</v>
      </c>
      <c r="K235" t="s">
        <v>3115</v>
      </c>
      <c r="L235" t="s">
        <v>243</v>
      </c>
      <c r="M235" t="s">
        <v>114</v>
      </c>
      <c r="N235" t="s">
        <v>243</v>
      </c>
      <c r="O235" t="s">
        <v>2819</v>
      </c>
      <c r="P235" t="s">
        <v>4449</v>
      </c>
      <c r="Q235" t="s">
        <v>2821</v>
      </c>
      <c r="R235" t="s">
        <v>200</v>
      </c>
      <c r="S235" t="s">
        <v>200</v>
      </c>
      <c r="T235" t="s">
        <v>2968</v>
      </c>
      <c r="U235" t="s">
        <v>2968</v>
      </c>
      <c r="V235" t="s">
        <v>2969</v>
      </c>
      <c r="W235" t="s">
        <v>3628</v>
      </c>
      <c r="X235" t="s">
        <v>3629</v>
      </c>
      <c r="Y235" t="s">
        <v>2913</v>
      </c>
      <c r="Z235" t="s">
        <v>3630</v>
      </c>
      <c r="AA235" t="s">
        <v>3631</v>
      </c>
      <c r="AB235" t="s">
        <v>3632</v>
      </c>
      <c r="AC235" t="s">
        <v>2829</v>
      </c>
      <c r="AD235" t="s">
        <v>2883</v>
      </c>
      <c r="AE235" t="s">
        <v>2857</v>
      </c>
      <c r="AF235" t="s">
        <v>3633</v>
      </c>
      <c r="AG235" t="s">
        <v>3633</v>
      </c>
      <c r="AH235" t="s">
        <v>2834</v>
      </c>
      <c r="AI235" t="s">
        <v>2835</v>
      </c>
      <c r="AJ235" t="s">
        <v>3044</v>
      </c>
      <c r="AK235" t="s">
        <v>3556</v>
      </c>
      <c r="AL235" t="s">
        <v>3631</v>
      </c>
      <c r="AM235" t="s">
        <v>3634</v>
      </c>
      <c r="AN235" t="s">
        <v>2829</v>
      </c>
      <c r="AO235" t="s">
        <v>2839</v>
      </c>
      <c r="AP235" t="s">
        <v>2840</v>
      </c>
      <c r="AQ235" t="s">
        <v>2841</v>
      </c>
      <c r="AR235" t="s">
        <v>3635</v>
      </c>
      <c r="AS235" t="s">
        <v>3635</v>
      </c>
      <c r="AT235" t="s">
        <v>2829</v>
      </c>
      <c r="AU235" t="s">
        <v>2829</v>
      </c>
      <c r="AV235" t="s">
        <v>2829</v>
      </c>
      <c r="AW235" t="s">
        <v>2829</v>
      </c>
      <c r="AX235" t="s">
        <v>2829</v>
      </c>
      <c r="AY235" t="s">
        <v>2829</v>
      </c>
      <c r="AZ235" t="s">
        <v>2829</v>
      </c>
      <c r="BA235" t="s">
        <v>2829</v>
      </c>
      <c r="BB235" t="s">
        <v>2829</v>
      </c>
      <c r="BC235" t="s">
        <v>2829</v>
      </c>
      <c r="BD235" t="s">
        <v>2829</v>
      </c>
      <c r="BE235" t="s">
        <v>243</v>
      </c>
      <c r="BF235" t="s">
        <v>243</v>
      </c>
      <c r="BG235" t="s">
        <v>243</v>
      </c>
      <c r="BH235" t="s">
        <v>243</v>
      </c>
      <c r="BI235" t="s">
        <v>243</v>
      </c>
      <c r="BJ235" t="s">
        <v>2829</v>
      </c>
      <c r="BK235" t="s">
        <v>243</v>
      </c>
      <c r="BL235" t="s">
        <v>243</v>
      </c>
      <c r="BM235" t="s">
        <v>243</v>
      </c>
      <c r="BN235" t="s">
        <v>243</v>
      </c>
      <c r="BO235" t="s">
        <v>243</v>
      </c>
      <c r="BP235" t="s">
        <v>3635</v>
      </c>
      <c r="BQ235" t="s">
        <v>3635</v>
      </c>
      <c r="BR235" t="s">
        <v>243</v>
      </c>
      <c r="BS235" t="s">
        <v>243</v>
      </c>
      <c r="BT235" t="s">
        <v>243</v>
      </c>
      <c r="BU235" t="s">
        <v>243</v>
      </c>
      <c r="BV235" t="s">
        <v>2829</v>
      </c>
      <c r="BW235" t="s">
        <v>243</v>
      </c>
      <c r="BX235" t="s">
        <v>243</v>
      </c>
      <c r="BY235" t="s">
        <v>243</v>
      </c>
      <c r="BZ235" t="s">
        <v>243</v>
      </c>
      <c r="CA235" t="s">
        <v>243</v>
      </c>
      <c r="CB235" t="s">
        <v>2829</v>
      </c>
      <c r="CC235" t="s">
        <v>243</v>
      </c>
      <c r="CD235" t="s">
        <v>243</v>
      </c>
      <c r="CE235" t="s">
        <v>243</v>
      </c>
      <c r="CF235" t="s">
        <v>243</v>
      </c>
      <c r="CG235" t="s">
        <v>243</v>
      </c>
      <c r="CH235" t="s">
        <v>2829</v>
      </c>
      <c r="CI235" t="s">
        <v>243</v>
      </c>
      <c r="CJ235" t="s">
        <v>243</v>
      </c>
      <c r="CK235" t="s">
        <v>243</v>
      </c>
      <c r="CL235" t="s">
        <v>243</v>
      </c>
      <c r="CM235" t="s">
        <v>243</v>
      </c>
      <c r="CN235" t="s">
        <v>3010</v>
      </c>
      <c r="CO235" t="s">
        <v>2843</v>
      </c>
      <c r="CP235" t="s">
        <v>2844</v>
      </c>
      <c r="CQ235" t="s">
        <v>430</v>
      </c>
      <c r="CR235" t="s">
        <v>2984</v>
      </c>
      <c r="CS235" t="s">
        <v>431</v>
      </c>
      <c r="CT235" t="s">
        <v>430</v>
      </c>
      <c r="CU235" t="s">
        <v>2985</v>
      </c>
      <c r="CV235" t="s">
        <v>2986</v>
      </c>
      <c r="CW235" t="s">
        <v>2984</v>
      </c>
      <c r="CX235" t="s">
        <v>2848</v>
      </c>
      <c r="CY235" t="s">
        <v>3636</v>
      </c>
    </row>
    <row r="236" spans="1:103" ht="11.25" customHeight="1">
      <c r="A236" t="s">
        <v>243</v>
      </c>
      <c r="B236" t="s">
        <v>243</v>
      </c>
      <c r="C236" t="s">
        <v>243</v>
      </c>
      <c r="D236" t="s">
        <v>243</v>
      </c>
      <c r="E236" t="s">
        <v>243</v>
      </c>
      <c r="F236" t="s">
        <v>2816</v>
      </c>
      <c r="G236" t="s">
        <v>243</v>
      </c>
      <c r="H236" t="s">
        <v>243</v>
      </c>
      <c r="I236" t="s">
        <v>3715</v>
      </c>
      <c r="J236" t="s">
        <v>243</v>
      </c>
      <c r="K236" t="s">
        <v>3716</v>
      </c>
      <c r="L236" t="s">
        <v>243</v>
      </c>
      <c r="M236" t="s">
        <v>114</v>
      </c>
      <c r="N236" t="s">
        <v>243</v>
      </c>
      <c r="O236" t="s">
        <v>3356</v>
      </c>
      <c r="P236" t="s">
        <v>4449</v>
      </c>
      <c r="Q236" t="s">
        <v>2821</v>
      </c>
      <c r="R236" t="s">
        <v>190</v>
      </c>
      <c r="S236" t="s">
        <v>190</v>
      </c>
      <c r="T236" t="s">
        <v>2968</v>
      </c>
      <c r="U236" t="s">
        <v>2968</v>
      </c>
      <c r="V236" t="s">
        <v>2969</v>
      </c>
      <c r="W236" t="s">
        <v>3003</v>
      </c>
      <c r="X236" t="s">
        <v>3004</v>
      </c>
      <c r="Y236" t="s">
        <v>3717</v>
      </c>
      <c r="Z236" t="s">
        <v>3202</v>
      </c>
      <c r="AA236" t="s">
        <v>3217</v>
      </c>
      <c r="AB236" t="s">
        <v>2842</v>
      </c>
      <c r="AC236" t="s">
        <v>2829</v>
      </c>
      <c r="AD236" t="s">
        <v>2883</v>
      </c>
      <c r="AE236" t="s">
        <v>2857</v>
      </c>
      <c r="AF236" t="s">
        <v>3718</v>
      </c>
      <c r="AG236" t="s">
        <v>3718</v>
      </c>
      <c r="AH236" t="s">
        <v>2834</v>
      </c>
      <c r="AI236" t="s">
        <v>2835</v>
      </c>
      <c r="AJ236" t="s">
        <v>3130</v>
      </c>
      <c r="AK236" t="s">
        <v>3483</v>
      </c>
      <c r="AL236" t="s">
        <v>243</v>
      </c>
      <c r="AM236" t="s">
        <v>243</v>
      </c>
      <c r="AN236" t="s">
        <v>243</v>
      </c>
      <c r="AR236" t="s">
        <v>243</v>
      </c>
      <c r="AS236" t="s">
        <v>243</v>
      </c>
      <c r="AT236" t="s">
        <v>243</v>
      </c>
      <c r="AU236" t="s">
        <v>243</v>
      </c>
      <c r="AV236" t="s">
        <v>243</v>
      </c>
      <c r="AW236" t="s">
        <v>243</v>
      </c>
      <c r="AX236" t="s">
        <v>243</v>
      </c>
      <c r="AY236" t="s">
        <v>243</v>
      </c>
      <c r="AZ236" t="s">
        <v>243</v>
      </c>
      <c r="BA236" t="s">
        <v>243</v>
      </c>
      <c r="BB236" t="s">
        <v>243</v>
      </c>
      <c r="BC236" t="s">
        <v>243</v>
      </c>
      <c r="BD236" t="s">
        <v>243</v>
      </c>
      <c r="BE236" t="s">
        <v>243</v>
      </c>
      <c r="BF236" t="s">
        <v>243</v>
      </c>
      <c r="BG236" t="s">
        <v>243</v>
      </c>
      <c r="BH236" t="s">
        <v>243</v>
      </c>
      <c r="BI236" t="s">
        <v>243</v>
      </c>
      <c r="BJ236" t="s">
        <v>243</v>
      </c>
      <c r="BK236" t="s">
        <v>243</v>
      </c>
      <c r="BL236" t="s">
        <v>243</v>
      </c>
      <c r="BM236" t="s">
        <v>243</v>
      </c>
      <c r="BN236" t="s">
        <v>243</v>
      </c>
      <c r="BO236" t="s">
        <v>243</v>
      </c>
      <c r="BP236" t="s">
        <v>243</v>
      </c>
      <c r="BQ236" t="s">
        <v>243</v>
      </c>
      <c r="BR236" t="s">
        <v>243</v>
      </c>
      <c r="BS236" t="s">
        <v>243</v>
      </c>
      <c r="BT236" t="s">
        <v>243</v>
      </c>
      <c r="BU236" t="s">
        <v>243</v>
      </c>
      <c r="BV236" t="s">
        <v>243</v>
      </c>
      <c r="BW236" t="s">
        <v>243</v>
      </c>
      <c r="BX236" t="s">
        <v>243</v>
      </c>
      <c r="BY236" t="s">
        <v>243</v>
      </c>
      <c r="BZ236" t="s">
        <v>243</v>
      </c>
      <c r="CA236" t="s">
        <v>243</v>
      </c>
      <c r="CB236" t="s">
        <v>243</v>
      </c>
      <c r="CC236" t="s">
        <v>243</v>
      </c>
      <c r="CD236" t="s">
        <v>243</v>
      </c>
      <c r="CE236" t="s">
        <v>243</v>
      </c>
      <c r="CF236" t="s">
        <v>243</v>
      </c>
      <c r="CG236" t="s">
        <v>243</v>
      </c>
      <c r="CH236" t="s">
        <v>243</v>
      </c>
      <c r="CI236" t="s">
        <v>243</v>
      </c>
      <c r="CJ236" t="s">
        <v>243</v>
      </c>
      <c r="CK236" t="s">
        <v>243</v>
      </c>
      <c r="CL236" t="s">
        <v>243</v>
      </c>
      <c r="CM236" t="s">
        <v>243</v>
      </c>
      <c r="CN236" t="s">
        <v>243</v>
      </c>
      <c r="CO236" t="s">
        <v>2843</v>
      </c>
      <c r="CP236" t="s">
        <v>2844</v>
      </c>
      <c r="CQ236" t="s">
        <v>430</v>
      </c>
      <c r="CR236" t="s">
        <v>2984</v>
      </c>
      <c r="CS236" t="s">
        <v>431</v>
      </c>
      <c r="CT236" t="s">
        <v>430</v>
      </c>
      <c r="CU236" t="s">
        <v>2985</v>
      </c>
      <c r="CV236" t="s">
        <v>2986</v>
      </c>
      <c r="CW236" t="s">
        <v>2984</v>
      </c>
      <c r="CX236" t="s">
        <v>2848</v>
      </c>
      <c r="CY236" t="s">
        <v>3719</v>
      </c>
    </row>
    <row r="237" spans="1:103" ht="11.25" customHeight="1">
      <c r="A237" t="s">
        <v>243</v>
      </c>
      <c r="B237" t="s">
        <v>243</v>
      </c>
      <c r="C237" t="s">
        <v>243</v>
      </c>
      <c r="D237" t="s">
        <v>243</v>
      </c>
      <c r="E237" t="s">
        <v>243</v>
      </c>
      <c r="F237" t="s">
        <v>2816</v>
      </c>
      <c r="G237" t="s">
        <v>243</v>
      </c>
      <c r="H237" t="s">
        <v>243</v>
      </c>
      <c r="I237" t="s">
        <v>3720</v>
      </c>
      <c r="J237" t="s">
        <v>243</v>
      </c>
      <c r="K237" t="s">
        <v>3721</v>
      </c>
      <c r="L237" t="s">
        <v>243</v>
      </c>
      <c r="M237" t="s">
        <v>114</v>
      </c>
      <c r="N237" t="s">
        <v>243</v>
      </c>
      <c r="O237" t="s">
        <v>2819</v>
      </c>
      <c r="P237" t="s">
        <v>4449</v>
      </c>
      <c r="Q237" t="s">
        <v>2821</v>
      </c>
      <c r="R237" t="s">
        <v>200</v>
      </c>
      <c r="S237" t="s">
        <v>200</v>
      </c>
      <c r="T237" t="s">
        <v>2968</v>
      </c>
      <c r="U237" t="s">
        <v>2968</v>
      </c>
      <c r="V237" t="s">
        <v>2969</v>
      </c>
      <c r="W237" t="s">
        <v>3722</v>
      </c>
      <c r="X237" t="s">
        <v>3723</v>
      </c>
      <c r="Y237" t="s">
        <v>3724</v>
      </c>
      <c r="Z237" t="s">
        <v>3725</v>
      </c>
      <c r="AA237" t="s">
        <v>3726</v>
      </c>
      <c r="AB237" t="s">
        <v>3727</v>
      </c>
      <c r="AC237" t="s">
        <v>2829</v>
      </c>
      <c r="AD237" t="s">
        <v>2883</v>
      </c>
      <c r="AE237" t="s">
        <v>2857</v>
      </c>
      <c r="AF237" t="s">
        <v>3728</v>
      </c>
      <c r="AG237" t="s">
        <v>3728</v>
      </c>
      <c r="AH237" t="s">
        <v>2834</v>
      </c>
      <c r="AI237" t="s">
        <v>2835</v>
      </c>
      <c r="AJ237" t="s">
        <v>3572</v>
      </c>
      <c r="AK237" t="s">
        <v>3729</v>
      </c>
      <c r="AL237" t="s">
        <v>3726</v>
      </c>
      <c r="AM237" t="s">
        <v>3727</v>
      </c>
      <c r="AN237" t="s">
        <v>2829</v>
      </c>
      <c r="AO237" t="s">
        <v>2839</v>
      </c>
      <c r="AP237" t="s">
        <v>2840</v>
      </c>
      <c r="AQ237" t="s">
        <v>2841</v>
      </c>
      <c r="AR237" t="s">
        <v>3730</v>
      </c>
      <c r="AS237" t="s">
        <v>3730</v>
      </c>
      <c r="AT237" t="s">
        <v>2829</v>
      </c>
      <c r="AU237" t="s">
        <v>2829</v>
      </c>
      <c r="AV237" t="s">
        <v>2829</v>
      </c>
      <c r="AW237" t="s">
        <v>2829</v>
      </c>
      <c r="AX237" t="s">
        <v>2829</v>
      </c>
      <c r="AY237" t="s">
        <v>2829</v>
      </c>
      <c r="AZ237" t="s">
        <v>2829</v>
      </c>
      <c r="BA237" t="s">
        <v>2829</v>
      </c>
      <c r="BB237" t="s">
        <v>2829</v>
      </c>
      <c r="BC237" t="s">
        <v>2829</v>
      </c>
      <c r="BD237" t="s">
        <v>3731</v>
      </c>
      <c r="BE237" t="s">
        <v>3731</v>
      </c>
      <c r="BF237" t="s">
        <v>243</v>
      </c>
      <c r="BG237" t="s">
        <v>243</v>
      </c>
      <c r="BH237" t="s">
        <v>243</v>
      </c>
      <c r="BI237" t="s">
        <v>243</v>
      </c>
      <c r="BJ237" t="s">
        <v>2829</v>
      </c>
      <c r="BK237" t="s">
        <v>243</v>
      </c>
      <c r="BL237" t="s">
        <v>243</v>
      </c>
      <c r="BM237" t="s">
        <v>243</v>
      </c>
      <c r="BN237" t="s">
        <v>243</v>
      </c>
      <c r="BO237" t="s">
        <v>243</v>
      </c>
      <c r="BP237" t="s">
        <v>3732</v>
      </c>
      <c r="BQ237" t="s">
        <v>3732</v>
      </c>
      <c r="BR237" t="s">
        <v>243</v>
      </c>
      <c r="BS237" t="s">
        <v>243</v>
      </c>
      <c r="BT237" t="s">
        <v>243</v>
      </c>
      <c r="BU237" t="s">
        <v>243</v>
      </c>
      <c r="BV237" t="s">
        <v>2829</v>
      </c>
      <c r="BW237" t="s">
        <v>243</v>
      </c>
      <c r="BX237" t="s">
        <v>243</v>
      </c>
      <c r="BY237" t="s">
        <v>243</v>
      </c>
      <c r="BZ237" t="s">
        <v>243</v>
      </c>
      <c r="CA237" t="s">
        <v>243</v>
      </c>
      <c r="CB237" t="s">
        <v>2829</v>
      </c>
      <c r="CC237" t="s">
        <v>243</v>
      </c>
      <c r="CD237" t="s">
        <v>243</v>
      </c>
      <c r="CE237" t="s">
        <v>243</v>
      </c>
      <c r="CF237" t="s">
        <v>243</v>
      </c>
      <c r="CG237" t="s">
        <v>243</v>
      </c>
      <c r="CH237" t="s">
        <v>2829</v>
      </c>
      <c r="CI237" t="s">
        <v>243</v>
      </c>
      <c r="CJ237" t="s">
        <v>243</v>
      </c>
      <c r="CK237" t="s">
        <v>243</v>
      </c>
      <c r="CL237" t="s">
        <v>243</v>
      </c>
      <c r="CM237" t="s">
        <v>243</v>
      </c>
      <c r="CN237" t="s">
        <v>3010</v>
      </c>
      <c r="CO237" t="s">
        <v>2843</v>
      </c>
      <c r="CP237" t="s">
        <v>2844</v>
      </c>
      <c r="CQ237" t="s">
        <v>430</v>
      </c>
      <c r="CR237" t="s">
        <v>2984</v>
      </c>
      <c r="CS237" t="s">
        <v>431</v>
      </c>
      <c r="CT237" t="s">
        <v>430</v>
      </c>
      <c r="CU237" t="s">
        <v>2985</v>
      </c>
      <c r="CV237" t="s">
        <v>2986</v>
      </c>
      <c r="CW237" t="s">
        <v>2984</v>
      </c>
      <c r="CX237" t="s">
        <v>2848</v>
      </c>
      <c r="CY237" t="s">
        <v>3733</v>
      </c>
    </row>
    <row r="238" spans="1:103" ht="11.25" customHeight="1">
      <c r="A238" t="s">
        <v>243</v>
      </c>
      <c r="B238" t="s">
        <v>243</v>
      </c>
      <c r="C238" t="s">
        <v>243</v>
      </c>
      <c r="D238" t="s">
        <v>243</v>
      </c>
      <c r="E238" t="s">
        <v>243</v>
      </c>
      <c r="F238" t="s">
        <v>2816</v>
      </c>
      <c r="G238" t="s">
        <v>243</v>
      </c>
      <c r="H238" t="s">
        <v>243</v>
      </c>
      <c r="I238" t="s">
        <v>4285</v>
      </c>
      <c r="J238" t="s">
        <v>243</v>
      </c>
      <c r="K238" t="s">
        <v>4286</v>
      </c>
      <c r="L238" t="s">
        <v>243</v>
      </c>
      <c r="M238" t="s">
        <v>114</v>
      </c>
      <c r="N238" t="s">
        <v>243</v>
      </c>
      <c r="O238" t="s">
        <v>2819</v>
      </c>
      <c r="P238" t="s">
        <v>4449</v>
      </c>
      <c r="Q238" t="s">
        <v>2821</v>
      </c>
      <c r="R238" t="s">
        <v>200</v>
      </c>
      <c r="S238" t="s">
        <v>200</v>
      </c>
      <c r="T238" t="s">
        <v>3022</v>
      </c>
      <c r="U238" t="s">
        <v>3022</v>
      </c>
      <c r="V238" t="s">
        <v>3023</v>
      </c>
      <c r="W238" t="s">
        <v>3678</v>
      </c>
      <c r="X238" t="s">
        <v>3679</v>
      </c>
      <c r="Y238" t="s">
        <v>4287</v>
      </c>
      <c r="Z238" t="s">
        <v>348</v>
      </c>
      <c r="AA238" t="s">
        <v>2964</v>
      </c>
      <c r="AB238" t="s">
        <v>3395</v>
      </c>
      <c r="AC238" t="s">
        <v>2829</v>
      </c>
      <c r="AD238" t="s">
        <v>2883</v>
      </c>
      <c r="AE238" t="s">
        <v>2831</v>
      </c>
      <c r="AF238" t="s">
        <v>3682</v>
      </c>
      <c r="AG238" t="s">
        <v>3682</v>
      </c>
      <c r="AH238" t="s">
        <v>2834</v>
      </c>
      <c r="AI238" t="s">
        <v>2835</v>
      </c>
      <c r="AJ238" t="s">
        <v>3044</v>
      </c>
      <c r="AK238" t="s">
        <v>4288</v>
      </c>
      <c r="AL238" t="s">
        <v>2964</v>
      </c>
      <c r="AM238" t="s">
        <v>3395</v>
      </c>
      <c r="AN238" t="s">
        <v>2829</v>
      </c>
      <c r="AO238" t="s">
        <v>2839</v>
      </c>
      <c r="AP238" t="s">
        <v>2840</v>
      </c>
      <c r="AQ238" t="s">
        <v>2841</v>
      </c>
      <c r="AR238" t="s">
        <v>4289</v>
      </c>
      <c r="AS238" t="s">
        <v>4289</v>
      </c>
      <c r="AT238" t="s">
        <v>2829</v>
      </c>
      <c r="AU238" t="s">
        <v>2829</v>
      </c>
      <c r="AV238" t="s">
        <v>2829</v>
      </c>
      <c r="AW238" t="s">
        <v>2829</v>
      </c>
      <c r="AX238" t="s">
        <v>2829</v>
      </c>
      <c r="AY238" t="s">
        <v>2829</v>
      </c>
      <c r="AZ238" t="s">
        <v>2829</v>
      </c>
      <c r="BA238" t="s">
        <v>2829</v>
      </c>
      <c r="BB238" t="s">
        <v>2829</v>
      </c>
      <c r="BC238" t="s">
        <v>2829</v>
      </c>
      <c r="BD238" t="s">
        <v>2829</v>
      </c>
      <c r="BE238" t="s">
        <v>243</v>
      </c>
      <c r="BF238" t="s">
        <v>243</v>
      </c>
      <c r="BG238" t="s">
        <v>243</v>
      </c>
      <c r="BH238" t="s">
        <v>243</v>
      </c>
      <c r="BI238" t="s">
        <v>243</v>
      </c>
      <c r="BJ238" t="s">
        <v>2829</v>
      </c>
      <c r="BK238" t="s">
        <v>243</v>
      </c>
      <c r="BL238" t="s">
        <v>243</v>
      </c>
      <c r="BM238" t="s">
        <v>243</v>
      </c>
      <c r="BN238" t="s">
        <v>243</v>
      </c>
      <c r="BO238" t="s">
        <v>243</v>
      </c>
      <c r="BP238" t="s">
        <v>4289</v>
      </c>
      <c r="BQ238" t="s">
        <v>4289</v>
      </c>
      <c r="BR238" t="s">
        <v>243</v>
      </c>
      <c r="BS238" t="s">
        <v>243</v>
      </c>
      <c r="BT238" t="s">
        <v>243</v>
      </c>
      <c r="BU238" t="s">
        <v>243</v>
      </c>
      <c r="BV238" t="s">
        <v>2829</v>
      </c>
      <c r="BW238" t="s">
        <v>243</v>
      </c>
      <c r="BX238" t="s">
        <v>243</v>
      </c>
      <c r="BY238" t="s">
        <v>243</v>
      </c>
      <c r="BZ238" t="s">
        <v>243</v>
      </c>
      <c r="CA238" t="s">
        <v>243</v>
      </c>
      <c r="CB238" t="s">
        <v>2829</v>
      </c>
      <c r="CC238" t="s">
        <v>243</v>
      </c>
      <c r="CD238" t="s">
        <v>243</v>
      </c>
      <c r="CE238" t="s">
        <v>243</v>
      </c>
      <c r="CF238" t="s">
        <v>243</v>
      </c>
      <c r="CG238" t="s">
        <v>243</v>
      </c>
      <c r="CH238" t="s">
        <v>2829</v>
      </c>
      <c r="CI238" t="s">
        <v>243</v>
      </c>
      <c r="CJ238" t="s">
        <v>243</v>
      </c>
      <c r="CK238" t="s">
        <v>243</v>
      </c>
      <c r="CL238" t="s">
        <v>243</v>
      </c>
      <c r="CM238" t="s">
        <v>243</v>
      </c>
      <c r="CN238" t="s">
        <v>3030</v>
      </c>
      <c r="CO238" t="s">
        <v>2843</v>
      </c>
      <c r="CP238" t="s">
        <v>2844</v>
      </c>
      <c r="CQ238" t="s">
        <v>430</v>
      </c>
      <c r="CR238" t="s">
        <v>3033</v>
      </c>
      <c r="CS238" t="s">
        <v>431</v>
      </c>
      <c r="CT238" t="s">
        <v>430</v>
      </c>
      <c r="CU238" t="s">
        <v>3034</v>
      </c>
      <c r="CV238" t="s">
        <v>432</v>
      </c>
      <c r="CW238" t="s">
        <v>3033</v>
      </c>
      <c r="CX238" t="s">
        <v>2848</v>
      </c>
      <c r="CY238" t="s">
        <v>4290</v>
      </c>
    </row>
    <row r="239" spans="1:103" ht="11.25" customHeight="1">
      <c r="A239" t="s">
        <v>243</v>
      </c>
      <c r="B239" t="s">
        <v>243</v>
      </c>
      <c r="C239" t="s">
        <v>243</v>
      </c>
      <c r="D239" t="s">
        <v>243</v>
      </c>
      <c r="E239" t="s">
        <v>243</v>
      </c>
      <c r="F239" t="s">
        <v>2816</v>
      </c>
      <c r="G239" t="s">
        <v>243</v>
      </c>
      <c r="H239" t="s">
        <v>243</v>
      </c>
      <c r="I239" t="s">
        <v>4297</v>
      </c>
      <c r="J239" t="s">
        <v>243</v>
      </c>
      <c r="K239" t="s">
        <v>2818</v>
      </c>
      <c r="L239" t="s">
        <v>243</v>
      </c>
      <c r="M239" t="s">
        <v>114</v>
      </c>
      <c r="N239" t="s">
        <v>243</v>
      </c>
      <c r="O239" t="s">
        <v>2819</v>
      </c>
      <c r="P239" t="s">
        <v>4449</v>
      </c>
      <c r="Q239" t="s">
        <v>2821</v>
      </c>
      <c r="R239" t="s">
        <v>200</v>
      </c>
      <c r="S239" t="s">
        <v>200</v>
      </c>
      <c r="T239" t="s">
        <v>2822</v>
      </c>
      <c r="U239" t="s">
        <v>2822</v>
      </c>
      <c r="V239" t="s">
        <v>2823</v>
      </c>
      <c r="W239" t="s">
        <v>4298</v>
      </c>
      <c r="X239" t="s">
        <v>4299</v>
      </c>
      <c r="Y239" t="s">
        <v>3717</v>
      </c>
      <c r="Z239" t="s">
        <v>460</v>
      </c>
      <c r="AA239" t="s">
        <v>2859</v>
      </c>
      <c r="AB239" t="s">
        <v>2859</v>
      </c>
      <c r="AC239" t="s">
        <v>243</v>
      </c>
      <c r="AD239" t="s">
        <v>2830</v>
      </c>
      <c r="AE239" t="s">
        <v>2831</v>
      </c>
      <c r="AF239" t="s">
        <v>4300</v>
      </c>
      <c r="AG239" t="s">
        <v>4300</v>
      </c>
      <c r="AH239" t="s">
        <v>2834</v>
      </c>
      <c r="AI239" t="s">
        <v>2835</v>
      </c>
      <c r="AJ239" t="s">
        <v>3287</v>
      </c>
      <c r="AK239" t="s">
        <v>4301</v>
      </c>
      <c r="AL239" t="s">
        <v>2859</v>
      </c>
      <c r="AM239" t="s">
        <v>2859</v>
      </c>
      <c r="AN239" t="s">
        <v>243</v>
      </c>
      <c r="AO239" t="s">
        <v>2839</v>
      </c>
      <c r="AP239" t="s">
        <v>2840</v>
      </c>
      <c r="AQ239" t="s">
        <v>2841</v>
      </c>
      <c r="AR239" t="s">
        <v>4302</v>
      </c>
      <c r="AS239" t="s">
        <v>4302</v>
      </c>
      <c r="AT239" t="s">
        <v>2829</v>
      </c>
      <c r="AU239" t="s">
        <v>2829</v>
      </c>
      <c r="AV239" t="s">
        <v>2829</v>
      </c>
      <c r="AW239" t="s">
        <v>2829</v>
      </c>
      <c r="AX239" t="s">
        <v>2829</v>
      </c>
      <c r="AY239" t="s">
        <v>2829</v>
      </c>
      <c r="AZ239" t="s">
        <v>2829</v>
      </c>
      <c r="BA239" t="s">
        <v>2829</v>
      </c>
      <c r="BB239" t="s">
        <v>2829</v>
      </c>
      <c r="BC239" t="s">
        <v>2829</v>
      </c>
      <c r="BD239" t="s">
        <v>4302</v>
      </c>
      <c r="BE239" t="s">
        <v>4302</v>
      </c>
      <c r="BF239" t="s">
        <v>243</v>
      </c>
      <c r="BG239" t="s">
        <v>243</v>
      </c>
      <c r="BH239" t="s">
        <v>243</v>
      </c>
      <c r="BI239" t="s">
        <v>243</v>
      </c>
      <c r="BJ239" t="s">
        <v>2829</v>
      </c>
      <c r="BK239" t="s">
        <v>243</v>
      </c>
      <c r="BL239" t="s">
        <v>243</v>
      </c>
      <c r="BM239" t="s">
        <v>243</v>
      </c>
      <c r="BN239" t="s">
        <v>243</v>
      </c>
      <c r="BO239" t="s">
        <v>243</v>
      </c>
      <c r="BP239" t="s">
        <v>2829</v>
      </c>
      <c r="BQ239" t="s">
        <v>243</v>
      </c>
      <c r="BR239" t="s">
        <v>243</v>
      </c>
      <c r="BS239" t="s">
        <v>243</v>
      </c>
      <c r="BT239" t="s">
        <v>243</v>
      </c>
      <c r="BU239" t="s">
        <v>243</v>
      </c>
      <c r="BV239" t="s">
        <v>2829</v>
      </c>
      <c r="BW239" t="s">
        <v>243</v>
      </c>
      <c r="BX239" t="s">
        <v>243</v>
      </c>
      <c r="BY239" t="s">
        <v>243</v>
      </c>
      <c r="BZ239" t="s">
        <v>243</v>
      </c>
      <c r="CA239" t="s">
        <v>243</v>
      </c>
      <c r="CB239" t="s">
        <v>2829</v>
      </c>
      <c r="CC239" t="s">
        <v>243</v>
      </c>
      <c r="CD239" t="s">
        <v>243</v>
      </c>
      <c r="CE239" t="s">
        <v>243</v>
      </c>
      <c r="CF239" t="s">
        <v>243</v>
      </c>
      <c r="CG239" t="s">
        <v>243</v>
      </c>
      <c r="CH239" t="s">
        <v>2829</v>
      </c>
      <c r="CI239" t="s">
        <v>243</v>
      </c>
      <c r="CJ239" t="s">
        <v>243</v>
      </c>
      <c r="CK239" t="s">
        <v>243</v>
      </c>
      <c r="CL239" t="s">
        <v>243</v>
      </c>
      <c r="CM239" t="s">
        <v>243</v>
      </c>
      <c r="CN239" t="s">
        <v>3287</v>
      </c>
      <c r="CO239" t="s">
        <v>2843</v>
      </c>
      <c r="CP239" t="s">
        <v>2844</v>
      </c>
      <c r="CQ239" t="s">
        <v>430</v>
      </c>
      <c r="CR239" t="s">
        <v>2872</v>
      </c>
      <c r="CS239" t="s">
        <v>431</v>
      </c>
      <c r="CT239" t="s">
        <v>430</v>
      </c>
      <c r="CU239" t="s">
        <v>2846</v>
      </c>
      <c r="CV239" t="s">
        <v>2873</v>
      </c>
      <c r="CW239" t="s">
        <v>2872</v>
      </c>
      <c r="CX239" t="s">
        <v>2848</v>
      </c>
      <c r="CY239" t="s">
        <v>4303</v>
      </c>
    </row>
    <row r="240" spans="1:103" ht="11.25" customHeight="1">
      <c r="A240" t="s">
        <v>243</v>
      </c>
      <c r="B240" t="s">
        <v>243</v>
      </c>
      <c r="C240" t="s">
        <v>243</v>
      </c>
      <c r="D240" t="s">
        <v>243</v>
      </c>
      <c r="E240" t="s">
        <v>243</v>
      </c>
      <c r="F240" t="s">
        <v>2816</v>
      </c>
      <c r="G240" t="s">
        <v>243</v>
      </c>
      <c r="H240" t="s">
        <v>243</v>
      </c>
      <c r="I240" t="s">
        <v>4367</v>
      </c>
      <c r="J240" t="s">
        <v>243</v>
      </c>
      <c r="K240" t="s">
        <v>2818</v>
      </c>
      <c r="L240" t="s">
        <v>243</v>
      </c>
      <c r="M240" t="s">
        <v>114</v>
      </c>
      <c r="N240" t="s">
        <v>243</v>
      </c>
      <c r="O240" t="s">
        <v>2819</v>
      </c>
      <c r="P240" t="s">
        <v>4449</v>
      </c>
      <c r="Q240" t="s">
        <v>2821</v>
      </c>
      <c r="R240" t="s">
        <v>200</v>
      </c>
      <c r="S240" t="s">
        <v>200</v>
      </c>
      <c r="T240" t="s">
        <v>2822</v>
      </c>
      <c r="U240" t="s">
        <v>2822</v>
      </c>
      <c r="V240" t="s">
        <v>2823</v>
      </c>
      <c r="W240" t="s">
        <v>3200</v>
      </c>
      <c r="X240" t="s">
        <v>3201</v>
      </c>
      <c r="Y240" t="s">
        <v>4368</v>
      </c>
      <c r="Z240" t="s">
        <v>341</v>
      </c>
      <c r="AA240" t="s">
        <v>3058</v>
      </c>
      <c r="AB240" t="s">
        <v>4369</v>
      </c>
      <c r="AC240" t="s">
        <v>243</v>
      </c>
      <c r="AD240" t="s">
        <v>2830</v>
      </c>
      <c r="AE240" t="s">
        <v>2831</v>
      </c>
      <c r="AF240" t="s">
        <v>4300</v>
      </c>
      <c r="AG240" t="s">
        <v>4300</v>
      </c>
      <c r="AH240" t="s">
        <v>2834</v>
      </c>
      <c r="AI240" t="s">
        <v>2835</v>
      </c>
      <c r="AJ240" t="s">
        <v>3287</v>
      </c>
      <c r="AK240" t="s">
        <v>4301</v>
      </c>
      <c r="AL240" t="s">
        <v>3058</v>
      </c>
      <c r="AM240" t="s">
        <v>4369</v>
      </c>
      <c r="AN240" t="s">
        <v>243</v>
      </c>
      <c r="AO240" t="s">
        <v>2839</v>
      </c>
      <c r="AP240" t="s">
        <v>2840</v>
      </c>
      <c r="AQ240" t="s">
        <v>2841</v>
      </c>
      <c r="AR240" t="s">
        <v>4114</v>
      </c>
      <c r="AS240" t="s">
        <v>4114</v>
      </c>
      <c r="AT240" t="s">
        <v>2829</v>
      </c>
      <c r="AU240" t="s">
        <v>2829</v>
      </c>
      <c r="AV240" t="s">
        <v>2829</v>
      </c>
      <c r="AW240" t="s">
        <v>2829</v>
      </c>
      <c r="AX240" t="s">
        <v>2829</v>
      </c>
      <c r="AY240" t="s">
        <v>2829</v>
      </c>
      <c r="AZ240" t="s">
        <v>2829</v>
      </c>
      <c r="BA240" t="s">
        <v>2829</v>
      </c>
      <c r="BB240" t="s">
        <v>2829</v>
      </c>
      <c r="BC240" t="s">
        <v>2829</v>
      </c>
      <c r="BD240" t="s">
        <v>4114</v>
      </c>
      <c r="BE240" t="s">
        <v>4114</v>
      </c>
      <c r="BF240" t="s">
        <v>243</v>
      </c>
      <c r="BG240" t="s">
        <v>243</v>
      </c>
      <c r="BH240" t="s">
        <v>243</v>
      </c>
      <c r="BI240" t="s">
        <v>243</v>
      </c>
      <c r="BJ240" t="s">
        <v>2829</v>
      </c>
      <c r="BK240" t="s">
        <v>243</v>
      </c>
      <c r="BL240" t="s">
        <v>243</v>
      </c>
      <c r="BM240" t="s">
        <v>243</v>
      </c>
      <c r="BN240" t="s">
        <v>243</v>
      </c>
      <c r="BO240" t="s">
        <v>243</v>
      </c>
      <c r="BP240" t="s">
        <v>2829</v>
      </c>
      <c r="BQ240" t="s">
        <v>243</v>
      </c>
      <c r="BR240" t="s">
        <v>243</v>
      </c>
      <c r="BS240" t="s">
        <v>243</v>
      </c>
      <c r="BT240" t="s">
        <v>243</v>
      </c>
      <c r="BU240" t="s">
        <v>243</v>
      </c>
      <c r="BV240" t="s">
        <v>2829</v>
      </c>
      <c r="BW240" t="s">
        <v>243</v>
      </c>
      <c r="BX240" t="s">
        <v>243</v>
      </c>
      <c r="BY240" t="s">
        <v>243</v>
      </c>
      <c r="BZ240" t="s">
        <v>243</v>
      </c>
      <c r="CA240" t="s">
        <v>243</v>
      </c>
      <c r="CB240" t="s">
        <v>2829</v>
      </c>
      <c r="CC240" t="s">
        <v>243</v>
      </c>
      <c r="CD240" t="s">
        <v>243</v>
      </c>
      <c r="CE240" t="s">
        <v>243</v>
      </c>
      <c r="CF240" t="s">
        <v>243</v>
      </c>
      <c r="CG240" t="s">
        <v>243</v>
      </c>
      <c r="CH240" t="s">
        <v>2829</v>
      </c>
      <c r="CI240" t="s">
        <v>243</v>
      </c>
      <c r="CJ240" t="s">
        <v>243</v>
      </c>
      <c r="CK240" t="s">
        <v>243</v>
      </c>
      <c r="CL240" t="s">
        <v>243</v>
      </c>
      <c r="CM240" t="s">
        <v>243</v>
      </c>
      <c r="CN240" t="s">
        <v>3287</v>
      </c>
      <c r="CO240" t="s">
        <v>2843</v>
      </c>
      <c r="CP240" t="s">
        <v>2844</v>
      </c>
      <c r="CQ240" t="s">
        <v>430</v>
      </c>
      <c r="CR240" t="s">
        <v>2872</v>
      </c>
      <c r="CS240" t="s">
        <v>431</v>
      </c>
      <c r="CT240" t="s">
        <v>430</v>
      </c>
      <c r="CU240" t="s">
        <v>2846</v>
      </c>
      <c r="CV240" t="s">
        <v>2873</v>
      </c>
      <c r="CW240" t="s">
        <v>2872</v>
      </c>
      <c r="CX240" t="s">
        <v>2848</v>
      </c>
      <c r="CY240" t="s">
        <v>4370</v>
      </c>
    </row>
    <row r="241" spans="1:103" ht="11.25" customHeight="1">
      <c r="A241" t="s">
        <v>243</v>
      </c>
      <c r="B241" t="s">
        <v>243</v>
      </c>
      <c r="C241" t="s">
        <v>243</v>
      </c>
      <c r="D241" t="s">
        <v>243</v>
      </c>
      <c r="E241" t="s">
        <v>243</v>
      </c>
      <c r="F241" t="s">
        <v>2816</v>
      </c>
      <c r="G241" t="s">
        <v>243</v>
      </c>
      <c r="H241" t="s">
        <v>243</v>
      </c>
      <c r="I241" t="s">
        <v>3792</v>
      </c>
      <c r="J241" t="s">
        <v>243</v>
      </c>
      <c r="K241" t="s">
        <v>3793</v>
      </c>
      <c r="L241" t="s">
        <v>243</v>
      </c>
      <c r="M241" t="s">
        <v>114</v>
      </c>
      <c r="N241" t="s">
        <v>243</v>
      </c>
      <c r="O241" t="s">
        <v>2819</v>
      </c>
      <c r="P241" t="s">
        <v>4449</v>
      </c>
      <c r="Q241" t="s">
        <v>2821</v>
      </c>
      <c r="R241" t="s">
        <v>200</v>
      </c>
      <c r="S241" t="s">
        <v>200</v>
      </c>
      <c r="T241" t="s">
        <v>3048</v>
      </c>
      <c r="U241" t="s">
        <v>3048</v>
      </c>
      <c r="V241" t="s">
        <v>3049</v>
      </c>
      <c r="W241" t="s">
        <v>3086</v>
      </c>
      <c r="X241" t="s">
        <v>3087</v>
      </c>
      <c r="Y241" t="s">
        <v>3088</v>
      </c>
      <c r="Z241" t="s">
        <v>2848</v>
      </c>
      <c r="AA241" t="s">
        <v>3038</v>
      </c>
      <c r="AB241" t="s">
        <v>3467</v>
      </c>
      <c r="AC241" t="s">
        <v>2829</v>
      </c>
      <c r="AD241" t="s">
        <v>2883</v>
      </c>
      <c r="AE241" t="s">
        <v>3372</v>
      </c>
      <c r="AF241" t="s">
        <v>3794</v>
      </c>
      <c r="AG241" t="s">
        <v>3794</v>
      </c>
      <c r="AH241" t="s">
        <v>2834</v>
      </c>
      <c r="AI241" t="s">
        <v>2835</v>
      </c>
      <c r="AJ241" t="s">
        <v>2888</v>
      </c>
      <c r="AK241" t="s">
        <v>3080</v>
      </c>
      <c r="AL241" t="s">
        <v>3038</v>
      </c>
      <c r="AM241" t="s">
        <v>3467</v>
      </c>
      <c r="AN241" t="s">
        <v>243</v>
      </c>
      <c r="AO241" t="s">
        <v>2839</v>
      </c>
      <c r="AP241" t="s">
        <v>2840</v>
      </c>
      <c r="AQ241" t="s">
        <v>2841</v>
      </c>
      <c r="AR241" t="s">
        <v>2829</v>
      </c>
      <c r="AS241" t="s">
        <v>2829</v>
      </c>
      <c r="AT241" t="s">
        <v>2829</v>
      </c>
      <c r="AU241" t="s">
        <v>2829</v>
      </c>
      <c r="AV241" t="s">
        <v>2829</v>
      </c>
      <c r="AW241" t="s">
        <v>2829</v>
      </c>
      <c r="AX241" t="s">
        <v>2829</v>
      </c>
      <c r="AY241" t="s">
        <v>2829</v>
      </c>
      <c r="AZ241" t="s">
        <v>2829</v>
      </c>
      <c r="BA241" t="s">
        <v>2829</v>
      </c>
      <c r="BB241" t="s">
        <v>2829</v>
      </c>
      <c r="BC241" t="s">
        <v>2829</v>
      </c>
      <c r="BD241" t="s">
        <v>2829</v>
      </c>
      <c r="BE241" t="s">
        <v>2829</v>
      </c>
      <c r="BF241" t="s">
        <v>243</v>
      </c>
      <c r="BG241" t="s">
        <v>243</v>
      </c>
      <c r="BH241" t="s">
        <v>243</v>
      </c>
      <c r="BI241" t="s">
        <v>243</v>
      </c>
      <c r="BJ241" t="s">
        <v>2829</v>
      </c>
      <c r="BK241" t="s">
        <v>243</v>
      </c>
      <c r="BL241" t="s">
        <v>243</v>
      </c>
      <c r="BM241" t="s">
        <v>243</v>
      </c>
      <c r="BN241" t="s">
        <v>243</v>
      </c>
      <c r="BO241" t="s">
        <v>243</v>
      </c>
      <c r="BP241" t="s">
        <v>2829</v>
      </c>
      <c r="BQ241" t="s">
        <v>243</v>
      </c>
      <c r="BR241" t="s">
        <v>243</v>
      </c>
      <c r="BS241" t="s">
        <v>243</v>
      </c>
      <c r="BT241" t="s">
        <v>243</v>
      </c>
      <c r="BU241" t="s">
        <v>243</v>
      </c>
      <c r="BV241" t="s">
        <v>2829</v>
      </c>
      <c r="BW241" t="s">
        <v>243</v>
      </c>
      <c r="BX241" t="s">
        <v>243</v>
      </c>
      <c r="BY241" t="s">
        <v>243</v>
      </c>
      <c r="BZ241" t="s">
        <v>243</v>
      </c>
      <c r="CA241" t="s">
        <v>243</v>
      </c>
      <c r="CB241" t="s">
        <v>2829</v>
      </c>
      <c r="CC241" t="s">
        <v>243</v>
      </c>
      <c r="CD241" t="s">
        <v>243</v>
      </c>
      <c r="CE241" t="s">
        <v>243</v>
      </c>
      <c r="CF241" t="s">
        <v>243</v>
      </c>
      <c r="CG241" t="s">
        <v>243</v>
      </c>
      <c r="CH241" t="s">
        <v>2829</v>
      </c>
      <c r="CI241" t="s">
        <v>243</v>
      </c>
      <c r="CJ241" t="s">
        <v>243</v>
      </c>
      <c r="CK241" t="s">
        <v>243</v>
      </c>
      <c r="CL241" t="s">
        <v>243</v>
      </c>
      <c r="CM241" t="s">
        <v>243</v>
      </c>
      <c r="CN241" t="s">
        <v>2888</v>
      </c>
      <c r="CO241" t="s">
        <v>2843</v>
      </c>
      <c r="CP241" t="s">
        <v>2844</v>
      </c>
      <c r="CQ241" t="s">
        <v>430</v>
      </c>
      <c r="CR241" t="s">
        <v>2872</v>
      </c>
      <c r="CS241" t="s">
        <v>431</v>
      </c>
      <c r="CT241" t="s">
        <v>430</v>
      </c>
      <c r="CU241" t="s">
        <v>3061</v>
      </c>
      <c r="CV241" t="s">
        <v>3062</v>
      </c>
      <c r="CW241" t="s">
        <v>2872</v>
      </c>
      <c r="CX241" t="s">
        <v>2848</v>
      </c>
      <c r="CY241" t="s">
        <v>3089</v>
      </c>
    </row>
    <row r="242" spans="1:103" ht="11.25" customHeight="1">
      <c r="A242" t="s">
        <v>243</v>
      </c>
      <c r="B242" t="s">
        <v>243</v>
      </c>
      <c r="C242" t="s">
        <v>243</v>
      </c>
      <c r="D242" t="s">
        <v>243</v>
      </c>
      <c r="E242" t="s">
        <v>243</v>
      </c>
      <c r="F242" t="s">
        <v>2816</v>
      </c>
      <c r="G242" t="s">
        <v>243</v>
      </c>
      <c r="H242" t="s">
        <v>243</v>
      </c>
      <c r="I242" t="s">
        <v>3084</v>
      </c>
      <c r="J242" t="s">
        <v>243</v>
      </c>
      <c r="K242" t="s">
        <v>3085</v>
      </c>
      <c r="L242" t="s">
        <v>243</v>
      </c>
      <c r="M242" t="s">
        <v>114</v>
      </c>
      <c r="N242" t="s">
        <v>243</v>
      </c>
      <c r="O242" t="s">
        <v>2819</v>
      </c>
      <c r="P242" t="s">
        <v>4449</v>
      </c>
      <c r="Q242" t="s">
        <v>2821</v>
      </c>
      <c r="R242" t="s">
        <v>200</v>
      </c>
      <c r="S242" t="s">
        <v>200</v>
      </c>
      <c r="T242" t="s">
        <v>3048</v>
      </c>
      <c r="U242" t="s">
        <v>3048</v>
      </c>
      <c r="V242" t="s">
        <v>3049</v>
      </c>
      <c r="W242" t="s">
        <v>3086</v>
      </c>
      <c r="X242" t="s">
        <v>3087</v>
      </c>
      <c r="Y242" t="s">
        <v>3088</v>
      </c>
      <c r="Z242" t="s">
        <v>2848</v>
      </c>
      <c r="AA242" t="s">
        <v>2923</v>
      </c>
      <c r="AB242" t="s">
        <v>2923</v>
      </c>
      <c r="AC242" t="s">
        <v>2829</v>
      </c>
      <c r="AD242" t="s">
        <v>2883</v>
      </c>
      <c r="AE242" t="s">
        <v>2831</v>
      </c>
      <c r="AF242" t="s">
        <v>3055</v>
      </c>
      <c r="AG242" t="s">
        <v>3055</v>
      </c>
      <c r="AH242" t="s">
        <v>2834</v>
      </c>
      <c r="AI242" t="s">
        <v>2835</v>
      </c>
      <c r="AJ242" t="s">
        <v>2888</v>
      </c>
      <c r="AK242" t="s">
        <v>3080</v>
      </c>
      <c r="AL242" t="s">
        <v>2923</v>
      </c>
      <c r="AM242" t="s">
        <v>2923</v>
      </c>
      <c r="AN242" t="s">
        <v>243</v>
      </c>
      <c r="AO242" t="s">
        <v>3081</v>
      </c>
      <c r="AP242" t="s">
        <v>2840</v>
      </c>
      <c r="AQ242" t="s">
        <v>2841</v>
      </c>
      <c r="AR242" t="s">
        <v>2829</v>
      </c>
      <c r="AS242" t="s">
        <v>2829</v>
      </c>
      <c r="AT242" t="s">
        <v>2829</v>
      </c>
      <c r="AU242" t="s">
        <v>2829</v>
      </c>
      <c r="AV242" t="s">
        <v>2829</v>
      </c>
      <c r="AW242" t="s">
        <v>2829</v>
      </c>
      <c r="AX242" t="s">
        <v>2829</v>
      </c>
      <c r="AY242" t="s">
        <v>2829</v>
      </c>
      <c r="AZ242" t="s">
        <v>2829</v>
      </c>
      <c r="BA242" t="s">
        <v>2829</v>
      </c>
      <c r="BB242" t="s">
        <v>2829</v>
      </c>
      <c r="BC242" t="s">
        <v>2829</v>
      </c>
      <c r="BD242" t="s">
        <v>2829</v>
      </c>
      <c r="BE242" t="s">
        <v>2829</v>
      </c>
      <c r="BF242" t="s">
        <v>243</v>
      </c>
      <c r="BG242" t="s">
        <v>243</v>
      </c>
      <c r="BH242" t="s">
        <v>243</v>
      </c>
      <c r="BI242" t="s">
        <v>243</v>
      </c>
      <c r="BJ242" t="s">
        <v>2829</v>
      </c>
      <c r="BK242" t="s">
        <v>243</v>
      </c>
      <c r="BL242" t="s">
        <v>243</v>
      </c>
      <c r="BM242" t="s">
        <v>243</v>
      </c>
      <c r="BN242" t="s">
        <v>243</v>
      </c>
      <c r="BO242" t="s">
        <v>243</v>
      </c>
      <c r="BP242" t="s">
        <v>2829</v>
      </c>
      <c r="BQ242" t="s">
        <v>243</v>
      </c>
      <c r="BR242" t="s">
        <v>243</v>
      </c>
      <c r="BS242" t="s">
        <v>243</v>
      </c>
      <c r="BT242" t="s">
        <v>243</v>
      </c>
      <c r="BU242" t="s">
        <v>243</v>
      </c>
      <c r="BV242" t="s">
        <v>2829</v>
      </c>
      <c r="BW242" t="s">
        <v>243</v>
      </c>
      <c r="BX242" t="s">
        <v>243</v>
      </c>
      <c r="BY242" t="s">
        <v>243</v>
      </c>
      <c r="BZ242" t="s">
        <v>243</v>
      </c>
      <c r="CA242" t="s">
        <v>243</v>
      </c>
      <c r="CB242" t="s">
        <v>2829</v>
      </c>
      <c r="CC242" t="s">
        <v>243</v>
      </c>
      <c r="CD242" t="s">
        <v>243</v>
      </c>
      <c r="CE242" t="s">
        <v>243</v>
      </c>
      <c r="CF242" t="s">
        <v>243</v>
      </c>
      <c r="CG242" t="s">
        <v>243</v>
      </c>
      <c r="CH242" t="s">
        <v>2829</v>
      </c>
      <c r="CI242" t="s">
        <v>243</v>
      </c>
      <c r="CJ242" t="s">
        <v>243</v>
      </c>
      <c r="CK242" t="s">
        <v>243</v>
      </c>
      <c r="CL242" t="s">
        <v>243</v>
      </c>
      <c r="CM242" t="s">
        <v>243</v>
      </c>
      <c r="CN242" t="s">
        <v>2888</v>
      </c>
      <c r="CO242" t="s">
        <v>2843</v>
      </c>
      <c r="CP242" t="s">
        <v>2844</v>
      </c>
      <c r="CQ242" t="s">
        <v>430</v>
      </c>
      <c r="CR242" t="s">
        <v>2872</v>
      </c>
      <c r="CS242" t="s">
        <v>431</v>
      </c>
      <c r="CT242" t="s">
        <v>430</v>
      </c>
      <c r="CU242" t="s">
        <v>3061</v>
      </c>
      <c r="CV242" t="s">
        <v>3062</v>
      </c>
      <c r="CW242" t="s">
        <v>2872</v>
      </c>
      <c r="CX242" t="s">
        <v>2848</v>
      </c>
      <c r="CY242" t="s">
        <v>3089</v>
      </c>
    </row>
    <row r="243" spans="1:103" ht="11.25" customHeight="1">
      <c r="A243" t="s">
        <v>243</v>
      </c>
      <c r="B243" t="s">
        <v>243</v>
      </c>
      <c r="C243" t="s">
        <v>243</v>
      </c>
      <c r="D243" t="s">
        <v>243</v>
      </c>
      <c r="E243" t="s">
        <v>243</v>
      </c>
      <c r="F243" t="s">
        <v>2816</v>
      </c>
      <c r="G243" t="s">
        <v>243</v>
      </c>
      <c r="H243" t="s">
        <v>243</v>
      </c>
      <c r="I243" t="s">
        <v>865</v>
      </c>
      <c r="J243" t="s">
        <v>243</v>
      </c>
      <c r="K243" t="s">
        <v>3210</v>
      </c>
      <c r="L243" t="s">
        <v>243</v>
      </c>
      <c r="M243" t="s">
        <v>114</v>
      </c>
      <c r="N243" t="s">
        <v>243</v>
      </c>
      <c r="O243" t="s">
        <v>2819</v>
      </c>
      <c r="P243" t="s">
        <v>4449</v>
      </c>
      <c r="Q243" t="s">
        <v>2821</v>
      </c>
      <c r="R243" t="s">
        <v>200</v>
      </c>
      <c r="S243" t="s">
        <v>200</v>
      </c>
      <c r="T243" t="s">
        <v>2822</v>
      </c>
      <c r="U243" t="s">
        <v>2822</v>
      </c>
      <c r="V243" t="s">
        <v>2823</v>
      </c>
      <c r="W243" t="s">
        <v>3608</v>
      </c>
      <c r="X243" t="s">
        <v>3609</v>
      </c>
      <c r="Y243" t="s">
        <v>2918</v>
      </c>
      <c r="Z243" t="s">
        <v>341</v>
      </c>
      <c r="AA243" t="s">
        <v>3260</v>
      </c>
      <c r="AB243" t="s">
        <v>4058</v>
      </c>
      <c r="AC243" t="s">
        <v>2829</v>
      </c>
      <c r="AD243" t="s">
        <v>2830</v>
      </c>
      <c r="AE243" t="s">
        <v>2831</v>
      </c>
      <c r="AF243" t="s">
        <v>4059</v>
      </c>
      <c r="AG243" t="s">
        <v>4060</v>
      </c>
      <c r="AH243" t="s">
        <v>2834</v>
      </c>
      <c r="AI243" t="s">
        <v>2835</v>
      </c>
      <c r="AJ243" t="s">
        <v>2960</v>
      </c>
      <c r="AK243" t="s">
        <v>3751</v>
      </c>
      <c r="AL243" t="s">
        <v>3260</v>
      </c>
      <c r="AM243" t="s">
        <v>3688</v>
      </c>
      <c r="AN243" t="s">
        <v>2829</v>
      </c>
      <c r="AO243" t="s">
        <v>2839</v>
      </c>
      <c r="AP243" t="s">
        <v>2840</v>
      </c>
      <c r="AQ243" t="s">
        <v>2841</v>
      </c>
      <c r="AR243" t="s">
        <v>2842</v>
      </c>
      <c r="AS243" t="s">
        <v>2842</v>
      </c>
      <c r="AT243" t="s">
        <v>2829</v>
      </c>
      <c r="AU243" t="s">
        <v>2829</v>
      </c>
      <c r="AV243" t="s">
        <v>2829</v>
      </c>
      <c r="AW243" t="s">
        <v>2829</v>
      </c>
      <c r="AX243" t="s">
        <v>2829</v>
      </c>
      <c r="AY243" t="s">
        <v>2829</v>
      </c>
      <c r="AZ243" t="s">
        <v>2829</v>
      </c>
      <c r="BA243" t="s">
        <v>2829</v>
      </c>
      <c r="BB243" t="s">
        <v>2829</v>
      </c>
      <c r="BC243" t="s">
        <v>2829</v>
      </c>
      <c r="BD243" t="s">
        <v>2842</v>
      </c>
      <c r="BE243" t="s">
        <v>2842</v>
      </c>
      <c r="BF243" t="s">
        <v>243</v>
      </c>
      <c r="BG243" t="s">
        <v>243</v>
      </c>
      <c r="BH243" t="s">
        <v>243</v>
      </c>
      <c r="BI243" t="s">
        <v>243</v>
      </c>
      <c r="BJ243" t="s">
        <v>2829</v>
      </c>
      <c r="BK243" t="s">
        <v>243</v>
      </c>
      <c r="BL243" t="s">
        <v>243</v>
      </c>
      <c r="BM243" t="s">
        <v>243</v>
      </c>
      <c r="BN243" t="s">
        <v>243</v>
      </c>
      <c r="BO243" t="s">
        <v>243</v>
      </c>
      <c r="BP243" t="s">
        <v>2829</v>
      </c>
      <c r="BQ243" t="s">
        <v>243</v>
      </c>
      <c r="BR243" t="s">
        <v>243</v>
      </c>
      <c r="BS243" t="s">
        <v>243</v>
      </c>
      <c r="BT243" t="s">
        <v>243</v>
      </c>
      <c r="BU243" t="s">
        <v>243</v>
      </c>
      <c r="BV243" t="s">
        <v>2829</v>
      </c>
      <c r="BW243" t="s">
        <v>243</v>
      </c>
      <c r="BX243" t="s">
        <v>243</v>
      </c>
      <c r="BY243" t="s">
        <v>243</v>
      </c>
      <c r="BZ243" t="s">
        <v>243</v>
      </c>
      <c r="CA243" t="s">
        <v>243</v>
      </c>
      <c r="CB243" t="s">
        <v>2829</v>
      </c>
      <c r="CC243" t="s">
        <v>243</v>
      </c>
      <c r="CD243" t="s">
        <v>243</v>
      </c>
      <c r="CE243" t="s">
        <v>243</v>
      </c>
      <c r="CF243" t="s">
        <v>243</v>
      </c>
      <c r="CG243" t="s">
        <v>243</v>
      </c>
      <c r="CH243" t="s">
        <v>2829</v>
      </c>
      <c r="CI243" t="s">
        <v>243</v>
      </c>
      <c r="CJ243" t="s">
        <v>243</v>
      </c>
      <c r="CK243" t="s">
        <v>243</v>
      </c>
      <c r="CL243" t="s">
        <v>243</v>
      </c>
      <c r="CM243" t="s">
        <v>243</v>
      </c>
      <c r="CN243" t="s">
        <v>2960</v>
      </c>
      <c r="CO243" t="s">
        <v>2843</v>
      </c>
      <c r="CP243" t="s">
        <v>2844</v>
      </c>
      <c r="CQ243" t="s">
        <v>430</v>
      </c>
      <c r="CR243" t="s">
        <v>2845</v>
      </c>
      <c r="CS243" t="s">
        <v>431</v>
      </c>
      <c r="CT243" t="s">
        <v>430</v>
      </c>
      <c r="CU243" t="s">
        <v>2846</v>
      </c>
      <c r="CV243" t="s">
        <v>2847</v>
      </c>
      <c r="CW243" t="s">
        <v>2845</v>
      </c>
      <c r="CX243" t="s">
        <v>2848</v>
      </c>
      <c r="CY243" t="s">
        <v>4061</v>
      </c>
    </row>
    <row r="244" spans="1:103" ht="11.25" customHeight="1">
      <c r="A244" t="s">
        <v>243</v>
      </c>
      <c r="B244" t="s">
        <v>243</v>
      </c>
      <c r="C244" t="s">
        <v>243</v>
      </c>
      <c r="D244" t="s">
        <v>243</v>
      </c>
      <c r="E244" t="s">
        <v>243</v>
      </c>
      <c r="F244" t="s">
        <v>2816</v>
      </c>
      <c r="G244" t="s">
        <v>243</v>
      </c>
      <c r="H244" t="s">
        <v>243</v>
      </c>
      <c r="I244" t="s">
        <v>869</v>
      </c>
      <c r="J244" t="s">
        <v>243</v>
      </c>
      <c r="K244" t="s">
        <v>461</v>
      </c>
      <c r="L244" t="s">
        <v>243</v>
      </c>
      <c r="M244" t="s">
        <v>114</v>
      </c>
      <c r="N244" t="s">
        <v>243</v>
      </c>
      <c r="O244" t="s">
        <v>2819</v>
      </c>
      <c r="P244" t="s">
        <v>4449</v>
      </c>
      <c r="Q244" t="s">
        <v>2821</v>
      </c>
      <c r="R244" t="s">
        <v>200</v>
      </c>
      <c r="S244" t="s">
        <v>200</v>
      </c>
      <c r="T244" t="s">
        <v>2822</v>
      </c>
      <c r="U244" t="s">
        <v>2822</v>
      </c>
      <c r="V244" t="s">
        <v>2823</v>
      </c>
      <c r="W244" t="s">
        <v>3828</v>
      </c>
      <c r="X244" t="s">
        <v>3829</v>
      </c>
      <c r="Y244" t="s">
        <v>4062</v>
      </c>
      <c r="Z244" t="s">
        <v>341</v>
      </c>
      <c r="AA244" t="s">
        <v>3260</v>
      </c>
      <c r="AB244" t="s">
        <v>4063</v>
      </c>
      <c r="AC244" t="s">
        <v>2829</v>
      </c>
      <c r="AD244" t="s">
        <v>2830</v>
      </c>
      <c r="AE244" t="s">
        <v>2831</v>
      </c>
      <c r="AF244" t="s">
        <v>4064</v>
      </c>
      <c r="AG244" t="s">
        <v>4065</v>
      </c>
      <c r="AH244" t="s">
        <v>2834</v>
      </c>
      <c r="AI244" t="s">
        <v>2835</v>
      </c>
      <c r="AJ244" t="s">
        <v>2960</v>
      </c>
      <c r="AK244" t="s">
        <v>2889</v>
      </c>
      <c r="AL244" t="s">
        <v>3260</v>
      </c>
      <c r="AM244" t="s">
        <v>3118</v>
      </c>
      <c r="AN244" t="s">
        <v>2829</v>
      </c>
      <c r="AO244" t="s">
        <v>2839</v>
      </c>
      <c r="AP244" t="s">
        <v>2840</v>
      </c>
      <c r="AQ244" t="s">
        <v>2841</v>
      </c>
      <c r="AR244" t="s">
        <v>4066</v>
      </c>
      <c r="AS244" t="s">
        <v>4066</v>
      </c>
      <c r="AT244" t="s">
        <v>2829</v>
      </c>
      <c r="AU244" t="s">
        <v>2829</v>
      </c>
      <c r="AV244" t="s">
        <v>2829</v>
      </c>
      <c r="AW244" t="s">
        <v>2829</v>
      </c>
      <c r="AX244" t="s">
        <v>2829</v>
      </c>
      <c r="AY244" t="s">
        <v>2829</v>
      </c>
      <c r="AZ244" t="s">
        <v>2829</v>
      </c>
      <c r="BA244" t="s">
        <v>2829</v>
      </c>
      <c r="BB244" t="s">
        <v>2829</v>
      </c>
      <c r="BC244" t="s">
        <v>2829</v>
      </c>
      <c r="BD244" t="s">
        <v>4066</v>
      </c>
      <c r="BE244" t="s">
        <v>4066</v>
      </c>
      <c r="BF244" t="s">
        <v>243</v>
      </c>
      <c r="BG244" t="s">
        <v>243</v>
      </c>
      <c r="BH244" t="s">
        <v>243</v>
      </c>
      <c r="BI244" t="s">
        <v>243</v>
      </c>
      <c r="BJ244" t="s">
        <v>2829</v>
      </c>
      <c r="BK244" t="s">
        <v>243</v>
      </c>
      <c r="BL244" t="s">
        <v>243</v>
      </c>
      <c r="BM244" t="s">
        <v>243</v>
      </c>
      <c r="BN244" t="s">
        <v>243</v>
      </c>
      <c r="BO244" t="s">
        <v>243</v>
      </c>
      <c r="BP244" t="s">
        <v>2829</v>
      </c>
      <c r="BQ244" t="s">
        <v>243</v>
      </c>
      <c r="BR244" t="s">
        <v>243</v>
      </c>
      <c r="BS244" t="s">
        <v>243</v>
      </c>
      <c r="BT244" t="s">
        <v>243</v>
      </c>
      <c r="BU244" t="s">
        <v>243</v>
      </c>
      <c r="BV244" t="s">
        <v>2829</v>
      </c>
      <c r="BW244" t="s">
        <v>243</v>
      </c>
      <c r="BX244" t="s">
        <v>243</v>
      </c>
      <c r="BY244" t="s">
        <v>243</v>
      </c>
      <c r="BZ244" t="s">
        <v>243</v>
      </c>
      <c r="CA244" t="s">
        <v>243</v>
      </c>
      <c r="CB244" t="s">
        <v>2829</v>
      </c>
      <c r="CC244" t="s">
        <v>243</v>
      </c>
      <c r="CD244" t="s">
        <v>243</v>
      </c>
      <c r="CE244" t="s">
        <v>243</v>
      </c>
      <c r="CF244" t="s">
        <v>243</v>
      </c>
      <c r="CG244" t="s">
        <v>243</v>
      </c>
      <c r="CH244" t="s">
        <v>2829</v>
      </c>
      <c r="CI244" t="s">
        <v>243</v>
      </c>
      <c r="CJ244" t="s">
        <v>243</v>
      </c>
      <c r="CK244" t="s">
        <v>243</v>
      </c>
      <c r="CL244" t="s">
        <v>243</v>
      </c>
      <c r="CM244" t="s">
        <v>243</v>
      </c>
      <c r="CN244" t="s">
        <v>2960</v>
      </c>
      <c r="CO244" t="s">
        <v>2843</v>
      </c>
      <c r="CP244" t="s">
        <v>2844</v>
      </c>
      <c r="CQ244" t="s">
        <v>430</v>
      </c>
      <c r="CR244" t="s">
        <v>2845</v>
      </c>
      <c r="CS244" t="s">
        <v>431</v>
      </c>
      <c r="CT244" t="s">
        <v>430</v>
      </c>
      <c r="CU244" t="s">
        <v>2846</v>
      </c>
      <c r="CV244" t="s">
        <v>2847</v>
      </c>
      <c r="CW244" t="s">
        <v>2845</v>
      </c>
      <c r="CX244" t="s">
        <v>2848</v>
      </c>
      <c r="CY244" t="s">
        <v>4067</v>
      </c>
    </row>
    <row r="245" spans="1:103" ht="11.25" customHeight="1">
      <c r="A245" t="s">
        <v>243</v>
      </c>
      <c r="B245" t="s">
        <v>243</v>
      </c>
      <c r="C245" t="s">
        <v>243</v>
      </c>
      <c r="D245" t="s">
        <v>243</v>
      </c>
      <c r="E245" t="s">
        <v>243</v>
      </c>
      <c r="F245" t="s">
        <v>2816</v>
      </c>
      <c r="G245" t="s">
        <v>243</v>
      </c>
      <c r="H245" t="s">
        <v>243</v>
      </c>
      <c r="I245" t="s">
        <v>874</v>
      </c>
      <c r="J245" t="s">
        <v>243</v>
      </c>
      <c r="K245" t="s">
        <v>464</v>
      </c>
      <c r="L245" t="s">
        <v>243</v>
      </c>
      <c r="M245" t="s">
        <v>114</v>
      </c>
      <c r="N245" t="s">
        <v>243</v>
      </c>
      <c r="O245" t="s">
        <v>2819</v>
      </c>
      <c r="P245" t="s">
        <v>4449</v>
      </c>
      <c r="Q245" t="s">
        <v>2821</v>
      </c>
      <c r="R245" t="s">
        <v>200</v>
      </c>
      <c r="S245" t="s">
        <v>200</v>
      </c>
      <c r="T245" t="s">
        <v>2822</v>
      </c>
      <c r="U245" t="s">
        <v>2822</v>
      </c>
      <c r="V245" t="s">
        <v>2823</v>
      </c>
      <c r="W245" t="s">
        <v>2862</v>
      </c>
      <c r="X245" t="s">
        <v>2863</v>
      </c>
      <c r="Y245" t="s">
        <v>3938</v>
      </c>
      <c r="Z245" t="s">
        <v>1776</v>
      </c>
      <c r="AA245" t="s">
        <v>3395</v>
      </c>
      <c r="AB245" t="s">
        <v>3939</v>
      </c>
      <c r="AC245" t="s">
        <v>2829</v>
      </c>
      <c r="AD245" t="s">
        <v>2830</v>
      </c>
      <c r="AE245" t="s">
        <v>2831</v>
      </c>
      <c r="AF245" t="s">
        <v>3940</v>
      </c>
      <c r="AG245" t="s">
        <v>3941</v>
      </c>
      <c r="AH245" t="s">
        <v>2834</v>
      </c>
      <c r="AI245" t="s">
        <v>2835</v>
      </c>
      <c r="AJ245" t="s">
        <v>2960</v>
      </c>
      <c r="AK245" t="s">
        <v>2961</v>
      </c>
      <c r="AL245" t="s">
        <v>3395</v>
      </c>
      <c r="AM245" t="s">
        <v>3942</v>
      </c>
      <c r="AN245" t="s">
        <v>2829</v>
      </c>
      <c r="AO245" t="s">
        <v>2839</v>
      </c>
      <c r="AP245" t="s">
        <v>2840</v>
      </c>
      <c r="AQ245" t="s">
        <v>2841</v>
      </c>
      <c r="AR245" t="s">
        <v>3943</v>
      </c>
      <c r="AS245" t="s">
        <v>3943</v>
      </c>
      <c r="AT245" t="s">
        <v>2829</v>
      </c>
      <c r="AU245" t="s">
        <v>2829</v>
      </c>
      <c r="AV245" t="s">
        <v>2829</v>
      </c>
      <c r="AW245" t="s">
        <v>2829</v>
      </c>
      <c r="AX245" t="s">
        <v>2829</v>
      </c>
      <c r="AY245" t="s">
        <v>2829</v>
      </c>
      <c r="AZ245" t="s">
        <v>2829</v>
      </c>
      <c r="BA245" t="s">
        <v>2829</v>
      </c>
      <c r="BB245" t="s">
        <v>2829</v>
      </c>
      <c r="BC245" t="s">
        <v>2829</v>
      </c>
      <c r="BD245" t="s">
        <v>2829</v>
      </c>
      <c r="BE245" t="s">
        <v>243</v>
      </c>
      <c r="BF245" t="s">
        <v>243</v>
      </c>
      <c r="BG245" t="s">
        <v>243</v>
      </c>
      <c r="BH245" t="s">
        <v>243</v>
      </c>
      <c r="BI245" t="s">
        <v>243</v>
      </c>
      <c r="BJ245" t="s">
        <v>2829</v>
      </c>
      <c r="BK245" t="s">
        <v>243</v>
      </c>
      <c r="BL245" t="s">
        <v>243</v>
      </c>
      <c r="BM245" t="s">
        <v>243</v>
      </c>
      <c r="BN245" t="s">
        <v>243</v>
      </c>
      <c r="BO245" t="s">
        <v>243</v>
      </c>
      <c r="BP245" t="s">
        <v>2829</v>
      </c>
      <c r="BQ245" t="s">
        <v>243</v>
      </c>
      <c r="BR245" t="s">
        <v>243</v>
      </c>
      <c r="BS245" t="s">
        <v>243</v>
      </c>
      <c r="BT245" t="s">
        <v>243</v>
      </c>
      <c r="BU245" t="s">
        <v>243</v>
      </c>
      <c r="BV245" t="s">
        <v>2829</v>
      </c>
      <c r="BW245" t="s">
        <v>243</v>
      </c>
      <c r="BX245" t="s">
        <v>243</v>
      </c>
      <c r="BY245" t="s">
        <v>243</v>
      </c>
      <c r="BZ245" t="s">
        <v>243</v>
      </c>
      <c r="CA245" t="s">
        <v>243</v>
      </c>
      <c r="CB245" t="s">
        <v>3943</v>
      </c>
      <c r="CC245" t="s">
        <v>3943</v>
      </c>
      <c r="CD245" t="s">
        <v>243</v>
      </c>
      <c r="CE245" t="s">
        <v>243</v>
      </c>
      <c r="CF245" t="s">
        <v>243</v>
      </c>
      <c r="CG245" t="s">
        <v>243</v>
      </c>
      <c r="CH245" t="s">
        <v>2829</v>
      </c>
      <c r="CI245" t="s">
        <v>243</v>
      </c>
      <c r="CJ245" t="s">
        <v>243</v>
      </c>
      <c r="CK245" t="s">
        <v>243</v>
      </c>
      <c r="CL245" t="s">
        <v>243</v>
      </c>
      <c r="CM245" t="s">
        <v>243</v>
      </c>
      <c r="CN245" t="s">
        <v>2960</v>
      </c>
      <c r="CO245" t="s">
        <v>2843</v>
      </c>
      <c r="CP245" t="s">
        <v>2844</v>
      </c>
      <c r="CQ245" t="s">
        <v>430</v>
      </c>
      <c r="CR245" t="s">
        <v>2845</v>
      </c>
      <c r="CS245" t="s">
        <v>431</v>
      </c>
      <c r="CT245" t="s">
        <v>430</v>
      </c>
      <c r="CU245" t="s">
        <v>2846</v>
      </c>
      <c r="CV245" t="s">
        <v>2847</v>
      </c>
      <c r="CW245" t="s">
        <v>2845</v>
      </c>
      <c r="CX245" t="s">
        <v>2848</v>
      </c>
      <c r="CY245" t="s">
        <v>3944</v>
      </c>
    </row>
    <row r="246" spans="1:103" ht="11.25" customHeight="1">
      <c r="A246" t="s">
        <v>243</v>
      </c>
      <c r="B246" t="s">
        <v>243</v>
      </c>
      <c r="C246" t="s">
        <v>243</v>
      </c>
      <c r="D246" t="s">
        <v>243</v>
      </c>
      <c r="E246" t="s">
        <v>243</v>
      </c>
      <c r="F246" t="s">
        <v>2816</v>
      </c>
      <c r="G246" t="s">
        <v>243</v>
      </c>
      <c r="H246" t="s">
        <v>243</v>
      </c>
      <c r="I246" t="s">
        <v>4373</v>
      </c>
      <c r="J246" t="s">
        <v>243</v>
      </c>
      <c r="K246" t="s">
        <v>2818</v>
      </c>
      <c r="L246" t="s">
        <v>243</v>
      </c>
      <c r="M246" t="s">
        <v>114</v>
      </c>
      <c r="N246" t="s">
        <v>243</v>
      </c>
      <c r="O246" t="s">
        <v>2819</v>
      </c>
      <c r="P246" t="s">
        <v>4449</v>
      </c>
      <c r="Q246" t="s">
        <v>2821</v>
      </c>
      <c r="R246" t="s">
        <v>200</v>
      </c>
      <c r="S246" t="s">
        <v>200</v>
      </c>
      <c r="T246" t="s">
        <v>2822</v>
      </c>
      <c r="U246" t="s">
        <v>2822</v>
      </c>
      <c r="V246" t="s">
        <v>2823</v>
      </c>
      <c r="W246" t="s">
        <v>2824</v>
      </c>
      <c r="X246" t="s">
        <v>2825</v>
      </c>
      <c r="Y246" t="s">
        <v>2826</v>
      </c>
      <c r="Z246" t="s">
        <v>348</v>
      </c>
      <c r="AA246" t="s">
        <v>2904</v>
      </c>
      <c r="AB246" t="s">
        <v>4374</v>
      </c>
      <c r="AC246" t="s">
        <v>2829</v>
      </c>
      <c r="AD246" t="s">
        <v>2830</v>
      </c>
      <c r="AE246" t="s">
        <v>2857</v>
      </c>
      <c r="AF246" t="s">
        <v>4375</v>
      </c>
      <c r="AG246" t="s">
        <v>4375</v>
      </c>
      <c r="AH246" t="s">
        <v>2834</v>
      </c>
      <c r="AI246" t="s">
        <v>2835</v>
      </c>
      <c r="AJ246" t="s">
        <v>2836</v>
      </c>
      <c r="AK246" t="s">
        <v>2837</v>
      </c>
      <c r="AL246" t="s">
        <v>2904</v>
      </c>
      <c r="AM246" t="s">
        <v>4022</v>
      </c>
      <c r="AN246" t="s">
        <v>2829</v>
      </c>
      <c r="AO246" t="s">
        <v>2839</v>
      </c>
      <c r="AP246" t="s">
        <v>2840</v>
      </c>
      <c r="AQ246" t="s">
        <v>2841</v>
      </c>
      <c r="AR246" t="s">
        <v>2842</v>
      </c>
      <c r="AS246" t="s">
        <v>2842</v>
      </c>
      <c r="AT246" t="s">
        <v>2829</v>
      </c>
      <c r="AU246" t="s">
        <v>2829</v>
      </c>
      <c r="AV246" t="s">
        <v>2829</v>
      </c>
      <c r="AW246" t="s">
        <v>2829</v>
      </c>
      <c r="AX246" t="s">
        <v>2829</v>
      </c>
      <c r="AY246" t="s">
        <v>2829</v>
      </c>
      <c r="AZ246" t="s">
        <v>2829</v>
      </c>
      <c r="BA246" t="s">
        <v>2829</v>
      </c>
      <c r="BB246" t="s">
        <v>2829</v>
      </c>
      <c r="BC246" t="s">
        <v>2829</v>
      </c>
      <c r="BD246" t="s">
        <v>2842</v>
      </c>
      <c r="BE246" t="s">
        <v>2842</v>
      </c>
      <c r="BF246" t="s">
        <v>243</v>
      </c>
      <c r="BG246" t="s">
        <v>243</v>
      </c>
      <c r="BH246" t="s">
        <v>243</v>
      </c>
      <c r="BI246" t="s">
        <v>243</v>
      </c>
      <c r="BJ246" t="s">
        <v>2829</v>
      </c>
      <c r="BK246" t="s">
        <v>243</v>
      </c>
      <c r="BL246" t="s">
        <v>243</v>
      </c>
      <c r="BM246" t="s">
        <v>243</v>
      </c>
      <c r="BN246" t="s">
        <v>243</v>
      </c>
      <c r="BO246" t="s">
        <v>243</v>
      </c>
      <c r="BP246" t="s">
        <v>2829</v>
      </c>
      <c r="BQ246" t="s">
        <v>243</v>
      </c>
      <c r="BR246" t="s">
        <v>243</v>
      </c>
      <c r="BS246" t="s">
        <v>243</v>
      </c>
      <c r="BT246" t="s">
        <v>243</v>
      </c>
      <c r="BU246" t="s">
        <v>243</v>
      </c>
      <c r="BV246" t="s">
        <v>2829</v>
      </c>
      <c r="BW246" t="s">
        <v>243</v>
      </c>
      <c r="BX246" t="s">
        <v>243</v>
      </c>
      <c r="BY246" t="s">
        <v>243</v>
      </c>
      <c r="BZ246" t="s">
        <v>243</v>
      </c>
      <c r="CA246" t="s">
        <v>243</v>
      </c>
      <c r="CB246" t="s">
        <v>2829</v>
      </c>
      <c r="CC246" t="s">
        <v>243</v>
      </c>
      <c r="CD246" t="s">
        <v>243</v>
      </c>
      <c r="CE246" t="s">
        <v>243</v>
      </c>
      <c r="CF246" t="s">
        <v>243</v>
      </c>
      <c r="CG246" t="s">
        <v>243</v>
      </c>
      <c r="CH246" t="s">
        <v>2829</v>
      </c>
      <c r="CI246" t="s">
        <v>243</v>
      </c>
      <c r="CJ246" t="s">
        <v>243</v>
      </c>
      <c r="CK246" t="s">
        <v>243</v>
      </c>
      <c r="CL246" t="s">
        <v>243</v>
      </c>
      <c r="CM246" t="s">
        <v>243</v>
      </c>
      <c r="CN246" t="s">
        <v>2836</v>
      </c>
      <c r="CO246" t="s">
        <v>2843</v>
      </c>
      <c r="CP246" t="s">
        <v>2844</v>
      </c>
      <c r="CQ246" t="s">
        <v>430</v>
      </c>
      <c r="CR246" t="s">
        <v>2845</v>
      </c>
      <c r="CS246" t="s">
        <v>431</v>
      </c>
      <c r="CT246" t="s">
        <v>430</v>
      </c>
      <c r="CU246" t="s">
        <v>2846</v>
      </c>
      <c r="CV246" t="s">
        <v>2847</v>
      </c>
      <c r="CW246" t="s">
        <v>2845</v>
      </c>
      <c r="CX246" t="s">
        <v>2848</v>
      </c>
      <c r="CY246" t="s">
        <v>4376</v>
      </c>
    </row>
    <row r="247" spans="1:103" ht="11.25" customHeight="1">
      <c r="A247" t="s">
        <v>243</v>
      </c>
      <c r="B247" t="s">
        <v>243</v>
      </c>
      <c r="C247" t="s">
        <v>243</v>
      </c>
      <c r="D247" t="s">
        <v>243</v>
      </c>
      <c r="E247" t="s">
        <v>243</v>
      </c>
      <c r="F247" t="s">
        <v>2816</v>
      </c>
      <c r="G247" t="s">
        <v>243</v>
      </c>
      <c r="H247" t="s">
        <v>243</v>
      </c>
      <c r="I247" t="s">
        <v>2817</v>
      </c>
      <c r="J247" t="s">
        <v>243</v>
      </c>
      <c r="K247" t="s">
        <v>2818</v>
      </c>
      <c r="L247" t="s">
        <v>243</v>
      </c>
      <c r="M247" t="s">
        <v>114</v>
      </c>
      <c r="N247" t="s">
        <v>243</v>
      </c>
      <c r="O247" t="s">
        <v>2819</v>
      </c>
      <c r="P247" t="s">
        <v>4449</v>
      </c>
      <c r="Q247" t="s">
        <v>2821</v>
      </c>
      <c r="R247" t="s">
        <v>200</v>
      </c>
      <c r="S247" t="s">
        <v>200</v>
      </c>
      <c r="T247" t="s">
        <v>2822</v>
      </c>
      <c r="U247" t="s">
        <v>2822</v>
      </c>
      <c r="V247" t="s">
        <v>2823</v>
      </c>
      <c r="W247" t="s">
        <v>2824</v>
      </c>
      <c r="X247" t="s">
        <v>2825</v>
      </c>
      <c r="Y247" t="s">
        <v>2826</v>
      </c>
      <c r="Z247" t="s">
        <v>443</v>
      </c>
      <c r="AA247" t="s">
        <v>2827</v>
      </c>
      <c r="AB247" t="s">
        <v>2828</v>
      </c>
      <c r="AC247" t="s">
        <v>2829</v>
      </c>
      <c r="AD247" t="s">
        <v>2830</v>
      </c>
      <c r="AE247" t="s">
        <v>2831</v>
      </c>
      <c r="AF247" t="s">
        <v>2832</v>
      </c>
      <c r="AG247" t="s">
        <v>2833</v>
      </c>
      <c r="AH247" t="s">
        <v>2834</v>
      </c>
      <c r="AI247" t="s">
        <v>2835</v>
      </c>
      <c r="AJ247" t="s">
        <v>2836</v>
      </c>
      <c r="AK247" t="s">
        <v>2837</v>
      </c>
      <c r="AL247" t="s">
        <v>2827</v>
      </c>
      <c r="AM247" t="s">
        <v>2838</v>
      </c>
      <c r="AN247" t="s">
        <v>2829</v>
      </c>
      <c r="AO247" t="s">
        <v>2839</v>
      </c>
      <c r="AP247" t="s">
        <v>2840</v>
      </c>
      <c r="AQ247" t="s">
        <v>2841</v>
      </c>
      <c r="AR247" t="s">
        <v>2842</v>
      </c>
      <c r="AS247" t="s">
        <v>2842</v>
      </c>
      <c r="AT247" t="s">
        <v>2829</v>
      </c>
      <c r="AU247" t="s">
        <v>2829</v>
      </c>
      <c r="AV247" t="s">
        <v>2829</v>
      </c>
      <c r="AW247" t="s">
        <v>2829</v>
      </c>
      <c r="AX247" t="s">
        <v>2829</v>
      </c>
      <c r="AY247" t="s">
        <v>2829</v>
      </c>
      <c r="AZ247" t="s">
        <v>2829</v>
      </c>
      <c r="BA247" t="s">
        <v>2829</v>
      </c>
      <c r="BB247" t="s">
        <v>2829</v>
      </c>
      <c r="BC247" t="s">
        <v>2829</v>
      </c>
      <c r="BD247" t="s">
        <v>2842</v>
      </c>
      <c r="BE247" t="s">
        <v>2842</v>
      </c>
      <c r="BF247" t="s">
        <v>243</v>
      </c>
      <c r="BG247" t="s">
        <v>243</v>
      </c>
      <c r="BH247" t="s">
        <v>243</v>
      </c>
      <c r="BI247" t="s">
        <v>243</v>
      </c>
      <c r="BJ247" t="s">
        <v>2829</v>
      </c>
      <c r="BK247" t="s">
        <v>243</v>
      </c>
      <c r="BL247" t="s">
        <v>243</v>
      </c>
      <c r="BM247" t="s">
        <v>243</v>
      </c>
      <c r="BN247" t="s">
        <v>243</v>
      </c>
      <c r="BO247" t="s">
        <v>243</v>
      </c>
      <c r="BP247" t="s">
        <v>2829</v>
      </c>
      <c r="BQ247" t="s">
        <v>243</v>
      </c>
      <c r="BR247" t="s">
        <v>243</v>
      </c>
      <c r="BS247" t="s">
        <v>243</v>
      </c>
      <c r="BT247" t="s">
        <v>243</v>
      </c>
      <c r="BU247" t="s">
        <v>243</v>
      </c>
      <c r="BV247" t="s">
        <v>2829</v>
      </c>
      <c r="BW247" t="s">
        <v>243</v>
      </c>
      <c r="BX247" t="s">
        <v>243</v>
      </c>
      <c r="BY247" t="s">
        <v>243</v>
      </c>
      <c r="BZ247" t="s">
        <v>243</v>
      </c>
      <c r="CA247" t="s">
        <v>243</v>
      </c>
      <c r="CB247" t="s">
        <v>2829</v>
      </c>
      <c r="CC247" t="s">
        <v>243</v>
      </c>
      <c r="CD247" t="s">
        <v>243</v>
      </c>
      <c r="CE247" t="s">
        <v>243</v>
      </c>
      <c r="CF247" t="s">
        <v>243</v>
      </c>
      <c r="CG247" t="s">
        <v>243</v>
      </c>
      <c r="CH247" t="s">
        <v>2829</v>
      </c>
      <c r="CI247" t="s">
        <v>243</v>
      </c>
      <c r="CJ247" t="s">
        <v>243</v>
      </c>
      <c r="CK247" t="s">
        <v>243</v>
      </c>
      <c r="CL247" t="s">
        <v>243</v>
      </c>
      <c r="CM247" t="s">
        <v>243</v>
      </c>
      <c r="CN247" t="s">
        <v>2836</v>
      </c>
      <c r="CO247" t="s">
        <v>2843</v>
      </c>
      <c r="CP247" t="s">
        <v>2844</v>
      </c>
      <c r="CQ247" t="s">
        <v>430</v>
      </c>
      <c r="CR247" t="s">
        <v>2845</v>
      </c>
      <c r="CS247" t="s">
        <v>431</v>
      </c>
      <c r="CT247" t="s">
        <v>430</v>
      </c>
      <c r="CU247" t="s">
        <v>2846</v>
      </c>
      <c r="CV247" t="s">
        <v>2847</v>
      </c>
      <c r="CW247" t="s">
        <v>2845</v>
      </c>
      <c r="CX247" t="s">
        <v>2848</v>
      </c>
      <c r="CY247" t="s">
        <v>2849</v>
      </c>
    </row>
    <row r="248" spans="1:103" ht="11.25" customHeight="1">
      <c r="A248" t="s">
        <v>243</v>
      </c>
      <c r="B248" t="s">
        <v>243</v>
      </c>
      <c r="C248" t="s">
        <v>243</v>
      </c>
      <c r="D248" t="s">
        <v>243</v>
      </c>
      <c r="E248" t="s">
        <v>243</v>
      </c>
      <c r="F248" t="s">
        <v>2816</v>
      </c>
      <c r="G248" t="s">
        <v>243</v>
      </c>
      <c r="H248" t="s">
        <v>243</v>
      </c>
      <c r="I248" t="s">
        <v>3607</v>
      </c>
      <c r="J248" t="s">
        <v>243</v>
      </c>
      <c r="K248" t="s">
        <v>2818</v>
      </c>
      <c r="L248" t="s">
        <v>243</v>
      </c>
      <c r="M248" t="s">
        <v>114</v>
      </c>
      <c r="N248" t="s">
        <v>243</v>
      </c>
      <c r="O248" t="s">
        <v>2819</v>
      </c>
      <c r="P248" t="s">
        <v>4449</v>
      </c>
      <c r="Q248" t="s">
        <v>2821</v>
      </c>
      <c r="R248" t="s">
        <v>200</v>
      </c>
      <c r="S248" t="s">
        <v>200</v>
      </c>
      <c r="T248" t="s">
        <v>2822</v>
      </c>
      <c r="U248" t="s">
        <v>2822</v>
      </c>
      <c r="V248" t="s">
        <v>2823</v>
      </c>
      <c r="W248" t="s">
        <v>3608</v>
      </c>
      <c r="X248" t="s">
        <v>3609</v>
      </c>
      <c r="Y248" t="s">
        <v>3610</v>
      </c>
      <c r="Z248" t="s">
        <v>3611</v>
      </c>
      <c r="AA248" t="s">
        <v>3228</v>
      </c>
      <c r="AB248" t="s">
        <v>3058</v>
      </c>
      <c r="AC248" t="s">
        <v>2829</v>
      </c>
      <c r="AD248" t="s">
        <v>2830</v>
      </c>
      <c r="AE248" t="s">
        <v>2857</v>
      </c>
      <c r="AF248" t="s">
        <v>3612</v>
      </c>
      <c r="AG248" t="s">
        <v>3612</v>
      </c>
      <c r="AH248" t="s">
        <v>2834</v>
      </c>
      <c r="AI248" t="s">
        <v>2835</v>
      </c>
      <c r="AJ248" t="s">
        <v>2829</v>
      </c>
      <c r="AK248" t="s">
        <v>2922</v>
      </c>
      <c r="AL248" t="s">
        <v>3228</v>
      </c>
      <c r="AM248" t="s">
        <v>3058</v>
      </c>
      <c r="AN248" t="s">
        <v>2829</v>
      </c>
      <c r="AO248" t="s">
        <v>2839</v>
      </c>
      <c r="AP248" t="s">
        <v>2840</v>
      </c>
      <c r="AQ248" t="s">
        <v>2841</v>
      </c>
      <c r="AR248" t="s">
        <v>2923</v>
      </c>
      <c r="AS248" t="s">
        <v>2923</v>
      </c>
      <c r="AT248" t="s">
        <v>2829</v>
      </c>
      <c r="AU248" t="s">
        <v>2829</v>
      </c>
      <c r="AV248" t="s">
        <v>2829</v>
      </c>
      <c r="AW248" t="s">
        <v>2829</v>
      </c>
      <c r="AX248" t="s">
        <v>2829</v>
      </c>
      <c r="AY248" t="s">
        <v>2829</v>
      </c>
      <c r="AZ248" t="s">
        <v>2829</v>
      </c>
      <c r="BA248" t="s">
        <v>2829</v>
      </c>
      <c r="BB248" t="s">
        <v>2829</v>
      </c>
      <c r="BC248" t="s">
        <v>2829</v>
      </c>
      <c r="BD248" t="s">
        <v>2923</v>
      </c>
      <c r="BE248" t="s">
        <v>2923</v>
      </c>
      <c r="BF248" t="s">
        <v>243</v>
      </c>
      <c r="BG248" t="s">
        <v>243</v>
      </c>
      <c r="BH248" t="s">
        <v>243</v>
      </c>
      <c r="BI248" t="s">
        <v>243</v>
      </c>
      <c r="BJ248" t="s">
        <v>2829</v>
      </c>
      <c r="BK248" t="s">
        <v>243</v>
      </c>
      <c r="BL248" t="s">
        <v>243</v>
      </c>
      <c r="BM248" t="s">
        <v>243</v>
      </c>
      <c r="BN248" t="s">
        <v>243</v>
      </c>
      <c r="BO248" t="s">
        <v>243</v>
      </c>
      <c r="BP248" t="s">
        <v>2829</v>
      </c>
      <c r="BQ248" t="s">
        <v>243</v>
      </c>
      <c r="BR248" t="s">
        <v>243</v>
      </c>
      <c r="BS248" t="s">
        <v>243</v>
      </c>
      <c r="BT248" t="s">
        <v>243</v>
      </c>
      <c r="BU248" t="s">
        <v>243</v>
      </c>
      <c r="BV248" t="s">
        <v>2829</v>
      </c>
      <c r="BW248" t="s">
        <v>243</v>
      </c>
      <c r="BX248" t="s">
        <v>243</v>
      </c>
      <c r="BY248" t="s">
        <v>243</v>
      </c>
      <c r="BZ248" t="s">
        <v>243</v>
      </c>
      <c r="CA248" t="s">
        <v>243</v>
      </c>
      <c r="CB248" t="s">
        <v>2829</v>
      </c>
      <c r="CC248" t="s">
        <v>243</v>
      </c>
      <c r="CD248" t="s">
        <v>243</v>
      </c>
      <c r="CE248" t="s">
        <v>243</v>
      </c>
      <c r="CF248" t="s">
        <v>243</v>
      </c>
      <c r="CG248" t="s">
        <v>243</v>
      </c>
      <c r="CH248" t="s">
        <v>2829</v>
      </c>
      <c r="CI248" t="s">
        <v>243</v>
      </c>
      <c r="CJ248" t="s">
        <v>243</v>
      </c>
      <c r="CK248" t="s">
        <v>243</v>
      </c>
      <c r="CL248" t="s">
        <v>243</v>
      </c>
      <c r="CM248" t="s">
        <v>243</v>
      </c>
      <c r="CN248" t="s">
        <v>2829</v>
      </c>
      <c r="CO248" t="s">
        <v>2924</v>
      </c>
      <c r="CP248" t="s">
        <v>2844</v>
      </c>
      <c r="CQ248" t="s">
        <v>430</v>
      </c>
      <c r="CR248" t="s">
        <v>2872</v>
      </c>
      <c r="CS248" t="s">
        <v>431</v>
      </c>
      <c r="CT248" t="s">
        <v>430</v>
      </c>
      <c r="CU248" t="s">
        <v>2846</v>
      </c>
      <c r="CV248" t="s">
        <v>2873</v>
      </c>
      <c r="CW248" t="s">
        <v>2872</v>
      </c>
      <c r="CX248" t="s">
        <v>2848</v>
      </c>
      <c r="CY248" t="s">
        <v>3613</v>
      </c>
    </row>
    <row r="249" spans="1:103" ht="11.25" customHeight="1">
      <c r="A249" t="s">
        <v>243</v>
      </c>
      <c r="B249" t="s">
        <v>243</v>
      </c>
      <c r="C249" t="s">
        <v>243</v>
      </c>
      <c r="D249" t="s">
        <v>243</v>
      </c>
      <c r="E249" t="s">
        <v>243</v>
      </c>
      <c r="F249" t="s">
        <v>2816</v>
      </c>
      <c r="G249" t="s">
        <v>243</v>
      </c>
      <c r="H249" t="s">
        <v>243</v>
      </c>
      <c r="I249" t="s">
        <v>3891</v>
      </c>
      <c r="J249" t="s">
        <v>243</v>
      </c>
      <c r="K249" t="s">
        <v>3892</v>
      </c>
      <c r="L249" t="s">
        <v>243</v>
      </c>
      <c r="M249" t="s">
        <v>114</v>
      </c>
      <c r="N249" t="s">
        <v>243</v>
      </c>
      <c r="O249" t="s">
        <v>2819</v>
      </c>
      <c r="P249" t="s">
        <v>4449</v>
      </c>
      <c r="Q249" t="s">
        <v>2821</v>
      </c>
      <c r="R249" t="s">
        <v>200</v>
      </c>
      <c r="S249" t="s">
        <v>200</v>
      </c>
      <c r="T249" t="s">
        <v>4451</v>
      </c>
      <c r="U249" t="s">
        <v>4451</v>
      </c>
      <c r="V249" t="s">
        <v>4452</v>
      </c>
      <c r="W249" t="s">
        <v>2935</v>
      </c>
      <c r="X249" t="s">
        <v>4453</v>
      </c>
      <c r="Y249" t="s">
        <v>3893</v>
      </c>
      <c r="Z249" t="s">
        <v>3894</v>
      </c>
      <c r="AA249" t="s">
        <v>2904</v>
      </c>
      <c r="AB249" t="s">
        <v>3073</v>
      </c>
      <c r="AC249" t="s">
        <v>2829</v>
      </c>
      <c r="AD249" t="s">
        <v>2883</v>
      </c>
      <c r="AE249" t="s">
        <v>2831</v>
      </c>
      <c r="AF249" t="s">
        <v>3895</v>
      </c>
      <c r="AG249" t="s">
        <v>3895</v>
      </c>
      <c r="AH249" t="s">
        <v>2834</v>
      </c>
      <c r="AI249" t="s">
        <v>2835</v>
      </c>
      <c r="AJ249" t="s">
        <v>3030</v>
      </c>
      <c r="AK249" t="s">
        <v>3896</v>
      </c>
      <c r="AL249" t="s">
        <v>2904</v>
      </c>
      <c r="AM249" t="s">
        <v>3073</v>
      </c>
      <c r="AN249" t="s">
        <v>243</v>
      </c>
      <c r="AO249" t="s">
        <v>2839</v>
      </c>
      <c r="AP249" t="s">
        <v>2840</v>
      </c>
      <c r="AQ249" t="s">
        <v>2841</v>
      </c>
      <c r="AR249" t="s">
        <v>3897</v>
      </c>
      <c r="AS249" t="s">
        <v>3897</v>
      </c>
      <c r="AT249" t="s">
        <v>2829</v>
      </c>
      <c r="AU249" t="s">
        <v>2829</v>
      </c>
      <c r="AV249" t="s">
        <v>2829</v>
      </c>
      <c r="AW249" t="s">
        <v>2829</v>
      </c>
      <c r="AX249" t="s">
        <v>2829</v>
      </c>
      <c r="AY249" t="s">
        <v>2829</v>
      </c>
      <c r="AZ249" t="s">
        <v>2829</v>
      </c>
      <c r="BA249" t="s">
        <v>2829</v>
      </c>
      <c r="BB249" t="s">
        <v>2829</v>
      </c>
      <c r="BC249" t="s">
        <v>2829</v>
      </c>
      <c r="BD249" t="s">
        <v>3898</v>
      </c>
      <c r="BE249" t="s">
        <v>3898</v>
      </c>
      <c r="BF249" t="s">
        <v>243</v>
      </c>
      <c r="BG249" t="s">
        <v>243</v>
      </c>
      <c r="BH249" t="s">
        <v>243</v>
      </c>
      <c r="BI249" t="s">
        <v>243</v>
      </c>
      <c r="BJ249" t="s">
        <v>2829</v>
      </c>
      <c r="BK249" t="s">
        <v>243</v>
      </c>
      <c r="BL249" t="s">
        <v>243</v>
      </c>
      <c r="BM249" t="s">
        <v>243</v>
      </c>
      <c r="BN249" t="s">
        <v>243</v>
      </c>
      <c r="BO249" t="s">
        <v>243</v>
      </c>
      <c r="BP249" t="s">
        <v>2920</v>
      </c>
      <c r="BQ249" t="s">
        <v>2920</v>
      </c>
      <c r="BR249" t="s">
        <v>243</v>
      </c>
      <c r="BS249" t="s">
        <v>243</v>
      </c>
      <c r="BT249" t="s">
        <v>243</v>
      </c>
      <c r="BU249" t="s">
        <v>243</v>
      </c>
      <c r="BV249" t="s">
        <v>2829</v>
      </c>
      <c r="BW249" t="s">
        <v>243</v>
      </c>
      <c r="BX249" t="s">
        <v>243</v>
      </c>
      <c r="BY249" t="s">
        <v>243</v>
      </c>
      <c r="BZ249" t="s">
        <v>243</v>
      </c>
      <c r="CA249" t="s">
        <v>243</v>
      </c>
      <c r="CB249" t="s">
        <v>2829</v>
      </c>
      <c r="CC249" t="s">
        <v>243</v>
      </c>
      <c r="CD249" t="s">
        <v>243</v>
      </c>
      <c r="CE249" t="s">
        <v>243</v>
      </c>
      <c r="CF249" t="s">
        <v>243</v>
      </c>
      <c r="CG249" t="s">
        <v>243</v>
      </c>
      <c r="CH249" t="s">
        <v>2829</v>
      </c>
      <c r="CI249" t="s">
        <v>243</v>
      </c>
      <c r="CJ249" t="s">
        <v>243</v>
      </c>
      <c r="CK249" t="s">
        <v>243</v>
      </c>
      <c r="CL249" t="s">
        <v>243</v>
      </c>
      <c r="CM249" t="s">
        <v>243</v>
      </c>
      <c r="CN249" t="s">
        <v>3030</v>
      </c>
      <c r="CO249" t="s">
        <v>2843</v>
      </c>
      <c r="CP249" t="s">
        <v>2844</v>
      </c>
      <c r="CQ249" t="s">
        <v>430</v>
      </c>
      <c r="CR249" t="s">
        <v>2947</v>
      </c>
      <c r="CS249" t="s">
        <v>431</v>
      </c>
      <c r="CT249" t="s">
        <v>430</v>
      </c>
      <c r="CU249" t="s">
        <v>2948</v>
      </c>
      <c r="CV249" t="s">
        <v>2949</v>
      </c>
      <c r="CW249" t="s">
        <v>2947</v>
      </c>
      <c r="CX249" t="s">
        <v>2848</v>
      </c>
      <c r="CY249" t="s">
        <v>3899</v>
      </c>
    </row>
    <row r="250" spans="1:103" ht="11.25" customHeight="1">
      <c r="A250" t="s">
        <v>243</v>
      </c>
      <c r="B250" t="s">
        <v>243</v>
      </c>
      <c r="C250" t="s">
        <v>243</v>
      </c>
      <c r="D250" t="s">
        <v>243</v>
      </c>
      <c r="E250" t="s">
        <v>243</v>
      </c>
      <c r="F250" t="s">
        <v>2816</v>
      </c>
      <c r="G250" t="s">
        <v>243</v>
      </c>
      <c r="H250" t="s">
        <v>243</v>
      </c>
      <c r="I250" t="s">
        <v>3637</v>
      </c>
      <c r="J250" t="s">
        <v>243</v>
      </c>
      <c r="K250" t="s">
        <v>433</v>
      </c>
      <c r="L250" t="s">
        <v>243</v>
      </c>
      <c r="M250" t="s">
        <v>114</v>
      </c>
      <c r="N250" t="s">
        <v>243</v>
      </c>
      <c r="O250" t="s">
        <v>2819</v>
      </c>
      <c r="P250" t="s">
        <v>4449</v>
      </c>
      <c r="Q250" t="s">
        <v>2821</v>
      </c>
      <c r="R250" t="s">
        <v>200</v>
      </c>
      <c r="S250" t="s">
        <v>200</v>
      </c>
      <c r="T250" t="s">
        <v>2968</v>
      </c>
      <c r="U250" t="s">
        <v>2968</v>
      </c>
      <c r="V250" t="s">
        <v>2969</v>
      </c>
      <c r="W250" t="s">
        <v>3638</v>
      </c>
      <c r="X250" t="s">
        <v>3639</v>
      </c>
      <c r="Y250" t="s">
        <v>2918</v>
      </c>
      <c r="Z250" t="s">
        <v>3259</v>
      </c>
      <c r="AA250" t="s">
        <v>3640</v>
      </c>
      <c r="AB250" t="s">
        <v>2995</v>
      </c>
      <c r="AC250" t="s">
        <v>2829</v>
      </c>
      <c r="AD250" t="s">
        <v>2883</v>
      </c>
      <c r="AE250" t="s">
        <v>2857</v>
      </c>
      <c r="AF250" t="s">
        <v>3641</v>
      </c>
      <c r="AG250" t="s">
        <v>3641</v>
      </c>
      <c r="AH250" t="s">
        <v>2834</v>
      </c>
      <c r="AI250" t="s">
        <v>2835</v>
      </c>
      <c r="AJ250" t="s">
        <v>3030</v>
      </c>
      <c r="AK250" t="s">
        <v>3642</v>
      </c>
      <c r="AL250" t="s">
        <v>3640</v>
      </c>
      <c r="AM250" t="s">
        <v>2995</v>
      </c>
      <c r="AN250" t="s">
        <v>2829</v>
      </c>
      <c r="AO250" t="s">
        <v>2839</v>
      </c>
      <c r="AP250" t="s">
        <v>2840</v>
      </c>
      <c r="AQ250" t="s">
        <v>2841</v>
      </c>
      <c r="AR250" t="s">
        <v>3643</v>
      </c>
      <c r="AS250" t="s">
        <v>3643</v>
      </c>
      <c r="AT250" t="s">
        <v>2829</v>
      </c>
      <c r="AU250" t="s">
        <v>2829</v>
      </c>
      <c r="AV250" t="s">
        <v>2829</v>
      </c>
      <c r="AW250" t="s">
        <v>2829</v>
      </c>
      <c r="AX250" t="s">
        <v>2829</v>
      </c>
      <c r="AY250" t="s">
        <v>2829</v>
      </c>
      <c r="AZ250" t="s">
        <v>2829</v>
      </c>
      <c r="BA250" t="s">
        <v>2829</v>
      </c>
      <c r="BB250" t="s">
        <v>2829</v>
      </c>
      <c r="BC250" t="s">
        <v>2829</v>
      </c>
      <c r="BD250" t="s">
        <v>3169</v>
      </c>
      <c r="BE250" t="s">
        <v>3169</v>
      </c>
      <c r="BF250" t="s">
        <v>243</v>
      </c>
      <c r="BG250" t="s">
        <v>243</v>
      </c>
      <c r="BH250" t="s">
        <v>243</v>
      </c>
      <c r="BI250" t="s">
        <v>243</v>
      </c>
      <c r="BJ250" t="s">
        <v>2829</v>
      </c>
      <c r="BK250" t="s">
        <v>243</v>
      </c>
      <c r="BL250" t="s">
        <v>243</v>
      </c>
      <c r="BM250" t="s">
        <v>243</v>
      </c>
      <c r="BN250" t="s">
        <v>243</v>
      </c>
      <c r="BO250" t="s">
        <v>243</v>
      </c>
      <c r="BP250" t="s">
        <v>3644</v>
      </c>
      <c r="BQ250" t="s">
        <v>3644</v>
      </c>
      <c r="BR250" t="s">
        <v>243</v>
      </c>
      <c r="BS250" t="s">
        <v>243</v>
      </c>
      <c r="BT250" t="s">
        <v>243</v>
      </c>
      <c r="BU250" t="s">
        <v>243</v>
      </c>
      <c r="BV250" t="s">
        <v>2829</v>
      </c>
      <c r="BW250" t="s">
        <v>243</v>
      </c>
      <c r="BX250" t="s">
        <v>243</v>
      </c>
      <c r="BY250" t="s">
        <v>243</v>
      </c>
      <c r="BZ250" t="s">
        <v>243</v>
      </c>
      <c r="CA250" t="s">
        <v>243</v>
      </c>
      <c r="CB250" t="s">
        <v>2829</v>
      </c>
      <c r="CC250" t="s">
        <v>243</v>
      </c>
      <c r="CD250" t="s">
        <v>243</v>
      </c>
      <c r="CE250" t="s">
        <v>243</v>
      </c>
      <c r="CF250" t="s">
        <v>243</v>
      </c>
      <c r="CG250" t="s">
        <v>243</v>
      </c>
      <c r="CH250" t="s">
        <v>2829</v>
      </c>
      <c r="CI250" t="s">
        <v>243</v>
      </c>
      <c r="CJ250" t="s">
        <v>243</v>
      </c>
      <c r="CK250" t="s">
        <v>243</v>
      </c>
      <c r="CL250" t="s">
        <v>243</v>
      </c>
      <c r="CM250" t="s">
        <v>243</v>
      </c>
      <c r="CN250" t="s">
        <v>2942</v>
      </c>
      <c r="CO250" t="s">
        <v>2843</v>
      </c>
      <c r="CP250" t="s">
        <v>2844</v>
      </c>
      <c r="CQ250" t="s">
        <v>430</v>
      </c>
      <c r="CR250" t="s">
        <v>2984</v>
      </c>
      <c r="CS250" t="s">
        <v>431</v>
      </c>
      <c r="CT250" t="s">
        <v>430</v>
      </c>
      <c r="CU250" t="s">
        <v>2985</v>
      </c>
      <c r="CV250" t="s">
        <v>2986</v>
      </c>
      <c r="CW250" t="s">
        <v>2984</v>
      </c>
      <c r="CX250" t="s">
        <v>2848</v>
      </c>
      <c r="CY250" t="s">
        <v>3645</v>
      </c>
    </row>
    <row r="251" spans="1:103" ht="11.25" customHeight="1">
      <c r="A251" t="s">
        <v>243</v>
      </c>
      <c r="B251" t="s">
        <v>243</v>
      </c>
      <c r="C251" t="s">
        <v>243</v>
      </c>
      <c r="D251" t="s">
        <v>243</v>
      </c>
      <c r="E251" t="s">
        <v>243</v>
      </c>
      <c r="F251" t="s">
        <v>2816</v>
      </c>
      <c r="G251" t="s">
        <v>243</v>
      </c>
      <c r="H251" t="s">
        <v>243</v>
      </c>
      <c r="I251" t="s">
        <v>3931</v>
      </c>
      <c r="J251" t="s">
        <v>243</v>
      </c>
      <c r="K251" t="s">
        <v>3716</v>
      </c>
      <c r="L251" t="s">
        <v>243</v>
      </c>
      <c r="M251" t="s">
        <v>114</v>
      </c>
      <c r="N251" t="s">
        <v>243</v>
      </c>
      <c r="O251" t="s">
        <v>2819</v>
      </c>
      <c r="P251" t="s">
        <v>4449</v>
      </c>
      <c r="Q251" t="s">
        <v>2821</v>
      </c>
      <c r="R251" t="s">
        <v>200</v>
      </c>
      <c r="S251" t="s">
        <v>200</v>
      </c>
      <c r="T251" t="s">
        <v>2968</v>
      </c>
      <c r="U251" t="s">
        <v>2968</v>
      </c>
      <c r="V251" t="s">
        <v>2969</v>
      </c>
      <c r="W251" t="s">
        <v>3722</v>
      </c>
      <c r="X251" t="s">
        <v>3723</v>
      </c>
      <c r="Y251" t="s">
        <v>3932</v>
      </c>
      <c r="Z251" t="s">
        <v>3933</v>
      </c>
      <c r="AA251" t="s">
        <v>3117</v>
      </c>
      <c r="AB251" t="s">
        <v>3703</v>
      </c>
      <c r="AC251" t="s">
        <v>2829</v>
      </c>
      <c r="AD251" t="s">
        <v>2883</v>
      </c>
      <c r="AE251" t="s">
        <v>2857</v>
      </c>
      <c r="AF251" t="s">
        <v>3934</v>
      </c>
      <c r="AG251" t="s">
        <v>3934</v>
      </c>
      <c r="AH251" t="s">
        <v>2834</v>
      </c>
      <c r="AI251" t="s">
        <v>2835</v>
      </c>
      <c r="AJ251" t="s">
        <v>3130</v>
      </c>
      <c r="AK251" t="s">
        <v>3729</v>
      </c>
      <c r="AL251" t="s">
        <v>3117</v>
      </c>
      <c r="AM251" t="s">
        <v>3935</v>
      </c>
      <c r="AN251" t="s">
        <v>2829</v>
      </c>
      <c r="AO251" t="s">
        <v>2839</v>
      </c>
      <c r="AP251" t="s">
        <v>2840</v>
      </c>
      <c r="AQ251" t="s">
        <v>2841</v>
      </c>
      <c r="AR251" t="s">
        <v>3936</v>
      </c>
      <c r="AS251" t="s">
        <v>3936</v>
      </c>
      <c r="AT251" t="s">
        <v>2829</v>
      </c>
      <c r="AU251" t="s">
        <v>2829</v>
      </c>
      <c r="AV251" t="s">
        <v>2829</v>
      </c>
      <c r="AW251" t="s">
        <v>2829</v>
      </c>
      <c r="AX251" t="s">
        <v>2829</v>
      </c>
      <c r="AY251" t="s">
        <v>2829</v>
      </c>
      <c r="AZ251" t="s">
        <v>2829</v>
      </c>
      <c r="BA251" t="s">
        <v>2829</v>
      </c>
      <c r="BB251" t="s">
        <v>2829</v>
      </c>
      <c r="BC251" t="s">
        <v>2829</v>
      </c>
      <c r="BD251" t="s">
        <v>2829</v>
      </c>
      <c r="BE251" t="s">
        <v>243</v>
      </c>
      <c r="BF251" t="s">
        <v>243</v>
      </c>
      <c r="BG251" t="s">
        <v>243</v>
      </c>
      <c r="BH251" t="s">
        <v>243</v>
      </c>
      <c r="BI251" t="s">
        <v>243</v>
      </c>
      <c r="BJ251" t="s">
        <v>2829</v>
      </c>
      <c r="BK251" t="s">
        <v>243</v>
      </c>
      <c r="BL251" t="s">
        <v>243</v>
      </c>
      <c r="BM251" t="s">
        <v>243</v>
      </c>
      <c r="BN251" t="s">
        <v>243</v>
      </c>
      <c r="BO251" t="s">
        <v>243</v>
      </c>
      <c r="BP251" t="s">
        <v>3936</v>
      </c>
      <c r="BQ251" t="s">
        <v>3936</v>
      </c>
      <c r="BR251" t="s">
        <v>243</v>
      </c>
      <c r="BS251" t="s">
        <v>243</v>
      </c>
      <c r="BT251" t="s">
        <v>243</v>
      </c>
      <c r="BU251" t="s">
        <v>243</v>
      </c>
      <c r="BV251" t="s">
        <v>2829</v>
      </c>
      <c r="BW251" t="s">
        <v>243</v>
      </c>
      <c r="BX251" t="s">
        <v>243</v>
      </c>
      <c r="BY251" t="s">
        <v>243</v>
      </c>
      <c r="BZ251" t="s">
        <v>243</v>
      </c>
      <c r="CA251" t="s">
        <v>243</v>
      </c>
      <c r="CB251" t="s">
        <v>2829</v>
      </c>
      <c r="CC251" t="s">
        <v>243</v>
      </c>
      <c r="CD251" t="s">
        <v>243</v>
      </c>
      <c r="CE251" t="s">
        <v>243</v>
      </c>
      <c r="CF251" t="s">
        <v>243</v>
      </c>
      <c r="CG251" t="s">
        <v>243</v>
      </c>
      <c r="CH251" t="s">
        <v>2829</v>
      </c>
      <c r="CI251" t="s">
        <v>243</v>
      </c>
      <c r="CJ251" t="s">
        <v>243</v>
      </c>
      <c r="CK251" t="s">
        <v>243</v>
      </c>
      <c r="CL251" t="s">
        <v>243</v>
      </c>
      <c r="CM251" t="s">
        <v>243</v>
      </c>
      <c r="CN251" t="s">
        <v>3010</v>
      </c>
      <c r="CO251" t="s">
        <v>2843</v>
      </c>
      <c r="CP251" t="s">
        <v>2844</v>
      </c>
      <c r="CQ251" t="s">
        <v>430</v>
      </c>
      <c r="CR251" t="s">
        <v>2984</v>
      </c>
      <c r="CS251" t="s">
        <v>431</v>
      </c>
      <c r="CT251" t="s">
        <v>430</v>
      </c>
      <c r="CU251" t="s">
        <v>2985</v>
      </c>
      <c r="CV251" t="s">
        <v>2986</v>
      </c>
      <c r="CW251" t="s">
        <v>2984</v>
      </c>
      <c r="CX251" t="s">
        <v>2848</v>
      </c>
      <c r="CY251" t="s">
        <v>3937</v>
      </c>
    </row>
    <row r="252" spans="1:103" ht="11.25" customHeight="1">
      <c r="A252" t="s">
        <v>243</v>
      </c>
      <c r="B252" t="s">
        <v>243</v>
      </c>
      <c r="C252" t="s">
        <v>243</v>
      </c>
      <c r="D252" t="s">
        <v>243</v>
      </c>
      <c r="E252" t="s">
        <v>243</v>
      </c>
      <c r="F252" t="s">
        <v>2816</v>
      </c>
      <c r="G252" t="s">
        <v>243</v>
      </c>
      <c r="H252" t="s">
        <v>243</v>
      </c>
      <c r="I252" t="s">
        <v>4359</v>
      </c>
      <c r="J252" t="s">
        <v>243</v>
      </c>
      <c r="K252" t="s">
        <v>4360</v>
      </c>
      <c r="L252" t="s">
        <v>243</v>
      </c>
      <c r="M252" t="s">
        <v>114</v>
      </c>
      <c r="N252" t="s">
        <v>243</v>
      </c>
      <c r="O252" t="s">
        <v>2819</v>
      </c>
      <c r="P252" t="s">
        <v>4449</v>
      </c>
      <c r="Q252" t="s">
        <v>2821</v>
      </c>
      <c r="R252" t="s">
        <v>200</v>
      </c>
      <c r="S252" t="s">
        <v>200</v>
      </c>
      <c r="T252" t="s">
        <v>3022</v>
      </c>
      <c r="U252" t="s">
        <v>3022</v>
      </c>
      <c r="V252" t="s">
        <v>3023</v>
      </c>
      <c r="W252" t="s">
        <v>4361</v>
      </c>
      <c r="X252" t="s">
        <v>4362</v>
      </c>
      <c r="Y252" t="s">
        <v>4363</v>
      </c>
      <c r="Z252" t="s">
        <v>865</v>
      </c>
      <c r="AA252" t="s">
        <v>3095</v>
      </c>
      <c r="AB252" t="s">
        <v>4364</v>
      </c>
      <c r="AC252" t="s">
        <v>2829</v>
      </c>
      <c r="AD252" t="s">
        <v>2883</v>
      </c>
      <c r="AE252" t="s">
        <v>2831</v>
      </c>
      <c r="AF252" t="s">
        <v>4365</v>
      </c>
      <c r="AG252" t="s">
        <v>4365</v>
      </c>
      <c r="AH252" t="s">
        <v>2834</v>
      </c>
      <c r="AI252" t="s">
        <v>2835</v>
      </c>
      <c r="AJ252" t="s">
        <v>3030</v>
      </c>
      <c r="AK252" t="s">
        <v>3760</v>
      </c>
      <c r="AL252" t="s">
        <v>3095</v>
      </c>
      <c r="AM252" t="s">
        <v>4364</v>
      </c>
      <c r="AN252" t="s">
        <v>2829</v>
      </c>
      <c r="AO252" t="s">
        <v>2839</v>
      </c>
      <c r="AP252" t="s">
        <v>2840</v>
      </c>
      <c r="AQ252" t="s">
        <v>2841</v>
      </c>
      <c r="AR252" t="s">
        <v>3631</v>
      </c>
      <c r="AS252" t="s">
        <v>3631</v>
      </c>
      <c r="AT252" t="s">
        <v>2829</v>
      </c>
      <c r="AU252" t="s">
        <v>2829</v>
      </c>
      <c r="AV252" t="s">
        <v>2829</v>
      </c>
      <c r="AW252" t="s">
        <v>2829</v>
      </c>
      <c r="AX252" t="s">
        <v>2829</v>
      </c>
      <c r="AY252" t="s">
        <v>2829</v>
      </c>
      <c r="AZ252" t="s">
        <v>2829</v>
      </c>
      <c r="BA252" t="s">
        <v>2829</v>
      </c>
      <c r="BB252" t="s">
        <v>2829</v>
      </c>
      <c r="BC252" t="s">
        <v>2829</v>
      </c>
      <c r="BD252" t="s">
        <v>2829</v>
      </c>
      <c r="BE252" t="s">
        <v>243</v>
      </c>
      <c r="BF252" t="s">
        <v>243</v>
      </c>
      <c r="BG252" t="s">
        <v>243</v>
      </c>
      <c r="BH252" t="s">
        <v>243</v>
      </c>
      <c r="BI252" t="s">
        <v>243</v>
      </c>
      <c r="BJ252" t="s">
        <v>2829</v>
      </c>
      <c r="BK252" t="s">
        <v>243</v>
      </c>
      <c r="BL252" t="s">
        <v>243</v>
      </c>
      <c r="BM252" t="s">
        <v>243</v>
      </c>
      <c r="BN252" t="s">
        <v>243</v>
      </c>
      <c r="BO252" t="s">
        <v>243</v>
      </c>
      <c r="BP252" t="s">
        <v>3731</v>
      </c>
      <c r="BQ252" t="s">
        <v>3731</v>
      </c>
      <c r="BR252" t="s">
        <v>243</v>
      </c>
      <c r="BS252" t="s">
        <v>243</v>
      </c>
      <c r="BT252" t="s">
        <v>243</v>
      </c>
      <c r="BU252" t="s">
        <v>243</v>
      </c>
      <c r="BV252" t="s">
        <v>2829</v>
      </c>
      <c r="BW252" t="s">
        <v>243</v>
      </c>
      <c r="BX252" t="s">
        <v>243</v>
      </c>
      <c r="BY252" t="s">
        <v>243</v>
      </c>
      <c r="BZ252" t="s">
        <v>243</v>
      </c>
      <c r="CA252" t="s">
        <v>243</v>
      </c>
      <c r="CB252" t="s">
        <v>2907</v>
      </c>
      <c r="CC252" t="s">
        <v>2907</v>
      </c>
      <c r="CD252" t="s">
        <v>243</v>
      </c>
      <c r="CE252" t="s">
        <v>243</v>
      </c>
      <c r="CF252" t="s">
        <v>243</v>
      </c>
      <c r="CG252" t="s">
        <v>243</v>
      </c>
      <c r="CH252" t="s">
        <v>2829</v>
      </c>
      <c r="CI252" t="s">
        <v>243</v>
      </c>
      <c r="CJ252" t="s">
        <v>243</v>
      </c>
      <c r="CK252" t="s">
        <v>243</v>
      </c>
      <c r="CL252" t="s">
        <v>243</v>
      </c>
      <c r="CM252" t="s">
        <v>243</v>
      </c>
      <c r="CN252" t="s">
        <v>3041</v>
      </c>
      <c r="CO252" t="s">
        <v>2843</v>
      </c>
      <c r="CP252" t="s">
        <v>2844</v>
      </c>
      <c r="CQ252" t="s">
        <v>430</v>
      </c>
      <c r="CR252" t="s">
        <v>3033</v>
      </c>
      <c r="CS252" t="s">
        <v>431</v>
      </c>
      <c r="CT252" t="s">
        <v>430</v>
      </c>
      <c r="CU252" t="s">
        <v>3034</v>
      </c>
      <c r="CV252" t="s">
        <v>432</v>
      </c>
      <c r="CW252" t="s">
        <v>3033</v>
      </c>
      <c r="CX252" t="s">
        <v>2848</v>
      </c>
      <c r="CY252" t="s">
        <v>4366</v>
      </c>
    </row>
    <row r="253" spans="1:103" ht="11.25" customHeight="1">
      <c r="A253" t="s">
        <v>243</v>
      </c>
      <c r="B253" t="s">
        <v>243</v>
      </c>
      <c r="C253" t="s">
        <v>243</v>
      </c>
      <c r="D253" t="s">
        <v>243</v>
      </c>
      <c r="E253" t="s">
        <v>243</v>
      </c>
      <c r="F253" t="s">
        <v>2816</v>
      </c>
      <c r="G253" t="s">
        <v>243</v>
      </c>
      <c r="H253" t="s">
        <v>243</v>
      </c>
      <c r="I253" t="s">
        <v>4346</v>
      </c>
      <c r="J253" t="s">
        <v>243</v>
      </c>
      <c r="K253" t="s">
        <v>4347</v>
      </c>
      <c r="L253" t="s">
        <v>243</v>
      </c>
      <c r="M253" t="s">
        <v>114</v>
      </c>
      <c r="N253" t="s">
        <v>243</v>
      </c>
      <c r="O253" t="s">
        <v>2819</v>
      </c>
      <c r="P253" t="s">
        <v>4449</v>
      </c>
      <c r="Q253" t="s">
        <v>2821</v>
      </c>
      <c r="R253" t="s">
        <v>200</v>
      </c>
      <c r="S253" t="s">
        <v>200</v>
      </c>
      <c r="T253" t="s">
        <v>3022</v>
      </c>
      <c r="U253" t="s">
        <v>3022</v>
      </c>
      <c r="V253" t="s">
        <v>3023</v>
      </c>
      <c r="W253" t="s">
        <v>4348</v>
      </c>
      <c r="X253" t="s">
        <v>4349</v>
      </c>
      <c r="Y253" t="s">
        <v>3610</v>
      </c>
      <c r="Z253" t="s">
        <v>3202</v>
      </c>
      <c r="AA253" t="s">
        <v>4350</v>
      </c>
      <c r="AB253" t="s">
        <v>3117</v>
      </c>
      <c r="AC253" t="s">
        <v>2829</v>
      </c>
      <c r="AD253" t="s">
        <v>2883</v>
      </c>
      <c r="AE253" t="s">
        <v>2831</v>
      </c>
      <c r="AF253" t="s">
        <v>4351</v>
      </c>
      <c r="AG253" t="s">
        <v>4351</v>
      </c>
      <c r="AH253" t="s">
        <v>2834</v>
      </c>
      <c r="AI253" t="s">
        <v>2835</v>
      </c>
      <c r="AJ253" t="s">
        <v>3030</v>
      </c>
      <c r="AK253" t="s">
        <v>4352</v>
      </c>
      <c r="AL253" t="s">
        <v>4350</v>
      </c>
      <c r="AM253" t="s">
        <v>3117</v>
      </c>
      <c r="AN253" t="s">
        <v>2829</v>
      </c>
      <c r="AO253" t="s">
        <v>2839</v>
      </c>
      <c r="AP253" t="s">
        <v>2840</v>
      </c>
      <c r="AQ253" t="s">
        <v>2841</v>
      </c>
      <c r="AR253" t="s">
        <v>3111</v>
      </c>
      <c r="AS253" t="s">
        <v>3111</v>
      </c>
      <c r="AT253" t="s">
        <v>2829</v>
      </c>
      <c r="AU253" t="s">
        <v>2829</v>
      </c>
      <c r="AV253" t="s">
        <v>2829</v>
      </c>
      <c r="AW253" t="s">
        <v>2829</v>
      </c>
      <c r="AX253" t="s">
        <v>2829</v>
      </c>
      <c r="AY253" t="s">
        <v>2829</v>
      </c>
      <c r="AZ253" t="s">
        <v>2829</v>
      </c>
      <c r="BA253" t="s">
        <v>2829</v>
      </c>
      <c r="BB253" t="s">
        <v>2829</v>
      </c>
      <c r="BC253" t="s">
        <v>2829</v>
      </c>
      <c r="BD253" t="s">
        <v>2829</v>
      </c>
      <c r="BE253" t="s">
        <v>243</v>
      </c>
      <c r="BF253" t="s">
        <v>243</v>
      </c>
      <c r="BG253" t="s">
        <v>243</v>
      </c>
      <c r="BH253" t="s">
        <v>243</v>
      </c>
      <c r="BI253" t="s">
        <v>243</v>
      </c>
      <c r="BJ253" t="s">
        <v>2829</v>
      </c>
      <c r="BK253" t="s">
        <v>243</v>
      </c>
      <c r="BL253" t="s">
        <v>243</v>
      </c>
      <c r="BM253" t="s">
        <v>243</v>
      </c>
      <c r="BN253" t="s">
        <v>243</v>
      </c>
      <c r="BO253" t="s">
        <v>243</v>
      </c>
      <c r="BP253" t="s">
        <v>3111</v>
      </c>
      <c r="BQ253" t="s">
        <v>3111</v>
      </c>
      <c r="BR253" t="s">
        <v>243</v>
      </c>
      <c r="BS253" t="s">
        <v>243</v>
      </c>
      <c r="BT253" t="s">
        <v>243</v>
      </c>
      <c r="BU253" t="s">
        <v>243</v>
      </c>
      <c r="BV253" t="s">
        <v>2829</v>
      </c>
      <c r="BW253" t="s">
        <v>243</v>
      </c>
      <c r="BX253" t="s">
        <v>243</v>
      </c>
      <c r="BY253" t="s">
        <v>243</v>
      </c>
      <c r="BZ253" t="s">
        <v>243</v>
      </c>
      <c r="CA253" t="s">
        <v>243</v>
      </c>
      <c r="CB253" t="s">
        <v>2829</v>
      </c>
      <c r="CC253" t="s">
        <v>243</v>
      </c>
      <c r="CD253" t="s">
        <v>243</v>
      </c>
      <c r="CE253" t="s">
        <v>243</v>
      </c>
      <c r="CF253" t="s">
        <v>243</v>
      </c>
      <c r="CG253" t="s">
        <v>243</v>
      </c>
      <c r="CH253" t="s">
        <v>2829</v>
      </c>
      <c r="CI253" t="s">
        <v>243</v>
      </c>
      <c r="CJ253" t="s">
        <v>243</v>
      </c>
      <c r="CK253" t="s">
        <v>243</v>
      </c>
      <c r="CL253" t="s">
        <v>243</v>
      </c>
      <c r="CM253" t="s">
        <v>243</v>
      </c>
      <c r="CN253" t="s">
        <v>3044</v>
      </c>
      <c r="CO253" t="s">
        <v>2843</v>
      </c>
      <c r="CP253" t="s">
        <v>2844</v>
      </c>
      <c r="CQ253" t="s">
        <v>430</v>
      </c>
      <c r="CR253" t="s">
        <v>3033</v>
      </c>
      <c r="CS253" t="s">
        <v>431</v>
      </c>
      <c r="CT253" t="s">
        <v>430</v>
      </c>
      <c r="CU253" t="s">
        <v>3034</v>
      </c>
      <c r="CV253" t="s">
        <v>432</v>
      </c>
      <c r="CW253" t="s">
        <v>3033</v>
      </c>
      <c r="CX253" t="s">
        <v>2848</v>
      </c>
      <c r="CY253" t="s">
        <v>4353</v>
      </c>
    </row>
    <row r="254" spans="1:103" ht="11.25" customHeight="1">
      <c r="A254" t="s">
        <v>243</v>
      </c>
      <c r="B254" t="s">
        <v>243</v>
      </c>
      <c r="C254" t="s">
        <v>243</v>
      </c>
      <c r="D254" t="s">
        <v>243</v>
      </c>
      <c r="E254" t="s">
        <v>243</v>
      </c>
      <c r="F254" t="s">
        <v>2816</v>
      </c>
      <c r="G254" t="s">
        <v>243</v>
      </c>
      <c r="H254" t="s">
        <v>243</v>
      </c>
      <c r="I254" t="s">
        <v>4371</v>
      </c>
      <c r="J254" t="s">
        <v>243</v>
      </c>
      <c r="K254" t="s">
        <v>2818</v>
      </c>
      <c r="L254" t="s">
        <v>243</v>
      </c>
      <c r="M254" t="s">
        <v>114</v>
      </c>
      <c r="N254" t="s">
        <v>243</v>
      </c>
      <c r="O254" t="s">
        <v>2819</v>
      </c>
      <c r="P254" t="s">
        <v>4449</v>
      </c>
      <c r="Q254" t="s">
        <v>2821</v>
      </c>
      <c r="R254" t="s">
        <v>200</v>
      </c>
      <c r="S254" t="s">
        <v>200</v>
      </c>
      <c r="T254" t="s">
        <v>2822</v>
      </c>
      <c r="U254" t="s">
        <v>2822</v>
      </c>
      <c r="V254" t="s">
        <v>2823</v>
      </c>
      <c r="W254" t="s">
        <v>4080</v>
      </c>
      <c r="X254" t="s">
        <v>4081</v>
      </c>
      <c r="Y254" t="s">
        <v>3610</v>
      </c>
      <c r="Z254" t="s">
        <v>3874</v>
      </c>
      <c r="AA254" t="s">
        <v>3875</v>
      </c>
      <c r="AB254" t="s">
        <v>3217</v>
      </c>
      <c r="AC254" t="s">
        <v>243</v>
      </c>
      <c r="AD254" t="s">
        <v>2830</v>
      </c>
      <c r="AE254" t="s">
        <v>2831</v>
      </c>
      <c r="AF254" t="s">
        <v>4300</v>
      </c>
      <c r="AG254" t="s">
        <v>4300</v>
      </c>
      <c r="AH254" t="s">
        <v>2834</v>
      </c>
      <c r="AI254" t="s">
        <v>2835</v>
      </c>
      <c r="AJ254" t="s">
        <v>3287</v>
      </c>
      <c r="AK254" t="s">
        <v>2873</v>
      </c>
      <c r="AL254" t="s">
        <v>3875</v>
      </c>
      <c r="AM254" t="s">
        <v>3876</v>
      </c>
      <c r="AN254" t="s">
        <v>243</v>
      </c>
      <c r="AO254" t="s">
        <v>2839</v>
      </c>
      <c r="AP254" t="s">
        <v>2840</v>
      </c>
      <c r="AQ254" t="s">
        <v>2841</v>
      </c>
      <c r="AR254" t="s">
        <v>2842</v>
      </c>
      <c r="AS254" t="s">
        <v>2842</v>
      </c>
      <c r="AT254" t="s">
        <v>2829</v>
      </c>
      <c r="AU254" t="s">
        <v>2829</v>
      </c>
      <c r="AV254" t="s">
        <v>2829</v>
      </c>
      <c r="AW254" t="s">
        <v>2829</v>
      </c>
      <c r="AX254" t="s">
        <v>2829</v>
      </c>
      <c r="AY254" t="s">
        <v>2829</v>
      </c>
      <c r="AZ254" t="s">
        <v>2829</v>
      </c>
      <c r="BA254" t="s">
        <v>2829</v>
      </c>
      <c r="BB254" t="s">
        <v>2829</v>
      </c>
      <c r="BC254" t="s">
        <v>2829</v>
      </c>
      <c r="BD254" t="s">
        <v>2842</v>
      </c>
      <c r="BE254" t="s">
        <v>2842</v>
      </c>
      <c r="BF254" t="s">
        <v>243</v>
      </c>
      <c r="BG254" t="s">
        <v>243</v>
      </c>
      <c r="BH254" t="s">
        <v>243</v>
      </c>
      <c r="BI254" t="s">
        <v>243</v>
      </c>
      <c r="BJ254" t="s">
        <v>2829</v>
      </c>
      <c r="BK254" t="s">
        <v>243</v>
      </c>
      <c r="BL254" t="s">
        <v>243</v>
      </c>
      <c r="BM254" t="s">
        <v>243</v>
      </c>
      <c r="BN254" t="s">
        <v>243</v>
      </c>
      <c r="BO254" t="s">
        <v>243</v>
      </c>
      <c r="BP254" t="s">
        <v>2829</v>
      </c>
      <c r="BQ254" t="s">
        <v>243</v>
      </c>
      <c r="BR254" t="s">
        <v>243</v>
      </c>
      <c r="BS254" t="s">
        <v>243</v>
      </c>
      <c r="BT254" t="s">
        <v>243</v>
      </c>
      <c r="BU254" t="s">
        <v>243</v>
      </c>
      <c r="BV254" t="s">
        <v>2829</v>
      </c>
      <c r="BW254" t="s">
        <v>243</v>
      </c>
      <c r="BX254" t="s">
        <v>243</v>
      </c>
      <c r="BY254" t="s">
        <v>243</v>
      </c>
      <c r="BZ254" t="s">
        <v>243</v>
      </c>
      <c r="CA254" t="s">
        <v>243</v>
      </c>
      <c r="CB254" t="s">
        <v>2829</v>
      </c>
      <c r="CC254" t="s">
        <v>243</v>
      </c>
      <c r="CD254" t="s">
        <v>243</v>
      </c>
      <c r="CE254" t="s">
        <v>243</v>
      </c>
      <c r="CF254" t="s">
        <v>243</v>
      </c>
      <c r="CG254" t="s">
        <v>243</v>
      </c>
      <c r="CH254" t="s">
        <v>2829</v>
      </c>
      <c r="CI254" t="s">
        <v>243</v>
      </c>
      <c r="CJ254" t="s">
        <v>243</v>
      </c>
      <c r="CK254" t="s">
        <v>243</v>
      </c>
      <c r="CL254" t="s">
        <v>243</v>
      </c>
      <c r="CM254" t="s">
        <v>243</v>
      </c>
      <c r="CN254" t="s">
        <v>3287</v>
      </c>
      <c r="CO254" t="s">
        <v>2843</v>
      </c>
      <c r="CP254" t="s">
        <v>2844</v>
      </c>
      <c r="CQ254" t="s">
        <v>430</v>
      </c>
      <c r="CR254" t="s">
        <v>2872</v>
      </c>
      <c r="CS254" t="s">
        <v>431</v>
      </c>
      <c r="CT254" t="s">
        <v>430</v>
      </c>
      <c r="CU254" t="s">
        <v>2846</v>
      </c>
      <c r="CV254" t="s">
        <v>2873</v>
      </c>
      <c r="CW254" t="s">
        <v>2872</v>
      </c>
      <c r="CX254" t="s">
        <v>2848</v>
      </c>
      <c r="CY254" t="s">
        <v>4372</v>
      </c>
    </row>
    <row r="255" spans="1:103" ht="11.25" customHeight="1">
      <c r="A255" t="s">
        <v>243</v>
      </c>
      <c r="B255" t="s">
        <v>243</v>
      </c>
      <c r="C255" t="s">
        <v>243</v>
      </c>
      <c r="D255" t="s">
        <v>243</v>
      </c>
      <c r="E255" t="s">
        <v>243</v>
      </c>
      <c r="F255" t="s">
        <v>2816</v>
      </c>
      <c r="G255" t="s">
        <v>243</v>
      </c>
      <c r="H255" t="s">
        <v>243</v>
      </c>
      <c r="I255" t="s">
        <v>3177</v>
      </c>
      <c r="J255" t="s">
        <v>243</v>
      </c>
      <c r="K255" t="s">
        <v>3178</v>
      </c>
      <c r="L255" t="s">
        <v>243</v>
      </c>
      <c r="M255" t="s">
        <v>114</v>
      </c>
      <c r="N255" t="s">
        <v>243</v>
      </c>
      <c r="O255" t="s">
        <v>2819</v>
      </c>
      <c r="P255" t="s">
        <v>4449</v>
      </c>
      <c r="Q255" t="s">
        <v>2821</v>
      </c>
      <c r="R255" t="s">
        <v>200</v>
      </c>
      <c r="S255" t="s">
        <v>200</v>
      </c>
      <c r="T255" t="s">
        <v>3048</v>
      </c>
      <c r="U255" t="s">
        <v>3048</v>
      </c>
      <c r="V255" t="s">
        <v>3049</v>
      </c>
      <c r="W255" t="s">
        <v>3179</v>
      </c>
      <c r="X255" t="s">
        <v>3180</v>
      </c>
      <c r="Y255" t="s">
        <v>3181</v>
      </c>
      <c r="Z255" t="s">
        <v>440</v>
      </c>
      <c r="AA255" t="s">
        <v>3182</v>
      </c>
      <c r="AB255" t="s">
        <v>3183</v>
      </c>
      <c r="AC255" t="s">
        <v>2829</v>
      </c>
      <c r="AD255" t="s">
        <v>2883</v>
      </c>
      <c r="AE255" t="s">
        <v>2831</v>
      </c>
      <c r="AF255" t="s">
        <v>3055</v>
      </c>
      <c r="AG255" t="s">
        <v>3055</v>
      </c>
      <c r="AH255" t="s">
        <v>2834</v>
      </c>
      <c r="AI255" t="s">
        <v>2835</v>
      </c>
      <c r="AJ255" t="s">
        <v>3184</v>
      </c>
      <c r="AK255" t="s">
        <v>3185</v>
      </c>
      <c r="AL255" t="s">
        <v>3182</v>
      </c>
      <c r="AM255" t="s">
        <v>3183</v>
      </c>
      <c r="AN255" t="s">
        <v>2829</v>
      </c>
      <c r="AO255" t="s">
        <v>2839</v>
      </c>
      <c r="AP255" t="s">
        <v>2840</v>
      </c>
      <c r="AQ255" t="s">
        <v>2841</v>
      </c>
      <c r="AR255" t="s">
        <v>3186</v>
      </c>
      <c r="AS255" t="s">
        <v>3186</v>
      </c>
      <c r="AT255" t="s">
        <v>2829</v>
      </c>
      <c r="AU255" t="s">
        <v>2829</v>
      </c>
      <c r="AV255" t="s">
        <v>2829</v>
      </c>
      <c r="AW255" t="s">
        <v>2829</v>
      </c>
      <c r="AX255" t="s">
        <v>2829</v>
      </c>
      <c r="AY255" t="s">
        <v>2829</v>
      </c>
      <c r="AZ255" t="s">
        <v>2829</v>
      </c>
      <c r="BA255" t="s">
        <v>2829</v>
      </c>
      <c r="BB255" t="s">
        <v>2829</v>
      </c>
      <c r="BC255" t="s">
        <v>2829</v>
      </c>
      <c r="BD255" t="s">
        <v>3186</v>
      </c>
      <c r="BE255" t="s">
        <v>3186</v>
      </c>
      <c r="BF255" t="s">
        <v>243</v>
      </c>
      <c r="BG255" t="s">
        <v>243</v>
      </c>
      <c r="BH255" t="s">
        <v>243</v>
      </c>
      <c r="BI255" t="s">
        <v>243</v>
      </c>
      <c r="BJ255" t="s">
        <v>2829</v>
      </c>
      <c r="BK255" t="s">
        <v>243</v>
      </c>
      <c r="BL255" t="s">
        <v>243</v>
      </c>
      <c r="BM255" t="s">
        <v>243</v>
      </c>
      <c r="BN255" t="s">
        <v>243</v>
      </c>
      <c r="BO255" t="s">
        <v>243</v>
      </c>
      <c r="BP255" t="s">
        <v>2829</v>
      </c>
      <c r="BQ255" t="s">
        <v>243</v>
      </c>
      <c r="BR255" t="s">
        <v>243</v>
      </c>
      <c r="BS255" t="s">
        <v>243</v>
      </c>
      <c r="BT255" t="s">
        <v>243</v>
      </c>
      <c r="BU255" t="s">
        <v>243</v>
      </c>
      <c r="BV255" t="s">
        <v>2829</v>
      </c>
      <c r="BW255" t="s">
        <v>243</v>
      </c>
      <c r="BX255" t="s">
        <v>243</v>
      </c>
      <c r="BY255" t="s">
        <v>243</v>
      </c>
      <c r="BZ255" t="s">
        <v>243</v>
      </c>
      <c r="CA255" t="s">
        <v>243</v>
      </c>
      <c r="CB255" t="s">
        <v>2829</v>
      </c>
      <c r="CC255" t="s">
        <v>243</v>
      </c>
      <c r="CD255" t="s">
        <v>243</v>
      </c>
      <c r="CE255" t="s">
        <v>243</v>
      </c>
      <c r="CF255" t="s">
        <v>243</v>
      </c>
      <c r="CG255" t="s">
        <v>243</v>
      </c>
      <c r="CH255" t="s">
        <v>2829</v>
      </c>
      <c r="CI255" t="s">
        <v>243</v>
      </c>
      <c r="CJ255" t="s">
        <v>243</v>
      </c>
      <c r="CK255" t="s">
        <v>243</v>
      </c>
      <c r="CL255" t="s">
        <v>243</v>
      </c>
      <c r="CM255" t="s">
        <v>243</v>
      </c>
      <c r="CN255" t="s">
        <v>3187</v>
      </c>
      <c r="CO255" t="s">
        <v>2843</v>
      </c>
      <c r="CP255" t="s">
        <v>2844</v>
      </c>
      <c r="CQ255" t="s">
        <v>430</v>
      </c>
      <c r="CR255" t="s">
        <v>2872</v>
      </c>
      <c r="CS255" t="s">
        <v>431</v>
      </c>
      <c r="CT255" t="s">
        <v>430</v>
      </c>
      <c r="CU255" t="s">
        <v>3061</v>
      </c>
      <c r="CV255" t="s">
        <v>3062</v>
      </c>
      <c r="CW255" t="s">
        <v>2872</v>
      </c>
      <c r="CX255" t="s">
        <v>2848</v>
      </c>
      <c r="CY255" t="s">
        <v>3188</v>
      </c>
    </row>
    <row r="256" spans="1:103" ht="11.25" customHeight="1">
      <c r="A256" t="s">
        <v>243</v>
      </c>
      <c r="B256" t="s">
        <v>243</v>
      </c>
      <c r="C256" t="s">
        <v>243</v>
      </c>
      <c r="D256" t="s">
        <v>243</v>
      </c>
      <c r="E256" t="s">
        <v>243</v>
      </c>
      <c r="F256" t="s">
        <v>2816</v>
      </c>
      <c r="G256" t="s">
        <v>243</v>
      </c>
      <c r="H256" t="s">
        <v>243</v>
      </c>
      <c r="I256" t="s">
        <v>3685</v>
      </c>
      <c r="J256" t="s">
        <v>243</v>
      </c>
      <c r="K256" t="s">
        <v>3178</v>
      </c>
      <c r="L256" t="s">
        <v>243</v>
      </c>
      <c r="M256" t="s">
        <v>114</v>
      </c>
      <c r="N256" t="s">
        <v>243</v>
      </c>
      <c r="O256" t="s">
        <v>2819</v>
      </c>
      <c r="P256" t="s">
        <v>4449</v>
      </c>
      <c r="Q256" t="s">
        <v>2821</v>
      </c>
      <c r="R256" t="s">
        <v>200</v>
      </c>
      <c r="S256" t="s">
        <v>200</v>
      </c>
      <c r="T256" t="s">
        <v>3048</v>
      </c>
      <c r="U256" t="s">
        <v>3048</v>
      </c>
      <c r="V256" t="s">
        <v>3049</v>
      </c>
      <c r="W256" t="s">
        <v>3686</v>
      </c>
      <c r="X256" t="s">
        <v>3687</v>
      </c>
      <c r="Y256" t="s">
        <v>3610</v>
      </c>
      <c r="Z256" t="s">
        <v>3219</v>
      </c>
      <c r="AA256" t="s">
        <v>3393</v>
      </c>
      <c r="AB256" t="s">
        <v>3688</v>
      </c>
      <c r="AC256" t="s">
        <v>2829</v>
      </c>
      <c r="AD256" t="s">
        <v>2883</v>
      </c>
      <c r="AE256" t="s">
        <v>2831</v>
      </c>
      <c r="AF256" t="s">
        <v>3055</v>
      </c>
      <c r="AG256" t="s">
        <v>3055</v>
      </c>
      <c r="AH256" t="s">
        <v>2834</v>
      </c>
      <c r="AI256" t="s">
        <v>2835</v>
      </c>
      <c r="AJ256" t="s">
        <v>3008</v>
      </c>
      <c r="AK256" t="s">
        <v>3689</v>
      </c>
      <c r="AL256" t="s">
        <v>3393</v>
      </c>
      <c r="AM256" t="s">
        <v>3688</v>
      </c>
      <c r="AN256" t="s">
        <v>2829</v>
      </c>
      <c r="AO256" t="s">
        <v>2839</v>
      </c>
      <c r="AP256" t="s">
        <v>2840</v>
      </c>
      <c r="AQ256" t="s">
        <v>2841</v>
      </c>
      <c r="AR256" t="s">
        <v>3066</v>
      </c>
      <c r="AS256" t="s">
        <v>3066</v>
      </c>
      <c r="AT256" t="s">
        <v>2829</v>
      </c>
      <c r="AU256" t="s">
        <v>2829</v>
      </c>
      <c r="AV256" t="s">
        <v>2829</v>
      </c>
      <c r="AW256" t="s">
        <v>2829</v>
      </c>
      <c r="AX256" t="s">
        <v>2829</v>
      </c>
      <c r="AY256" t="s">
        <v>2829</v>
      </c>
      <c r="AZ256" t="s">
        <v>2829</v>
      </c>
      <c r="BA256" t="s">
        <v>2829</v>
      </c>
      <c r="BB256" t="s">
        <v>2829</v>
      </c>
      <c r="BC256" t="s">
        <v>2829</v>
      </c>
      <c r="BD256" t="s">
        <v>3066</v>
      </c>
      <c r="BE256" t="s">
        <v>3066</v>
      </c>
      <c r="BF256" t="s">
        <v>243</v>
      </c>
      <c r="BG256" t="s">
        <v>243</v>
      </c>
      <c r="BH256" t="s">
        <v>243</v>
      </c>
      <c r="BI256" t="s">
        <v>243</v>
      </c>
      <c r="BJ256" t="s">
        <v>2829</v>
      </c>
      <c r="BK256" t="s">
        <v>243</v>
      </c>
      <c r="BL256" t="s">
        <v>243</v>
      </c>
      <c r="BM256" t="s">
        <v>243</v>
      </c>
      <c r="BN256" t="s">
        <v>243</v>
      </c>
      <c r="BO256" t="s">
        <v>243</v>
      </c>
      <c r="BP256" t="s">
        <v>2829</v>
      </c>
      <c r="BQ256" t="s">
        <v>243</v>
      </c>
      <c r="BR256" t="s">
        <v>243</v>
      </c>
      <c r="BS256" t="s">
        <v>243</v>
      </c>
      <c r="BT256" t="s">
        <v>243</v>
      </c>
      <c r="BU256" t="s">
        <v>243</v>
      </c>
      <c r="BV256" t="s">
        <v>2829</v>
      </c>
      <c r="BW256" t="s">
        <v>243</v>
      </c>
      <c r="BX256" t="s">
        <v>243</v>
      </c>
      <c r="BY256" t="s">
        <v>243</v>
      </c>
      <c r="BZ256" t="s">
        <v>243</v>
      </c>
      <c r="CA256" t="s">
        <v>243</v>
      </c>
      <c r="CB256" t="s">
        <v>2829</v>
      </c>
      <c r="CC256" t="s">
        <v>243</v>
      </c>
      <c r="CD256" t="s">
        <v>243</v>
      </c>
      <c r="CE256" t="s">
        <v>243</v>
      </c>
      <c r="CF256" t="s">
        <v>243</v>
      </c>
      <c r="CG256" t="s">
        <v>243</v>
      </c>
      <c r="CH256" t="s">
        <v>2829</v>
      </c>
      <c r="CI256" t="s">
        <v>243</v>
      </c>
      <c r="CJ256" t="s">
        <v>243</v>
      </c>
      <c r="CK256" t="s">
        <v>243</v>
      </c>
      <c r="CL256" t="s">
        <v>243</v>
      </c>
      <c r="CM256" t="s">
        <v>243</v>
      </c>
      <c r="CN256" t="s">
        <v>3187</v>
      </c>
      <c r="CO256" t="s">
        <v>2843</v>
      </c>
      <c r="CP256" t="s">
        <v>2844</v>
      </c>
      <c r="CQ256" t="s">
        <v>430</v>
      </c>
      <c r="CR256" t="s">
        <v>2872</v>
      </c>
      <c r="CS256" t="s">
        <v>431</v>
      </c>
      <c r="CT256" t="s">
        <v>430</v>
      </c>
      <c r="CU256" t="s">
        <v>3061</v>
      </c>
      <c r="CV256" t="s">
        <v>3062</v>
      </c>
      <c r="CW256" t="s">
        <v>2872</v>
      </c>
      <c r="CX256" t="s">
        <v>2848</v>
      </c>
      <c r="CY256" t="s">
        <v>3690</v>
      </c>
    </row>
    <row r="257" spans="1:103" ht="11.25" customHeight="1">
      <c r="A257" t="s">
        <v>243</v>
      </c>
      <c r="B257" t="s">
        <v>243</v>
      </c>
      <c r="C257" t="s">
        <v>243</v>
      </c>
      <c r="D257" t="s">
        <v>243</v>
      </c>
      <c r="E257" t="s">
        <v>243</v>
      </c>
      <c r="F257" t="s">
        <v>2816</v>
      </c>
      <c r="G257" t="s">
        <v>243</v>
      </c>
      <c r="H257" t="s">
        <v>243</v>
      </c>
      <c r="I257" t="s">
        <v>879</v>
      </c>
      <c r="J257" t="s">
        <v>243</v>
      </c>
      <c r="K257" t="s">
        <v>3233</v>
      </c>
      <c r="L257" t="s">
        <v>243</v>
      </c>
      <c r="M257" t="s">
        <v>114</v>
      </c>
      <c r="N257" t="s">
        <v>243</v>
      </c>
      <c r="O257" t="s">
        <v>2819</v>
      </c>
      <c r="P257" t="s">
        <v>4449</v>
      </c>
      <c r="Q257" t="s">
        <v>2821</v>
      </c>
      <c r="R257" t="s">
        <v>200</v>
      </c>
      <c r="S257" t="s">
        <v>200</v>
      </c>
      <c r="T257" t="s">
        <v>2822</v>
      </c>
      <c r="U257" t="s">
        <v>2822</v>
      </c>
      <c r="V257" t="s">
        <v>2823</v>
      </c>
      <c r="W257" t="s">
        <v>3225</v>
      </c>
      <c r="X257" t="s">
        <v>3226</v>
      </c>
      <c r="Y257" t="s">
        <v>2826</v>
      </c>
      <c r="Z257" t="s">
        <v>3434</v>
      </c>
      <c r="AA257" t="s">
        <v>2966</v>
      </c>
      <c r="AB257" t="s">
        <v>4010</v>
      </c>
      <c r="AC257" t="s">
        <v>2829</v>
      </c>
      <c r="AD257" t="s">
        <v>2830</v>
      </c>
      <c r="AE257" t="s">
        <v>2831</v>
      </c>
      <c r="AF257" t="s">
        <v>4011</v>
      </c>
      <c r="AG257" t="s">
        <v>4012</v>
      </c>
      <c r="AH257" t="s">
        <v>2834</v>
      </c>
      <c r="AI257" t="s">
        <v>2835</v>
      </c>
      <c r="AJ257" t="s">
        <v>2960</v>
      </c>
      <c r="AK257" t="s">
        <v>3325</v>
      </c>
      <c r="AL257" t="s">
        <v>2966</v>
      </c>
      <c r="AM257" t="s">
        <v>4013</v>
      </c>
      <c r="AN257" t="s">
        <v>2829</v>
      </c>
      <c r="AO257" t="s">
        <v>2839</v>
      </c>
      <c r="AP257" t="s">
        <v>2840</v>
      </c>
      <c r="AQ257" t="s">
        <v>2841</v>
      </c>
      <c r="AR257" t="s">
        <v>4014</v>
      </c>
      <c r="AS257" t="s">
        <v>4014</v>
      </c>
      <c r="AT257" t="s">
        <v>2829</v>
      </c>
      <c r="AU257" t="s">
        <v>2829</v>
      </c>
      <c r="AV257" t="s">
        <v>2829</v>
      </c>
      <c r="AW257" t="s">
        <v>2829</v>
      </c>
      <c r="AX257" t="s">
        <v>2829</v>
      </c>
      <c r="AY257" t="s">
        <v>2829</v>
      </c>
      <c r="AZ257" t="s">
        <v>2829</v>
      </c>
      <c r="BA257" t="s">
        <v>2829</v>
      </c>
      <c r="BB257" t="s">
        <v>2829</v>
      </c>
      <c r="BC257" t="s">
        <v>2829</v>
      </c>
      <c r="BD257" t="s">
        <v>2829</v>
      </c>
      <c r="BE257" t="s">
        <v>243</v>
      </c>
      <c r="BF257" t="s">
        <v>243</v>
      </c>
      <c r="BG257" t="s">
        <v>243</v>
      </c>
      <c r="BH257" t="s">
        <v>243</v>
      </c>
      <c r="BI257" t="s">
        <v>243</v>
      </c>
      <c r="BJ257" t="s">
        <v>2829</v>
      </c>
      <c r="BK257" t="s">
        <v>243</v>
      </c>
      <c r="BL257" t="s">
        <v>243</v>
      </c>
      <c r="BM257" t="s">
        <v>243</v>
      </c>
      <c r="BN257" t="s">
        <v>243</v>
      </c>
      <c r="BO257" t="s">
        <v>243</v>
      </c>
      <c r="BP257" t="s">
        <v>2829</v>
      </c>
      <c r="BQ257" t="s">
        <v>243</v>
      </c>
      <c r="BR257" t="s">
        <v>243</v>
      </c>
      <c r="BS257" t="s">
        <v>243</v>
      </c>
      <c r="BT257" t="s">
        <v>243</v>
      </c>
      <c r="BU257" t="s">
        <v>243</v>
      </c>
      <c r="BV257" t="s">
        <v>2829</v>
      </c>
      <c r="BW257" t="s">
        <v>243</v>
      </c>
      <c r="BX257" t="s">
        <v>243</v>
      </c>
      <c r="BY257" t="s">
        <v>243</v>
      </c>
      <c r="BZ257" t="s">
        <v>243</v>
      </c>
      <c r="CA257" t="s">
        <v>243</v>
      </c>
      <c r="CB257" t="s">
        <v>4014</v>
      </c>
      <c r="CC257" t="s">
        <v>4014</v>
      </c>
      <c r="CD257" t="s">
        <v>243</v>
      </c>
      <c r="CE257" t="s">
        <v>243</v>
      </c>
      <c r="CF257" t="s">
        <v>243</v>
      </c>
      <c r="CG257" t="s">
        <v>243</v>
      </c>
      <c r="CH257" t="s">
        <v>2829</v>
      </c>
      <c r="CI257" t="s">
        <v>243</v>
      </c>
      <c r="CJ257" t="s">
        <v>243</v>
      </c>
      <c r="CK257" t="s">
        <v>243</v>
      </c>
      <c r="CL257" t="s">
        <v>243</v>
      </c>
      <c r="CM257" t="s">
        <v>243</v>
      </c>
      <c r="CN257" t="s">
        <v>2960</v>
      </c>
      <c r="CO257" t="s">
        <v>2843</v>
      </c>
      <c r="CP257" t="s">
        <v>2844</v>
      </c>
      <c r="CQ257" t="s">
        <v>430</v>
      </c>
      <c r="CR257" t="s">
        <v>2845</v>
      </c>
      <c r="CS257" t="s">
        <v>431</v>
      </c>
      <c r="CT257" t="s">
        <v>430</v>
      </c>
      <c r="CU257" t="s">
        <v>2846</v>
      </c>
      <c r="CV257" t="s">
        <v>2847</v>
      </c>
      <c r="CW257" t="s">
        <v>2845</v>
      </c>
      <c r="CX257" t="s">
        <v>2848</v>
      </c>
      <c r="CY257" t="s">
        <v>4015</v>
      </c>
    </row>
    <row r="258" spans="1:103" ht="11.25" customHeight="1">
      <c r="A258" t="s">
        <v>243</v>
      </c>
      <c r="B258" t="s">
        <v>243</v>
      </c>
      <c r="C258" t="s">
        <v>243</v>
      </c>
      <c r="D258" t="s">
        <v>243</v>
      </c>
      <c r="E258" t="s">
        <v>243</v>
      </c>
      <c r="F258" t="s">
        <v>2816</v>
      </c>
      <c r="G258" t="s">
        <v>243</v>
      </c>
      <c r="H258" t="s">
        <v>243</v>
      </c>
      <c r="I258" t="s">
        <v>883</v>
      </c>
      <c r="J258" t="s">
        <v>243</v>
      </c>
      <c r="K258" t="s">
        <v>3497</v>
      </c>
      <c r="L258" t="s">
        <v>243</v>
      </c>
      <c r="M258" t="s">
        <v>114</v>
      </c>
      <c r="N258" t="s">
        <v>243</v>
      </c>
      <c r="O258" t="s">
        <v>2819</v>
      </c>
      <c r="P258" t="s">
        <v>4449</v>
      </c>
      <c r="Q258" t="s">
        <v>2821</v>
      </c>
      <c r="R258" t="s">
        <v>200</v>
      </c>
      <c r="S258" t="s">
        <v>200</v>
      </c>
      <c r="T258" t="s">
        <v>2822</v>
      </c>
      <c r="U258" t="s">
        <v>2822</v>
      </c>
      <c r="V258" t="s">
        <v>2823</v>
      </c>
      <c r="W258" t="s">
        <v>3848</v>
      </c>
      <c r="X258" t="s">
        <v>3849</v>
      </c>
      <c r="Y258" t="s">
        <v>3850</v>
      </c>
      <c r="Z258" t="s">
        <v>3851</v>
      </c>
      <c r="AA258" t="s">
        <v>3852</v>
      </c>
      <c r="AB258" t="s">
        <v>3853</v>
      </c>
      <c r="AC258" t="s">
        <v>2829</v>
      </c>
      <c r="AD258" t="s">
        <v>2830</v>
      </c>
      <c r="AE258" t="s">
        <v>2831</v>
      </c>
      <c r="AF258" t="s">
        <v>3854</v>
      </c>
      <c r="AG258" t="s">
        <v>3855</v>
      </c>
      <c r="AH258" t="s">
        <v>2834</v>
      </c>
      <c r="AI258" t="s">
        <v>2835</v>
      </c>
      <c r="AJ258" t="s">
        <v>2960</v>
      </c>
      <c r="AK258" t="s">
        <v>3856</v>
      </c>
      <c r="AL258" t="s">
        <v>3852</v>
      </c>
      <c r="AM258" t="s">
        <v>3266</v>
      </c>
      <c r="AN258" t="s">
        <v>2829</v>
      </c>
      <c r="AO258" t="s">
        <v>2839</v>
      </c>
      <c r="AP258" t="s">
        <v>2840</v>
      </c>
      <c r="AQ258" t="s">
        <v>2841</v>
      </c>
      <c r="AR258" t="s">
        <v>3857</v>
      </c>
      <c r="AS258" t="s">
        <v>3857</v>
      </c>
      <c r="AT258" t="s">
        <v>2829</v>
      </c>
      <c r="AU258" t="s">
        <v>2829</v>
      </c>
      <c r="AV258" t="s">
        <v>2829</v>
      </c>
      <c r="AW258" t="s">
        <v>2829</v>
      </c>
      <c r="AX258" t="s">
        <v>2829</v>
      </c>
      <c r="AY258" t="s">
        <v>2829</v>
      </c>
      <c r="AZ258" t="s">
        <v>2829</v>
      </c>
      <c r="BA258" t="s">
        <v>2829</v>
      </c>
      <c r="BB258" t="s">
        <v>2829</v>
      </c>
      <c r="BC258" t="s">
        <v>2829</v>
      </c>
      <c r="BD258" t="s">
        <v>3858</v>
      </c>
      <c r="BE258" t="s">
        <v>3858</v>
      </c>
      <c r="BF258" t="s">
        <v>243</v>
      </c>
      <c r="BG258" t="s">
        <v>243</v>
      </c>
      <c r="BH258" t="s">
        <v>243</v>
      </c>
      <c r="BI258" t="s">
        <v>243</v>
      </c>
      <c r="BJ258" t="s">
        <v>2829</v>
      </c>
      <c r="BK258" t="s">
        <v>243</v>
      </c>
      <c r="BL258" t="s">
        <v>243</v>
      </c>
      <c r="BM258" t="s">
        <v>243</v>
      </c>
      <c r="BN258" t="s">
        <v>243</v>
      </c>
      <c r="BO258" t="s">
        <v>243</v>
      </c>
      <c r="BP258" t="s">
        <v>2829</v>
      </c>
      <c r="BQ258" t="s">
        <v>243</v>
      </c>
      <c r="BR258" t="s">
        <v>243</v>
      </c>
      <c r="BS258" t="s">
        <v>243</v>
      </c>
      <c r="BT258" t="s">
        <v>243</v>
      </c>
      <c r="BU258" t="s">
        <v>243</v>
      </c>
      <c r="BV258" t="s">
        <v>2829</v>
      </c>
      <c r="BW258" t="s">
        <v>243</v>
      </c>
      <c r="BX258" t="s">
        <v>243</v>
      </c>
      <c r="BY258" t="s">
        <v>243</v>
      </c>
      <c r="BZ258" t="s">
        <v>243</v>
      </c>
      <c r="CA258" t="s">
        <v>243</v>
      </c>
      <c r="CB258" t="s">
        <v>3858</v>
      </c>
      <c r="CC258" t="s">
        <v>3858</v>
      </c>
      <c r="CD258" t="s">
        <v>243</v>
      </c>
      <c r="CE258" t="s">
        <v>243</v>
      </c>
      <c r="CF258" t="s">
        <v>243</v>
      </c>
      <c r="CG258" t="s">
        <v>243</v>
      </c>
      <c r="CH258" t="s">
        <v>2829</v>
      </c>
      <c r="CI258" t="s">
        <v>243</v>
      </c>
      <c r="CJ258" t="s">
        <v>243</v>
      </c>
      <c r="CK258" t="s">
        <v>243</v>
      </c>
      <c r="CL258" t="s">
        <v>243</v>
      </c>
      <c r="CM258" t="s">
        <v>243</v>
      </c>
      <c r="CN258" t="s">
        <v>2960</v>
      </c>
      <c r="CO258" t="s">
        <v>2843</v>
      </c>
      <c r="CP258" t="s">
        <v>2844</v>
      </c>
      <c r="CQ258" t="s">
        <v>430</v>
      </c>
      <c r="CR258" t="s">
        <v>2845</v>
      </c>
      <c r="CS258" t="s">
        <v>431</v>
      </c>
      <c r="CT258" t="s">
        <v>430</v>
      </c>
      <c r="CU258" t="s">
        <v>2846</v>
      </c>
      <c r="CV258" t="s">
        <v>2847</v>
      </c>
      <c r="CW258" t="s">
        <v>2845</v>
      </c>
      <c r="CX258" t="s">
        <v>2848</v>
      </c>
      <c r="CY258" t="s">
        <v>3859</v>
      </c>
    </row>
    <row r="259" spans="1:103" ht="11.25" customHeight="1">
      <c r="A259" t="s">
        <v>243</v>
      </c>
      <c r="B259" t="s">
        <v>243</v>
      </c>
      <c r="C259" t="s">
        <v>243</v>
      </c>
      <c r="D259" t="s">
        <v>243</v>
      </c>
      <c r="E259" t="s">
        <v>243</v>
      </c>
      <c r="F259" t="s">
        <v>2816</v>
      </c>
      <c r="G259" t="s">
        <v>243</v>
      </c>
      <c r="H259" t="s">
        <v>243</v>
      </c>
      <c r="I259" t="s">
        <v>887</v>
      </c>
      <c r="J259" t="s">
        <v>243</v>
      </c>
      <c r="K259" t="s">
        <v>4068</v>
      </c>
      <c r="L259" t="s">
        <v>243</v>
      </c>
      <c r="M259" t="s">
        <v>114</v>
      </c>
      <c r="N259" t="s">
        <v>243</v>
      </c>
      <c r="O259" t="s">
        <v>2819</v>
      </c>
      <c r="P259" t="s">
        <v>4449</v>
      </c>
      <c r="Q259" t="s">
        <v>2821</v>
      </c>
      <c r="R259" t="s">
        <v>200</v>
      </c>
      <c r="S259" t="s">
        <v>200</v>
      </c>
      <c r="T259" t="s">
        <v>2822</v>
      </c>
      <c r="U259" t="s">
        <v>2822</v>
      </c>
      <c r="V259" t="s">
        <v>2823</v>
      </c>
      <c r="W259" t="s">
        <v>3848</v>
      </c>
      <c r="X259" t="s">
        <v>3849</v>
      </c>
      <c r="Y259" t="s">
        <v>3610</v>
      </c>
      <c r="Z259" t="s">
        <v>3249</v>
      </c>
      <c r="AA259" t="s">
        <v>2964</v>
      </c>
      <c r="AB259" t="s">
        <v>3600</v>
      </c>
      <c r="AC259" t="s">
        <v>2829</v>
      </c>
      <c r="AD259" t="s">
        <v>2830</v>
      </c>
      <c r="AE259" t="s">
        <v>2831</v>
      </c>
      <c r="AF259" t="s">
        <v>4069</v>
      </c>
      <c r="AG259" t="s">
        <v>4070</v>
      </c>
      <c r="AH259" t="s">
        <v>2834</v>
      </c>
      <c r="AI259" t="s">
        <v>2835</v>
      </c>
      <c r="AJ259" t="s">
        <v>2960</v>
      </c>
      <c r="AK259" t="s">
        <v>3325</v>
      </c>
      <c r="AL259" t="s">
        <v>2964</v>
      </c>
      <c r="AM259" t="s">
        <v>3595</v>
      </c>
      <c r="AN259" t="s">
        <v>2829</v>
      </c>
      <c r="AO259" t="s">
        <v>2839</v>
      </c>
      <c r="AP259" t="s">
        <v>2840</v>
      </c>
      <c r="AQ259" t="s">
        <v>2841</v>
      </c>
      <c r="AR259" t="s">
        <v>4071</v>
      </c>
      <c r="AS259" t="s">
        <v>4071</v>
      </c>
      <c r="AT259" t="s">
        <v>2829</v>
      </c>
      <c r="AU259" t="s">
        <v>2829</v>
      </c>
      <c r="AV259" t="s">
        <v>2829</v>
      </c>
      <c r="AW259" t="s">
        <v>2829</v>
      </c>
      <c r="AX259" t="s">
        <v>2829</v>
      </c>
      <c r="AY259" t="s">
        <v>2829</v>
      </c>
      <c r="AZ259" t="s">
        <v>2829</v>
      </c>
      <c r="BA259" t="s">
        <v>2829</v>
      </c>
      <c r="BB259" t="s">
        <v>2829</v>
      </c>
      <c r="BC259" t="s">
        <v>2829</v>
      </c>
      <c r="BD259" t="s">
        <v>2829</v>
      </c>
      <c r="BE259" t="s">
        <v>243</v>
      </c>
      <c r="BF259" t="s">
        <v>243</v>
      </c>
      <c r="BG259" t="s">
        <v>243</v>
      </c>
      <c r="BH259" t="s">
        <v>243</v>
      </c>
      <c r="BI259" t="s">
        <v>243</v>
      </c>
      <c r="BJ259" t="s">
        <v>2829</v>
      </c>
      <c r="BK259" t="s">
        <v>243</v>
      </c>
      <c r="BL259" t="s">
        <v>243</v>
      </c>
      <c r="BM259" t="s">
        <v>243</v>
      </c>
      <c r="BN259" t="s">
        <v>243</v>
      </c>
      <c r="BO259" t="s">
        <v>243</v>
      </c>
      <c r="BP259" t="s">
        <v>2829</v>
      </c>
      <c r="BQ259" t="s">
        <v>243</v>
      </c>
      <c r="BR259" t="s">
        <v>243</v>
      </c>
      <c r="BS259" t="s">
        <v>243</v>
      </c>
      <c r="BT259" t="s">
        <v>243</v>
      </c>
      <c r="BU259" t="s">
        <v>243</v>
      </c>
      <c r="BV259" t="s">
        <v>2829</v>
      </c>
      <c r="BW259" t="s">
        <v>243</v>
      </c>
      <c r="BX259" t="s">
        <v>243</v>
      </c>
      <c r="BY259" t="s">
        <v>243</v>
      </c>
      <c r="BZ259" t="s">
        <v>243</v>
      </c>
      <c r="CA259" t="s">
        <v>243</v>
      </c>
      <c r="CB259" t="s">
        <v>4071</v>
      </c>
      <c r="CC259" t="s">
        <v>4071</v>
      </c>
      <c r="CD259" t="s">
        <v>243</v>
      </c>
      <c r="CE259" t="s">
        <v>243</v>
      </c>
      <c r="CF259" t="s">
        <v>243</v>
      </c>
      <c r="CG259" t="s">
        <v>243</v>
      </c>
      <c r="CH259" t="s">
        <v>2829</v>
      </c>
      <c r="CI259" t="s">
        <v>243</v>
      </c>
      <c r="CJ259" t="s">
        <v>243</v>
      </c>
      <c r="CK259" t="s">
        <v>243</v>
      </c>
      <c r="CL259" t="s">
        <v>243</v>
      </c>
      <c r="CM259" t="s">
        <v>243</v>
      </c>
      <c r="CN259" t="s">
        <v>2960</v>
      </c>
      <c r="CO259" t="s">
        <v>2843</v>
      </c>
      <c r="CP259" t="s">
        <v>2844</v>
      </c>
      <c r="CQ259" t="s">
        <v>430</v>
      </c>
      <c r="CR259" t="s">
        <v>2845</v>
      </c>
      <c r="CS259" t="s">
        <v>431</v>
      </c>
      <c r="CT259" t="s">
        <v>430</v>
      </c>
      <c r="CU259" t="s">
        <v>2846</v>
      </c>
      <c r="CV259" t="s">
        <v>2847</v>
      </c>
      <c r="CW259" t="s">
        <v>2845</v>
      </c>
      <c r="CX259" t="s">
        <v>2848</v>
      </c>
      <c r="CY259" t="s">
        <v>4072</v>
      </c>
    </row>
    <row r="260" spans="1:103" ht="11.25" customHeight="1">
      <c r="A260" t="s">
        <v>243</v>
      </c>
      <c r="B260" t="s">
        <v>243</v>
      </c>
      <c r="C260" t="s">
        <v>243</v>
      </c>
      <c r="D260" t="s">
        <v>243</v>
      </c>
      <c r="E260" t="s">
        <v>243</v>
      </c>
      <c r="F260" t="s">
        <v>2816</v>
      </c>
      <c r="G260" t="s">
        <v>243</v>
      </c>
      <c r="H260" t="s">
        <v>243</v>
      </c>
      <c r="I260" t="s">
        <v>892</v>
      </c>
      <c r="J260" t="s">
        <v>243</v>
      </c>
      <c r="K260" t="s">
        <v>4073</v>
      </c>
      <c r="L260" t="s">
        <v>243</v>
      </c>
      <c r="M260" t="s">
        <v>114</v>
      </c>
      <c r="N260" t="s">
        <v>243</v>
      </c>
      <c r="O260" t="s">
        <v>2819</v>
      </c>
      <c r="P260" t="s">
        <v>4449</v>
      </c>
      <c r="Q260" t="s">
        <v>2821</v>
      </c>
      <c r="R260" t="s">
        <v>200</v>
      </c>
      <c r="S260" t="s">
        <v>200</v>
      </c>
      <c r="T260" t="s">
        <v>2822</v>
      </c>
      <c r="U260" t="s">
        <v>2822</v>
      </c>
      <c r="V260" t="s">
        <v>2823</v>
      </c>
      <c r="W260" t="s">
        <v>3848</v>
      </c>
      <c r="X260" t="s">
        <v>3849</v>
      </c>
      <c r="Y260" t="s">
        <v>3610</v>
      </c>
      <c r="Z260" t="s">
        <v>4074</v>
      </c>
      <c r="AA260" t="s">
        <v>3393</v>
      </c>
      <c r="AB260" t="s">
        <v>4075</v>
      </c>
      <c r="AC260" t="s">
        <v>2829</v>
      </c>
      <c r="AD260" t="s">
        <v>2830</v>
      </c>
      <c r="AE260" t="s">
        <v>2831</v>
      </c>
      <c r="AF260" t="s">
        <v>4076</v>
      </c>
      <c r="AG260" t="s">
        <v>4077</v>
      </c>
      <c r="AH260" t="s">
        <v>2834</v>
      </c>
      <c r="AI260" t="s">
        <v>2835</v>
      </c>
      <c r="AJ260" t="s">
        <v>2960</v>
      </c>
      <c r="AK260" t="s">
        <v>3325</v>
      </c>
      <c r="AL260" t="s">
        <v>3393</v>
      </c>
      <c r="AM260" t="s">
        <v>2859</v>
      </c>
      <c r="AN260" t="s">
        <v>2829</v>
      </c>
      <c r="AO260" t="s">
        <v>2839</v>
      </c>
      <c r="AP260" t="s">
        <v>2840</v>
      </c>
      <c r="AQ260" t="s">
        <v>2841</v>
      </c>
      <c r="AR260" t="s">
        <v>4078</v>
      </c>
      <c r="AS260" t="s">
        <v>4078</v>
      </c>
      <c r="AT260" t="s">
        <v>2829</v>
      </c>
      <c r="AU260" t="s">
        <v>2829</v>
      </c>
      <c r="AV260" t="s">
        <v>2829</v>
      </c>
      <c r="AW260" t="s">
        <v>2829</v>
      </c>
      <c r="AX260" t="s">
        <v>2829</v>
      </c>
      <c r="AY260" t="s">
        <v>2829</v>
      </c>
      <c r="AZ260" t="s">
        <v>2829</v>
      </c>
      <c r="BA260" t="s">
        <v>2829</v>
      </c>
      <c r="BB260" t="s">
        <v>2829</v>
      </c>
      <c r="BC260" t="s">
        <v>2829</v>
      </c>
      <c r="BD260" t="s">
        <v>4078</v>
      </c>
      <c r="BE260" t="s">
        <v>4078</v>
      </c>
      <c r="BF260" t="s">
        <v>243</v>
      </c>
      <c r="BG260" t="s">
        <v>243</v>
      </c>
      <c r="BH260" t="s">
        <v>243</v>
      </c>
      <c r="BI260" t="s">
        <v>243</v>
      </c>
      <c r="BJ260" t="s">
        <v>2829</v>
      </c>
      <c r="BK260" t="s">
        <v>243</v>
      </c>
      <c r="BL260" t="s">
        <v>243</v>
      </c>
      <c r="BM260" t="s">
        <v>243</v>
      </c>
      <c r="BN260" t="s">
        <v>243</v>
      </c>
      <c r="BO260" t="s">
        <v>243</v>
      </c>
      <c r="BP260" t="s">
        <v>2829</v>
      </c>
      <c r="BQ260" t="s">
        <v>243</v>
      </c>
      <c r="BR260" t="s">
        <v>243</v>
      </c>
      <c r="BS260" t="s">
        <v>243</v>
      </c>
      <c r="BT260" t="s">
        <v>243</v>
      </c>
      <c r="BU260" t="s">
        <v>243</v>
      </c>
      <c r="BV260" t="s">
        <v>2829</v>
      </c>
      <c r="BW260" t="s">
        <v>243</v>
      </c>
      <c r="BX260" t="s">
        <v>243</v>
      </c>
      <c r="BY260" t="s">
        <v>243</v>
      </c>
      <c r="BZ260" t="s">
        <v>243</v>
      </c>
      <c r="CA260" t="s">
        <v>243</v>
      </c>
      <c r="CB260" t="s">
        <v>2829</v>
      </c>
      <c r="CC260" t="s">
        <v>243</v>
      </c>
      <c r="CD260" t="s">
        <v>243</v>
      </c>
      <c r="CE260" t="s">
        <v>243</v>
      </c>
      <c r="CF260" t="s">
        <v>243</v>
      </c>
      <c r="CG260" t="s">
        <v>243</v>
      </c>
      <c r="CH260" t="s">
        <v>2829</v>
      </c>
      <c r="CI260" t="s">
        <v>243</v>
      </c>
      <c r="CJ260" t="s">
        <v>243</v>
      </c>
      <c r="CK260" t="s">
        <v>243</v>
      </c>
      <c r="CL260" t="s">
        <v>243</v>
      </c>
      <c r="CM260" t="s">
        <v>243</v>
      </c>
      <c r="CN260" t="s">
        <v>2960</v>
      </c>
      <c r="CO260" t="s">
        <v>2843</v>
      </c>
      <c r="CP260" t="s">
        <v>2844</v>
      </c>
      <c r="CQ260" t="s">
        <v>430</v>
      </c>
      <c r="CR260" t="s">
        <v>2845</v>
      </c>
      <c r="CS260" t="s">
        <v>431</v>
      </c>
      <c r="CT260" t="s">
        <v>430</v>
      </c>
      <c r="CU260" t="s">
        <v>2846</v>
      </c>
      <c r="CV260" t="s">
        <v>2847</v>
      </c>
      <c r="CW260" t="s">
        <v>2845</v>
      </c>
      <c r="CX260" t="s">
        <v>2848</v>
      </c>
      <c r="CY260" t="s">
        <v>4079</v>
      </c>
    </row>
    <row r="261" spans="1:103" ht="11.25" customHeight="1">
      <c r="A261" t="s">
        <v>243</v>
      </c>
      <c r="B261" t="s">
        <v>243</v>
      </c>
      <c r="C261" t="s">
        <v>243</v>
      </c>
      <c r="D261" t="s">
        <v>243</v>
      </c>
      <c r="E261" t="s">
        <v>243</v>
      </c>
      <c r="F261" t="s">
        <v>2816</v>
      </c>
      <c r="G261" t="s">
        <v>243</v>
      </c>
      <c r="H261" t="s">
        <v>243</v>
      </c>
      <c r="I261" t="s">
        <v>3199</v>
      </c>
      <c r="J261" t="s">
        <v>243</v>
      </c>
      <c r="K261" t="s">
        <v>2818</v>
      </c>
      <c r="L261" t="s">
        <v>243</v>
      </c>
      <c r="M261" t="s">
        <v>114</v>
      </c>
      <c r="N261" t="s">
        <v>243</v>
      </c>
      <c r="O261" t="s">
        <v>2819</v>
      </c>
      <c r="P261" t="s">
        <v>4449</v>
      </c>
      <c r="Q261" t="s">
        <v>2821</v>
      </c>
      <c r="R261" t="s">
        <v>200</v>
      </c>
      <c r="S261" t="s">
        <v>200</v>
      </c>
      <c r="T261" t="s">
        <v>2822</v>
      </c>
      <c r="U261" t="s">
        <v>2822</v>
      </c>
      <c r="V261" t="s">
        <v>2823</v>
      </c>
      <c r="W261" t="s">
        <v>3200</v>
      </c>
      <c r="X261" t="s">
        <v>3201</v>
      </c>
      <c r="Y261" t="s">
        <v>2929</v>
      </c>
      <c r="Z261" t="s">
        <v>3202</v>
      </c>
      <c r="AA261" t="s">
        <v>2865</v>
      </c>
      <c r="AB261" t="s">
        <v>3203</v>
      </c>
      <c r="AC261" t="s">
        <v>2829</v>
      </c>
      <c r="AD261" t="s">
        <v>2830</v>
      </c>
      <c r="AE261" t="s">
        <v>2857</v>
      </c>
      <c r="AF261" t="s">
        <v>2867</v>
      </c>
      <c r="AG261" t="s">
        <v>2867</v>
      </c>
      <c r="AH261" t="s">
        <v>2834</v>
      </c>
      <c r="AI261" t="s">
        <v>2835</v>
      </c>
      <c r="AJ261" t="s">
        <v>2829</v>
      </c>
      <c r="AK261" t="s">
        <v>2868</v>
      </c>
      <c r="AL261" t="s">
        <v>2865</v>
      </c>
      <c r="AM261" t="s">
        <v>2923</v>
      </c>
      <c r="AN261" t="s">
        <v>2829</v>
      </c>
      <c r="AO261" t="s">
        <v>2839</v>
      </c>
      <c r="AP261" t="s">
        <v>2840</v>
      </c>
      <c r="AQ261" t="s">
        <v>2841</v>
      </c>
      <c r="AR261" t="s">
        <v>3204</v>
      </c>
      <c r="AS261" t="s">
        <v>3204</v>
      </c>
      <c r="AT261" t="s">
        <v>2829</v>
      </c>
      <c r="AU261" t="s">
        <v>2829</v>
      </c>
      <c r="AV261" t="s">
        <v>2829</v>
      </c>
      <c r="AW261" t="s">
        <v>2829</v>
      </c>
      <c r="AX261" t="s">
        <v>3205</v>
      </c>
      <c r="AY261" t="s">
        <v>3205</v>
      </c>
      <c r="AZ261" t="s">
        <v>2829</v>
      </c>
      <c r="BA261" t="s">
        <v>2829</v>
      </c>
      <c r="BB261" t="s">
        <v>2829</v>
      </c>
      <c r="BC261" t="s">
        <v>2829</v>
      </c>
      <c r="BD261" t="s">
        <v>3206</v>
      </c>
      <c r="BE261" t="s">
        <v>3206</v>
      </c>
      <c r="BF261" t="s">
        <v>243</v>
      </c>
      <c r="BG261" t="s">
        <v>243</v>
      </c>
      <c r="BH261" t="s">
        <v>243</v>
      </c>
      <c r="BI261" t="s">
        <v>243</v>
      </c>
      <c r="BJ261" t="s">
        <v>3206</v>
      </c>
      <c r="BK261" t="s">
        <v>3206</v>
      </c>
      <c r="BL261" t="s">
        <v>243</v>
      </c>
      <c r="BM261" t="s">
        <v>243</v>
      </c>
      <c r="BN261" t="s">
        <v>243</v>
      </c>
      <c r="BO261" t="s">
        <v>243</v>
      </c>
      <c r="BP261" t="s">
        <v>3207</v>
      </c>
      <c r="BQ261" t="s">
        <v>3207</v>
      </c>
      <c r="BR261" t="s">
        <v>243</v>
      </c>
      <c r="BS261" t="s">
        <v>243</v>
      </c>
      <c r="BT261" t="s">
        <v>243</v>
      </c>
      <c r="BU261" t="s">
        <v>243</v>
      </c>
      <c r="BV261" t="s">
        <v>3208</v>
      </c>
      <c r="BW261" t="s">
        <v>3208</v>
      </c>
      <c r="BX261" t="s">
        <v>243</v>
      </c>
      <c r="BY261" t="s">
        <v>243</v>
      </c>
      <c r="BZ261" t="s">
        <v>243</v>
      </c>
      <c r="CA261" t="s">
        <v>243</v>
      </c>
      <c r="CB261" t="s">
        <v>2829</v>
      </c>
      <c r="CC261" t="s">
        <v>243</v>
      </c>
      <c r="CD261" t="s">
        <v>243</v>
      </c>
      <c r="CE261" t="s">
        <v>243</v>
      </c>
      <c r="CF261" t="s">
        <v>243</v>
      </c>
      <c r="CG261" t="s">
        <v>243</v>
      </c>
      <c r="CH261" t="s">
        <v>2829</v>
      </c>
      <c r="CI261" t="s">
        <v>243</v>
      </c>
      <c r="CJ261" t="s">
        <v>243</v>
      </c>
      <c r="CK261" t="s">
        <v>243</v>
      </c>
      <c r="CL261" t="s">
        <v>243</v>
      </c>
      <c r="CM261" t="s">
        <v>243</v>
      </c>
      <c r="CN261" t="s">
        <v>2829</v>
      </c>
      <c r="CO261" t="s">
        <v>2843</v>
      </c>
      <c r="CP261" t="s">
        <v>2844</v>
      </c>
      <c r="CQ261" t="s">
        <v>430</v>
      </c>
      <c r="CR261" t="s">
        <v>2872</v>
      </c>
      <c r="CS261" t="s">
        <v>431</v>
      </c>
      <c r="CT261" t="s">
        <v>430</v>
      </c>
      <c r="CU261" t="s">
        <v>2846</v>
      </c>
      <c r="CV261" t="s">
        <v>2873</v>
      </c>
      <c r="CW261" t="s">
        <v>2872</v>
      </c>
      <c r="CX261" t="s">
        <v>2848</v>
      </c>
      <c r="CY261" t="s">
        <v>3209</v>
      </c>
    </row>
    <row r="262" spans="1:103" ht="11.25" customHeight="1">
      <c r="A262" t="s">
        <v>243</v>
      </c>
      <c r="B262" t="s">
        <v>243</v>
      </c>
      <c r="C262" t="s">
        <v>243</v>
      </c>
      <c r="D262" t="s">
        <v>243</v>
      </c>
      <c r="E262" t="s">
        <v>243</v>
      </c>
      <c r="F262" t="s">
        <v>2816</v>
      </c>
      <c r="G262" t="s">
        <v>243</v>
      </c>
      <c r="H262" t="s">
        <v>243</v>
      </c>
      <c r="I262" t="s">
        <v>3900</v>
      </c>
      <c r="J262" t="s">
        <v>243</v>
      </c>
      <c r="K262" t="s">
        <v>3901</v>
      </c>
      <c r="L262" t="s">
        <v>243</v>
      </c>
      <c r="M262" t="s">
        <v>114</v>
      </c>
      <c r="N262" t="s">
        <v>243</v>
      </c>
      <c r="O262" t="s">
        <v>2819</v>
      </c>
      <c r="P262" t="s">
        <v>4449</v>
      </c>
      <c r="Q262" t="s">
        <v>2821</v>
      </c>
      <c r="R262" t="s">
        <v>200</v>
      </c>
      <c r="S262" t="s">
        <v>200</v>
      </c>
      <c r="T262" t="s">
        <v>4451</v>
      </c>
      <c r="U262" t="s">
        <v>4451</v>
      </c>
      <c r="V262" t="s">
        <v>4452</v>
      </c>
      <c r="W262" t="s">
        <v>2935</v>
      </c>
      <c r="X262" t="s">
        <v>4453</v>
      </c>
      <c r="Y262" t="s">
        <v>3127</v>
      </c>
      <c r="Z262" t="s">
        <v>3902</v>
      </c>
      <c r="AA262" t="s">
        <v>3385</v>
      </c>
      <c r="AB262" t="s">
        <v>3038</v>
      </c>
      <c r="AC262" t="s">
        <v>2829</v>
      </c>
      <c r="AD262" t="s">
        <v>2883</v>
      </c>
      <c r="AE262" t="s">
        <v>2831</v>
      </c>
      <c r="AF262" t="s">
        <v>3903</v>
      </c>
      <c r="AG262" t="s">
        <v>3903</v>
      </c>
      <c r="AH262" t="s">
        <v>2834</v>
      </c>
      <c r="AI262" t="s">
        <v>2835</v>
      </c>
      <c r="AJ262" t="s">
        <v>2942</v>
      </c>
      <c r="AK262" t="s">
        <v>3239</v>
      </c>
      <c r="AL262" t="s">
        <v>3385</v>
      </c>
      <c r="AM262" t="s">
        <v>3038</v>
      </c>
      <c r="AN262" t="s">
        <v>243</v>
      </c>
      <c r="AO262" t="s">
        <v>2839</v>
      </c>
      <c r="AP262" t="s">
        <v>2840</v>
      </c>
      <c r="AQ262" t="s">
        <v>2841</v>
      </c>
      <c r="AR262" t="s">
        <v>3904</v>
      </c>
      <c r="AS262" t="s">
        <v>3904</v>
      </c>
      <c r="AT262" t="s">
        <v>2829</v>
      </c>
      <c r="AU262" t="s">
        <v>2829</v>
      </c>
      <c r="AV262" t="s">
        <v>2829</v>
      </c>
      <c r="AW262" t="s">
        <v>2829</v>
      </c>
      <c r="AX262" t="s">
        <v>2829</v>
      </c>
      <c r="AY262" t="s">
        <v>2829</v>
      </c>
      <c r="AZ262" t="s">
        <v>2829</v>
      </c>
      <c r="BA262" t="s">
        <v>2829</v>
      </c>
      <c r="BB262" t="s">
        <v>2829</v>
      </c>
      <c r="BC262" t="s">
        <v>2829</v>
      </c>
      <c r="BD262" t="s">
        <v>3905</v>
      </c>
      <c r="BE262" t="s">
        <v>3905</v>
      </c>
      <c r="BF262" t="s">
        <v>243</v>
      </c>
      <c r="BG262" t="s">
        <v>243</v>
      </c>
      <c r="BH262" t="s">
        <v>243</v>
      </c>
      <c r="BI262" t="s">
        <v>243</v>
      </c>
      <c r="BJ262" t="s">
        <v>2829</v>
      </c>
      <c r="BK262" t="s">
        <v>243</v>
      </c>
      <c r="BL262" t="s">
        <v>243</v>
      </c>
      <c r="BM262" t="s">
        <v>243</v>
      </c>
      <c r="BN262" t="s">
        <v>243</v>
      </c>
      <c r="BO262" t="s">
        <v>243</v>
      </c>
      <c r="BP262" t="s">
        <v>3906</v>
      </c>
      <c r="BQ262" t="s">
        <v>3906</v>
      </c>
      <c r="BR262" t="s">
        <v>243</v>
      </c>
      <c r="BS262" t="s">
        <v>243</v>
      </c>
      <c r="BT262" t="s">
        <v>243</v>
      </c>
      <c r="BU262" t="s">
        <v>243</v>
      </c>
      <c r="BV262" t="s">
        <v>2829</v>
      </c>
      <c r="BW262" t="s">
        <v>243</v>
      </c>
      <c r="BX262" t="s">
        <v>243</v>
      </c>
      <c r="BY262" t="s">
        <v>243</v>
      </c>
      <c r="BZ262" t="s">
        <v>243</v>
      </c>
      <c r="CA262" t="s">
        <v>243</v>
      </c>
      <c r="CB262" t="s">
        <v>2829</v>
      </c>
      <c r="CC262" t="s">
        <v>243</v>
      </c>
      <c r="CD262" t="s">
        <v>243</v>
      </c>
      <c r="CE262" t="s">
        <v>243</v>
      </c>
      <c r="CF262" t="s">
        <v>243</v>
      </c>
      <c r="CG262" t="s">
        <v>243</v>
      </c>
      <c r="CH262" t="s">
        <v>2829</v>
      </c>
      <c r="CI262" t="s">
        <v>243</v>
      </c>
      <c r="CJ262" t="s">
        <v>243</v>
      </c>
      <c r="CK262" t="s">
        <v>243</v>
      </c>
      <c r="CL262" t="s">
        <v>243</v>
      </c>
      <c r="CM262" t="s">
        <v>243</v>
      </c>
      <c r="CN262" t="s">
        <v>2942</v>
      </c>
      <c r="CO262" t="s">
        <v>2843</v>
      </c>
      <c r="CP262" t="s">
        <v>2844</v>
      </c>
      <c r="CQ262" t="s">
        <v>430</v>
      </c>
      <c r="CR262" t="s">
        <v>2947</v>
      </c>
      <c r="CS262" t="s">
        <v>431</v>
      </c>
      <c r="CT262" t="s">
        <v>430</v>
      </c>
      <c r="CU262" t="s">
        <v>2948</v>
      </c>
      <c r="CV262" t="s">
        <v>2949</v>
      </c>
      <c r="CW262" t="s">
        <v>2947</v>
      </c>
      <c r="CX262" t="s">
        <v>2848</v>
      </c>
      <c r="CY262" t="s">
        <v>3907</v>
      </c>
    </row>
    <row r="263" spans="1:103" ht="11.25" customHeight="1">
      <c r="A263" t="s">
        <v>243</v>
      </c>
      <c r="B263" t="s">
        <v>243</v>
      </c>
      <c r="C263" t="s">
        <v>243</v>
      </c>
      <c r="D263" t="s">
        <v>243</v>
      </c>
      <c r="E263" t="s">
        <v>243</v>
      </c>
      <c r="F263" t="s">
        <v>2816</v>
      </c>
      <c r="G263" t="s">
        <v>243</v>
      </c>
      <c r="H263" t="s">
        <v>243</v>
      </c>
      <c r="I263" t="s">
        <v>4091</v>
      </c>
      <c r="J263" t="s">
        <v>243</v>
      </c>
      <c r="K263" t="s">
        <v>4092</v>
      </c>
      <c r="L263" t="s">
        <v>243</v>
      </c>
      <c r="M263" t="s">
        <v>114</v>
      </c>
      <c r="N263" t="s">
        <v>243</v>
      </c>
      <c r="O263" t="s">
        <v>2819</v>
      </c>
      <c r="P263" t="s">
        <v>4449</v>
      </c>
      <c r="Q263" t="s">
        <v>2821</v>
      </c>
      <c r="R263" t="s">
        <v>200</v>
      </c>
      <c r="S263" t="s">
        <v>200</v>
      </c>
      <c r="T263" t="s">
        <v>4451</v>
      </c>
      <c r="U263" t="s">
        <v>4451</v>
      </c>
      <c r="V263" t="s">
        <v>4452</v>
      </c>
      <c r="W263" t="s">
        <v>2935</v>
      </c>
      <c r="X263" t="s">
        <v>4453</v>
      </c>
      <c r="Y263" t="s">
        <v>4093</v>
      </c>
      <c r="Z263" t="s">
        <v>3894</v>
      </c>
      <c r="AA263" t="s">
        <v>3875</v>
      </c>
      <c r="AB263" t="s">
        <v>3371</v>
      </c>
      <c r="AC263" t="s">
        <v>2829</v>
      </c>
      <c r="AD263" t="s">
        <v>2883</v>
      </c>
      <c r="AE263" t="s">
        <v>2831</v>
      </c>
      <c r="AF263" t="s">
        <v>3238</v>
      </c>
      <c r="AG263" t="s">
        <v>3238</v>
      </c>
      <c r="AH263" t="s">
        <v>2834</v>
      </c>
      <c r="AI263" t="s">
        <v>2835</v>
      </c>
      <c r="AJ263" t="s">
        <v>3030</v>
      </c>
      <c r="AK263" t="s">
        <v>3097</v>
      </c>
      <c r="AL263" t="s">
        <v>3875</v>
      </c>
      <c r="AM263" t="s">
        <v>3371</v>
      </c>
      <c r="AN263" t="s">
        <v>243</v>
      </c>
      <c r="AO263" t="s">
        <v>2839</v>
      </c>
      <c r="AP263" t="s">
        <v>2840</v>
      </c>
      <c r="AQ263" t="s">
        <v>2841</v>
      </c>
      <c r="AR263" t="s">
        <v>4094</v>
      </c>
      <c r="AS263" t="s">
        <v>4094</v>
      </c>
      <c r="AT263" t="s">
        <v>2829</v>
      </c>
      <c r="AU263" t="s">
        <v>2829</v>
      </c>
      <c r="AV263" t="s">
        <v>2829</v>
      </c>
      <c r="AW263" t="s">
        <v>2829</v>
      </c>
      <c r="AX263" t="s">
        <v>2829</v>
      </c>
      <c r="AY263" t="s">
        <v>2829</v>
      </c>
      <c r="AZ263" t="s">
        <v>2829</v>
      </c>
      <c r="BA263" t="s">
        <v>2829</v>
      </c>
      <c r="BB263" t="s">
        <v>2829</v>
      </c>
      <c r="BC263" t="s">
        <v>2829</v>
      </c>
      <c r="BD263" t="s">
        <v>4094</v>
      </c>
      <c r="BE263" t="s">
        <v>4094</v>
      </c>
      <c r="BF263" t="s">
        <v>243</v>
      </c>
      <c r="BG263" t="s">
        <v>243</v>
      </c>
      <c r="BH263" t="s">
        <v>243</v>
      </c>
      <c r="BI263" t="s">
        <v>243</v>
      </c>
      <c r="BJ263" t="s">
        <v>2829</v>
      </c>
      <c r="BK263" t="s">
        <v>243</v>
      </c>
      <c r="BL263" t="s">
        <v>243</v>
      </c>
      <c r="BM263" t="s">
        <v>243</v>
      </c>
      <c r="BN263" t="s">
        <v>243</v>
      </c>
      <c r="BO263" t="s">
        <v>243</v>
      </c>
      <c r="BP263" t="s">
        <v>2829</v>
      </c>
      <c r="BQ263" t="s">
        <v>243</v>
      </c>
      <c r="BR263" t="s">
        <v>243</v>
      </c>
      <c r="BS263" t="s">
        <v>243</v>
      </c>
      <c r="BT263" t="s">
        <v>243</v>
      </c>
      <c r="BU263" t="s">
        <v>243</v>
      </c>
      <c r="BV263" t="s">
        <v>2829</v>
      </c>
      <c r="BW263" t="s">
        <v>243</v>
      </c>
      <c r="BX263" t="s">
        <v>243</v>
      </c>
      <c r="BY263" t="s">
        <v>243</v>
      </c>
      <c r="BZ263" t="s">
        <v>243</v>
      </c>
      <c r="CA263" t="s">
        <v>243</v>
      </c>
      <c r="CB263" t="s">
        <v>2829</v>
      </c>
      <c r="CC263" t="s">
        <v>243</v>
      </c>
      <c r="CD263" t="s">
        <v>243</v>
      </c>
      <c r="CE263" t="s">
        <v>243</v>
      </c>
      <c r="CF263" t="s">
        <v>243</v>
      </c>
      <c r="CG263" t="s">
        <v>243</v>
      </c>
      <c r="CH263" t="s">
        <v>2829</v>
      </c>
      <c r="CI263" t="s">
        <v>243</v>
      </c>
      <c r="CJ263" t="s">
        <v>243</v>
      </c>
      <c r="CK263" t="s">
        <v>243</v>
      </c>
      <c r="CL263" t="s">
        <v>243</v>
      </c>
      <c r="CM263" t="s">
        <v>243</v>
      </c>
      <c r="CN263" t="s">
        <v>3030</v>
      </c>
      <c r="CO263" t="s">
        <v>2843</v>
      </c>
      <c r="CP263" t="s">
        <v>2844</v>
      </c>
      <c r="CQ263" t="s">
        <v>430</v>
      </c>
      <c r="CR263" t="s">
        <v>2947</v>
      </c>
      <c r="CS263" t="s">
        <v>431</v>
      </c>
      <c r="CT263" t="s">
        <v>430</v>
      </c>
      <c r="CU263" t="s">
        <v>2948</v>
      </c>
      <c r="CV263" t="s">
        <v>2949</v>
      </c>
      <c r="CW263" t="s">
        <v>2947</v>
      </c>
      <c r="CX263" t="s">
        <v>2848</v>
      </c>
      <c r="CY263" t="s">
        <v>4095</v>
      </c>
    </row>
    <row r="264" spans="1:103" ht="11.25" customHeight="1">
      <c r="A264" t="s">
        <v>243</v>
      </c>
      <c r="B264" t="s">
        <v>243</v>
      </c>
      <c r="C264" t="s">
        <v>243</v>
      </c>
      <c r="D264" t="s">
        <v>243</v>
      </c>
      <c r="E264" t="s">
        <v>243</v>
      </c>
      <c r="F264" t="s">
        <v>2816</v>
      </c>
      <c r="G264" t="s">
        <v>243</v>
      </c>
      <c r="H264" t="s">
        <v>243</v>
      </c>
      <c r="I264" t="s">
        <v>3924</v>
      </c>
      <c r="J264" t="s">
        <v>243</v>
      </c>
      <c r="K264" t="s">
        <v>3925</v>
      </c>
      <c r="L264" t="s">
        <v>243</v>
      </c>
      <c r="M264" t="s">
        <v>114</v>
      </c>
      <c r="N264" t="s">
        <v>243</v>
      </c>
      <c r="O264" t="s">
        <v>2819</v>
      </c>
      <c r="P264" t="s">
        <v>4449</v>
      </c>
      <c r="Q264" t="s">
        <v>2821</v>
      </c>
      <c r="R264" t="s">
        <v>200</v>
      </c>
      <c r="S264" t="s">
        <v>200</v>
      </c>
      <c r="T264" t="s">
        <v>2968</v>
      </c>
      <c r="U264" t="s">
        <v>2968</v>
      </c>
      <c r="V264" t="s">
        <v>2969</v>
      </c>
      <c r="W264" t="s">
        <v>3638</v>
      </c>
      <c r="X264" t="s">
        <v>3639</v>
      </c>
      <c r="Y264" t="s">
        <v>3926</v>
      </c>
      <c r="Z264" t="s">
        <v>3585</v>
      </c>
      <c r="AA264" t="s">
        <v>3631</v>
      </c>
      <c r="AB264" t="s">
        <v>2995</v>
      </c>
      <c r="AC264" t="s">
        <v>2829</v>
      </c>
      <c r="AD264" t="s">
        <v>2883</v>
      </c>
      <c r="AE264" t="s">
        <v>2857</v>
      </c>
      <c r="AF264" t="s">
        <v>3927</v>
      </c>
      <c r="AG264" t="s">
        <v>3927</v>
      </c>
      <c r="AH264" t="s">
        <v>2834</v>
      </c>
      <c r="AI264" t="s">
        <v>2835</v>
      </c>
      <c r="AJ264" t="s">
        <v>3030</v>
      </c>
      <c r="AK264" t="s">
        <v>3928</v>
      </c>
      <c r="AL264" t="s">
        <v>3631</v>
      </c>
      <c r="AM264" t="s">
        <v>2995</v>
      </c>
      <c r="AN264" t="s">
        <v>2829</v>
      </c>
      <c r="AO264" t="s">
        <v>2839</v>
      </c>
      <c r="AP264" t="s">
        <v>2840</v>
      </c>
      <c r="AQ264" t="s">
        <v>2841</v>
      </c>
      <c r="AR264" t="s">
        <v>3929</v>
      </c>
      <c r="AS264" t="s">
        <v>3929</v>
      </c>
      <c r="AT264" t="s">
        <v>2829</v>
      </c>
      <c r="AU264" t="s">
        <v>2829</v>
      </c>
      <c r="AV264" t="s">
        <v>2829</v>
      </c>
      <c r="AW264" t="s">
        <v>2829</v>
      </c>
      <c r="AX264" t="s">
        <v>2829</v>
      </c>
      <c r="AY264" t="s">
        <v>2829</v>
      </c>
      <c r="AZ264" t="s">
        <v>2829</v>
      </c>
      <c r="BA264" t="s">
        <v>2829</v>
      </c>
      <c r="BB264" t="s">
        <v>2829</v>
      </c>
      <c r="BC264" t="s">
        <v>2829</v>
      </c>
      <c r="BD264" t="s">
        <v>2829</v>
      </c>
      <c r="BE264" t="s">
        <v>243</v>
      </c>
      <c r="BF264" t="s">
        <v>243</v>
      </c>
      <c r="BG264" t="s">
        <v>243</v>
      </c>
      <c r="BH264" t="s">
        <v>243</v>
      </c>
      <c r="BI264" t="s">
        <v>243</v>
      </c>
      <c r="BJ264" t="s">
        <v>2829</v>
      </c>
      <c r="BK264" t="s">
        <v>243</v>
      </c>
      <c r="BL264" t="s">
        <v>243</v>
      </c>
      <c r="BM264" t="s">
        <v>243</v>
      </c>
      <c r="BN264" t="s">
        <v>243</v>
      </c>
      <c r="BO264" t="s">
        <v>243</v>
      </c>
      <c r="BP264" t="s">
        <v>3929</v>
      </c>
      <c r="BQ264" t="s">
        <v>3929</v>
      </c>
      <c r="BR264" t="s">
        <v>243</v>
      </c>
      <c r="BS264" t="s">
        <v>243</v>
      </c>
      <c r="BT264" t="s">
        <v>243</v>
      </c>
      <c r="BU264" t="s">
        <v>243</v>
      </c>
      <c r="BV264" t="s">
        <v>2829</v>
      </c>
      <c r="BW264" t="s">
        <v>243</v>
      </c>
      <c r="BX264" t="s">
        <v>243</v>
      </c>
      <c r="BY264" t="s">
        <v>243</v>
      </c>
      <c r="BZ264" t="s">
        <v>243</v>
      </c>
      <c r="CA264" t="s">
        <v>243</v>
      </c>
      <c r="CB264" t="s">
        <v>2829</v>
      </c>
      <c r="CC264" t="s">
        <v>243</v>
      </c>
      <c r="CD264" t="s">
        <v>243</v>
      </c>
      <c r="CE264" t="s">
        <v>243</v>
      </c>
      <c r="CF264" t="s">
        <v>243</v>
      </c>
      <c r="CG264" t="s">
        <v>243</v>
      </c>
      <c r="CH264" t="s">
        <v>2829</v>
      </c>
      <c r="CI264" t="s">
        <v>243</v>
      </c>
      <c r="CJ264" t="s">
        <v>243</v>
      </c>
      <c r="CK264" t="s">
        <v>243</v>
      </c>
      <c r="CL264" t="s">
        <v>243</v>
      </c>
      <c r="CM264" t="s">
        <v>243</v>
      </c>
      <c r="CN264" t="s">
        <v>2942</v>
      </c>
      <c r="CO264" t="s">
        <v>2843</v>
      </c>
      <c r="CP264" t="s">
        <v>2844</v>
      </c>
      <c r="CQ264" t="s">
        <v>430</v>
      </c>
      <c r="CR264" t="s">
        <v>2984</v>
      </c>
      <c r="CS264" t="s">
        <v>431</v>
      </c>
      <c r="CT264" t="s">
        <v>430</v>
      </c>
      <c r="CU264" t="s">
        <v>2985</v>
      </c>
      <c r="CV264" t="s">
        <v>2986</v>
      </c>
      <c r="CW264" t="s">
        <v>2984</v>
      </c>
      <c r="CX264" t="s">
        <v>2848</v>
      </c>
      <c r="CY264" t="s">
        <v>3930</v>
      </c>
    </row>
    <row r="265" spans="1:103" ht="11.25" customHeight="1">
      <c r="A265" t="s">
        <v>243</v>
      </c>
      <c r="B265" t="s">
        <v>243</v>
      </c>
      <c r="C265" t="s">
        <v>243</v>
      </c>
      <c r="D265" t="s">
        <v>243</v>
      </c>
      <c r="E265" t="s">
        <v>243</v>
      </c>
      <c r="F265" t="s">
        <v>2816</v>
      </c>
      <c r="G265" t="s">
        <v>243</v>
      </c>
      <c r="H265" t="s">
        <v>243</v>
      </c>
      <c r="I265" t="s">
        <v>4096</v>
      </c>
      <c r="J265" t="s">
        <v>243</v>
      </c>
      <c r="K265" t="s">
        <v>433</v>
      </c>
      <c r="L265" t="s">
        <v>243</v>
      </c>
      <c r="M265" t="s">
        <v>114</v>
      </c>
      <c r="N265" t="s">
        <v>243</v>
      </c>
      <c r="O265" t="s">
        <v>2819</v>
      </c>
      <c r="P265" t="s">
        <v>4449</v>
      </c>
      <c r="Q265" t="s">
        <v>2821</v>
      </c>
      <c r="R265" t="s">
        <v>200</v>
      </c>
      <c r="S265" t="s">
        <v>200</v>
      </c>
      <c r="T265" t="s">
        <v>2968</v>
      </c>
      <c r="U265" t="s">
        <v>2968</v>
      </c>
      <c r="V265" t="s">
        <v>2969</v>
      </c>
      <c r="W265" t="s">
        <v>4097</v>
      </c>
      <c r="X265" t="s">
        <v>4098</v>
      </c>
      <c r="Y265" t="s">
        <v>3321</v>
      </c>
      <c r="Z265" t="s">
        <v>4099</v>
      </c>
      <c r="AA265" t="s">
        <v>3323</v>
      </c>
      <c r="AB265" t="s">
        <v>4100</v>
      </c>
      <c r="AC265" t="s">
        <v>2829</v>
      </c>
      <c r="AD265" t="s">
        <v>2883</v>
      </c>
      <c r="AE265" t="s">
        <v>2857</v>
      </c>
      <c r="AF265" t="s">
        <v>4101</v>
      </c>
      <c r="AG265" t="s">
        <v>4101</v>
      </c>
      <c r="AH265" t="s">
        <v>2834</v>
      </c>
      <c r="AI265" t="s">
        <v>2835</v>
      </c>
      <c r="AJ265" t="s">
        <v>3446</v>
      </c>
      <c r="AK265" t="s">
        <v>4102</v>
      </c>
      <c r="AL265" t="s">
        <v>4103</v>
      </c>
      <c r="AM265" t="s">
        <v>3059</v>
      </c>
      <c r="AN265" t="s">
        <v>2829</v>
      </c>
      <c r="AO265" t="s">
        <v>2839</v>
      </c>
      <c r="AP265" t="s">
        <v>2840</v>
      </c>
      <c r="AQ265" t="s">
        <v>2841</v>
      </c>
      <c r="AR265" t="s">
        <v>4104</v>
      </c>
      <c r="AS265" t="s">
        <v>4104</v>
      </c>
      <c r="AT265" t="s">
        <v>2829</v>
      </c>
      <c r="AU265" t="s">
        <v>2829</v>
      </c>
      <c r="AV265" t="s">
        <v>2829</v>
      </c>
      <c r="AW265" t="s">
        <v>2829</v>
      </c>
      <c r="AX265" t="s">
        <v>2829</v>
      </c>
      <c r="AY265" t="s">
        <v>2829</v>
      </c>
      <c r="AZ265" t="s">
        <v>2829</v>
      </c>
      <c r="BA265" t="s">
        <v>2829</v>
      </c>
      <c r="BB265" t="s">
        <v>2829</v>
      </c>
      <c r="BC265" t="s">
        <v>2829</v>
      </c>
      <c r="BD265" t="s">
        <v>4105</v>
      </c>
      <c r="BE265" t="s">
        <v>4105</v>
      </c>
      <c r="BF265" t="s">
        <v>243</v>
      </c>
      <c r="BG265" t="s">
        <v>243</v>
      </c>
      <c r="BH265" t="s">
        <v>243</v>
      </c>
      <c r="BI265" t="s">
        <v>243</v>
      </c>
      <c r="BJ265" t="s">
        <v>2829</v>
      </c>
      <c r="BK265" t="s">
        <v>243</v>
      </c>
      <c r="BL265" t="s">
        <v>243</v>
      </c>
      <c r="BM265" t="s">
        <v>243</v>
      </c>
      <c r="BN265" t="s">
        <v>243</v>
      </c>
      <c r="BO265" t="s">
        <v>243</v>
      </c>
      <c r="BP265" t="s">
        <v>4106</v>
      </c>
      <c r="BQ265" t="s">
        <v>4106</v>
      </c>
      <c r="BR265" t="s">
        <v>243</v>
      </c>
      <c r="BS265" t="s">
        <v>243</v>
      </c>
      <c r="BT265" t="s">
        <v>243</v>
      </c>
      <c r="BU265" t="s">
        <v>243</v>
      </c>
      <c r="BV265" t="s">
        <v>2829</v>
      </c>
      <c r="BW265" t="s">
        <v>243</v>
      </c>
      <c r="BX265" t="s">
        <v>243</v>
      </c>
      <c r="BY265" t="s">
        <v>243</v>
      </c>
      <c r="BZ265" t="s">
        <v>243</v>
      </c>
      <c r="CA265" t="s">
        <v>243</v>
      </c>
      <c r="CB265" t="s">
        <v>2829</v>
      </c>
      <c r="CC265" t="s">
        <v>243</v>
      </c>
      <c r="CD265" t="s">
        <v>243</v>
      </c>
      <c r="CE265" t="s">
        <v>243</v>
      </c>
      <c r="CF265" t="s">
        <v>243</v>
      </c>
      <c r="CG265" t="s">
        <v>243</v>
      </c>
      <c r="CH265" t="s">
        <v>2829</v>
      </c>
      <c r="CI265" t="s">
        <v>243</v>
      </c>
      <c r="CJ265" t="s">
        <v>243</v>
      </c>
      <c r="CK265" t="s">
        <v>243</v>
      </c>
      <c r="CL265" t="s">
        <v>243</v>
      </c>
      <c r="CM265" t="s">
        <v>243</v>
      </c>
      <c r="CN265" t="s">
        <v>3010</v>
      </c>
      <c r="CO265" t="s">
        <v>2843</v>
      </c>
      <c r="CP265" t="s">
        <v>2844</v>
      </c>
      <c r="CQ265" t="s">
        <v>430</v>
      </c>
      <c r="CR265" t="s">
        <v>2984</v>
      </c>
      <c r="CS265" t="s">
        <v>431</v>
      </c>
      <c r="CT265" t="s">
        <v>430</v>
      </c>
      <c r="CU265" t="s">
        <v>2985</v>
      </c>
      <c r="CV265" t="s">
        <v>2986</v>
      </c>
      <c r="CW265" t="s">
        <v>2984</v>
      </c>
      <c r="CX265" t="s">
        <v>2848</v>
      </c>
      <c r="CY265" t="s">
        <v>4107</v>
      </c>
    </row>
    <row r="266" spans="1:103" ht="11.25" customHeight="1">
      <c r="A266" t="s">
        <v>243</v>
      </c>
      <c r="B266" t="s">
        <v>243</v>
      </c>
      <c r="C266" t="s">
        <v>243</v>
      </c>
      <c r="D266" t="s">
        <v>243</v>
      </c>
      <c r="E266" t="s">
        <v>243</v>
      </c>
      <c r="F266" t="s">
        <v>2816</v>
      </c>
      <c r="G266" t="s">
        <v>243</v>
      </c>
      <c r="H266" t="s">
        <v>243</v>
      </c>
      <c r="I266" t="s">
        <v>4108</v>
      </c>
      <c r="J266" t="s">
        <v>243</v>
      </c>
      <c r="K266" t="s">
        <v>4109</v>
      </c>
      <c r="L266" t="s">
        <v>243</v>
      </c>
      <c r="M266" t="s">
        <v>114</v>
      </c>
      <c r="N266" t="s">
        <v>243</v>
      </c>
      <c r="O266" t="s">
        <v>2819</v>
      </c>
      <c r="P266" t="s">
        <v>4449</v>
      </c>
      <c r="Q266" t="s">
        <v>2821</v>
      </c>
      <c r="R266" t="s">
        <v>200</v>
      </c>
      <c r="S266" t="s">
        <v>200</v>
      </c>
      <c r="T266" t="s">
        <v>2968</v>
      </c>
      <c r="U266" t="s">
        <v>2968</v>
      </c>
      <c r="V266" t="s">
        <v>2969</v>
      </c>
      <c r="W266" t="s">
        <v>3722</v>
      </c>
      <c r="X266" t="s">
        <v>3723</v>
      </c>
      <c r="Y266" t="s">
        <v>4110</v>
      </c>
      <c r="Z266" t="s">
        <v>3630</v>
      </c>
      <c r="AA266" t="s">
        <v>3117</v>
      </c>
      <c r="AB266" t="s">
        <v>4111</v>
      </c>
      <c r="AC266" t="s">
        <v>2829</v>
      </c>
      <c r="AD266" t="s">
        <v>2883</v>
      </c>
      <c r="AE266" t="s">
        <v>2857</v>
      </c>
      <c r="AF266" t="s">
        <v>4112</v>
      </c>
      <c r="AG266" t="s">
        <v>4112</v>
      </c>
      <c r="AH266" t="s">
        <v>2834</v>
      </c>
      <c r="AI266" t="s">
        <v>2835</v>
      </c>
      <c r="AJ266" t="s">
        <v>3008</v>
      </c>
      <c r="AK266" t="s">
        <v>4113</v>
      </c>
      <c r="AL266" t="s">
        <v>3117</v>
      </c>
      <c r="AM266" t="s">
        <v>4111</v>
      </c>
      <c r="AN266" t="s">
        <v>2829</v>
      </c>
      <c r="AO266" t="s">
        <v>2839</v>
      </c>
      <c r="AP266" t="s">
        <v>2840</v>
      </c>
      <c r="AQ266" t="s">
        <v>2841</v>
      </c>
      <c r="AR266" t="s">
        <v>4114</v>
      </c>
      <c r="AS266" t="s">
        <v>4114</v>
      </c>
      <c r="AT266" t="s">
        <v>2829</v>
      </c>
      <c r="AU266" t="s">
        <v>2829</v>
      </c>
      <c r="AV266" t="s">
        <v>2829</v>
      </c>
      <c r="AW266" t="s">
        <v>2829</v>
      </c>
      <c r="AX266" t="s">
        <v>2829</v>
      </c>
      <c r="AY266" t="s">
        <v>2829</v>
      </c>
      <c r="AZ266" t="s">
        <v>2829</v>
      </c>
      <c r="BA266" t="s">
        <v>2829</v>
      </c>
      <c r="BB266" t="s">
        <v>2829</v>
      </c>
      <c r="BC266" t="s">
        <v>2829</v>
      </c>
      <c r="BD266" t="s">
        <v>4114</v>
      </c>
      <c r="BE266" t="s">
        <v>4114</v>
      </c>
      <c r="BF266" t="s">
        <v>243</v>
      </c>
      <c r="BG266" t="s">
        <v>243</v>
      </c>
      <c r="BH266" t="s">
        <v>243</v>
      </c>
      <c r="BI266" t="s">
        <v>243</v>
      </c>
      <c r="BJ266" t="s">
        <v>2829</v>
      </c>
      <c r="BK266" t="s">
        <v>243</v>
      </c>
      <c r="BL266" t="s">
        <v>243</v>
      </c>
      <c r="BM266" t="s">
        <v>243</v>
      </c>
      <c r="BN266" t="s">
        <v>243</v>
      </c>
      <c r="BO266" t="s">
        <v>243</v>
      </c>
      <c r="BP266" t="s">
        <v>2829</v>
      </c>
      <c r="BQ266" t="s">
        <v>243</v>
      </c>
      <c r="BR266" t="s">
        <v>243</v>
      </c>
      <c r="BS266" t="s">
        <v>243</v>
      </c>
      <c r="BT266" t="s">
        <v>243</v>
      </c>
      <c r="BU266" t="s">
        <v>243</v>
      </c>
      <c r="BV266" t="s">
        <v>2829</v>
      </c>
      <c r="BW266" t="s">
        <v>243</v>
      </c>
      <c r="BX266" t="s">
        <v>243</v>
      </c>
      <c r="BY266" t="s">
        <v>243</v>
      </c>
      <c r="BZ266" t="s">
        <v>243</v>
      </c>
      <c r="CA266" t="s">
        <v>243</v>
      </c>
      <c r="CB266" t="s">
        <v>2829</v>
      </c>
      <c r="CC266" t="s">
        <v>243</v>
      </c>
      <c r="CD266" t="s">
        <v>243</v>
      </c>
      <c r="CE266" t="s">
        <v>243</v>
      </c>
      <c r="CF266" t="s">
        <v>243</v>
      </c>
      <c r="CG266" t="s">
        <v>243</v>
      </c>
      <c r="CH266" t="s">
        <v>2829</v>
      </c>
      <c r="CI266" t="s">
        <v>243</v>
      </c>
      <c r="CJ266" t="s">
        <v>243</v>
      </c>
      <c r="CK266" t="s">
        <v>243</v>
      </c>
      <c r="CL266" t="s">
        <v>243</v>
      </c>
      <c r="CM266" t="s">
        <v>243</v>
      </c>
      <c r="CN266" t="s">
        <v>3010</v>
      </c>
      <c r="CO266" t="s">
        <v>2843</v>
      </c>
      <c r="CP266" t="s">
        <v>2844</v>
      </c>
      <c r="CQ266" t="s">
        <v>430</v>
      </c>
      <c r="CR266" t="s">
        <v>2984</v>
      </c>
      <c r="CS266" t="s">
        <v>431</v>
      </c>
      <c r="CT266" t="s">
        <v>430</v>
      </c>
      <c r="CU266" t="s">
        <v>2985</v>
      </c>
      <c r="CV266" t="s">
        <v>2986</v>
      </c>
      <c r="CW266" t="s">
        <v>2984</v>
      </c>
      <c r="CX266" t="s">
        <v>2848</v>
      </c>
      <c r="CY266" t="s">
        <v>4115</v>
      </c>
    </row>
    <row r="267" spans="1:103" ht="11.25" customHeight="1">
      <c r="A267" t="s">
        <v>243</v>
      </c>
      <c r="B267" t="s">
        <v>243</v>
      </c>
      <c r="C267" t="s">
        <v>243</v>
      </c>
      <c r="D267" t="s">
        <v>243</v>
      </c>
      <c r="E267" t="s">
        <v>243</v>
      </c>
      <c r="F267" t="s">
        <v>2816</v>
      </c>
      <c r="G267" t="s">
        <v>243</v>
      </c>
      <c r="H267" t="s">
        <v>243</v>
      </c>
      <c r="I267" t="s">
        <v>4129</v>
      </c>
      <c r="J267" t="s">
        <v>243</v>
      </c>
      <c r="K267" t="s">
        <v>3507</v>
      </c>
      <c r="L267" t="s">
        <v>243</v>
      </c>
      <c r="M267" t="s">
        <v>114</v>
      </c>
      <c r="N267" t="s">
        <v>243</v>
      </c>
      <c r="O267" t="s">
        <v>2819</v>
      </c>
      <c r="P267" t="s">
        <v>4449</v>
      </c>
      <c r="Q267" t="s">
        <v>2821</v>
      </c>
      <c r="R267" t="s">
        <v>200</v>
      </c>
      <c r="S267" t="s">
        <v>200</v>
      </c>
      <c r="T267" t="s">
        <v>2968</v>
      </c>
      <c r="U267" t="s">
        <v>2968</v>
      </c>
      <c r="V267" t="s">
        <v>2969</v>
      </c>
      <c r="W267" t="s">
        <v>4130</v>
      </c>
      <c r="X267" t="s">
        <v>4131</v>
      </c>
      <c r="Y267" t="s">
        <v>4132</v>
      </c>
      <c r="Z267" t="s">
        <v>348</v>
      </c>
      <c r="AA267" t="s">
        <v>3117</v>
      </c>
      <c r="AB267" t="s">
        <v>4133</v>
      </c>
      <c r="AC267" t="s">
        <v>2829</v>
      </c>
      <c r="AD267" t="s">
        <v>2883</v>
      </c>
      <c r="AE267" t="s">
        <v>2857</v>
      </c>
      <c r="AF267" t="s">
        <v>4134</v>
      </c>
      <c r="AG267" t="s">
        <v>4134</v>
      </c>
      <c r="AH267" t="s">
        <v>2834</v>
      </c>
      <c r="AI267" t="s">
        <v>2835</v>
      </c>
      <c r="AJ267" t="s">
        <v>3008</v>
      </c>
      <c r="AK267" t="s">
        <v>3018</v>
      </c>
      <c r="AL267" t="s">
        <v>3117</v>
      </c>
      <c r="AM267" t="s">
        <v>4133</v>
      </c>
      <c r="AN267" t="s">
        <v>2829</v>
      </c>
      <c r="AO267" t="s">
        <v>2839</v>
      </c>
      <c r="AP267" t="s">
        <v>2840</v>
      </c>
      <c r="AQ267" t="s">
        <v>2841</v>
      </c>
      <c r="AR267" t="s">
        <v>3898</v>
      </c>
      <c r="AS267" t="s">
        <v>3898</v>
      </c>
      <c r="AT267" t="s">
        <v>2829</v>
      </c>
      <c r="AU267" t="s">
        <v>2829</v>
      </c>
      <c r="AV267" t="s">
        <v>2829</v>
      </c>
      <c r="AW267" t="s">
        <v>2829</v>
      </c>
      <c r="AX267" t="s">
        <v>2829</v>
      </c>
      <c r="AY267" t="s">
        <v>2829</v>
      </c>
      <c r="AZ267" t="s">
        <v>2829</v>
      </c>
      <c r="BA267" t="s">
        <v>2829</v>
      </c>
      <c r="BB267" t="s">
        <v>2829</v>
      </c>
      <c r="BC267" t="s">
        <v>2829</v>
      </c>
      <c r="BD267" t="s">
        <v>2829</v>
      </c>
      <c r="BE267" t="s">
        <v>243</v>
      </c>
      <c r="BF267" t="s">
        <v>243</v>
      </c>
      <c r="BG267" t="s">
        <v>243</v>
      </c>
      <c r="BH267" t="s">
        <v>243</v>
      </c>
      <c r="BI267" t="s">
        <v>243</v>
      </c>
      <c r="BJ267" t="s">
        <v>2829</v>
      </c>
      <c r="BK267" t="s">
        <v>243</v>
      </c>
      <c r="BL267" t="s">
        <v>243</v>
      </c>
      <c r="BM267" t="s">
        <v>243</v>
      </c>
      <c r="BN267" t="s">
        <v>243</v>
      </c>
      <c r="BO267" t="s">
        <v>243</v>
      </c>
      <c r="BP267" t="s">
        <v>3898</v>
      </c>
      <c r="BQ267" t="s">
        <v>3898</v>
      </c>
      <c r="BR267" t="s">
        <v>243</v>
      </c>
      <c r="BS267" t="s">
        <v>243</v>
      </c>
      <c r="BT267" t="s">
        <v>243</v>
      </c>
      <c r="BU267" t="s">
        <v>243</v>
      </c>
      <c r="BV267" t="s">
        <v>2829</v>
      </c>
      <c r="BW267" t="s">
        <v>243</v>
      </c>
      <c r="BX267" t="s">
        <v>243</v>
      </c>
      <c r="BY267" t="s">
        <v>243</v>
      </c>
      <c r="BZ267" t="s">
        <v>243</v>
      </c>
      <c r="CA267" t="s">
        <v>243</v>
      </c>
      <c r="CB267" t="s">
        <v>2829</v>
      </c>
      <c r="CC267" t="s">
        <v>243</v>
      </c>
      <c r="CD267" t="s">
        <v>243</v>
      </c>
      <c r="CE267" t="s">
        <v>243</v>
      </c>
      <c r="CF267" t="s">
        <v>243</v>
      </c>
      <c r="CG267" t="s">
        <v>243</v>
      </c>
      <c r="CH267" t="s">
        <v>2829</v>
      </c>
      <c r="CI267" t="s">
        <v>243</v>
      </c>
      <c r="CJ267" t="s">
        <v>243</v>
      </c>
      <c r="CK267" t="s">
        <v>243</v>
      </c>
      <c r="CL267" t="s">
        <v>243</v>
      </c>
      <c r="CM267" t="s">
        <v>243</v>
      </c>
      <c r="CN267" t="s">
        <v>3010</v>
      </c>
      <c r="CO267" t="s">
        <v>2843</v>
      </c>
      <c r="CP267" t="s">
        <v>2844</v>
      </c>
      <c r="CQ267" t="s">
        <v>430</v>
      </c>
      <c r="CR267" t="s">
        <v>2984</v>
      </c>
      <c r="CS267" t="s">
        <v>431</v>
      </c>
      <c r="CT267" t="s">
        <v>430</v>
      </c>
      <c r="CU267" t="s">
        <v>2985</v>
      </c>
      <c r="CV267" t="s">
        <v>2986</v>
      </c>
      <c r="CW267" t="s">
        <v>2984</v>
      </c>
      <c r="CX267" t="s">
        <v>2848</v>
      </c>
      <c r="CY267" t="s">
        <v>4135</v>
      </c>
    </row>
    <row r="268" spans="1:103" ht="11.25" customHeight="1">
      <c r="A268" t="s">
        <v>243</v>
      </c>
      <c r="B268" t="s">
        <v>243</v>
      </c>
      <c r="C268" t="s">
        <v>243</v>
      </c>
      <c r="D268" t="s">
        <v>243</v>
      </c>
      <c r="E268" t="s">
        <v>243</v>
      </c>
      <c r="F268" t="s">
        <v>2816</v>
      </c>
      <c r="G268" t="s">
        <v>243</v>
      </c>
      <c r="H268" t="s">
        <v>243</v>
      </c>
      <c r="I268" t="s">
        <v>3376</v>
      </c>
      <c r="J268" t="s">
        <v>243</v>
      </c>
      <c r="K268" t="s">
        <v>3377</v>
      </c>
      <c r="L268" t="s">
        <v>243</v>
      </c>
      <c r="M268" t="s">
        <v>114</v>
      </c>
      <c r="N268" t="s">
        <v>243</v>
      </c>
      <c r="O268" t="s">
        <v>2819</v>
      </c>
      <c r="P268" t="s">
        <v>4449</v>
      </c>
      <c r="Q268" t="s">
        <v>2821</v>
      </c>
      <c r="R268" t="s">
        <v>200</v>
      </c>
      <c r="S268" t="s">
        <v>200</v>
      </c>
      <c r="T268" t="s">
        <v>3022</v>
      </c>
      <c r="U268" t="s">
        <v>3022</v>
      </c>
      <c r="V268" t="s">
        <v>3023</v>
      </c>
      <c r="W268" t="s">
        <v>3378</v>
      </c>
      <c r="X268" t="s">
        <v>3379</v>
      </c>
      <c r="Y268" t="s">
        <v>3380</v>
      </c>
      <c r="Z268" t="s">
        <v>1815</v>
      </c>
      <c r="AA268" t="s">
        <v>3381</v>
      </c>
      <c r="AB268" t="s">
        <v>3382</v>
      </c>
      <c r="AC268" t="s">
        <v>2829</v>
      </c>
      <c r="AD268" t="s">
        <v>2883</v>
      </c>
      <c r="AE268" t="s">
        <v>2831</v>
      </c>
      <c r="AF268" t="s">
        <v>3383</v>
      </c>
      <c r="AG268" t="s">
        <v>3383</v>
      </c>
      <c r="AH268" t="s">
        <v>2834</v>
      </c>
      <c r="AI268" t="s">
        <v>2835</v>
      </c>
      <c r="AJ268" t="s">
        <v>3030</v>
      </c>
      <c r="AK268" t="s">
        <v>3384</v>
      </c>
      <c r="AL268" t="s">
        <v>3381</v>
      </c>
      <c r="AM268" t="s">
        <v>3382</v>
      </c>
      <c r="AN268" t="s">
        <v>2829</v>
      </c>
      <c r="AO268" t="s">
        <v>2839</v>
      </c>
      <c r="AP268" t="s">
        <v>2840</v>
      </c>
      <c r="AQ268" t="s">
        <v>2841</v>
      </c>
      <c r="AR268" t="s">
        <v>3385</v>
      </c>
      <c r="AS268" t="s">
        <v>3385</v>
      </c>
      <c r="AT268" t="s">
        <v>2829</v>
      </c>
      <c r="AU268" t="s">
        <v>2829</v>
      </c>
      <c r="AV268" t="s">
        <v>2829</v>
      </c>
      <c r="AW268" t="s">
        <v>2829</v>
      </c>
      <c r="AX268" t="s">
        <v>2829</v>
      </c>
      <c r="AY268" t="s">
        <v>2829</v>
      </c>
      <c r="AZ268" t="s">
        <v>2829</v>
      </c>
      <c r="BA268" t="s">
        <v>2829</v>
      </c>
      <c r="BB268" t="s">
        <v>2829</v>
      </c>
      <c r="BC268" t="s">
        <v>2829</v>
      </c>
      <c r="BD268" t="s">
        <v>2829</v>
      </c>
      <c r="BE268" t="s">
        <v>243</v>
      </c>
      <c r="BF268" t="s">
        <v>243</v>
      </c>
      <c r="BG268" t="s">
        <v>243</v>
      </c>
      <c r="BH268" t="s">
        <v>243</v>
      </c>
      <c r="BI268" t="s">
        <v>243</v>
      </c>
      <c r="BJ268" t="s">
        <v>2829</v>
      </c>
      <c r="BK268" t="s">
        <v>243</v>
      </c>
      <c r="BL268" t="s">
        <v>243</v>
      </c>
      <c r="BM268" t="s">
        <v>243</v>
      </c>
      <c r="BN268" t="s">
        <v>243</v>
      </c>
      <c r="BO268" t="s">
        <v>243</v>
      </c>
      <c r="BP268" t="s">
        <v>3385</v>
      </c>
      <c r="BQ268" t="s">
        <v>3385</v>
      </c>
      <c r="BR268" t="s">
        <v>243</v>
      </c>
      <c r="BS268" t="s">
        <v>243</v>
      </c>
      <c r="BT268" t="s">
        <v>243</v>
      </c>
      <c r="BU268" t="s">
        <v>243</v>
      </c>
      <c r="BV268" t="s">
        <v>2829</v>
      </c>
      <c r="BW268" t="s">
        <v>243</v>
      </c>
      <c r="BX268" t="s">
        <v>243</v>
      </c>
      <c r="BY268" t="s">
        <v>243</v>
      </c>
      <c r="BZ268" t="s">
        <v>243</v>
      </c>
      <c r="CA268" t="s">
        <v>243</v>
      </c>
      <c r="CB268" t="s">
        <v>2829</v>
      </c>
      <c r="CC268" t="s">
        <v>243</v>
      </c>
      <c r="CD268" t="s">
        <v>243</v>
      </c>
      <c r="CE268" t="s">
        <v>243</v>
      </c>
      <c r="CF268" t="s">
        <v>243</v>
      </c>
      <c r="CG268" t="s">
        <v>243</v>
      </c>
      <c r="CH268" t="s">
        <v>2829</v>
      </c>
      <c r="CI268" t="s">
        <v>243</v>
      </c>
      <c r="CJ268" t="s">
        <v>243</v>
      </c>
      <c r="CK268" t="s">
        <v>243</v>
      </c>
      <c r="CL268" t="s">
        <v>243</v>
      </c>
      <c r="CM268" t="s">
        <v>243</v>
      </c>
      <c r="CN268" t="s">
        <v>3030</v>
      </c>
      <c r="CO268" t="s">
        <v>2843</v>
      </c>
      <c r="CP268" t="s">
        <v>2844</v>
      </c>
      <c r="CQ268" t="s">
        <v>430</v>
      </c>
      <c r="CR268" t="s">
        <v>3033</v>
      </c>
      <c r="CS268" t="s">
        <v>431</v>
      </c>
      <c r="CT268" t="s">
        <v>430</v>
      </c>
      <c r="CU268" t="s">
        <v>3034</v>
      </c>
      <c r="CV268" t="s">
        <v>432</v>
      </c>
      <c r="CW268" t="s">
        <v>3033</v>
      </c>
      <c r="CX268" t="s">
        <v>2848</v>
      </c>
      <c r="CY268" t="s">
        <v>3386</v>
      </c>
    </row>
    <row r="269" spans="1:103" ht="11.25" customHeight="1">
      <c r="A269" t="s">
        <v>243</v>
      </c>
      <c r="B269" t="s">
        <v>243</v>
      </c>
      <c r="C269" t="s">
        <v>243</v>
      </c>
      <c r="D269" t="s">
        <v>243</v>
      </c>
      <c r="E269" t="s">
        <v>243</v>
      </c>
      <c r="F269" t="s">
        <v>2816</v>
      </c>
      <c r="G269" t="s">
        <v>243</v>
      </c>
      <c r="H269" t="s">
        <v>243</v>
      </c>
      <c r="I269" t="s">
        <v>3397</v>
      </c>
      <c r="J269" t="s">
        <v>243</v>
      </c>
      <c r="K269" t="s">
        <v>452</v>
      </c>
      <c r="L269" t="s">
        <v>243</v>
      </c>
      <c r="M269" t="s">
        <v>114</v>
      </c>
      <c r="N269" t="s">
        <v>243</v>
      </c>
      <c r="O269" t="s">
        <v>2819</v>
      </c>
      <c r="P269" t="s">
        <v>4449</v>
      </c>
      <c r="Q269" t="s">
        <v>2821</v>
      </c>
      <c r="R269" t="s">
        <v>200</v>
      </c>
      <c r="S269" t="s">
        <v>200</v>
      </c>
      <c r="T269" t="s">
        <v>405</v>
      </c>
      <c r="U269" t="s">
        <v>405</v>
      </c>
      <c r="V269" t="s">
        <v>406</v>
      </c>
      <c r="W269" t="s">
        <v>3155</v>
      </c>
      <c r="X269" t="s">
        <v>3156</v>
      </c>
      <c r="Y269" t="s">
        <v>3398</v>
      </c>
      <c r="Z269" t="s">
        <v>3399</v>
      </c>
      <c r="AA269" t="s">
        <v>2964</v>
      </c>
      <c r="AB269" t="s">
        <v>3400</v>
      </c>
      <c r="AC269" t="s">
        <v>243</v>
      </c>
      <c r="AD269" t="s">
        <v>2830</v>
      </c>
      <c r="AE269" t="s">
        <v>2831</v>
      </c>
      <c r="AF269" t="s">
        <v>3401</v>
      </c>
      <c r="AG269" t="s">
        <v>3401</v>
      </c>
      <c r="AH269" t="s">
        <v>2834</v>
      </c>
      <c r="AI269" t="s">
        <v>2835</v>
      </c>
      <c r="AJ269" t="s">
        <v>2888</v>
      </c>
      <c r="AK269" t="s">
        <v>3402</v>
      </c>
      <c r="AL269" t="s">
        <v>2964</v>
      </c>
      <c r="AM269" t="s">
        <v>3400</v>
      </c>
      <c r="AN269" t="s">
        <v>243</v>
      </c>
      <c r="AO269" t="s">
        <v>2839</v>
      </c>
      <c r="AP269" t="s">
        <v>2840</v>
      </c>
      <c r="AQ269" t="s">
        <v>2841</v>
      </c>
      <c r="AR269" t="s">
        <v>3403</v>
      </c>
      <c r="AS269" t="s">
        <v>3403</v>
      </c>
      <c r="AT269" t="s">
        <v>2829</v>
      </c>
      <c r="AU269" t="s">
        <v>2829</v>
      </c>
      <c r="AV269" t="s">
        <v>2829</v>
      </c>
      <c r="AW269" t="s">
        <v>2829</v>
      </c>
      <c r="AX269" t="s">
        <v>2829</v>
      </c>
      <c r="AY269" t="s">
        <v>2829</v>
      </c>
      <c r="AZ269" t="s">
        <v>2829</v>
      </c>
      <c r="BA269" t="s">
        <v>2829</v>
      </c>
      <c r="BB269" t="s">
        <v>2829</v>
      </c>
      <c r="BC269" t="s">
        <v>2829</v>
      </c>
      <c r="BD269" t="s">
        <v>3403</v>
      </c>
      <c r="BE269" t="s">
        <v>3403</v>
      </c>
      <c r="BF269" t="s">
        <v>243</v>
      </c>
      <c r="BG269" t="s">
        <v>243</v>
      </c>
      <c r="BH269" t="s">
        <v>243</v>
      </c>
      <c r="BI269" t="s">
        <v>243</v>
      </c>
      <c r="BJ269" t="s">
        <v>2829</v>
      </c>
      <c r="BK269" t="s">
        <v>243</v>
      </c>
      <c r="BL269" t="s">
        <v>243</v>
      </c>
      <c r="BM269" t="s">
        <v>243</v>
      </c>
      <c r="BN269" t="s">
        <v>243</v>
      </c>
      <c r="BO269" t="s">
        <v>243</v>
      </c>
      <c r="BP269" t="s">
        <v>2829</v>
      </c>
      <c r="BQ269" t="s">
        <v>243</v>
      </c>
      <c r="BR269" t="s">
        <v>243</v>
      </c>
      <c r="BS269" t="s">
        <v>243</v>
      </c>
      <c r="BT269" t="s">
        <v>243</v>
      </c>
      <c r="BU269" t="s">
        <v>243</v>
      </c>
      <c r="BV269" t="s">
        <v>2829</v>
      </c>
      <c r="BW269" t="s">
        <v>243</v>
      </c>
      <c r="BX269" t="s">
        <v>243</v>
      </c>
      <c r="BY269" t="s">
        <v>243</v>
      </c>
      <c r="BZ269" t="s">
        <v>243</v>
      </c>
      <c r="CA269" t="s">
        <v>243</v>
      </c>
      <c r="CB269" t="s">
        <v>2829</v>
      </c>
      <c r="CC269" t="s">
        <v>243</v>
      </c>
      <c r="CD269" t="s">
        <v>243</v>
      </c>
      <c r="CE269" t="s">
        <v>243</v>
      </c>
      <c r="CF269" t="s">
        <v>243</v>
      </c>
      <c r="CG269" t="s">
        <v>243</v>
      </c>
      <c r="CH269" t="s">
        <v>2829</v>
      </c>
      <c r="CI269" t="s">
        <v>243</v>
      </c>
      <c r="CJ269" t="s">
        <v>243</v>
      </c>
      <c r="CK269" t="s">
        <v>243</v>
      </c>
      <c r="CL269" t="s">
        <v>243</v>
      </c>
      <c r="CM269" t="s">
        <v>243</v>
      </c>
      <c r="CN269" t="s">
        <v>2888</v>
      </c>
      <c r="CO269" t="s">
        <v>2843</v>
      </c>
      <c r="CP269" t="s">
        <v>2844</v>
      </c>
      <c r="CQ269" t="s">
        <v>430</v>
      </c>
      <c r="CR269" t="s">
        <v>2872</v>
      </c>
      <c r="CS269" t="s">
        <v>431</v>
      </c>
      <c r="CT269" t="s">
        <v>430</v>
      </c>
      <c r="CU269" t="s">
        <v>444</v>
      </c>
      <c r="CV269" t="s">
        <v>445</v>
      </c>
      <c r="CW269" t="s">
        <v>2872</v>
      </c>
      <c r="CX269" t="s">
        <v>2848</v>
      </c>
      <c r="CY269" t="s">
        <v>453</v>
      </c>
    </row>
    <row r="270" spans="1:103" ht="11.25" customHeight="1">
      <c r="A270" t="s">
        <v>243</v>
      </c>
      <c r="B270" t="s">
        <v>243</v>
      </c>
      <c r="C270" t="s">
        <v>243</v>
      </c>
      <c r="D270" t="s">
        <v>243</v>
      </c>
      <c r="E270" t="s">
        <v>243</v>
      </c>
      <c r="F270" t="s">
        <v>2816</v>
      </c>
      <c r="G270" t="s">
        <v>243</v>
      </c>
      <c r="H270" t="s">
        <v>243</v>
      </c>
      <c r="I270" t="s">
        <v>3469</v>
      </c>
      <c r="J270" t="s">
        <v>243</v>
      </c>
      <c r="K270" t="s">
        <v>455</v>
      </c>
      <c r="L270" t="s">
        <v>243</v>
      </c>
      <c r="M270" t="s">
        <v>114</v>
      </c>
      <c r="N270" t="s">
        <v>243</v>
      </c>
      <c r="O270" t="s">
        <v>2819</v>
      </c>
      <c r="P270" t="s">
        <v>4449</v>
      </c>
      <c r="Q270" t="s">
        <v>2821</v>
      </c>
      <c r="R270" t="s">
        <v>200</v>
      </c>
      <c r="S270" t="s">
        <v>200</v>
      </c>
      <c r="T270" t="s">
        <v>405</v>
      </c>
      <c r="U270" t="s">
        <v>405</v>
      </c>
      <c r="V270" t="s">
        <v>406</v>
      </c>
      <c r="W270" t="s">
        <v>3155</v>
      </c>
      <c r="X270" t="s">
        <v>3156</v>
      </c>
      <c r="Y270" t="s">
        <v>3470</v>
      </c>
      <c r="Z270" t="s">
        <v>3471</v>
      </c>
      <c r="AA270" t="s">
        <v>2964</v>
      </c>
      <c r="AB270" t="s">
        <v>3229</v>
      </c>
      <c r="AC270" t="s">
        <v>243</v>
      </c>
      <c r="AD270" t="s">
        <v>2883</v>
      </c>
      <c r="AE270" t="s">
        <v>2831</v>
      </c>
      <c r="AF270" t="s">
        <v>3401</v>
      </c>
      <c r="AG270" t="s">
        <v>3401</v>
      </c>
      <c r="AH270" t="s">
        <v>2834</v>
      </c>
      <c r="AI270" t="s">
        <v>2835</v>
      </c>
      <c r="AJ270" t="s">
        <v>2888</v>
      </c>
      <c r="AK270" t="s">
        <v>3472</v>
      </c>
      <c r="AL270" t="s">
        <v>2964</v>
      </c>
      <c r="AM270" t="s">
        <v>3229</v>
      </c>
      <c r="AN270" t="s">
        <v>243</v>
      </c>
      <c r="AO270" t="s">
        <v>2839</v>
      </c>
      <c r="AP270" t="s">
        <v>2840</v>
      </c>
      <c r="AQ270" t="s">
        <v>2841</v>
      </c>
      <c r="AR270" t="s">
        <v>3473</v>
      </c>
      <c r="AS270" t="s">
        <v>3473</v>
      </c>
      <c r="AT270" t="s">
        <v>2829</v>
      </c>
      <c r="AU270" t="s">
        <v>2829</v>
      </c>
      <c r="AV270" t="s">
        <v>2829</v>
      </c>
      <c r="AW270" t="s">
        <v>2829</v>
      </c>
      <c r="AX270" t="s">
        <v>2829</v>
      </c>
      <c r="AY270" t="s">
        <v>2829</v>
      </c>
      <c r="AZ270" t="s">
        <v>2829</v>
      </c>
      <c r="BA270" t="s">
        <v>2829</v>
      </c>
      <c r="BB270" t="s">
        <v>2829</v>
      </c>
      <c r="BC270" t="s">
        <v>2829</v>
      </c>
      <c r="BD270" t="s">
        <v>3473</v>
      </c>
      <c r="BE270" t="s">
        <v>3473</v>
      </c>
      <c r="BF270" t="s">
        <v>243</v>
      </c>
      <c r="BG270" t="s">
        <v>243</v>
      </c>
      <c r="BH270" t="s">
        <v>243</v>
      </c>
      <c r="BI270" t="s">
        <v>243</v>
      </c>
      <c r="BJ270" t="s">
        <v>2829</v>
      </c>
      <c r="BK270" t="s">
        <v>243</v>
      </c>
      <c r="BL270" t="s">
        <v>243</v>
      </c>
      <c r="BM270" t="s">
        <v>243</v>
      </c>
      <c r="BN270" t="s">
        <v>243</v>
      </c>
      <c r="BO270" t="s">
        <v>243</v>
      </c>
      <c r="BP270" t="s">
        <v>2829</v>
      </c>
      <c r="BQ270" t="s">
        <v>243</v>
      </c>
      <c r="BR270" t="s">
        <v>243</v>
      </c>
      <c r="BS270" t="s">
        <v>243</v>
      </c>
      <c r="BT270" t="s">
        <v>243</v>
      </c>
      <c r="BU270" t="s">
        <v>243</v>
      </c>
      <c r="BV270" t="s">
        <v>2829</v>
      </c>
      <c r="BW270" t="s">
        <v>243</v>
      </c>
      <c r="BX270" t="s">
        <v>243</v>
      </c>
      <c r="BY270" t="s">
        <v>243</v>
      </c>
      <c r="BZ270" t="s">
        <v>243</v>
      </c>
      <c r="CA270" t="s">
        <v>243</v>
      </c>
      <c r="CB270" t="s">
        <v>2829</v>
      </c>
      <c r="CC270" t="s">
        <v>243</v>
      </c>
      <c r="CD270" t="s">
        <v>243</v>
      </c>
      <c r="CE270" t="s">
        <v>243</v>
      </c>
      <c r="CF270" t="s">
        <v>243</v>
      </c>
      <c r="CG270" t="s">
        <v>243</v>
      </c>
      <c r="CH270" t="s">
        <v>2829</v>
      </c>
      <c r="CI270" t="s">
        <v>243</v>
      </c>
      <c r="CJ270" t="s">
        <v>243</v>
      </c>
      <c r="CK270" t="s">
        <v>243</v>
      </c>
      <c r="CL270" t="s">
        <v>243</v>
      </c>
      <c r="CM270" t="s">
        <v>243</v>
      </c>
      <c r="CN270" t="s">
        <v>2888</v>
      </c>
      <c r="CO270" t="s">
        <v>2843</v>
      </c>
      <c r="CP270" t="s">
        <v>2844</v>
      </c>
      <c r="CQ270" t="s">
        <v>430</v>
      </c>
      <c r="CR270" t="s">
        <v>2872</v>
      </c>
      <c r="CS270" t="s">
        <v>431</v>
      </c>
      <c r="CT270" t="s">
        <v>430</v>
      </c>
      <c r="CU270" t="s">
        <v>444</v>
      </c>
      <c r="CV270" t="s">
        <v>445</v>
      </c>
      <c r="CW270" t="s">
        <v>2872</v>
      </c>
      <c r="CX270" t="s">
        <v>2848</v>
      </c>
      <c r="CY270" t="s">
        <v>456</v>
      </c>
    </row>
    <row r="271" spans="1:103" ht="11.25" customHeight="1">
      <c r="A271" t="s">
        <v>243</v>
      </c>
      <c r="B271" t="s">
        <v>243</v>
      </c>
      <c r="C271" t="s">
        <v>243</v>
      </c>
      <c r="D271" t="s">
        <v>243</v>
      </c>
      <c r="E271" t="s">
        <v>243</v>
      </c>
      <c r="F271" t="s">
        <v>2816</v>
      </c>
      <c r="G271" t="s">
        <v>243</v>
      </c>
      <c r="H271" t="s">
        <v>243</v>
      </c>
      <c r="I271" t="s">
        <v>3886</v>
      </c>
      <c r="J271" t="s">
        <v>243</v>
      </c>
      <c r="K271" t="s">
        <v>3178</v>
      </c>
      <c r="L271" t="s">
        <v>243</v>
      </c>
      <c r="M271" t="s">
        <v>114</v>
      </c>
      <c r="N271" t="s">
        <v>243</v>
      </c>
      <c r="O271" t="s">
        <v>2819</v>
      </c>
      <c r="P271" t="s">
        <v>4449</v>
      </c>
      <c r="Q271" t="s">
        <v>2821</v>
      </c>
      <c r="R271" t="s">
        <v>200</v>
      </c>
      <c r="S271" t="s">
        <v>200</v>
      </c>
      <c r="T271" t="s">
        <v>3048</v>
      </c>
      <c r="U271" t="s">
        <v>3048</v>
      </c>
      <c r="V271" t="s">
        <v>3049</v>
      </c>
      <c r="W271" t="s">
        <v>3887</v>
      </c>
      <c r="X271" t="s">
        <v>3888</v>
      </c>
      <c r="Y271" t="s">
        <v>3889</v>
      </c>
      <c r="Z271" t="s">
        <v>2846</v>
      </c>
      <c r="AA271" t="s">
        <v>3094</v>
      </c>
      <c r="AB271" t="s">
        <v>3117</v>
      </c>
      <c r="AC271" t="s">
        <v>2829</v>
      </c>
      <c r="AD271" t="s">
        <v>2883</v>
      </c>
      <c r="AE271" t="s">
        <v>2831</v>
      </c>
      <c r="AF271" t="s">
        <v>3055</v>
      </c>
      <c r="AG271" t="s">
        <v>3055</v>
      </c>
      <c r="AH271" t="s">
        <v>2834</v>
      </c>
      <c r="AI271" t="s">
        <v>2835</v>
      </c>
      <c r="AJ271" t="s">
        <v>2942</v>
      </c>
      <c r="AK271" t="s">
        <v>3057</v>
      </c>
      <c r="AL271" t="s">
        <v>3094</v>
      </c>
      <c r="AM271" t="s">
        <v>3117</v>
      </c>
      <c r="AN271" t="s">
        <v>2829</v>
      </c>
      <c r="AO271" t="s">
        <v>2839</v>
      </c>
      <c r="AP271" t="s">
        <v>2840</v>
      </c>
      <c r="AQ271" t="s">
        <v>2841</v>
      </c>
      <c r="AR271" t="s">
        <v>3279</v>
      </c>
      <c r="AS271" t="s">
        <v>3279</v>
      </c>
      <c r="AT271" t="s">
        <v>2829</v>
      </c>
      <c r="AU271" t="s">
        <v>2829</v>
      </c>
      <c r="AV271" t="s">
        <v>2829</v>
      </c>
      <c r="AW271" t="s">
        <v>2829</v>
      </c>
      <c r="AX271" t="s">
        <v>2829</v>
      </c>
      <c r="AY271" t="s">
        <v>2829</v>
      </c>
      <c r="AZ271" t="s">
        <v>2829</v>
      </c>
      <c r="BA271" t="s">
        <v>2829</v>
      </c>
      <c r="BB271" t="s">
        <v>2829</v>
      </c>
      <c r="BC271" t="s">
        <v>2829</v>
      </c>
      <c r="BD271" t="s">
        <v>3279</v>
      </c>
      <c r="BE271" t="s">
        <v>3279</v>
      </c>
      <c r="BF271" t="s">
        <v>243</v>
      </c>
      <c r="BG271" t="s">
        <v>243</v>
      </c>
      <c r="BH271" t="s">
        <v>243</v>
      </c>
      <c r="BI271" t="s">
        <v>243</v>
      </c>
      <c r="BJ271" t="s">
        <v>2829</v>
      </c>
      <c r="BK271" t="s">
        <v>243</v>
      </c>
      <c r="BL271" t="s">
        <v>243</v>
      </c>
      <c r="BM271" t="s">
        <v>243</v>
      </c>
      <c r="BN271" t="s">
        <v>243</v>
      </c>
      <c r="BO271" t="s">
        <v>243</v>
      </c>
      <c r="BP271" t="s">
        <v>2829</v>
      </c>
      <c r="BQ271" t="s">
        <v>243</v>
      </c>
      <c r="BR271" t="s">
        <v>243</v>
      </c>
      <c r="BS271" t="s">
        <v>243</v>
      </c>
      <c r="BT271" t="s">
        <v>243</v>
      </c>
      <c r="BU271" t="s">
        <v>243</v>
      </c>
      <c r="BV271" t="s">
        <v>2829</v>
      </c>
      <c r="BW271" t="s">
        <v>243</v>
      </c>
      <c r="BX271" t="s">
        <v>243</v>
      </c>
      <c r="BY271" t="s">
        <v>243</v>
      </c>
      <c r="BZ271" t="s">
        <v>243</v>
      </c>
      <c r="CA271" t="s">
        <v>243</v>
      </c>
      <c r="CB271" t="s">
        <v>2829</v>
      </c>
      <c r="CC271" t="s">
        <v>243</v>
      </c>
      <c r="CD271" t="s">
        <v>243</v>
      </c>
      <c r="CE271" t="s">
        <v>243</v>
      </c>
      <c r="CF271" t="s">
        <v>243</v>
      </c>
      <c r="CG271" t="s">
        <v>243</v>
      </c>
      <c r="CH271" t="s">
        <v>2829</v>
      </c>
      <c r="CI271" t="s">
        <v>243</v>
      </c>
      <c r="CJ271" t="s">
        <v>243</v>
      </c>
      <c r="CK271" t="s">
        <v>243</v>
      </c>
      <c r="CL271" t="s">
        <v>243</v>
      </c>
      <c r="CM271" t="s">
        <v>243</v>
      </c>
      <c r="CN271" t="s">
        <v>3187</v>
      </c>
      <c r="CO271" t="s">
        <v>2843</v>
      </c>
      <c r="CP271" t="s">
        <v>2844</v>
      </c>
      <c r="CQ271" t="s">
        <v>430</v>
      </c>
      <c r="CR271" t="s">
        <v>2872</v>
      </c>
      <c r="CS271" t="s">
        <v>431</v>
      </c>
      <c r="CT271" t="s">
        <v>430</v>
      </c>
      <c r="CU271" t="s">
        <v>3061</v>
      </c>
      <c r="CV271" t="s">
        <v>3062</v>
      </c>
      <c r="CW271" t="s">
        <v>2872</v>
      </c>
      <c r="CX271" t="s">
        <v>2848</v>
      </c>
      <c r="CY271" t="s">
        <v>3890</v>
      </c>
    </row>
    <row r="272" spans="1:103" ht="11.25" customHeight="1">
      <c r="A272" t="s">
        <v>243</v>
      </c>
      <c r="B272" t="s">
        <v>243</v>
      </c>
      <c r="C272" t="s">
        <v>243</v>
      </c>
      <c r="D272" t="s">
        <v>243</v>
      </c>
      <c r="E272" t="s">
        <v>243</v>
      </c>
      <c r="F272" t="s">
        <v>2816</v>
      </c>
      <c r="G272" t="s">
        <v>243</v>
      </c>
      <c r="H272" t="s">
        <v>243</v>
      </c>
      <c r="I272" t="s">
        <v>2850</v>
      </c>
      <c r="J272" t="s">
        <v>243</v>
      </c>
      <c r="K272" t="s">
        <v>2818</v>
      </c>
      <c r="L272" t="s">
        <v>243</v>
      </c>
      <c r="M272" t="s">
        <v>114</v>
      </c>
      <c r="N272" t="s">
        <v>243</v>
      </c>
      <c r="O272" t="s">
        <v>2819</v>
      </c>
      <c r="P272" t="s">
        <v>4449</v>
      </c>
      <c r="Q272" t="s">
        <v>2821</v>
      </c>
      <c r="R272" t="s">
        <v>200</v>
      </c>
      <c r="S272" t="s">
        <v>200</v>
      </c>
      <c r="T272" t="s">
        <v>2822</v>
      </c>
      <c r="U272" t="s">
        <v>2822</v>
      </c>
      <c r="V272" t="s">
        <v>2823</v>
      </c>
      <c r="W272" t="s">
        <v>2851</v>
      </c>
      <c r="X272" t="s">
        <v>2852</v>
      </c>
      <c r="Y272" t="s">
        <v>2853</v>
      </c>
      <c r="Z272" t="s">
        <v>2854</v>
      </c>
      <c r="AA272" t="s">
        <v>2855</v>
      </c>
      <c r="AB272" t="s">
        <v>2856</v>
      </c>
      <c r="AC272" t="s">
        <v>2829</v>
      </c>
      <c r="AD272" t="s">
        <v>2830</v>
      </c>
      <c r="AE272" t="s">
        <v>2857</v>
      </c>
      <c r="AF272" t="s">
        <v>2858</v>
      </c>
      <c r="AG272" t="s">
        <v>2858</v>
      </c>
      <c r="AH272" t="s">
        <v>2834</v>
      </c>
      <c r="AI272" t="s">
        <v>2835</v>
      </c>
      <c r="AJ272" t="s">
        <v>2836</v>
      </c>
      <c r="AK272" t="s">
        <v>2837</v>
      </c>
      <c r="AL272" t="s">
        <v>2855</v>
      </c>
      <c r="AM272" t="s">
        <v>2859</v>
      </c>
      <c r="AN272" t="s">
        <v>2829</v>
      </c>
      <c r="AO272" t="s">
        <v>2839</v>
      </c>
      <c r="AP272" t="s">
        <v>2840</v>
      </c>
      <c r="AQ272" t="s">
        <v>2841</v>
      </c>
      <c r="AR272" t="s">
        <v>2842</v>
      </c>
      <c r="AS272" t="s">
        <v>2842</v>
      </c>
      <c r="AT272" t="s">
        <v>2829</v>
      </c>
      <c r="AU272" t="s">
        <v>2829</v>
      </c>
      <c r="AV272" t="s">
        <v>2829</v>
      </c>
      <c r="AW272" t="s">
        <v>2829</v>
      </c>
      <c r="AX272" t="s">
        <v>2829</v>
      </c>
      <c r="AY272" t="s">
        <v>2829</v>
      </c>
      <c r="AZ272" t="s">
        <v>2829</v>
      </c>
      <c r="BA272" t="s">
        <v>2829</v>
      </c>
      <c r="BB272" t="s">
        <v>2829</v>
      </c>
      <c r="BC272" t="s">
        <v>2829</v>
      </c>
      <c r="BD272" t="s">
        <v>2842</v>
      </c>
      <c r="BE272" t="s">
        <v>2842</v>
      </c>
      <c r="BF272" t="s">
        <v>243</v>
      </c>
      <c r="BG272" t="s">
        <v>243</v>
      </c>
      <c r="BH272" t="s">
        <v>243</v>
      </c>
      <c r="BI272" t="s">
        <v>243</v>
      </c>
      <c r="BJ272" t="s">
        <v>2829</v>
      </c>
      <c r="BK272" t="s">
        <v>243</v>
      </c>
      <c r="BL272" t="s">
        <v>243</v>
      </c>
      <c r="BM272" t="s">
        <v>243</v>
      </c>
      <c r="BN272" t="s">
        <v>243</v>
      </c>
      <c r="BO272" t="s">
        <v>243</v>
      </c>
      <c r="BP272" t="s">
        <v>2829</v>
      </c>
      <c r="BQ272" t="s">
        <v>243</v>
      </c>
      <c r="BR272" t="s">
        <v>243</v>
      </c>
      <c r="BS272" t="s">
        <v>243</v>
      </c>
      <c r="BT272" t="s">
        <v>243</v>
      </c>
      <c r="BU272" t="s">
        <v>243</v>
      </c>
      <c r="BV272" t="s">
        <v>2829</v>
      </c>
      <c r="BW272" t="s">
        <v>243</v>
      </c>
      <c r="BX272" t="s">
        <v>243</v>
      </c>
      <c r="BY272" t="s">
        <v>243</v>
      </c>
      <c r="BZ272" t="s">
        <v>243</v>
      </c>
      <c r="CA272" t="s">
        <v>243</v>
      </c>
      <c r="CB272" t="s">
        <v>2829</v>
      </c>
      <c r="CC272" t="s">
        <v>243</v>
      </c>
      <c r="CD272" t="s">
        <v>243</v>
      </c>
      <c r="CE272" t="s">
        <v>243</v>
      </c>
      <c r="CF272" t="s">
        <v>243</v>
      </c>
      <c r="CG272" t="s">
        <v>243</v>
      </c>
      <c r="CH272" t="s">
        <v>2829</v>
      </c>
      <c r="CI272" t="s">
        <v>243</v>
      </c>
      <c r="CJ272" t="s">
        <v>243</v>
      </c>
      <c r="CK272" t="s">
        <v>243</v>
      </c>
      <c r="CL272" t="s">
        <v>243</v>
      </c>
      <c r="CM272" t="s">
        <v>243</v>
      </c>
      <c r="CN272" t="s">
        <v>2836</v>
      </c>
      <c r="CO272" t="s">
        <v>2843</v>
      </c>
      <c r="CP272" t="s">
        <v>2844</v>
      </c>
      <c r="CQ272" t="s">
        <v>430</v>
      </c>
      <c r="CR272" t="s">
        <v>2845</v>
      </c>
      <c r="CS272" t="s">
        <v>431</v>
      </c>
      <c r="CT272" t="s">
        <v>430</v>
      </c>
      <c r="CU272" t="s">
        <v>2846</v>
      </c>
      <c r="CV272" t="s">
        <v>2847</v>
      </c>
      <c r="CW272" t="s">
        <v>2845</v>
      </c>
      <c r="CX272" t="s">
        <v>2848</v>
      </c>
      <c r="CY272" t="s">
        <v>2860</v>
      </c>
    </row>
    <row r="273" spans="1:103" ht="11.25" customHeight="1">
      <c r="A273" t="s">
        <v>243</v>
      </c>
      <c r="B273" t="s">
        <v>243</v>
      </c>
      <c r="C273" t="s">
        <v>243</v>
      </c>
      <c r="D273" t="s">
        <v>243</v>
      </c>
      <c r="E273" t="s">
        <v>243</v>
      </c>
      <c r="F273" t="s">
        <v>2816</v>
      </c>
      <c r="G273" t="s">
        <v>243</v>
      </c>
      <c r="H273" t="s">
        <v>243</v>
      </c>
      <c r="I273" t="s">
        <v>3345</v>
      </c>
      <c r="J273" t="s">
        <v>243</v>
      </c>
      <c r="K273" t="s">
        <v>2818</v>
      </c>
      <c r="L273" t="s">
        <v>243</v>
      </c>
      <c r="M273" t="s">
        <v>114</v>
      </c>
      <c r="N273" t="s">
        <v>243</v>
      </c>
      <c r="O273" t="s">
        <v>2819</v>
      </c>
      <c r="P273" t="s">
        <v>4449</v>
      </c>
      <c r="Q273" t="s">
        <v>2821</v>
      </c>
      <c r="R273" t="s">
        <v>200</v>
      </c>
      <c r="S273" t="s">
        <v>200</v>
      </c>
      <c r="T273" t="s">
        <v>2822</v>
      </c>
      <c r="U273" t="s">
        <v>2822</v>
      </c>
      <c r="V273" t="s">
        <v>2823</v>
      </c>
      <c r="W273" t="s">
        <v>3346</v>
      </c>
      <c r="X273" t="s">
        <v>3347</v>
      </c>
      <c r="Y273" t="s">
        <v>3348</v>
      </c>
      <c r="Z273" t="s">
        <v>3189</v>
      </c>
      <c r="AA273" t="s">
        <v>3228</v>
      </c>
      <c r="AB273" t="s">
        <v>3016</v>
      </c>
      <c r="AC273" t="s">
        <v>2829</v>
      </c>
      <c r="AD273" t="s">
        <v>2830</v>
      </c>
      <c r="AE273" t="s">
        <v>2857</v>
      </c>
      <c r="AF273" t="s">
        <v>3349</v>
      </c>
      <c r="AG273" t="s">
        <v>3349</v>
      </c>
      <c r="AH273" t="s">
        <v>2834</v>
      </c>
      <c r="AI273" t="s">
        <v>2835</v>
      </c>
      <c r="AJ273" t="s">
        <v>2829</v>
      </c>
      <c r="AK273" t="s">
        <v>2868</v>
      </c>
      <c r="AL273" t="s">
        <v>3228</v>
      </c>
      <c r="AM273" t="s">
        <v>3350</v>
      </c>
      <c r="AN273" t="s">
        <v>2829</v>
      </c>
      <c r="AO273" t="s">
        <v>2839</v>
      </c>
      <c r="AP273" t="s">
        <v>2840</v>
      </c>
      <c r="AQ273" t="s">
        <v>2841</v>
      </c>
      <c r="AR273" t="s">
        <v>3351</v>
      </c>
      <c r="AS273" t="s">
        <v>3351</v>
      </c>
      <c r="AT273" t="s">
        <v>2829</v>
      </c>
      <c r="AU273" t="s">
        <v>2829</v>
      </c>
      <c r="AV273" t="s">
        <v>2829</v>
      </c>
      <c r="AW273" t="s">
        <v>2829</v>
      </c>
      <c r="AX273" t="s">
        <v>2829</v>
      </c>
      <c r="AY273" t="s">
        <v>2829</v>
      </c>
      <c r="AZ273" t="s">
        <v>2829</v>
      </c>
      <c r="BA273" t="s">
        <v>2829</v>
      </c>
      <c r="BB273" t="s">
        <v>2829</v>
      </c>
      <c r="BC273" t="s">
        <v>2829</v>
      </c>
      <c r="BD273" t="s">
        <v>3352</v>
      </c>
      <c r="BE273" t="s">
        <v>3352</v>
      </c>
      <c r="BF273" t="s">
        <v>243</v>
      </c>
      <c r="BG273" t="s">
        <v>243</v>
      </c>
      <c r="BH273" t="s">
        <v>243</v>
      </c>
      <c r="BI273" t="s">
        <v>243</v>
      </c>
      <c r="BJ273" t="s">
        <v>2829</v>
      </c>
      <c r="BK273" t="s">
        <v>243</v>
      </c>
      <c r="BL273" t="s">
        <v>243</v>
      </c>
      <c r="BM273" t="s">
        <v>243</v>
      </c>
      <c r="BN273" t="s">
        <v>243</v>
      </c>
      <c r="BO273" t="s">
        <v>243</v>
      </c>
      <c r="BP273" t="s">
        <v>3353</v>
      </c>
      <c r="BQ273" t="s">
        <v>3353</v>
      </c>
      <c r="BR273" t="s">
        <v>243</v>
      </c>
      <c r="BS273" t="s">
        <v>243</v>
      </c>
      <c r="BT273" t="s">
        <v>243</v>
      </c>
      <c r="BU273" t="s">
        <v>243</v>
      </c>
      <c r="BV273" t="s">
        <v>2829</v>
      </c>
      <c r="BW273" t="s">
        <v>243</v>
      </c>
      <c r="BX273" t="s">
        <v>243</v>
      </c>
      <c r="BY273" t="s">
        <v>243</v>
      </c>
      <c r="BZ273" t="s">
        <v>243</v>
      </c>
      <c r="CA273" t="s">
        <v>243</v>
      </c>
      <c r="CB273" t="s">
        <v>2829</v>
      </c>
      <c r="CC273" t="s">
        <v>243</v>
      </c>
      <c r="CD273" t="s">
        <v>243</v>
      </c>
      <c r="CE273" t="s">
        <v>243</v>
      </c>
      <c r="CF273" t="s">
        <v>243</v>
      </c>
      <c r="CG273" t="s">
        <v>243</v>
      </c>
      <c r="CH273" t="s">
        <v>2829</v>
      </c>
      <c r="CI273" t="s">
        <v>243</v>
      </c>
      <c r="CJ273" t="s">
        <v>243</v>
      </c>
      <c r="CK273" t="s">
        <v>243</v>
      </c>
      <c r="CL273" t="s">
        <v>243</v>
      </c>
      <c r="CM273" t="s">
        <v>243</v>
      </c>
      <c r="CN273" t="s">
        <v>2829</v>
      </c>
      <c r="CO273" t="s">
        <v>2843</v>
      </c>
      <c r="CP273" t="s">
        <v>2844</v>
      </c>
      <c r="CQ273" t="s">
        <v>430</v>
      </c>
      <c r="CR273" t="s">
        <v>2872</v>
      </c>
      <c r="CS273" t="s">
        <v>431</v>
      </c>
      <c r="CT273" t="s">
        <v>430</v>
      </c>
      <c r="CU273" t="s">
        <v>2846</v>
      </c>
      <c r="CV273" t="s">
        <v>2873</v>
      </c>
      <c r="CW273" t="s">
        <v>2872</v>
      </c>
      <c r="CX273" t="s">
        <v>2848</v>
      </c>
      <c r="CY273" t="s">
        <v>3354</v>
      </c>
    </row>
    <row r="274" spans="1:103" ht="11.25" customHeight="1">
      <c r="A274" t="s">
        <v>243</v>
      </c>
      <c r="B274" t="s">
        <v>243</v>
      </c>
      <c r="C274" t="s">
        <v>243</v>
      </c>
      <c r="D274" t="s">
        <v>243</v>
      </c>
      <c r="E274" t="s">
        <v>243</v>
      </c>
      <c r="F274" t="s">
        <v>2816</v>
      </c>
      <c r="G274" t="s">
        <v>243</v>
      </c>
      <c r="H274" t="s">
        <v>243</v>
      </c>
      <c r="I274" t="s">
        <v>4319</v>
      </c>
      <c r="J274" t="s">
        <v>243</v>
      </c>
      <c r="K274" t="s">
        <v>2818</v>
      </c>
      <c r="L274" t="s">
        <v>243</v>
      </c>
      <c r="M274" t="s">
        <v>114</v>
      </c>
      <c r="N274" t="s">
        <v>243</v>
      </c>
      <c r="O274" t="s">
        <v>2819</v>
      </c>
      <c r="P274" t="s">
        <v>4449</v>
      </c>
      <c r="Q274" t="s">
        <v>2821</v>
      </c>
      <c r="R274" t="s">
        <v>200</v>
      </c>
      <c r="S274" t="s">
        <v>200</v>
      </c>
      <c r="T274" t="s">
        <v>2822</v>
      </c>
      <c r="U274" t="s">
        <v>2822</v>
      </c>
      <c r="V274" t="s">
        <v>2823</v>
      </c>
      <c r="W274" t="s">
        <v>4320</v>
      </c>
      <c r="X274" t="s">
        <v>4321</v>
      </c>
      <c r="Y274" t="s">
        <v>2826</v>
      </c>
      <c r="Z274" t="s">
        <v>440</v>
      </c>
      <c r="AA274" t="s">
        <v>4322</v>
      </c>
      <c r="AB274" t="s">
        <v>4323</v>
      </c>
      <c r="AC274" t="s">
        <v>2829</v>
      </c>
      <c r="AD274" t="s">
        <v>2830</v>
      </c>
      <c r="AE274" t="s">
        <v>2857</v>
      </c>
      <c r="AF274" t="s">
        <v>4324</v>
      </c>
      <c r="AG274" t="s">
        <v>4324</v>
      </c>
      <c r="AH274" t="s">
        <v>2834</v>
      </c>
      <c r="AI274" t="s">
        <v>2835</v>
      </c>
      <c r="AJ274" t="s">
        <v>2829</v>
      </c>
      <c r="AK274" t="s">
        <v>2868</v>
      </c>
      <c r="AL274" t="s">
        <v>4322</v>
      </c>
      <c r="AM274" t="s">
        <v>3183</v>
      </c>
      <c r="AN274" t="s">
        <v>2829</v>
      </c>
      <c r="AO274" t="s">
        <v>2839</v>
      </c>
      <c r="AP274" t="s">
        <v>2840</v>
      </c>
      <c r="AQ274" t="s">
        <v>2841</v>
      </c>
      <c r="AR274" t="s">
        <v>4325</v>
      </c>
      <c r="AS274" t="s">
        <v>4325</v>
      </c>
      <c r="AT274" t="s">
        <v>2829</v>
      </c>
      <c r="AU274" t="s">
        <v>2829</v>
      </c>
      <c r="AV274" t="s">
        <v>2829</v>
      </c>
      <c r="AW274" t="s">
        <v>2829</v>
      </c>
      <c r="AX274" t="s">
        <v>2829</v>
      </c>
      <c r="AY274" t="s">
        <v>2829</v>
      </c>
      <c r="AZ274" t="s">
        <v>2829</v>
      </c>
      <c r="BA274" t="s">
        <v>2829</v>
      </c>
      <c r="BB274" t="s">
        <v>2829</v>
      </c>
      <c r="BC274" t="s">
        <v>2829</v>
      </c>
      <c r="BD274" t="s">
        <v>4325</v>
      </c>
      <c r="BE274" t="s">
        <v>4325</v>
      </c>
      <c r="BF274" t="s">
        <v>243</v>
      </c>
      <c r="BG274" t="s">
        <v>243</v>
      </c>
      <c r="BH274" t="s">
        <v>243</v>
      </c>
      <c r="BI274" t="s">
        <v>243</v>
      </c>
      <c r="BJ274" t="s">
        <v>2829</v>
      </c>
      <c r="BK274" t="s">
        <v>243</v>
      </c>
      <c r="BL274" t="s">
        <v>243</v>
      </c>
      <c r="BM274" t="s">
        <v>243</v>
      </c>
      <c r="BN274" t="s">
        <v>243</v>
      </c>
      <c r="BO274" t="s">
        <v>243</v>
      </c>
      <c r="BP274" t="s">
        <v>2829</v>
      </c>
      <c r="BQ274" t="s">
        <v>243</v>
      </c>
      <c r="BR274" t="s">
        <v>243</v>
      </c>
      <c r="BS274" t="s">
        <v>243</v>
      </c>
      <c r="BT274" t="s">
        <v>243</v>
      </c>
      <c r="BU274" t="s">
        <v>243</v>
      </c>
      <c r="BV274" t="s">
        <v>2829</v>
      </c>
      <c r="BW274" t="s">
        <v>243</v>
      </c>
      <c r="BX274" t="s">
        <v>243</v>
      </c>
      <c r="BY274" t="s">
        <v>243</v>
      </c>
      <c r="BZ274" t="s">
        <v>243</v>
      </c>
      <c r="CA274" t="s">
        <v>243</v>
      </c>
      <c r="CB274" t="s">
        <v>2829</v>
      </c>
      <c r="CC274" t="s">
        <v>243</v>
      </c>
      <c r="CD274" t="s">
        <v>243</v>
      </c>
      <c r="CE274" t="s">
        <v>243</v>
      </c>
      <c r="CF274" t="s">
        <v>243</v>
      </c>
      <c r="CG274" t="s">
        <v>243</v>
      </c>
      <c r="CH274" t="s">
        <v>2829</v>
      </c>
      <c r="CI274" t="s">
        <v>243</v>
      </c>
      <c r="CJ274" t="s">
        <v>243</v>
      </c>
      <c r="CK274" t="s">
        <v>243</v>
      </c>
      <c r="CL274" t="s">
        <v>243</v>
      </c>
      <c r="CM274" t="s">
        <v>243</v>
      </c>
      <c r="CN274" t="s">
        <v>2829</v>
      </c>
      <c r="CO274" t="s">
        <v>2843</v>
      </c>
      <c r="CP274" t="s">
        <v>2844</v>
      </c>
      <c r="CQ274" t="s">
        <v>430</v>
      </c>
      <c r="CR274" t="s">
        <v>2872</v>
      </c>
      <c r="CS274" t="s">
        <v>431</v>
      </c>
      <c r="CT274" t="s">
        <v>430</v>
      </c>
      <c r="CU274" t="s">
        <v>2846</v>
      </c>
      <c r="CV274" t="s">
        <v>2873</v>
      </c>
      <c r="CW274" t="s">
        <v>2872</v>
      </c>
      <c r="CX274" t="s">
        <v>2848</v>
      </c>
      <c r="CY274" t="s">
        <v>4326</v>
      </c>
    </row>
    <row r="275" spans="1:103" ht="11.25" customHeight="1">
      <c r="A275" t="s">
        <v>243</v>
      </c>
      <c r="B275" t="s">
        <v>243</v>
      </c>
      <c r="C275" t="s">
        <v>243</v>
      </c>
      <c r="D275" t="s">
        <v>243</v>
      </c>
      <c r="E275" t="s">
        <v>243</v>
      </c>
      <c r="F275" t="s">
        <v>2816</v>
      </c>
      <c r="G275" t="s">
        <v>243</v>
      </c>
      <c r="H275" t="s">
        <v>243</v>
      </c>
      <c r="I275" t="s">
        <v>4228</v>
      </c>
      <c r="J275" t="s">
        <v>243</v>
      </c>
      <c r="K275" t="s">
        <v>3115</v>
      </c>
      <c r="L275" t="s">
        <v>243</v>
      </c>
      <c r="M275" t="s">
        <v>114</v>
      </c>
      <c r="N275" t="s">
        <v>243</v>
      </c>
      <c r="O275" t="s">
        <v>2819</v>
      </c>
      <c r="P275" t="s">
        <v>4449</v>
      </c>
      <c r="Q275" t="s">
        <v>2821</v>
      </c>
      <c r="R275" t="s">
        <v>200</v>
      </c>
      <c r="S275" t="s">
        <v>200</v>
      </c>
      <c r="T275" t="s">
        <v>2968</v>
      </c>
      <c r="U275" t="s">
        <v>2968</v>
      </c>
      <c r="V275" t="s">
        <v>2969</v>
      </c>
      <c r="W275" t="s">
        <v>4097</v>
      </c>
      <c r="X275" t="s">
        <v>4098</v>
      </c>
      <c r="Y275" t="s">
        <v>2918</v>
      </c>
      <c r="Z275" t="s">
        <v>3681</v>
      </c>
      <c r="AA275" t="s">
        <v>3058</v>
      </c>
      <c r="AB275" t="s">
        <v>4229</v>
      </c>
      <c r="AC275" t="s">
        <v>2829</v>
      </c>
      <c r="AD275" t="s">
        <v>2883</v>
      </c>
      <c r="AE275" t="s">
        <v>2857</v>
      </c>
      <c r="AF275" t="s">
        <v>4230</v>
      </c>
      <c r="AG275" t="s">
        <v>4230</v>
      </c>
      <c r="AH275" t="s">
        <v>2834</v>
      </c>
      <c r="AI275" t="s">
        <v>2835</v>
      </c>
      <c r="AJ275" t="s">
        <v>3030</v>
      </c>
      <c r="AK275" t="s">
        <v>4102</v>
      </c>
      <c r="AL275" t="s">
        <v>3058</v>
      </c>
      <c r="AM275" t="s">
        <v>4229</v>
      </c>
      <c r="AN275" t="s">
        <v>2829</v>
      </c>
      <c r="AO275" t="s">
        <v>2839</v>
      </c>
      <c r="AP275" t="s">
        <v>2840</v>
      </c>
      <c r="AQ275" t="s">
        <v>2841</v>
      </c>
      <c r="AR275" t="s">
        <v>4231</v>
      </c>
      <c r="AS275" t="s">
        <v>4231</v>
      </c>
      <c r="AT275" t="s">
        <v>2829</v>
      </c>
      <c r="AU275" t="s">
        <v>2829</v>
      </c>
      <c r="AV275" t="s">
        <v>2829</v>
      </c>
      <c r="AW275" t="s">
        <v>2829</v>
      </c>
      <c r="AX275" t="s">
        <v>2829</v>
      </c>
      <c r="AY275" t="s">
        <v>2829</v>
      </c>
      <c r="AZ275" t="s">
        <v>2829</v>
      </c>
      <c r="BA275" t="s">
        <v>2829</v>
      </c>
      <c r="BB275" t="s">
        <v>2829</v>
      </c>
      <c r="BC275" t="s">
        <v>2829</v>
      </c>
      <c r="BD275" t="s">
        <v>2829</v>
      </c>
      <c r="BE275" t="s">
        <v>243</v>
      </c>
      <c r="BF275" t="s">
        <v>243</v>
      </c>
      <c r="BG275" t="s">
        <v>243</v>
      </c>
      <c r="BH275" t="s">
        <v>243</v>
      </c>
      <c r="BI275" t="s">
        <v>243</v>
      </c>
      <c r="BJ275" t="s">
        <v>2829</v>
      </c>
      <c r="BK275" t="s">
        <v>243</v>
      </c>
      <c r="BL275" t="s">
        <v>243</v>
      </c>
      <c r="BM275" t="s">
        <v>243</v>
      </c>
      <c r="BN275" t="s">
        <v>243</v>
      </c>
      <c r="BO275" t="s">
        <v>243</v>
      </c>
      <c r="BP275" t="s">
        <v>4231</v>
      </c>
      <c r="BQ275" t="s">
        <v>4231</v>
      </c>
      <c r="BR275" t="s">
        <v>243</v>
      </c>
      <c r="BS275" t="s">
        <v>243</v>
      </c>
      <c r="BT275" t="s">
        <v>243</v>
      </c>
      <c r="BU275" t="s">
        <v>243</v>
      </c>
      <c r="BV275" t="s">
        <v>2829</v>
      </c>
      <c r="BW275" t="s">
        <v>243</v>
      </c>
      <c r="BX275" t="s">
        <v>243</v>
      </c>
      <c r="BY275" t="s">
        <v>243</v>
      </c>
      <c r="BZ275" t="s">
        <v>243</v>
      </c>
      <c r="CA275" t="s">
        <v>243</v>
      </c>
      <c r="CB275" t="s">
        <v>2829</v>
      </c>
      <c r="CC275" t="s">
        <v>243</v>
      </c>
      <c r="CD275" t="s">
        <v>243</v>
      </c>
      <c r="CE275" t="s">
        <v>243</v>
      </c>
      <c r="CF275" t="s">
        <v>243</v>
      </c>
      <c r="CG275" t="s">
        <v>243</v>
      </c>
      <c r="CH275" t="s">
        <v>2829</v>
      </c>
      <c r="CI275" t="s">
        <v>243</v>
      </c>
      <c r="CJ275" t="s">
        <v>243</v>
      </c>
      <c r="CK275" t="s">
        <v>243</v>
      </c>
      <c r="CL275" t="s">
        <v>243</v>
      </c>
      <c r="CM275" t="s">
        <v>243</v>
      </c>
      <c r="CN275" t="s">
        <v>3010</v>
      </c>
      <c r="CO275" t="s">
        <v>2843</v>
      </c>
      <c r="CP275" t="s">
        <v>2844</v>
      </c>
      <c r="CQ275" t="s">
        <v>430</v>
      </c>
      <c r="CR275" t="s">
        <v>2984</v>
      </c>
      <c r="CS275" t="s">
        <v>431</v>
      </c>
      <c r="CT275" t="s">
        <v>430</v>
      </c>
      <c r="CU275" t="s">
        <v>2985</v>
      </c>
      <c r="CV275" t="s">
        <v>2986</v>
      </c>
      <c r="CW275" t="s">
        <v>2984</v>
      </c>
      <c r="CX275" t="s">
        <v>2848</v>
      </c>
      <c r="CY275" t="s">
        <v>4232</v>
      </c>
    </row>
    <row r="276" spans="1:103" ht="11.25" customHeight="1">
      <c r="A276" t="s">
        <v>243</v>
      </c>
      <c r="B276" t="s">
        <v>243</v>
      </c>
      <c r="C276" t="s">
        <v>243</v>
      </c>
      <c r="D276" t="s">
        <v>243</v>
      </c>
      <c r="E276" t="s">
        <v>243</v>
      </c>
      <c r="F276" t="s">
        <v>2816</v>
      </c>
      <c r="G276" t="s">
        <v>243</v>
      </c>
      <c r="H276" t="s">
        <v>243</v>
      </c>
      <c r="I276" t="s">
        <v>466</v>
      </c>
      <c r="J276" t="s">
        <v>243</v>
      </c>
      <c r="K276" t="s">
        <v>3233</v>
      </c>
      <c r="L276" t="s">
        <v>243</v>
      </c>
      <c r="M276" t="s">
        <v>114</v>
      </c>
      <c r="N276" t="s">
        <v>243</v>
      </c>
      <c r="O276" t="s">
        <v>2819</v>
      </c>
      <c r="P276" t="s">
        <v>4449</v>
      </c>
      <c r="Q276" t="s">
        <v>2821</v>
      </c>
      <c r="R276" t="s">
        <v>200</v>
      </c>
      <c r="S276" t="s">
        <v>200</v>
      </c>
      <c r="T276" t="s">
        <v>2822</v>
      </c>
      <c r="U276" t="s">
        <v>2822</v>
      </c>
      <c r="V276" t="s">
        <v>2823</v>
      </c>
      <c r="W276" t="s">
        <v>2952</v>
      </c>
      <c r="X276" t="s">
        <v>2953</v>
      </c>
      <c r="Y276" t="s">
        <v>4270</v>
      </c>
      <c r="Z276" t="s">
        <v>4271</v>
      </c>
      <c r="AA276" t="s">
        <v>4272</v>
      </c>
      <c r="AB276" t="s">
        <v>4273</v>
      </c>
      <c r="AC276" t="s">
        <v>2829</v>
      </c>
      <c r="AD276" t="s">
        <v>2830</v>
      </c>
      <c r="AE276" t="s">
        <v>2831</v>
      </c>
      <c r="AF276" t="s">
        <v>4274</v>
      </c>
      <c r="AG276" t="s">
        <v>4275</v>
      </c>
      <c r="AH276" t="s">
        <v>2834</v>
      </c>
      <c r="AI276" t="s">
        <v>2835</v>
      </c>
      <c r="AJ276" t="s">
        <v>2960</v>
      </c>
      <c r="AK276" t="s">
        <v>3882</v>
      </c>
      <c r="AL276" t="s">
        <v>4276</v>
      </c>
      <c r="AM276" t="s">
        <v>3653</v>
      </c>
      <c r="AN276" t="s">
        <v>2829</v>
      </c>
      <c r="AO276" t="s">
        <v>2839</v>
      </c>
      <c r="AP276" t="s">
        <v>2840</v>
      </c>
      <c r="AQ276" t="s">
        <v>2841</v>
      </c>
      <c r="AR276" t="s">
        <v>4277</v>
      </c>
      <c r="AS276" t="s">
        <v>4277</v>
      </c>
      <c r="AT276" t="s">
        <v>2829</v>
      </c>
      <c r="AU276" t="s">
        <v>2829</v>
      </c>
      <c r="AV276" t="s">
        <v>2829</v>
      </c>
      <c r="AW276" t="s">
        <v>2829</v>
      </c>
      <c r="AX276" t="s">
        <v>2829</v>
      </c>
      <c r="AY276" t="s">
        <v>2829</v>
      </c>
      <c r="AZ276" t="s">
        <v>2829</v>
      </c>
      <c r="BA276" t="s">
        <v>2829</v>
      </c>
      <c r="BB276" t="s">
        <v>2829</v>
      </c>
      <c r="BC276" t="s">
        <v>2829</v>
      </c>
      <c r="BD276" t="s">
        <v>4277</v>
      </c>
      <c r="BE276" t="s">
        <v>4277</v>
      </c>
      <c r="BF276" t="s">
        <v>243</v>
      </c>
      <c r="BG276" t="s">
        <v>243</v>
      </c>
      <c r="BH276" t="s">
        <v>243</v>
      </c>
      <c r="BI276" t="s">
        <v>243</v>
      </c>
      <c r="BJ276" t="s">
        <v>2829</v>
      </c>
      <c r="BK276" t="s">
        <v>243</v>
      </c>
      <c r="BL276" t="s">
        <v>243</v>
      </c>
      <c r="BM276" t="s">
        <v>243</v>
      </c>
      <c r="BN276" t="s">
        <v>243</v>
      </c>
      <c r="BO276" t="s">
        <v>243</v>
      </c>
      <c r="BP276" t="s">
        <v>2829</v>
      </c>
      <c r="BQ276" t="s">
        <v>243</v>
      </c>
      <c r="BR276" t="s">
        <v>243</v>
      </c>
      <c r="BS276" t="s">
        <v>243</v>
      </c>
      <c r="BT276" t="s">
        <v>243</v>
      </c>
      <c r="BU276" t="s">
        <v>243</v>
      </c>
      <c r="BV276" t="s">
        <v>2829</v>
      </c>
      <c r="BW276" t="s">
        <v>243</v>
      </c>
      <c r="BX276" t="s">
        <v>243</v>
      </c>
      <c r="BY276" t="s">
        <v>243</v>
      </c>
      <c r="BZ276" t="s">
        <v>243</v>
      </c>
      <c r="CA276" t="s">
        <v>243</v>
      </c>
      <c r="CB276" t="s">
        <v>2829</v>
      </c>
      <c r="CC276" t="s">
        <v>243</v>
      </c>
      <c r="CD276" t="s">
        <v>243</v>
      </c>
      <c r="CE276" t="s">
        <v>243</v>
      </c>
      <c r="CF276" t="s">
        <v>243</v>
      </c>
      <c r="CG276" t="s">
        <v>243</v>
      </c>
      <c r="CH276" t="s">
        <v>2829</v>
      </c>
      <c r="CI276" t="s">
        <v>243</v>
      </c>
      <c r="CJ276" t="s">
        <v>243</v>
      </c>
      <c r="CK276" t="s">
        <v>243</v>
      </c>
      <c r="CL276" t="s">
        <v>243</v>
      </c>
      <c r="CM276" t="s">
        <v>243</v>
      </c>
      <c r="CN276" t="s">
        <v>2960</v>
      </c>
      <c r="CO276" t="s">
        <v>2843</v>
      </c>
      <c r="CP276" t="s">
        <v>2844</v>
      </c>
      <c r="CQ276" t="s">
        <v>430</v>
      </c>
      <c r="CR276" t="s">
        <v>2845</v>
      </c>
      <c r="CS276" t="s">
        <v>431</v>
      </c>
      <c r="CT276" t="s">
        <v>430</v>
      </c>
      <c r="CU276" t="s">
        <v>2846</v>
      </c>
      <c r="CV276" t="s">
        <v>2847</v>
      </c>
      <c r="CW276" t="s">
        <v>2845</v>
      </c>
      <c r="CX276" t="s">
        <v>2848</v>
      </c>
      <c r="CY276" t="s">
        <v>4278</v>
      </c>
    </row>
    <row r="277" spans="1:103" ht="11.25" customHeight="1">
      <c r="A277" t="s">
        <v>243</v>
      </c>
      <c r="B277" t="s">
        <v>243</v>
      </c>
      <c r="C277" t="s">
        <v>243</v>
      </c>
      <c r="D277" t="s">
        <v>243</v>
      </c>
      <c r="E277" t="s">
        <v>243</v>
      </c>
      <c r="F277" t="s">
        <v>2816</v>
      </c>
      <c r="G277" t="s">
        <v>243</v>
      </c>
      <c r="H277" t="s">
        <v>243</v>
      </c>
      <c r="I277" t="s">
        <v>4279</v>
      </c>
      <c r="J277" t="s">
        <v>243</v>
      </c>
      <c r="K277" t="s">
        <v>3507</v>
      </c>
      <c r="L277" t="s">
        <v>243</v>
      </c>
      <c r="M277" t="s">
        <v>114</v>
      </c>
      <c r="N277" t="s">
        <v>243</v>
      </c>
      <c r="O277" t="s">
        <v>2819</v>
      </c>
      <c r="P277" t="s">
        <v>4449</v>
      </c>
      <c r="Q277" t="s">
        <v>2821</v>
      </c>
      <c r="R277" t="s">
        <v>200</v>
      </c>
      <c r="S277" t="s">
        <v>200</v>
      </c>
      <c r="T277" t="s">
        <v>2968</v>
      </c>
      <c r="U277" t="s">
        <v>2968</v>
      </c>
      <c r="V277" t="s">
        <v>2969</v>
      </c>
      <c r="W277" t="s">
        <v>4280</v>
      </c>
      <c r="X277" t="s">
        <v>4281</v>
      </c>
      <c r="Y277" t="s">
        <v>3026</v>
      </c>
      <c r="Z277" t="s">
        <v>4282</v>
      </c>
      <c r="AA277" t="s">
        <v>2995</v>
      </c>
      <c r="AB277" t="s">
        <v>3511</v>
      </c>
      <c r="AC277" t="s">
        <v>2829</v>
      </c>
      <c r="AD277" t="s">
        <v>2883</v>
      </c>
      <c r="AE277" t="s">
        <v>2857</v>
      </c>
      <c r="AF277" t="s">
        <v>4283</v>
      </c>
      <c r="AG277" t="s">
        <v>4283</v>
      </c>
      <c r="AH277" t="s">
        <v>2834</v>
      </c>
      <c r="AI277" t="s">
        <v>2835</v>
      </c>
      <c r="AJ277" t="s">
        <v>3010</v>
      </c>
      <c r="AK277" t="s">
        <v>3587</v>
      </c>
      <c r="AL277" t="s">
        <v>2995</v>
      </c>
      <c r="AM277" t="s">
        <v>3511</v>
      </c>
      <c r="AN277" t="s">
        <v>2829</v>
      </c>
      <c r="AO277" t="s">
        <v>2839</v>
      </c>
      <c r="AP277" t="s">
        <v>2840</v>
      </c>
      <c r="AQ277" t="s">
        <v>2841</v>
      </c>
      <c r="AR277" t="s">
        <v>3350</v>
      </c>
      <c r="AS277" t="s">
        <v>3350</v>
      </c>
      <c r="AT277" t="s">
        <v>2829</v>
      </c>
      <c r="AU277" t="s">
        <v>2829</v>
      </c>
      <c r="AV277" t="s">
        <v>2829</v>
      </c>
      <c r="AW277" t="s">
        <v>2829</v>
      </c>
      <c r="AX277" t="s">
        <v>2829</v>
      </c>
      <c r="AY277" t="s">
        <v>2829</v>
      </c>
      <c r="AZ277" t="s">
        <v>2829</v>
      </c>
      <c r="BA277" t="s">
        <v>2829</v>
      </c>
      <c r="BB277" t="s">
        <v>2829</v>
      </c>
      <c r="BC277" t="s">
        <v>2829</v>
      </c>
      <c r="BD277" t="s">
        <v>2829</v>
      </c>
      <c r="BE277" t="s">
        <v>243</v>
      </c>
      <c r="BF277" t="s">
        <v>243</v>
      </c>
      <c r="BG277" t="s">
        <v>243</v>
      </c>
      <c r="BH277" t="s">
        <v>243</v>
      </c>
      <c r="BI277" t="s">
        <v>243</v>
      </c>
      <c r="BJ277" t="s">
        <v>2829</v>
      </c>
      <c r="BK277" t="s">
        <v>243</v>
      </c>
      <c r="BL277" t="s">
        <v>243</v>
      </c>
      <c r="BM277" t="s">
        <v>243</v>
      </c>
      <c r="BN277" t="s">
        <v>243</v>
      </c>
      <c r="BO277" t="s">
        <v>243</v>
      </c>
      <c r="BP277" t="s">
        <v>3350</v>
      </c>
      <c r="BQ277" t="s">
        <v>3350</v>
      </c>
      <c r="BR277" t="s">
        <v>243</v>
      </c>
      <c r="BS277" t="s">
        <v>243</v>
      </c>
      <c r="BT277" t="s">
        <v>243</v>
      </c>
      <c r="BU277" t="s">
        <v>243</v>
      </c>
      <c r="BV277" t="s">
        <v>2829</v>
      </c>
      <c r="BW277" t="s">
        <v>243</v>
      </c>
      <c r="BX277" t="s">
        <v>243</v>
      </c>
      <c r="BY277" t="s">
        <v>243</v>
      </c>
      <c r="BZ277" t="s">
        <v>243</v>
      </c>
      <c r="CA277" t="s">
        <v>243</v>
      </c>
      <c r="CB277" t="s">
        <v>2829</v>
      </c>
      <c r="CC277" t="s">
        <v>243</v>
      </c>
      <c r="CD277" t="s">
        <v>243</v>
      </c>
      <c r="CE277" t="s">
        <v>243</v>
      </c>
      <c r="CF277" t="s">
        <v>243</v>
      </c>
      <c r="CG277" t="s">
        <v>243</v>
      </c>
      <c r="CH277" t="s">
        <v>2829</v>
      </c>
      <c r="CI277" t="s">
        <v>243</v>
      </c>
      <c r="CJ277" t="s">
        <v>243</v>
      </c>
      <c r="CK277" t="s">
        <v>243</v>
      </c>
      <c r="CL277" t="s">
        <v>243</v>
      </c>
      <c r="CM277" t="s">
        <v>243</v>
      </c>
      <c r="CN277" t="s">
        <v>3010</v>
      </c>
      <c r="CO277" t="s">
        <v>2843</v>
      </c>
      <c r="CP277" t="s">
        <v>2844</v>
      </c>
      <c r="CQ277" t="s">
        <v>430</v>
      </c>
      <c r="CR277" t="s">
        <v>2984</v>
      </c>
      <c r="CS277" t="s">
        <v>431</v>
      </c>
      <c r="CT277" t="s">
        <v>430</v>
      </c>
      <c r="CU277" t="s">
        <v>2985</v>
      </c>
      <c r="CV277" t="s">
        <v>2986</v>
      </c>
      <c r="CW277" t="s">
        <v>2984</v>
      </c>
      <c r="CX277" t="s">
        <v>2848</v>
      </c>
      <c r="CY277" t="s">
        <v>4284</v>
      </c>
    </row>
    <row r="278" spans="1:103" ht="11.25" customHeight="1">
      <c r="A278" t="s">
        <v>243</v>
      </c>
      <c r="B278" t="s">
        <v>243</v>
      </c>
      <c r="C278" t="s">
        <v>243</v>
      </c>
      <c r="D278" t="s">
        <v>243</v>
      </c>
      <c r="E278" t="s">
        <v>243</v>
      </c>
      <c r="F278" t="s">
        <v>2816</v>
      </c>
      <c r="G278" t="s">
        <v>243</v>
      </c>
      <c r="H278" t="s">
        <v>243</v>
      </c>
      <c r="I278" t="s">
        <v>3387</v>
      </c>
      <c r="J278" t="s">
        <v>243</v>
      </c>
      <c r="K278" t="s">
        <v>3388</v>
      </c>
      <c r="L278" t="s">
        <v>243</v>
      </c>
      <c r="M278" t="s">
        <v>114</v>
      </c>
      <c r="N278" t="s">
        <v>243</v>
      </c>
      <c r="O278" t="s">
        <v>2819</v>
      </c>
      <c r="P278" t="s">
        <v>4449</v>
      </c>
      <c r="Q278" t="s">
        <v>2821</v>
      </c>
      <c r="R278" t="s">
        <v>200</v>
      </c>
      <c r="S278" t="s">
        <v>200</v>
      </c>
      <c r="T278" t="s">
        <v>3022</v>
      </c>
      <c r="U278" t="s">
        <v>3022</v>
      </c>
      <c r="V278" t="s">
        <v>3023</v>
      </c>
      <c r="W278" t="s">
        <v>3389</v>
      </c>
      <c r="X278" t="s">
        <v>3390</v>
      </c>
      <c r="Y278" t="s">
        <v>3391</v>
      </c>
      <c r="Z278" t="s">
        <v>1847</v>
      </c>
      <c r="AA278" t="s">
        <v>3392</v>
      </c>
      <c r="AB278" t="s">
        <v>3393</v>
      </c>
      <c r="AC278" t="s">
        <v>2829</v>
      </c>
      <c r="AD278" t="s">
        <v>2883</v>
      </c>
      <c r="AE278" t="s">
        <v>2831</v>
      </c>
      <c r="AF278" t="s">
        <v>3394</v>
      </c>
      <c r="AG278" t="s">
        <v>3394</v>
      </c>
      <c r="AH278" t="s">
        <v>2834</v>
      </c>
      <c r="AI278" t="s">
        <v>2835</v>
      </c>
      <c r="AJ278" t="s">
        <v>3030</v>
      </c>
      <c r="AK278" t="s">
        <v>3185</v>
      </c>
      <c r="AL278" t="s">
        <v>3392</v>
      </c>
      <c r="AM278" t="s">
        <v>3393</v>
      </c>
      <c r="AN278" t="s">
        <v>2829</v>
      </c>
      <c r="AO278" t="s">
        <v>2839</v>
      </c>
      <c r="AP278" t="s">
        <v>2840</v>
      </c>
      <c r="AQ278" t="s">
        <v>2841</v>
      </c>
      <c r="AR278" t="s">
        <v>3395</v>
      </c>
      <c r="AS278" t="s">
        <v>3395</v>
      </c>
      <c r="AT278" t="s">
        <v>2829</v>
      </c>
      <c r="AU278" t="s">
        <v>2829</v>
      </c>
      <c r="AV278" t="s">
        <v>2829</v>
      </c>
      <c r="AW278" t="s">
        <v>2829</v>
      </c>
      <c r="AX278" t="s">
        <v>2829</v>
      </c>
      <c r="AY278" t="s">
        <v>2829</v>
      </c>
      <c r="AZ278" t="s">
        <v>2829</v>
      </c>
      <c r="BA278" t="s">
        <v>2829</v>
      </c>
      <c r="BB278" t="s">
        <v>2829</v>
      </c>
      <c r="BC278" t="s">
        <v>2829</v>
      </c>
      <c r="BD278" t="s">
        <v>2829</v>
      </c>
      <c r="BE278" t="s">
        <v>243</v>
      </c>
      <c r="BF278" t="s">
        <v>243</v>
      </c>
      <c r="BG278" t="s">
        <v>243</v>
      </c>
      <c r="BH278" t="s">
        <v>243</v>
      </c>
      <c r="BI278" t="s">
        <v>243</v>
      </c>
      <c r="BJ278" t="s">
        <v>2829</v>
      </c>
      <c r="BK278" t="s">
        <v>243</v>
      </c>
      <c r="BL278" t="s">
        <v>243</v>
      </c>
      <c r="BM278" t="s">
        <v>243</v>
      </c>
      <c r="BN278" t="s">
        <v>243</v>
      </c>
      <c r="BO278" t="s">
        <v>243</v>
      </c>
      <c r="BP278" t="s">
        <v>3395</v>
      </c>
      <c r="BQ278" t="s">
        <v>3395</v>
      </c>
      <c r="BR278" t="s">
        <v>243</v>
      </c>
      <c r="BS278" t="s">
        <v>243</v>
      </c>
      <c r="BT278" t="s">
        <v>243</v>
      </c>
      <c r="BU278" t="s">
        <v>243</v>
      </c>
      <c r="BV278" t="s">
        <v>2829</v>
      </c>
      <c r="BW278" t="s">
        <v>243</v>
      </c>
      <c r="BX278" t="s">
        <v>243</v>
      </c>
      <c r="BY278" t="s">
        <v>243</v>
      </c>
      <c r="BZ278" t="s">
        <v>243</v>
      </c>
      <c r="CA278" t="s">
        <v>243</v>
      </c>
      <c r="CB278" t="s">
        <v>2829</v>
      </c>
      <c r="CC278" t="s">
        <v>243</v>
      </c>
      <c r="CD278" t="s">
        <v>243</v>
      </c>
      <c r="CE278" t="s">
        <v>243</v>
      </c>
      <c r="CF278" t="s">
        <v>243</v>
      </c>
      <c r="CG278" t="s">
        <v>243</v>
      </c>
      <c r="CH278" t="s">
        <v>2829</v>
      </c>
      <c r="CI278" t="s">
        <v>243</v>
      </c>
      <c r="CJ278" t="s">
        <v>243</v>
      </c>
      <c r="CK278" t="s">
        <v>243</v>
      </c>
      <c r="CL278" t="s">
        <v>243</v>
      </c>
      <c r="CM278" t="s">
        <v>243</v>
      </c>
      <c r="CN278" t="s">
        <v>3030</v>
      </c>
      <c r="CO278" t="s">
        <v>2843</v>
      </c>
      <c r="CP278" t="s">
        <v>2844</v>
      </c>
      <c r="CQ278" t="s">
        <v>430</v>
      </c>
      <c r="CR278" t="s">
        <v>3033</v>
      </c>
      <c r="CS278" t="s">
        <v>431</v>
      </c>
      <c r="CT278" t="s">
        <v>430</v>
      </c>
      <c r="CU278" t="s">
        <v>3034</v>
      </c>
      <c r="CV278" t="s">
        <v>432</v>
      </c>
      <c r="CW278" t="s">
        <v>3033</v>
      </c>
      <c r="CX278" t="s">
        <v>2848</v>
      </c>
      <c r="CY278" t="s">
        <v>3396</v>
      </c>
    </row>
    <row r="279" spans="1:103" ht="11.25" customHeight="1">
      <c r="A279" t="s">
        <v>243</v>
      </c>
      <c r="B279" t="s">
        <v>243</v>
      </c>
      <c r="C279" t="s">
        <v>243</v>
      </c>
      <c r="D279" t="s">
        <v>243</v>
      </c>
      <c r="E279" t="s">
        <v>243</v>
      </c>
      <c r="F279" t="s">
        <v>2816</v>
      </c>
      <c r="G279" t="s">
        <v>243</v>
      </c>
      <c r="H279" t="s">
        <v>243</v>
      </c>
      <c r="I279" t="s">
        <v>3452</v>
      </c>
      <c r="J279" t="s">
        <v>243</v>
      </c>
      <c r="K279" t="s">
        <v>3453</v>
      </c>
      <c r="L279" t="s">
        <v>243</v>
      </c>
      <c r="M279" t="s">
        <v>114</v>
      </c>
      <c r="N279" t="s">
        <v>243</v>
      </c>
      <c r="O279" t="s">
        <v>2819</v>
      </c>
      <c r="P279" t="s">
        <v>4449</v>
      </c>
      <c r="Q279" t="s">
        <v>2821</v>
      </c>
      <c r="R279" t="s">
        <v>200</v>
      </c>
      <c r="S279" t="s">
        <v>200</v>
      </c>
      <c r="T279" t="s">
        <v>3022</v>
      </c>
      <c r="U279" t="s">
        <v>3022</v>
      </c>
      <c r="V279" t="s">
        <v>3023</v>
      </c>
      <c r="W279" t="s">
        <v>3389</v>
      </c>
      <c r="X279" t="s">
        <v>3390</v>
      </c>
      <c r="Y279" t="s">
        <v>2929</v>
      </c>
      <c r="Z279" t="s">
        <v>3454</v>
      </c>
      <c r="AA279" t="s">
        <v>3455</v>
      </c>
      <c r="AB279" t="s">
        <v>3193</v>
      </c>
      <c r="AC279" t="s">
        <v>2829</v>
      </c>
      <c r="AD279" t="s">
        <v>2883</v>
      </c>
      <c r="AE279" t="s">
        <v>2831</v>
      </c>
      <c r="AF279" t="s">
        <v>3456</v>
      </c>
      <c r="AG279" t="s">
        <v>3456</v>
      </c>
      <c r="AH279" t="s">
        <v>2834</v>
      </c>
      <c r="AI279" t="s">
        <v>2835</v>
      </c>
      <c r="AJ279" t="s">
        <v>3030</v>
      </c>
      <c r="AK279" t="s">
        <v>3185</v>
      </c>
      <c r="AL279" t="s">
        <v>3455</v>
      </c>
      <c r="AM279" t="s">
        <v>2995</v>
      </c>
      <c r="AN279" t="s">
        <v>2829</v>
      </c>
      <c r="AO279" t="s">
        <v>2839</v>
      </c>
      <c r="AP279" t="s">
        <v>2840</v>
      </c>
      <c r="AQ279" t="s">
        <v>2841</v>
      </c>
      <c r="AR279" t="s">
        <v>3457</v>
      </c>
      <c r="AS279" t="s">
        <v>3457</v>
      </c>
      <c r="AT279" t="s">
        <v>2829</v>
      </c>
      <c r="AU279" t="s">
        <v>2829</v>
      </c>
      <c r="AV279" t="s">
        <v>2829</v>
      </c>
      <c r="AW279" t="s">
        <v>2829</v>
      </c>
      <c r="AX279" t="s">
        <v>2829</v>
      </c>
      <c r="AY279" t="s">
        <v>2829</v>
      </c>
      <c r="AZ279" t="s">
        <v>2829</v>
      </c>
      <c r="BA279" t="s">
        <v>2829</v>
      </c>
      <c r="BB279" t="s">
        <v>2829</v>
      </c>
      <c r="BC279" t="s">
        <v>2829</v>
      </c>
      <c r="BD279" t="s">
        <v>2829</v>
      </c>
      <c r="BE279" t="s">
        <v>243</v>
      </c>
      <c r="BF279" t="s">
        <v>243</v>
      </c>
      <c r="BG279" t="s">
        <v>243</v>
      </c>
      <c r="BH279" t="s">
        <v>243</v>
      </c>
      <c r="BI279" t="s">
        <v>243</v>
      </c>
      <c r="BJ279" t="s">
        <v>2829</v>
      </c>
      <c r="BK279" t="s">
        <v>243</v>
      </c>
      <c r="BL279" t="s">
        <v>243</v>
      </c>
      <c r="BM279" t="s">
        <v>243</v>
      </c>
      <c r="BN279" t="s">
        <v>243</v>
      </c>
      <c r="BO279" t="s">
        <v>243</v>
      </c>
      <c r="BP279" t="s">
        <v>3457</v>
      </c>
      <c r="BQ279" t="s">
        <v>3457</v>
      </c>
      <c r="BR279" t="s">
        <v>243</v>
      </c>
      <c r="BS279" t="s">
        <v>243</v>
      </c>
      <c r="BT279" t="s">
        <v>243</v>
      </c>
      <c r="BU279" t="s">
        <v>243</v>
      </c>
      <c r="BV279" t="s">
        <v>2829</v>
      </c>
      <c r="BW279" t="s">
        <v>243</v>
      </c>
      <c r="BX279" t="s">
        <v>243</v>
      </c>
      <c r="BY279" t="s">
        <v>243</v>
      </c>
      <c r="BZ279" t="s">
        <v>243</v>
      </c>
      <c r="CA279" t="s">
        <v>243</v>
      </c>
      <c r="CB279" t="s">
        <v>2829</v>
      </c>
      <c r="CC279" t="s">
        <v>243</v>
      </c>
      <c r="CD279" t="s">
        <v>243</v>
      </c>
      <c r="CE279" t="s">
        <v>243</v>
      </c>
      <c r="CF279" t="s">
        <v>243</v>
      </c>
      <c r="CG279" t="s">
        <v>243</v>
      </c>
      <c r="CH279" t="s">
        <v>2829</v>
      </c>
      <c r="CI279" t="s">
        <v>243</v>
      </c>
      <c r="CJ279" t="s">
        <v>243</v>
      </c>
      <c r="CK279" t="s">
        <v>243</v>
      </c>
      <c r="CL279" t="s">
        <v>243</v>
      </c>
      <c r="CM279" t="s">
        <v>243</v>
      </c>
      <c r="CN279" t="s">
        <v>3130</v>
      </c>
      <c r="CO279" t="s">
        <v>2843</v>
      </c>
      <c r="CP279" t="s">
        <v>2844</v>
      </c>
      <c r="CQ279" t="s">
        <v>430</v>
      </c>
      <c r="CR279" t="s">
        <v>3033</v>
      </c>
      <c r="CS279" t="s">
        <v>431</v>
      </c>
      <c r="CT279" t="s">
        <v>430</v>
      </c>
      <c r="CU279" t="s">
        <v>3034</v>
      </c>
      <c r="CV279" t="s">
        <v>432</v>
      </c>
      <c r="CW279" t="s">
        <v>3033</v>
      </c>
      <c r="CX279" t="s">
        <v>2848</v>
      </c>
      <c r="CY279" t="s">
        <v>3458</v>
      </c>
    </row>
    <row r="280" spans="1:103" ht="11.25" customHeight="1">
      <c r="A280" t="s">
        <v>243</v>
      </c>
      <c r="B280" t="s">
        <v>243</v>
      </c>
      <c r="C280" t="s">
        <v>243</v>
      </c>
      <c r="D280" t="s">
        <v>243</v>
      </c>
      <c r="E280" t="s">
        <v>243</v>
      </c>
      <c r="F280" t="s">
        <v>2816</v>
      </c>
      <c r="G280" t="s">
        <v>243</v>
      </c>
      <c r="H280" t="s">
        <v>243</v>
      </c>
      <c r="I280" t="s">
        <v>3448</v>
      </c>
      <c r="J280" t="s">
        <v>243</v>
      </c>
      <c r="K280" t="s">
        <v>441</v>
      </c>
      <c r="L280" t="s">
        <v>243</v>
      </c>
      <c r="M280" t="s">
        <v>114</v>
      </c>
      <c r="N280" t="s">
        <v>243</v>
      </c>
      <c r="O280" t="s">
        <v>2819</v>
      </c>
      <c r="P280" t="s">
        <v>4449</v>
      </c>
      <c r="Q280" t="s">
        <v>2821</v>
      </c>
      <c r="R280" t="s">
        <v>200</v>
      </c>
      <c r="S280" t="s">
        <v>200</v>
      </c>
      <c r="T280" t="s">
        <v>405</v>
      </c>
      <c r="U280" t="s">
        <v>405</v>
      </c>
      <c r="V280" t="s">
        <v>406</v>
      </c>
      <c r="W280" t="s">
        <v>3155</v>
      </c>
      <c r="X280" t="s">
        <v>3156</v>
      </c>
      <c r="Y280" t="s">
        <v>3449</v>
      </c>
      <c r="Z280" t="s">
        <v>437</v>
      </c>
      <c r="AA280" t="s">
        <v>3094</v>
      </c>
      <c r="AB280" t="s">
        <v>3043</v>
      </c>
      <c r="AC280" t="s">
        <v>243</v>
      </c>
      <c r="AD280" t="s">
        <v>2883</v>
      </c>
      <c r="AE280" t="s">
        <v>2831</v>
      </c>
      <c r="AF280" t="s">
        <v>3401</v>
      </c>
      <c r="AG280" t="s">
        <v>3401</v>
      </c>
      <c r="AH280" t="s">
        <v>2834</v>
      </c>
      <c r="AI280" t="s">
        <v>2835</v>
      </c>
      <c r="AJ280" t="s">
        <v>2888</v>
      </c>
      <c r="AK280" t="s">
        <v>3450</v>
      </c>
      <c r="AL280" t="s">
        <v>3094</v>
      </c>
      <c r="AM280" t="s">
        <v>3043</v>
      </c>
      <c r="AN280" t="s">
        <v>243</v>
      </c>
      <c r="AO280" t="s">
        <v>2839</v>
      </c>
      <c r="AP280" t="s">
        <v>2840</v>
      </c>
      <c r="AQ280" t="s">
        <v>2841</v>
      </c>
      <c r="AR280" t="s">
        <v>3451</v>
      </c>
      <c r="AS280" t="s">
        <v>3451</v>
      </c>
      <c r="AT280" t="s">
        <v>2829</v>
      </c>
      <c r="AU280" t="s">
        <v>2829</v>
      </c>
      <c r="AV280" t="s">
        <v>2829</v>
      </c>
      <c r="AW280" t="s">
        <v>2829</v>
      </c>
      <c r="AX280" t="s">
        <v>2829</v>
      </c>
      <c r="AY280" t="s">
        <v>2829</v>
      </c>
      <c r="AZ280" t="s">
        <v>2829</v>
      </c>
      <c r="BA280" t="s">
        <v>2829</v>
      </c>
      <c r="BB280" t="s">
        <v>2829</v>
      </c>
      <c r="BC280" t="s">
        <v>2829</v>
      </c>
      <c r="BD280" t="s">
        <v>3451</v>
      </c>
      <c r="BE280" t="s">
        <v>3451</v>
      </c>
      <c r="BF280" t="s">
        <v>243</v>
      </c>
      <c r="BG280" t="s">
        <v>243</v>
      </c>
      <c r="BH280" t="s">
        <v>243</v>
      </c>
      <c r="BI280" t="s">
        <v>243</v>
      </c>
      <c r="BJ280" t="s">
        <v>2829</v>
      </c>
      <c r="BK280" t="s">
        <v>243</v>
      </c>
      <c r="BL280" t="s">
        <v>243</v>
      </c>
      <c r="BM280" t="s">
        <v>243</v>
      </c>
      <c r="BN280" t="s">
        <v>243</v>
      </c>
      <c r="BO280" t="s">
        <v>243</v>
      </c>
      <c r="BP280" t="s">
        <v>2829</v>
      </c>
      <c r="BQ280" t="s">
        <v>243</v>
      </c>
      <c r="BR280" t="s">
        <v>243</v>
      </c>
      <c r="BS280" t="s">
        <v>243</v>
      </c>
      <c r="BT280" t="s">
        <v>243</v>
      </c>
      <c r="BU280" t="s">
        <v>243</v>
      </c>
      <c r="BV280" t="s">
        <v>2829</v>
      </c>
      <c r="BW280" t="s">
        <v>243</v>
      </c>
      <c r="BX280" t="s">
        <v>243</v>
      </c>
      <c r="BY280" t="s">
        <v>243</v>
      </c>
      <c r="BZ280" t="s">
        <v>243</v>
      </c>
      <c r="CA280" t="s">
        <v>243</v>
      </c>
      <c r="CB280" t="s">
        <v>2829</v>
      </c>
      <c r="CC280" t="s">
        <v>243</v>
      </c>
      <c r="CD280" t="s">
        <v>243</v>
      </c>
      <c r="CE280" t="s">
        <v>243</v>
      </c>
      <c r="CF280" t="s">
        <v>243</v>
      </c>
      <c r="CG280" t="s">
        <v>243</v>
      </c>
      <c r="CH280" t="s">
        <v>2829</v>
      </c>
      <c r="CI280" t="s">
        <v>243</v>
      </c>
      <c r="CJ280" t="s">
        <v>243</v>
      </c>
      <c r="CK280" t="s">
        <v>243</v>
      </c>
      <c r="CL280" t="s">
        <v>243</v>
      </c>
      <c r="CM280" t="s">
        <v>243</v>
      </c>
      <c r="CN280" t="s">
        <v>2888</v>
      </c>
      <c r="CO280" t="s">
        <v>2843</v>
      </c>
      <c r="CP280" t="s">
        <v>2844</v>
      </c>
      <c r="CQ280" t="s">
        <v>430</v>
      </c>
      <c r="CR280" t="s">
        <v>2872</v>
      </c>
      <c r="CS280" t="s">
        <v>431</v>
      </c>
      <c r="CT280" t="s">
        <v>430</v>
      </c>
      <c r="CU280" t="s">
        <v>444</v>
      </c>
      <c r="CV280" t="s">
        <v>445</v>
      </c>
      <c r="CW280" t="s">
        <v>2872</v>
      </c>
      <c r="CX280" t="s">
        <v>2848</v>
      </c>
      <c r="CY280" t="s">
        <v>442</v>
      </c>
    </row>
    <row r="281" spans="1:103" ht="11.25" customHeight="1">
      <c r="A281" t="s">
        <v>243</v>
      </c>
      <c r="B281" t="s">
        <v>243</v>
      </c>
      <c r="C281" t="s">
        <v>243</v>
      </c>
      <c r="D281" t="s">
        <v>243</v>
      </c>
      <c r="E281" t="s">
        <v>243</v>
      </c>
      <c r="F281" t="s">
        <v>2816</v>
      </c>
      <c r="G281" t="s">
        <v>243</v>
      </c>
      <c r="H281" t="s">
        <v>243</v>
      </c>
      <c r="I281" t="s">
        <v>3532</v>
      </c>
      <c r="J281" t="s">
        <v>243</v>
      </c>
      <c r="K281" t="s">
        <v>458</v>
      </c>
      <c r="L281" t="s">
        <v>243</v>
      </c>
      <c r="M281" t="s">
        <v>114</v>
      </c>
      <c r="N281" t="s">
        <v>243</v>
      </c>
      <c r="O281" t="s">
        <v>2819</v>
      </c>
      <c r="P281" t="s">
        <v>4449</v>
      </c>
      <c r="Q281" t="s">
        <v>2821</v>
      </c>
      <c r="R281" t="s">
        <v>200</v>
      </c>
      <c r="S281" t="s">
        <v>200</v>
      </c>
      <c r="T281" t="s">
        <v>405</v>
      </c>
      <c r="U281" t="s">
        <v>405</v>
      </c>
      <c r="V281" t="s">
        <v>406</v>
      </c>
      <c r="W281" t="s">
        <v>3155</v>
      </c>
      <c r="X281" t="s">
        <v>3156</v>
      </c>
      <c r="Y281" t="s">
        <v>2918</v>
      </c>
      <c r="Z281" t="s">
        <v>3533</v>
      </c>
      <c r="AA281" t="s">
        <v>3385</v>
      </c>
      <c r="AB281" t="s">
        <v>3534</v>
      </c>
      <c r="AC281" t="s">
        <v>243</v>
      </c>
      <c r="AD281" t="s">
        <v>2883</v>
      </c>
      <c r="AE281" t="s">
        <v>2831</v>
      </c>
      <c r="AF281" t="s">
        <v>3401</v>
      </c>
      <c r="AG281" t="s">
        <v>3401</v>
      </c>
      <c r="AH281" t="s">
        <v>2834</v>
      </c>
      <c r="AI281" t="s">
        <v>2835</v>
      </c>
      <c r="AJ281" t="s">
        <v>2888</v>
      </c>
      <c r="AK281" t="s">
        <v>3450</v>
      </c>
      <c r="AL281" t="s">
        <v>3385</v>
      </c>
      <c r="AM281" t="s">
        <v>3534</v>
      </c>
      <c r="AN281" t="s">
        <v>243</v>
      </c>
      <c r="AO281" t="s">
        <v>2839</v>
      </c>
      <c r="AP281" t="s">
        <v>2840</v>
      </c>
      <c r="AQ281" t="s">
        <v>2841</v>
      </c>
      <c r="AR281" t="s">
        <v>3535</v>
      </c>
      <c r="AS281" t="s">
        <v>3535</v>
      </c>
      <c r="AT281" t="s">
        <v>2829</v>
      </c>
      <c r="AU281" t="s">
        <v>2829</v>
      </c>
      <c r="AV281" t="s">
        <v>2829</v>
      </c>
      <c r="AW281" t="s">
        <v>2829</v>
      </c>
      <c r="AX281" t="s">
        <v>2829</v>
      </c>
      <c r="AY281" t="s">
        <v>2829</v>
      </c>
      <c r="AZ281" t="s">
        <v>2829</v>
      </c>
      <c r="BA281" t="s">
        <v>2829</v>
      </c>
      <c r="BB281" t="s">
        <v>2829</v>
      </c>
      <c r="BC281" t="s">
        <v>2829</v>
      </c>
      <c r="BD281" t="s">
        <v>3535</v>
      </c>
      <c r="BE281" t="s">
        <v>3535</v>
      </c>
      <c r="BF281" t="s">
        <v>243</v>
      </c>
      <c r="BG281" t="s">
        <v>243</v>
      </c>
      <c r="BH281" t="s">
        <v>243</v>
      </c>
      <c r="BI281" t="s">
        <v>243</v>
      </c>
      <c r="BJ281" t="s">
        <v>2829</v>
      </c>
      <c r="BK281" t="s">
        <v>243</v>
      </c>
      <c r="BL281" t="s">
        <v>243</v>
      </c>
      <c r="BM281" t="s">
        <v>243</v>
      </c>
      <c r="BN281" t="s">
        <v>243</v>
      </c>
      <c r="BO281" t="s">
        <v>243</v>
      </c>
      <c r="BP281" t="s">
        <v>2829</v>
      </c>
      <c r="BQ281" t="s">
        <v>243</v>
      </c>
      <c r="BR281" t="s">
        <v>243</v>
      </c>
      <c r="BS281" t="s">
        <v>243</v>
      </c>
      <c r="BT281" t="s">
        <v>243</v>
      </c>
      <c r="BU281" t="s">
        <v>243</v>
      </c>
      <c r="BV281" t="s">
        <v>2829</v>
      </c>
      <c r="BW281" t="s">
        <v>243</v>
      </c>
      <c r="BX281" t="s">
        <v>243</v>
      </c>
      <c r="BY281" t="s">
        <v>243</v>
      </c>
      <c r="BZ281" t="s">
        <v>243</v>
      </c>
      <c r="CA281" t="s">
        <v>243</v>
      </c>
      <c r="CB281" t="s">
        <v>2829</v>
      </c>
      <c r="CC281" t="s">
        <v>243</v>
      </c>
      <c r="CD281" t="s">
        <v>243</v>
      </c>
      <c r="CE281" t="s">
        <v>243</v>
      </c>
      <c r="CF281" t="s">
        <v>243</v>
      </c>
      <c r="CG281" t="s">
        <v>243</v>
      </c>
      <c r="CH281" t="s">
        <v>2829</v>
      </c>
      <c r="CI281" t="s">
        <v>243</v>
      </c>
      <c r="CJ281" t="s">
        <v>243</v>
      </c>
      <c r="CK281" t="s">
        <v>243</v>
      </c>
      <c r="CL281" t="s">
        <v>243</v>
      </c>
      <c r="CM281" t="s">
        <v>243</v>
      </c>
      <c r="CN281" t="s">
        <v>2888</v>
      </c>
      <c r="CO281" t="s">
        <v>2843</v>
      </c>
      <c r="CP281" t="s">
        <v>2844</v>
      </c>
      <c r="CQ281" t="s">
        <v>430</v>
      </c>
      <c r="CR281" t="s">
        <v>2872</v>
      </c>
      <c r="CS281" t="s">
        <v>431</v>
      </c>
      <c r="CT281" t="s">
        <v>430</v>
      </c>
      <c r="CU281" t="s">
        <v>444</v>
      </c>
      <c r="CV281" t="s">
        <v>445</v>
      </c>
      <c r="CW281" t="s">
        <v>2872</v>
      </c>
      <c r="CX281" t="s">
        <v>2848</v>
      </c>
      <c r="CY281" t="s">
        <v>459</v>
      </c>
    </row>
    <row r="282" spans="1:103" ht="11.25" customHeight="1">
      <c r="A282" t="s">
        <v>243</v>
      </c>
      <c r="B282" t="s">
        <v>243</v>
      </c>
      <c r="C282" t="s">
        <v>243</v>
      </c>
      <c r="D282" t="s">
        <v>243</v>
      </c>
      <c r="E282" t="s">
        <v>243</v>
      </c>
      <c r="F282" t="s">
        <v>2816</v>
      </c>
      <c r="G282" t="s">
        <v>243</v>
      </c>
      <c r="H282" t="s">
        <v>243</v>
      </c>
      <c r="I282" t="s">
        <v>3364</v>
      </c>
      <c r="J282" t="s">
        <v>243</v>
      </c>
      <c r="K282" t="s">
        <v>3178</v>
      </c>
      <c r="L282" t="s">
        <v>243</v>
      </c>
      <c r="M282" t="s">
        <v>114</v>
      </c>
      <c r="N282" t="s">
        <v>243</v>
      </c>
      <c r="O282" t="s">
        <v>2819</v>
      </c>
      <c r="P282" t="s">
        <v>4449</v>
      </c>
      <c r="Q282" t="s">
        <v>2821</v>
      </c>
      <c r="R282" t="s">
        <v>200</v>
      </c>
      <c r="S282" t="s">
        <v>200</v>
      </c>
      <c r="T282" t="s">
        <v>3048</v>
      </c>
      <c r="U282" t="s">
        <v>3048</v>
      </c>
      <c r="V282" t="s">
        <v>3049</v>
      </c>
      <c r="W282" t="s">
        <v>3795</v>
      </c>
      <c r="X282" t="s">
        <v>3796</v>
      </c>
      <c r="Y282" t="s">
        <v>3797</v>
      </c>
      <c r="Z282" t="s">
        <v>2846</v>
      </c>
      <c r="AA282" t="s">
        <v>3798</v>
      </c>
      <c r="AB282" t="s">
        <v>3443</v>
      </c>
      <c r="AC282" t="s">
        <v>2829</v>
      </c>
      <c r="AD282" t="s">
        <v>2883</v>
      </c>
      <c r="AE282" t="s">
        <v>2831</v>
      </c>
      <c r="AF282" t="s">
        <v>3055</v>
      </c>
      <c r="AG282" t="s">
        <v>3055</v>
      </c>
      <c r="AH282" t="s">
        <v>2834</v>
      </c>
      <c r="AI282" t="s">
        <v>2835</v>
      </c>
      <c r="AJ282" t="s">
        <v>3184</v>
      </c>
      <c r="AK282" t="s">
        <v>3185</v>
      </c>
      <c r="AL282" t="s">
        <v>3798</v>
      </c>
      <c r="AM282" t="s">
        <v>3443</v>
      </c>
      <c r="AN282" t="s">
        <v>2829</v>
      </c>
      <c r="AO282" t="s">
        <v>2839</v>
      </c>
      <c r="AP282" t="s">
        <v>2840</v>
      </c>
      <c r="AQ282" t="s">
        <v>2841</v>
      </c>
      <c r="AR282" t="s">
        <v>3438</v>
      </c>
      <c r="AS282" t="s">
        <v>3438</v>
      </c>
      <c r="AT282" t="s">
        <v>2829</v>
      </c>
      <c r="AU282" t="s">
        <v>2829</v>
      </c>
      <c r="AV282" t="s">
        <v>2829</v>
      </c>
      <c r="AW282" t="s">
        <v>2829</v>
      </c>
      <c r="AX282" t="s">
        <v>2829</v>
      </c>
      <c r="AY282" t="s">
        <v>2829</v>
      </c>
      <c r="AZ282" t="s">
        <v>2829</v>
      </c>
      <c r="BA282" t="s">
        <v>2829</v>
      </c>
      <c r="BB282" t="s">
        <v>2829</v>
      </c>
      <c r="BC282" t="s">
        <v>2829</v>
      </c>
      <c r="BD282" t="s">
        <v>3438</v>
      </c>
      <c r="BE282" t="s">
        <v>3438</v>
      </c>
      <c r="BF282" t="s">
        <v>243</v>
      </c>
      <c r="BG282" t="s">
        <v>243</v>
      </c>
      <c r="BH282" t="s">
        <v>243</v>
      </c>
      <c r="BI282" t="s">
        <v>243</v>
      </c>
      <c r="BJ282" t="s">
        <v>2829</v>
      </c>
      <c r="BK282" t="s">
        <v>243</v>
      </c>
      <c r="BL282" t="s">
        <v>243</v>
      </c>
      <c r="BM282" t="s">
        <v>243</v>
      </c>
      <c r="BN282" t="s">
        <v>243</v>
      </c>
      <c r="BO282" t="s">
        <v>243</v>
      </c>
      <c r="BP282" t="s">
        <v>2829</v>
      </c>
      <c r="BQ282" t="s">
        <v>243</v>
      </c>
      <c r="BR282" t="s">
        <v>243</v>
      </c>
      <c r="BS282" t="s">
        <v>243</v>
      </c>
      <c r="BT282" t="s">
        <v>243</v>
      </c>
      <c r="BU282" t="s">
        <v>243</v>
      </c>
      <c r="BV282" t="s">
        <v>2829</v>
      </c>
      <c r="BW282" t="s">
        <v>243</v>
      </c>
      <c r="BX282" t="s">
        <v>243</v>
      </c>
      <c r="BY282" t="s">
        <v>243</v>
      </c>
      <c r="BZ282" t="s">
        <v>243</v>
      </c>
      <c r="CA282" t="s">
        <v>243</v>
      </c>
      <c r="CB282" t="s">
        <v>2829</v>
      </c>
      <c r="CC282" t="s">
        <v>243</v>
      </c>
      <c r="CD282" t="s">
        <v>243</v>
      </c>
      <c r="CE282" t="s">
        <v>243</v>
      </c>
      <c r="CF282" t="s">
        <v>243</v>
      </c>
      <c r="CG282" t="s">
        <v>243</v>
      </c>
      <c r="CH282" t="s">
        <v>2829</v>
      </c>
      <c r="CI282" t="s">
        <v>243</v>
      </c>
      <c r="CJ282" t="s">
        <v>243</v>
      </c>
      <c r="CK282" t="s">
        <v>243</v>
      </c>
      <c r="CL282" t="s">
        <v>243</v>
      </c>
      <c r="CM282" t="s">
        <v>243</v>
      </c>
      <c r="CN282" t="s">
        <v>3187</v>
      </c>
      <c r="CO282" t="s">
        <v>2843</v>
      </c>
      <c r="CP282" t="s">
        <v>2844</v>
      </c>
      <c r="CQ282" t="s">
        <v>430</v>
      </c>
      <c r="CR282" t="s">
        <v>2872</v>
      </c>
      <c r="CS282" t="s">
        <v>431</v>
      </c>
      <c r="CT282" t="s">
        <v>430</v>
      </c>
      <c r="CU282" t="s">
        <v>3061</v>
      </c>
      <c r="CV282" t="s">
        <v>3062</v>
      </c>
      <c r="CW282" t="s">
        <v>2872</v>
      </c>
      <c r="CX282" t="s">
        <v>2848</v>
      </c>
      <c r="CY282" t="s">
        <v>3799</v>
      </c>
    </row>
    <row r="283" spans="1:103" ht="11.25" customHeight="1">
      <c r="A283" t="s">
        <v>243</v>
      </c>
      <c r="B283" t="s">
        <v>243</v>
      </c>
      <c r="C283" t="s">
        <v>243</v>
      </c>
      <c r="D283" t="s">
        <v>243</v>
      </c>
      <c r="E283" t="s">
        <v>243</v>
      </c>
      <c r="F283" t="s">
        <v>2816</v>
      </c>
      <c r="G283" t="s">
        <v>243</v>
      </c>
      <c r="H283" t="s">
        <v>243</v>
      </c>
      <c r="I283" t="s">
        <v>596</v>
      </c>
      <c r="J283" t="s">
        <v>243</v>
      </c>
      <c r="K283" t="s">
        <v>3047</v>
      </c>
      <c r="L283" t="s">
        <v>243</v>
      </c>
      <c r="M283" t="s">
        <v>114</v>
      </c>
      <c r="N283" t="s">
        <v>243</v>
      </c>
      <c r="O283" t="s">
        <v>2819</v>
      </c>
      <c r="P283" t="s">
        <v>4449</v>
      </c>
      <c r="Q283" t="s">
        <v>2821</v>
      </c>
      <c r="R283" t="s">
        <v>200</v>
      </c>
      <c r="S283" t="s">
        <v>200</v>
      </c>
      <c r="T283" t="s">
        <v>2822</v>
      </c>
      <c r="U283" t="s">
        <v>2822</v>
      </c>
      <c r="V283" t="s">
        <v>2823</v>
      </c>
      <c r="W283" t="s">
        <v>3763</v>
      </c>
      <c r="X283" t="s">
        <v>3764</v>
      </c>
      <c r="Y283" t="s">
        <v>3610</v>
      </c>
      <c r="Z283" t="s">
        <v>3800</v>
      </c>
      <c r="AA283" t="s">
        <v>2966</v>
      </c>
      <c r="AB283" t="s">
        <v>3801</v>
      </c>
      <c r="AC283" t="s">
        <v>2829</v>
      </c>
      <c r="AD283" t="s">
        <v>2830</v>
      </c>
      <c r="AE283" t="s">
        <v>2831</v>
      </c>
      <c r="AF283" t="s">
        <v>3802</v>
      </c>
      <c r="AG283" t="s">
        <v>3803</v>
      </c>
      <c r="AH283" t="s">
        <v>2834</v>
      </c>
      <c r="AI283" t="s">
        <v>2887</v>
      </c>
      <c r="AJ283" t="s">
        <v>2960</v>
      </c>
      <c r="AK283" t="s">
        <v>3057</v>
      </c>
      <c r="AL283" t="s">
        <v>2966</v>
      </c>
      <c r="AM283" t="s">
        <v>3801</v>
      </c>
      <c r="AN283" t="s">
        <v>2829</v>
      </c>
      <c r="AO283" t="s">
        <v>2839</v>
      </c>
      <c r="AP283" t="s">
        <v>2840</v>
      </c>
      <c r="AQ283" t="s">
        <v>2841</v>
      </c>
      <c r="AR283" t="s">
        <v>3216</v>
      </c>
      <c r="AS283" t="s">
        <v>3216</v>
      </c>
      <c r="AT283" t="s">
        <v>2829</v>
      </c>
      <c r="AU283" t="s">
        <v>2829</v>
      </c>
      <c r="AV283" t="s">
        <v>2829</v>
      </c>
      <c r="AW283" t="s">
        <v>2829</v>
      </c>
      <c r="AX283" t="s">
        <v>2829</v>
      </c>
      <c r="AY283" t="s">
        <v>2829</v>
      </c>
      <c r="AZ283" t="s">
        <v>2829</v>
      </c>
      <c r="BA283" t="s">
        <v>2829</v>
      </c>
      <c r="BB283" t="s">
        <v>2829</v>
      </c>
      <c r="BC283" t="s">
        <v>2829</v>
      </c>
      <c r="BD283" t="s">
        <v>2829</v>
      </c>
      <c r="BE283" t="s">
        <v>243</v>
      </c>
      <c r="BF283" t="s">
        <v>243</v>
      </c>
      <c r="BG283" t="s">
        <v>243</v>
      </c>
      <c r="BH283" t="s">
        <v>243</v>
      </c>
      <c r="BI283" t="s">
        <v>243</v>
      </c>
      <c r="BJ283" t="s">
        <v>2829</v>
      </c>
      <c r="BK283" t="s">
        <v>243</v>
      </c>
      <c r="BL283" t="s">
        <v>243</v>
      </c>
      <c r="BM283" t="s">
        <v>243</v>
      </c>
      <c r="BN283" t="s">
        <v>243</v>
      </c>
      <c r="BO283" t="s">
        <v>243</v>
      </c>
      <c r="BP283" t="s">
        <v>2829</v>
      </c>
      <c r="BQ283" t="s">
        <v>243</v>
      </c>
      <c r="BR283" t="s">
        <v>243</v>
      </c>
      <c r="BS283" t="s">
        <v>243</v>
      </c>
      <c r="BT283" t="s">
        <v>243</v>
      </c>
      <c r="BU283" t="s">
        <v>243</v>
      </c>
      <c r="BV283" t="s">
        <v>2829</v>
      </c>
      <c r="BW283" t="s">
        <v>243</v>
      </c>
      <c r="BX283" t="s">
        <v>243</v>
      </c>
      <c r="BY283" t="s">
        <v>243</v>
      </c>
      <c r="BZ283" t="s">
        <v>243</v>
      </c>
      <c r="CA283" t="s">
        <v>243</v>
      </c>
      <c r="CB283" t="s">
        <v>3216</v>
      </c>
      <c r="CC283" t="s">
        <v>3216</v>
      </c>
      <c r="CD283" t="s">
        <v>243</v>
      </c>
      <c r="CE283" t="s">
        <v>243</v>
      </c>
      <c r="CF283" t="s">
        <v>243</v>
      </c>
      <c r="CG283" t="s">
        <v>243</v>
      </c>
      <c r="CH283" t="s">
        <v>2829</v>
      </c>
      <c r="CI283" t="s">
        <v>243</v>
      </c>
      <c r="CJ283" t="s">
        <v>243</v>
      </c>
      <c r="CK283" t="s">
        <v>243</v>
      </c>
      <c r="CL283" t="s">
        <v>243</v>
      </c>
      <c r="CM283" t="s">
        <v>243</v>
      </c>
      <c r="CN283" t="s">
        <v>2960</v>
      </c>
      <c r="CO283" t="s">
        <v>2843</v>
      </c>
      <c r="CP283" t="s">
        <v>2844</v>
      </c>
      <c r="CQ283" t="s">
        <v>430</v>
      </c>
      <c r="CR283" t="s">
        <v>2845</v>
      </c>
      <c r="CS283" t="s">
        <v>431</v>
      </c>
      <c r="CT283" t="s">
        <v>430</v>
      </c>
      <c r="CU283" t="s">
        <v>2846</v>
      </c>
      <c r="CV283" t="s">
        <v>2847</v>
      </c>
      <c r="CW283" t="s">
        <v>2845</v>
      </c>
      <c r="CX283" t="s">
        <v>2848</v>
      </c>
      <c r="CY283" t="s">
        <v>3804</v>
      </c>
    </row>
    <row r="284" spans="1:103" ht="11.25" customHeight="1">
      <c r="A284" t="s">
        <v>243</v>
      </c>
      <c r="B284" t="s">
        <v>243</v>
      </c>
      <c r="C284" t="s">
        <v>243</v>
      </c>
      <c r="D284" t="s">
        <v>243</v>
      </c>
      <c r="E284" t="s">
        <v>243</v>
      </c>
      <c r="F284" t="s">
        <v>2816</v>
      </c>
      <c r="G284" t="s">
        <v>243</v>
      </c>
      <c r="H284" t="s">
        <v>243</v>
      </c>
      <c r="I284" t="s">
        <v>3805</v>
      </c>
      <c r="J284" t="s">
        <v>243</v>
      </c>
      <c r="K284" t="s">
        <v>3178</v>
      </c>
      <c r="L284" t="s">
        <v>243</v>
      </c>
      <c r="M284" t="s">
        <v>114</v>
      </c>
      <c r="N284" t="s">
        <v>243</v>
      </c>
      <c r="O284" t="s">
        <v>2819</v>
      </c>
      <c r="P284" t="s">
        <v>4449</v>
      </c>
      <c r="Q284" t="s">
        <v>2821</v>
      </c>
      <c r="R284" t="s">
        <v>200</v>
      </c>
      <c r="S284" t="s">
        <v>200</v>
      </c>
      <c r="T284" t="s">
        <v>3048</v>
      </c>
      <c r="U284" t="s">
        <v>3048</v>
      </c>
      <c r="V284" t="s">
        <v>3049</v>
      </c>
      <c r="W284" t="s">
        <v>3806</v>
      </c>
      <c r="X284" t="s">
        <v>3807</v>
      </c>
      <c r="Y284" t="s">
        <v>3808</v>
      </c>
      <c r="Z284" t="s">
        <v>2846</v>
      </c>
      <c r="AA284" t="s">
        <v>3182</v>
      </c>
      <c r="AB284" t="s">
        <v>3183</v>
      </c>
      <c r="AC284" t="s">
        <v>2829</v>
      </c>
      <c r="AD284" t="s">
        <v>2883</v>
      </c>
      <c r="AE284" t="s">
        <v>2831</v>
      </c>
      <c r="AF284" t="s">
        <v>3055</v>
      </c>
      <c r="AG284" t="s">
        <v>3055</v>
      </c>
      <c r="AH284" t="s">
        <v>2834</v>
      </c>
      <c r="AI284" t="s">
        <v>2835</v>
      </c>
      <c r="AJ284" t="s">
        <v>3184</v>
      </c>
      <c r="AK284" t="s">
        <v>3662</v>
      </c>
      <c r="AL284" t="s">
        <v>3182</v>
      </c>
      <c r="AM284" t="s">
        <v>3183</v>
      </c>
      <c r="AN284" t="s">
        <v>2829</v>
      </c>
      <c r="AO284" t="s">
        <v>2839</v>
      </c>
      <c r="AP284" t="s">
        <v>2840</v>
      </c>
      <c r="AQ284" t="s">
        <v>2841</v>
      </c>
      <c r="AR284" t="s">
        <v>3279</v>
      </c>
      <c r="AS284" t="s">
        <v>3279</v>
      </c>
      <c r="AT284" t="s">
        <v>2829</v>
      </c>
      <c r="AU284" t="s">
        <v>2829</v>
      </c>
      <c r="AV284" t="s">
        <v>2829</v>
      </c>
      <c r="AW284" t="s">
        <v>2829</v>
      </c>
      <c r="AX284" t="s">
        <v>2829</v>
      </c>
      <c r="AY284" t="s">
        <v>2829</v>
      </c>
      <c r="AZ284" t="s">
        <v>2829</v>
      </c>
      <c r="BA284" t="s">
        <v>2829</v>
      </c>
      <c r="BB284" t="s">
        <v>2829</v>
      </c>
      <c r="BC284" t="s">
        <v>2829</v>
      </c>
      <c r="BD284" t="s">
        <v>3279</v>
      </c>
      <c r="BE284" t="s">
        <v>3279</v>
      </c>
      <c r="BF284" t="s">
        <v>243</v>
      </c>
      <c r="BG284" t="s">
        <v>243</v>
      </c>
      <c r="BH284" t="s">
        <v>243</v>
      </c>
      <c r="BI284" t="s">
        <v>243</v>
      </c>
      <c r="BJ284" t="s">
        <v>2829</v>
      </c>
      <c r="BK284" t="s">
        <v>243</v>
      </c>
      <c r="BL284" t="s">
        <v>243</v>
      </c>
      <c r="BM284" t="s">
        <v>243</v>
      </c>
      <c r="BN284" t="s">
        <v>243</v>
      </c>
      <c r="BO284" t="s">
        <v>243</v>
      </c>
      <c r="BP284" t="s">
        <v>2829</v>
      </c>
      <c r="BQ284" t="s">
        <v>243</v>
      </c>
      <c r="BR284" t="s">
        <v>243</v>
      </c>
      <c r="BS284" t="s">
        <v>243</v>
      </c>
      <c r="BT284" t="s">
        <v>243</v>
      </c>
      <c r="BU284" t="s">
        <v>243</v>
      </c>
      <c r="BV284" t="s">
        <v>2829</v>
      </c>
      <c r="BW284" t="s">
        <v>243</v>
      </c>
      <c r="BX284" t="s">
        <v>243</v>
      </c>
      <c r="BY284" t="s">
        <v>243</v>
      </c>
      <c r="BZ284" t="s">
        <v>243</v>
      </c>
      <c r="CA284" t="s">
        <v>243</v>
      </c>
      <c r="CB284" t="s">
        <v>2829</v>
      </c>
      <c r="CC284" t="s">
        <v>243</v>
      </c>
      <c r="CD284" t="s">
        <v>243</v>
      </c>
      <c r="CE284" t="s">
        <v>243</v>
      </c>
      <c r="CF284" t="s">
        <v>243</v>
      </c>
      <c r="CG284" t="s">
        <v>243</v>
      </c>
      <c r="CH284" t="s">
        <v>2829</v>
      </c>
      <c r="CI284" t="s">
        <v>243</v>
      </c>
      <c r="CJ284" t="s">
        <v>243</v>
      </c>
      <c r="CK284" t="s">
        <v>243</v>
      </c>
      <c r="CL284" t="s">
        <v>243</v>
      </c>
      <c r="CM284" t="s">
        <v>243</v>
      </c>
      <c r="CN284" t="s">
        <v>3187</v>
      </c>
      <c r="CO284" t="s">
        <v>2843</v>
      </c>
      <c r="CP284" t="s">
        <v>2844</v>
      </c>
      <c r="CQ284" t="s">
        <v>430</v>
      </c>
      <c r="CR284" t="s">
        <v>2872</v>
      </c>
      <c r="CS284" t="s">
        <v>431</v>
      </c>
      <c r="CT284" t="s">
        <v>430</v>
      </c>
      <c r="CU284" t="s">
        <v>3061</v>
      </c>
      <c r="CV284" t="s">
        <v>3062</v>
      </c>
      <c r="CW284" t="s">
        <v>2872</v>
      </c>
      <c r="CX284" t="s">
        <v>2848</v>
      </c>
      <c r="CY284" t="s">
        <v>3809</v>
      </c>
    </row>
    <row r="285" spans="1:103" ht="11.25" customHeight="1">
      <c r="A285" t="s">
        <v>243</v>
      </c>
      <c r="B285" t="s">
        <v>243</v>
      </c>
      <c r="C285" t="s">
        <v>243</v>
      </c>
      <c r="D285" t="s">
        <v>243</v>
      </c>
      <c r="E285" t="s">
        <v>243</v>
      </c>
      <c r="F285" t="s">
        <v>2816</v>
      </c>
      <c r="G285" t="s">
        <v>243</v>
      </c>
      <c r="H285" t="s">
        <v>243</v>
      </c>
      <c r="I285" t="s">
        <v>4199</v>
      </c>
      <c r="J285" t="s">
        <v>243</v>
      </c>
      <c r="K285" t="s">
        <v>2818</v>
      </c>
      <c r="L285" t="s">
        <v>243</v>
      </c>
      <c r="M285" t="s">
        <v>114</v>
      </c>
      <c r="N285" t="s">
        <v>243</v>
      </c>
      <c r="O285" t="s">
        <v>2819</v>
      </c>
      <c r="P285" t="s">
        <v>4449</v>
      </c>
      <c r="Q285" t="s">
        <v>2821</v>
      </c>
      <c r="R285" t="s">
        <v>200</v>
      </c>
      <c r="S285" t="s">
        <v>200</v>
      </c>
      <c r="T285" t="s">
        <v>2822</v>
      </c>
      <c r="U285" t="s">
        <v>2822</v>
      </c>
      <c r="V285" t="s">
        <v>2823</v>
      </c>
      <c r="W285" t="s">
        <v>2952</v>
      </c>
      <c r="X285" t="s">
        <v>2953</v>
      </c>
      <c r="Y285" t="s">
        <v>4200</v>
      </c>
      <c r="Z285" t="s">
        <v>469</v>
      </c>
      <c r="AA285" t="s">
        <v>3228</v>
      </c>
      <c r="AB285" t="s">
        <v>4201</v>
      </c>
      <c r="AC285" t="s">
        <v>2829</v>
      </c>
      <c r="AD285" t="s">
        <v>2830</v>
      </c>
      <c r="AE285" t="s">
        <v>2831</v>
      </c>
      <c r="AF285" t="s">
        <v>4202</v>
      </c>
      <c r="AG285" t="s">
        <v>2833</v>
      </c>
      <c r="AH285" t="s">
        <v>2834</v>
      </c>
      <c r="AI285" t="s">
        <v>2835</v>
      </c>
      <c r="AJ285" t="s">
        <v>2829</v>
      </c>
      <c r="AK285" t="s">
        <v>2868</v>
      </c>
      <c r="AL285" t="s">
        <v>3688</v>
      </c>
      <c r="AM285" t="s">
        <v>3058</v>
      </c>
      <c r="AN285" t="s">
        <v>2829</v>
      </c>
      <c r="AO285" t="s">
        <v>2839</v>
      </c>
      <c r="AP285" t="s">
        <v>2840</v>
      </c>
      <c r="AQ285" t="s">
        <v>2841</v>
      </c>
      <c r="AR285" t="s">
        <v>4203</v>
      </c>
      <c r="AS285" t="s">
        <v>4203</v>
      </c>
      <c r="AT285" t="s">
        <v>2829</v>
      </c>
      <c r="AU285" t="s">
        <v>2829</v>
      </c>
      <c r="AV285" t="s">
        <v>2829</v>
      </c>
      <c r="AW285" t="s">
        <v>2829</v>
      </c>
      <c r="AX285" t="s">
        <v>2829</v>
      </c>
      <c r="AY285" t="s">
        <v>2829</v>
      </c>
      <c r="AZ285" t="s">
        <v>2829</v>
      </c>
      <c r="BA285" t="s">
        <v>2829</v>
      </c>
      <c r="BB285" t="s">
        <v>2829</v>
      </c>
      <c r="BC285" t="s">
        <v>2829</v>
      </c>
      <c r="BD285" t="s">
        <v>4204</v>
      </c>
      <c r="BE285" t="s">
        <v>4204</v>
      </c>
      <c r="BF285" t="s">
        <v>243</v>
      </c>
      <c r="BG285" t="s">
        <v>243</v>
      </c>
      <c r="BH285" t="s">
        <v>243</v>
      </c>
      <c r="BI285" t="s">
        <v>243</v>
      </c>
      <c r="BJ285" t="s">
        <v>2829</v>
      </c>
      <c r="BK285" t="s">
        <v>243</v>
      </c>
      <c r="BL285" t="s">
        <v>243</v>
      </c>
      <c r="BM285" t="s">
        <v>243</v>
      </c>
      <c r="BN285" t="s">
        <v>243</v>
      </c>
      <c r="BO285" t="s">
        <v>243</v>
      </c>
      <c r="BP285" t="s">
        <v>4205</v>
      </c>
      <c r="BQ285" t="s">
        <v>4205</v>
      </c>
      <c r="BR285" t="s">
        <v>243</v>
      </c>
      <c r="BS285" t="s">
        <v>243</v>
      </c>
      <c r="BT285" t="s">
        <v>243</v>
      </c>
      <c r="BU285" t="s">
        <v>243</v>
      </c>
      <c r="BV285" t="s">
        <v>2829</v>
      </c>
      <c r="BW285" t="s">
        <v>243</v>
      </c>
      <c r="BX285" t="s">
        <v>243</v>
      </c>
      <c r="BY285" t="s">
        <v>243</v>
      </c>
      <c r="BZ285" t="s">
        <v>243</v>
      </c>
      <c r="CA285" t="s">
        <v>243</v>
      </c>
      <c r="CB285" t="s">
        <v>2829</v>
      </c>
      <c r="CC285" t="s">
        <v>243</v>
      </c>
      <c r="CD285" t="s">
        <v>243</v>
      </c>
      <c r="CE285" t="s">
        <v>243</v>
      </c>
      <c r="CF285" t="s">
        <v>243</v>
      </c>
      <c r="CG285" t="s">
        <v>243</v>
      </c>
      <c r="CH285" t="s">
        <v>2829</v>
      </c>
      <c r="CI285" t="s">
        <v>243</v>
      </c>
      <c r="CJ285" t="s">
        <v>243</v>
      </c>
      <c r="CK285" t="s">
        <v>243</v>
      </c>
      <c r="CL285" t="s">
        <v>243</v>
      </c>
      <c r="CM285" t="s">
        <v>243</v>
      </c>
      <c r="CN285" t="s">
        <v>2829</v>
      </c>
      <c r="CO285" t="s">
        <v>2843</v>
      </c>
      <c r="CP285" t="s">
        <v>2844</v>
      </c>
      <c r="CQ285" t="s">
        <v>430</v>
      </c>
      <c r="CR285" t="s">
        <v>2872</v>
      </c>
      <c r="CS285" t="s">
        <v>431</v>
      </c>
      <c r="CT285" t="s">
        <v>430</v>
      </c>
      <c r="CU285" t="s">
        <v>2846</v>
      </c>
      <c r="CV285" t="s">
        <v>2873</v>
      </c>
      <c r="CW285" t="s">
        <v>2872</v>
      </c>
      <c r="CX285" t="s">
        <v>2848</v>
      </c>
      <c r="CY285" t="s">
        <v>4206</v>
      </c>
    </row>
    <row r="286" spans="1:103" ht="11.25" customHeight="1">
      <c r="A286" t="s">
        <v>243</v>
      </c>
      <c r="B286" t="s">
        <v>243</v>
      </c>
      <c r="C286" t="s">
        <v>243</v>
      </c>
      <c r="D286" t="s">
        <v>243</v>
      </c>
      <c r="E286" t="s">
        <v>243</v>
      </c>
      <c r="F286" t="s">
        <v>2816</v>
      </c>
      <c r="G286" t="s">
        <v>243</v>
      </c>
      <c r="H286" t="s">
        <v>243</v>
      </c>
      <c r="I286" t="s">
        <v>3189</v>
      </c>
      <c r="J286" t="s">
        <v>243</v>
      </c>
      <c r="K286" t="s">
        <v>452</v>
      </c>
      <c r="L286" t="s">
        <v>243</v>
      </c>
      <c r="M286" t="s">
        <v>114</v>
      </c>
      <c r="N286" t="s">
        <v>243</v>
      </c>
      <c r="O286" t="s">
        <v>2819</v>
      </c>
      <c r="P286" t="s">
        <v>4449</v>
      </c>
      <c r="Q286" t="s">
        <v>2821</v>
      </c>
      <c r="R286" t="s">
        <v>200</v>
      </c>
      <c r="S286" t="s">
        <v>200</v>
      </c>
      <c r="T286" t="s">
        <v>2822</v>
      </c>
      <c r="U286" t="s">
        <v>2822</v>
      </c>
      <c r="V286" t="s">
        <v>2823</v>
      </c>
      <c r="W286" t="s">
        <v>3190</v>
      </c>
      <c r="X286" t="s">
        <v>3191</v>
      </c>
      <c r="Y286" t="s">
        <v>3192</v>
      </c>
      <c r="Z286" t="s">
        <v>466</v>
      </c>
      <c r="AA286" t="s">
        <v>3193</v>
      </c>
      <c r="AB286" t="s">
        <v>3194</v>
      </c>
      <c r="AC286" t="s">
        <v>2829</v>
      </c>
      <c r="AD286" t="s">
        <v>2830</v>
      </c>
      <c r="AE286" t="s">
        <v>2831</v>
      </c>
      <c r="AF286" t="s">
        <v>3195</v>
      </c>
      <c r="AG286" t="s">
        <v>3195</v>
      </c>
      <c r="AH286" t="s">
        <v>2834</v>
      </c>
      <c r="AI286" t="s">
        <v>2835</v>
      </c>
      <c r="AJ286" t="s">
        <v>2960</v>
      </c>
      <c r="AK286" t="s">
        <v>3196</v>
      </c>
      <c r="AL286" t="s">
        <v>3193</v>
      </c>
      <c r="AM286" t="s">
        <v>3194</v>
      </c>
      <c r="AN286" t="s">
        <v>2829</v>
      </c>
      <c r="AO286" t="s">
        <v>2839</v>
      </c>
      <c r="AP286" t="s">
        <v>2840</v>
      </c>
      <c r="AQ286" t="s">
        <v>2841</v>
      </c>
      <c r="AR286" t="s">
        <v>3197</v>
      </c>
      <c r="AS286" t="s">
        <v>3197</v>
      </c>
      <c r="AT286" t="s">
        <v>2829</v>
      </c>
      <c r="AU286" t="s">
        <v>2829</v>
      </c>
      <c r="AV286" t="s">
        <v>2829</v>
      </c>
      <c r="AW286" t="s">
        <v>2829</v>
      </c>
      <c r="AX286" t="s">
        <v>2829</v>
      </c>
      <c r="AY286" t="s">
        <v>2829</v>
      </c>
      <c r="AZ286" t="s">
        <v>2829</v>
      </c>
      <c r="BA286" t="s">
        <v>2829</v>
      </c>
      <c r="BB286" t="s">
        <v>2829</v>
      </c>
      <c r="BC286" t="s">
        <v>2829</v>
      </c>
      <c r="BD286" t="s">
        <v>3197</v>
      </c>
      <c r="BE286" t="s">
        <v>3197</v>
      </c>
      <c r="BF286" t="s">
        <v>243</v>
      </c>
      <c r="BG286" t="s">
        <v>243</v>
      </c>
      <c r="BH286" t="s">
        <v>243</v>
      </c>
      <c r="BI286" t="s">
        <v>243</v>
      </c>
      <c r="BJ286" t="s">
        <v>2829</v>
      </c>
      <c r="BK286" t="s">
        <v>243</v>
      </c>
      <c r="BL286" t="s">
        <v>243</v>
      </c>
      <c r="BM286" t="s">
        <v>243</v>
      </c>
      <c r="BN286" t="s">
        <v>243</v>
      </c>
      <c r="BO286" t="s">
        <v>243</v>
      </c>
      <c r="BP286" t="s">
        <v>2829</v>
      </c>
      <c r="BQ286" t="s">
        <v>243</v>
      </c>
      <c r="BR286" t="s">
        <v>243</v>
      </c>
      <c r="BS286" t="s">
        <v>243</v>
      </c>
      <c r="BT286" t="s">
        <v>243</v>
      </c>
      <c r="BU286" t="s">
        <v>243</v>
      </c>
      <c r="BV286" t="s">
        <v>2829</v>
      </c>
      <c r="BW286" t="s">
        <v>243</v>
      </c>
      <c r="BX286" t="s">
        <v>243</v>
      </c>
      <c r="BY286" t="s">
        <v>243</v>
      </c>
      <c r="BZ286" t="s">
        <v>243</v>
      </c>
      <c r="CA286" t="s">
        <v>243</v>
      </c>
      <c r="CB286" t="s">
        <v>2829</v>
      </c>
      <c r="CC286" t="s">
        <v>243</v>
      </c>
      <c r="CD286" t="s">
        <v>243</v>
      </c>
      <c r="CE286" t="s">
        <v>243</v>
      </c>
      <c r="CF286" t="s">
        <v>243</v>
      </c>
      <c r="CG286" t="s">
        <v>243</v>
      </c>
      <c r="CH286" t="s">
        <v>2829</v>
      </c>
      <c r="CI286" t="s">
        <v>243</v>
      </c>
      <c r="CJ286" t="s">
        <v>243</v>
      </c>
      <c r="CK286" t="s">
        <v>243</v>
      </c>
      <c r="CL286" t="s">
        <v>243</v>
      </c>
      <c r="CM286" t="s">
        <v>243</v>
      </c>
      <c r="CN286" t="s">
        <v>2960</v>
      </c>
      <c r="CO286" t="s">
        <v>2843</v>
      </c>
      <c r="CP286" t="s">
        <v>2844</v>
      </c>
      <c r="CQ286" t="s">
        <v>430</v>
      </c>
      <c r="CR286" t="s">
        <v>2845</v>
      </c>
      <c r="CS286" t="s">
        <v>431</v>
      </c>
      <c r="CT286" t="s">
        <v>430</v>
      </c>
      <c r="CU286" t="s">
        <v>2846</v>
      </c>
      <c r="CV286" t="s">
        <v>2847</v>
      </c>
      <c r="CW286" t="s">
        <v>2845</v>
      </c>
      <c r="CX286" t="s">
        <v>2848</v>
      </c>
      <c r="CY286" t="s">
        <v>3198</v>
      </c>
    </row>
    <row r="287" spans="1:103" ht="11.25" customHeight="1">
      <c r="A287" t="s">
        <v>243</v>
      </c>
      <c r="B287" t="s">
        <v>243</v>
      </c>
      <c r="C287" t="s">
        <v>243</v>
      </c>
      <c r="D287" t="s">
        <v>243</v>
      </c>
      <c r="E287" t="s">
        <v>243</v>
      </c>
      <c r="F287" t="s">
        <v>2816</v>
      </c>
      <c r="G287" t="s">
        <v>243</v>
      </c>
      <c r="H287" t="s">
        <v>243</v>
      </c>
      <c r="I287" t="s">
        <v>3611</v>
      </c>
      <c r="J287" t="s">
        <v>243</v>
      </c>
      <c r="K287" t="s">
        <v>2818</v>
      </c>
      <c r="L287" t="s">
        <v>243</v>
      </c>
      <c r="M287" t="s">
        <v>114</v>
      </c>
      <c r="N287" t="s">
        <v>243</v>
      </c>
      <c r="O287" t="s">
        <v>2819</v>
      </c>
      <c r="P287" t="s">
        <v>4449</v>
      </c>
      <c r="Q287" t="s">
        <v>2821</v>
      </c>
      <c r="R287" t="s">
        <v>200</v>
      </c>
      <c r="S287" t="s">
        <v>200</v>
      </c>
      <c r="T287" t="s">
        <v>2822</v>
      </c>
      <c r="U287" t="s">
        <v>2822</v>
      </c>
      <c r="V287" t="s">
        <v>2823</v>
      </c>
      <c r="W287" t="s">
        <v>2911</v>
      </c>
      <c r="X287" t="s">
        <v>2912</v>
      </c>
      <c r="Y287" t="s">
        <v>3380</v>
      </c>
      <c r="Z287" t="s">
        <v>4327</v>
      </c>
      <c r="AA287" t="s">
        <v>3228</v>
      </c>
      <c r="AB287" t="s">
        <v>4328</v>
      </c>
      <c r="AC287" t="s">
        <v>2829</v>
      </c>
      <c r="AD287" t="s">
        <v>2830</v>
      </c>
      <c r="AE287" t="s">
        <v>2857</v>
      </c>
      <c r="AF287" t="s">
        <v>4329</v>
      </c>
      <c r="AG287" t="s">
        <v>4329</v>
      </c>
      <c r="AH287" t="s">
        <v>2834</v>
      </c>
      <c r="AI287" t="s">
        <v>2835</v>
      </c>
      <c r="AJ287" t="s">
        <v>2829</v>
      </c>
      <c r="AK287" t="s">
        <v>2868</v>
      </c>
      <c r="AL287" t="s">
        <v>3228</v>
      </c>
      <c r="AM287" t="s">
        <v>2838</v>
      </c>
      <c r="AN287" t="s">
        <v>2829</v>
      </c>
      <c r="AO287" t="s">
        <v>2839</v>
      </c>
      <c r="AP287" t="s">
        <v>2840</v>
      </c>
      <c r="AQ287" t="s">
        <v>2841</v>
      </c>
      <c r="AR287" t="s">
        <v>4330</v>
      </c>
      <c r="AS287" t="s">
        <v>4330</v>
      </c>
      <c r="AT287" t="s">
        <v>2829</v>
      </c>
      <c r="AU287" t="s">
        <v>2829</v>
      </c>
      <c r="AV287" t="s">
        <v>2829</v>
      </c>
      <c r="AW287" t="s">
        <v>2829</v>
      </c>
      <c r="AX287" t="s">
        <v>2829</v>
      </c>
      <c r="AY287" t="s">
        <v>2829</v>
      </c>
      <c r="AZ287" t="s">
        <v>2829</v>
      </c>
      <c r="BA287" t="s">
        <v>2829</v>
      </c>
      <c r="BB287" t="s">
        <v>2829</v>
      </c>
      <c r="BC287" t="s">
        <v>2829</v>
      </c>
      <c r="BD287" t="s">
        <v>4330</v>
      </c>
      <c r="BE287" t="s">
        <v>4330</v>
      </c>
      <c r="BF287" t="s">
        <v>243</v>
      </c>
      <c r="BG287" t="s">
        <v>243</v>
      </c>
      <c r="BH287" t="s">
        <v>243</v>
      </c>
      <c r="BI287" t="s">
        <v>243</v>
      </c>
      <c r="BJ287" t="s">
        <v>2829</v>
      </c>
      <c r="BK287" t="s">
        <v>243</v>
      </c>
      <c r="BL287" t="s">
        <v>243</v>
      </c>
      <c r="BM287" t="s">
        <v>243</v>
      </c>
      <c r="BN287" t="s">
        <v>243</v>
      </c>
      <c r="BO287" t="s">
        <v>243</v>
      </c>
      <c r="BP287" t="s">
        <v>2829</v>
      </c>
      <c r="BQ287" t="s">
        <v>243</v>
      </c>
      <c r="BR287" t="s">
        <v>243</v>
      </c>
      <c r="BS287" t="s">
        <v>243</v>
      </c>
      <c r="BT287" t="s">
        <v>243</v>
      </c>
      <c r="BU287" t="s">
        <v>243</v>
      </c>
      <c r="BV287" t="s">
        <v>2829</v>
      </c>
      <c r="BW287" t="s">
        <v>243</v>
      </c>
      <c r="BX287" t="s">
        <v>243</v>
      </c>
      <c r="BY287" t="s">
        <v>243</v>
      </c>
      <c r="BZ287" t="s">
        <v>243</v>
      </c>
      <c r="CA287" t="s">
        <v>243</v>
      </c>
      <c r="CB287" t="s">
        <v>2829</v>
      </c>
      <c r="CC287" t="s">
        <v>243</v>
      </c>
      <c r="CD287" t="s">
        <v>243</v>
      </c>
      <c r="CE287" t="s">
        <v>243</v>
      </c>
      <c r="CF287" t="s">
        <v>243</v>
      </c>
      <c r="CG287" t="s">
        <v>243</v>
      </c>
      <c r="CH287" t="s">
        <v>2829</v>
      </c>
      <c r="CI287" t="s">
        <v>243</v>
      </c>
      <c r="CJ287" t="s">
        <v>243</v>
      </c>
      <c r="CK287" t="s">
        <v>243</v>
      </c>
      <c r="CL287" t="s">
        <v>243</v>
      </c>
      <c r="CM287" t="s">
        <v>243</v>
      </c>
      <c r="CN287" t="s">
        <v>2829</v>
      </c>
      <c r="CO287" t="s">
        <v>2843</v>
      </c>
      <c r="CP287" t="s">
        <v>2844</v>
      </c>
      <c r="CQ287" t="s">
        <v>430</v>
      </c>
      <c r="CR287" t="s">
        <v>2872</v>
      </c>
      <c r="CS287" t="s">
        <v>431</v>
      </c>
      <c r="CT287" t="s">
        <v>430</v>
      </c>
      <c r="CU287" t="s">
        <v>2846</v>
      </c>
      <c r="CV287" t="s">
        <v>2873</v>
      </c>
      <c r="CW287" t="s">
        <v>2872</v>
      </c>
      <c r="CX287" t="s">
        <v>2848</v>
      </c>
      <c r="CY287" t="s">
        <v>4331</v>
      </c>
    </row>
    <row r="288" spans="1:103" ht="11.25" customHeight="1">
      <c r="A288" t="s">
        <v>243</v>
      </c>
      <c r="B288" t="s">
        <v>243</v>
      </c>
      <c r="C288" t="s">
        <v>243</v>
      </c>
      <c r="D288" t="s">
        <v>243</v>
      </c>
      <c r="E288" t="s">
        <v>243</v>
      </c>
      <c r="F288" t="s">
        <v>2816</v>
      </c>
      <c r="G288" t="s">
        <v>243</v>
      </c>
      <c r="H288" t="s">
        <v>243</v>
      </c>
      <c r="I288" t="s">
        <v>4311</v>
      </c>
      <c r="J288" t="s">
        <v>243</v>
      </c>
      <c r="K288" t="s">
        <v>2818</v>
      </c>
      <c r="L288" t="s">
        <v>243</v>
      </c>
      <c r="M288" t="s">
        <v>114</v>
      </c>
      <c r="N288" t="s">
        <v>243</v>
      </c>
      <c r="O288" t="s">
        <v>2819</v>
      </c>
      <c r="P288" t="s">
        <v>4449</v>
      </c>
      <c r="Q288" t="s">
        <v>2821</v>
      </c>
      <c r="R288" t="s">
        <v>200</v>
      </c>
      <c r="S288" t="s">
        <v>200</v>
      </c>
      <c r="T288" t="s">
        <v>2822</v>
      </c>
      <c r="U288" t="s">
        <v>2822</v>
      </c>
      <c r="V288" t="s">
        <v>2823</v>
      </c>
      <c r="W288" t="s">
        <v>4167</v>
      </c>
      <c r="X288" t="s">
        <v>4168</v>
      </c>
      <c r="Y288" t="s">
        <v>2929</v>
      </c>
      <c r="Z288" t="s">
        <v>443</v>
      </c>
      <c r="AA288" t="s">
        <v>4332</v>
      </c>
      <c r="AB288" t="s">
        <v>4333</v>
      </c>
      <c r="AC288" t="s">
        <v>2829</v>
      </c>
      <c r="AD288" t="s">
        <v>2830</v>
      </c>
      <c r="AE288" t="s">
        <v>2857</v>
      </c>
      <c r="AF288" t="s">
        <v>2867</v>
      </c>
      <c r="AG288" t="s">
        <v>2867</v>
      </c>
      <c r="AH288" t="s">
        <v>2834</v>
      </c>
      <c r="AI288" t="s">
        <v>2835</v>
      </c>
      <c r="AJ288" t="s">
        <v>2829</v>
      </c>
      <c r="AK288" t="s">
        <v>2868</v>
      </c>
      <c r="AL288" t="s">
        <v>4332</v>
      </c>
      <c r="AM288" t="s">
        <v>3703</v>
      </c>
      <c r="AN288" t="s">
        <v>2829</v>
      </c>
      <c r="AO288" t="s">
        <v>2839</v>
      </c>
      <c r="AP288" t="s">
        <v>2840</v>
      </c>
      <c r="AQ288" t="s">
        <v>2841</v>
      </c>
      <c r="AR288" t="s">
        <v>4334</v>
      </c>
      <c r="AS288" t="s">
        <v>4334</v>
      </c>
      <c r="AT288" t="s">
        <v>2829</v>
      </c>
      <c r="AU288" t="s">
        <v>2829</v>
      </c>
      <c r="AV288" t="s">
        <v>2829</v>
      </c>
      <c r="AW288" t="s">
        <v>2829</v>
      </c>
      <c r="AX288" t="s">
        <v>2829</v>
      </c>
      <c r="AY288" t="s">
        <v>2829</v>
      </c>
      <c r="AZ288" t="s">
        <v>2829</v>
      </c>
      <c r="BA288" t="s">
        <v>2829</v>
      </c>
      <c r="BB288" t="s">
        <v>2829</v>
      </c>
      <c r="BC288" t="s">
        <v>2829</v>
      </c>
      <c r="BD288" t="s">
        <v>4334</v>
      </c>
      <c r="BE288" t="s">
        <v>4334</v>
      </c>
      <c r="BF288" t="s">
        <v>243</v>
      </c>
      <c r="BG288" t="s">
        <v>243</v>
      </c>
      <c r="BH288" t="s">
        <v>243</v>
      </c>
      <c r="BI288" t="s">
        <v>243</v>
      </c>
      <c r="BJ288" t="s">
        <v>2829</v>
      </c>
      <c r="BK288" t="s">
        <v>243</v>
      </c>
      <c r="BL288" t="s">
        <v>243</v>
      </c>
      <c r="BM288" t="s">
        <v>243</v>
      </c>
      <c r="BN288" t="s">
        <v>243</v>
      </c>
      <c r="BO288" t="s">
        <v>243</v>
      </c>
      <c r="BP288" t="s">
        <v>2829</v>
      </c>
      <c r="BQ288" t="s">
        <v>243</v>
      </c>
      <c r="BR288" t="s">
        <v>243</v>
      </c>
      <c r="BS288" t="s">
        <v>243</v>
      </c>
      <c r="BT288" t="s">
        <v>243</v>
      </c>
      <c r="BU288" t="s">
        <v>243</v>
      </c>
      <c r="BV288" t="s">
        <v>2829</v>
      </c>
      <c r="BW288" t="s">
        <v>243</v>
      </c>
      <c r="BX288" t="s">
        <v>243</v>
      </c>
      <c r="BY288" t="s">
        <v>243</v>
      </c>
      <c r="BZ288" t="s">
        <v>243</v>
      </c>
      <c r="CA288" t="s">
        <v>243</v>
      </c>
      <c r="CB288" t="s">
        <v>2829</v>
      </c>
      <c r="CC288" t="s">
        <v>243</v>
      </c>
      <c r="CD288" t="s">
        <v>243</v>
      </c>
      <c r="CE288" t="s">
        <v>243</v>
      </c>
      <c r="CF288" t="s">
        <v>243</v>
      </c>
      <c r="CG288" t="s">
        <v>243</v>
      </c>
      <c r="CH288" t="s">
        <v>2829</v>
      </c>
      <c r="CI288" t="s">
        <v>243</v>
      </c>
      <c r="CJ288" t="s">
        <v>243</v>
      </c>
      <c r="CK288" t="s">
        <v>243</v>
      </c>
      <c r="CL288" t="s">
        <v>243</v>
      </c>
      <c r="CM288" t="s">
        <v>243</v>
      </c>
      <c r="CN288" t="s">
        <v>2829</v>
      </c>
      <c r="CO288" t="s">
        <v>2843</v>
      </c>
      <c r="CP288" t="s">
        <v>2844</v>
      </c>
      <c r="CQ288" t="s">
        <v>430</v>
      </c>
      <c r="CR288" t="s">
        <v>2872</v>
      </c>
      <c r="CS288" t="s">
        <v>431</v>
      </c>
      <c r="CT288" t="s">
        <v>430</v>
      </c>
      <c r="CU288" t="s">
        <v>2846</v>
      </c>
      <c r="CV288" t="s">
        <v>2873</v>
      </c>
      <c r="CW288" t="s">
        <v>2872</v>
      </c>
      <c r="CX288" t="s">
        <v>2848</v>
      </c>
      <c r="CY288" t="s">
        <v>4335</v>
      </c>
    </row>
    <row r="289" spans="1:103" ht="11.25" customHeight="1">
      <c r="A289" t="s">
        <v>243</v>
      </c>
      <c r="B289" t="s">
        <v>243</v>
      </c>
      <c r="C289" t="s">
        <v>243</v>
      </c>
      <c r="D289" t="s">
        <v>243</v>
      </c>
      <c r="E289" t="s">
        <v>243</v>
      </c>
      <c r="F289" t="s">
        <v>2816</v>
      </c>
      <c r="G289" t="s">
        <v>243</v>
      </c>
      <c r="H289" t="s">
        <v>243</v>
      </c>
      <c r="I289" t="s">
        <v>3827</v>
      </c>
      <c r="J289" t="s">
        <v>243</v>
      </c>
      <c r="K289" t="s">
        <v>2818</v>
      </c>
      <c r="L289" t="s">
        <v>243</v>
      </c>
      <c r="M289" t="s">
        <v>114</v>
      </c>
      <c r="N289" t="s">
        <v>243</v>
      </c>
      <c r="O289" t="s">
        <v>2819</v>
      </c>
      <c r="P289" t="s">
        <v>4449</v>
      </c>
      <c r="Q289" t="s">
        <v>2821</v>
      </c>
      <c r="R289" t="s">
        <v>200</v>
      </c>
      <c r="S289" t="s">
        <v>200</v>
      </c>
      <c r="T289" t="s">
        <v>2822</v>
      </c>
      <c r="U289" t="s">
        <v>2822</v>
      </c>
      <c r="V289" t="s">
        <v>2823</v>
      </c>
      <c r="W289" t="s">
        <v>3828</v>
      </c>
      <c r="X289" t="s">
        <v>3829</v>
      </c>
      <c r="Y289" t="s">
        <v>3610</v>
      </c>
      <c r="Z289" t="s">
        <v>3830</v>
      </c>
      <c r="AA289" t="s">
        <v>3228</v>
      </c>
      <c r="AB289" t="s">
        <v>3467</v>
      </c>
      <c r="AC289" t="s">
        <v>2829</v>
      </c>
      <c r="AD289" t="s">
        <v>2830</v>
      </c>
      <c r="AE289" t="s">
        <v>2857</v>
      </c>
      <c r="AF289" t="s">
        <v>3831</v>
      </c>
      <c r="AG289" t="s">
        <v>3831</v>
      </c>
      <c r="AH289" t="s">
        <v>2834</v>
      </c>
      <c r="AI289" t="s">
        <v>2835</v>
      </c>
      <c r="AJ289" t="s">
        <v>2829</v>
      </c>
      <c r="AK289" t="s">
        <v>2922</v>
      </c>
      <c r="AL289" t="s">
        <v>3228</v>
      </c>
      <c r="AM289" t="s">
        <v>3467</v>
      </c>
      <c r="AN289" t="s">
        <v>2829</v>
      </c>
      <c r="AO289" t="s">
        <v>2839</v>
      </c>
      <c r="AP289" t="s">
        <v>2840</v>
      </c>
      <c r="AQ289" t="s">
        <v>2841</v>
      </c>
      <c r="AR289" t="s">
        <v>2923</v>
      </c>
      <c r="AS289" t="s">
        <v>2923</v>
      </c>
      <c r="AT289" t="s">
        <v>2829</v>
      </c>
      <c r="AU289" t="s">
        <v>2829</v>
      </c>
      <c r="AV289" t="s">
        <v>2829</v>
      </c>
      <c r="AW289" t="s">
        <v>2829</v>
      </c>
      <c r="AX289" t="s">
        <v>2829</v>
      </c>
      <c r="AY289" t="s">
        <v>2829</v>
      </c>
      <c r="AZ289" t="s">
        <v>2829</v>
      </c>
      <c r="BA289" t="s">
        <v>2829</v>
      </c>
      <c r="BB289" t="s">
        <v>2829</v>
      </c>
      <c r="BC289" t="s">
        <v>2829</v>
      </c>
      <c r="BD289" t="s">
        <v>2923</v>
      </c>
      <c r="BE289" t="s">
        <v>2923</v>
      </c>
      <c r="BF289" t="s">
        <v>243</v>
      </c>
      <c r="BG289" t="s">
        <v>243</v>
      </c>
      <c r="BH289" t="s">
        <v>243</v>
      </c>
      <c r="BI289" t="s">
        <v>243</v>
      </c>
      <c r="BJ289" t="s">
        <v>2829</v>
      </c>
      <c r="BK289" t="s">
        <v>243</v>
      </c>
      <c r="BL289" t="s">
        <v>243</v>
      </c>
      <c r="BM289" t="s">
        <v>243</v>
      </c>
      <c r="BN289" t="s">
        <v>243</v>
      </c>
      <c r="BO289" t="s">
        <v>243</v>
      </c>
      <c r="BP289" t="s">
        <v>2829</v>
      </c>
      <c r="BQ289" t="s">
        <v>243</v>
      </c>
      <c r="BR289" t="s">
        <v>243</v>
      </c>
      <c r="BS289" t="s">
        <v>243</v>
      </c>
      <c r="BT289" t="s">
        <v>243</v>
      </c>
      <c r="BU289" t="s">
        <v>243</v>
      </c>
      <c r="BV289" t="s">
        <v>2829</v>
      </c>
      <c r="BW289" t="s">
        <v>243</v>
      </c>
      <c r="BX289" t="s">
        <v>243</v>
      </c>
      <c r="BY289" t="s">
        <v>243</v>
      </c>
      <c r="BZ289" t="s">
        <v>243</v>
      </c>
      <c r="CA289" t="s">
        <v>243</v>
      </c>
      <c r="CB289" t="s">
        <v>2829</v>
      </c>
      <c r="CC289" t="s">
        <v>243</v>
      </c>
      <c r="CD289" t="s">
        <v>243</v>
      </c>
      <c r="CE289" t="s">
        <v>243</v>
      </c>
      <c r="CF289" t="s">
        <v>243</v>
      </c>
      <c r="CG289" t="s">
        <v>243</v>
      </c>
      <c r="CH289" t="s">
        <v>2829</v>
      </c>
      <c r="CI289" t="s">
        <v>243</v>
      </c>
      <c r="CJ289" t="s">
        <v>243</v>
      </c>
      <c r="CK289" t="s">
        <v>243</v>
      </c>
      <c r="CL289" t="s">
        <v>243</v>
      </c>
      <c r="CM289" t="s">
        <v>243</v>
      </c>
      <c r="CN289" t="s">
        <v>2829</v>
      </c>
      <c r="CO289" t="s">
        <v>2924</v>
      </c>
      <c r="CP289" t="s">
        <v>2844</v>
      </c>
      <c r="CQ289" t="s">
        <v>430</v>
      </c>
      <c r="CR289" t="s">
        <v>2872</v>
      </c>
      <c r="CS289" t="s">
        <v>431</v>
      </c>
      <c r="CT289" t="s">
        <v>430</v>
      </c>
      <c r="CU289" t="s">
        <v>2846</v>
      </c>
      <c r="CV289" t="s">
        <v>2873</v>
      </c>
      <c r="CW289" t="s">
        <v>2872</v>
      </c>
      <c r="CX289" t="s">
        <v>2848</v>
      </c>
      <c r="CY289" t="s">
        <v>3832</v>
      </c>
    </row>
    <row r="290" spans="1:103" ht="11.25" customHeight="1">
      <c r="A290" t="s">
        <v>243</v>
      </c>
      <c r="B290" t="s">
        <v>243</v>
      </c>
      <c r="C290" t="s">
        <v>243</v>
      </c>
      <c r="D290" t="s">
        <v>243</v>
      </c>
      <c r="E290" t="s">
        <v>243</v>
      </c>
      <c r="F290" t="s">
        <v>2816</v>
      </c>
      <c r="G290" t="s">
        <v>243</v>
      </c>
      <c r="H290" t="s">
        <v>243</v>
      </c>
      <c r="I290" t="s">
        <v>4037</v>
      </c>
      <c r="J290" t="s">
        <v>243</v>
      </c>
      <c r="K290" t="s">
        <v>4038</v>
      </c>
      <c r="L290" t="s">
        <v>243</v>
      </c>
      <c r="M290" t="s">
        <v>114</v>
      </c>
      <c r="N290" t="s">
        <v>243</v>
      </c>
      <c r="O290" t="s">
        <v>2819</v>
      </c>
      <c r="P290" t="s">
        <v>4449</v>
      </c>
      <c r="Q290" t="s">
        <v>2821</v>
      </c>
      <c r="R290" t="s">
        <v>200</v>
      </c>
      <c r="S290" t="s">
        <v>200</v>
      </c>
      <c r="T290" t="s">
        <v>4451</v>
      </c>
      <c r="U290" t="s">
        <v>4451</v>
      </c>
      <c r="V290" t="s">
        <v>4452</v>
      </c>
      <c r="W290" t="s">
        <v>2935</v>
      </c>
      <c r="X290" t="s">
        <v>4453</v>
      </c>
      <c r="Y290" t="s">
        <v>4039</v>
      </c>
      <c r="Z290" t="s">
        <v>457</v>
      </c>
      <c r="AA290" t="s">
        <v>4040</v>
      </c>
      <c r="AB290" t="s">
        <v>4041</v>
      </c>
      <c r="AC290" t="s">
        <v>3916</v>
      </c>
      <c r="AD290" t="s">
        <v>2883</v>
      </c>
      <c r="AE290" t="s">
        <v>4042</v>
      </c>
      <c r="AF290" t="s">
        <v>4043</v>
      </c>
      <c r="AG290" t="s">
        <v>4043</v>
      </c>
      <c r="AH290" t="s">
        <v>2834</v>
      </c>
      <c r="AI290" t="s">
        <v>2887</v>
      </c>
      <c r="AJ290" t="s">
        <v>3010</v>
      </c>
      <c r="AK290" t="s">
        <v>4044</v>
      </c>
      <c r="AL290" t="s">
        <v>4040</v>
      </c>
      <c r="AM290" t="s">
        <v>4041</v>
      </c>
      <c r="AN290" t="s">
        <v>3916</v>
      </c>
      <c r="AO290" t="s">
        <v>2839</v>
      </c>
      <c r="AP290" t="s">
        <v>2840</v>
      </c>
      <c r="AQ290" t="s">
        <v>2841</v>
      </c>
      <c r="AR290" t="s">
        <v>4045</v>
      </c>
      <c r="AS290" t="s">
        <v>4046</v>
      </c>
      <c r="AT290" t="s">
        <v>4047</v>
      </c>
      <c r="AU290" t="s">
        <v>4048</v>
      </c>
      <c r="AV290" t="s">
        <v>2829</v>
      </c>
      <c r="AW290" t="s">
        <v>2829</v>
      </c>
      <c r="AX290" t="s">
        <v>2829</v>
      </c>
      <c r="AY290" t="s">
        <v>2829</v>
      </c>
      <c r="AZ290" t="s">
        <v>2829</v>
      </c>
      <c r="BA290" t="s">
        <v>2829</v>
      </c>
      <c r="BB290" t="s">
        <v>2829</v>
      </c>
      <c r="BC290" t="s">
        <v>2829</v>
      </c>
      <c r="BD290" t="s">
        <v>4049</v>
      </c>
      <c r="BE290" t="s">
        <v>4050</v>
      </c>
      <c r="BF290" t="s">
        <v>4051</v>
      </c>
      <c r="BG290" t="s">
        <v>4052</v>
      </c>
      <c r="BH290" t="s">
        <v>243</v>
      </c>
      <c r="BI290" t="s">
        <v>243</v>
      </c>
      <c r="BJ290" t="s">
        <v>2829</v>
      </c>
      <c r="BK290" t="s">
        <v>243</v>
      </c>
      <c r="BL290" t="s">
        <v>243</v>
      </c>
      <c r="BM290" t="s">
        <v>243</v>
      </c>
      <c r="BN290" t="s">
        <v>243</v>
      </c>
      <c r="BO290" t="s">
        <v>243</v>
      </c>
      <c r="BP290" t="s">
        <v>4053</v>
      </c>
      <c r="BQ290" t="s">
        <v>4054</v>
      </c>
      <c r="BR290" t="s">
        <v>4055</v>
      </c>
      <c r="BS290" t="s">
        <v>4056</v>
      </c>
      <c r="BT290" t="s">
        <v>243</v>
      </c>
      <c r="BU290" t="s">
        <v>243</v>
      </c>
      <c r="BV290" t="s">
        <v>2829</v>
      </c>
      <c r="BW290" t="s">
        <v>243</v>
      </c>
      <c r="BX290" t="s">
        <v>243</v>
      </c>
      <c r="BY290" t="s">
        <v>243</v>
      </c>
      <c r="BZ290" t="s">
        <v>243</v>
      </c>
      <c r="CA290" t="s">
        <v>243</v>
      </c>
      <c r="CB290" t="s">
        <v>4004</v>
      </c>
      <c r="CC290" t="s">
        <v>4004</v>
      </c>
      <c r="CD290" t="s">
        <v>243</v>
      </c>
      <c r="CE290" t="s">
        <v>243</v>
      </c>
      <c r="CF290" t="s">
        <v>243</v>
      </c>
      <c r="CG290" t="s">
        <v>243</v>
      </c>
      <c r="CH290" t="s">
        <v>2829</v>
      </c>
      <c r="CI290" t="s">
        <v>243</v>
      </c>
      <c r="CJ290" t="s">
        <v>243</v>
      </c>
      <c r="CK290" t="s">
        <v>243</v>
      </c>
      <c r="CL290" t="s">
        <v>243</v>
      </c>
      <c r="CM290" t="s">
        <v>243</v>
      </c>
      <c r="CN290" t="s">
        <v>3010</v>
      </c>
      <c r="CO290" t="s">
        <v>2843</v>
      </c>
      <c r="CP290" t="s">
        <v>2844</v>
      </c>
      <c r="CQ290" t="s">
        <v>430</v>
      </c>
      <c r="CR290" t="s">
        <v>2947</v>
      </c>
      <c r="CS290" t="s">
        <v>431</v>
      </c>
      <c r="CT290" t="s">
        <v>430</v>
      </c>
      <c r="CU290" t="s">
        <v>2948</v>
      </c>
      <c r="CV290" t="s">
        <v>2949</v>
      </c>
      <c r="CW290" t="s">
        <v>2947</v>
      </c>
      <c r="CX290" t="s">
        <v>2848</v>
      </c>
      <c r="CY290" t="s">
        <v>4057</v>
      </c>
    </row>
    <row r="291" spans="1:103" ht="11.25" customHeight="1">
      <c r="A291" t="s">
        <v>243</v>
      </c>
      <c r="B291" t="s">
        <v>243</v>
      </c>
      <c r="C291" t="s">
        <v>243</v>
      </c>
      <c r="D291" t="s">
        <v>243</v>
      </c>
      <c r="E291" t="s">
        <v>243</v>
      </c>
      <c r="F291" t="s">
        <v>2816</v>
      </c>
      <c r="G291" t="s">
        <v>243</v>
      </c>
      <c r="H291" t="s">
        <v>243</v>
      </c>
      <c r="I291" t="s">
        <v>4213</v>
      </c>
      <c r="J291" t="s">
        <v>243</v>
      </c>
      <c r="K291" t="s">
        <v>4214</v>
      </c>
      <c r="L291" t="s">
        <v>243</v>
      </c>
      <c r="M291" t="s">
        <v>114</v>
      </c>
      <c r="N291" t="s">
        <v>243</v>
      </c>
      <c r="O291" t="s">
        <v>2819</v>
      </c>
      <c r="P291" t="s">
        <v>4449</v>
      </c>
      <c r="Q291" t="s">
        <v>2821</v>
      </c>
      <c r="R291" t="s">
        <v>200</v>
      </c>
      <c r="S291" t="s">
        <v>200</v>
      </c>
      <c r="T291" t="s">
        <v>2933</v>
      </c>
      <c r="U291" t="s">
        <v>2933</v>
      </c>
      <c r="V291" t="s">
        <v>4456</v>
      </c>
      <c r="W291" t="s">
        <v>4215</v>
      </c>
      <c r="X291" t="s">
        <v>4457</v>
      </c>
      <c r="Y291" t="s">
        <v>4217</v>
      </c>
      <c r="Z291" t="s">
        <v>596</v>
      </c>
      <c r="AA291" t="s">
        <v>3094</v>
      </c>
      <c r="AB291" t="s">
        <v>4218</v>
      </c>
      <c r="AC291" t="s">
        <v>2829</v>
      </c>
      <c r="AD291" t="s">
        <v>2883</v>
      </c>
      <c r="AE291" t="s">
        <v>2831</v>
      </c>
      <c r="AF291" t="s">
        <v>4219</v>
      </c>
      <c r="AG291" t="s">
        <v>4219</v>
      </c>
      <c r="AH291" t="s">
        <v>2834</v>
      </c>
      <c r="AI291" t="s">
        <v>2835</v>
      </c>
      <c r="AJ291" t="s">
        <v>3187</v>
      </c>
      <c r="AK291" t="s">
        <v>3009</v>
      </c>
      <c r="AL291" t="s">
        <v>3094</v>
      </c>
      <c r="AM291" t="s">
        <v>4218</v>
      </c>
      <c r="AN291" t="s">
        <v>243</v>
      </c>
      <c r="AO291" t="s">
        <v>2839</v>
      </c>
      <c r="AP291" t="s">
        <v>2840</v>
      </c>
      <c r="AQ291" t="s">
        <v>2841</v>
      </c>
      <c r="AR291" t="s">
        <v>4220</v>
      </c>
      <c r="AS291" t="s">
        <v>4220</v>
      </c>
      <c r="AT291" t="s">
        <v>2829</v>
      </c>
      <c r="AU291" t="s">
        <v>2829</v>
      </c>
      <c r="AV291" t="s">
        <v>2829</v>
      </c>
      <c r="AW291" t="s">
        <v>2829</v>
      </c>
      <c r="AX291" t="s">
        <v>2829</v>
      </c>
      <c r="AY291" t="s">
        <v>2829</v>
      </c>
      <c r="AZ291" t="s">
        <v>2829</v>
      </c>
      <c r="BA291" t="s">
        <v>2829</v>
      </c>
      <c r="BB291" t="s">
        <v>2829</v>
      </c>
      <c r="BC291" t="s">
        <v>2829</v>
      </c>
      <c r="BD291" t="s">
        <v>4220</v>
      </c>
      <c r="BE291" t="s">
        <v>4220</v>
      </c>
      <c r="BF291" t="s">
        <v>243</v>
      </c>
      <c r="BG291" t="s">
        <v>243</v>
      </c>
      <c r="BH291" t="s">
        <v>243</v>
      </c>
      <c r="BI291" t="s">
        <v>243</v>
      </c>
      <c r="BJ291" t="s">
        <v>2829</v>
      </c>
      <c r="BK291" t="s">
        <v>243</v>
      </c>
      <c r="BL291" t="s">
        <v>243</v>
      </c>
      <c r="BM291" t="s">
        <v>243</v>
      </c>
      <c r="BN291" t="s">
        <v>243</v>
      </c>
      <c r="BO291" t="s">
        <v>243</v>
      </c>
      <c r="BP291" t="s">
        <v>2829</v>
      </c>
      <c r="BQ291" t="s">
        <v>243</v>
      </c>
      <c r="BR291" t="s">
        <v>243</v>
      </c>
      <c r="BS291" t="s">
        <v>243</v>
      </c>
      <c r="BT291" t="s">
        <v>243</v>
      </c>
      <c r="BU291" t="s">
        <v>243</v>
      </c>
      <c r="BV291" t="s">
        <v>2829</v>
      </c>
      <c r="BW291" t="s">
        <v>243</v>
      </c>
      <c r="BX291" t="s">
        <v>243</v>
      </c>
      <c r="BY291" t="s">
        <v>243</v>
      </c>
      <c r="BZ291" t="s">
        <v>243</v>
      </c>
      <c r="CA291" t="s">
        <v>243</v>
      </c>
      <c r="CB291" t="s">
        <v>2829</v>
      </c>
      <c r="CC291" t="s">
        <v>243</v>
      </c>
      <c r="CD291" t="s">
        <v>243</v>
      </c>
      <c r="CE291" t="s">
        <v>243</v>
      </c>
      <c r="CF291" t="s">
        <v>243</v>
      </c>
      <c r="CG291" t="s">
        <v>243</v>
      </c>
      <c r="CH291" t="s">
        <v>2829</v>
      </c>
      <c r="CI291" t="s">
        <v>243</v>
      </c>
      <c r="CJ291" t="s">
        <v>243</v>
      </c>
      <c r="CK291" t="s">
        <v>243</v>
      </c>
      <c r="CL291" t="s">
        <v>243</v>
      </c>
      <c r="CM291" t="s">
        <v>243</v>
      </c>
      <c r="CN291" t="s">
        <v>3187</v>
      </c>
      <c r="CO291" t="s">
        <v>2843</v>
      </c>
      <c r="CP291" t="s">
        <v>2844</v>
      </c>
      <c r="CQ291" t="s">
        <v>430</v>
      </c>
      <c r="CR291" t="s">
        <v>2947</v>
      </c>
      <c r="CS291" t="s">
        <v>431</v>
      </c>
      <c r="CT291" t="s">
        <v>430</v>
      </c>
      <c r="CU291" t="s">
        <v>2948</v>
      </c>
      <c r="CV291" t="s">
        <v>2949</v>
      </c>
      <c r="CW291" t="s">
        <v>2947</v>
      </c>
      <c r="CX291" t="s">
        <v>2848</v>
      </c>
      <c r="CY291" t="s">
        <v>4221</v>
      </c>
    </row>
    <row r="292" spans="1:103" ht="11.25" customHeight="1">
      <c r="A292" t="s">
        <v>243</v>
      </c>
      <c r="B292" t="s">
        <v>243</v>
      </c>
      <c r="C292" t="s">
        <v>243</v>
      </c>
      <c r="D292" t="s">
        <v>243</v>
      </c>
      <c r="E292" t="s">
        <v>243</v>
      </c>
      <c r="F292" t="s">
        <v>2816</v>
      </c>
      <c r="G292" t="s">
        <v>243</v>
      </c>
      <c r="H292" t="s">
        <v>243</v>
      </c>
      <c r="I292" t="s">
        <v>4308</v>
      </c>
      <c r="J292" t="s">
        <v>243</v>
      </c>
      <c r="K292" t="s">
        <v>3178</v>
      </c>
      <c r="L292" t="s">
        <v>243</v>
      </c>
      <c r="M292" t="s">
        <v>114</v>
      </c>
      <c r="N292" t="s">
        <v>243</v>
      </c>
      <c r="O292" t="s">
        <v>3356</v>
      </c>
      <c r="P292" t="s">
        <v>4449</v>
      </c>
      <c r="Q292" t="s">
        <v>2821</v>
      </c>
      <c r="R292" t="s">
        <v>190</v>
      </c>
      <c r="S292" t="s">
        <v>190</v>
      </c>
      <c r="T292" t="s">
        <v>2968</v>
      </c>
      <c r="U292" t="s">
        <v>2968</v>
      </c>
      <c r="V292" t="s">
        <v>2969</v>
      </c>
      <c r="W292" t="s">
        <v>4309</v>
      </c>
      <c r="X292" t="s">
        <v>4310</v>
      </c>
      <c r="Y292" t="s">
        <v>3321</v>
      </c>
      <c r="Z292" t="s">
        <v>4311</v>
      </c>
      <c r="AA292" t="s">
        <v>3117</v>
      </c>
      <c r="AB292" t="s">
        <v>3511</v>
      </c>
      <c r="AC292" t="s">
        <v>2829</v>
      </c>
      <c r="AD292" t="s">
        <v>2883</v>
      </c>
      <c r="AE292" t="s">
        <v>2857</v>
      </c>
      <c r="AF292" t="s">
        <v>4312</v>
      </c>
      <c r="AG292" t="s">
        <v>4312</v>
      </c>
      <c r="AH292" t="s">
        <v>2834</v>
      </c>
      <c r="AI292" t="s">
        <v>2835</v>
      </c>
      <c r="AJ292" t="s">
        <v>3446</v>
      </c>
      <c r="AK292" t="s">
        <v>4044</v>
      </c>
      <c r="AL292" t="s">
        <v>243</v>
      </c>
      <c r="AM292" t="s">
        <v>243</v>
      </c>
      <c r="AN292" t="s">
        <v>243</v>
      </c>
      <c r="AR292" t="s">
        <v>243</v>
      </c>
      <c r="AS292" t="s">
        <v>243</v>
      </c>
      <c r="AT292" t="s">
        <v>243</v>
      </c>
      <c r="AU292" t="s">
        <v>243</v>
      </c>
      <c r="AV292" t="s">
        <v>243</v>
      </c>
      <c r="AW292" t="s">
        <v>243</v>
      </c>
      <c r="AX292" t="s">
        <v>243</v>
      </c>
      <c r="AY292" t="s">
        <v>243</v>
      </c>
      <c r="AZ292" t="s">
        <v>243</v>
      </c>
      <c r="BA292" t="s">
        <v>243</v>
      </c>
      <c r="BB292" t="s">
        <v>243</v>
      </c>
      <c r="BC292" t="s">
        <v>243</v>
      </c>
      <c r="BD292" t="s">
        <v>243</v>
      </c>
      <c r="BE292" t="s">
        <v>243</v>
      </c>
      <c r="BF292" t="s">
        <v>243</v>
      </c>
      <c r="BG292" t="s">
        <v>243</v>
      </c>
      <c r="BH292" t="s">
        <v>243</v>
      </c>
      <c r="BI292" t="s">
        <v>243</v>
      </c>
      <c r="BJ292" t="s">
        <v>243</v>
      </c>
      <c r="BK292" t="s">
        <v>243</v>
      </c>
      <c r="BL292" t="s">
        <v>243</v>
      </c>
      <c r="BM292" t="s">
        <v>243</v>
      </c>
      <c r="BN292" t="s">
        <v>243</v>
      </c>
      <c r="BO292" t="s">
        <v>243</v>
      </c>
      <c r="BP292" t="s">
        <v>243</v>
      </c>
      <c r="BQ292" t="s">
        <v>243</v>
      </c>
      <c r="BR292" t="s">
        <v>243</v>
      </c>
      <c r="BS292" t="s">
        <v>243</v>
      </c>
      <c r="BT292" t="s">
        <v>243</v>
      </c>
      <c r="BU292" t="s">
        <v>243</v>
      </c>
      <c r="BV292" t="s">
        <v>243</v>
      </c>
      <c r="BW292" t="s">
        <v>243</v>
      </c>
      <c r="BX292" t="s">
        <v>243</v>
      </c>
      <c r="BY292" t="s">
        <v>243</v>
      </c>
      <c r="BZ292" t="s">
        <v>243</v>
      </c>
      <c r="CA292" t="s">
        <v>243</v>
      </c>
      <c r="CB292" t="s">
        <v>243</v>
      </c>
      <c r="CC292" t="s">
        <v>243</v>
      </c>
      <c r="CD292" t="s">
        <v>243</v>
      </c>
      <c r="CE292" t="s">
        <v>243</v>
      </c>
      <c r="CF292" t="s">
        <v>243</v>
      </c>
      <c r="CG292" t="s">
        <v>243</v>
      </c>
      <c r="CH292" t="s">
        <v>243</v>
      </c>
      <c r="CI292" t="s">
        <v>243</v>
      </c>
      <c r="CJ292" t="s">
        <v>243</v>
      </c>
      <c r="CK292" t="s">
        <v>243</v>
      </c>
      <c r="CL292" t="s">
        <v>243</v>
      </c>
      <c r="CM292" t="s">
        <v>243</v>
      </c>
      <c r="CN292" t="s">
        <v>243</v>
      </c>
      <c r="CO292" t="s">
        <v>2843</v>
      </c>
      <c r="CP292" t="s">
        <v>2844</v>
      </c>
      <c r="CQ292" t="s">
        <v>430</v>
      </c>
      <c r="CR292" t="s">
        <v>2984</v>
      </c>
      <c r="CS292" t="s">
        <v>431</v>
      </c>
      <c r="CT292" t="s">
        <v>430</v>
      </c>
      <c r="CU292" t="s">
        <v>2985</v>
      </c>
      <c r="CV292" t="s">
        <v>2986</v>
      </c>
      <c r="CW292" t="s">
        <v>2984</v>
      </c>
      <c r="CX292" t="s">
        <v>2848</v>
      </c>
      <c r="CY292" t="s">
        <v>4313</v>
      </c>
    </row>
    <row r="293" spans="1:103" ht="11.25" customHeight="1">
      <c r="A293" t="s">
        <v>243</v>
      </c>
      <c r="B293" t="s">
        <v>243</v>
      </c>
      <c r="C293" t="s">
        <v>243</v>
      </c>
      <c r="D293" t="s">
        <v>243</v>
      </c>
      <c r="E293" t="s">
        <v>243</v>
      </c>
      <c r="F293" t="s">
        <v>2816</v>
      </c>
      <c r="G293" t="s">
        <v>243</v>
      </c>
      <c r="H293" t="s">
        <v>243</v>
      </c>
      <c r="I293" t="s">
        <v>4354</v>
      </c>
      <c r="J293" t="s">
        <v>243</v>
      </c>
      <c r="K293" t="s">
        <v>3178</v>
      </c>
      <c r="L293" t="s">
        <v>243</v>
      </c>
      <c r="M293" t="s">
        <v>114</v>
      </c>
      <c r="N293" t="s">
        <v>243</v>
      </c>
      <c r="O293" t="s">
        <v>3356</v>
      </c>
      <c r="P293" t="s">
        <v>4449</v>
      </c>
      <c r="Q293" t="s">
        <v>2821</v>
      </c>
      <c r="R293" t="s">
        <v>190</v>
      </c>
      <c r="S293" t="s">
        <v>190</v>
      </c>
      <c r="T293" t="s">
        <v>2968</v>
      </c>
      <c r="U293" t="s">
        <v>2968</v>
      </c>
      <c r="V293" t="s">
        <v>2969</v>
      </c>
      <c r="W293" t="s">
        <v>4355</v>
      </c>
      <c r="X293" t="s">
        <v>4356</v>
      </c>
      <c r="Y293" t="s">
        <v>3610</v>
      </c>
      <c r="Z293" t="s">
        <v>927</v>
      </c>
      <c r="AA293" t="s">
        <v>3058</v>
      </c>
      <c r="AB293" t="s">
        <v>3703</v>
      </c>
      <c r="AC293" t="s">
        <v>2829</v>
      </c>
      <c r="AD293" t="s">
        <v>2883</v>
      </c>
      <c r="AE293" t="s">
        <v>2857</v>
      </c>
      <c r="AF293" t="s">
        <v>4357</v>
      </c>
      <c r="AG293" t="s">
        <v>4357</v>
      </c>
      <c r="AH293" t="s">
        <v>2834</v>
      </c>
      <c r="AI293" t="s">
        <v>2835</v>
      </c>
      <c r="AJ293" t="s">
        <v>3041</v>
      </c>
      <c r="AK293" t="s">
        <v>4044</v>
      </c>
      <c r="AL293" t="s">
        <v>243</v>
      </c>
      <c r="AM293" t="s">
        <v>243</v>
      </c>
      <c r="AN293" t="s">
        <v>243</v>
      </c>
      <c r="AR293" t="s">
        <v>243</v>
      </c>
      <c r="AS293" t="s">
        <v>243</v>
      </c>
      <c r="AT293" t="s">
        <v>243</v>
      </c>
      <c r="AU293" t="s">
        <v>243</v>
      </c>
      <c r="AV293" t="s">
        <v>243</v>
      </c>
      <c r="AW293" t="s">
        <v>243</v>
      </c>
      <c r="AX293" t="s">
        <v>243</v>
      </c>
      <c r="AY293" t="s">
        <v>243</v>
      </c>
      <c r="AZ293" t="s">
        <v>243</v>
      </c>
      <c r="BA293" t="s">
        <v>243</v>
      </c>
      <c r="BB293" t="s">
        <v>243</v>
      </c>
      <c r="BC293" t="s">
        <v>243</v>
      </c>
      <c r="BD293" t="s">
        <v>243</v>
      </c>
      <c r="BE293" t="s">
        <v>243</v>
      </c>
      <c r="BF293" t="s">
        <v>243</v>
      </c>
      <c r="BG293" t="s">
        <v>243</v>
      </c>
      <c r="BH293" t="s">
        <v>243</v>
      </c>
      <c r="BI293" t="s">
        <v>243</v>
      </c>
      <c r="BJ293" t="s">
        <v>243</v>
      </c>
      <c r="BK293" t="s">
        <v>243</v>
      </c>
      <c r="BL293" t="s">
        <v>243</v>
      </c>
      <c r="BM293" t="s">
        <v>243</v>
      </c>
      <c r="BN293" t="s">
        <v>243</v>
      </c>
      <c r="BO293" t="s">
        <v>243</v>
      </c>
      <c r="BP293" t="s">
        <v>243</v>
      </c>
      <c r="BQ293" t="s">
        <v>243</v>
      </c>
      <c r="BR293" t="s">
        <v>243</v>
      </c>
      <c r="BS293" t="s">
        <v>243</v>
      </c>
      <c r="BT293" t="s">
        <v>243</v>
      </c>
      <c r="BU293" t="s">
        <v>243</v>
      </c>
      <c r="BV293" t="s">
        <v>243</v>
      </c>
      <c r="BW293" t="s">
        <v>243</v>
      </c>
      <c r="BX293" t="s">
        <v>243</v>
      </c>
      <c r="BY293" t="s">
        <v>243</v>
      </c>
      <c r="BZ293" t="s">
        <v>243</v>
      </c>
      <c r="CA293" t="s">
        <v>243</v>
      </c>
      <c r="CB293" t="s">
        <v>243</v>
      </c>
      <c r="CC293" t="s">
        <v>243</v>
      </c>
      <c r="CD293" t="s">
        <v>243</v>
      </c>
      <c r="CE293" t="s">
        <v>243</v>
      </c>
      <c r="CF293" t="s">
        <v>243</v>
      </c>
      <c r="CG293" t="s">
        <v>243</v>
      </c>
      <c r="CH293" t="s">
        <v>243</v>
      </c>
      <c r="CI293" t="s">
        <v>243</v>
      </c>
      <c r="CJ293" t="s">
        <v>243</v>
      </c>
      <c r="CK293" t="s">
        <v>243</v>
      </c>
      <c r="CL293" t="s">
        <v>243</v>
      </c>
      <c r="CM293" t="s">
        <v>243</v>
      </c>
      <c r="CN293" t="s">
        <v>243</v>
      </c>
      <c r="CO293" t="s">
        <v>2843</v>
      </c>
      <c r="CP293" t="s">
        <v>2844</v>
      </c>
      <c r="CQ293" t="s">
        <v>430</v>
      </c>
      <c r="CR293" t="s">
        <v>2984</v>
      </c>
      <c r="CS293" t="s">
        <v>431</v>
      </c>
      <c r="CT293" t="s">
        <v>430</v>
      </c>
      <c r="CU293" t="s">
        <v>2985</v>
      </c>
      <c r="CV293" t="s">
        <v>2986</v>
      </c>
      <c r="CW293" t="s">
        <v>2984</v>
      </c>
      <c r="CX293" t="s">
        <v>2848</v>
      </c>
      <c r="CY293" t="s">
        <v>4358</v>
      </c>
    </row>
    <row r="294" spans="1:103" ht="11.25" customHeight="1">
      <c r="A294" t="s">
        <v>243</v>
      </c>
      <c r="B294" t="s">
        <v>243</v>
      </c>
      <c r="C294" t="s">
        <v>243</v>
      </c>
      <c r="D294" t="s">
        <v>243</v>
      </c>
      <c r="E294" t="s">
        <v>243</v>
      </c>
      <c r="F294" t="s">
        <v>2816</v>
      </c>
      <c r="G294" t="s">
        <v>243</v>
      </c>
      <c r="H294" t="s">
        <v>243</v>
      </c>
      <c r="I294" t="s">
        <v>4429</v>
      </c>
      <c r="J294" t="s">
        <v>243</v>
      </c>
      <c r="K294" t="s">
        <v>428</v>
      </c>
      <c r="L294" t="s">
        <v>243</v>
      </c>
      <c r="M294" t="s">
        <v>114</v>
      </c>
      <c r="N294" t="s">
        <v>243</v>
      </c>
      <c r="O294" t="s">
        <v>2819</v>
      </c>
      <c r="P294" t="s">
        <v>4449</v>
      </c>
      <c r="Q294" t="s">
        <v>2821</v>
      </c>
      <c r="R294" t="s">
        <v>200</v>
      </c>
      <c r="S294" t="s">
        <v>200</v>
      </c>
      <c r="T294" t="s">
        <v>3022</v>
      </c>
      <c r="U294" t="s">
        <v>3022</v>
      </c>
      <c r="V294" t="s">
        <v>3023</v>
      </c>
      <c r="W294" t="s">
        <v>3431</v>
      </c>
      <c r="X294" t="s">
        <v>3432</v>
      </c>
      <c r="Y294" t="s">
        <v>4430</v>
      </c>
      <c r="Z294" t="s">
        <v>4431</v>
      </c>
      <c r="AA294" t="s">
        <v>4432</v>
      </c>
      <c r="AB294" t="s">
        <v>4433</v>
      </c>
      <c r="AC294" t="s">
        <v>2829</v>
      </c>
      <c r="AD294" t="s">
        <v>2883</v>
      </c>
      <c r="AE294" t="s">
        <v>2831</v>
      </c>
      <c r="AF294" t="s">
        <v>4434</v>
      </c>
      <c r="AG294" t="s">
        <v>4434</v>
      </c>
      <c r="AH294" t="s">
        <v>2834</v>
      </c>
      <c r="AI294" t="s">
        <v>2835</v>
      </c>
      <c r="AJ294" t="s">
        <v>2997</v>
      </c>
      <c r="AK294" t="s">
        <v>4435</v>
      </c>
      <c r="AL294" t="s">
        <v>4432</v>
      </c>
      <c r="AM294" t="s">
        <v>4433</v>
      </c>
      <c r="AN294" t="s">
        <v>2829</v>
      </c>
      <c r="AO294" t="s">
        <v>2839</v>
      </c>
      <c r="AP294" t="s">
        <v>2840</v>
      </c>
      <c r="AQ294" t="s">
        <v>2841</v>
      </c>
      <c r="AR294" t="s">
        <v>4436</v>
      </c>
      <c r="AS294" t="s">
        <v>4437</v>
      </c>
      <c r="AT294" t="s">
        <v>3659</v>
      </c>
      <c r="AU294" t="s">
        <v>2829</v>
      </c>
      <c r="AV294" t="s">
        <v>2829</v>
      </c>
      <c r="AW294" t="s">
        <v>2829</v>
      </c>
      <c r="AX294" t="s">
        <v>2829</v>
      </c>
      <c r="AY294" t="s">
        <v>2829</v>
      </c>
      <c r="AZ294" t="s">
        <v>2829</v>
      </c>
      <c r="BA294" t="s">
        <v>2829</v>
      </c>
      <c r="BB294" t="s">
        <v>2829</v>
      </c>
      <c r="BC294" t="s">
        <v>2829</v>
      </c>
      <c r="BD294" t="s">
        <v>4438</v>
      </c>
      <c r="BE294" t="s">
        <v>4439</v>
      </c>
      <c r="BF294" t="s">
        <v>3142</v>
      </c>
      <c r="BG294" t="s">
        <v>243</v>
      </c>
      <c r="BH294" t="s">
        <v>243</v>
      </c>
      <c r="BI294" t="s">
        <v>243</v>
      </c>
      <c r="BJ294" t="s">
        <v>2829</v>
      </c>
      <c r="BK294" t="s">
        <v>243</v>
      </c>
      <c r="BL294" t="s">
        <v>243</v>
      </c>
      <c r="BM294" t="s">
        <v>243</v>
      </c>
      <c r="BN294" t="s">
        <v>243</v>
      </c>
      <c r="BO294" t="s">
        <v>243</v>
      </c>
      <c r="BP294" t="s">
        <v>4440</v>
      </c>
      <c r="BQ294" t="s">
        <v>2939</v>
      </c>
      <c r="BR294" t="s">
        <v>3332</v>
      </c>
      <c r="BS294" t="s">
        <v>243</v>
      </c>
      <c r="BT294" t="s">
        <v>243</v>
      </c>
      <c r="BU294" t="s">
        <v>243</v>
      </c>
      <c r="BV294" t="s">
        <v>2829</v>
      </c>
      <c r="BW294" t="s">
        <v>243</v>
      </c>
      <c r="BX294" t="s">
        <v>243</v>
      </c>
      <c r="BY294" t="s">
        <v>243</v>
      </c>
      <c r="BZ294" t="s">
        <v>243</v>
      </c>
      <c r="CA294" t="s">
        <v>243</v>
      </c>
      <c r="CB294" t="s">
        <v>4441</v>
      </c>
      <c r="CC294" t="s">
        <v>4441</v>
      </c>
      <c r="CD294" t="s">
        <v>243</v>
      </c>
      <c r="CE294" t="s">
        <v>243</v>
      </c>
      <c r="CF294" t="s">
        <v>243</v>
      </c>
      <c r="CG294" t="s">
        <v>243</v>
      </c>
      <c r="CH294" t="s">
        <v>2829</v>
      </c>
      <c r="CI294" t="s">
        <v>243</v>
      </c>
      <c r="CJ294" t="s">
        <v>243</v>
      </c>
      <c r="CK294" t="s">
        <v>243</v>
      </c>
      <c r="CL294" t="s">
        <v>243</v>
      </c>
      <c r="CM294" t="s">
        <v>243</v>
      </c>
      <c r="CN294" t="s">
        <v>3030</v>
      </c>
      <c r="CO294" t="s">
        <v>2843</v>
      </c>
      <c r="CP294" t="s">
        <v>2844</v>
      </c>
      <c r="CQ294" t="s">
        <v>430</v>
      </c>
      <c r="CR294" t="s">
        <v>3033</v>
      </c>
      <c r="CS294" t="s">
        <v>431</v>
      </c>
      <c r="CT294" t="s">
        <v>430</v>
      </c>
      <c r="CU294" t="s">
        <v>3034</v>
      </c>
      <c r="CV294" t="s">
        <v>432</v>
      </c>
      <c r="CW294" t="s">
        <v>3033</v>
      </c>
      <c r="CX294" t="s">
        <v>2848</v>
      </c>
      <c r="CY294" t="s">
        <v>4442</v>
      </c>
    </row>
    <row r="295" spans="1:103" ht="11.25" customHeight="1">
      <c r="A295" t="s">
        <v>243</v>
      </c>
      <c r="B295" t="s">
        <v>243</v>
      </c>
      <c r="C295" t="s">
        <v>243</v>
      </c>
      <c r="D295" t="s">
        <v>243</v>
      </c>
      <c r="E295" t="s">
        <v>243</v>
      </c>
      <c r="F295" t="s">
        <v>2816</v>
      </c>
      <c r="G295" t="s">
        <v>243</v>
      </c>
      <c r="H295" t="s">
        <v>243</v>
      </c>
      <c r="I295" t="s">
        <v>3459</v>
      </c>
      <c r="J295" t="s">
        <v>243</v>
      </c>
      <c r="K295" t="s">
        <v>3460</v>
      </c>
      <c r="L295" t="s">
        <v>243</v>
      </c>
      <c r="M295" t="s">
        <v>114</v>
      </c>
      <c r="N295" t="s">
        <v>243</v>
      </c>
      <c r="O295" t="s">
        <v>2819</v>
      </c>
      <c r="P295" t="s">
        <v>4449</v>
      </c>
      <c r="Q295" t="s">
        <v>2821</v>
      </c>
      <c r="R295" t="s">
        <v>200</v>
      </c>
      <c r="S295" t="s">
        <v>200</v>
      </c>
      <c r="T295" t="s">
        <v>3022</v>
      </c>
      <c r="U295" t="s">
        <v>3022</v>
      </c>
      <c r="V295" t="s">
        <v>3023</v>
      </c>
      <c r="W295" t="s">
        <v>3461</v>
      </c>
      <c r="X295" t="s">
        <v>3462</v>
      </c>
      <c r="Y295" t="s">
        <v>3463</v>
      </c>
      <c r="Z295" t="s">
        <v>902</v>
      </c>
      <c r="AA295" t="s">
        <v>3059</v>
      </c>
      <c r="AB295" t="s">
        <v>3464</v>
      </c>
      <c r="AC295" t="s">
        <v>2829</v>
      </c>
      <c r="AD295" t="s">
        <v>2883</v>
      </c>
      <c r="AE295" t="s">
        <v>2831</v>
      </c>
      <c r="AF295" t="s">
        <v>3465</v>
      </c>
      <c r="AG295" t="s">
        <v>3465</v>
      </c>
      <c r="AH295" t="s">
        <v>2834</v>
      </c>
      <c r="AI295" t="s">
        <v>2835</v>
      </c>
      <c r="AJ295" t="s">
        <v>3030</v>
      </c>
      <c r="AK295" t="s">
        <v>3466</v>
      </c>
      <c r="AL295" t="s">
        <v>3059</v>
      </c>
      <c r="AM295" t="s">
        <v>3464</v>
      </c>
      <c r="AN295" t="s">
        <v>2829</v>
      </c>
      <c r="AO295" t="s">
        <v>2839</v>
      </c>
      <c r="AP295" t="s">
        <v>2840</v>
      </c>
      <c r="AQ295" t="s">
        <v>2841</v>
      </c>
      <c r="AR295" t="s">
        <v>3467</v>
      </c>
      <c r="AS295" t="s">
        <v>3467</v>
      </c>
      <c r="AT295" t="s">
        <v>2829</v>
      </c>
      <c r="AU295" t="s">
        <v>2829</v>
      </c>
      <c r="AV295" t="s">
        <v>2829</v>
      </c>
      <c r="AW295" t="s">
        <v>2829</v>
      </c>
      <c r="AX295" t="s">
        <v>2829</v>
      </c>
      <c r="AY295" t="s">
        <v>2829</v>
      </c>
      <c r="AZ295" t="s">
        <v>2829</v>
      </c>
      <c r="BA295" t="s">
        <v>2829</v>
      </c>
      <c r="BB295" t="s">
        <v>2829</v>
      </c>
      <c r="BC295" t="s">
        <v>2829</v>
      </c>
      <c r="BD295" t="s">
        <v>2829</v>
      </c>
      <c r="BE295" t="s">
        <v>243</v>
      </c>
      <c r="BF295" t="s">
        <v>243</v>
      </c>
      <c r="BG295" t="s">
        <v>243</v>
      </c>
      <c r="BH295" t="s">
        <v>243</v>
      </c>
      <c r="BI295" t="s">
        <v>243</v>
      </c>
      <c r="BJ295" t="s">
        <v>2829</v>
      </c>
      <c r="BK295" t="s">
        <v>243</v>
      </c>
      <c r="BL295" t="s">
        <v>243</v>
      </c>
      <c r="BM295" t="s">
        <v>243</v>
      </c>
      <c r="BN295" t="s">
        <v>243</v>
      </c>
      <c r="BO295" t="s">
        <v>243</v>
      </c>
      <c r="BP295" t="s">
        <v>3467</v>
      </c>
      <c r="BQ295" t="s">
        <v>3467</v>
      </c>
      <c r="BR295" t="s">
        <v>243</v>
      </c>
      <c r="BS295" t="s">
        <v>243</v>
      </c>
      <c r="BT295" t="s">
        <v>243</v>
      </c>
      <c r="BU295" t="s">
        <v>243</v>
      </c>
      <c r="BV295" t="s">
        <v>2829</v>
      </c>
      <c r="BW295" t="s">
        <v>243</v>
      </c>
      <c r="BX295" t="s">
        <v>243</v>
      </c>
      <c r="BY295" t="s">
        <v>243</v>
      </c>
      <c r="BZ295" t="s">
        <v>243</v>
      </c>
      <c r="CA295" t="s">
        <v>243</v>
      </c>
      <c r="CB295" t="s">
        <v>2829</v>
      </c>
      <c r="CC295" t="s">
        <v>243</v>
      </c>
      <c r="CD295" t="s">
        <v>243</v>
      </c>
      <c r="CE295" t="s">
        <v>243</v>
      </c>
      <c r="CF295" t="s">
        <v>243</v>
      </c>
      <c r="CG295" t="s">
        <v>243</v>
      </c>
      <c r="CH295" t="s">
        <v>2829</v>
      </c>
      <c r="CI295" t="s">
        <v>243</v>
      </c>
      <c r="CJ295" t="s">
        <v>243</v>
      </c>
      <c r="CK295" t="s">
        <v>243</v>
      </c>
      <c r="CL295" t="s">
        <v>243</v>
      </c>
      <c r="CM295" t="s">
        <v>243</v>
      </c>
      <c r="CN295" t="s">
        <v>3041</v>
      </c>
      <c r="CO295" t="s">
        <v>2843</v>
      </c>
      <c r="CP295" t="s">
        <v>2844</v>
      </c>
      <c r="CQ295" t="s">
        <v>430</v>
      </c>
      <c r="CR295" t="s">
        <v>3033</v>
      </c>
      <c r="CS295" t="s">
        <v>431</v>
      </c>
      <c r="CT295" t="s">
        <v>430</v>
      </c>
      <c r="CU295" t="s">
        <v>3034</v>
      </c>
      <c r="CV295" t="s">
        <v>432</v>
      </c>
      <c r="CW295" t="s">
        <v>3033</v>
      </c>
      <c r="CX295" t="s">
        <v>2848</v>
      </c>
      <c r="CY295" t="s">
        <v>3468</v>
      </c>
    </row>
    <row r="296" spans="1:103" ht="11.25" customHeight="1">
      <c r="A296" t="s">
        <v>243</v>
      </c>
      <c r="B296" t="s">
        <v>243</v>
      </c>
      <c r="C296" t="s">
        <v>243</v>
      </c>
      <c r="D296" t="s">
        <v>243</v>
      </c>
      <c r="E296" t="s">
        <v>243</v>
      </c>
      <c r="F296" t="s">
        <v>2816</v>
      </c>
      <c r="G296" t="s">
        <v>243</v>
      </c>
      <c r="H296" t="s">
        <v>243</v>
      </c>
      <c r="I296" t="s">
        <v>1763</v>
      </c>
      <c r="J296" t="s">
        <v>243</v>
      </c>
      <c r="K296" t="s">
        <v>3210</v>
      </c>
      <c r="L296" t="s">
        <v>243</v>
      </c>
      <c r="M296" t="s">
        <v>114</v>
      </c>
      <c r="N296" t="s">
        <v>243</v>
      </c>
      <c r="O296" t="s">
        <v>2819</v>
      </c>
      <c r="P296" t="s">
        <v>4449</v>
      </c>
      <c r="Q296" t="s">
        <v>2821</v>
      </c>
      <c r="R296" t="s">
        <v>200</v>
      </c>
      <c r="S296" t="s">
        <v>200</v>
      </c>
      <c r="T296" t="s">
        <v>2822</v>
      </c>
      <c r="U296" t="s">
        <v>2822</v>
      </c>
      <c r="V296" t="s">
        <v>2823</v>
      </c>
      <c r="W296" t="s">
        <v>2952</v>
      </c>
      <c r="X296" t="s">
        <v>2953</v>
      </c>
      <c r="Y296" t="s">
        <v>3104</v>
      </c>
      <c r="Z296" t="s">
        <v>3259</v>
      </c>
      <c r="AA296" t="s">
        <v>3260</v>
      </c>
      <c r="AB296" t="s">
        <v>3261</v>
      </c>
      <c r="AC296" t="s">
        <v>2829</v>
      </c>
      <c r="AD296" t="s">
        <v>2830</v>
      </c>
      <c r="AE296" t="s">
        <v>2831</v>
      </c>
      <c r="AF296" t="s">
        <v>3262</v>
      </c>
      <c r="AG296" t="s">
        <v>3263</v>
      </c>
      <c r="AH296" t="s">
        <v>2834</v>
      </c>
      <c r="AI296" t="s">
        <v>2835</v>
      </c>
      <c r="AJ296" t="s">
        <v>2960</v>
      </c>
      <c r="AK296" t="s">
        <v>3264</v>
      </c>
      <c r="AL296" t="s">
        <v>3265</v>
      </c>
      <c r="AM296" t="s">
        <v>3266</v>
      </c>
      <c r="AN296" t="s">
        <v>2829</v>
      </c>
      <c r="AO296" t="s">
        <v>2839</v>
      </c>
      <c r="AP296" t="s">
        <v>2840</v>
      </c>
      <c r="AQ296" t="s">
        <v>2841</v>
      </c>
      <c r="AR296" t="s">
        <v>3267</v>
      </c>
      <c r="AS296" t="s">
        <v>3267</v>
      </c>
      <c r="AT296" t="s">
        <v>2829</v>
      </c>
      <c r="AU296" t="s">
        <v>2829</v>
      </c>
      <c r="AV296" t="s">
        <v>2829</v>
      </c>
      <c r="AW296" t="s">
        <v>2829</v>
      </c>
      <c r="AX296" t="s">
        <v>2829</v>
      </c>
      <c r="AY296" t="s">
        <v>2829</v>
      </c>
      <c r="AZ296" t="s">
        <v>2829</v>
      </c>
      <c r="BA296" t="s">
        <v>2829</v>
      </c>
      <c r="BB296" t="s">
        <v>2829</v>
      </c>
      <c r="BC296" t="s">
        <v>2829</v>
      </c>
      <c r="BD296" t="s">
        <v>2829</v>
      </c>
      <c r="BE296" t="s">
        <v>243</v>
      </c>
      <c r="BF296" t="s">
        <v>243</v>
      </c>
      <c r="BG296" t="s">
        <v>243</v>
      </c>
      <c r="BH296" t="s">
        <v>243</v>
      </c>
      <c r="BI296" t="s">
        <v>243</v>
      </c>
      <c r="BJ296" t="s">
        <v>2829</v>
      </c>
      <c r="BK296" t="s">
        <v>243</v>
      </c>
      <c r="BL296" t="s">
        <v>243</v>
      </c>
      <c r="BM296" t="s">
        <v>243</v>
      </c>
      <c r="BN296" t="s">
        <v>243</v>
      </c>
      <c r="BO296" t="s">
        <v>243</v>
      </c>
      <c r="BP296" t="s">
        <v>3267</v>
      </c>
      <c r="BQ296" t="s">
        <v>3267</v>
      </c>
      <c r="BR296" t="s">
        <v>243</v>
      </c>
      <c r="BS296" t="s">
        <v>243</v>
      </c>
      <c r="BT296" t="s">
        <v>243</v>
      </c>
      <c r="BU296" t="s">
        <v>243</v>
      </c>
      <c r="BV296" t="s">
        <v>2829</v>
      </c>
      <c r="BW296" t="s">
        <v>243</v>
      </c>
      <c r="BX296" t="s">
        <v>243</v>
      </c>
      <c r="BY296" t="s">
        <v>243</v>
      </c>
      <c r="BZ296" t="s">
        <v>243</v>
      </c>
      <c r="CA296" t="s">
        <v>243</v>
      </c>
      <c r="CB296" t="s">
        <v>2829</v>
      </c>
      <c r="CC296" t="s">
        <v>243</v>
      </c>
      <c r="CD296" t="s">
        <v>243</v>
      </c>
      <c r="CE296" t="s">
        <v>243</v>
      </c>
      <c r="CF296" t="s">
        <v>243</v>
      </c>
      <c r="CG296" t="s">
        <v>243</v>
      </c>
      <c r="CH296" t="s">
        <v>2829</v>
      </c>
      <c r="CI296" t="s">
        <v>243</v>
      </c>
      <c r="CJ296" t="s">
        <v>243</v>
      </c>
      <c r="CK296" t="s">
        <v>243</v>
      </c>
      <c r="CL296" t="s">
        <v>243</v>
      </c>
      <c r="CM296" t="s">
        <v>243</v>
      </c>
      <c r="CN296" t="s">
        <v>2960</v>
      </c>
      <c r="CO296" t="s">
        <v>2843</v>
      </c>
      <c r="CP296" t="s">
        <v>2844</v>
      </c>
      <c r="CQ296" t="s">
        <v>430</v>
      </c>
      <c r="CR296" t="s">
        <v>2845</v>
      </c>
      <c r="CS296" t="s">
        <v>431</v>
      </c>
      <c r="CT296" t="s">
        <v>430</v>
      </c>
      <c r="CU296" t="s">
        <v>2846</v>
      </c>
      <c r="CV296" t="s">
        <v>2847</v>
      </c>
      <c r="CW296" t="s">
        <v>2845</v>
      </c>
      <c r="CX296" t="s">
        <v>2848</v>
      </c>
      <c r="CY296" t="s">
        <v>3268</v>
      </c>
    </row>
    <row r="297" spans="1:103" ht="11.25" customHeight="1">
      <c r="A297" t="s">
        <v>243</v>
      </c>
      <c r="B297" t="s">
        <v>243</v>
      </c>
      <c r="C297" t="s">
        <v>243</v>
      </c>
      <c r="D297" t="s">
        <v>243</v>
      </c>
      <c r="E297" t="s">
        <v>243</v>
      </c>
      <c r="F297" t="s">
        <v>2816</v>
      </c>
      <c r="G297" t="s">
        <v>243</v>
      </c>
      <c r="H297" t="s">
        <v>243</v>
      </c>
      <c r="I297" t="s">
        <v>3322</v>
      </c>
      <c r="J297" t="s">
        <v>243</v>
      </c>
      <c r="K297" t="s">
        <v>461</v>
      </c>
      <c r="L297" t="s">
        <v>243</v>
      </c>
      <c r="M297" t="s">
        <v>114</v>
      </c>
      <c r="N297" t="s">
        <v>243</v>
      </c>
      <c r="O297" t="s">
        <v>2819</v>
      </c>
      <c r="P297" t="s">
        <v>4449</v>
      </c>
      <c r="Q297" t="s">
        <v>2821</v>
      </c>
      <c r="R297" t="s">
        <v>200</v>
      </c>
      <c r="S297" t="s">
        <v>200</v>
      </c>
      <c r="T297" t="s">
        <v>405</v>
      </c>
      <c r="U297" t="s">
        <v>405</v>
      </c>
      <c r="V297" t="s">
        <v>406</v>
      </c>
      <c r="W297" t="s">
        <v>3155</v>
      </c>
      <c r="X297" t="s">
        <v>3156</v>
      </c>
      <c r="Y297" t="s">
        <v>3536</v>
      </c>
      <c r="Z297" t="s">
        <v>3537</v>
      </c>
      <c r="AA297" t="s">
        <v>3094</v>
      </c>
      <c r="AB297" t="s">
        <v>3183</v>
      </c>
      <c r="AC297" t="s">
        <v>243</v>
      </c>
      <c r="AD297" t="s">
        <v>2883</v>
      </c>
      <c r="AE297" t="s">
        <v>2831</v>
      </c>
      <c r="AF297" t="s">
        <v>3401</v>
      </c>
      <c r="AG297" t="s">
        <v>3401</v>
      </c>
      <c r="AH297" t="s">
        <v>2834</v>
      </c>
      <c r="AI297" t="s">
        <v>2835</v>
      </c>
      <c r="AJ297" t="s">
        <v>2888</v>
      </c>
      <c r="AK297" t="s">
        <v>3450</v>
      </c>
      <c r="AL297" t="s">
        <v>3094</v>
      </c>
      <c r="AM297" t="s">
        <v>3183</v>
      </c>
      <c r="AN297" t="s">
        <v>243</v>
      </c>
      <c r="AO297" t="s">
        <v>2839</v>
      </c>
      <c r="AP297" t="s">
        <v>2840</v>
      </c>
      <c r="AQ297" t="s">
        <v>2841</v>
      </c>
      <c r="AR297" t="s">
        <v>3538</v>
      </c>
      <c r="AS297" t="s">
        <v>3538</v>
      </c>
      <c r="AT297" t="s">
        <v>2829</v>
      </c>
      <c r="AU297" t="s">
        <v>2829</v>
      </c>
      <c r="AV297" t="s">
        <v>2829</v>
      </c>
      <c r="AW297" t="s">
        <v>2829</v>
      </c>
      <c r="AX297" t="s">
        <v>2829</v>
      </c>
      <c r="AY297" t="s">
        <v>2829</v>
      </c>
      <c r="AZ297" t="s">
        <v>2829</v>
      </c>
      <c r="BA297" t="s">
        <v>2829</v>
      </c>
      <c r="BB297" t="s">
        <v>2829</v>
      </c>
      <c r="BC297" t="s">
        <v>2829</v>
      </c>
      <c r="BD297" t="s">
        <v>3538</v>
      </c>
      <c r="BE297" t="s">
        <v>3538</v>
      </c>
      <c r="BF297" t="s">
        <v>243</v>
      </c>
      <c r="BG297" t="s">
        <v>243</v>
      </c>
      <c r="BH297" t="s">
        <v>243</v>
      </c>
      <c r="BI297" t="s">
        <v>243</v>
      </c>
      <c r="BJ297" t="s">
        <v>2829</v>
      </c>
      <c r="BK297" t="s">
        <v>243</v>
      </c>
      <c r="BL297" t="s">
        <v>243</v>
      </c>
      <c r="BM297" t="s">
        <v>243</v>
      </c>
      <c r="BN297" t="s">
        <v>243</v>
      </c>
      <c r="BO297" t="s">
        <v>243</v>
      </c>
      <c r="BP297" t="s">
        <v>2829</v>
      </c>
      <c r="BQ297" t="s">
        <v>243</v>
      </c>
      <c r="BR297" t="s">
        <v>243</v>
      </c>
      <c r="BS297" t="s">
        <v>243</v>
      </c>
      <c r="BT297" t="s">
        <v>243</v>
      </c>
      <c r="BU297" t="s">
        <v>243</v>
      </c>
      <c r="BV297" t="s">
        <v>2829</v>
      </c>
      <c r="BW297" t="s">
        <v>243</v>
      </c>
      <c r="BX297" t="s">
        <v>243</v>
      </c>
      <c r="BY297" t="s">
        <v>243</v>
      </c>
      <c r="BZ297" t="s">
        <v>243</v>
      </c>
      <c r="CA297" t="s">
        <v>243</v>
      </c>
      <c r="CB297" t="s">
        <v>2829</v>
      </c>
      <c r="CC297" t="s">
        <v>243</v>
      </c>
      <c r="CD297" t="s">
        <v>243</v>
      </c>
      <c r="CE297" t="s">
        <v>243</v>
      </c>
      <c r="CF297" t="s">
        <v>243</v>
      </c>
      <c r="CG297" t="s">
        <v>243</v>
      </c>
      <c r="CH297" t="s">
        <v>2829</v>
      </c>
      <c r="CI297" t="s">
        <v>243</v>
      </c>
      <c r="CJ297" t="s">
        <v>243</v>
      </c>
      <c r="CK297" t="s">
        <v>243</v>
      </c>
      <c r="CL297" t="s">
        <v>243</v>
      </c>
      <c r="CM297" t="s">
        <v>243</v>
      </c>
      <c r="CN297" t="s">
        <v>2888</v>
      </c>
      <c r="CO297" t="s">
        <v>2843</v>
      </c>
      <c r="CP297" t="s">
        <v>2844</v>
      </c>
      <c r="CQ297" t="s">
        <v>430</v>
      </c>
      <c r="CR297" t="s">
        <v>2872</v>
      </c>
      <c r="CS297" t="s">
        <v>431</v>
      </c>
      <c r="CT297" t="s">
        <v>430</v>
      </c>
      <c r="CU297" t="s">
        <v>444</v>
      </c>
      <c r="CV297" t="s">
        <v>445</v>
      </c>
      <c r="CW297" t="s">
        <v>2872</v>
      </c>
      <c r="CX297" t="s">
        <v>2848</v>
      </c>
      <c r="CY297" t="s">
        <v>462</v>
      </c>
    </row>
    <row r="298" spans="1:103" ht="11.25" customHeight="1">
      <c r="A298" t="s">
        <v>243</v>
      </c>
      <c r="B298" t="s">
        <v>243</v>
      </c>
      <c r="C298" t="s">
        <v>243</v>
      </c>
      <c r="D298" t="s">
        <v>243</v>
      </c>
      <c r="E298" t="s">
        <v>243</v>
      </c>
      <c r="F298" t="s">
        <v>2816</v>
      </c>
      <c r="G298" t="s">
        <v>243</v>
      </c>
      <c r="H298" t="s">
        <v>243</v>
      </c>
      <c r="I298" t="s">
        <v>1807</v>
      </c>
      <c r="J298" t="s">
        <v>243</v>
      </c>
      <c r="K298" t="s">
        <v>452</v>
      </c>
      <c r="L298" t="s">
        <v>243</v>
      </c>
      <c r="M298" t="s">
        <v>114</v>
      </c>
      <c r="N298" t="s">
        <v>243</v>
      </c>
      <c r="O298" t="s">
        <v>2819</v>
      </c>
      <c r="P298" t="s">
        <v>4449</v>
      </c>
      <c r="Q298" t="s">
        <v>2821</v>
      </c>
      <c r="R298" t="s">
        <v>200</v>
      </c>
      <c r="S298" t="s">
        <v>200</v>
      </c>
      <c r="T298" t="s">
        <v>2822</v>
      </c>
      <c r="U298" t="s">
        <v>2822</v>
      </c>
      <c r="V298" t="s">
        <v>2823</v>
      </c>
      <c r="W298" t="s">
        <v>2952</v>
      </c>
      <c r="X298" t="s">
        <v>2953</v>
      </c>
      <c r="Y298" t="s">
        <v>3741</v>
      </c>
      <c r="Z298" t="s">
        <v>3742</v>
      </c>
      <c r="AA298" t="s">
        <v>3066</v>
      </c>
      <c r="AB298" t="s">
        <v>3743</v>
      </c>
      <c r="AC298" t="s">
        <v>2829</v>
      </c>
      <c r="AD298" t="s">
        <v>2830</v>
      </c>
      <c r="AE298" t="s">
        <v>2831</v>
      </c>
      <c r="AF298" t="s">
        <v>3744</v>
      </c>
      <c r="AG298" t="s">
        <v>3745</v>
      </c>
      <c r="AH298" t="s">
        <v>2834</v>
      </c>
      <c r="AI298" t="s">
        <v>2835</v>
      </c>
      <c r="AJ298" t="s">
        <v>2960</v>
      </c>
      <c r="AK298" t="s">
        <v>3070</v>
      </c>
      <c r="AL298" t="s">
        <v>3746</v>
      </c>
      <c r="AM298" t="s">
        <v>3117</v>
      </c>
      <c r="AN298" t="s">
        <v>2829</v>
      </c>
      <c r="AO298" t="s">
        <v>2839</v>
      </c>
      <c r="AP298" t="s">
        <v>2840</v>
      </c>
      <c r="AQ298" t="s">
        <v>2841</v>
      </c>
      <c r="AR298" t="s">
        <v>3625</v>
      </c>
      <c r="AS298" t="s">
        <v>3625</v>
      </c>
      <c r="AT298" t="s">
        <v>2829</v>
      </c>
      <c r="AU298" t="s">
        <v>2829</v>
      </c>
      <c r="AV298" t="s">
        <v>2829</v>
      </c>
      <c r="AW298" t="s">
        <v>2829</v>
      </c>
      <c r="AX298" t="s">
        <v>2829</v>
      </c>
      <c r="AY298" t="s">
        <v>2829</v>
      </c>
      <c r="AZ298" t="s">
        <v>2829</v>
      </c>
      <c r="BA298" t="s">
        <v>2829</v>
      </c>
      <c r="BB298" t="s">
        <v>2829</v>
      </c>
      <c r="BC298" t="s">
        <v>2829</v>
      </c>
      <c r="BD298" t="s">
        <v>3731</v>
      </c>
      <c r="BE298" t="s">
        <v>3731</v>
      </c>
      <c r="BF298" t="s">
        <v>243</v>
      </c>
      <c r="BG298" t="s">
        <v>243</v>
      </c>
      <c r="BH298" t="s">
        <v>243</v>
      </c>
      <c r="BI298" t="s">
        <v>243</v>
      </c>
      <c r="BJ298" t="s">
        <v>2829</v>
      </c>
      <c r="BK298" t="s">
        <v>243</v>
      </c>
      <c r="BL298" t="s">
        <v>243</v>
      </c>
      <c r="BM298" t="s">
        <v>243</v>
      </c>
      <c r="BN298" t="s">
        <v>243</v>
      </c>
      <c r="BO298" t="s">
        <v>243</v>
      </c>
      <c r="BP298" t="s">
        <v>3731</v>
      </c>
      <c r="BQ298" t="s">
        <v>3731</v>
      </c>
      <c r="BR298" t="s">
        <v>243</v>
      </c>
      <c r="BS298" t="s">
        <v>243</v>
      </c>
      <c r="BT298" t="s">
        <v>243</v>
      </c>
      <c r="BU298" t="s">
        <v>243</v>
      </c>
      <c r="BV298" t="s">
        <v>2829</v>
      </c>
      <c r="BW298" t="s">
        <v>243</v>
      </c>
      <c r="BX298" t="s">
        <v>243</v>
      </c>
      <c r="BY298" t="s">
        <v>243</v>
      </c>
      <c r="BZ298" t="s">
        <v>243</v>
      </c>
      <c r="CA298" t="s">
        <v>243</v>
      </c>
      <c r="CB298" t="s">
        <v>2829</v>
      </c>
      <c r="CC298" t="s">
        <v>243</v>
      </c>
      <c r="CD298" t="s">
        <v>243</v>
      </c>
      <c r="CE298" t="s">
        <v>243</v>
      </c>
      <c r="CF298" t="s">
        <v>243</v>
      </c>
      <c r="CG298" t="s">
        <v>243</v>
      </c>
      <c r="CH298" t="s">
        <v>2829</v>
      </c>
      <c r="CI298" t="s">
        <v>243</v>
      </c>
      <c r="CJ298" t="s">
        <v>243</v>
      </c>
      <c r="CK298" t="s">
        <v>243</v>
      </c>
      <c r="CL298" t="s">
        <v>243</v>
      </c>
      <c r="CM298" t="s">
        <v>243</v>
      </c>
      <c r="CN298" t="s">
        <v>2960</v>
      </c>
      <c r="CO298" t="s">
        <v>2843</v>
      </c>
      <c r="CP298" t="s">
        <v>2844</v>
      </c>
      <c r="CQ298" t="s">
        <v>430</v>
      </c>
      <c r="CR298" t="s">
        <v>2845</v>
      </c>
      <c r="CS298" t="s">
        <v>431</v>
      </c>
      <c r="CT298" t="s">
        <v>430</v>
      </c>
      <c r="CU298" t="s">
        <v>2846</v>
      </c>
      <c r="CV298" t="s">
        <v>2847</v>
      </c>
      <c r="CW298" t="s">
        <v>2845</v>
      </c>
      <c r="CX298" t="s">
        <v>2848</v>
      </c>
      <c r="CY298" t="s">
        <v>3747</v>
      </c>
    </row>
    <row r="299" spans="1:103" ht="11.25" customHeight="1">
      <c r="A299" t="s">
        <v>243</v>
      </c>
      <c r="B299" t="s">
        <v>243</v>
      </c>
      <c r="C299" t="s">
        <v>243</v>
      </c>
      <c r="D299" t="s">
        <v>243</v>
      </c>
      <c r="E299" t="s">
        <v>243</v>
      </c>
      <c r="F299" t="s">
        <v>2816</v>
      </c>
      <c r="G299" t="s">
        <v>243</v>
      </c>
      <c r="H299" t="s">
        <v>243</v>
      </c>
      <c r="I299" t="s">
        <v>3755</v>
      </c>
      <c r="J299" t="s">
        <v>243</v>
      </c>
      <c r="K299" t="s">
        <v>3178</v>
      </c>
      <c r="L299" t="s">
        <v>243</v>
      </c>
      <c r="M299" t="s">
        <v>114</v>
      </c>
      <c r="N299" t="s">
        <v>243</v>
      </c>
      <c r="O299" t="s">
        <v>2819</v>
      </c>
      <c r="P299" t="s">
        <v>4449</v>
      </c>
      <c r="Q299" t="s">
        <v>2821</v>
      </c>
      <c r="R299" t="s">
        <v>200</v>
      </c>
      <c r="S299" t="s">
        <v>200</v>
      </c>
      <c r="T299" t="s">
        <v>3048</v>
      </c>
      <c r="U299" t="s">
        <v>3048</v>
      </c>
      <c r="V299" t="s">
        <v>3049</v>
      </c>
      <c r="W299" t="s">
        <v>3756</v>
      </c>
      <c r="X299" t="s">
        <v>3757</v>
      </c>
      <c r="Y299" t="s">
        <v>2918</v>
      </c>
      <c r="Z299" t="s">
        <v>2846</v>
      </c>
      <c r="AA299" t="s">
        <v>3758</v>
      </c>
      <c r="AB299" t="s">
        <v>3759</v>
      </c>
      <c r="AC299" t="s">
        <v>2829</v>
      </c>
      <c r="AD299" t="s">
        <v>2883</v>
      </c>
      <c r="AE299" t="s">
        <v>2831</v>
      </c>
      <c r="AF299" t="s">
        <v>3055</v>
      </c>
      <c r="AG299" t="s">
        <v>3055</v>
      </c>
      <c r="AH299" t="s">
        <v>2834</v>
      </c>
      <c r="AI299" t="s">
        <v>2835</v>
      </c>
      <c r="AJ299" t="s">
        <v>3184</v>
      </c>
      <c r="AK299" t="s">
        <v>3760</v>
      </c>
      <c r="AL299" t="s">
        <v>3758</v>
      </c>
      <c r="AM299" t="s">
        <v>3759</v>
      </c>
      <c r="AN299" t="s">
        <v>2829</v>
      </c>
      <c r="AO299" t="s">
        <v>2839</v>
      </c>
      <c r="AP299" t="s">
        <v>2840</v>
      </c>
      <c r="AQ299" t="s">
        <v>2841</v>
      </c>
      <c r="AR299" t="s">
        <v>3761</v>
      </c>
      <c r="AS299" t="s">
        <v>3761</v>
      </c>
      <c r="AT299" t="s">
        <v>2829</v>
      </c>
      <c r="AU299" t="s">
        <v>2829</v>
      </c>
      <c r="AV299" t="s">
        <v>2829</v>
      </c>
      <c r="AW299" t="s">
        <v>2829</v>
      </c>
      <c r="AX299" t="s">
        <v>2829</v>
      </c>
      <c r="AY299" t="s">
        <v>2829</v>
      </c>
      <c r="AZ299" t="s">
        <v>2829</v>
      </c>
      <c r="BA299" t="s">
        <v>2829</v>
      </c>
      <c r="BB299" t="s">
        <v>2829</v>
      </c>
      <c r="BC299" t="s">
        <v>2829</v>
      </c>
      <c r="BD299" t="s">
        <v>3761</v>
      </c>
      <c r="BE299" t="s">
        <v>3761</v>
      </c>
      <c r="BF299" t="s">
        <v>243</v>
      </c>
      <c r="BG299" t="s">
        <v>243</v>
      </c>
      <c r="BH299" t="s">
        <v>243</v>
      </c>
      <c r="BI299" t="s">
        <v>243</v>
      </c>
      <c r="BJ299" t="s">
        <v>2829</v>
      </c>
      <c r="BK299" t="s">
        <v>243</v>
      </c>
      <c r="BL299" t="s">
        <v>243</v>
      </c>
      <c r="BM299" t="s">
        <v>243</v>
      </c>
      <c r="BN299" t="s">
        <v>243</v>
      </c>
      <c r="BO299" t="s">
        <v>243</v>
      </c>
      <c r="BP299" t="s">
        <v>2829</v>
      </c>
      <c r="BQ299" t="s">
        <v>243</v>
      </c>
      <c r="BR299" t="s">
        <v>243</v>
      </c>
      <c r="BS299" t="s">
        <v>243</v>
      </c>
      <c r="BT299" t="s">
        <v>243</v>
      </c>
      <c r="BU299" t="s">
        <v>243</v>
      </c>
      <c r="BV299" t="s">
        <v>2829</v>
      </c>
      <c r="BW299" t="s">
        <v>243</v>
      </c>
      <c r="BX299" t="s">
        <v>243</v>
      </c>
      <c r="BY299" t="s">
        <v>243</v>
      </c>
      <c r="BZ299" t="s">
        <v>243</v>
      </c>
      <c r="CA299" t="s">
        <v>243</v>
      </c>
      <c r="CB299" t="s">
        <v>2829</v>
      </c>
      <c r="CC299" t="s">
        <v>243</v>
      </c>
      <c r="CD299" t="s">
        <v>243</v>
      </c>
      <c r="CE299" t="s">
        <v>243</v>
      </c>
      <c r="CF299" t="s">
        <v>243</v>
      </c>
      <c r="CG299" t="s">
        <v>243</v>
      </c>
      <c r="CH299" t="s">
        <v>2829</v>
      </c>
      <c r="CI299" t="s">
        <v>243</v>
      </c>
      <c r="CJ299" t="s">
        <v>243</v>
      </c>
      <c r="CK299" t="s">
        <v>243</v>
      </c>
      <c r="CL299" t="s">
        <v>243</v>
      </c>
      <c r="CM299" t="s">
        <v>243</v>
      </c>
      <c r="CN299" t="s">
        <v>3187</v>
      </c>
      <c r="CO299" t="s">
        <v>2843</v>
      </c>
      <c r="CP299" t="s">
        <v>2844</v>
      </c>
      <c r="CQ299" t="s">
        <v>430</v>
      </c>
      <c r="CR299" t="s">
        <v>2872</v>
      </c>
      <c r="CS299" t="s">
        <v>431</v>
      </c>
      <c r="CT299" t="s">
        <v>430</v>
      </c>
      <c r="CU299" t="s">
        <v>3061</v>
      </c>
      <c r="CV299" t="s">
        <v>3062</v>
      </c>
      <c r="CW299" t="s">
        <v>2872</v>
      </c>
      <c r="CX299" t="s">
        <v>2848</v>
      </c>
      <c r="CY299" t="s">
        <v>3762</v>
      </c>
    </row>
    <row r="300" spans="1:103" ht="11.25" customHeight="1">
      <c r="A300" t="s">
        <v>243</v>
      </c>
      <c r="B300" t="s">
        <v>243</v>
      </c>
      <c r="C300" t="s">
        <v>243</v>
      </c>
      <c r="D300" t="s">
        <v>243</v>
      </c>
      <c r="E300" t="s">
        <v>243</v>
      </c>
      <c r="F300" t="s">
        <v>2816</v>
      </c>
      <c r="G300" t="s">
        <v>243</v>
      </c>
      <c r="H300" t="s">
        <v>243</v>
      </c>
      <c r="I300" t="s">
        <v>4207</v>
      </c>
      <c r="J300" t="s">
        <v>243</v>
      </c>
      <c r="K300" t="s">
        <v>2818</v>
      </c>
      <c r="L300" t="s">
        <v>243</v>
      </c>
      <c r="M300" t="s">
        <v>114</v>
      </c>
      <c r="N300" t="s">
        <v>243</v>
      </c>
      <c r="O300" t="s">
        <v>2819</v>
      </c>
      <c r="P300" t="s">
        <v>4449</v>
      </c>
      <c r="Q300" t="s">
        <v>2821</v>
      </c>
      <c r="R300" t="s">
        <v>200</v>
      </c>
      <c r="S300" t="s">
        <v>200</v>
      </c>
      <c r="T300" t="s">
        <v>2822</v>
      </c>
      <c r="U300" t="s">
        <v>2822</v>
      </c>
      <c r="V300" t="s">
        <v>2823</v>
      </c>
      <c r="W300" t="s">
        <v>2952</v>
      </c>
      <c r="X300" t="s">
        <v>2953</v>
      </c>
      <c r="Y300" t="s">
        <v>4208</v>
      </c>
      <c r="Z300" t="s">
        <v>457</v>
      </c>
      <c r="AA300" t="s">
        <v>2855</v>
      </c>
      <c r="AB300" t="s">
        <v>4209</v>
      </c>
      <c r="AC300" t="s">
        <v>2829</v>
      </c>
      <c r="AD300" t="s">
        <v>2830</v>
      </c>
      <c r="AE300" t="s">
        <v>2831</v>
      </c>
      <c r="AF300" t="s">
        <v>4210</v>
      </c>
      <c r="AG300" t="s">
        <v>2833</v>
      </c>
      <c r="AH300" t="s">
        <v>2834</v>
      </c>
      <c r="AI300" t="s">
        <v>2835</v>
      </c>
      <c r="AJ300" t="s">
        <v>2829</v>
      </c>
      <c r="AK300" t="s">
        <v>2868</v>
      </c>
      <c r="AL300" t="s">
        <v>2855</v>
      </c>
      <c r="AM300" t="s">
        <v>3324</v>
      </c>
      <c r="AN300" t="s">
        <v>2829</v>
      </c>
      <c r="AO300" t="s">
        <v>2839</v>
      </c>
      <c r="AP300" t="s">
        <v>2840</v>
      </c>
      <c r="AQ300" t="s">
        <v>2841</v>
      </c>
      <c r="AR300" t="s">
        <v>4211</v>
      </c>
      <c r="AS300" t="s">
        <v>4211</v>
      </c>
      <c r="AT300" t="s">
        <v>2829</v>
      </c>
      <c r="AU300" t="s">
        <v>2829</v>
      </c>
      <c r="AV300" t="s">
        <v>2829</v>
      </c>
      <c r="AW300" t="s">
        <v>2829</v>
      </c>
      <c r="AX300" t="s">
        <v>2829</v>
      </c>
      <c r="AY300" t="s">
        <v>2829</v>
      </c>
      <c r="AZ300" t="s">
        <v>2829</v>
      </c>
      <c r="BA300" t="s">
        <v>2829</v>
      </c>
      <c r="BB300" t="s">
        <v>2829</v>
      </c>
      <c r="BC300" t="s">
        <v>2829</v>
      </c>
      <c r="BD300" t="s">
        <v>4211</v>
      </c>
      <c r="BE300" t="s">
        <v>4211</v>
      </c>
      <c r="BF300" t="s">
        <v>243</v>
      </c>
      <c r="BG300" t="s">
        <v>243</v>
      </c>
      <c r="BH300" t="s">
        <v>243</v>
      </c>
      <c r="BI300" t="s">
        <v>243</v>
      </c>
      <c r="BJ300" t="s">
        <v>2829</v>
      </c>
      <c r="BK300" t="s">
        <v>243</v>
      </c>
      <c r="BL300" t="s">
        <v>243</v>
      </c>
      <c r="BM300" t="s">
        <v>243</v>
      </c>
      <c r="BN300" t="s">
        <v>243</v>
      </c>
      <c r="BO300" t="s">
        <v>243</v>
      </c>
      <c r="BP300" t="s">
        <v>2829</v>
      </c>
      <c r="BQ300" t="s">
        <v>243</v>
      </c>
      <c r="BR300" t="s">
        <v>243</v>
      </c>
      <c r="BS300" t="s">
        <v>243</v>
      </c>
      <c r="BT300" t="s">
        <v>243</v>
      </c>
      <c r="BU300" t="s">
        <v>243</v>
      </c>
      <c r="BV300" t="s">
        <v>2829</v>
      </c>
      <c r="BW300" t="s">
        <v>243</v>
      </c>
      <c r="BX300" t="s">
        <v>243</v>
      </c>
      <c r="BY300" t="s">
        <v>243</v>
      </c>
      <c r="BZ300" t="s">
        <v>243</v>
      </c>
      <c r="CA300" t="s">
        <v>243</v>
      </c>
      <c r="CB300" t="s">
        <v>2829</v>
      </c>
      <c r="CC300" t="s">
        <v>243</v>
      </c>
      <c r="CD300" t="s">
        <v>243</v>
      </c>
      <c r="CE300" t="s">
        <v>243</v>
      </c>
      <c r="CF300" t="s">
        <v>243</v>
      </c>
      <c r="CG300" t="s">
        <v>243</v>
      </c>
      <c r="CH300" t="s">
        <v>2829</v>
      </c>
      <c r="CI300" t="s">
        <v>243</v>
      </c>
      <c r="CJ300" t="s">
        <v>243</v>
      </c>
      <c r="CK300" t="s">
        <v>243</v>
      </c>
      <c r="CL300" t="s">
        <v>243</v>
      </c>
      <c r="CM300" t="s">
        <v>243</v>
      </c>
      <c r="CN300" t="s">
        <v>2829</v>
      </c>
      <c r="CO300" t="s">
        <v>2843</v>
      </c>
      <c r="CP300" t="s">
        <v>2844</v>
      </c>
      <c r="CQ300" t="s">
        <v>430</v>
      </c>
      <c r="CR300" t="s">
        <v>2872</v>
      </c>
      <c r="CS300" t="s">
        <v>431</v>
      </c>
      <c r="CT300" t="s">
        <v>430</v>
      </c>
      <c r="CU300" t="s">
        <v>2846</v>
      </c>
      <c r="CV300" t="s">
        <v>2873</v>
      </c>
      <c r="CW300" t="s">
        <v>2872</v>
      </c>
      <c r="CX300" t="s">
        <v>2848</v>
      </c>
      <c r="CY300" t="s">
        <v>4212</v>
      </c>
    </row>
    <row r="301" spans="1:103" ht="11.25" customHeight="1">
      <c r="A301" t="s">
        <v>243</v>
      </c>
      <c r="B301" t="s">
        <v>243</v>
      </c>
      <c r="C301" t="s">
        <v>243</v>
      </c>
      <c r="D301" t="s">
        <v>243</v>
      </c>
      <c r="E301" t="s">
        <v>243</v>
      </c>
      <c r="F301" t="s">
        <v>2816</v>
      </c>
      <c r="G301" t="s">
        <v>243</v>
      </c>
      <c r="H301" t="s">
        <v>243</v>
      </c>
      <c r="I301" t="s">
        <v>4377</v>
      </c>
      <c r="J301" t="s">
        <v>243</v>
      </c>
      <c r="K301" t="s">
        <v>2818</v>
      </c>
      <c r="L301" t="s">
        <v>243</v>
      </c>
      <c r="M301" t="s">
        <v>114</v>
      </c>
      <c r="N301" t="s">
        <v>243</v>
      </c>
      <c r="O301" t="s">
        <v>2819</v>
      </c>
      <c r="P301" t="s">
        <v>4449</v>
      </c>
      <c r="Q301" t="s">
        <v>2821</v>
      </c>
      <c r="R301" t="s">
        <v>200</v>
      </c>
      <c r="S301" t="s">
        <v>200</v>
      </c>
      <c r="T301" t="s">
        <v>2822</v>
      </c>
      <c r="U301" t="s">
        <v>2822</v>
      </c>
      <c r="V301" t="s">
        <v>2823</v>
      </c>
      <c r="W301" t="s">
        <v>4378</v>
      </c>
      <c r="X301" t="s">
        <v>4379</v>
      </c>
      <c r="Y301" t="s">
        <v>3380</v>
      </c>
      <c r="Z301" t="s">
        <v>4028</v>
      </c>
      <c r="AA301" t="s">
        <v>2855</v>
      </c>
      <c r="AB301" t="s">
        <v>3688</v>
      </c>
      <c r="AC301" t="s">
        <v>2829</v>
      </c>
      <c r="AD301" t="s">
        <v>2830</v>
      </c>
      <c r="AE301" t="s">
        <v>2857</v>
      </c>
      <c r="AF301" t="s">
        <v>3230</v>
      </c>
      <c r="AG301" t="s">
        <v>3230</v>
      </c>
      <c r="AH301" t="s">
        <v>2834</v>
      </c>
      <c r="AI301" t="s">
        <v>2835</v>
      </c>
      <c r="AJ301" t="s">
        <v>2829</v>
      </c>
      <c r="AK301" t="s">
        <v>2922</v>
      </c>
      <c r="AL301" t="s">
        <v>2855</v>
      </c>
      <c r="AM301" t="s">
        <v>3688</v>
      </c>
      <c r="AN301" t="s">
        <v>2829</v>
      </c>
      <c r="AO301" t="s">
        <v>2839</v>
      </c>
      <c r="AP301" t="s">
        <v>2840</v>
      </c>
      <c r="AQ301" t="s">
        <v>2841</v>
      </c>
      <c r="AR301" t="s">
        <v>3467</v>
      </c>
      <c r="AS301" t="s">
        <v>3467</v>
      </c>
      <c r="AT301" t="s">
        <v>2829</v>
      </c>
      <c r="AU301" t="s">
        <v>2829</v>
      </c>
      <c r="AV301" t="s">
        <v>2829</v>
      </c>
      <c r="AW301" t="s">
        <v>2829</v>
      </c>
      <c r="AX301" t="s">
        <v>2829</v>
      </c>
      <c r="AY301" t="s">
        <v>2829</v>
      </c>
      <c r="AZ301" t="s">
        <v>2829</v>
      </c>
      <c r="BA301" t="s">
        <v>2829</v>
      </c>
      <c r="BB301" t="s">
        <v>2829</v>
      </c>
      <c r="BC301" t="s">
        <v>2829</v>
      </c>
      <c r="BD301" t="s">
        <v>3467</v>
      </c>
      <c r="BE301" t="s">
        <v>3467</v>
      </c>
      <c r="BF301" t="s">
        <v>243</v>
      </c>
      <c r="BG301" t="s">
        <v>243</v>
      </c>
      <c r="BH301" t="s">
        <v>243</v>
      </c>
      <c r="BI301" t="s">
        <v>243</v>
      </c>
      <c r="BJ301" t="s">
        <v>2829</v>
      </c>
      <c r="BK301" t="s">
        <v>243</v>
      </c>
      <c r="BL301" t="s">
        <v>243</v>
      </c>
      <c r="BM301" t="s">
        <v>243</v>
      </c>
      <c r="BN301" t="s">
        <v>243</v>
      </c>
      <c r="BO301" t="s">
        <v>243</v>
      </c>
      <c r="BP301" t="s">
        <v>2829</v>
      </c>
      <c r="BQ301" t="s">
        <v>243</v>
      </c>
      <c r="BR301" t="s">
        <v>243</v>
      </c>
      <c r="BS301" t="s">
        <v>243</v>
      </c>
      <c r="BT301" t="s">
        <v>243</v>
      </c>
      <c r="BU301" t="s">
        <v>243</v>
      </c>
      <c r="BV301" t="s">
        <v>2829</v>
      </c>
      <c r="BW301" t="s">
        <v>243</v>
      </c>
      <c r="BX301" t="s">
        <v>243</v>
      </c>
      <c r="BY301" t="s">
        <v>243</v>
      </c>
      <c r="BZ301" t="s">
        <v>243</v>
      </c>
      <c r="CA301" t="s">
        <v>243</v>
      </c>
      <c r="CB301" t="s">
        <v>2829</v>
      </c>
      <c r="CC301" t="s">
        <v>243</v>
      </c>
      <c r="CD301" t="s">
        <v>243</v>
      </c>
      <c r="CE301" t="s">
        <v>243</v>
      </c>
      <c r="CF301" t="s">
        <v>243</v>
      </c>
      <c r="CG301" t="s">
        <v>243</v>
      </c>
      <c r="CH301" t="s">
        <v>2829</v>
      </c>
      <c r="CI301" t="s">
        <v>243</v>
      </c>
      <c r="CJ301" t="s">
        <v>243</v>
      </c>
      <c r="CK301" t="s">
        <v>243</v>
      </c>
      <c r="CL301" t="s">
        <v>243</v>
      </c>
      <c r="CM301" t="s">
        <v>243</v>
      </c>
      <c r="CN301" t="s">
        <v>2829</v>
      </c>
      <c r="CO301" t="s">
        <v>2924</v>
      </c>
      <c r="CP301" t="s">
        <v>2844</v>
      </c>
      <c r="CQ301" t="s">
        <v>430</v>
      </c>
      <c r="CR301" t="s">
        <v>2872</v>
      </c>
      <c r="CS301" t="s">
        <v>431</v>
      </c>
      <c r="CT301" t="s">
        <v>430</v>
      </c>
      <c r="CU301" t="s">
        <v>2846</v>
      </c>
      <c r="CV301" t="s">
        <v>2873</v>
      </c>
      <c r="CW301" t="s">
        <v>2872</v>
      </c>
      <c r="CX301" t="s">
        <v>2848</v>
      </c>
      <c r="CY301" t="s">
        <v>4380</v>
      </c>
    </row>
    <row r="302" spans="1:103" ht="11.25" customHeight="1">
      <c r="A302" t="s">
        <v>243</v>
      </c>
      <c r="B302" t="s">
        <v>243</v>
      </c>
      <c r="C302" t="s">
        <v>243</v>
      </c>
      <c r="D302" t="s">
        <v>243</v>
      </c>
      <c r="E302" t="s">
        <v>243</v>
      </c>
      <c r="F302" t="s">
        <v>2816</v>
      </c>
      <c r="G302" t="s">
        <v>243</v>
      </c>
      <c r="H302" t="s">
        <v>243</v>
      </c>
      <c r="I302" t="s">
        <v>4381</v>
      </c>
      <c r="J302" t="s">
        <v>243</v>
      </c>
      <c r="K302" t="s">
        <v>4382</v>
      </c>
      <c r="L302" t="s">
        <v>243</v>
      </c>
      <c r="M302" t="s">
        <v>114</v>
      </c>
      <c r="N302" t="s">
        <v>243</v>
      </c>
      <c r="O302" t="s">
        <v>2819</v>
      </c>
      <c r="P302" t="s">
        <v>4449</v>
      </c>
      <c r="Q302" t="s">
        <v>2821</v>
      </c>
      <c r="R302" t="s">
        <v>200</v>
      </c>
      <c r="S302" t="s">
        <v>200</v>
      </c>
      <c r="T302" t="s">
        <v>4451</v>
      </c>
      <c r="U302" t="s">
        <v>4451</v>
      </c>
      <c r="V302" t="s">
        <v>4452</v>
      </c>
      <c r="W302" t="s">
        <v>2935</v>
      </c>
      <c r="X302" t="s">
        <v>4453</v>
      </c>
      <c r="Y302" t="s">
        <v>4383</v>
      </c>
      <c r="Z302" t="s">
        <v>440</v>
      </c>
      <c r="AA302" t="s">
        <v>4384</v>
      </c>
      <c r="AB302" t="s">
        <v>4385</v>
      </c>
      <c r="AC302" t="s">
        <v>2939</v>
      </c>
      <c r="AD302" t="s">
        <v>2883</v>
      </c>
      <c r="AE302" t="s">
        <v>4042</v>
      </c>
      <c r="AF302" t="s">
        <v>4386</v>
      </c>
      <c r="AG302" t="s">
        <v>4386</v>
      </c>
      <c r="AH302" t="s">
        <v>2834</v>
      </c>
      <c r="AI302" t="s">
        <v>2835</v>
      </c>
      <c r="AJ302" t="s">
        <v>3010</v>
      </c>
      <c r="AK302" t="s">
        <v>3018</v>
      </c>
      <c r="AL302" t="s">
        <v>4384</v>
      </c>
      <c r="AM302" t="s">
        <v>4387</v>
      </c>
      <c r="AN302" t="s">
        <v>2939</v>
      </c>
      <c r="AO302" t="s">
        <v>2839</v>
      </c>
      <c r="AP302" t="s">
        <v>2840</v>
      </c>
      <c r="AQ302" t="s">
        <v>2841</v>
      </c>
      <c r="AR302" t="s">
        <v>4388</v>
      </c>
      <c r="AS302" t="s">
        <v>4389</v>
      </c>
      <c r="AT302" t="s">
        <v>4390</v>
      </c>
      <c r="AU302" t="s">
        <v>4391</v>
      </c>
      <c r="AV302" t="s">
        <v>3332</v>
      </c>
      <c r="AW302" t="s">
        <v>2829</v>
      </c>
      <c r="AX302" t="s">
        <v>2829</v>
      </c>
      <c r="AY302" t="s">
        <v>2829</v>
      </c>
      <c r="AZ302" t="s">
        <v>2829</v>
      </c>
      <c r="BA302" t="s">
        <v>2829</v>
      </c>
      <c r="BB302" t="s">
        <v>2829</v>
      </c>
      <c r="BC302" t="s">
        <v>2829</v>
      </c>
      <c r="BD302" t="s">
        <v>4392</v>
      </c>
      <c r="BE302" t="s">
        <v>4393</v>
      </c>
      <c r="BF302" t="s">
        <v>4394</v>
      </c>
      <c r="BG302" t="s">
        <v>4395</v>
      </c>
      <c r="BH302" t="s">
        <v>3332</v>
      </c>
      <c r="BI302" t="s">
        <v>243</v>
      </c>
      <c r="BJ302" t="s">
        <v>2829</v>
      </c>
      <c r="BK302" t="s">
        <v>243</v>
      </c>
      <c r="BL302" t="s">
        <v>243</v>
      </c>
      <c r="BM302" t="s">
        <v>243</v>
      </c>
      <c r="BN302" t="s">
        <v>243</v>
      </c>
      <c r="BO302" t="s">
        <v>243</v>
      </c>
      <c r="BP302" t="s">
        <v>4396</v>
      </c>
      <c r="BQ302" t="s">
        <v>4397</v>
      </c>
      <c r="BR302" t="s">
        <v>4398</v>
      </c>
      <c r="BS302" t="s">
        <v>4399</v>
      </c>
      <c r="BT302" t="s">
        <v>243</v>
      </c>
      <c r="BU302" t="s">
        <v>243</v>
      </c>
      <c r="BV302" t="s">
        <v>2829</v>
      </c>
      <c r="BW302" t="s">
        <v>243</v>
      </c>
      <c r="BX302" t="s">
        <v>243</v>
      </c>
      <c r="BY302" t="s">
        <v>243</v>
      </c>
      <c r="BZ302" t="s">
        <v>243</v>
      </c>
      <c r="CA302" t="s">
        <v>243</v>
      </c>
      <c r="CB302" t="s">
        <v>4400</v>
      </c>
      <c r="CC302" t="s">
        <v>4400</v>
      </c>
      <c r="CD302" t="s">
        <v>243</v>
      </c>
      <c r="CE302" t="s">
        <v>243</v>
      </c>
      <c r="CF302" t="s">
        <v>243</v>
      </c>
      <c r="CG302" t="s">
        <v>243</v>
      </c>
      <c r="CH302" t="s">
        <v>2829</v>
      </c>
      <c r="CI302" t="s">
        <v>243</v>
      </c>
      <c r="CJ302" t="s">
        <v>243</v>
      </c>
      <c r="CK302" t="s">
        <v>243</v>
      </c>
      <c r="CL302" t="s">
        <v>243</v>
      </c>
      <c r="CM302" t="s">
        <v>243</v>
      </c>
      <c r="CN302" t="s">
        <v>3010</v>
      </c>
      <c r="CO302" t="s">
        <v>2843</v>
      </c>
      <c r="CP302" t="s">
        <v>2844</v>
      </c>
      <c r="CQ302" t="s">
        <v>430</v>
      </c>
      <c r="CR302" t="s">
        <v>2947</v>
      </c>
      <c r="CS302" t="s">
        <v>431</v>
      </c>
      <c r="CT302" t="s">
        <v>430</v>
      </c>
      <c r="CU302" t="s">
        <v>2948</v>
      </c>
      <c r="CV302" t="s">
        <v>2949</v>
      </c>
      <c r="CW302" t="s">
        <v>2947</v>
      </c>
      <c r="CX302" t="s">
        <v>2848</v>
      </c>
      <c r="CY302" t="s">
        <v>4401</v>
      </c>
    </row>
    <row r="303" spans="1:103" ht="11.25" customHeight="1">
      <c r="A303" t="s">
        <v>243</v>
      </c>
      <c r="B303" t="s">
        <v>243</v>
      </c>
      <c r="C303" t="s">
        <v>243</v>
      </c>
      <c r="D303" t="s">
        <v>243</v>
      </c>
      <c r="E303" t="s">
        <v>243</v>
      </c>
      <c r="F303" t="s">
        <v>2816</v>
      </c>
      <c r="G303" t="s">
        <v>243</v>
      </c>
      <c r="H303" t="s">
        <v>243</v>
      </c>
      <c r="I303" t="s">
        <v>4222</v>
      </c>
      <c r="J303" t="s">
        <v>243</v>
      </c>
      <c r="K303" t="s">
        <v>4223</v>
      </c>
      <c r="L303" t="s">
        <v>243</v>
      </c>
      <c r="M303" t="s">
        <v>114</v>
      </c>
      <c r="N303" t="s">
        <v>243</v>
      </c>
      <c r="O303" t="s">
        <v>2819</v>
      </c>
      <c r="P303" t="s">
        <v>4449</v>
      </c>
      <c r="Q303" t="s">
        <v>2821</v>
      </c>
      <c r="R303" t="s">
        <v>200</v>
      </c>
      <c r="S303" t="s">
        <v>200</v>
      </c>
      <c r="T303" t="s">
        <v>4451</v>
      </c>
      <c r="U303" t="s">
        <v>4451</v>
      </c>
      <c r="V303" t="s">
        <v>4452</v>
      </c>
      <c r="W303" t="s">
        <v>2935</v>
      </c>
      <c r="X303" t="s">
        <v>4453</v>
      </c>
      <c r="Y303" t="s">
        <v>4224</v>
      </c>
      <c r="Z303" t="s">
        <v>917</v>
      </c>
      <c r="AA303" t="s">
        <v>3094</v>
      </c>
      <c r="AB303" t="s">
        <v>3473</v>
      </c>
      <c r="AC303" t="s">
        <v>2829</v>
      </c>
      <c r="AD303" t="s">
        <v>2883</v>
      </c>
      <c r="AE303" t="s">
        <v>2831</v>
      </c>
      <c r="AF303" t="s">
        <v>4219</v>
      </c>
      <c r="AG303" t="s">
        <v>4219</v>
      </c>
      <c r="AH303" t="s">
        <v>2834</v>
      </c>
      <c r="AI303" t="s">
        <v>2835</v>
      </c>
      <c r="AJ303" t="s">
        <v>3130</v>
      </c>
      <c r="AK303" t="s">
        <v>2998</v>
      </c>
      <c r="AL303" t="s">
        <v>3094</v>
      </c>
      <c r="AM303" t="s">
        <v>4225</v>
      </c>
      <c r="AN303" t="s">
        <v>243</v>
      </c>
      <c r="AO303" t="s">
        <v>2839</v>
      </c>
      <c r="AP303" t="s">
        <v>2840</v>
      </c>
      <c r="AQ303" t="s">
        <v>2841</v>
      </c>
      <c r="AR303" t="s">
        <v>4226</v>
      </c>
      <c r="AS303" t="s">
        <v>4226</v>
      </c>
      <c r="AT303" t="s">
        <v>2829</v>
      </c>
      <c r="AU303" t="s">
        <v>2829</v>
      </c>
      <c r="AV303" t="s">
        <v>2829</v>
      </c>
      <c r="AW303" t="s">
        <v>2829</v>
      </c>
      <c r="AX303" t="s">
        <v>2829</v>
      </c>
      <c r="AY303" t="s">
        <v>2829</v>
      </c>
      <c r="AZ303" t="s">
        <v>2829</v>
      </c>
      <c r="BA303" t="s">
        <v>2829</v>
      </c>
      <c r="BB303" t="s">
        <v>2829</v>
      </c>
      <c r="BC303" t="s">
        <v>2829</v>
      </c>
      <c r="BD303" t="s">
        <v>4226</v>
      </c>
      <c r="BE303" t="s">
        <v>4226</v>
      </c>
      <c r="BF303" t="s">
        <v>243</v>
      </c>
      <c r="BG303" t="s">
        <v>243</v>
      </c>
      <c r="BH303" t="s">
        <v>243</v>
      </c>
      <c r="BI303" t="s">
        <v>243</v>
      </c>
      <c r="BJ303" t="s">
        <v>2829</v>
      </c>
      <c r="BK303" t="s">
        <v>243</v>
      </c>
      <c r="BL303" t="s">
        <v>243</v>
      </c>
      <c r="BM303" t="s">
        <v>243</v>
      </c>
      <c r="BN303" t="s">
        <v>243</v>
      </c>
      <c r="BO303" t="s">
        <v>243</v>
      </c>
      <c r="BP303" t="s">
        <v>2829</v>
      </c>
      <c r="BQ303" t="s">
        <v>243</v>
      </c>
      <c r="BR303" t="s">
        <v>243</v>
      </c>
      <c r="BS303" t="s">
        <v>243</v>
      </c>
      <c r="BT303" t="s">
        <v>243</v>
      </c>
      <c r="BU303" t="s">
        <v>243</v>
      </c>
      <c r="BV303" t="s">
        <v>2829</v>
      </c>
      <c r="BW303" t="s">
        <v>243</v>
      </c>
      <c r="BX303" t="s">
        <v>243</v>
      </c>
      <c r="BY303" t="s">
        <v>243</v>
      </c>
      <c r="BZ303" t="s">
        <v>243</v>
      </c>
      <c r="CA303" t="s">
        <v>243</v>
      </c>
      <c r="CB303" t="s">
        <v>2829</v>
      </c>
      <c r="CC303" t="s">
        <v>243</v>
      </c>
      <c r="CD303" t="s">
        <v>243</v>
      </c>
      <c r="CE303" t="s">
        <v>243</v>
      </c>
      <c r="CF303" t="s">
        <v>243</v>
      </c>
      <c r="CG303" t="s">
        <v>243</v>
      </c>
      <c r="CH303" t="s">
        <v>2829</v>
      </c>
      <c r="CI303" t="s">
        <v>243</v>
      </c>
      <c r="CJ303" t="s">
        <v>243</v>
      </c>
      <c r="CK303" t="s">
        <v>243</v>
      </c>
      <c r="CL303" t="s">
        <v>243</v>
      </c>
      <c r="CM303" t="s">
        <v>243</v>
      </c>
      <c r="CN303" t="s">
        <v>3130</v>
      </c>
      <c r="CO303" t="s">
        <v>2843</v>
      </c>
      <c r="CP303" t="s">
        <v>2844</v>
      </c>
      <c r="CQ303" t="s">
        <v>430</v>
      </c>
      <c r="CR303" t="s">
        <v>2947</v>
      </c>
      <c r="CS303" t="s">
        <v>431</v>
      </c>
      <c r="CT303" t="s">
        <v>430</v>
      </c>
      <c r="CU303" t="s">
        <v>2948</v>
      </c>
      <c r="CV303" t="s">
        <v>2949</v>
      </c>
      <c r="CW303" t="s">
        <v>2947</v>
      </c>
      <c r="CX303" t="s">
        <v>2848</v>
      </c>
      <c r="CY303" t="s">
        <v>4227</v>
      </c>
    </row>
    <row r="304" spans="1:103" ht="11.25" customHeight="1">
      <c r="A304" t="s">
        <v>243</v>
      </c>
      <c r="B304" t="s">
        <v>243</v>
      </c>
      <c r="C304" t="s">
        <v>243</v>
      </c>
      <c r="D304" t="s">
        <v>243</v>
      </c>
      <c r="E304" t="s">
        <v>243</v>
      </c>
      <c r="F304" t="s">
        <v>2816</v>
      </c>
      <c r="G304" t="s">
        <v>243</v>
      </c>
      <c r="H304" t="s">
        <v>243</v>
      </c>
      <c r="I304" t="s">
        <v>4336</v>
      </c>
      <c r="J304" t="s">
        <v>243</v>
      </c>
      <c r="K304" t="s">
        <v>428</v>
      </c>
      <c r="L304" t="s">
        <v>243</v>
      </c>
      <c r="M304" t="s">
        <v>114</v>
      </c>
      <c r="N304" t="s">
        <v>243</v>
      </c>
      <c r="O304" t="s">
        <v>2819</v>
      </c>
      <c r="P304" t="s">
        <v>4449</v>
      </c>
      <c r="Q304" t="s">
        <v>2821</v>
      </c>
      <c r="R304" t="s">
        <v>200</v>
      </c>
      <c r="S304" t="s">
        <v>200</v>
      </c>
      <c r="T304" t="s">
        <v>2968</v>
      </c>
      <c r="U304" t="s">
        <v>2968</v>
      </c>
      <c r="V304" t="s">
        <v>2969</v>
      </c>
      <c r="W304" t="s">
        <v>2970</v>
      </c>
      <c r="X304" t="s">
        <v>2971</v>
      </c>
      <c r="Y304" t="s">
        <v>3104</v>
      </c>
      <c r="Z304" t="s">
        <v>3909</v>
      </c>
      <c r="AA304" t="s">
        <v>4337</v>
      </c>
      <c r="AB304" t="s">
        <v>4338</v>
      </c>
      <c r="AC304" t="s">
        <v>2829</v>
      </c>
      <c r="AD304" t="s">
        <v>2883</v>
      </c>
      <c r="AE304" t="s">
        <v>2884</v>
      </c>
      <c r="AF304" t="s">
        <v>4339</v>
      </c>
      <c r="AG304" t="s">
        <v>4339</v>
      </c>
      <c r="AH304" t="s">
        <v>2834</v>
      </c>
      <c r="AI304" t="s">
        <v>2887</v>
      </c>
      <c r="AJ304" t="s">
        <v>2942</v>
      </c>
      <c r="AK304" t="s">
        <v>3425</v>
      </c>
      <c r="AL304" t="s">
        <v>4340</v>
      </c>
      <c r="AM304" t="s">
        <v>4338</v>
      </c>
      <c r="AN304" t="s">
        <v>2829</v>
      </c>
      <c r="AO304" t="s">
        <v>2839</v>
      </c>
      <c r="AP304" t="s">
        <v>2840</v>
      </c>
      <c r="AQ304" t="s">
        <v>2841</v>
      </c>
      <c r="AR304" t="s">
        <v>4341</v>
      </c>
      <c r="AS304" t="s">
        <v>4341</v>
      </c>
      <c r="AT304" t="s">
        <v>2829</v>
      </c>
      <c r="AU304" t="s">
        <v>2829</v>
      </c>
      <c r="AV304" t="s">
        <v>2829</v>
      </c>
      <c r="AW304" t="s">
        <v>2829</v>
      </c>
      <c r="AX304" t="s">
        <v>2829</v>
      </c>
      <c r="AY304" t="s">
        <v>2829</v>
      </c>
      <c r="AZ304" t="s">
        <v>2829</v>
      </c>
      <c r="BA304" t="s">
        <v>2829</v>
      </c>
      <c r="BB304" t="s">
        <v>2829</v>
      </c>
      <c r="BC304" t="s">
        <v>2829</v>
      </c>
      <c r="BD304" t="s">
        <v>4342</v>
      </c>
      <c r="BE304" t="s">
        <v>4342</v>
      </c>
      <c r="BF304" t="s">
        <v>243</v>
      </c>
      <c r="BG304" t="s">
        <v>243</v>
      </c>
      <c r="BH304" t="s">
        <v>243</v>
      </c>
      <c r="BI304" t="s">
        <v>243</v>
      </c>
      <c r="BJ304" t="s">
        <v>2829</v>
      </c>
      <c r="BK304" t="s">
        <v>243</v>
      </c>
      <c r="BL304" t="s">
        <v>243</v>
      </c>
      <c r="BM304" t="s">
        <v>243</v>
      </c>
      <c r="BN304" t="s">
        <v>243</v>
      </c>
      <c r="BO304" t="s">
        <v>243</v>
      </c>
      <c r="BP304" t="s">
        <v>4343</v>
      </c>
      <c r="BQ304" t="s">
        <v>4343</v>
      </c>
      <c r="BR304" t="s">
        <v>243</v>
      </c>
      <c r="BS304" t="s">
        <v>243</v>
      </c>
      <c r="BT304" t="s">
        <v>243</v>
      </c>
      <c r="BU304" t="s">
        <v>243</v>
      </c>
      <c r="BV304" t="s">
        <v>2829</v>
      </c>
      <c r="BW304" t="s">
        <v>243</v>
      </c>
      <c r="BX304" t="s">
        <v>243</v>
      </c>
      <c r="BY304" t="s">
        <v>243</v>
      </c>
      <c r="BZ304" t="s">
        <v>243</v>
      </c>
      <c r="CA304" t="s">
        <v>243</v>
      </c>
      <c r="CB304" t="s">
        <v>4344</v>
      </c>
      <c r="CC304" t="s">
        <v>4344</v>
      </c>
      <c r="CD304" t="s">
        <v>243</v>
      </c>
      <c r="CE304" t="s">
        <v>243</v>
      </c>
      <c r="CF304" t="s">
        <v>243</v>
      </c>
      <c r="CG304" t="s">
        <v>243</v>
      </c>
      <c r="CH304" t="s">
        <v>2829</v>
      </c>
      <c r="CI304" t="s">
        <v>243</v>
      </c>
      <c r="CJ304" t="s">
        <v>243</v>
      </c>
      <c r="CK304" t="s">
        <v>243</v>
      </c>
      <c r="CL304" t="s">
        <v>243</v>
      </c>
      <c r="CM304" t="s">
        <v>243</v>
      </c>
      <c r="CN304" t="s">
        <v>2983</v>
      </c>
      <c r="CO304" t="s">
        <v>2843</v>
      </c>
      <c r="CP304" t="s">
        <v>2844</v>
      </c>
      <c r="CQ304" t="s">
        <v>430</v>
      </c>
      <c r="CR304" t="s">
        <v>2984</v>
      </c>
      <c r="CS304" t="s">
        <v>431</v>
      </c>
      <c r="CT304" t="s">
        <v>430</v>
      </c>
      <c r="CU304" t="s">
        <v>2985</v>
      </c>
      <c r="CV304" t="s">
        <v>2986</v>
      </c>
      <c r="CW304" t="s">
        <v>2984</v>
      </c>
      <c r="CX304" t="s">
        <v>2848</v>
      </c>
      <c r="CY304" t="s">
        <v>4345</v>
      </c>
    </row>
    <row r="305" spans="1:103" ht="11.25" customHeight="1">
      <c r="A305" t="s">
        <v>243</v>
      </c>
      <c r="B305" t="s">
        <v>243</v>
      </c>
      <c r="C305" t="s">
        <v>243</v>
      </c>
      <c r="D305" t="s">
        <v>243</v>
      </c>
      <c r="E305" t="s">
        <v>243</v>
      </c>
      <c r="F305" t="s">
        <v>2816</v>
      </c>
      <c r="G305" t="s">
        <v>243</v>
      </c>
      <c r="H305" t="s">
        <v>243</v>
      </c>
      <c r="I305" t="s">
        <v>4233</v>
      </c>
      <c r="J305" t="s">
        <v>243</v>
      </c>
      <c r="K305" t="s">
        <v>3115</v>
      </c>
      <c r="L305" t="s">
        <v>243</v>
      </c>
      <c r="M305" t="s">
        <v>114</v>
      </c>
      <c r="N305" t="s">
        <v>243</v>
      </c>
      <c r="O305" t="s">
        <v>2819</v>
      </c>
      <c r="P305" t="s">
        <v>4449</v>
      </c>
      <c r="Q305" t="s">
        <v>2821</v>
      </c>
      <c r="R305" t="s">
        <v>200</v>
      </c>
      <c r="S305" t="s">
        <v>200</v>
      </c>
      <c r="T305" t="s">
        <v>2968</v>
      </c>
      <c r="U305" t="s">
        <v>2968</v>
      </c>
      <c r="V305" t="s">
        <v>2969</v>
      </c>
      <c r="W305" t="s">
        <v>4234</v>
      </c>
      <c r="X305" t="s">
        <v>4235</v>
      </c>
      <c r="Y305" t="s">
        <v>2918</v>
      </c>
      <c r="Z305" t="s">
        <v>3065</v>
      </c>
      <c r="AA305" t="s">
        <v>3058</v>
      </c>
      <c r="AB305" t="s">
        <v>4229</v>
      </c>
      <c r="AC305" t="s">
        <v>2829</v>
      </c>
      <c r="AD305" t="s">
        <v>2883</v>
      </c>
      <c r="AE305" t="s">
        <v>2857</v>
      </c>
      <c r="AF305" t="s">
        <v>4236</v>
      </c>
      <c r="AG305" t="s">
        <v>4236</v>
      </c>
      <c r="AH305" t="s">
        <v>2834</v>
      </c>
      <c r="AI305" t="s">
        <v>2835</v>
      </c>
      <c r="AJ305" t="s">
        <v>4237</v>
      </c>
      <c r="AK305" t="s">
        <v>3483</v>
      </c>
      <c r="AL305" t="s">
        <v>3058</v>
      </c>
      <c r="AM305" t="s">
        <v>4229</v>
      </c>
      <c r="AN305" t="s">
        <v>2829</v>
      </c>
      <c r="AO305" t="s">
        <v>2839</v>
      </c>
      <c r="AP305" t="s">
        <v>2840</v>
      </c>
      <c r="AQ305" t="s">
        <v>2841</v>
      </c>
      <c r="AR305" t="s">
        <v>4238</v>
      </c>
      <c r="AS305" t="s">
        <v>4238</v>
      </c>
      <c r="AT305" t="s">
        <v>2829</v>
      </c>
      <c r="AU305" t="s">
        <v>2829</v>
      </c>
      <c r="AV305" t="s">
        <v>2829</v>
      </c>
      <c r="AW305" t="s">
        <v>2829</v>
      </c>
      <c r="AX305" t="s">
        <v>2829</v>
      </c>
      <c r="AY305" t="s">
        <v>2829</v>
      </c>
      <c r="AZ305" t="s">
        <v>2829</v>
      </c>
      <c r="BA305" t="s">
        <v>2829</v>
      </c>
      <c r="BB305" t="s">
        <v>2829</v>
      </c>
      <c r="BC305" t="s">
        <v>2829</v>
      </c>
      <c r="BD305" t="s">
        <v>2829</v>
      </c>
      <c r="BE305" t="s">
        <v>243</v>
      </c>
      <c r="BF305" t="s">
        <v>243</v>
      </c>
      <c r="BG305" t="s">
        <v>243</v>
      </c>
      <c r="BH305" t="s">
        <v>243</v>
      </c>
      <c r="BI305" t="s">
        <v>243</v>
      </c>
      <c r="BJ305" t="s">
        <v>2829</v>
      </c>
      <c r="BK305" t="s">
        <v>243</v>
      </c>
      <c r="BL305" t="s">
        <v>243</v>
      </c>
      <c r="BM305" t="s">
        <v>243</v>
      </c>
      <c r="BN305" t="s">
        <v>243</v>
      </c>
      <c r="BO305" t="s">
        <v>243</v>
      </c>
      <c r="BP305" t="s">
        <v>4238</v>
      </c>
      <c r="BQ305" t="s">
        <v>4238</v>
      </c>
      <c r="BR305" t="s">
        <v>243</v>
      </c>
      <c r="BS305" t="s">
        <v>243</v>
      </c>
      <c r="BT305" t="s">
        <v>243</v>
      </c>
      <c r="BU305" t="s">
        <v>243</v>
      </c>
      <c r="BV305" t="s">
        <v>2829</v>
      </c>
      <c r="BW305" t="s">
        <v>243</v>
      </c>
      <c r="BX305" t="s">
        <v>243</v>
      </c>
      <c r="BY305" t="s">
        <v>243</v>
      </c>
      <c r="BZ305" t="s">
        <v>243</v>
      </c>
      <c r="CA305" t="s">
        <v>243</v>
      </c>
      <c r="CB305" t="s">
        <v>2829</v>
      </c>
      <c r="CC305" t="s">
        <v>243</v>
      </c>
      <c r="CD305" t="s">
        <v>243</v>
      </c>
      <c r="CE305" t="s">
        <v>243</v>
      </c>
      <c r="CF305" t="s">
        <v>243</v>
      </c>
      <c r="CG305" t="s">
        <v>243</v>
      </c>
      <c r="CH305" t="s">
        <v>2829</v>
      </c>
      <c r="CI305" t="s">
        <v>243</v>
      </c>
      <c r="CJ305" t="s">
        <v>243</v>
      </c>
      <c r="CK305" t="s">
        <v>243</v>
      </c>
      <c r="CL305" t="s">
        <v>243</v>
      </c>
      <c r="CM305" t="s">
        <v>243</v>
      </c>
      <c r="CN305" t="s">
        <v>3010</v>
      </c>
      <c r="CO305" t="s">
        <v>2843</v>
      </c>
      <c r="CP305" t="s">
        <v>2844</v>
      </c>
      <c r="CQ305" t="s">
        <v>430</v>
      </c>
      <c r="CR305" t="s">
        <v>2984</v>
      </c>
      <c r="CS305" t="s">
        <v>431</v>
      </c>
      <c r="CT305" t="s">
        <v>430</v>
      </c>
      <c r="CU305" t="s">
        <v>2985</v>
      </c>
      <c r="CV305" t="s">
        <v>2986</v>
      </c>
      <c r="CW305" t="s">
        <v>2984</v>
      </c>
      <c r="CX305" t="s">
        <v>2848</v>
      </c>
      <c r="CY305" t="s">
        <v>4239</v>
      </c>
    </row>
    <row r="306" spans="1:103" ht="11.25" customHeight="1">
      <c r="A306" t="s">
        <v>243</v>
      </c>
      <c r="B306" t="s">
        <v>243</v>
      </c>
      <c r="C306" t="s">
        <v>243</v>
      </c>
      <c r="D306" t="s">
        <v>243</v>
      </c>
      <c r="E306" t="s">
        <v>243</v>
      </c>
      <c r="F306" t="s">
        <v>2816</v>
      </c>
      <c r="G306" t="s">
        <v>243</v>
      </c>
      <c r="H306" t="s">
        <v>243</v>
      </c>
      <c r="I306" t="s">
        <v>4259</v>
      </c>
      <c r="J306" t="s">
        <v>243</v>
      </c>
      <c r="K306" t="s">
        <v>4260</v>
      </c>
      <c r="L306" t="s">
        <v>243</v>
      </c>
      <c r="M306" t="s">
        <v>114</v>
      </c>
      <c r="N306" t="s">
        <v>243</v>
      </c>
      <c r="O306" t="s">
        <v>2819</v>
      </c>
      <c r="P306" t="s">
        <v>4449</v>
      </c>
      <c r="Q306" t="s">
        <v>2821</v>
      </c>
      <c r="R306" t="s">
        <v>200</v>
      </c>
      <c r="S306" t="s">
        <v>200</v>
      </c>
      <c r="T306" t="s">
        <v>2968</v>
      </c>
      <c r="U306" t="s">
        <v>2968</v>
      </c>
      <c r="V306" t="s">
        <v>2969</v>
      </c>
      <c r="W306" t="s">
        <v>4261</v>
      </c>
      <c r="X306" t="s">
        <v>4262</v>
      </c>
      <c r="Y306" t="s">
        <v>2929</v>
      </c>
      <c r="Z306" t="s">
        <v>4263</v>
      </c>
      <c r="AA306" t="s">
        <v>4264</v>
      </c>
      <c r="AB306" t="s">
        <v>4265</v>
      </c>
      <c r="AC306" t="s">
        <v>2829</v>
      </c>
      <c r="AD306" t="s">
        <v>2883</v>
      </c>
      <c r="AE306" t="s">
        <v>2975</v>
      </c>
      <c r="AF306" t="s">
        <v>4266</v>
      </c>
      <c r="AG306" t="s">
        <v>4266</v>
      </c>
      <c r="AH306" t="s">
        <v>2834</v>
      </c>
      <c r="AI306" t="s">
        <v>2835</v>
      </c>
      <c r="AJ306" t="s">
        <v>3572</v>
      </c>
      <c r="AK306" t="s">
        <v>4267</v>
      </c>
      <c r="AL306" t="s">
        <v>4264</v>
      </c>
      <c r="AM306" t="s">
        <v>4265</v>
      </c>
      <c r="AN306" t="s">
        <v>2829</v>
      </c>
      <c r="AO306" t="s">
        <v>2839</v>
      </c>
      <c r="AP306" t="s">
        <v>2840</v>
      </c>
      <c r="AQ306" t="s">
        <v>2841</v>
      </c>
      <c r="AR306" t="s">
        <v>4268</v>
      </c>
      <c r="AS306" t="s">
        <v>4268</v>
      </c>
      <c r="AT306" t="s">
        <v>2829</v>
      </c>
      <c r="AU306" t="s">
        <v>2829</v>
      </c>
      <c r="AV306" t="s">
        <v>2829</v>
      </c>
      <c r="AW306" t="s">
        <v>2829</v>
      </c>
      <c r="AX306" t="s">
        <v>2829</v>
      </c>
      <c r="AY306" t="s">
        <v>2829</v>
      </c>
      <c r="AZ306" t="s">
        <v>2829</v>
      </c>
      <c r="BA306" t="s">
        <v>2829</v>
      </c>
      <c r="BB306" t="s">
        <v>2829</v>
      </c>
      <c r="BC306" t="s">
        <v>2829</v>
      </c>
      <c r="BD306" t="s">
        <v>2829</v>
      </c>
      <c r="BE306" t="s">
        <v>243</v>
      </c>
      <c r="BF306" t="s">
        <v>243</v>
      </c>
      <c r="BG306" t="s">
        <v>243</v>
      </c>
      <c r="BH306" t="s">
        <v>243</v>
      </c>
      <c r="BI306" t="s">
        <v>243</v>
      </c>
      <c r="BJ306" t="s">
        <v>2829</v>
      </c>
      <c r="BK306" t="s">
        <v>243</v>
      </c>
      <c r="BL306" t="s">
        <v>243</v>
      </c>
      <c r="BM306" t="s">
        <v>243</v>
      </c>
      <c r="BN306" t="s">
        <v>243</v>
      </c>
      <c r="BO306" t="s">
        <v>243</v>
      </c>
      <c r="BP306" t="s">
        <v>4268</v>
      </c>
      <c r="BQ306" t="s">
        <v>4268</v>
      </c>
      <c r="BR306" t="s">
        <v>243</v>
      </c>
      <c r="BS306" t="s">
        <v>243</v>
      </c>
      <c r="BT306" t="s">
        <v>243</v>
      </c>
      <c r="BU306" t="s">
        <v>243</v>
      </c>
      <c r="BV306" t="s">
        <v>2829</v>
      </c>
      <c r="BW306" t="s">
        <v>243</v>
      </c>
      <c r="BX306" t="s">
        <v>243</v>
      </c>
      <c r="BY306" t="s">
        <v>243</v>
      </c>
      <c r="BZ306" t="s">
        <v>243</v>
      </c>
      <c r="CA306" t="s">
        <v>243</v>
      </c>
      <c r="CB306" t="s">
        <v>2829</v>
      </c>
      <c r="CC306" t="s">
        <v>243</v>
      </c>
      <c r="CD306" t="s">
        <v>243</v>
      </c>
      <c r="CE306" t="s">
        <v>243</v>
      </c>
      <c r="CF306" t="s">
        <v>243</v>
      </c>
      <c r="CG306" t="s">
        <v>243</v>
      </c>
      <c r="CH306" t="s">
        <v>2829</v>
      </c>
      <c r="CI306" t="s">
        <v>243</v>
      </c>
      <c r="CJ306" t="s">
        <v>243</v>
      </c>
      <c r="CK306" t="s">
        <v>243</v>
      </c>
      <c r="CL306" t="s">
        <v>243</v>
      </c>
      <c r="CM306" t="s">
        <v>243</v>
      </c>
      <c r="CN306" t="s">
        <v>3010</v>
      </c>
      <c r="CO306" t="s">
        <v>2843</v>
      </c>
      <c r="CP306" t="s">
        <v>2844</v>
      </c>
      <c r="CQ306" t="s">
        <v>430</v>
      </c>
      <c r="CR306" t="s">
        <v>2984</v>
      </c>
      <c r="CS306" t="s">
        <v>431</v>
      </c>
      <c r="CT306" t="s">
        <v>430</v>
      </c>
      <c r="CU306" t="s">
        <v>2985</v>
      </c>
      <c r="CV306" t="s">
        <v>2986</v>
      </c>
      <c r="CW306" t="s">
        <v>2984</v>
      </c>
      <c r="CX306" t="s">
        <v>2848</v>
      </c>
      <c r="CY306" t="s">
        <v>4269</v>
      </c>
    </row>
    <row r="307" spans="1:103" ht="11.25" customHeight="1">
      <c r="A307" t="s">
        <v>243</v>
      </c>
      <c r="B307" t="s">
        <v>243</v>
      </c>
      <c r="C307" t="s">
        <v>243</v>
      </c>
      <c r="D307" t="s">
        <v>243</v>
      </c>
      <c r="E307" t="s">
        <v>243</v>
      </c>
      <c r="F307" t="s">
        <v>2816</v>
      </c>
      <c r="G307" t="s">
        <v>243</v>
      </c>
      <c r="H307" t="s">
        <v>243</v>
      </c>
      <c r="I307" t="s">
        <v>3598</v>
      </c>
      <c r="J307" t="s">
        <v>243</v>
      </c>
      <c r="K307" t="s">
        <v>464</v>
      </c>
      <c r="L307" t="s">
        <v>243</v>
      </c>
      <c r="M307" t="s">
        <v>114</v>
      </c>
      <c r="N307" t="s">
        <v>243</v>
      </c>
      <c r="O307" t="s">
        <v>2819</v>
      </c>
      <c r="P307" t="s">
        <v>4449</v>
      </c>
      <c r="Q307" t="s">
        <v>2821</v>
      </c>
      <c r="R307" t="s">
        <v>200</v>
      </c>
      <c r="S307" t="s">
        <v>200</v>
      </c>
      <c r="T307" t="s">
        <v>405</v>
      </c>
      <c r="U307" t="s">
        <v>405</v>
      </c>
      <c r="V307" t="s">
        <v>406</v>
      </c>
      <c r="W307" t="s">
        <v>3155</v>
      </c>
      <c r="X307" t="s">
        <v>3156</v>
      </c>
      <c r="Y307" t="s">
        <v>2913</v>
      </c>
      <c r="Z307" t="s">
        <v>3599</v>
      </c>
      <c r="AA307" t="s">
        <v>3359</v>
      </c>
      <c r="AB307" t="s">
        <v>3043</v>
      </c>
      <c r="AC307" t="s">
        <v>243</v>
      </c>
      <c r="AD307" t="s">
        <v>2883</v>
      </c>
      <c r="AE307" t="s">
        <v>2831</v>
      </c>
      <c r="AF307" t="s">
        <v>3401</v>
      </c>
      <c r="AG307" t="s">
        <v>3401</v>
      </c>
      <c r="AH307" t="s">
        <v>2834</v>
      </c>
      <c r="AI307" t="s">
        <v>2835</v>
      </c>
      <c r="AJ307" t="s">
        <v>2888</v>
      </c>
      <c r="AK307" t="s">
        <v>3472</v>
      </c>
      <c r="AL307" t="s">
        <v>3359</v>
      </c>
      <c r="AM307" t="s">
        <v>3043</v>
      </c>
      <c r="AN307" t="s">
        <v>243</v>
      </c>
      <c r="AO307" t="s">
        <v>2839</v>
      </c>
      <c r="AP307" t="s">
        <v>2840</v>
      </c>
      <c r="AQ307" t="s">
        <v>2841</v>
      </c>
      <c r="AR307" t="s">
        <v>3600</v>
      </c>
      <c r="AS307" t="s">
        <v>3600</v>
      </c>
      <c r="AT307" t="s">
        <v>2829</v>
      </c>
      <c r="AU307" t="s">
        <v>2829</v>
      </c>
      <c r="AV307" t="s">
        <v>2829</v>
      </c>
      <c r="AW307" t="s">
        <v>2829</v>
      </c>
      <c r="AX307" t="s">
        <v>2829</v>
      </c>
      <c r="AY307" t="s">
        <v>2829</v>
      </c>
      <c r="AZ307" t="s">
        <v>2829</v>
      </c>
      <c r="BA307" t="s">
        <v>2829</v>
      </c>
      <c r="BB307" t="s">
        <v>2829</v>
      </c>
      <c r="BC307" t="s">
        <v>2829</v>
      </c>
      <c r="BD307" t="s">
        <v>3600</v>
      </c>
      <c r="BE307" t="s">
        <v>3600</v>
      </c>
      <c r="BF307" t="s">
        <v>243</v>
      </c>
      <c r="BG307" t="s">
        <v>243</v>
      </c>
      <c r="BH307" t="s">
        <v>243</v>
      </c>
      <c r="BI307" t="s">
        <v>243</v>
      </c>
      <c r="BJ307" t="s">
        <v>2829</v>
      </c>
      <c r="BK307" t="s">
        <v>243</v>
      </c>
      <c r="BL307" t="s">
        <v>243</v>
      </c>
      <c r="BM307" t="s">
        <v>243</v>
      </c>
      <c r="BN307" t="s">
        <v>243</v>
      </c>
      <c r="BO307" t="s">
        <v>243</v>
      </c>
      <c r="BP307" t="s">
        <v>2829</v>
      </c>
      <c r="BQ307" t="s">
        <v>243</v>
      </c>
      <c r="BR307" t="s">
        <v>243</v>
      </c>
      <c r="BS307" t="s">
        <v>243</v>
      </c>
      <c r="BT307" t="s">
        <v>243</v>
      </c>
      <c r="BU307" t="s">
        <v>243</v>
      </c>
      <c r="BV307" t="s">
        <v>2829</v>
      </c>
      <c r="BW307" t="s">
        <v>243</v>
      </c>
      <c r="BX307" t="s">
        <v>243</v>
      </c>
      <c r="BY307" t="s">
        <v>243</v>
      </c>
      <c r="BZ307" t="s">
        <v>243</v>
      </c>
      <c r="CA307" t="s">
        <v>243</v>
      </c>
      <c r="CB307" t="s">
        <v>2829</v>
      </c>
      <c r="CC307" t="s">
        <v>243</v>
      </c>
      <c r="CD307" t="s">
        <v>243</v>
      </c>
      <c r="CE307" t="s">
        <v>243</v>
      </c>
      <c r="CF307" t="s">
        <v>243</v>
      </c>
      <c r="CG307" t="s">
        <v>243</v>
      </c>
      <c r="CH307" t="s">
        <v>2829</v>
      </c>
      <c r="CI307" t="s">
        <v>243</v>
      </c>
      <c r="CJ307" t="s">
        <v>243</v>
      </c>
      <c r="CK307" t="s">
        <v>243</v>
      </c>
      <c r="CL307" t="s">
        <v>243</v>
      </c>
      <c r="CM307" t="s">
        <v>243</v>
      </c>
      <c r="CN307" t="s">
        <v>2888</v>
      </c>
      <c r="CO307" t="s">
        <v>2843</v>
      </c>
      <c r="CP307" t="s">
        <v>2844</v>
      </c>
      <c r="CQ307" t="s">
        <v>430</v>
      </c>
      <c r="CR307" t="s">
        <v>2872</v>
      </c>
      <c r="CS307" t="s">
        <v>431</v>
      </c>
      <c r="CT307" t="s">
        <v>430</v>
      </c>
      <c r="CU307" t="s">
        <v>444</v>
      </c>
      <c r="CV307" t="s">
        <v>445</v>
      </c>
      <c r="CW307" t="s">
        <v>2872</v>
      </c>
      <c r="CX307" t="s">
        <v>2848</v>
      </c>
      <c r="CY307" t="s">
        <v>465</v>
      </c>
    </row>
    <row r="308" spans="1:103" ht="11.25" customHeight="1">
      <c r="A308" t="s">
        <v>243</v>
      </c>
      <c r="B308" t="s">
        <v>243</v>
      </c>
      <c r="C308" t="s">
        <v>243</v>
      </c>
      <c r="D308" t="s">
        <v>243</v>
      </c>
      <c r="E308" t="s">
        <v>243</v>
      </c>
      <c r="F308" t="s">
        <v>2816</v>
      </c>
      <c r="G308" t="s">
        <v>243</v>
      </c>
      <c r="H308" t="s">
        <v>243</v>
      </c>
      <c r="I308" t="s">
        <v>3711</v>
      </c>
      <c r="J308" t="s">
        <v>243</v>
      </c>
      <c r="K308" t="s">
        <v>4458</v>
      </c>
      <c r="L308" t="s">
        <v>243</v>
      </c>
      <c r="M308" t="s">
        <v>114</v>
      </c>
      <c r="N308" t="s">
        <v>243</v>
      </c>
      <c r="O308" t="s">
        <v>2819</v>
      </c>
      <c r="P308" t="s">
        <v>4449</v>
      </c>
      <c r="Q308" t="s">
        <v>2821</v>
      </c>
      <c r="R308" t="s">
        <v>200</v>
      </c>
      <c r="S308" t="s">
        <v>200</v>
      </c>
      <c r="T308" t="s">
        <v>405</v>
      </c>
      <c r="U308" t="s">
        <v>405</v>
      </c>
      <c r="V308" t="s">
        <v>406</v>
      </c>
      <c r="W308" t="s">
        <v>3155</v>
      </c>
      <c r="X308" t="s">
        <v>3156</v>
      </c>
      <c r="Y308" t="s">
        <v>4459</v>
      </c>
      <c r="Z308" t="s">
        <v>1815</v>
      </c>
      <c r="AA308" t="s">
        <v>2904</v>
      </c>
      <c r="AB308" t="s">
        <v>3117</v>
      </c>
      <c r="AC308" t="s">
        <v>243</v>
      </c>
      <c r="AD308" t="s">
        <v>2830</v>
      </c>
      <c r="AE308" t="s">
        <v>2831</v>
      </c>
      <c r="AF308" t="s">
        <v>3401</v>
      </c>
      <c r="AG308" t="s">
        <v>3401</v>
      </c>
      <c r="AH308" t="s">
        <v>2834</v>
      </c>
      <c r="AI308" t="s">
        <v>2835</v>
      </c>
      <c r="AJ308" t="s">
        <v>2888</v>
      </c>
      <c r="AK308" t="s">
        <v>4460</v>
      </c>
      <c r="AL308" t="s">
        <v>3078</v>
      </c>
      <c r="AM308" t="s">
        <v>3117</v>
      </c>
      <c r="AN308" t="s">
        <v>243</v>
      </c>
      <c r="AO308" t="s">
        <v>2839</v>
      </c>
      <c r="AP308" t="s">
        <v>2840</v>
      </c>
      <c r="AQ308" t="s">
        <v>2841</v>
      </c>
      <c r="AR308" t="s">
        <v>2838</v>
      </c>
      <c r="AS308" t="s">
        <v>2838</v>
      </c>
      <c r="AT308" t="s">
        <v>2829</v>
      </c>
      <c r="AU308" t="s">
        <v>2829</v>
      </c>
      <c r="AV308" t="s">
        <v>2829</v>
      </c>
      <c r="AW308" t="s">
        <v>2829</v>
      </c>
      <c r="AX308" t="s">
        <v>2829</v>
      </c>
      <c r="AY308" t="s">
        <v>2829</v>
      </c>
      <c r="AZ308" t="s">
        <v>2829</v>
      </c>
      <c r="BA308" t="s">
        <v>2829</v>
      </c>
      <c r="BB308" t="s">
        <v>2829</v>
      </c>
      <c r="BC308" t="s">
        <v>2829</v>
      </c>
      <c r="BD308" t="s">
        <v>2838</v>
      </c>
      <c r="BE308" t="s">
        <v>2838</v>
      </c>
      <c r="BF308" t="s">
        <v>243</v>
      </c>
      <c r="BG308" t="s">
        <v>243</v>
      </c>
      <c r="BH308" t="s">
        <v>243</v>
      </c>
      <c r="BI308" t="s">
        <v>243</v>
      </c>
      <c r="BJ308" t="s">
        <v>2829</v>
      </c>
      <c r="BK308" t="s">
        <v>243</v>
      </c>
      <c r="BL308" t="s">
        <v>243</v>
      </c>
      <c r="BM308" t="s">
        <v>243</v>
      </c>
      <c r="BN308" t="s">
        <v>243</v>
      </c>
      <c r="BO308" t="s">
        <v>243</v>
      </c>
      <c r="BP308" t="s">
        <v>2829</v>
      </c>
      <c r="BQ308" t="s">
        <v>243</v>
      </c>
      <c r="BR308" t="s">
        <v>243</v>
      </c>
      <c r="BS308" t="s">
        <v>243</v>
      </c>
      <c r="BT308" t="s">
        <v>243</v>
      </c>
      <c r="BU308" t="s">
        <v>243</v>
      </c>
      <c r="BV308" t="s">
        <v>2829</v>
      </c>
      <c r="BW308" t="s">
        <v>243</v>
      </c>
      <c r="BX308" t="s">
        <v>243</v>
      </c>
      <c r="BY308" t="s">
        <v>243</v>
      </c>
      <c r="BZ308" t="s">
        <v>243</v>
      </c>
      <c r="CA308" t="s">
        <v>243</v>
      </c>
      <c r="CB308" t="s">
        <v>2829</v>
      </c>
      <c r="CC308" t="s">
        <v>243</v>
      </c>
      <c r="CD308" t="s">
        <v>243</v>
      </c>
      <c r="CE308" t="s">
        <v>243</v>
      </c>
      <c r="CF308" t="s">
        <v>243</v>
      </c>
      <c r="CG308" t="s">
        <v>243</v>
      </c>
      <c r="CH308" t="s">
        <v>2829</v>
      </c>
      <c r="CI308" t="s">
        <v>243</v>
      </c>
      <c r="CJ308" t="s">
        <v>243</v>
      </c>
      <c r="CK308" t="s">
        <v>243</v>
      </c>
      <c r="CL308" t="s">
        <v>243</v>
      </c>
      <c r="CM308" t="s">
        <v>243</v>
      </c>
      <c r="CN308" t="s">
        <v>2888</v>
      </c>
      <c r="CO308" t="s">
        <v>2843</v>
      </c>
      <c r="CP308" t="s">
        <v>2844</v>
      </c>
      <c r="CQ308" t="s">
        <v>430</v>
      </c>
      <c r="CR308" t="s">
        <v>2872</v>
      </c>
      <c r="CS308" t="s">
        <v>431</v>
      </c>
      <c r="CT308" t="s">
        <v>430</v>
      </c>
      <c r="CU308" t="s">
        <v>444</v>
      </c>
      <c r="CV308" t="s">
        <v>445</v>
      </c>
      <c r="CW308" t="s">
        <v>2872</v>
      </c>
      <c r="CX308" t="s">
        <v>2848</v>
      </c>
      <c r="CY308" t="s">
        <v>4461</v>
      </c>
    </row>
    <row r="309" spans="1:103" ht="11.25" customHeight="1">
      <c r="A309" t="s">
        <v>243</v>
      </c>
      <c r="B309" t="s">
        <v>243</v>
      </c>
      <c r="C309" t="s">
        <v>243</v>
      </c>
      <c r="D309" t="s">
        <v>243</v>
      </c>
      <c r="E309" t="s">
        <v>243</v>
      </c>
      <c r="F309" t="s">
        <v>2816</v>
      </c>
      <c r="G309" t="s">
        <v>243</v>
      </c>
      <c r="H309" t="s">
        <v>243</v>
      </c>
      <c r="I309" t="s">
        <v>3945</v>
      </c>
      <c r="J309" t="s">
        <v>243</v>
      </c>
      <c r="K309" t="s">
        <v>3178</v>
      </c>
      <c r="L309" t="s">
        <v>243</v>
      </c>
      <c r="M309" t="s">
        <v>114</v>
      </c>
      <c r="N309" t="s">
        <v>243</v>
      </c>
      <c r="O309" t="s">
        <v>2819</v>
      </c>
      <c r="P309" t="s">
        <v>4449</v>
      </c>
      <c r="Q309" t="s">
        <v>2821</v>
      </c>
      <c r="R309" t="s">
        <v>200</v>
      </c>
      <c r="S309" t="s">
        <v>200</v>
      </c>
      <c r="T309" t="s">
        <v>3048</v>
      </c>
      <c r="U309" t="s">
        <v>3048</v>
      </c>
      <c r="V309" t="s">
        <v>3049</v>
      </c>
      <c r="W309" t="s">
        <v>3946</v>
      </c>
      <c r="X309" t="s">
        <v>3947</v>
      </c>
      <c r="Y309" t="s">
        <v>3127</v>
      </c>
      <c r="Z309" t="s">
        <v>2846</v>
      </c>
      <c r="AA309" t="s">
        <v>3948</v>
      </c>
      <c r="AB309" t="s">
        <v>3942</v>
      </c>
      <c r="AC309" t="s">
        <v>2829</v>
      </c>
      <c r="AD309" t="s">
        <v>2883</v>
      </c>
      <c r="AE309" t="s">
        <v>2831</v>
      </c>
      <c r="AF309" t="s">
        <v>3055</v>
      </c>
      <c r="AG309" t="s">
        <v>3055</v>
      </c>
      <c r="AH309" t="s">
        <v>2834</v>
      </c>
      <c r="AI309" t="s">
        <v>2835</v>
      </c>
      <c r="AJ309" t="s">
        <v>3184</v>
      </c>
      <c r="AK309" t="s">
        <v>3949</v>
      </c>
      <c r="AL309" t="s">
        <v>3948</v>
      </c>
      <c r="AM309" t="s">
        <v>3942</v>
      </c>
      <c r="AN309" t="s">
        <v>2829</v>
      </c>
      <c r="AO309" t="s">
        <v>2839</v>
      </c>
      <c r="AP309" t="s">
        <v>2840</v>
      </c>
      <c r="AQ309" t="s">
        <v>2841</v>
      </c>
      <c r="AR309" t="s">
        <v>3950</v>
      </c>
      <c r="AS309" t="s">
        <v>3950</v>
      </c>
      <c r="AT309" t="s">
        <v>2829</v>
      </c>
      <c r="AU309" t="s">
        <v>2829</v>
      </c>
      <c r="AV309" t="s">
        <v>2829</v>
      </c>
      <c r="AW309" t="s">
        <v>2829</v>
      </c>
      <c r="AX309" t="s">
        <v>2829</v>
      </c>
      <c r="AY309" t="s">
        <v>2829</v>
      </c>
      <c r="AZ309" t="s">
        <v>2829</v>
      </c>
      <c r="BA309" t="s">
        <v>2829</v>
      </c>
      <c r="BB309" t="s">
        <v>2829</v>
      </c>
      <c r="BC309" t="s">
        <v>2829</v>
      </c>
      <c r="BD309" t="s">
        <v>3950</v>
      </c>
      <c r="BE309" t="s">
        <v>3950</v>
      </c>
      <c r="BF309" t="s">
        <v>243</v>
      </c>
      <c r="BG309" t="s">
        <v>243</v>
      </c>
      <c r="BH309" t="s">
        <v>243</v>
      </c>
      <c r="BI309" t="s">
        <v>243</v>
      </c>
      <c r="BJ309" t="s">
        <v>2829</v>
      </c>
      <c r="BK309" t="s">
        <v>243</v>
      </c>
      <c r="BL309" t="s">
        <v>243</v>
      </c>
      <c r="BM309" t="s">
        <v>243</v>
      </c>
      <c r="BN309" t="s">
        <v>243</v>
      </c>
      <c r="BO309" t="s">
        <v>243</v>
      </c>
      <c r="BP309" t="s">
        <v>2829</v>
      </c>
      <c r="BQ309" t="s">
        <v>243</v>
      </c>
      <c r="BR309" t="s">
        <v>243</v>
      </c>
      <c r="BS309" t="s">
        <v>243</v>
      </c>
      <c r="BT309" t="s">
        <v>243</v>
      </c>
      <c r="BU309" t="s">
        <v>243</v>
      </c>
      <c r="BV309" t="s">
        <v>2829</v>
      </c>
      <c r="BW309" t="s">
        <v>243</v>
      </c>
      <c r="BX309" t="s">
        <v>243</v>
      </c>
      <c r="BY309" t="s">
        <v>243</v>
      </c>
      <c r="BZ309" t="s">
        <v>243</v>
      </c>
      <c r="CA309" t="s">
        <v>243</v>
      </c>
      <c r="CB309" t="s">
        <v>2829</v>
      </c>
      <c r="CC309" t="s">
        <v>243</v>
      </c>
      <c r="CD309" t="s">
        <v>243</v>
      </c>
      <c r="CE309" t="s">
        <v>243</v>
      </c>
      <c r="CF309" t="s">
        <v>243</v>
      </c>
      <c r="CG309" t="s">
        <v>243</v>
      </c>
      <c r="CH309" t="s">
        <v>2829</v>
      </c>
      <c r="CI309" t="s">
        <v>243</v>
      </c>
      <c r="CJ309" t="s">
        <v>243</v>
      </c>
      <c r="CK309" t="s">
        <v>243</v>
      </c>
      <c r="CL309" t="s">
        <v>243</v>
      </c>
      <c r="CM309" t="s">
        <v>243</v>
      </c>
      <c r="CN309" t="s">
        <v>3187</v>
      </c>
      <c r="CO309" t="s">
        <v>2843</v>
      </c>
      <c r="CP309" t="s">
        <v>2844</v>
      </c>
      <c r="CQ309" t="s">
        <v>430</v>
      </c>
      <c r="CR309" t="s">
        <v>2872</v>
      </c>
      <c r="CS309" t="s">
        <v>431</v>
      </c>
      <c r="CT309" t="s">
        <v>430</v>
      </c>
      <c r="CU309" t="s">
        <v>3061</v>
      </c>
      <c r="CV309" t="s">
        <v>3062</v>
      </c>
      <c r="CW309" t="s">
        <v>2872</v>
      </c>
      <c r="CX309" t="s">
        <v>2848</v>
      </c>
      <c r="CY309" t="s">
        <v>3951</v>
      </c>
    </row>
    <row r="310" spans="1:103" ht="11.25" customHeight="1">
      <c r="A310" t="s">
        <v>243</v>
      </c>
      <c r="B310" t="s">
        <v>243</v>
      </c>
      <c r="C310" t="s">
        <v>243</v>
      </c>
      <c r="D310" t="s">
        <v>243</v>
      </c>
      <c r="E310" t="s">
        <v>243</v>
      </c>
      <c r="F310" t="s">
        <v>2816</v>
      </c>
      <c r="G310" t="s">
        <v>243</v>
      </c>
      <c r="H310" t="s">
        <v>243</v>
      </c>
      <c r="I310" t="s">
        <v>4085</v>
      </c>
      <c r="J310" t="s">
        <v>243</v>
      </c>
      <c r="K310" t="s">
        <v>2818</v>
      </c>
      <c r="L310" t="s">
        <v>243</v>
      </c>
      <c r="M310" t="s">
        <v>114</v>
      </c>
      <c r="N310" t="s">
        <v>243</v>
      </c>
      <c r="O310" t="s">
        <v>2819</v>
      </c>
      <c r="P310" t="s">
        <v>4449</v>
      </c>
      <c r="Q310" t="s">
        <v>2821</v>
      </c>
      <c r="R310" t="s">
        <v>200</v>
      </c>
      <c r="S310" t="s">
        <v>200</v>
      </c>
      <c r="T310" t="s">
        <v>2822</v>
      </c>
      <c r="U310" t="s">
        <v>2822</v>
      </c>
      <c r="V310" t="s">
        <v>2823</v>
      </c>
      <c r="W310" t="s">
        <v>4080</v>
      </c>
      <c r="X310" t="s">
        <v>4081</v>
      </c>
      <c r="Y310" t="s">
        <v>4086</v>
      </c>
      <c r="Z310" t="s">
        <v>3585</v>
      </c>
      <c r="AA310" t="s">
        <v>4087</v>
      </c>
      <c r="AB310" t="s">
        <v>4088</v>
      </c>
      <c r="AC310" t="s">
        <v>2829</v>
      </c>
      <c r="AD310" t="s">
        <v>2830</v>
      </c>
      <c r="AE310" t="s">
        <v>2831</v>
      </c>
      <c r="AF310" t="s">
        <v>4089</v>
      </c>
      <c r="AG310" t="s">
        <v>2833</v>
      </c>
      <c r="AH310" t="s">
        <v>2834</v>
      </c>
      <c r="AI310" t="s">
        <v>2835</v>
      </c>
      <c r="AJ310" t="s">
        <v>2836</v>
      </c>
      <c r="AK310" t="s">
        <v>2837</v>
      </c>
      <c r="AL310" t="s">
        <v>4087</v>
      </c>
      <c r="AM310" t="s">
        <v>2842</v>
      </c>
      <c r="AN310" t="s">
        <v>2829</v>
      </c>
      <c r="AO310" t="s">
        <v>2839</v>
      </c>
      <c r="AP310" t="s">
        <v>2840</v>
      </c>
      <c r="AQ310" t="s">
        <v>2841</v>
      </c>
      <c r="AR310" t="s">
        <v>2842</v>
      </c>
      <c r="AS310" t="s">
        <v>2842</v>
      </c>
      <c r="AT310" t="s">
        <v>2829</v>
      </c>
      <c r="AU310" t="s">
        <v>2829</v>
      </c>
      <c r="AV310" t="s">
        <v>2829</v>
      </c>
      <c r="AW310" t="s">
        <v>2829</v>
      </c>
      <c r="AX310" t="s">
        <v>2829</v>
      </c>
      <c r="AY310" t="s">
        <v>2829</v>
      </c>
      <c r="AZ310" t="s">
        <v>2829</v>
      </c>
      <c r="BA310" t="s">
        <v>2829</v>
      </c>
      <c r="BB310" t="s">
        <v>2829</v>
      </c>
      <c r="BC310" t="s">
        <v>2829</v>
      </c>
      <c r="BD310" t="s">
        <v>2842</v>
      </c>
      <c r="BE310" t="s">
        <v>2842</v>
      </c>
      <c r="BF310" t="s">
        <v>243</v>
      </c>
      <c r="BG310" t="s">
        <v>243</v>
      </c>
      <c r="BH310" t="s">
        <v>243</v>
      </c>
      <c r="BI310" t="s">
        <v>243</v>
      </c>
      <c r="BJ310" t="s">
        <v>2829</v>
      </c>
      <c r="BK310" t="s">
        <v>243</v>
      </c>
      <c r="BL310" t="s">
        <v>243</v>
      </c>
      <c r="BM310" t="s">
        <v>243</v>
      </c>
      <c r="BN310" t="s">
        <v>243</v>
      </c>
      <c r="BO310" t="s">
        <v>243</v>
      </c>
      <c r="BP310" t="s">
        <v>2829</v>
      </c>
      <c r="BQ310" t="s">
        <v>243</v>
      </c>
      <c r="BR310" t="s">
        <v>243</v>
      </c>
      <c r="BS310" t="s">
        <v>243</v>
      </c>
      <c r="BT310" t="s">
        <v>243</v>
      </c>
      <c r="BU310" t="s">
        <v>243</v>
      </c>
      <c r="BV310" t="s">
        <v>2829</v>
      </c>
      <c r="BW310" t="s">
        <v>243</v>
      </c>
      <c r="BX310" t="s">
        <v>243</v>
      </c>
      <c r="BY310" t="s">
        <v>243</v>
      </c>
      <c r="BZ310" t="s">
        <v>243</v>
      </c>
      <c r="CA310" t="s">
        <v>243</v>
      </c>
      <c r="CB310" t="s">
        <v>2829</v>
      </c>
      <c r="CC310" t="s">
        <v>243</v>
      </c>
      <c r="CD310" t="s">
        <v>243</v>
      </c>
      <c r="CE310" t="s">
        <v>243</v>
      </c>
      <c r="CF310" t="s">
        <v>243</v>
      </c>
      <c r="CG310" t="s">
        <v>243</v>
      </c>
      <c r="CH310" t="s">
        <v>2829</v>
      </c>
      <c r="CI310" t="s">
        <v>243</v>
      </c>
      <c r="CJ310" t="s">
        <v>243</v>
      </c>
      <c r="CK310" t="s">
        <v>243</v>
      </c>
      <c r="CL310" t="s">
        <v>243</v>
      </c>
      <c r="CM310" t="s">
        <v>243</v>
      </c>
      <c r="CN310" t="s">
        <v>2836</v>
      </c>
      <c r="CO310" t="s">
        <v>2843</v>
      </c>
      <c r="CP310" t="s">
        <v>2844</v>
      </c>
      <c r="CQ310" t="s">
        <v>430</v>
      </c>
      <c r="CR310" t="s">
        <v>2845</v>
      </c>
      <c r="CS310" t="s">
        <v>431</v>
      </c>
      <c r="CT310" t="s">
        <v>430</v>
      </c>
      <c r="CU310" t="s">
        <v>2846</v>
      </c>
      <c r="CV310" t="s">
        <v>2847</v>
      </c>
      <c r="CW310" t="s">
        <v>2845</v>
      </c>
      <c r="CX310" t="s">
        <v>2848</v>
      </c>
      <c r="CY310" t="s">
        <v>4090</v>
      </c>
    </row>
    <row r="311" spans="1:103" ht="11.25" customHeight="1">
      <c r="A311" t="s">
        <v>243</v>
      </c>
      <c r="B311" t="s">
        <v>243</v>
      </c>
      <c r="C311" t="s">
        <v>243</v>
      </c>
      <c r="D311" t="s">
        <v>243</v>
      </c>
      <c r="E311" t="s">
        <v>243</v>
      </c>
      <c r="F311" t="s">
        <v>2816</v>
      </c>
      <c r="G311" t="s">
        <v>243</v>
      </c>
      <c r="H311" t="s">
        <v>243</v>
      </c>
      <c r="I311" t="s">
        <v>4240</v>
      </c>
      <c r="J311" t="s">
        <v>243</v>
      </c>
      <c r="K311" t="s">
        <v>2818</v>
      </c>
      <c r="L311" t="s">
        <v>243</v>
      </c>
      <c r="M311" t="s">
        <v>114</v>
      </c>
      <c r="N311" t="s">
        <v>243</v>
      </c>
      <c r="O311" t="s">
        <v>2819</v>
      </c>
      <c r="P311" t="s">
        <v>4449</v>
      </c>
      <c r="Q311" t="s">
        <v>2821</v>
      </c>
      <c r="R311" t="s">
        <v>200</v>
      </c>
      <c r="S311" t="s">
        <v>200</v>
      </c>
      <c r="T311" t="s">
        <v>2822</v>
      </c>
      <c r="U311" t="s">
        <v>2822</v>
      </c>
      <c r="V311" t="s">
        <v>2823</v>
      </c>
      <c r="W311" t="s">
        <v>4241</v>
      </c>
      <c r="X311" t="s">
        <v>4242</v>
      </c>
      <c r="Y311" t="s">
        <v>4243</v>
      </c>
      <c r="Z311" t="s">
        <v>341</v>
      </c>
      <c r="AA311" t="s">
        <v>2904</v>
      </c>
      <c r="AB311" t="s">
        <v>4244</v>
      </c>
      <c r="AC311" t="s">
        <v>2829</v>
      </c>
      <c r="AD311" t="s">
        <v>2830</v>
      </c>
      <c r="AE311" t="s">
        <v>2857</v>
      </c>
      <c r="AF311" t="s">
        <v>4245</v>
      </c>
      <c r="AG311" t="s">
        <v>4245</v>
      </c>
      <c r="AH311" t="s">
        <v>2834</v>
      </c>
      <c r="AI311" t="s">
        <v>2835</v>
      </c>
      <c r="AJ311" t="s">
        <v>2836</v>
      </c>
      <c r="AK311" t="s">
        <v>2837</v>
      </c>
      <c r="AL311" t="s">
        <v>2904</v>
      </c>
      <c r="AM311" t="s">
        <v>2907</v>
      </c>
      <c r="AN311" t="s">
        <v>2829</v>
      </c>
      <c r="AO311" t="s">
        <v>2839</v>
      </c>
      <c r="AP311" t="s">
        <v>2840</v>
      </c>
      <c r="AQ311" t="s">
        <v>2841</v>
      </c>
      <c r="AR311" t="s">
        <v>2842</v>
      </c>
      <c r="AS311" t="s">
        <v>2842</v>
      </c>
      <c r="AT311" t="s">
        <v>2829</v>
      </c>
      <c r="AU311" t="s">
        <v>2829</v>
      </c>
      <c r="AV311" t="s">
        <v>2829</v>
      </c>
      <c r="AW311" t="s">
        <v>2829</v>
      </c>
      <c r="AX311" t="s">
        <v>2829</v>
      </c>
      <c r="AY311" t="s">
        <v>2829</v>
      </c>
      <c r="AZ311" t="s">
        <v>2829</v>
      </c>
      <c r="BA311" t="s">
        <v>2829</v>
      </c>
      <c r="BB311" t="s">
        <v>2829</v>
      </c>
      <c r="BC311" t="s">
        <v>2829</v>
      </c>
      <c r="BD311" t="s">
        <v>2842</v>
      </c>
      <c r="BE311" t="s">
        <v>2842</v>
      </c>
      <c r="BF311" t="s">
        <v>243</v>
      </c>
      <c r="BG311" t="s">
        <v>243</v>
      </c>
      <c r="BH311" t="s">
        <v>243</v>
      </c>
      <c r="BI311" t="s">
        <v>243</v>
      </c>
      <c r="BJ311" t="s">
        <v>2829</v>
      </c>
      <c r="BK311" t="s">
        <v>243</v>
      </c>
      <c r="BL311" t="s">
        <v>243</v>
      </c>
      <c r="BM311" t="s">
        <v>243</v>
      </c>
      <c r="BN311" t="s">
        <v>243</v>
      </c>
      <c r="BO311" t="s">
        <v>243</v>
      </c>
      <c r="BP311" t="s">
        <v>2829</v>
      </c>
      <c r="BQ311" t="s">
        <v>243</v>
      </c>
      <c r="BR311" t="s">
        <v>243</v>
      </c>
      <c r="BS311" t="s">
        <v>243</v>
      </c>
      <c r="BT311" t="s">
        <v>243</v>
      </c>
      <c r="BU311" t="s">
        <v>243</v>
      </c>
      <c r="BV311" t="s">
        <v>2829</v>
      </c>
      <c r="BW311" t="s">
        <v>243</v>
      </c>
      <c r="BX311" t="s">
        <v>243</v>
      </c>
      <c r="BY311" t="s">
        <v>243</v>
      </c>
      <c r="BZ311" t="s">
        <v>243</v>
      </c>
      <c r="CA311" t="s">
        <v>243</v>
      </c>
      <c r="CB311" t="s">
        <v>2829</v>
      </c>
      <c r="CC311" t="s">
        <v>243</v>
      </c>
      <c r="CD311" t="s">
        <v>243</v>
      </c>
      <c r="CE311" t="s">
        <v>243</v>
      </c>
      <c r="CF311" t="s">
        <v>243</v>
      </c>
      <c r="CG311" t="s">
        <v>243</v>
      </c>
      <c r="CH311" t="s">
        <v>2829</v>
      </c>
      <c r="CI311" t="s">
        <v>243</v>
      </c>
      <c r="CJ311" t="s">
        <v>243</v>
      </c>
      <c r="CK311" t="s">
        <v>243</v>
      </c>
      <c r="CL311" t="s">
        <v>243</v>
      </c>
      <c r="CM311" t="s">
        <v>243</v>
      </c>
      <c r="CN311" t="s">
        <v>2836</v>
      </c>
      <c r="CO311" t="s">
        <v>2843</v>
      </c>
      <c r="CP311" t="s">
        <v>2844</v>
      </c>
      <c r="CQ311" t="s">
        <v>430</v>
      </c>
      <c r="CR311" t="s">
        <v>2845</v>
      </c>
      <c r="CS311" t="s">
        <v>431</v>
      </c>
      <c r="CT311" t="s">
        <v>430</v>
      </c>
      <c r="CU311" t="s">
        <v>2846</v>
      </c>
      <c r="CV311" t="s">
        <v>2847</v>
      </c>
      <c r="CW311" t="s">
        <v>2845</v>
      </c>
      <c r="CX311" t="s">
        <v>2848</v>
      </c>
      <c r="CY311" t="s">
        <v>4246</v>
      </c>
    </row>
    <row r="312" spans="1:103" ht="11.25" customHeight="1">
      <c r="A312" t="s">
        <v>243</v>
      </c>
      <c r="B312" t="s">
        <v>243</v>
      </c>
      <c r="C312" t="s">
        <v>243</v>
      </c>
      <c r="D312" t="s">
        <v>243</v>
      </c>
      <c r="E312" t="s">
        <v>243</v>
      </c>
      <c r="F312" t="s">
        <v>2816</v>
      </c>
      <c r="G312" t="s">
        <v>243</v>
      </c>
      <c r="H312" t="s">
        <v>243</v>
      </c>
      <c r="I312" t="s">
        <v>3830</v>
      </c>
      <c r="J312" t="s">
        <v>243</v>
      </c>
      <c r="K312" t="s">
        <v>2818</v>
      </c>
      <c r="L312" t="s">
        <v>243</v>
      </c>
      <c r="M312" t="s">
        <v>114</v>
      </c>
      <c r="N312" t="s">
        <v>243</v>
      </c>
      <c r="O312" t="s">
        <v>2819</v>
      </c>
      <c r="P312" t="s">
        <v>4449</v>
      </c>
      <c r="Q312" t="s">
        <v>2821</v>
      </c>
      <c r="R312" t="s">
        <v>200</v>
      </c>
      <c r="S312" t="s">
        <v>200</v>
      </c>
      <c r="T312" t="s">
        <v>2822</v>
      </c>
      <c r="U312" t="s">
        <v>2822</v>
      </c>
      <c r="V312" t="s">
        <v>2823</v>
      </c>
      <c r="W312" t="s">
        <v>2952</v>
      </c>
      <c r="X312" t="s">
        <v>2953</v>
      </c>
      <c r="Y312" t="s">
        <v>4304</v>
      </c>
      <c r="Z312" t="s">
        <v>341</v>
      </c>
      <c r="AA312" t="s">
        <v>2855</v>
      </c>
      <c r="AB312" t="s">
        <v>3688</v>
      </c>
      <c r="AC312" t="s">
        <v>2829</v>
      </c>
      <c r="AD312" t="s">
        <v>2830</v>
      </c>
      <c r="AE312" t="s">
        <v>2831</v>
      </c>
      <c r="AF312" t="s">
        <v>4305</v>
      </c>
      <c r="AG312" t="s">
        <v>2833</v>
      </c>
      <c r="AH312" t="s">
        <v>2834</v>
      </c>
      <c r="AI312" t="s">
        <v>2835</v>
      </c>
      <c r="AJ312" t="s">
        <v>2829</v>
      </c>
      <c r="AK312" t="s">
        <v>2868</v>
      </c>
      <c r="AL312" t="s">
        <v>2855</v>
      </c>
      <c r="AM312" t="s">
        <v>3688</v>
      </c>
      <c r="AN312" t="s">
        <v>2829</v>
      </c>
      <c r="AO312" t="s">
        <v>2839</v>
      </c>
      <c r="AP312" t="s">
        <v>2840</v>
      </c>
      <c r="AQ312" t="s">
        <v>2841</v>
      </c>
      <c r="AR312" t="s">
        <v>4306</v>
      </c>
      <c r="AS312" t="s">
        <v>4306</v>
      </c>
      <c r="AT312" t="s">
        <v>2829</v>
      </c>
      <c r="AU312" t="s">
        <v>2829</v>
      </c>
      <c r="AV312" t="s">
        <v>2829</v>
      </c>
      <c r="AW312" t="s">
        <v>2829</v>
      </c>
      <c r="AX312" t="s">
        <v>2829</v>
      </c>
      <c r="AY312" t="s">
        <v>2829</v>
      </c>
      <c r="AZ312" t="s">
        <v>2829</v>
      </c>
      <c r="BA312" t="s">
        <v>2829</v>
      </c>
      <c r="BB312" t="s">
        <v>2829</v>
      </c>
      <c r="BC312" t="s">
        <v>2829</v>
      </c>
      <c r="BD312" t="s">
        <v>4306</v>
      </c>
      <c r="BE312" t="s">
        <v>4306</v>
      </c>
      <c r="BF312" t="s">
        <v>243</v>
      </c>
      <c r="BG312" t="s">
        <v>243</v>
      </c>
      <c r="BH312" t="s">
        <v>243</v>
      </c>
      <c r="BI312" t="s">
        <v>243</v>
      </c>
      <c r="BJ312" t="s">
        <v>2829</v>
      </c>
      <c r="BK312" t="s">
        <v>243</v>
      </c>
      <c r="BL312" t="s">
        <v>243</v>
      </c>
      <c r="BM312" t="s">
        <v>243</v>
      </c>
      <c r="BN312" t="s">
        <v>243</v>
      </c>
      <c r="BO312" t="s">
        <v>243</v>
      </c>
      <c r="BP312" t="s">
        <v>2829</v>
      </c>
      <c r="BQ312" t="s">
        <v>243</v>
      </c>
      <c r="BR312" t="s">
        <v>243</v>
      </c>
      <c r="BS312" t="s">
        <v>243</v>
      </c>
      <c r="BT312" t="s">
        <v>243</v>
      </c>
      <c r="BU312" t="s">
        <v>243</v>
      </c>
      <c r="BV312" t="s">
        <v>2829</v>
      </c>
      <c r="BW312" t="s">
        <v>243</v>
      </c>
      <c r="BX312" t="s">
        <v>243</v>
      </c>
      <c r="BY312" t="s">
        <v>243</v>
      </c>
      <c r="BZ312" t="s">
        <v>243</v>
      </c>
      <c r="CA312" t="s">
        <v>243</v>
      </c>
      <c r="CB312" t="s">
        <v>2829</v>
      </c>
      <c r="CC312" t="s">
        <v>243</v>
      </c>
      <c r="CD312" t="s">
        <v>243</v>
      </c>
      <c r="CE312" t="s">
        <v>243</v>
      </c>
      <c r="CF312" t="s">
        <v>243</v>
      </c>
      <c r="CG312" t="s">
        <v>243</v>
      </c>
      <c r="CH312" t="s">
        <v>2829</v>
      </c>
      <c r="CI312" t="s">
        <v>243</v>
      </c>
      <c r="CJ312" t="s">
        <v>243</v>
      </c>
      <c r="CK312" t="s">
        <v>243</v>
      </c>
      <c r="CL312" t="s">
        <v>243</v>
      </c>
      <c r="CM312" t="s">
        <v>243</v>
      </c>
      <c r="CN312" t="s">
        <v>2829</v>
      </c>
      <c r="CO312" t="s">
        <v>2843</v>
      </c>
      <c r="CP312" t="s">
        <v>2844</v>
      </c>
      <c r="CQ312" t="s">
        <v>430</v>
      </c>
      <c r="CR312" t="s">
        <v>2872</v>
      </c>
      <c r="CS312" t="s">
        <v>431</v>
      </c>
      <c r="CT312" t="s">
        <v>430</v>
      </c>
      <c r="CU312" t="s">
        <v>2846</v>
      </c>
      <c r="CV312" t="s">
        <v>2873</v>
      </c>
      <c r="CW312" t="s">
        <v>2872</v>
      </c>
      <c r="CX312" t="s">
        <v>2848</v>
      </c>
      <c r="CY312" t="s">
        <v>4307</v>
      </c>
    </row>
    <row r="313" spans="1:103" ht="11.25" customHeight="1">
      <c r="A313" t="s">
        <v>243</v>
      </c>
      <c r="B313" t="s">
        <v>243</v>
      </c>
      <c r="C313" t="s">
        <v>243</v>
      </c>
      <c r="D313" t="s">
        <v>243</v>
      </c>
      <c r="E313" t="s">
        <v>243</v>
      </c>
      <c r="F313" t="s">
        <v>2816</v>
      </c>
      <c r="G313" t="s">
        <v>243</v>
      </c>
      <c r="H313" t="s">
        <v>243</v>
      </c>
      <c r="I313" t="s">
        <v>4402</v>
      </c>
      <c r="J313" t="s">
        <v>243</v>
      </c>
      <c r="K313" t="s">
        <v>4403</v>
      </c>
      <c r="L313" t="s">
        <v>243</v>
      </c>
      <c r="M313" t="s">
        <v>114</v>
      </c>
      <c r="N313" t="s">
        <v>243</v>
      </c>
      <c r="O313" t="s">
        <v>2819</v>
      </c>
      <c r="P313" t="s">
        <v>4449</v>
      </c>
      <c r="Q313" t="s">
        <v>2821</v>
      </c>
      <c r="R313" t="s">
        <v>200</v>
      </c>
      <c r="S313" t="s">
        <v>200</v>
      </c>
      <c r="T313" t="s">
        <v>4451</v>
      </c>
      <c r="U313" t="s">
        <v>4451</v>
      </c>
      <c r="V313" t="s">
        <v>4452</v>
      </c>
      <c r="W313" t="s">
        <v>2935</v>
      </c>
      <c r="X313" t="s">
        <v>4453</v>
      </c>
      <c r="Y313" t="s">
        <v>4404</v>
      </c>
      <c r="Z313" t="s">
        <v>2972</v>
      </c>
      <c r="AA313" t="s">
        <v>2942</v>
      </c>
      <c r="AB313" t="s">
        <v>4405</v>
      </c>
      <c r="AC313" t="s">
        <v>3385</v>
      </c>
      <c r="AD313" t="s">
        <v>2883</v>
      </c>
      <c r="AE313" t="s">
        <v>2831</v>
      </c>
      <c r="AF313" t="s">
        <v>4406</v>
      </c>
      <c r="AG313" t="s">
        <v>4406</v>
      </c>
      <c r="AH313" t="s">
        <v>2834</v>
      </c>
      <c r="AI313" t="s">
        <v>2887</v>
      </c>
      <c r="AJ313" t="s">
        <v>2942</v>
      </c>
      <c r="AK313" t="s">
        <v>3556</v>
      </c>
      <c r="AL313" t="s">
        <v>2942</v>
      </c>
      <c r="AM313" t="s">
        <v>4405</v>
      </c>
      <c r="AN313" t="s">
        <v>3385</v>
      </c>
      <c r="AO313" t="s">
        <v>2839</v>
      </c>
      <c r="AP313" t="s">
        <v>2840</v>
      </c>
      <c r="AQ313" t="s">
        <v>2841</v>
      </c>
      <c r="AR313" t="s">
        <v>4407</v>
      </c>
      <c r="AS313" t="s">
        <v>4408</v>
      </c>
      <c r="AT313" t="s">
        <v>4409</v>
      </c>
      <c r="AU313" t="s">
        <v>2829</v>
      </c>
      <c r="AV313" t="s">
        <v>2829</v>
      </c>
      <c r="AW313" t="s">
        <v>2829</v>
      </c>
      <c r="AX313" t="s">
        <v>2829</v>
      </c>
      <c r="AY313" t="s">
        <v>2829</v>
      </c>
      <c r="AZ313" t="s">
        <v>2829</v>
      </c>
      <c r="BA313" t="s">
        <v>2829</v>
      </c>
      <c r="BB313" t="s">
        <v>2829</v>
      </c>
      <c r="BC313" t="s">
        <v>2829</v>
      </c>
      <c r="BD313" t="s">
        <v>4410</v>
      </c>
      <c r="BE313" t="s">
        <v>4411</v>
      </c>
      <c r="BF313" t="s">
        <v>4412</v>
      </c>
      <c r="BG313" t="s">
        <v>243</v>
      </c>
      <c r="BH313" t="s">
        <v>243</v>
      </c>
      <c r="BI313" t="s">
        <v>243</v>
      </c>
      <c r="BJ313" t="s">
        <v>2829</v>
      </c>
      <c r="BK313" t="s">
        <v>243</v>
      </c>
      <c r="BL313" t="s">
        <v>243</v>
      </c>
      <c r="BM313" t="s">
        <v>243</v>
      </c>
      <c r="BN313" t="s">
        <v>243</v>
      </c>
      <c r="BO313" t="s">
        <v>243</v>
      </c>
      <c r="BP313" t="s">
        <v>4413</v>
      </c>
      <c r="BQ313" t="s">
        <v>4414</v>
      </c>
      <c r="BR313" t="s">
        <v>4415</v>
      </c>
      <c r="BS313" t="s">
        <v>243</v>
      </c>
      <c r="BT313" t="s">
        <v>243</v>
      </c>
      <c r="BU313" t="s">
        <v>243</v>
      </c>
      <c r="BV313" t="s">
        <v>2829</v>
      </c>
      <c r="BW313" t="s">
        <v>243</v>
      </c>
      <c r="BX313" t="s">
        <v>243</v>
      </c>
      <c r="BY313" t="s">
        <v>243</v>
      </c>
      <c r="BZ313" t="s">
        <v>243</v>
      </c>
      <c r="CA313" t="s">
        <v>243</v>
      </c>
      <c r="CB313" t="s">
        <v>2829</v>
      </c>
      <c r="CC313" t="s">
        <v>243</v>
      </c>
      <c r="CD313" t="s">
        <v>243</v>
      </c>
      <c r="CE313" t="s">
        <v>243</v>
      </c>
      <c r="CF313" t="s">
        <v>243</v>
      </c>
      <c r="CG313" t="s">
        <v>243</v>
      </c>
      <c r="CH313" t="s">
        <v>2829</v>
      </c>
      <c r="CI313" t="s">
        <v>243</v>
      </c>
      <c r="CJ313" t="s">
        <v>243</v>
      </c>
      <c r="CK313" t="s">
        <v>243</v>
      </c>
      <c r="CL313" t="s">
        <v>243</v>
      </c>
      <c r="CM313" t="s">
        <v>243</v>
      </c>
      <c r="CN313" t="s">
        <v>2942</v>
      </c>
      <c r="CO313" t="s">
        <v>2843</v>
      </c>
      <c r="CP313" t="s">
        <v>2844</v>
      </c>
      <c r="CQ313" t="s">
        <v>430</v>
      </c>
      <c r="CR313" t="s">
        <v>2947</v>
      </c>
      <c r="CS313" t="s">
        <v>431</v>
      </c>
      <c r="CT313" t="s">
        <v>430</v>
      </c>
      <c r="CU313" t="s">
        <v>2948</v>
      </c>
      <c r="CV313" t="s">
        <v>2949</v>
      </c>
      <c r="CW313" t="s">
        <v>2947</v>
      </c>
      <c r="CX313" t="s">
        <v>2848</v>
      </c>
      <c r="CY313" t="s">
        <v>4416</v>
      </c>
    </row>
    <row r="314" spans="1:103" ht="11.25" customHeight="1">
      <c r="A314" t="s">
        <v>243</v>
      </c>
      <c r="B314" t="s">
        <v>243</v>
      </c>
      <c r="C314" t="s">
        <v>243</v>
      </c>
      <c r="D314" t="s">
        <v>243</v>
      </c>
      <c r="E314" t="s">
        <v>243</v>
      </c>
      <c r="F314" t="s">
        <v>2816</v>
      </c>
      <c r="G314" t="s">
        <v>243</v>
      </c>
      <c r="H314" t="s">
        <v>243</v>
      </c>
      <c r="I314" t="s">
        <v>3404</v>
      </c>
      <c r="J314" t="s">
        <v>243</v>
      </c>
      <c r="K314" t="s">
        <v>433</v>
      </c>
      <c r="L314" t="s">
        <v>243</v>
      </c>
      <c r="M314" t="s">
        <v>114</v>
      </c>
      <c r="N314" t="s">
        <v>243</v>
      </c>
      <c r="O314" t="s">
        <v>2819</v>
      </c>
      <c r="P314" t="s">
        <v>4449</v>
      </c>
      <c r="Q314" t="s">
        <v>2821</v>
      </c>
      <c r="R314" t="s">
        <v>200</v>
      </c>
      <c r="S314" t="s">
        <v>200</v>
      </c>
      <c r="T314" t="s">
        <v>4451</v>
      </c>
      <c r="U314" t="s">
        <v>4451</v>
      </c>
      <c r="V314" t="s">
        <v>4452</v>
      </c>
      <c r="W314" t="s">
        <v>2935</v>
      </c>
      <c r="X314" t="s">
        <v>4453</v>
      </c>
      <c r="Y314" t="s">
        <v>3405</v>
      </c>
      <c r="Z314" t="s">
        <v>3406</v>
      </c>
      <c r="AA314" t="s">
        <v>3010</v>
      </c>
      <c r="AB314" t="s">
        <v>3407</v>
      </c>
      <c r="AC314" t="s">
        <v>2829</v>
      </c>
      <c r="AD314" t="s">
        <v>2883</v>
      </c>
      <c r="AE314" t="s">
        <v>2831</v>
      </c>
      <c r="AF314" t="s">
        <v>3408</v>
      </c>
      <c r="AG314" t="s">
        <v>3408</v>
      </c>
      <c r="AH314" t="s">
        <v>2834</v>
      </c>
      <c r="AI314" t="s">
        <v>2887</v>
      </c>
      <c r="AJ314" t="s">
        <v>2942</v>
      </c>
      <c r="AK314" t="s">
        <v>3409</v>
      </c>
      <c r="AL314" t="s">
        <v>2983</v>
      </c>
      <c r="AM314" t="s">
        <v>3407</v>
      </c>
      <c r="AN314" t="s">
        <v>243</v>
      </c>
      <c r="AO314" t="s">
        <v>2839</v>
      </c>
      <c r="AP314" t="s">
        <v>2840</v>
      </c>
      <c r="AQ314" t="s">
        <v>2841</v>
      </c>
      <c r="AR314" t="s">
        <v>3410</v>
      </c>
      <c r="AS314" t="s">
        <v>3411</v>
      </c>
      <c r="AT314" t="s">
        <v>3412</v>
      </c>
      <c r="AU314" t="s">
        <v>2829</v>
      </c>
      <c r="AV314" t="s">
        <v>2829</v>
      </c>
      <c r="AW314" t="s">
        <v>2829</v>
      </c>
      <c r="AX314" t="s">
        <v>2829</v>
      </c>
      <c r="AY314" t="s">
        <v>2829</v>
      </c>
      <c r="AZ314" t="s">
        <v>2829</v>
      </c>
      <c r="BA314" t="s">
        <v>2829</v>
      </c>
      <c r="BB314" t="s">
        <v>2829</v>
      </c>
      <c r="BC314" t="s">
        <v>2829</v>
      </c>
      <c r="BD314" t="s">
        <v>3413</v>
      </c>
      <c r="BE314" t="s">
        <v>3414</v>
      </c>
      <c r="BF314" t="s">
        <v>3415</v>
      </c>
      <c r="BG314" t="s">
        <v>243</v>
      </c>
      <c r="BH314" t="s">
        <v>243</v>
      </c>
      <c r="BI314" t="s">
        <v>243</v>
      </c>
      <c r="BJ314" t="s">
        <v>2829</v>
      </c>
      <c r="BK314" t="s">
        <v>243</v>
      </c>
      <c r="BL314" t="s">
        <v>243</v>
      </c>
      <c r="BM314" t="s">
        <v>243</v>
      </c>
      <c r="BN314" t="s">
        <v>243</v>
      </c>
      <c r="BO314" t="s">
        <v>243</v>
      </c>
      <c r="BP314" t="s">
        <v>3416</v>
      </c>
      <c r="BQ314" t="s">
        <v>3417</v>
      </c>
      <c r="BR314" t="s">
        <v>3418</v>
      </c>
      <c r="BS314" t="s">
        <v>243</v>
      </c>
      <c r="BT314" t="s">
        <v>243</v>
      </c>
      <c r="BU314" t="s">
        <v>243</v>
      </c>
      <c r="BV314" t="s">
        <v>2829</v>
      </c>
      <c r="BW314" t="s">
        <v>243</v>
      </c>
      <c r="BX314" t="s">
        <v>243</v>
      </c>
      <c r="BY314" t="s">
        <v>243</v>
      </c>
      <c r="BZ314" t="s">
        <v>243</v>
      </c>
      <c r="CA314" t="s">
        <v>243</v>
      </c>
      <c r="CB314" t="s">
        <v>2829</v>
      </c>
      <c r="CC314" t="s">
        <v>243</v>
      </c>
      <c r="CD314" t="s">
        <v>243</v>
      </c>
      <c r="CE314" t="s">
        <v>243</v>
      </c>
      <c r="CF314" t="s">
        <v>243</v>
      </c>
      <c r="CG314" t="s">
        <v>243</v>
      </c>
      <c r="CH314" t="s">
        <v>2829</v>
      </c>
      <c r="CI314" t="s">
        <v>243</v>
      </c>
      <c r="CJ314" t="s">
        <v>243</v>
      </c>
      <c r="CK314" t="s">
        <v>243</v>
      </c>
      <c r="CL314" t="s">
        <v>243</v>
      </c>
      <c r="CM314" t="s">
        <v>243</v>
      </c>
      <c r="CN314" t="s">
        <v>2942</v>
      </c>
      <c r="CO314" t="s">
        <v>2843</v>
      </c>
      <c r="CP314" t="s">
        <v>2844</v>
      </c>
      <c r="CQ314" t="s">
        <v>430</v>
      </c>
      <c r="CR314" t="s">
        <v>2947</v>
      </c>
      <c r="CS314" t="s">
        <v>431</v>
      </c>
      <c r="CT314" t="s">
        <v>430</v>
      </c>
      <c r="CU314" t="s">
        <v>2948</v>
      </c>
      <c r="CV314" t="s">
        <v>2949</v>
      </c>
      <c r="CW314" t="s">
        <v>2947</v>
      </c>
      <c r="CX314" t="s">
        <v>2848</v>
      </c>
      <c r="CY314" t="s">
        <v>3419</v>
      </c>
    </row>
    <row r="315" spans="1:103" ht="11.25" customHeight="1">
      <c r="A315" t="s">
        <v>243</v>
      </c>
      <c r="B315" t="s">
        <v>243</v>
      </c>
      <c r="C315" t="s">
        <v>243</v>
      </c>
      <c r="D315" t="s">
        <v>243</v>
      </c>
      <c r="E315" t="s">
        <v>243</v>
      </c>
      <c r="F315" t="s">
        <v>2816</v>
      </c>
      <c r="G315" t="s">
        <v>243</v>
      </c>
      <c r="H315" t="s">
        <v>243</v>
      </c>
      <c r="I315" t="s">
        <v>3420</v>
      </c>
      <c r="J315" t="s">
        <v>243</v>
      </c>
      <c r="K315" t="s">
        <v>452</v>
      </c>
      <c r="L315" t="s">
        <v>243</v>
      </c>
      <c r="M315" t="s">
        <v>114</v>
      </c>
      <c r="N315" t="s">
        <v>243</v>
      </c>
      <c r="O315" t="s">
        <v>2819</v>
      </c>
      <c r="P315" t="s">
        <v>4449</v>
      </c>
      <c r="Q315" t="s">
        <v>2821</v>
      </c>
      <c r="R315" t="s">
        <v>200</v>
      </c>
      <c r="S315" t="s">
        <v>200</v>
      </c>
      <c r="T315" t="s">
        <v>2968</v>
      </c>
      <c r="U315" t="s">
        <v>2968</v>
      </c>
      <c r="V315" t="s">
        <v>2969</v>
      </c>
      <c r="W315" t="s">
        <v>2970</v>
      </c>
      <c r="X315" t="s">
        <v>2971</v>
      </c>
      <c r="Y315" t="s">
        <v>3104</v>
      </c>
      <c r="Z315" t="s">
        <v>3421</v>
      </c>
      <c r="AA315" t="s">
        <v>3422</v>
      </c>
      <c r="AB315" t="s">
        <v>3423</v>
      </c>
      <c r="AC315" t="s">
        <v>2829</v>
      </c>
      <c r="AD315" t="s">
        <v>2883</v>
      </c>
      <c r="AE315" t="s">
        <v>2975</v>
      </c>
      <c r="AF315" t="s">
        <v>3424</v>
      </c>
      <c r="AG315" t="s">
        <v>3424</v>
      </c>
      <c r="AH315" t="s">
        <v>2834</v>
      </c>
      <c r="AI315" t="s">
        <v>2835</v>
      </c>
      <c r="AJ315" t="s">
        <v>2888</v>
      </c>
      <c r="AK315" t="s">
        <v>3425</v>
      </c>
      <c r="AL315" t="s">
        <v>3422</v>
      </c>
      <c r="AM315" t="s">
        <v>3175</v>
      </c>
      <c r="AN315" t="s">
        <v>2829</v>
      </c>
      <c r="AO315" t="s">
        <v>2839</v>
      </c>
      <c r="AP315" t="s">
        <v>2840</v>
      </c>
      <c r="AQ315" t="s">
        <v>2841</v>
      </c>
      <c r="AR315" t="s">
        <v>3426</v>
      </c>
      <c r="AS315" t="s">
        <v>3426</v>
      </c>
      <c r="AT315" t="s">
        <v>2829</v>
      </c>
      <c r="AU315" t="s">
        <v>2829</v>
      </c>
      <c r="AV315" t="s">
        <v>2829</v>
      </c>
      <c r="AW315" t="s">
        <v>2829</v>
      </c>
      <c r="AX315" t="s">
        <v>2829</v>
      </c>
      <c r="AY315" t="s">
        <v>2829</v>
      </c>
      <c r="AZ315" t="s">
        <v>2829</v>
      </c>
      <c r="BA315" t="s">
        <v>2829</v>
      </c>
      <c r="BB315" t="s">
        <v>2829</v>
      </c>
      <c r="BC315" t="s">
        <v>2829</v>
      </c>
      <c r="BD315" t="s">
        <v>3427</v>
      </c>
      <c r="BE315" t="s">
        <v>3427</v>
      </c>
      <c r="BF315" t="s">
        <v>243</v>
      </c>
      <c r="BG315" t="s">
        <v>243</v>
      </c>
      <c r="BH315" t="s">
        <v>243</v>
      </c>
      <c r="BI315" t="s">
        <v>243</v>
      </c>
      <c r="BJ315" t="s">
        <v>2829</v>
      </c>
      <c r="BK315" t="s">
        <v>243</v>
      </c>
      <c r="BL315" t="s">
        <v>243</v>
      </c>
      <c r="BM315" t="s">
        <v>243</v>
      </c>
      <c r="BN315" t="s">
        <v>243</v>
      </c>
      <c r="BO315" t="s">
        <v>243</v>
      </c>
      <c r="BP315" t="s">
        <v>3428</v>
      </c>
      <c r="BQ315" t="s">
        <v>3428</v>
      </c>
      <c r="BR315" t="s">
        <v>243</v>
      </c>
      <c r="BS315" t="s">
        <v>243</v>
      </c>
      <c r="BT315" t="s">
        <v>243</v>
      </c>
      <c r="BU315" t="s">
        <v>243</v>
      </c>
      <c r="BV315" t="s">
        <v>2829</v>
      </c>
      <c r="BW315" t="s">
        <v>243</v>
      </c>
      <c r="BX315" t="s">
        <v>243</v>
      </c>
      <c r="BY315" t="s">
        <v>243</v>
      </c>
      <c r="BZ315" t="s">
        <v>243</v>
      </c>
      <c r="CA315" t="s">
        <v>243</v>
      </c>
      <c r="CB315" t="s">
        <v>2829</v>
      </c>
      <c r="CC315" t="s">
        <v>243</v>
      </c>
      <c r="CD315" t="s">
        <v>243</v>
      </c>
      <c r="CE315" t="s">
        <v>243</v>
      </c>
      <c r="CF315" t="s">
        <v>243</v>
      </c>
      <c r="CG315" t="s">
        <v>243</v>
      </c>
      <c r="CH315" t="s">
        <v>2829</v>
      </c>
      <c r="CI315" t="s">
        <v>243</v>
      </c>
      <c r="CJ315" t="s">
        <v>243</v>
      </c>
      <c r="CK315" t="s">
        <v>243</v>
      </c>
      <c r="CL315" t="s">
        <v>243</v>
      </c>
      <c r="CM315" t="s">
        <v>243</v>
      </c>
      <c r="CN315" t="s">
        <v>2983</v>
      </c>
      <c r="CO315" t="s">
        <v>2843</v>
      </c>
      <c r="CP315" t="s">
        <v>2844</v>
      </c>
      <c r="CQ315" t="s">
        <v>430</v>
      </c>
      <c r="CR315" t="s">
        <v>2984</v>
      </c>
      <c r="CS315" t="s">
        <v>431</v>
      </c>
      <c r="CT315" t="s">
        <v>430</v>
      </c>
      <c r="CU315" t="s">
        <v>2985</v>
      </c>
      <c r="CV315" t="s">
        <v>2986</v>
      </c>
      <c r="CW315" t="s">
        <v>2984</v>
      </c>
      <c r="CX315" t="s">
        <v>2848</v>
      </c>
      <c r="CY315" t="s">
        <v>3429</v>
      </c>
    </row>
    <row r="316" spans="1:103" ht="11.25" customHeight="1">
      <c r="A316" t="s">
        <v>243</v>
      </c>
      <c r="B316" t="s">
        <v>243</v>
      </c>
      <c r="C316" t="s">
        <v>243</v>
      </c>
      <c r="D316" t="s">
        <v>243</v>
      </c>
      <c r="E316" t="s">
        <v>243</v>
      </c>
      <c r="F316" t="s">
        <v>2816</v>
      </c>
      <c r="G316" t="s">
        <v>243</v>
      </c>
      <c r="H316" t="s">
        <v>243</v>
      </c>
      <c r="I316" t="s">
        <v>4417</v>
      </c>
      <c r="J316" t="s">
        <v>243</v>
      </c>
      <c r="K316" t="s">
        <v>4418</v>
      </c>
      <c r="L316" t="s">
        <v>243</v>
      </c>
      <c r="M316" t="s">
        <v>114</v>
      </c>
      <c r="N316" t="s">
        <v>243</v>
      </c>
      <c r="O316" t="s">
        <v>2819</v>
      </c>
      <c r="P316" t="s">
        <v>4449</v>
      </c>
      <c r="Q316" t="s">
        <v>2821</v>
      </c>
      <c r="R316" t="s">
        <v>200</v>
      </c>
      <c r="S316" t="s">
        <v>200</v>
      </c>
      <c r="T316" t="s">
        <v>2968</v>
      </c>
      <c r="U316" t="s">
        <v>2968</v>
      </c>
      <c r="V316" t="s">
        <v>2969</v>
      </c>
      <c r="W316" t="s">
        <v>4261</v>
      </c>
      <c r="X316" t="s">
        <v>4262</v>
      </c>
      <c r="Y316" t="s">
        <v>2929</v>
      </c>
      <c r="Z316" t="s">
        <v>3141</v>
      </c>
      <c r="AA316" t="s">
        <v>4419</v>
      </c>
      <c r="AB316" t="s">
        <v>3193</v>
      </c>
      <c r="AC316" t="s">
        <v>2829</v>
      </c>
      <c r="AD316" t="s">
        <v>2883</v>
      </c>
      <c r="AE316" t="s">
        <v>2857</v>
      </c>
      <c r="AF316" t="s">
        <v>4420</v>
      </c>
      <c r="AG316" t="s">
        <v>4420</v>
      </c>
      <c r="AH316" t="s">
        <v>2834</v>
      </c>
      <c r="AI316" t="s">
        <v>2835</v>
      </c>
      <c r="AJ316" t="s">
        <v>3572</v>
      </c>
      <c r="AK316" t="s">
        <v>2978</v>
      </c>
      <c r="AL316" t="s">
        <v>4419</v>
      </c>
      <c r="AM316" t="s">
        <v>3193</v>
      </c>
      <c r="AN316" t="s">
        <v>2829</v>
      </c>
      <c r="AO316" t="s">
        <v>2839</v>
      </c>
      <c r="AP316" t="s">
        <v>2840</v>
      </c>
      <c r="AQ316" t="s">
        <v>2841</v>
      </c>
      <c r="AR316" t="s">
        <v>4421</v>
      </c>
      <c r="AS316" t="s">
        <v>4421</v>
      </c>
      <c r="AT316" t="s">
        <v>2829</v>
      </c>
      <c r="AU316" t="s">
        <v>2829</v>
      </c>
      <c r="AV316" t="s">
        <v>2829</v>
      </c>
      <c r="AW316" t="s">
        <v>2829</v>
      </c>
      <c r="AX316" t="s">
        <v>2829</v>
      </c>
      <c r="AY316" t="s">
        <v>2829</v>
      </c>
      <c r="AZ316" t="s">
        <v>2829</v>
      </c>
      <c r="BA316" t="s">
        <v>2829</v>
      </c>
      <c r="BB316" t="s">
        <v>2829</v>
      </c>
      <c r="BC316" t="s">
        <v>2829</v>
      </c>
      <c r="BD316" t="s">
        <v>2829</v>
      </c>
      <c r="BE316" t="s">
        <v>243</v>
      </c>
      <c r="BF316" t="s">
        <v>243</v>
      </c>
      <c r="BG316" t="s">
        <v>243</v>
      </c>
      <c r="BH316" t="s">
        <v>243</v>
      </c>
      <c r="BI316" t="s">
        <v>243</v>
      </c>
      <c r="BJ316" t="s">
        <v>2829</v>
      </c>
      <c r="BK316" t="s">
        <v>243</v>
      </c>
      <c r="BL316" t="s">
        <v>243</v>
      </c>
      <c r="BM316" t="s">
        <v>243</v>
      </c>
      <c r="BN316" t="s">
        <v>243</v>
      </c>
      <c r="BO316" t="s">
        <v>243</v>
      </c>
      <c r="BP316" t="s">
        <v>4421</v>
      </c>
      <c r="BQ316" t="s">
        <v>4421</v>
      </c>
      <c r="BR316" t="s">
        <v>243</v>
      </c>
      <c r="BS316" t="s">
        <v>243</v>
      </c>
      <c r="BT316" t="s">
        <v>243</v>
      </c>
      <c r="BU316" t="s">
        <v>243</v>
      </c>
      <c r="BV316" t="s">
        <v>2829</v>
      </c>
      <c r="BW316" t="s">
        <v>243</v>
      </c>
      <c r="BX316" t="s">
        <v>243</v>
      </c>
      <c r="BY316" t="s">
        <v>243</v>
      </c>
      <c r="BZ316" t="s">
        <v>243</v>
      </c>
      <c r="CA316" t="s">
        <v>243</v>
      </c>
      <c r="CB316" t="s">
        <v>2829</v>
      </c>
      <c r="CC316" t="s">
        <v>243</v>
      </c>
      <c r="CD316" t="s">
        <v>243</v>
      </c>
      <c r="CE316" t="s">
        <v>243</v>
      </c>
      <c r="CF316" t="s">
        <v>243</v>
      </c>
      <c r="CG316" t="s">
        <v>243</v>
      </c>
      <c r="CH316" t="s">
        <v>2829</v>
      </c>
      <c r="CI316" t="s">
        <v>243</v>
      </c>
      <c r="CJ316" t="s">
        <v>243</v>
      </c>
      <c r="CK316" t="s">
        <v>243</v>
      </c>
      <c r="CL316" t="s">
        <v>243</v>
      </c>
      <c r="CM316" t="s">
        <v>243</v>
      </c>
      <c r="CN316" t="s">
        <v>3010</v>
      </c>
      <c r="CO316" t="s">
        <v>2843</v>
      </c>
      <c r="CP316" t="s">
        <v>2844</v>
      </c>
      <c r="CQ316" t="s">
        <v>430</v>
      </c>
      <c r="CR316" t="s">
        <v>2984</v>
      </c>
      <c r="CS316" t="s">
        <v>431</v>
      </c>
      <c r="CT316" t="s">
        <v>430</v>
      </c>
      <c r="CU316" t="s">
        <v>2985</v>
      </c>
      <c r="CV316" t="s">
        <v>2986</v>
      </c>
      <c r="CW316" t="s">
        <v>2984</v>
      </c>
      <c r="CX316" t="s">
        <v>2848</v>
      </c>
      <c r="CY316" t="s">
        <v>4422</v>
      </c>
    </row>
    <row r="317" spans="1:103" ht="11.25" customHeight="1">
      <c r="A317" t="s">
        <v>243</v>
      </c>
      <c r="B317" t="s">
        <v>243</v>
      </c>
      <c r="C317" t="s">
        <v>243</v>
      </c>
      <c r="D317" t="s">
        <v>243</v>
      </c>
      <c r="E317" t="s">
        <v>243</v>
      </c>
      <c r="F317" t="s">
        <v>2816</v>
      </c>
      <c r="G317" t="s">
        <v>243</v>
      </c>
      <c r="H317" t="s">
        <v>243</v>
      </c>
      <c r="I317" t="s">
        <v>4443</v>
      </c>
      <c r="J317" t="s">
        <v>243</v>
      </c>
      <c r="K317" t="s">
        <v>452</v>
      </c>
      <c r="L317" t="s">
        <v>243</v>
      </c>
      <c r="M317" t="s">
        <v>114</v>
      </c>
      <c r="N317" t="s">
        <v>243</v>
      </c>
      <c r="O317" t="s">
        <v>2819</v>
      </c>
      <c r="P317" t="s">
        <v>4449</v>
      </c>
      <c r="Q317" t="s">
        <v>2821</v>
      </c>
      <c r="R317" t="s">
        <v>200</v>
      </c>
      <c r="S317" t="s">
        <v>200</v>
      </c>
      <c r="T317" t="s">
        <v>3022</v>
      </c>
      <c r="U317" t="s">
        <v>3022</v>
      </c>
      <c r="V317" t="s">
        <v>3023</v>
      </c>
      <c r="W317" t="s">
        <v>3431</v>
      </c>
      <c r="X317" t="s">
        <v>3432</v>
      </c>
      <c r="Y317" t="s">
        <v>4430</v>
      </c>
      <c r="Z317" t="s">
        <v>4207</v>
      </c>
      <c r="AA317" t="s">
        <v>4444</v>
      </c>
      <c r="AB317" t="s">
        <v>3490</v>
      </c>
      <c r="AC317" t="s">
        <v>2829</v>
      </c>
      <c r="AD317" t="s">
        <v>2883</v>
      </c>
      <c r="AE317" t="s">
        <v>2831</v>
      </c>
      <c r="AF317" t="s">
        <v>4445</v>
      </c>
      <c r="AG317" t="s">
        <v>4445</v>
      </c>
      <c r="AH317" t="s">
        <v>2834</v>
      </c>
      <c r="AI317" t="s">
        <v>2835</v>
      </c>
      <c r="AJ317" t="s">
        <v>3661</v>
      </c>
      <c r="AK317" t="s">
        <v>3751</v>
      </c>
      <c r="AL317" t="s">
        <v>4444</v>
      </c>
      <c r="AM317" t="s">
        <v>3490</v>
      </c>
      <c r="AN317" t="s">
        <v>2829</v>
      </c>
      <c r="AO317" t="s">
        <v>2839</v>
      </c>
      <c r="AP317" t="s">
        <v>2840</v>
      </c>
      <c r="AQ317" t="s">
        <v>2841</v>
      </c>
      <c r="AR317" t="s">
        <v>4446</v>
      </c>
      <c r="AS317" t="s">
        <v>4446</v>
      </c>
      <c r="AT317" t="s">
        <v>2829</v>
      </c>
      <c r="AU317" t="s">
        <v>2829</v>
      </c>
      <c r="AV317" t="s">
        <v>2829</v>
      </c>
      <c r="AW317" t="s">
        <v>2829</v>
      </c>
      <c r="AX317" t="s">
        <v>2829</v>
      </c>
      <c r="AY317" t="s">
        <v>2829</v>
      </c>
      <c r="AZ317" t="s">
        <v>2829</v>
      </c>
      <c r="BA317" t="s">
        <v>2829</v>
      </c>
      <c r="BB317" t="s">
        <v>2829</v>
      </c>
      <c r="BC317" t="s">
        <v>2829</v>
      </c>
      <c r="BD317" t="s">
        <v>4446</v>
      </c>
      <c r="BE317" t="s">
        <v>4446</v>
      </c>
      <c r="BF317" t="s">
        <v>243</v>
      </c>
      <c r="BG317" t="s">
        <v>243</v>
      </c>
      <c r="BH317" t="s">
        <v>243</v>
      </c>
      <c r="BI317" t="s">
        <v>243</v>
      </c>
      <c r="BJ317" t="s">
        <v>2829</v>
      </c>
      <c r="BK317" t="s">
        <v>243</v>
      </c>
      <c r="BL317" t="s">
        <v>243</v>
      </c>
      <c r="BM317" t="s">
        <v>243</v>
      </c>
      <c r="BN317" t="s">
        <v>243</v>
      </c>
      <c r="BO317" t="s">
        <v>243</v>
      </c>
      <c r="BP317" t="s">
        <v>2829</v>
      </c>
      <c r="BQ317" t="s">
        <v>243</v>
      </c>
      <c r="BR317" t="s">
        <v>243</v>
      </c>
      <c r="BS317" t="s">
        <v>243</v>
      </c>
      <c r="BT317" t="s">
        <v>243</v>
      </c>
      <c r="BU317" t="s">
        <v>243</v>
      </c>
      <c r="BV317" t="s">
        <v>2829</v>
      </c>
      <c r="BW317" t="s">
        <v>243</v>
      </c>
      <c r="BX317" t="s">
        <v>243</v>
      </c>
      <c r="BY317" t="s">
        <v>243</v>
      </c>
      <c r="BZ317" t="s">
        <v>243</v>
      </c>
      <c r="CA317" t="s">
        <v>243</v>
      </c>
      <c r="CB317" t="s">
        <v>2829</v>
      </c>
      <c r="CC317" t="s">
        <v>243</v>
      </c>
      <c r="CD317" t="s">
        <v>243</v>
      </c>
      <c r="CE317" t="s">
        <v>243</v>
      </c>
      <c r="CF317" t="s">
        <v>243</v>
      </c>
      <c r="CG317" t="s">
        <v>243</v>
      </c>
      <c r="CH317" t="s">
        <v>2829</v>
      </c>
      <c r="CI317" t="s">
        <v>243</v>
      </c>
      <c r="CJ317" t="s">
        <v>243</v>
      </c>
      <c r="CK317" t="s">
        <v>243</v>
      </c>
      <c r="CL317" t="s">
        <v>243</v>
      </c>
      <c r="CM317" t="s">
        <v>243</v>
      </c>
      <c r="CN317" t="s">
        <v>3041</v>
      </c>
      <c r="CO317" t="s">
        <v>2843</v>
      </c>
      <c r="CP317" t="s">
        <v>2844</v>
      </c>
      <c r="CQ317" t="s">
        <v>430</v>
      </c>
      <c r="CR317" t="s">
        <v>3033</v>
      </c>
      <c r="CS317" t="s">
        <v>431</v>
      </c>
      <c r="CT317" t="s">
        <v>430</v>
      </c>
      <c r="CU317" t="s">
        <v>3034</v>
      </c>
      <c r="CV317" t="s">
        <v>432</v>
      </c>
      <c r="CW317" t="s">
        <v>3033</v>
      </c>
      <c r="CX317" t="s">
        <v>2848</v>
      </c>
      <c r="CY317" t="s">
        <v>4447</v>
      </c>
    </row>
    <row r="318" spans="1:103" ht="11.25" customHeight="1">
      <c r="A318" t="s">
        <v>243</v>
      </c>
      <c r="B318" t="s">
        <v>243</v>
      </c>
      <c r="C318" t="s">
        <v>243</v>
      </c>
      <c r="D318" t="s">
        <v>243</v>
      </c>
      <c r="E318" t="s">
        <v>243</v>
      </c>
      <c r="F318" t="s">
        <v>2816</v>
      </c>
      <c r="G318" t="s">
        <v>243</v>
      </c>
      <c r="H318" t="s">
        <v>243</v>
      </c>
      <c r="I318" t="s">
        <v>3430</v>
      </c>
      <c r="J318" t="s">
        <v>243</v>
      </c>
      <c r="K318" t="s">
        <v>455</v>
      </c>
      <c r="L318" t="s">
        <v>243</v>
      </c>
      <c r="M318" t="s">
        <v>114</v>
      </c>
      <c r="N318" t="s">
        <v>243</v>
      </c>
      <c r="O318" t="s">
        <v>2819</v>
      </c>
      <c r="P318" t="s">
        <v>4449</v>
      </c>
      <c r="Q318" t="s">
        <v>2821</v>
      </c>
      <c r="R318" t="s">
        <v>200</v>
      </c>
      <c r="S318" t="s">
        <v>200</v>
      </c>
      <c r="T318" t="s">
        <v>3022</v>
      </c>
      <c r="U318" t="s">
        <v>3022</v>
      </c>
      <c r="V318" t="s">
        <v>3023</v>
      </c>
      <c r="W318" t="s">
        <v>3431</v>
      </c>
      <c r="X318" t="s">
        <v>3432</v>
      </c>
      <c r="Y318" t="s">
        <v>3433</v>
      </c>
      <c r="Z318" t="s">
        <v>3434</v>
      </c>
      <c r="AA318" t="s">
        <v>2966</v>
      </c>
      <c r="AB318" t="s">
        <v>3435</v>
      </c>
      <c r="AC318" t="s">
        <v>2829</v>
      </c>
      <c r="AD318" t="s">
        <v>2883</v>
      </c>
      <c r="AE318" t="s">
        <v>2831</v>
      </c>
      <c r="AF318" t="s">
        <v>3436</v>
      </c>
      <c r="AG318" t="s">
        <v>3436</v>
      </c>
      <c r="AH318" t="s">
        <v>2834</v>
      </c>
      <c r="AI318" t="s">
        <v>2835</v>
      </c>
      <c r="AJ318" t="s">
        <v>3030</v>
      </c>
      <c r="AK318" t="s">
        <v>3437</v>
      </c>
      <c r="AL318" t="s">
        <v>2966</v>
      </c>
      <c r="AM318" t="s">
        <v>3435</v>
      </c>
      <c r="AN318" t="s">
        <v>2829</v>
      </c>
      <c r="AO318" t="s">
        <v>2839</v>
      </c>
      <c r="AP318" t="s">
        <v>2840</v>
      </c>
      <c r="AQ318" t="s">
        <v>2841</v>
      </c>
      <c r="AR318" t="s">
        <v>3382</v>
      </c>
      <c r="AS318" t="s">
        <v>3382</v>
      </c>
      <c r="AT318" t="s">
        <v>2829</v>
      </c>
      <c r="AU318" t="s">
        <v>2829</v>
      </c>
      <c r="AV318" t="s">
        <v>2829</v>
      </c>
      <c r="AW318" t="s">
        <v>2829</v>
      </c>
      <c r="AX318" t="s">
        <v>2829</v>
      </c>
      <c r="AY318" t="s">
        <v>2829</v>
      </c>
      <c r="AZ318" t="s">
        <v>2829</v>
      </c>
      <c r="BA318" t="s">
        <v>2829</v>
      </c>
      <c r="BB318" t="s">
        <v>2829</v>
      </c>
      <c r="BC318" t="s">
        <v>2829</v>
      </c>
      <c r="BD318" t="s">
        <v>3438</v>
      </c>
      <c r="BE318" t="s">
        <v>3438</v>
      </c>
      <c r="BF318" t="s">
        <v>243</v>
      </c>
      <c r="BG318" t="s">
        <v>243</v>
      </c>
      <c r="BH318" t="s">
        <v>243</v>
      </c>
      <c r="BI318" t="s">
        <v>243</v>
      </c>
      <c r="BJ318" t="s">
        <v>2829</v>
      </c>
      <c r="BK318" t="s">
        <v>243</v>
      </c>
      <c r="BL318" t="s">
        <v>243</v>
      </c>
      <c r="BM318" t="s">
        <v>243</v>
      </c>
      <c r="BN318" t="s">
        <v>243</v>
      </c>
      <c r="BO318" t="s">
        <v>243</v>
      </c>
      <c r="BP318" t="s">
        <v>2829</v>
      </c>
      <c r="BQ318" t="s">
        <v>243</v>
      </c>
      <c r="BR318" t="s">
        <v>243</v>
      </c>
      <c r="BS318" t="s">
        <v>243</v>
      </c>
      <c r="BT318" t="s">
        <v>243</v>
      </c>
      <c r="BU318" t="s">
        <v>243</v>
      </c>
      <c r="BV318" t="s">
        <v>2829</v>
      </c>
      <c r="BW318" t="s">
        <v>243</v>
      </c>
      <c r="BX318" t="s">
        <v>243</v>
      </c>
      <c r="BY318" t="s">
        <v>243</v>
      </c>
      <c r="BZ318" t="s">
        <v>243</v>
      </c>
      <c r="CA318" t="s">
        <v>243</v>
      </c>
      <c r="CB318" t="s">
        <v>3439</v>
      </c>
      <c r="CC318" t="s">
        <v>3439</v>
      </c>
      <c r="CD318" t="s">
        <v>243</v>
      </c>
      <c r="CE318" t="s">
        <v>243</v>
      </c>
      <c r="CF318" t="s">
        <v>243</v>
      </c>
      <c r="CG318" t="s">
        <v>243</v>
      </c>
      <c r="CH318" t="s">
        <v>2829</v>
      </c>
      <c r="CI318" t="s">
        <v>243</v>
      </c>
      <c r="CJ318" t="s">
        <v>243</v>
      </c>
      <c r="CK318" t="s">
        <v>243</v>
      </c>
      <c r="CL318" t="s">
        <v>243</v>
      </c>
      <c r="CM318" t="s">
        <v>243</v>
      </c>
      <c r="CN318" t="s">
        <v>3044</v>
      </c>
      <c r="CO318" t="s">
        <v>2843</v>
      </c>
      <c r="CP318" t="s">
        <v>2844</v>
      </c>
      <c r="CQ318" t="s">
        <v>430</v>
      </c>
      <c r="CR318" t="s">
        <v>3033</v>
      </c>
      <c r="CS318" t="s">
        <v>431</v>
      </c>
      <c r="CT318" t="s">
        <v>430</v>
      </c>
      <c r="CU318" t="s">
        <v>3034</v>
      </c>
      <c r="CV318" t="s">
        <v>432</v>
      </c>
      <c r="CW318" t="s">
        <v>3033</v>
      </c>
      <c r="CX318" t="s">
        <v>2848</v>
      </c>
      <c r="CY318" t="s">
        <v>3440</v>
      </c>
    </row>
    <row r="319" spans="1:103" ht="11.25" customHeight="1">
      <c r="A319" t="s">
        <v>243</v>
      </c>
      <c r="B319" t="s">
        <v>243</v>
      </c>
      <c r="C319" t="s">
        <v>243</v>
      </c>
      <c r="D319" t="s">
        <v>243</v>
      </c>
      <c r="E319" t="s">
        <v>243</v>
      </c>
      <c r="F319" t="s">
        <v>2816</v>
      </c>
      <c r="G319" t="s">
        <v>243</v>
      </c>
      <c r="H319" t="s">
        <v>243</v>
      </c>
      <c r="I319" t="s">
        <v>3525</v>
      </c>
      <c r="J319" t="s">
        <v>243</v>
      </c>
      <c r="K319" t="s">
        <v>3526</v>
      </c>
      <c r="L319" t="s">
        <v>243</v>
      </c>
      <c r="M319" t="s">
        <v>114</v>
      </c>
      <c r="N319" t="s">
        <v>243</v>
      </c>
      <c r="O319" t="s">
        <v>2819</v>
      </c>
      <c r="P319" t="s">
        <v>4449</v>
      </c>
      <c r="Q319" t="s">
        <v>2821</v>
      </c>
      <c r="R319" t="s">
        <v>200</v>
      </c>
      <c r="S319" t="s">
        <v>200</v>
      </c>
      <c r="T319" t="s">
        <v>3022</v>
      </c>
      <c r="U319" t="s">
        <v>3022</v>
      </c>
      <c r="V319" t="s">
        <v>3023</v>
      </c>
      <c r="W319" t="s">
        <v>3461</v>
      </c>
      <c r="X319" t="s">
        <v>3462</v>
      </c>
      <c r="Y319" t="s">
        <v>3248</v>
      </c>
      <c r="Z319" t="s">
        <v>463</v>
      </c>
      <c r="AA319" t="s">
        <v>3527</v>
      </c>
      <c r="AB319" t="s">
        <v>3528</v>
      </c>
      <c r="AC319" t="s">
        <v>2829</v>
      </c>
      <c r="AD319" t="s">
        <v>2883</v>
      </c>
      <c r="AE319" t="s">
        <v>2831</v>
      </c>
      <c r="AF319" t="s">
        <v>3529</v>
      </c>
      <c r="AG319" t="s">
        <v>3529</v>
      </c>
      <c r="AH319" t="s">
        <v>2834</v>
      </c>
      <c r="AI319" t="s">
        <v>2835</v>
      </c>
      <c r="AJ319" t="s">
        <v>3044</v>
      </c>
      <c r="AK319" t="s">
        <v>3466</v>
      </c>
      <c r="AL319" t="s">
        <v>3527</v>
      </c>
      <c r="AM319" t="s">
        <v>3528</v>
      </c>
      <c r="AN319" t="s">
        <v>2829</v>
      </c>
      <c r="AO319" t="s">
        <v>2839</v>
      </c>
      <c r="AP319" t="s">
        <v>2840</v>
      </c>
      <c r="AQ319" t="s">
        <v>2841</v>
      </c>
      <c r="AR319" t="s">
        <v>3530</v>
      </c>
      <c r="AS319" t="s">
        <v>3530</v>
      </c>
      <c r="AT319" t="s">
        <v>2829</v>
      </c>
      <c r="AU319" t="s">
        <v>2829</v>
      </c>
      <c r="AV319" t="s">
        <v>2829</v>
      </c>
      <c r="AW319" t="s">
        <v>2829</v>
      </c>
      <c r="AX319" t="s">
        <v>2829</v>
      </c>
      <c r="AY319" t="s">
        <v>2829</v>
      </c>
      <c r="AZ319" t="s">
        <v>2829</v>
      </c>
      <c r="BA319" t="s">
        <v>2829</v>
      </c>
      <c r="BB319" t="s">
        <v>2829</v>
      </c>
      <c r="BC319" t="s">
        <v>2829</v>
      </c>
      <c r="BD319" t="s">
        <v>2829</v>
      </c>
      <c r="BE319" t="s">
        <v>243</v>
      </c>
      <c r="BF319" t="s">
        <v>243</v>
      </c>
      <c r="BG319" t="s">
        <v>243</v>
      </c>
      <c r="BH319" t="s">
        <v>243</v>
      </c>
      <c r="BI319" t="s">
        <v>243</v>
      </c>
      <c r="BJ319" t="s">
        <v>2829</v>
      </c>
      <c r="BK319" t="s">
        <v>243</v>
      </c>
      <c r="BL319" t="s">
        <v>243</v>
      </c>
      <c r="BM319" t="s">
        <v>243</v>
      </c>
      <c r="BN319" t="s">
        <v>243</v>
      </c>
      <c r="BO319" t="s">
        <v>243</v>
      </c>
      <c r="BP319" t="s">
        <v>3530</v>
      </c>
      <c r="BQ319" t="s">
        <v>3530</v>
      </c>
      <c r="BR319" t="s">
        <v>243</v>
      </c>
      <c r="BS319" t="s">
        <v>243</v>
      </c>
      <c r="BT319" t="s">
        <v>243</v>
      </c>
      <c r="BU319" t="s">
        <v>243</v>
      </c>
      <c r="BV319" t="s">
        <v>2829</v>
      </c>
      <c r="BW319" t="s">
        <v>243</v>
      </c>
      <c r="BX319" t="s">
        <v>243</v>
      </c>
      <c r="BY319" t="s">
        <v>243</v>
      </c>
      <c r="BZ319" t="s">
        <v>243</v>
      </c>
      <c r="CA319" t="s">
        <v>243</v>
      </c>
      <c r="CB319" t="s">
        <v>2829</v>
      </c>
      <c r="CC319" t="s">
        <v>243</v>
      </c>
      <c r="CD319" t="s">
        <v>243</v>
      </c>
      <c r="CE319" t="s">
        <v>243</v>
      </c>
      <c r="CF319" t="s">
        <v>243</v>
      </c>
      <c r="CG319" t="s">
        <v>243</v>
      </c>
      <c r="CH319" t="s">
        <v>2829</v>
      </c>
      <c r="CI319" t="s">
        <v>243</v>
      </c>
      <c r="CJ319" t="s">
        <v>243</v>
      </c>
      <c r="CK319" t="s">
        <v>243</v>
      </c>
      <c r="CL319" t="s">
        <v>243</v>
      </c>
      <c r="CM319" t="s">
        <v>243</v>
      </c>
      <c r="CN319" t="s">
        <v>3041</v>
      </c>
      <c r="CO319" t="s">
        <v>2843</v>
      </c>
      <c r="CP319" t="s">
        <v>2844</v>
      </c>
      <c r="CQ319" t="s">
        <v>430</v>
      </c>
      <c r="CR319" t="s">
        <v>3033</v>
      </c>
      <c r="CS319" t="s">
        <v>431</v>
      </c>
      <c r="CT319" t="s">
        <v>430</v>
      </c>
      <c r="CU319" t="s">
        <v>3034</v>
      </c>
      <c r="CV319" t="s">
        <v>432</v>
      </c>
      <c r="CW319" t="s">
        <v>3033</v>
      </c>
      <c r="CX319" t="s">
        <v>2848</v>
      </c>
      <c r="CY319" t="s">
        <v>3531</v>
      </c>
    </row>
    <row r="320" spans="1:103" ht="11.25" customHeight="1">
      <c r="A320" t="s">
        <v>243</v>
      </c>
      <c r="B320" t="s">
        <v>243</v>
      </c>
      <c r="C320" t="s">
        <v>243</v>
      </c>
      <c r="D320" t="s">
        <v>243</v>
      </c>
      <c r="E320" t="s">
        <v>243</v>
      </c>
      <c r="F320" t="s">
        <v>2816</v>
      </c>
      <c r="G320" t="s">
        <v>243</v>
      </c>
      <c r="H320" t="s">
        <v>243</v>
      </c>
      <c r="I320" t="s">
        <v>3666</v>
      </c>
      <c r="J320" t="s">
        <v>243</v>
      </c>
      <c r="K320" t="s">
        <v>3667</v>
      </c>
      <c r="L320" t="s">
        <v>243</v>
      </c>
      <c r="M320" t="s">
        <v>114</v>
      </c>
      <c r="N320" t="s">
        <v>243</v>
      </c>
      <c r="O320" t="s">
        <v>2819</v>
      </c>
      <c r="P320" t="s">
        <v>4449</v>
      </c>
      <c r="Q320" t="s">
        <v>2821</v>
      </c>
      <c r="R320" t="s">
        <v>200</v>
      </c>
      <c r="S320" t="s">
        <v>200</v>
      </c>
      <c r="T320" t="s">
        <v>3022</v>
      </c>
      <c r="U320" t="s">
        <v>3022</v>
      </c>
      <c r="V320" t="s">
        <v>3023</v>
      </c>
      <c r="W320" t="s">
        <v>3668</v>
      </c>
      <c r="X320" t="s">
        <v>3669</v>
      </c>
      <c r="Y320" t="s">
        <v>3584</v>
      </c>
      <c r="Z320" t="s">
        <v>3670</v>
      </c>
      <c r="AA320" t="s">
        <v>3671</v>
      </c>
      <c r="AB320" t="s">
        <v>3672</v>
      </c>
      <c r="AC320" t="s">
        <v>2829</v>
      </c>
      <c r="AD320" t="s">
        <v>2883</v>
      </c>
      <c r="AE320" t="s">
        <v>2831</v>
      </c>
      <c r="AF320" t="s">
        <v>3482</v>
      </c>
      <c r="AG320" t="s">
        <v>3482</v>
      </c>
      <c r="AH320" t="s">
        <v>2834</v>
      </c>
      <c r="AI320" t="s">
        <v>2835</v>
      </c>
      <c r="AJ320" t="s">
        <v>3030</v>
      </c>
      <c r="AK320" t="s">
        <v>3673</v>
      </c>
      <c r="AL320" t="s">
        <v>3671</v>
      </c>
      <c r="AM320" t="s">
        <v>3672</v>
      </c>
      <c r="AN320" t="s">
        <v>2829</v>
      </c>
      <c r="AO320" t="s">
        <v>2839</v>
      </c>
      <c r="AP320" t="s">
        <v>2840</v>
      </c>
      <c r="AQ320" t="s">
        <v>2841</v>
      </c>
      <c r="AR320" t="s">
        <v>3674</v>
      </c>
      <c r="AS320" t="s">
        <v>3674</v>
      </c>
      <c r="AT320" t="s">
        <v>2829</v>
      </c>
      <c r="AU320" t="s">
        <v>2829</v>
      </c>
      <c r="AV320" t="s">
        <v>2829</v>
      </c>
      <c r="AW320" t="s">
        <v>2829</v>
      </c>
      <c r="AX320" t="s">
        <v>2829</v>
      </c>
      <c r="AY320" t="s">
        <v>2829</v>
      </c>
      <c r="AZ320" t="s">
        <v>2829</v>
      </c>
      <c r="BA320" t="s">
        <v>2829</v>
      </c>
      <c r="BB320" t="s">
        <v>2829</v>
      </c>
      <c r="BC320" t="s">
        <v>2829</v>
      </c>
      <c r="BD320" t="s">
        <v>2829</v>
      </c>
      <c r="BE320" t="s">
        <v>243</v>
      </c>
      <c r="BF320" t="s">
        <v>243</v>
      </c>
      <c r="BG320" t="s">
        <v>243</v>
      </c>
      <c r="BH320" t="s">
        <v>243</v>
      </c>
      <c r="BI320" t="s">
        <v>243</v>
      </c>
      <c r="BJ320" t="s">
        <v>2829</v>
      </c>
      <c r="BK320" t="s">
        <v>243</v>
      </c>
      <c r="BL320" t="s">
        <v>243</v>
      </c>
      <c r="BM320" t="s">
        <v>243</v>
      </c>
      <c r="BN320" t="s">
        <v>243</v>
      </c>
      <c r="BO320" t="s">
        <v>243</v>
      </c>
      <c r="BP320" t="s">
        <v>3674</v>
      </c>
      <c r="BQ320" t="s">
        <v>3674</v>
      </c>
      <c r="BR320" t="s">
        <v>243</v>
      </c>
      <c r="BS320" t="s">
        <v>243</v>
      </c>
      <c r="BT320" t="s">
        <v>243</v>
      </c>
      <c r="BU320" t="s">
        <v>243</v>
      </c>
      <c r="BV320" t="s">
        <v>2829</v>
      </c>
      <c r="BW320" t="s">
        <v>243</v>
      </c>
      <c r="BX320" t="s">
        <v>243</v>
      </c>
      <c r="BY320" t="s">
        <v>243</v>
      </c>
      <c r="BZ320" t="s">
        <v>243</v>
      </c>
      <c r="CA320" t="s">
        <v>243</v>
      </c>
      <c r="CB320" t="s">
        <v>2829</v>
      </c>
      <c r="CC320" t="s">
        <v>243</v>
      </c>
      <c r="CD320" t="s">
        <v>243</v>
      </c>
      <c r="CE320" t="s">
        <v>243</v>
      </c>
      <c r="CF320" t="s">
        <v>243</v>
      </c>
      <c r="CG320" t="s">
        <v>243</v>
      </c>
      <c r="CH320" t="s">
        <v>2829</v>
      </c>
      <c r="CI320" t="s">
        <v>243</v>
      </c>
      <c r="CJ320" t="s">
        <v>243</v>
      </c>
      <c r="CK320" t="s">
        <v>243</v>
      </c>
      <c r="CL320" t="s">
        <v>243</v>
      </c>
      <c r="CM320" t="s">
        <v>243</v>
      </c>
      <c r="CN320" t="s">
        <v>3030</v>
      </c>
      <c r="CO320" t="s">
        <v>2843</v>
      </c>
      <c r="CP320" t="s">
        <v>2844</v>
      </c>
      <c r="CQ320" t="s">
        <v>430</v>
      </c>
      <c r="CR320" t="s">
        <v>3033</v>
      </c>
      <c r="CS320" t="s">
        <v>431</v>
      </c>
      <c r="CT320" t="s">
        <v>430</v>
      </c>
      <c r="CU320" t="s">
        <v>3034</v>
      </c>
      <c r="CV320" t="s">
        <v>432</v>
      </c>
      <c r="CW320" t="s">
        <v>3033</v>
      </c>
      <c r="CX320" t="s">
        <v>2848</v>
      </c>
      <c r="CY320" t="s">
        <v>3675</v>
      </c>
    </row>
    <row r="321" spans="1:103" ht="11.25" customHeight="1">
      <c r="A321" t="s">
        <v>243</v>
      </c>
      <c r="B321" t="s">
        <v>243</v>
      </c>
      <c r="C321" t="s">
        <v>243</v>
      </c>
      <c r="D321" t="s">
        <v>243</v>
      </c>
      <c r="E321" t="s">
        <v>243</v>
      </c>
      <c r="F321" t="s">
        <v>2816</v>
      </c>
      <c r="G321" t="s">
        <v>243</v>
      </c>
      <c r="H321" t="s">
        <v>243</v>
      </c>
      <c r="I321" t="s">
        <v>3748</v>
      </c>
      <c r="J321" t="s">
        <v>243</v>
      </c>
      <c r="K321" t="s">
        <v>441</v>
      </c>
      <c r="L321" t="s">
        <v>243</v>
      </c>
      <c r="M321" t="s">
        <v>114</v>
      </c>
      <c r="N321" t="s">
        <v>243</v>
      </c>
      <c r="O321" t="s">
        <v>2819</v>
      </c>
      <c r="P321" t="s">
        <v>4449</v>
      </c>
      <c r="Q321" t="s">
        <v>2821</v>
      </c>
      <c r="R321" t="s">
        <v>200</v>
      </c>
      <c r="S321" t="s">
        <v>200</v>
      </c>
      <c r="T321" t="s">
        <v>3048</v>
      </c>
      <c r="U321" t="s">
        <v>3048</v>
      </c>
      <c r="V321" t="s">
        <v>3049</v>
      </c>
      <c r="W321" t="s">
        <v>3050</v>
      </c>
      <c r="X321" t="s">
        <v>3051</v>
      </c>
      <c r="Y321" t="s">
        <v>3127</v>
      </c>
      <c r="Z321" t="s">
        <v>2930</v>
      </c>
      <c r="AA321" t="s">
        <v>3749</v>
      </c>
      <c r="AB321" t="s">
        <v>3750</v>
      </c>
      <c r="AC321" t="s">
        <v>2829</v>
      </c>
      <c r="AD321" t="s">
        <v>2883</v>
      </c>
      <c r="AE321" t="s">
        <v>2831</v>
      </c>
      <c r="AF321" t="s">
        <v>3055</v>
      </c>
      <c r="AG321" t="s">
        <v>3055</v>
      </c>
      <c r="AH321" t="s">
        <v>2834</v>
      </c>
      <c r="AI321" t="s">
        <v>2835</v>
      </c>
      <c r="AJ321" t="s">
        <v>3176</v>
      </c>
      <c r="AK321" t="s">
        <v>3751</v>
      </c>
      <c r="AL321" t="s">
        <v>3749</v>
      </c>
      <c r="AM321" t="s">
        <v>3750</v>
      </c>
      <c r="AN321" t="s">
        <v>2829</v>
      </c>
      <c r="AO321" t="s">
        <v>2839</v>
      </c>
      <c r="AP321" t="s">
        <v>2840</v>
      </c>
      <c r="AQ321" t="s">
        <v>2841</v>
      </c>
      <c r="AR321" t="s">
        <v>3752</v>
      </c>
      <c r="AS321" t="s">
        <v>3752</v>
      </c>
      <c r="AT321" t="s">
        <v>2829</v>
      </c>
      <c r="AU321" t="s">
        <v>2829</v>
      </c>
      <c r="AV321" t="s">
        <v>2829</v>
      </c>
      <c r="AW321" t="s">
        <v>2829</v>
      </c>
      <c r="AX321" t="s">
        <v>2829</v>
      </c>
      <c r="AY321" t="s">
        <v>2829</v>
      </c>
      <c r="AZ321" t="s">
        <v>2829</v>
      </c>
      <c r="BA321" t="s">
        <v>2829</v>
      </c>
      <c r="BB321" t="s">
        <v>2829</v>
      </c>
      <c r="BC321" t="s">
        <v>2829</v>
      </c>
      <c r="BD321" t="s">
        <v>3752</v>
      </c>
      <c r="BE321" t="s">
        <v>3752</v>
      </c>
      <c r="BF321" t="s">
        <v>243</v>
      </c>
      <c r="BG321" t="s">
        <v>243</v>
      </c>
      <c r="BH321" t="s">
        <v>243</v>
      </c>
      <c r="BI321" t="s">
        <v>243</v>
      </c>
      <c r="BJ321" t="s">
        <v>2829</v>
      </c>
      <c r="BK321" t="s">
        <v>243</v>
      </c>
      <c r="BL321" t="s">
        <v>243</v>
      </c>
      <c r="BM321" t="s">
        <v>243</v>
      </c>
      <c r="BN321" t="s">
        <v>243</v>
      </c>
      <c r="BO321" t="s">
        <v>243</v>
      </c>
      <c r="BP321" t="s">
        <v>2829</v>
      </c>
      <c r="BQ321" t="s">
        <v>243</v>
      </c>
      <c r="BR321" t="s">
        <v>243</v>
      </c>
      <c r="BS321" t="s">
        <v>243</v>
      </c>
      <c r="BT321" t="s">
        <v>243</v>
      </c>
      <c r="BU321" t="s">
        <v>243</v>
      </c>
      <c r="BV321" t="s">
        <v>2829</v>
      </c>
      <c r="BW321" t="s">
        <v>243</v>
      </c>
      <c r="BX321" t="s">
        <v>243</v>
      </c>
      <c r="BY321" t="s">
        <v>243</v>
      </c>
      <c r="BZ321" t="s">
        <v>243</v>
      </c>
      <c r="CA321" t="s">
        <v>243</v>
      </c>
      <c r="CB321" t="s">
        <v>2829</v>
      </c>
      <c r="CC321" t="s">
        <v>243</v>
      </c>
      <c r="CD321" t="s">
        <v>243</v>
      </c>
      <c r="CE321" t="s">
        <v>243</v>
      </c>
      <c r="CF321" t="s">
        <v>243</v>
      </c>
      <c r="CG321" t="s">
        <v>243</v>
      </c>
      <c r="CH321" t="s">
        <v>2829</v>
      </c>
      <c r="CI321" t="s">
        <v>243</v>
      </c>
      <c r="CJ321" t="s">
        <v>243</v>
      </c>
      <c r="CK321" t="s">
        <v>243</v>
      </c>
      <c r="CL321" t="s">
        <v>243</v>
      </c>
      <c r="CM321" t="s">
        <v>243</v>
      </c>
      <c r="CN321" t="s">
        <v>3753</v>
      </c>
      <c r="CO321" t="s">
        <v>2843</v>
      </c>
      <c r="CP321" t="s">
        <v>2844</v>
      </c>
      <c r="CQ321" t="s">
        <v>430</v>
      </c>
      <c r="CR321" t="s">
        <v>2872</v>
      </c>
      <c r="CS321" t="s">
        <v>431</v>
      </c>
      <c r="CT321" t="s">
        <v>430</v>
      </c>
      <c r="CU321" t="s">
        <v>3061</v>
      </c>
      <c r="CV321" t="s">
        <v>3062</v>
      </c>
      <c r="CW321" t="s">
        <v>2872</v>
      </c>
      <c r="CX321" t="s">
        <v>2848</v>
      </c>
      <c r="CY321" t="s">
        <v>3754</v>
      </c>
    </row>
    <row r="322" spans="1:103" ht="11.25" customHeight="1">
      <c r="A322" t="s">
        <v>243</v>
      </c>
      <c r="B322" t="s">
        <v>243</v>
      </c>
      <c r="C322" t="s">
        <v>243</v>
      </c>
      <c r="D322" t="s">
        <v>243</v>
      </c>
      <c r="E322" t="s">
        <v>243</v>
      </c>
      <c r="F322" t="s">
        <v>2816</v>
      </c>
      <c r="G322" t="s">
        <v>243</v>
      </c>
      <c r="H322" t="s">
        <v>243</v>
      </c>
      <c r="I322" t="s">
        <v>3474</v>
      </c>
      <c r="J322" t="s">
        <v>243</v>
      </c>
      <c r="K322" t="s">
        <v>2818</v>
      </c>
      <c r="L322" t="s">
        <v>243</v>
      </c>
      <c r="M322" t="s">
        <v>114</v>
      </c>
      <c r="N322" t="s">
        <v>243</v>
      </c>
      <c r="O322" t="s">
        <v>2819</v>
      </c>
      <c r="P322" t="s">
        <v>4449</v>
      </c>
      <c r="Q322" t="s">
        <v>2821</v>
      </c>
      <c r="R322" t="s">
        <v>200</v>
      </c>
      <c r="S322" t="s">
        <v>200</v>
      </c>
      <c r="T322" t="s">
        <v>2822</v>
      </c>
      <c r="U322" t="s">
        <v>2822</v>
      </c>
      <c r="V322" t="s">
        <v>2823</v>
      </c>
      <c r="W322" t="s">
        <v>2851</v>
      </c>
      <c r="X322" t="s">
        <v>2852</v>
      </c>
      <c r="Y322" t="s">
        <v>2853</v>
      </c>
      <c r="Z322" t="s">
        <v>3475</v>
      </c>
      <c r="AA322" t="s">
        <v>2855</v>
      </c>
      <c r="AB322" t="s">
        <v>2842</v>
      </c>
      <c r="AC322" t="s">
        <v>2829</v>
      </c>
      <c r="AD322" t="s">
        <v>2830</v>
      </c>
      <c r="AE322" t="s">
        <v>2857</v>
      </c>
      <c r="AF322" t="s">
        <v>2867</v>
      </c>
      <c r="AG322" t="s">
        <v>2867</v>
      </c>
      <c r="AH322" t="s">
        <v>2834</v>
      </c>
      <c r="AI322" t="s">
        <v>2835</v>
      </c>
      <c r="AJ322" t="s">
        <v>2829</v>
      </c>
      <c r="AK322" t="s">
        <v>2922</v>
      </c>
      <c r="AL322" t="s">
        <v>2855</v>
      </c>
      <c r="AM322" t="s">
        <v>2842</v>
      </c>
      <c r="AN322" t="s">
        <v>2829</v>
      </c>
      <c r="AO322" t="s">
        <v>2839</v>
      </c>
      <c r="AP322" t="s">
        <v>2840</v>
      </c>
      <c r="AQ322" t="s">
        <v>2841</v>
      </c>
      <c r="AR322" t="s">
        <v>2923</v>
      </c>
      <c r="AS322" t="s">
        <v>2923</v>
      </c>
      <c r="AT322" t="s">
        <v>2829</v>
      </c>
      <c r="AU322" t="s">
        <v>2829</v>
      </c>
      <c r="AV322" t="s">
        <v>2829</v>
      </c>
      <c r="AW322" t="s">
        <v>2829</v>
      </c>
      <c r="AX322" t="s">
        <v>2829</v>
      </c>
      <c r="AY322" t="s">
        <v>2829</v>
      </c>
      <c r="AZ322" t="s">
        <v>2829</v>
      </c>
      <c r="BA322" t="s">
        <v>2829</v>
      </c>
      <c r="BB322" t="s">
        <v>2829</v>
      </c>
      <c r="BC322" t="s">
        <v>2829</v>
      </c>
      <c r="BD322" t="s">
        <v>2923</v>
      </c>
      <c r="BE322" t="s">
        <v>2923</v>
      </c>
      <c r="BF322" t="s">
        <v>243</v>
      </c>
      <c r="BG322" t="s">
        <v>243</v>
      </c>
      <c r="BH322" t="s">
        <v>243</v>
      </c>
      <c r="BI322" t="s">
        <v>243</v>
      </c>
      <c r="BJ322" t="s">
        <v>2829</v>
      </c>
      <c r="BK322" t="s">
        <v>243</v>
      </c>
      <c r="BL322" t="s">
        <v>243</v>
      </c>
      <c r="BM322" t="s">
        <v>243</v>
      </c>
      <c r="BN322" t="s">
        <v>243</v>
      </c>
      <c r="BO322" t="s">
        <v>243</v>
      </c>
      <c r="BP322" t="s">
        <v>2829</v>
      </c>
      <c r="BQ322" t="s">
        <v>243</v>
      </c>
      <c r="BR322" t="s">
        <v>243</v>
      </c>
      <c r="BS322" t="s">
        <v>243</v>
      </c>
      <c r="BT322" t="s">
        <v>243</v>
      </c>
      <c r="BU322" t="s">
        <v>243</v>
      </c>
      <c r="BV322" t="s">
        <v>2829</v>
      </c>
      <c r="BW322" t="s">
        <v>243</v>
      </c>
      <c r="BX322" t="s">
        <v>243</v>
      </c>
      <c r="BY322" t="s">
        <v>243</v>
      </c>
      <c r="BZ322" t="s">
        <v>243</v>
      </c>
      <c r="CA322" t="s">
        <v>243</v>
      </c>
      <c r="CB322" t="s">
        <v>2829</v>
      </c>
      <c r="CC322" t="s">
        <v>243</v>
      </c>
      <c r="CD322" t="s">
        <v>243</v>
      </c>
      <c r="CE322" t="s">
        <v>243</v>
      </c>
      <c r="CF322" t="s">
        <v>243</v>
      </c>
      <c r="CG322" t="s">
        <v>243</v>
      </c>
      <c r="CH322" t="s">
        <v>2829</v>
      </c>
      <c r="CI322" t="s">
        <v>243</v>
      </c>
      <c r="CJ322" t="s">
        <v>243</v>
      </c>
      <c r="CK322" t="s">
        <v>243</v>
      </c>
      <c r="CL322" t="s">
        <v>243</v>
      </c>
      <c r="CM322" t="s">
        <v>243</v>
      </c>
      <c r="CN322" t="s">
        <v>2829</v>
      </c>
      <c r="CO322" t="s">
        <v>2924</v>
      </c>
      <c r="CP322" t="s">
        <v>2844</v>
      </c>
      <c r="CQ322" t="s">
        <v>430</v>
      </c>
      <c r="CR322" t="s">
        <v>2872</v>
      </c>
      <c r="CS322" t="s">
        <v>431</v>
      </c>
      <c r="CT322" t="s">
        <v>430</v>
      </c>
      <c r="CU322" t="s">
        <v>2846</v>
      </c>
      <c r="CV322" t="s">
        <v>2873</v>
      </c>
      <c r="CW322" t="s">
        <v>2872</v>
      </c>
      <c r="CX322" t="s">
        <v>2848</v>
      </c>
      <c r="CY322" t="s">
        <v>3476</v>
      </c>
    </row>
    <row r="323" spans="1:103" ht="11.25" customHeight="1">
      <c r="A323" t="s">
        <v>243</v>
      </c>
      <c r="B323" t="s">
        <v>243</v>
      </c>
      <c r="C323" t="s">
        <v>243</v>
      </c>
      <c r="D323" t="s">
        <v>243</v>
      </c>
      <c r="E323" t="s">
        <v>243</v>
      </c>
      <c r="F323" t="s">
        <v>2816</v>
      </c>
      <c r="G323" t="s">
        <v>243</v>
      </c>
      <c r="H323" t="s">
        <v>243</v>
      </c>
      <c r="I323" t="s">
        <v>3539</v>
      </c>
      <c r="J323" t="s">
        <v>243</v>
      </c>
      <c r="K323" t="s">
        <v>3487</v>
      </c>
      <c r="L323" t="s">
        <v>243</v>
      </c>
      <c r="M323" t="s">
        <v>114</v>
      </c>
      <c r="N323" t="s">
        <v>243</v>
      </c>
      <c r="O323" t="s">
        <v>2819</v>
      </c>
      <c r="P323" t="s">
        <v>4449</v>
      </c>
      <c r="Q323" t="s">
        <v>2821</v>
      </c>
      <c r="R323" t="s">
        <v>200</v>
      </c>
      <c r="S323" t="s">
        <v>200</v>
      </c>
      <c r="T323" t="s">
        <v>4451</v>
      </c>
      <c r="U323" t="s">
        <v>4451</v>
      </c>
      <c r="V323" t="s">
        <v>4452</v>
      </c>
      <c r="W323" t="s">
        <v>2935</v>
      </c>
      <c r="X323" t="s">
        <v>4453</v>
      </c>
      <c r="Y323" t="s">
        <v>3540</v>
      </c>
      <c r="Z323" t="s">
        <v>2817</v>
      </c>
      <c r="AA323" t="s">
        <v>2836</v>
      </c>
      <c r="AB323" t="s">
        <v>3541</v>
      </c>
      <c r="AC323" t="s">
        <v>2829</v>
      </c>
      <c r="AD323" t="s">
        <v>2830</v>
      </c>
      <c r="AE323" t="s">
        <v>2831</v>
      </c>
      <c r="AF323" t="s">
        <v>3542</v>
      </c>
      <c r="AG323" t="s">
        <v>3542</v>
      </c>
      <c r="AH323" t="s">
        <v>2834</v>
      </c>
      <c r="AI323" t="s">
        <v>2887</v>
      </c>
      <c r="AJ323" t="s">
        <v>2942</v>
      </c>
      <c r="AK323" t="s">
        <v>3543</v>
      </c>
      <c r="AL323" t="s">
        <v>2836</v>
      </c>
      <c r="AM323" t="s">
        <v>3541</v>
      </c>
      <c r="AN323" t="s">
        <v>243</v>
      </c>
      <c r="AO323" t="s">
        <v>2839</v>
      </c>
      <c r="AP323" t="s">
        <v>3544</v>
      </c>
      <c r="AQ323" t="s">
        <v>2841</v>
      </c>
      <c r="AR323" t="s">
        <v>3545</v>
      </c>
      <c r="AS323" t="s">
        <v>3545</v>
      </c>
      <c r="AT323" t="s">
        <v>2829</v>
      </c>
      <c r="AU323" t="s">
        <v>2829</v>
      </c>
      <c r="AV323" t="s">
        <v>2829</v>
      </c>
      <c r="AW323" t="s">
        <v>2829</v>
      </c>
      <c r="AX323" t="s">
        <v>3546</v>
      </c>
      <c r="AY323" t="s">
        <v>3546</v>
      </c>
      <c r="AZ323" t="s">
        <v>2829</v>
      </c>
      <c r="BA323" t="s">
        <v>2829</v>
      </c>
      <c r="BB323" t="s">
        <v>2829</v>
      </c>
      <c r="BC323" t="s">
        <v>2829</v>
      </c>
      <c r="BD323" t="s">
        <v>3547</v>
      </c>
      <c r="BE323" t="s">
        <v>3547</v>
      </c>
      <c r="BF323" t="s">
        <v>243</v>
      </c>
      <c r="BG323" t="s">
        <v>243</v>
      </c>
      <c r="BH323" t="s">
        <v>243</v>
      </c>
      <c r="BI323" t="s">
        <v>243</v>
      </c>
      <c r="BJ323" t="s">
        <v>3548</v>
      </c>
      <c r="BK323" t="s">
        <v>3548</v>
      </c>
      <c r="BL323" t="s">
        <v>243</v>
      </c>
      <c r="BM323" t="s">
        <v>243</v>
      </c>
      <c r="BN323" t="s">
        <v>243</v>
      </c>
      <c r="BO323" t="s">
        <v>243</v>
      </c>
      <c r="BP323" t="s">
        <v>3054</v>
      </c>
      <c r="BQ323" t="s">
        <v>3054</v>
      </c>
      <c r="BR323" t="s">
        <v>243</v>
      </c>
      <c r="BS323" t="s">
        <v>243</v>
      </c>
      <c r="BT323" t="s">
        <v>243</v>
      </c>
      <c r="BU323" t="s">
        <v>243</v>
      </c>
      <c r="BV323" t="s">
        <v>3054</v>
      </c>
      <c r="BW323" t="s">
        <v>3054</v>
      </c>
      <c r="BX323" t="s">
        <v>243</v>
      </c>
      <c r="BY323" t="s">
        <v>243</v>
      </c>
      <c r="BZ323" t="s">
        <v>243</v>
      </c>
      <c r="CA323" t="s">
        <v>243</v>
      </c>
      <c r="CB323" t="s">
        <v>2829</v>
      </c>
      <c r="CC323" t="s">
        <v>243</v>
      </c>
      <c r="CD323" t="s">
        <v>243</v>
      </c>
      <c r="CE323" t="s">
        <v>243</v>
      </c>
      <c r="CF323" t="s">
        <v>243</v>
      </c>
      <c r="CG323" t="s">
        <v>243</v>
      </c>
      <c r="CH323" t="s">
        <v>2829</v>
      </c>
      <c r="CI323" t="s">
        <v>243</v>
      </c>
      <c r="CJ323" t="s">
        <v>243</v>
      </c>
      <c r="CK323" t="s">
        <v>243</v>
      </c>
      <c r="CL323" t="s">
        <v>243</v>
      </c>
      <c r="CM323" t="s">
        <v>243</v>
      </c>
      <c r="CN323" t="s">
        <v>2942</v>
      </c>
      <c r="CO323" t="s">
        <v>2843</v>
      </c>
      <c r="CP323" t="s">
        <v>2844</v>
      </c>
      <c r="CQ323" t="s">
        <v>430</v>
      </c>
      <c r="CR323" t="s">
        <v>2947</v>
      </c>
      <c r="CS323" t="s">
        <v>431</v>
      </c>
      <c r="CT323" t="s">
        <v>430</v>
      </c>
      <c r="CU323" t="s">
        <v>2948</v>
      </c>
      <c r="CV323" t="s">
        <v>2949</v>
      </c>
      <c r="CW323" t="s">
        <v>2947</v>
      </c>
      <c r="CX323" t="s">
        <v>2848</v>
      </c>
      <c r="CY323" t="s">
        <v>3549</v>
      </c>
    </row>
    <row r="324" spans="1:103" ht="11.25" customHeight="1">
      <c r="A324" t="s">
        <v>243</v>
      </c>
      <c r="B324" t="s">
        <v>243</v>
      </c>
      <c r="C324" t="s">
        <v>243</v>
      </c>
      <c r="D324" t="s">
        <v>243</v>
      </c>
      <c r="E324" t="s">
        <v>243</v>
      </c>
      <c r="F324" t="s">
        <v>2816</v>
      </c>
      <c r="G324" t="s">
        <v>243</v>
      </c>
      <c r="H324" t="s">
        <v>243</v>
      </c>
      <c r="I324" t="s">
        <v>4423</v>
      </c>
      <c r="J324" t="s">
        <v>243</v>
      </c>
      <c r="K324" t="s">
        <v>4424</v>
      </c>
      <c r="L324" t="s">
        <v>243</v>
      </c>
      <c r="M324" t="s">
        <v>114</v>
      </c>
      <c r="N324" t="s">
        <v>243</v>
      </c>
      <c r="O324" t="s">
        <v>2819</v>
      </c>
      <c r="P324" t="s">
        <v>4449</v>
      </c>
      <c r="Q324" t="s">
        <v>2821</v>
      </c>
      <c r="R324" t="s">
        <v>200</v>
      </c>
      <c r="S324" t="s">
        <v>200</v>
      </c>
      <c r="T324" t="s">
        <v>2968</v>
      </c>
      <c r="U324" t="s">
        <v>2968</v>
      </c>
      <c r="V324" t="s">
        <v>2969</v>
      </c>
      <c r="W324" t="s">
        <v>3508</v>
      </c>
      <c r="X324" t="s">
        <v>3509</v>
      </c>
      <c r="Y324" t="s">
        <v>3610</v>
      </c>
      <c r="Z324" t="s">
        <v>4425</v>
      </c>
      <c r="AA324" t="s">
        <v>3664</v>
      </c>
      <c r="AB324" t="s">
        <v>4426</v>
      </c>
      <c r="AC324" t="s">
        <v>2829</v>
      </c>
      <c r="AD324" t="s">
        <v>2883</v>
      </c>
      <c r="AE324" t="s">
        <v>2975</v>
      </c>
      <c r="AF324" t="s">
        <v>4427</v>
      </c>
      <c r="AG324" t="s">
        <v>4427</v>
      </c>
      <c r="AH324" t="s">
        <v>2834</v>
      </c>
      <c r="AI324" t="s">
        <v>2835</v>
      </c>
      <c r="AJ324" t="s">
        <v>2983</v>
      </c>
      <c r="AK324" t="s">
        <v>2978</v>
      </c>
      <c r="AL324" t="s">
        <v>3664</v>
      </c>
      <c r="AM324" t="s">
        <v>4426</v>
      </c>
      <c r="AN324" t="s">
        <v>2829</v>
      </c>
      <c r="AO324" t="s">
        <v>2839</v>
      </c>
      <c r="AP324" t="s">
        <v>2840</v>
      </c>
      <c r="AQ324" t="s">
        <v>2841</v>
      </c>
      <c r="AR324" t="s">
        <v>3260</v>
      </c>
      <c r="AS324" t="s">
        <v>3260</v>
      </c>
      <c r="AT324" t="s">
        <v>2829</v>
      </c>
      <c r="AU324" t="s">
        <v>2829</v>
      </c>
      <c r="AV324" t="s">
        <v>2829</v>
      </c>
      <c r="AW324" t="s">
        <v>2829</v>
      </c>
      <c r="AX324" t="s">
        <v>2829</v>
      </c>
      <c r="AY324" t="s">
        <v>2829</v>
      </c>
      <c r="AZ324" t="s">
        <v>2829</v>
      </c>
      <c r="BA324" t="s">
        <v>2829</v>
      </c>
      <c r="BB324" t="s">
        <v>2829</v>
      </c>
      <c r="BC324" t="s">
        <v>2829</v>
      </c>
      <c r="BD324" t="s">
        <v>2829</v>
      </c>
      <c r="BE324" t="s">
        <v>243</v>
      </c>
      <c r="BF324" t="s">
        <v>243</v>
      </c>
      <c r="BG324" t="s">
        <v>243</v>
      </c>
      <c r="BH324" t="s">
        <v>243</v>
      </c>
      <c r="BI324" t="s">
        <v>243</v>
      </c>
      <c r="BJ324" t="s">
        <v>2829</v>
      </c>
      <c r="BK324" t="s">
        <v>243</v>
      </c>
      <c r="BL324" t="s">
        <v>243</v>
      </c>
      <c r="BM324" t="s">
        <v>243</v>
      </c>
      <c r="BN324" t="s">
        <v>243</v>
      </c>
      <c r="BO324" t="s">
        <v>243</v>
      </c>
      <c r="BP324" t="s">
        <v>3260</v>
      </c>
      <c r="BQ324" t="s">
        <v>3260</v>
      </c>
      <c r="BR324" t="s">
        <v>243</v>
      </c>
      <c r="BS324" t="s">
        <v>243</v>
      </c>
      <c r="BT324" t="s">
        <v>243</v>
      </c>
      <c r="BU324" t="s">
        <v>243</v>
      </c>
      <c r="BV324" t="s">
        <v>2829</v>
      </c>
      <c r="BW324" t="s">
        <v>243</v>
      </c>
      <c r="BX324" t="s">
        <v>243</v>
      </c>
      <c r="BY324" t="s">
        <v>243</v>
      </c>
      <c r="BZ324" t="s">
        <v>243</v>
      </c>
      <c r="CA324" t="s">
        <v>243</v>
      </c>
      <c r="CB324" t="s">
        <v>2829</v>
      </c>
      <c r="CC324" t="s">
        <v>243</v>
      </c>
      <c r="CD324" t="s">
        <v>243</v>
      </c>
      <c r="CE324" t="s">
        <v>243</v>
      </c>
      <c r="CF324" t="s">
        <v>243</v>
      </c>
      <c r="CG324" t="s">
        <v>243</v>
      </c>
      <c r="CH324" t="s">
        <v>2829</v>
      </c>
      <c r="CI324" t="s">
        <v>243</v>
      </c>
      <c r="CJ324" t="s">
        <v>243</v>
      </c>
      <c r="CK324" t="s">
        <v>243</v>
      </c>
      <c r="CL324" t="s">
        <v>243</v>
      </c>
      <c r="CM324" t="s">
        <v>243</v>
      </c>
      <c r="CN324" t="s">
        <v>3010</v>
      </c>
      <c r="CO324" t="s">
        <v>2843</v>
      </c>
      <c r="CP324" t="s">
        <v>2844</v>
      </c>
      <c r="CQ324" t="s">
        <v>430</v>
      </c>
      <c r="CR324" t="s">
        <v>2984</v>
      </c>
      <c r="CS324" t="s">
        <v>431</v>
      </c>
      <c r="CT324" t="s">
        <v>430</v>
      </c>
      <c r="CU324" t="s">
        <v>2985</v>
      </c>
      <c r="CV324" t="s">
        <v>2986</v>
      </c>
      <c r="CW324" t="s">
        <v>2984</v>
      </c>
      <c r="CX324" t="s">
        <v>2848</v>
      </c>
      <c r="CY324" t="s">
        <v>4428</v>
      </c>
    </row>
    <row r="325" spans="1:103" ht="11.25" customHeight="1">
      <c r="A325" t="s">
        <v>243</v>
      </c>
      <c r="B325" t="s">
        <v>243</v>
      </c>
      <c r="C325" t="s">
        <v>243</v>
      </c>
      <c r="D325" t="s">
        <v>243</v>
      </c>
      <c r="E325" t="s">
        <v>243</v>
      </c>
      <c r="F325" t="s">
        <v>2816</v>
      </c>
      <c r="G325" t="s">
        <v>243</v>
      </c>
      <c r="H325" t="s">
        <v>243</v>
      </c>
      <c r="I325" t="s">
        <v>3506</v>
      </c>
      <c r="J325" t="s">
        <v>243</v>
      </c>
      <c r="K325" t="s">
        <v>3507</v>
      </c>
      <c r="L325" t="s">
        <v>243</v>
      </c>
      <c r="M325" t="s">
        <v>114</v>
      </c>
      <c r="N325" t="s">
        <v>243</v>
      </c>
      <c r="O325" t="s">
        <v>2819</v>
      </c>
      <c r="P325" t="s">
        <v>4449</v>
      </c>
      <c r="Q325" t="s">
        <v>2821</v>
      </c>
      <c r="R325" t="s">
        <v>200</v>
      </c>
      <c r="S325" t="s">
        <v>200</v>
      </c>
      <c r="T325" t="s">
        <v>2968</v>
      </c>
      <c r="U325" t="s">
        <v>2968</v>
      </c>
      <c r="V325" t="s">
        <v>2969</v>
      </c>
      <c r="W325" t="s">
        <v>3508</v>
      </c>
      <c r="X325" t="s">
        <v>3509</v>
      </c>
      <c r="Y325" t="s">
        <v>3510</v>
      </c>
      <c r="Z325" t="s">
        <v>437</v>
      </c>
      <c r="AA325" t="s">
        <v>3058</v>
      </c>
      <c r="AB325" t="s">
        <v>3511</v>
      </c>
      <c r="AC325" t="s">
        <v>2829</v>
      </c>
      <c r="AD325" t="s">
        <v>2883</v>
      </c>
      <c r="AE325" t="s">
        <v>2857</v>
      </c>
      <c r="AF325" t="s">
        <v>3512</v>
      </c>
      <c r="AG325" t="s">
        <v>3512</v>
      </c>
      <c r="AH325" t="s">
        <v>2834</v>
      </c>
      <c r="AI325" t="s">
        <v>2835</v>
      </c>
      <c r="AJ325" t="s">
        <v>2836</v>
      </c>
      <c r="AK325" t="s">
        <v>4462</v>
      </c>
      <c r="AL325" t="s">
        <v>3058</v>
      </c>
      <c r="AM325" t="s">
        <v>2923</v>
      </c>
      <c r="AN325" t="s">
        <v>2829</v>
      </c>
      <c r="AO325" t="s">
        <v>2839</v>
      </c>
      <c r="AP325" t="s">
        <v>2840</v>
      </c>
      <c r="AQ325" t="s">
        <v>2841</v>
      </c>
      <c r="AR325" t="s">
        <v>3514</v>
      </c>
      <c r="AS325" t="s">
        <v>3514</v>
      </c>
      <c r="AT325" t="s">
        <v>2829</v>
      </c>
      <c r="AU325" t="s">
        <v>2829</v>
      </c>
      <c r="AV325" t="s">
        <v>2829</v>
      </c>
      <c r="AW325" t="s">
        <v>2829</v>
      </c>
      <c r="AX325" t="s">
        <v>2829</v>
      </c>
      <c r="AY325" t="s">
        <v>2829</v>
      </c>
      <c r="AZ325" t="s">
        <v>2829</v>
      </c>
      <c r="BA325" t="s">
        <v>2829</v>
      </c>
      <c r="BB325" t="s">
        <v>2829</v>
      </c>
      <c r="BC325" t="s">
        <v>2829</v>
      </c>
      <c r="BD325" t="s">
        <v>3514</v>
      </c>
      <c r="BE325" t="s">
        <v>3514</v>
      </c>
      <c r="BF325" t="s">
        <v>243</v>
      </c>
      <c r="BG325" t="s">
        <v>243</v>
      </c>
      <c r="BH325" t="s">
        <v>243</v>
      </c>
      <c r="BI325" t="s">
        <v>243</v>
      </c>
      <c r="BJ325" t="s">
        <v>2829</v>
      </c>
      <c r="BK325" t="s">
        <v>243</v>
      </c>
      <c r="BL325" t="s">
        <v>243</v>
      </c>
      <c r="BM325" t="s">
        <v>243</v>
      </c>
      <c r="BN325" t="s">
        <v>243</v>
      </c>
      <c r="BO325" t="s">
        <v>243</v>
      </c>
      <c r="BP325" t="s">
        <v>2829</v>
      </c>
      <c r="BQ325" t="s">
        <v>243</v>
      </c>
      <c r="BR325" t="s">
        <v>243</v>
      </c>
      <c r="BS325" t="s">
        <v>243</v>
      </c>
      <c r="BT325" t="s">
        <v>243</v>
      </c>
      <c r="BU325" t="s">
        <v>243</v>
      </c>
      <c r="BV325" t="s">
        <v>2829</v>
      </c>
      <c r="BW325" t="s">
        <v>243</v>
      </c>
      <c r="BX325" t="s">
        <v>243</v>
      </c>
      <c r="BY325" t="s">
        <v>243</v>
      </c>
      <c r="BZ325" t="s">
        <v>243</v>
      </c>
      <c r="CA325" t="s">
        <v>243</v>
      </c>
      <c r="CB325" t="s">
        <v>2829</v>
      </c>
      <c r="CC325" t="s">
        <v>243</v>
      </c>
      <c r="CD325" t="s">
        <v>243</v>
      </c>
      <c r="CE325" t="s">
        <v>243</v>
      </c>
      <c r="CF325" t="s">
        <v>243</v>
      </c>
      <c r="CG325" t="s">
        <v>243</v>
      </c>
      <c r="CH325" t="s">
        <v>2829</v>
      </c>
      <c r="CI325" t="s">
        <v>243</v>
      </c>
      <c r="CJ325" t="s">
        <v>243</v>
      </c>
      <c r="CK325" t="s">
        <v>243</v>
      </c>
      <c r="CL325" t="s">
        <v>243</v>
      </c>
      <c r="CM325" t="s">
        <v>243</v>
      </c>
      <c r="CN325" t="s">
        <v>2836</v>
      </c>
      <c r="CO325" t="s">
        <v>2843</v>
      </c>
      <c r="CP325" t="s">
        <v>2844</v>
      </c>
      <c r="CQ325" t="s">
        <v>430</v>
      </c>
      <c r="CR325" t="s">
        <v>2984</v>
      </c>
      <c r="CS325" t="s">
        <v>431</v>
      </c>
      <c r="CT325" t="s">
        <v>430</v>
      </c>
      <c r="CU325" t="s">
        <v>2985</v>
      </c>
      <c r="CV325" t="s">
        <v>2986</v>
      </c>
      <c r="CW325" t="s">
        <v>2984</v>
      </c>
      <c r="CX325" t="s">
        <v>2848</v>
      </c>
      <c r="CY325" t="s">
        <v>3515</v>
      </c>
    </row>
    <row r="326" spans="1:103" ht="11.25" customHeight="1">
      <c r="A326" t="s">
        <v>243</v>
      </c>
      <c r="B326" t="s">
        <v>243</v>
      </c>
      <c r="C326" t="s">
        <v>243</v>
      </c>
      <c r="D326" t="s">
        <v>243</v>
      </c>
      <c r="E326" t="s">
        <v>243</v>
      </c>
      <c r="F326" t="s">
        <v>2816</v>
      </c>
      <c r="G326" t="s">
        <v>243</v>
      </c>
      <c r="H326" t="s">
        <v>243</v>
      </c>
      <c r="I326" t="s">
        <v>3441</v>
      </c>
      <c r="J326" t="s">
        <v>243</v>
      </c>
      <c r="K326" t="s">
        <v>441</v>
      </c>
      <c r="L326" t="s">
        <v>243</v>
      </c>
      <c r="M326" t="s">
        <v>114</v>
      </c>
      <c r="N326" t="s">
        <v>243</v>
      </c>
      <c r="O326" t="s">
        <v>2819</v>
      </c>
      <c r="P326" t="s">
        <v>4449</v>
      </c>
      <c r="Q326" t="s">
        <v>2821</v>
      </c>
      <c r="R326" t="s">
        <v>200</v>
      </c>
      <c r="S326" t="s">
        <v>200</v>
      </c>
      <c r="T326" t="s">
        <v>3022</v>
      </c>
      <c r="U326" t="s">
        <v>3022</v>
      </c>
      <c r="V326" t="s">
        <v>3023</v>
      </c>
      <c r="W326" t="s">
        <v>3431</v>
      </c>
      <c r="X326" t="s">
        <v>3432</v>
      </c>
      <c r="Y326" t="s">
        <v>3442</v>
      </c>
      <c r="Z326" t="s">
        <v>457</v>
      </c>
      <c r="AA326" t="s">
        <v>3193</v>
      </c>
      <c r="AB326" t="s">
        <v>3443</v>
      </c>
      <c r="AC326" t="s">
        <v>2829</v>
      </c>
      <c r="AD326" t="s">
        <v>2883</v>
      </c>
      <c r="AE326" t="s">
        <v>2831</v>
      </c>
      <c r="AF326" t="s">
        <v>3444</v>
      </c>
      <c r="AG326" t="s">
        <v>3444</v>
      </c>
      <c r="AH326" t="s">
        <v>2834</v>
      </c>
      <c r="AI326" t="s">
        <v>2835</v>
      </c>
      <c r="AJ326" t="s">
        <v>3041</v>
      </c>
      <c r="AK326" t="s">
        <v>3445</v>
      </c>
      <c r="AL326" t="s">
        <v>3193</v>
      </c>
      <c r="AM326" t="s">
        <v>3443</v>
      </c>
      <c r="AN326" t="s">
        <v>2829</v>
      </c>
      <c r="AO326" t="s">
        <v>2839</v>
      </c>
      <c r="AP326" t="s">
        <v>2840</v>
      </c>
      <c r="AQ326" t="s">
        <v>2841</v>
      </c>
      <c r="AR326" t="s">
        <v>3439</v>
      </c>
      <c r="AS326" t="s">
        <v>3439</v>
      </c>
      <c r="AT326" t="s">
        <v>2829</v>
      </c>
      <c r="AU326" t="s">
        <v>2829</v>
      </c>
      <c r="AV326" t="s">
        <v>2829</v>
      </c>
      <c r="AW326" t="s">
        <v>2829</v>
      </c>
      <c r="AX326" t="s">
        <v>2829</v>
      </c>
      <c r="AY326" t="s">
        <v>2829</v>
      </c>
      <c r="AZ326" t="s">
        <v>2829</v>
      </c>
      <c r="BA326" t="s">
        <v>2829</v>
      </c>
      <c r="BB326" t="s">
        <v>2829</v>
      </c>
      <c r="BC326" t="s">
        <v>2829</v>
      </c>
      <c r="BD326" t="s">
        <v>3439</v>
      </c>
      <c r="BE326" t="s">
        <v>3439</v>
      </c>
      <c r="BF326" t="s">
        <v>243</v>
      </c>
      <c r="BG326" t="s">
        <v>243</v>
      </c>
      <c r="BH326" t="s">
        <v>243</v>
      </c>
      <c r="BI326" t="s">
        <v>243</v>
      </c>
      <c r="BJ326" t="s">
        <v>2829</v>
      </c>
      <c r="BK326" t="s">
        <v>243</v>
      </c>
      <c r="BL326" t="s">
        <v>243</v>
      </c>
      <c r="BM326" t="s">
        <v>243</v>
      </c>
      <c r="BN326" t="s">
        <v>243</v>
      </c>
      <c r="BO326" t="s">
        <v>243</v>
      </c>
      <c r="BP326" t="s">
        <v>2829</v>
      </c>
      <c r="BQ326" t="s">
        <v>243</v>
      </c>
      <c r="BR326" t="s">
        <v>243</v>
      </c>
      <c r="BS326" t="s">
        <v>243</v>
      </c>
      <c r="BT326" t="s">
        <v>243</v>
      </c>
      <c r="BU326" t="s">
        <v>243</v>
      </c>
      <c r="BV326" t="s">
        <v>2829</v>
      </c>
      <c r="BW326" t="s">
        <v>243</v>
      </c>
      <c r="BX326" t="s">
        <v>243</v>
      </c>
      <c r="BY326" t="s">
        <v>243</v>
      </c>
      <c r="BZ326" t="s">
        <v>243</v>
      </c>
      <c r="CA326" t="s">
        <v>243</v>
      </c>
      <c r="CB326" t="s">
        <v>2829</v>
      </c>
      <c r="CC326" t="s">
        <v>243</v>
      </c>
      <c r="CD326" t="s">
        <v>243</v>
      </c>
      <c r="CE326" t="s">
        <v>243</v>
      </c>
      <c r="CF326" t="s">
        <v>243</v>
      </c>
      <c r="CG326" t="s">
        <v>243</v>
      </c>
      <c r="CH326" t="s">
        <v>2829</v>
      </c>
      <c r="CI326" t="s">
        <v>243</v>
      </c>
      <c r="CJ326" t="s">
        <v>243</v>
      </c>
      <c r="CK326" t="s">
        <v>243</v>
      </c>
      <c r="CL326" t="s">
        <v>243</v>
      </c>
      <c r="CM326" t="s">
        <v>243</v>
      </c>
      <c r="CN326" t="s">
        <v>3446</v>
      </c>
      <c r="CO326" t="s">
        <v>2843</v>
      </c>
      <c r="CP326" t="s">
        <v>2844</v>
      </c>
      <c r="CQ326" t="s">
        <v>430</v>
      </c>
      <c r="CR326" t="s">
        <v>3033</v>
      </c>
      <c r="CS326" t="s">
        <v>431</v>
      </c>
      <c r="CT326" t="s">
        <v>430</v>
      </c>
      <c r="CU326" t="s">
        <v>3034</v>
      </c>
      <c r="CV326" t="s">
        <v>432</v>
      </c>
      <c r="CW326" t="s">
        <v>3033</v>
      </c>
      <c r="CX326" t="s">
        <v>2848</v>
      </c>
      <c r="CY326" t="s">
        <v>3447</v>
      </c>
    </row>
    <row r="327" spans="1:103" ht="11.25" customHeight="1">
      <c r="A327" t="s">
        <v>243</v>
      </c>
      <c r="B327" t="s">
        <v>243</v>
      </c>
      <c r="C327" t="s">
        <v>243</v>
      </c>
      <c r="D327" t="s">
        <v>243</v>
      </c>
      <c r="E327" t="s">
        <v>243</v>
      </c>
      <c r="F327" t="s">
        <v>2816</v>
      </c>
      <c r="G327" t="s">
        <v>243</v>
      </c>
      <c r="H327" t="s">
        <v>243</v>
      </c>
      <c r="I327" t="s">
        <v>3676</v>
      </c>
      <c r="J327" t="s">
        <v>243</v>
      </c>
      <c r="K327" t="s">
        <v>3677</v>
      </c>
      <c r="L327" t="s">
        <v>243</v>
      </c>
      <c r="M327" t="s">
        <v>114</v>
      </c>
      <c r="N327" t="s">
        <v>243</v>
      </c>
      <c r="O327" t="s">
        <v>2819</v>
      </c>
      <c r="P327" t="s">
        <v>4449</v>
      </c>
      <c r="Q327" t="s">
        <v>2821</v>
      </c>
      <c r="R327" t="s">
        <v>200</v>
      </c>
      <c r="S327" t="s">
        <v>200</v>
      </c>
      <c r="T327" t="s">
        <v>3022</v>
      </c>
      <c r="U327" t="s">
        <v>3022</v>
      </c>
      <c r="V327" t="s">
        <v>3023</v>
      </c>
      <c r="W327" t="s">
        <v>3678</v>
      </c>
      <c r="X327" t="s">
        <v>3679</v>
      </c>
      <c r="Y327" t="s">
        <v>3680</v>
      </c>
      <c r="Z327" t="s">
        <v>3681</v>
      </c>
      <c r="AA327" t="s">
        <v>3095</v>
      </c>
      <c r="AB327" t="s">
        <v>3631</v>
      </c>
      <c r="AC327" t="s">
        <v>2829</v>
      </c>
      <c r="AD327" t="s">
        <v>2883</v>
      </c>
      <c r="AE327" t="s">
        <v>2831</v>
      </c>
      <c r="AF327" t="s">
        <v>3682</v>
      </c>
      <c r="AG327" t="s">
        <v>3682</v>
      </c>
      <c r="AH327" t="s">
        <v>2834</v>
      </c>
      <c r="AI327" t="s">
        <v>2835</v>
      </c>
      <c r="AJ327" t="s">
        <v>3030</v>
      </c>
      <c r="AK327" t="s">
        <v>3131</v>
      </c>
      <c r="AL327" t="s">
        <v>3095</v>
      </c>
      <c r="AM327" t="s">
        <v>3631</v>
      </c>
      <c r="AN327" t="s">
        <v>2829</v>
      </c>
      <c r="AO327" t="s">
        <v>2839</v>
      </c>
      <c r="AP327" t="s">
        <v>2840</v>
      </c>
      <c r="AQ327" t="s">
        <v>2841</v>
      </c>
      <c r="AR327" t="s">
        <v>3683</v>
      </c>
      <c r="AS327" t="s">
        <v>3683</v>
      </c>
      <c r="AT327" t="s">
        <v>2829</v>
      </c>
      <c r="AU327" t="s">
        <v>2829</v>
      </c>
      <c r="AV327" t="s">
        <v>2829</v>
      </c>
      <c r="AW327" t="s">
        <v>2829</v>
      </c>
      <c r="AX327" t="s">
        <v>2829</v>
      </c>
      <c r="AY327" t="s">
        <v>2829</v>
      </c>
      <c r="AZ327" t="s">
        <v>2829</v>
      </c>
      <c r="BA327" t="s">
        <v>2829</v>
      </c>
      <c r="BB327" t="s">
        <v>2829</v>
      </c>
      <c r="BC327" t="s">
        <v>2829</v>
      </c>
      <c r="BD327" t="s">
        <v>2829</v>
      </c>
      <c r="BE327" t="s">
        <v>243</v>
      </c>
      <c r="BF327" t="s">
        <v>243</v>
      </c>
      <c r="BG327" t="s">
        <v>243</v>
      </c>
      <c r="BH327" t="s">
        <v>243</v>
      </c>
      <c r="BI327" t="s">
        <v>243</v>
      </c>
      <c r="BJ327" t="s">
        <v>2829</v>
      </c>
      <c r="BK327" t="s">
        <v>243</v>
      </c>
      <c r="BL327" t="s">
        <v>243</v>
      </c>
      <c r="BM327" t="s">
        <v>243</v>
      </c>
      <c r="BN327" t="s">
        <v>243</v>
      </c>
      <c r="BO327" t="s">
        <v>243</v>
      </c>
      <c r="BP327" t="s">
        <v>3683</v>
      </c>
      <c r="BQ327" t="s">
        <v>3683</v>
      </c>
      <c r="BR327" t="s">
        <v>243</v>
      </c>
      <c r="BS327" t="s">
        <v>243</v>
      </c>
      <c r="BT327" t="s">
        <v>243</v>
      </c>
      <c r="BU327" t="s">
        <v>243</v>
      </c>
      <c r="BV327" t="s">
        <v>2829</v>
      </c>
      <c r="BW327" t="s">
        <v>243</v>
      </c>
      <c r="BX327" t="s">
        <v>243</v>
      </c>
      <c r="BY327" t="s">
        <v>243</v>
      </c>
      <c r="BZ327" t="s">
        <v>243</v>
      </c>
      <c r="CA327" t="s">
        <v>243</v>
      </c>
      <c r="CB327" t="s">
        <v>2829</v>
      </c>
      <c r="CC327" t="s">
        <v>243</v>
      </c>
      <c r="CD327" t="s">
        <v>243</v>
      </c>
      <c r="CE327" t="s">
        <v>243</v>
      </c>
      <c r="CF327" t="s">
        <v>243</v>
      </c>
      <c r="CG327" t="s">
        <v>243</v>
      </c>
      <c r="CH327" t="s">
        <v>2829</v>
      </c>
      <c r="CI327" t="s">
        <v>243</v>
      </c>
      <c r="CJ327" t="s">
        <v>243</v>
      </c>
      <c r="CK327" t="s">
        <v>243</v>
      </c>
      <c r="CL327" t="s">
        <v>243</v>
      </c>
      <c r="CM327" t="s">
        <v>243</v>
      </c>
      <c r="CN327" t="s">
        <v>3044</v>
      </c>
      <c r="CO327" t="s">
        <v>2843</v>
      </c>
      <c r="CP327" t="s">
        <v>2844</v>
      </c>
      <c r="CQ327" t="s">
        <v>430</v>
      </c>
      <c r="CR327" t="s">
        <v>3033</v>
      </c>
      <c r="CS327" t="s">
        <v>431</v>
      </c>
      <c r="CT327" t="s">
        <v>430</v>
      </c>
      <c r="CU327" t="s">
        <v>3034</v>
      </c>
      <c r="CV327" t="s">
        <v>432</v>
      </c>
      <c r="CW327" t="s">
        <v>3033</v>
      </c>
      <c r="CX327" t="s">
        <v>2848</v>
      </c>
      <c r="CY327" t="s">
        <v>3684</v>
      </c>
    </row>
    <row r="328" spans="1:103" ht="11.25" customHeight="1">
      <c r="A328" t="s">
        <v>243</v>
      </c>
      <c r="B328" t="s">
        <v>243</v>
      </c>
      <c r="C328" t="s">
        <v>243</v>
      </c>
      <c r="D328" t="s">
        <v>243</v>
      </c>
      <c r="E328" t="s">
        <v>243</v>
      </c>
      <c r="F328" t="s">
        <v>2816</v>
      </c>
      <c r="G328" t="s">
        <v>243</v>
      </c>
      <c r="H328" t="s">
        <v>243</v>
      </c>
      <c r="I328" t="s">
        <v>3879</v>
      </c>
      <c r="J328" t="s">
        <v>243</v>
      </c>
      <c r="K328" t="s">
        <v>452</v>
      </c>
      <c r="L328" t="s">
        <v>243</v>
      </c>
      <c r="M328" t="s">
        <v>114</v>
      </c>
      <c r="N328" t="s">
        <v>243</v>
      </c>
      <c r="O328" t="s">
        <v>2819</v>
      </c>
      <c r="P328" t="s">
        <v>4449</v>
      </c>
      <c r="Q328" t="s">
        <v>2821</v>
      </c>
      <c r="R328" t="s">
        <v>200</v>
      </c>
      <c r="S328" t="s">
        <v>200</v>
      </c>
      <c r="T328" t="s">
        <v>3048</v>
      </c>
      <c r="U328" t="s">
        <v>3048</v>
      </c>
      <c r="V328" t="s">
        <v>3049</v>
      </c>
      <c r="W328" t="s">
        <v>3050</v>
      </c>
      <c r="X328" t="s">
        <v>3051</v>
      </c>
      <c r="Y328" t="s">
        <v>3880</v>
      </c>
      <c r="Z328" t="s">
        <v>3202</v>
      </c>
      <c r="AA328" t="s">
        <v>3313</v>
      </c>
      <c r="AB328" t="s">
        <v>3881</v>
      </c>
      <c r="AC328" t="s">
        <v>2829</v>
      </c>
      <c r="AD328" t="s">
        <v>2883</v>
      </c>
      <c r="AE328" t="s">
        <v>2831</v>
      </c>
      <c r="AF328" t="s">
        <v>3055</v>
      </c>
      <c r="AG328" t="s">
        <v>3055</v>
      </c>
      <c r="AH328" t="s">
        <v>2834</v>
      </c>
      <c r="AI328" t="s">
        <v>2835</v>
      </c>
      <c r="AJ328" t="s">
        <v>3314</v>
      </c>
      <c r="AK328" t="s">
        <v>3882</v>
      </c>
      <c r="AL328" t="s">
        <v>3313</v>
      </c>
      <c r="AM328" t="s">
        <v>3881</v>
      </c>
      <c r="AN328" t="s">
        <v>2829</v>
      </c>
      <c r="AO328" t="s">
        <v>2839</v>
      </c>
      <c r="AP328" t="s">
        <v>2840</v>
      </c>
      <c r="AQ328" t="s">
        <v>2841</v>
      </c>
      <c r="AR328" t="s">
        <v>3883</v>
      </c>
      <c r="AS328" t="s">
        <v>3883</v>
      </c>
      <c r="AT328" t="s">
        <v>2829</v>
      </c>
      <c r="AU328" t="s">
        <v>2829</v>
      </c>
      <c r="AV328" t="s">
        <v>2829</v>
      </c>
      <c r="AW328" t="s">
        <v>2829</v>
      </c>
      <c r="AX328" t="s">
        <v>2829</v>
      </c>
      <c r="AY328" t="s">
        <v>2829</v>
      </c>
      <c r="AZ328" t="s">
        <v>2829</v>
      </c>
      <c r="BA328" t="s">
        <v>2829</v>
      </c>
      <c r="BB328" t="s">
        <v>2829</v>
      </c>
      <c r="BC328" t="s">
        <v>2829</v>
      </c>
      <c r="BD328" t="s">
        <v>3883</v>
      </c>
      <c r="BE328" t="s">
        <v>3883</v>
      </c>
      <c r="BF328" t="s">
        <v>243</v>
      </c>
      <c r="BG328" t="s">
        <v>243</v>
      </c>
      <c r="BH328" t="s">
        <v>243</v>
      </c>
      <c r="BI328" t="s">
        <v>243</v>
      </c>
      <c r="BJ328" t="s">
        <v>2829</v>
      </c>
      <c r="BK328" t="s">
        <v>243</v>
      </c>
      <c r="BL328" t="s">
        <v>243</v>
      </c>
      <c r="BM328" t="s">
        <v>243</v>
      </c>
      <c r="BN328" t="s">
        <v>243</v>
      </c>
      <c r="BO328" t="s">
        <v>243</v>
      </c>
      <c r="BP328" t="s">
        <v>2829</v>
      </c>
      <c r="BQ328" t="s">
        <v>243</v>
      </c>
      <c r="BR328" t="s">
        <v>243</v>
      </c>
      <c r="BS328" t="s">
        <v>243</v>
      </c>
      <c r="BT328" t="s">
        <v>243</v>
      </c>
      <c r="BU328" t="s">
        <v>243</v>
      </c>
      <c r="BV328" t="s">
        <v>2829</v>
      </c>
      <c r="BW328" t="s">
        <v>243</v>
      </c>
      <c r="BX328" t="s">
        <v>243</v>
      </c>
      <c r="BY328" t="s">
        <v>243</v>
      </c>
      <c r="BZ328" t="s">
        <v>243</v>
      </c>
      <c r="CA328" t="s">
        <v>243</v>
      </c>
      <c r="CB328" t="s">
        <v>2829</v>
      </c>
      <c r="CC328" t="s">
        <v>243</v>
      </c>
      <c r="CD328" t="s">
        <v>243</v>
      </c>
      <c r="CE328" t="s">
        <v>243</v>
      </c>
      <c r="CF328" t="s">
        <v>243</v>
      </c>
      <c r="CG328" t="s">
        <v>243</v>
      </c>
      <c r="CH328" t="s">
        <v>2829</v>
      </c>
      <c r="CI328" t="s">
        <v>243</v>
      </c>
      <c r="CJ328" t="s">
        <v>243</v>
      </c>
      <c r="CK328" t="s">
        <v>243</v>
      </c>
      <c r="CL328" t="s">
        <v>243</v>
      </c>
      <c r="CM328" t="s">
        <v>243</v>
      </c>
      <c r="CN328" t="s">
        <v>3884</v>
      </c>
      <c r="CO328" t="s">
        <v>2843</v>
      </c>
      <c r="CP328" t="s">
        <v>2844</v>
      </c>
      <c r="CQ328" t="s">
        <v>430</v>
      </c>
      <c r="CR328" t="s">
        <v>2872</v>
      </c>
      <c r="CS328" t="s">
        <v>431</v>
      </c>
      <c r="CT328" t="s">
        <v>430</v>
      </c>
      <c r="CU328" t="s">
        <v>3061</v>
      </c>
      <c r="CV328" t="s">
        <v>3062</v>
      </c>
      <c r="CW328" t="s">
        <v>2872</v>
      </c>
      <c r="CX328" t="s">
        <v>2848</v>
      </c>
      <c r="CY328" t="s">
        <v>3885</v>
      </c>
    </row>
    <row r="329" spans="1:103" ht="11.25" customHeight="1">
      <c r="A329" t="s">
        <v>243</v>
      </c>
      <c r="B329" t="s">
        <v>243</v>
      </c>
      <c r="C329" t="s">
        <v>243</v>
      </c>
      <c r="D329" t="s">
        <v>243</v>
      </c>
      <c r="E329" t="s">
        <v>243</v>
      </c>
      <c r="F329" t="s">
        <v>2816</v>
      </c>
      <c r="G329" t="s">
        <v>243</v>
      </c>
      <c r="H329" t="s">
        <v>243</v>
      </c>
      <c r="I329" t="s">
        <v>4254</v>
      </c>
      <c r="J329" t="s">
        <v>243</v>
      </c>
      <c r="K329" t="s">
        <v>4166</v>
      </c>
      <c r="L329" t="s">
        <v>243</v>
      </c>
      <c r="M329" t="s">
        <v>114</v>
      </c>
      <c r="N329" t="s">
        <v>243</v>
      </c>
      <c r="O329" t="s">
        <v>2819</v>
      </c>
      <c r="P329" t="s">
        <v>4449</v>
      </c>
      <c r="Q329" t="s">
        <v>2821</v>
      </c>
      <c r="R329" t="s">
        <v>200</v>
      </c>
      <c r="S329" t="s">
        <v>200</v>
      </c>
      <c r="T329" t="s">
        <v>3048</v>
      </c>
      <c r="U329" t="s">
        <v>3048</v>
      </c>
      <c r="V329" t="s">
        <v>3049</v>
      </c>
      <c r="W329" t="s">
        <v>3050</v>
      </c>
      <c r="X329" t="s">
        <v>3051</v>
      </c>
      <c r="Y329" t="s">
        <v>3026</v>
      </c>
      <c r="Z329" t="s">
        <v>4255</v>
      </c>
      <c r="AA329" t="s">
        <v>4256</v>
      </c>
      <c r="AB329" t="s">
        <v>4257</v>
      </c>
      <c r="AC329" t="s">
        <v>2829</v>
      </c>
      <c r="AD329" t="s">
        <v>2883</v>
      </c>
      <c r="AE329" t="s">
        <v>2831</v>
      </c>
      <c r="AF329" t="s">
        <v>3055</v>
      </c>
      <c r="AG329" t="s">
        <v>3055</v>
      </c>
      <c r="AH329" t="s">
        <v>2834</v>
      </c>
      <c r="AI329" t="s">
        <v>2835</v>
      </c>
      <c r="AJ329" t="s">
        <v>3176</v>
      </c>
      <c r="AK329" t="s">
        <v>3070</v>
      </c>
      <c r="AL329" t="s">
        <v>4256</v>
      </c>
      <c r="AM329" t="s">
        <v>2995</v>
      </c>
      <c r="AN329" t="s">
        <v>2829</v>
      </c>
      <c r="AO329" t="s">
        <v>2839</v>
      </c>
      <c r="AP329" t="s">
        <v>2840</v>
      </c>
      <c r="AQ329" t="s">
        <v>2841</v>
      </c>
      <c r="AR329" t="s">
        <v>3278</v>
      </c>
      <c r="AS329" t="s">
        <v>3278</v>
      </c>
      <c r="AT329" t="s">
        <v>2829</v>
      </c>
      <c r="AU329" t="s">
        <v>2829</v>
      </c>
      <c r="AV329" t="s">
        <v>2829</v>
      </c>
      <c r="AW329" t="s">
        <v>2829</v>
      </c>
      <c r="AX329" t="s">
        <v>2829</v>
      </c>
      <c r="AY329" t="s">
        <v>2829</v>
      </c>
      <c r="AZ329" t="s">
        <v>2829</v>
      </c>
      <c r="BA329" t="s">
        <v>2829</v>
      </c>
      <c r="BB329" t="s">
        <v>2829</v>
      </c>
      <c r="BC329" t="s">
        <v>2829</v>
      </c>
      <c r="BD329" t="s">
        <v>3278</v>
      </c>
      <c r="BE329" t="s">
        <v>3278</v>
      </c>
      <c r="BF329" t="s">
        <v>243</v>
      </c>
      <c r="BG329" t="s">
        <v>243</v>
      </c>
      <c r="BH329" t="s">
        <v>243</v>
      </c>
      <c r="BI329" t="s">
        <v>243</v>
      </c>
      <c r="BJ329" t="s">
        <v>2829</v>
      </c>
      <c r="BK329" t="s">
        <v>243</v>
      </c>
      <c r="BL329" t="s">
        <v>243</v>
      </c>
      <c r="BM329" t="s">
        <v>243</v>
      </c>
      <c r="BN329" t="s">
        <v>243</v>
      </c>
      <c r="BO329" t="s">
        <v>243</v>
      </c>
      <c r="BP329" t="s">
        <v>2829</v>
      </c>
      <c r="BQ329" t="s">
        <v>243</v>
      </c>
      <c r="BR329" t="s">
        <v>243</v>
      </c>
      <c r="BS329" t="s">
        <v>243</v>
      </c>
      <c r="BT329" t="s">
        <v>243</v>
      </c>
      <c r="BU329" t="s">
        <v>243</v>
      </c>
      <c r="BV329" t="s">
        <v>2829</v>
      </c>
      <c r="BW329" t="s">
        <v>243</v>
      </c>
      <c r="BX329" t="s">
        <v>243</v>
      </c>
      <c r="BY329" t="s">
        <v>243</v>
      </c>
      <c r="BZ329" t="s">
        <v>243</v>
      </c>
      <c r="CA329" t="s">
        <v>243</v>
      </c>
      <c r="CB329" t="s">
        <v>2829</v>
      </c>
      <c r="CC329" t="s">
        <v>243</v>
      </c>
      <c r="CD329" t="s">
        <v>243</v>
      </c>
      <c r="CE329" t="s">
        <v>243</v>
      </c>
      <c r="CF329" t="s">
        <v>243</v>
      </c>
      <c r="CG329" t="s">
        <v>243</v>
      </c>
      <c r="CH329" t="s">
        <v>2829</v>
      </c>
      <c r="CI329" t="s">
        <v>243</v>
      </c>
      <c r="CJ329" t="s">
        <v>243</v>
      </c>
      <c r="CK329" t="s">
        <v>243</v>
      </c>
      <c r="CL329" t="s">
        <v>243</v>
      </c>
      <c r="CM329" t="s">
        <v>243</v>
      </c>
      <c r="CN329" t="s">
        <v>2942</v>
      </c>
      <c r="CO329" t="s">
        <v>2843</v>
      </c>
      <c r="CP329" t="s">
        <v>2844</v>
      </c>
      <c r="CQ329" t="s">
        <v>430</v>
      </c>
      <c r="CR329" t="s">
        <v>2872</v>
      </c>
      <c r="CS329" t="s">
        <v>431</v>
      </c>
      <c r="CT329" t="s">
        <v>430</v>
      </c>
      <c r="CU329" t="s">
        <v>3061</v>
      </c>
      <c r="CV329" t="s">
        <v>3062</v>
      </c>
      <c r="CW329" t="s">
        <v>2872</v>
      </c>
      <c r="CX329" t="s">
        <v>2848</v>
      </c>
      <c r="CY329" t="s">
        <v>4258</v>
      </c>
    </row>
    <row r="330" spans="1:103" ht="11.25" customHeight="1">
      <c r="A330" t="s">
        <v>243</v>
      </c>
      <c r="B330" t="s">
        <v>243</v>
      </c>
      <c r="C330" t="s">
        <v>243</v>
      </c>
      <c r="D330" t="s">
        <v>243</v>
      </c>
      <c r="E330" t="s">
        <v>243</v>
      </c>
      <c r="F330" t="s">
        <v>2816</v>
      </c>
      <c r="G330" t="s">
        <v>243</v>
      </c>
      <c r="H330" t="s">
        <v>243</v>
      </c>
      <c r="I330" t="s">
        <v>1847</v>
      </c>
      <c r="J330" t="s">
        <v>243</v>
      </c>
      <c r="K330" t="s">
        <v>3091</v>
      </c>
      <c r="L330" t="s">
        <v>243</v>
      </c>
      <c r="M330" t="s">
        <v>114</v>
      </c>
      <c r="N330" t="s">
        <v>243</v>
      </c>
      <c r="O330" t="s">
        <v>2819</v>
      </c>
      <c r="P330" t="s">
        <v>4449</v>
      </c>
      <c r="Q330" t="s">
        <v>2821</v>
      </c>
      <c r="R330" t="s">
        <v>200</v>
      </c>
      <c r="S330" t="s">
        <v>200</v>
      </c>
      <c r="T330" t="s">
        <v>2822</v>
      </c>
      <c r="U330" t="s">
        <v>2822</v>
      </c>
      <c r="V330" t="s">
        <v>2823</v>
      </c>
      <c r="W330" t="s">
        <v>3763</v>
      </c>
      <c r="X330" t="s">
        <v>3764</v>
      </c>
      <c r="Y330" t="s">
        <v>3610</v>
      </c>
      <c r="Z330" t="s">
        <v>2955</v>
      </c>
      <c r="AA330" t="s">
        <v>3078</v>
      </c>
      <c r="AB330" t="s">
        <v>3765</v>
      </c>
      <c r="AC330" t="s">
        <v>2829</v>
      </c>
      <c r="AD330" t="s">
        <v>2830</v>
      </c>
      <c r="AE330" t="s">
        <v>2831</v>
      </c>
      <c r="AF330" t="s">
        <v>3766</v>
      </c>
      <c r="AG330" t="s">
        <v>3767</v>
      </c>
      <c r="AH330" t="s">
        <v>2834</v>
      </c>
      <c r="AI330" t="s">
        <v>2835</v>
      </c>
      <c r="AJ330" t="s">
        <v>2960</v>
      </c>
      <c r="AK330" t="s">
        <v>3057</v>
      </c>
      <c r="AL330" t="s">
        <v>3078</v>
      </c>
      <c r="AM330" t="s">
        <v>3332</v>
      </c>
      <c r="AN330" t="s">
        <v>2829</v>
      </c>
      <c r="AO330" t="s">
        <v>2839</v>
      </c>
      <c r="AP330" t="s">
        <v>2840</v>
      </c>
      <c r="AQ330" t="s">
        <v>2841</v>
      </c>
      <c r="AR330" t="s">
        <v>3768</v>
      </c>
      <c r="AS330" t="s">
        <v>3768</v>
      </c>
      <c r="AT330" t="s">
        <v>2829</v>
      </c>
      <c r="AU330" t="s">
        <v>2829</v>
      </c>
      <c r="AV330" t="s">
        <v>2829</v>
      </c>
      <c r="AW330" t="s">
        <v>2829</v>
      </c>
      <c r="AX330" t="s">
        <v>2829</v>
      </c>
      <c r="AY330" t="s">
        <v>2829</v>
      </c>
      <c r="AZ330" t="s">
        <v>2829</v>
      </c>
      <c r="BA330" t="s">
        <v>2829</v>
      </c>
      <c r="BB330" t="s">
        <v>2829</v>
      </c>
      <c r="BC330" t="s">
        <v>2829</v>
      </c>
      <c r="BD330" t="s">
        <v>2829</v>
      </c>
      <c r="BE330" t="s">
        <v>243</v>
      </c>
      <c r="BF330" t="s">
        <v>243</v>
      </c>
      <c r="BG330" t="s">
        <v>243</v>
      </c>
      <c r="BH330" t="s">
        <v>243</v>
      </c>
      <c r="BI330" t="s">
        <v>243</v>
      </c>
      <c r="BJ330" t="s">
        <v>2829</v>
      </c>
      <c r="BK330" t="s">
        <v>243</v>
      </c>
      <c r="BL330" t="s">
        <v>243</v>
      </c>
      <c r="BM330" t="s">
        <v>243</v>
      </c>
      <c r="BN330" t="s">
        <v>243</v>
      </c>
      <c r="BO330" t="s">
        <v>243</v>
      </c>
      <c r="BP330" t="s">
        <v>2829</v>
      </c>
      <c r="BQ330" t="s">
        <v>243</v>
      </c>
      <c r="BR330" t="s">
        <v>243</v>
      </c>
      <c r="BS330" t="s">
        <v>243</v>
      </c>
      <c r="BT330" t="s">
        <v>243</v>
      </c>
      <c r="BU330" t="s">
        <v>243</v>
      </c>
      <c r="BV330" t="s">
        <v>2829</v>
      </c>
      <c r="BW330" t="s">
        <v>243</v>
      </c>
      <c r="BX330" t="s">
        <v>243</v>
      </c>
      <c r="BY330" t="s">
        <v>243</v>
      </c>
      <c r="BZ330" t="s">
        <v>243</v>
      </c>
      <c r="CA330" t="s">
        <v>243</v>
      </c>
      <c r="CB330" t="s">
        <v>3768</v>
      </c>
      <c r="CC330" t="s">
        <v>3768</v>
      </c>
      <c r="CD330" t="s">
        <v>243</v>
      </c>
      <c r="CE330" t="s">
        <v>243</v>
      </c>
      <c r="CF330" t="s">
        <v>243</v>
      </c>
      <c r="CG330" t="s">
        <v>243</v>
      </c>
      <c r="CH330" t="s">
        <v>2829</v>
      </c>
      <c r="CI330" t="s">
        <v>243</v>
      </c>
      <c r="CJ330" t="s">
        <v>243</v>
      </c>
      <c r="CK330" t="s">
        <v>243</v>
      </c>
      <c r="CL330" t="s">
        <v>243</v>
      </c>
      <c r="CM330" t="s">
        <v>243</v>
      </c>
      <c r="CN330" t="s">
        <v>2960</v>
      </c>
      <c r="CO330" t="s">
        <v>2843</v>
      </c>
      <c r="CP330" t="s">
        <v>2844</v>
      </c>
      <c r="CQ330" t="s">
        <v>430</v>
      </c>
      <c r="CR330" t="s">
        <v>2845</v>
      </c>
      <c r="CS330" t="s">
        <v>431</v>
      </c>
      <c r="CT330" t="s">
        <v>430</v>
      </c>
      <c r="CU330" t="s">
        <v>2846</v>
      </c>
      <c r="CV330" t="s">
        <v>2847</v>
      </c>
      <c r="CW330" t="s">
        <v>2845</v>
      </c>
      <c r="CX330" t="s">
        <v>2848</v>
      </c>
      <c r="CY330" t="s">
        <v>3769</v>
      </c>
    </row>
    <row r="331" spans="1:103" ht="11.25" customHeight="1">
      <c r="A331" t="s">
        <v>243</v>
      </c>
      <c r="B331" t="s">
        <v>243</v>
      </c>
      <c r="C331" t="s">
        <v>243</v>
      </c>
      <c r="D331" t="s">
        <v>243</v>
      </c>
      <c r="E331" t="s">
        <v>243</v>
      </c>
      <c r="F331" t="s">
        <v>2816</v>
      </c>
      <c r="G331" t="s">
        <v>243</v>
      </c>
      <c r="H331" t="s">
        <v>243</v>
      </c>
      <c r="I331" t="s">
        <v>3222</v>
      </c>
      <c r="J331" t="s">
        <v>243</v>
      </c>
      <c r="K331" t="s">
        <v>3770</v>
      </c>
      <c r="L331" t="s">
        <v>243</v>
      </c>
      <c r="M331" t="s">
        <v>114</v>
      </c>
      <c r="N331" t="s">
        <v>243</v>
      </c>
      <c r="O331" t="s">
        <v>2819</v>
      </c>
      <c r="P331" t="s">
        <v>4449</v>
      </c>
      <c r="Q331" t="s">
        <v>2821</v>
      </c>
      <c r="R331" t="s">
        <v>200</v>
      </c>
      <c r="S331" t="s">
        <v>200</v>
      </c>
      <c r="T331" t="s">
        <v>2822</v>
      </c>
      <c r="U331" t="s">
        <v>2822</v>
      </c>
      <c r="V331" t="s">
        <v>2823</v>
      </c>
      <c r="W331" t="s">
        <v>3771</v>
      </c>
      <c r="X331" t="s">
        <v>3772</v>
      </c>
      <c r="Y331" t="s">
        <v>3610</v>
      </c>
      <c r="Z331" t="s">
        <v>2955</v>
      </c>
      <c r="AA331" t="s">
        <v>3078</v>
      </c>
      <c r="AB331" t="s">
        <v>3773</v>
      </c>
      <c r="AC331" t="s">
        <v>2829</v>
      </c>
      <c r="AD331" t="s">
        <v>2830</v>
      </c>
      <c r="AE331" t="s">
        <v>2831</v>
      </c>
      <c r="AF331" t="s">
        <v>3774</v>
      </c>
      <c r="AG331" t="s">
        <v>3775</v>
      </c>
      <c r="AH331" t="s">
        <v>2834</v>
      </c>
      <c r="AI331" t="s">
        <v>2835</v>
      </c>
      <c r="AJ331" t="s">
        <v>2960</v>
      </c>
      <c r="AK331" t="s">
        <v>3057</v>
      </c>
      <c r="AL331" t="s">
        <v>3078</v>
      </c>
      <c r="AM331" t="s">
        <v>3217</v>
      </c>
      <c r="AN331" t="s">
        <v>2829</v>
      </c>
      <c r="AO331" t="s">
        <v>2839</v>
      </c>
      <c r="AP331" t="s">
        <v>2840</v>
      </c>
      <c r="AQ331" t="s">
        <v>2841</v>
      </c>
      <c r="AR331" t="s">
        <v>3182</v>
      </c>
      <c r="AS331" t="s">
        <v>3182</v>
      </c>
      <c r="AT331" t="s">
        <v>2829</v>
      </c>
      <c r="AU331" t="s">
        <v>2829</v>
      </c>
      <c r="AV331" t="s">
        <v>2829</v>
      </c>
      <c r="AW331" t="s">
        <v>2829</v>
      </c>
      <c r="AX331" t="s">
        <v>2829</v>
      </c>
      <c r="AY331" t="s">
        <v>2829</v>
      </c>
      <c r="AZ331" t="s">
        <v>2829</v>
      </c>
      <c r="BA331" t="s">
        <v>2829</v>
      </c>
      <c r="BB331" t="s">
        <v>2829</v>
      </c>
      <c r="BC331" t="s">
        <v>2829</v>
      </c>
      <c r="BD331" t="s">
        <v>2829</v>
      </c>
      <c r="BE331" t="s">
        <v>243</v>
      </c>
      <c r="BF331" t="s">
        <v>243</v>
      </c>
      <c r="BG331" t="s">
        <v>243</v>
      </c>
      <c r="BH331" t="s">
        <v>243</v>
      </c>
      <c r="BI331" t="s">
        <v>243</v>
      </c>
      <c r="BJ331" t="s">
        <v>2829</v>
      </c>
      <c r="BK331" t="s">
        <v>243</v>
      </c>
      <c r="BL331" t="s">
        <v>243</v>
      </c>
      <c r="BM331" t="s">
        <v>243</v>
      </c>
      <c r="BN331" t="s">
        <v>243</v>
      </c>
      <c r="BO331" t="s">
        <v>243</v>
      </c>
      <c r="BP331" t="s">
        <v>2829</v>
      </c>
      <c r="BQ331" t="s">
        <v>243</v>
      </c>
      <c r="BR331" t="s">
        <v>243</v>
      </c>
      <c r="BS331" t="s">
        <v>243</v>
      </c>
      <c r="BT331" t="s">
        <v>243</v>
      </c>
      <c r="BU331" t="s">
        <v>243</v>
      </c>
      <c r="BV331" t="s">
        <v>2829</v>
      </c>
      <c r="BW331" t="s">
        <v>243</v>
      </c>
      <c r="BX331" t="s">
        <v>243</v>
      </c>
      <c r="BY331" t="s">
        <v>243</v>
      </c>
      <c r="BZ331" t="s">
        <v>243</v>
      </c>
      <c r="CA331" t="s">
        <v>243</v>
      </c>
      <c r="CB331" t="s">
        <v>3182</v>
      </c>
      <c r="CC331" t="s">
        <v>3182</v>
      </c>
      <c r="CD331" t="s">
        <v>243</v>
      </c>
      <c r="CE331" t="s">
        <v>243</v>
      </c>
      <c r="CF331" t="s">
        <v>243</v>
      </c>
      <c r="CG331" t="s">
        <v>243</v>
      </c>
      <c r="CH331" t="s">
        <v>2829</v>
      </c>
      <c r="CI331" t="s">
        <v>243</v>
      </c>
      <c r="CJ331" t="s">
        <v>243</v>
      </c>
      <c r="CK331" t="s">
        <v>243</v>
      </c>
      <c r="CL331" t="s">
        <v>243</v>
      </c>
      <c r="CM331" t="s">
        <v>243</v>
      </c>
      <c r="CN331" t="s">
        <v>2960</v>
      </c>
      <c r="CO331" t="s">
        <v>2843</v>
      </c>
      <c r="CP331" t="s">
        <v>2844</v>
      </c>
      <c r="CQ331" t="s">
        <v>430</v>
      </c>
      <c r="CR331" t="s">
        <v>2845</v>
      </c>
      <c r="CS331" t="s">
        <v>431</v>
      </c>
      <c r="CT331" t="s">
        <v>430</v>
      </c>
      <c r="CU331" t="s">
        <v>2846</v>
      </c>
      <c r="CV331" t="s">
        <v>2847</v>
      </c>
      <c r="CW331" t="s">
        <v>2845</v>
      </c>
      <c r="CX331" t="s">
        <v>2848</v>
      </c>
      <c r="CY331" t="s">
        <v>3776</v>
      </c>
    </row>
    <row r="332" spans="1:103" ht="11.25" customHeight="1">
      <c r="A332" t="s">
        <v>243</v>
      </c>
      <c r="B332" t="s">
        <v>243</v>
      </c>
      <c r="C332" t="s">
        <v>243</v>
      </c>
      <c r="D332" t="s">
        <v>243</v>
      </c>
      <c r="E332" t="s">
        <v>243</v>
      </c>
      <c r="F332" t="s">
        <v>2816</v>
      </c>
      <c r="G332" t="s">
        <v>243</v>
      </c>
      <c r="H332" t="s">
        <v>243</v>
      </c>
      <c r="I332" t="s">
        <v>3550</v>
      </c>
      <c r="J332" t="s">
        <v>243</v>
      </c>
      <c r="K332" t="s">
        <v>3551</v>
      </c>
      <c r="L332" t="s">
        <v>243</v>
      </c>
      <c r="M332" t="s">
        <v>114</v>
      </c>
      <c r="N332" t="s">
        <v>243</v>
      </c>
      <c r="O332" t="s">
        <v>2819</v>
      </c>
      <c r="P332" t="s">
        <v>4449</v>
      </c>
      <c r="Q332" t="s">
        <v>2821</v>
      </c>
      <c r="R332" t="s">
        <v>200</v>
      </c>
      <c r="S332" t="s">
        <v>200</v>
      </c>
      <c r="T332" t="s">
        <v>4451</v>
      </c>
      <c r="U332" t="s">
        <v>4451</v>
      </c>
      <c r="V332" t="s">
        <v>4452</v>
      </c>
      <c r="W332" t="s">
        <v>2935</v>
      </c>
      <c r="X332" t="s">
        <v>4453</v>
      </c>
      <c r="Y332" t="s">
        <v>3552</v>
      </c>
      <c r="Z332" t="s">
        <v>3553</v>
      </c>
      <c r="AA332" t="s">
        <v>2942</v>
      </c>
      <c r="AB332" t="s">
        <v>3554</v>
      </c>
      <c r="AC332" t="s">
        <v>2829</v>
      </c>
      <c r="AD332" t="s">
        <v>2883</v>
      </c>
      <c r="AE332" t="s">
        <v>2831</v>
      </c>
      <c r="AF332" t="s">
        <v>3555</v>
      </c>
      <c r="AG332" t="s">
        <v>3555</v>
      </c>
      <c r="AH332" t="s">
        <v>2834</v>
      </c>
      <c r="AI332" t="s">
        <v>2835</v>
      </c>
      <c r="AJ332" t="s">
        <v>2942</v>
      </c>
      <c r="AK332" t="s">
        <v>3556</v>
      </c>
      <c r="AL332" t="s">
        <v>2942</v>
      </c>
      <c r="AM332" t="s">
        <v>3557</v>
      </c>
      <c r="AN332" t="s">
        <v>243</v>
      </c>
      <c r="AO332" t="s">
        <v>2839</v>
      </c>
      <c r="AP332" t="s">
        <v>2840</v>
      </c>
      <c r="AQ332" t="s">
        <v>2841</v>
      </c>
      <c r="AR332" t="s">
        <v>3558</v>
      </c>
      <c r="AS332" t="s">
        <v>3559</v>
      </c>
      <c r="AT332" t="s">
        <v>3560</v>
      </c>
      <c r="AU332" t="s">
        <v>2829</v>
      </c>
      <c r="AV332" t="s">
        <v>2829</v>
      </c>
      <c r="AW332" t="s">
        <v>2829</v>
      </c>
      <c r="AX332" t="s">
        <v>2829</v>
      </c>
      <c r="AY332" t="s">
        <v>2829</v>
      </c>
      <c r="AZ332" t="s">
        <v>2829</v>
      </c>
      <c r="BA332" t="s">
        <v>2829</v>
      </c>
      <c r="BB332" t="s">
        <v>2829</v>
      </c>
      <c r="BC332" t="s">
        <v>2829</v>
      </c>
      <c r="BD332" t="s">
        <v>3561</v>
      </c>
      <c r="BE332" t="s">
        <v>3562</v>
      </c>
      <c r="BF332" t="s">
        <v>3277</v>
      </c>
      <c r="BG332" t="s">
        <v>243</v>
      </c>
      <c r="BH332" t="s">
        <v>243</v>
      </c>
      <c r="BI332" t="s">
        <v>243</v>
      </c>
      <c r="BJ332" t="s">
        <v>2829</v>
      </c>
      <c r="BK332" t="s">
        <v>243</v>
      </c>
      <c r="BL332" t="s">
        <v>243</v>
      </c>
      <c r="BM332" t="s">
        <v>243</v>
      </c>
      <c r="BN332" t="s">
        <v>243</v>
      </c>
      <c r="BO332" t="s">
        <v>243</v>
      </c>
      <c r="BP332" t="s">
        <v>3563</v>
      </c>
      <c r="BQ332" t="s">
        <v>3564</v>
      </c>
      <c r="BR332" t="s">
        <v>3203</v>
      </c>
      <c r="BS332" t="s">
        <v>243</v>
      </c>
      <c r="BT332" t="s">
        <v>243</v>
      </c>
      <c r="BU332" t="s">
        <v>243</v>
      </c>
      <c r="BV332" t="s">
        <v>2829</v>
      </c>
      <c r="BW332" t="s">
        <v>243</v>
      </c>
      <c r="BX332" t="s">
        <v>243</v>
      </c>
      <c r="BY332" t="s">
        <v>243</v>
      </c>
      <c r="BZ332" t="s">
        <v>243</v>
      </c>
      <c r="CA332" t="s">
        <v>243</v>
      </c>
      <c r="CB332" t="s">
        <v>2829</v>
      </c>
      <c r="CC332" t="s">
        <v>243</v>
      </c>
      <c r="CD332" t="s">
        <v>243</v>
      </c>
      <c r="CE332" t="s">
        <v>243</v>
      </c>
      <c r="CF332" t="s">
        <v>243</v>
      </c>
      <c r="CG332" t="s">
        <v>243</v>
      </c>
      <c r="CH332" t="s">
        <v>2829</v>
      </c>
      <c r="CI332" t="s">
        <v>243</v>
      </c>
      <c r="CJ332" t="s">
        <v>243</v>
      </c>
      <c r="CK332" t="s">
        <v>243</v>
      </c>
      <c r="CL332" t="s">
        <v>243</v>
      </c>
      <c r="CM332" t="s">
        <v>243</v>
      </c>
      <c r="CN332" t="s">
        <v>2942</v>
      </c>
      <c r="CO332" t="s">
        <v>2843</v>
      </c>
      <c r="CP332" t="s">
        <v>2844</v>
      </c>
      <c r="CQ332" t="s">
        <v>430</v>
      </c>
      <c r="CR332" t="s">
        <v>2947</v>
      </c>
      <c r="CS332" t="s">
        <v>431</v>
      </c>
      <c r="CT332" t="s">
        <v>430</v>
      </c>
      <c r="CU332" t="s">
        <v>2948</v>
      </c>
      <c r="CV332" t="s">
        <v>2949</v>
      </c>
      <c r="CW332" t="s">
        <v>2947</v>
      </c>
      <c r="CX332" t="s">
        <v>2848</v>
      </c>
      <c r="CY332" t="s">
        <v>3565</v>
      </c>
    </row>
    <row r="333" spans="1:103" ht="11.25" customHeight="1">
      <c r="A333" t="s">
        <v>243</v>
      </c>
      <c r="B333" t="s">
        <v>243</v>
      </c>
      <c r="C333" t="s">
        <v>243</v>
      </c>
      <c r="D333" t="s">
        <v>243</v>
      </c>
      <c r="E333" t="s">
        <v>243</v>
      </c>
      <c r="F333" t="s">
        <v>2816</v>
      </c>
      <c r="G333" t="s">
        <v>243</v>
      </c>
      <c r="H333" t="s">
        <v>243</v>
      </c>
      <c r="I333" t="s">
        <v>3477</v>
      </c>
      <c r="J333" t="s">
        <v>243</v>
      </c>
      <c r="K333" t="s">
        <v>441</v>
      </c>
      <c r="L333" t="s">
        <v>243</v>
      </c>
      <c r="M333" t="s">
        <v>114</v>
      </c>
      <c r="N333" t="s">
        <v>243</v>
      </c>
      <c r="O333" t="s">
        <v>2819</v>
      </c>
      <c r="P333" t="s">
        <v>4449</v>
      </c>
      <c r="Q333" t="s">
        <v>2821</v>
      </c>
      <c r="R333" t="s">
        <v>200</v>
      </c>
      <c r="S333" t="s">
        <v>200</v>
      </c>
      <c r="T333" t="s">
        <v>2968</v>
      </c>
      <c r="U333" t="s">
        <v>2968</v>
      </c>
      <c r="V333" t="s">
        <v>2969</v>
      </c>
      <c r="W333" t="s">
        <v>2970</v>
      </c>
      <c r="X333" t="s">
        <v>2971</v>
      </c>
      <c r="Y333" t="s">
        <v>3478</v>
      </c>
      <c r="Z333" t="s">
        <v>3479</v>
      </c>
      <c r="AA333" t="s">
        <v>3480</v>
      </c>
      <c r="AB333" t="s">
        <v>3481</v>
      </c>
      <c r="AC333" t="s">
        <v>2829</v>
      </c>
      <c r="AD333" t="s">
        <v>2883</v>
      </c>
      <c r="AE333" t="s">
        <v>2975</v>
      </c>
      <c r="AF333" t="s">
        <v>3482</v>
      </c>
      <c r="AG333" t="s">
        <v>3482</v>
      </c>
      <c r="AH333" t="s">
        <v>2834</v>
      </c>
      <c r="AI333" t="s">
        <v>2835</v>
      </c>
      <c r="AJ333" t="s">
        <v>3446</v>
      </c>
      <c r="AK333" t="s">
        <v>3483</v>
      </c>
      <c r="AL333" t="s">
        <v>3480</v>
      </c>
      <c r="AM333" t="s">
        <v>3066</v>
      </c>
      <c r="AN333" t="s">
        <v>2829</v>
      </c>
      <c r="AO333" t="s">
        <v>2839</v>
      </c>
      <c r="AP333" t="s">
        <v>2840</v>
      </c>
      <c r="AQ333" t="s">
        <v>2841</v>
      </c>
      <c r="AR333" t="s">
        <v>3484</v>
      </c>
      <c r="AS333" t="s">
        <v>3484</v>
      </c>
      <c r="AT333" t="s">
        <v>2829</v>
      </c>
      <c r="AU333" t="s">
        <v>2829</v>
      </c>
      <c r="AV333" t="s">
        <v>2829</v>
      </c>
      <c r="AW333" t="s">
        <v>2829</v>
      </c>
      <c r="AX333" t="s">
        <v>2829</v>
      </c>
      <c r="AY333" t="s">
        <v>2829</v>
      </c>
      <c r="AZ333" t="s">
        <v>2829</v>
      </c>
      <c r="BA333" t="s">
        <v>2829</v>
      </c>
      <c r="BB333" t="s">
        <v>2829</v>
      </c>
      <c r="BC333" t="s">
        <v>2829</v>
      </c>
      <c r="BD333" t="s">
        <v>2829</v>
      </c>
      <c r="BE333" t="s">
        <v>243</v>
      </c>
      <c r="BF333" t="s">
        <v>243</v>
      </c>
      <c r="BG333" t="s">
        <v>243</v>
      </c>
      <c r="BH333" t="s">
        <v>243</v>
      </c>
      <c r="BI333" t="s">
        <v>243</v>
      </c>
      <c r="BJ333" t="s">
        <v>2829</v>
      </c>
      <c r="BK333" t="s">
        <v>243</v>
      </c>
      <c r="BL333" t="s">
        <v>243</v>
      </c>
      <c r="BM333" t="s">
        <v>243</v>
      </c>
      <c r="BN333" t="s">
        <v>243</v>
      </c>
      <c r="BO333" t="s">
        <v>243</v>
      </c>
      <c r="BP333" t="s">
        <v>3484</v>
      </c>
      <c r="BQ333" t="s">
        <v>3484</v>
      </c>
      <c r="BR333" t="s">
        <v>243</v>
      </c>
      <c r="BS333" t="s">
        <v>243</v>
      </c>
      <c r="BT333" t="s">
        <v>243</v>
      </c>
      <c r="BU333" t="s">
        <v>243</v>
      </c>
      <c r="BV333" t="s">
        <v>2829</v>
      </c>
      <c r="BW333" t="s">
        <v>243</v>
      </c>
      <c r="BX333" t="s">
        <v>243</v>
      </c>
      <c r="BY333" t="s">
        <v>243</v>
      </c>
      <c r="BZ333" t="s">
        <v>243</v>
      </c>
      <c r="CA333" t="s">
        <v>243</v>
      </c>
      <c r="CB333" t="s">
        <v>2829</v>
      </c>
      <c r="CC333" t="s">
        <v>243</v>
      </c>
      <c r="CD333" t="s">
        <v>243</v>
      </c>
      <c r="CE333" t="s">
        <v>243</v>
      </c>
      <c r="CF333" t="s">
        <v>243</v>
      </c>
      <c r="CG333" t="s">
        <v>243</v>
      </c>
      <c r="CH333" t="s">
        <v>2829</v>
      </c>
      <c r="CI333" t="s">
        <v>243</v>
      </c>
      <c r="CJ333" t="s">
        <v>243</v>
      </c>
      <c r="CK333" t="s">
        <v>243</v>
      </c>
      <c r="CL333" t="s">
        <v>243</v>
      </c>
      <c r="CM333" t="s">
        <v>243</v>
      </c>
      <c r="CN333" t="s">
        <v>2983</v>
      </c>
      <c r="CO333" t="s">
        <v>2843</v>
      </c>
      <c r="CP333" t="s">
        <v>2844</v>
      </c>
      <c r="CQ333" t="s">
        <v>430</v>
      </c>
      <c r="CR333" t="s">
        <v>2984</v>
      </c>
      <c r="CS333" t="s">
        <v>431</v>
      </c>
      <c r="CT333" t="s">
        <v>430</v>
      </c>
      <c r="CU333" t="s">
        <v>2985</v>
      </c>
      <c r="CV333" t="s">
        <v>2986</v>
      </c>
      <c r="CW333" t="s">
        <v>2984</v>
      </c>
      <c r="CX333" t="s">
        <v>2848</v>
      </c>
      <c r="CY333" t="s">
        <v>3485</v>
      </c>
    </row>
    <row r="334" spans="1:103" ht="11.25" customHeight="1">
      <c r="A334" t="s">
        <v>243</v>
      </c>
      <c r="B334" t="s">
        <v>243</v>
      </c>
      <c r="C334" t="s">
        <v>243</v>
      </c>
      <c r="D334" t="s">
        <v>243</v>
      </c>
      <c r="E334" t="s">
        <v>243</v>
      </c>
      <c r="F334" t="s">
        <v>2816</v>
      </c>
      <c r="G334" t="s">
        <v>243</v>
      </c>
      <c r="H334" t="s">
        <v>243</v>
      </c>
      <c r="I334" t="s">
        <v>3486</v>
      </c>
      <c r="J334" t="s">
        <v>243</v>
      </c>
      <c r="K334" t="s">
        <v>3487</v>
      </c>
      <c r="L334" t="s">
        <v>243</v>
      </c>
      <c r="M334" t="s">
        <v>114</v>
      </c>
      <c r="N334" t="s">
        <v>243</v>
      </c>
      <c r="O334" t="s">
        <v>2819</v>
      </c>
      <c r="P334" t="s">
        <v>4449</v>
      </c>
      <c r="Q334" t="s">
        <v>2821</v>
      </c>
      <c r="R334" t="s">
        <v>200</v>
      </c>
      <c r="S334" t="s">
        <v>200</v>
      </c>
      <c r="T334" t="s">
        <v>2968</v>
      </c>
      <c r="U334" t="s">
        <v>2968</v>
      </c>
      <c r="V334" t="s">
        <v>2969</v>
      </c>
      <c r="W334" t="s">
        <v>2970</v>
      </c>
      <c r="X334" t="s">
        <v>2971</v>
      </c>
      <c r="Y334" t="s">
        <v>3488</v>
      </c>
      <c r="Z334" t="s">
        <v>3489</v>
      </c>
      <c r="AA334" t="s">
        <v>3490</v>
      </c>
      <c r="AB334" t="s">
        <v>3491</v>
      </c>
      <c r="AC334" t="s">
        <v>2829</v>
      </c>
      <c r="AD334" t="s">
        <v>2883</v>
      </c>
      <c r="AE334" t="s">
        <v>2975</v>
      </c>
      <c r="AF334" t="s">
        <v>3492</v>
      </c>
      <c r="AG334" t="s">
        <v>3492</v>
      </c>
      <c r="AH334" t="s">
        <v>2834</v>
      </c>
      <c r="AI334" t="s">
        <v>2835</v>
      </c>
      <c r="AJ334" t="s">
        <v>3446</v>
      </c>
      <c r="AK334" t="s">
        <v>3493</v>
      </c>
      <c r="AL334" t="s">
        <v>3490</v>
      </c>
      <c r="AM334" t="s">
        <v>3106</v>
      </c>
      <c r="AN334" t="s">
        <v>2829</v>
      </c>
      <c r="AO334" t="s">
        <v>2839</v>
      </c>
      <c r="AP334" t="s">
        <v>2840</v>
      </c>
      <c r="AQ334" t="s">
        <v>2841</v>
      </c>
      <c r="AR334" t="s">
        <v>3494</v>
      </c>
      <c r="AS334" t="s">
        <v>3494</v>
      </c>
      <c r="AT334" t="s">
        <v>2829</v>
      </c>
      <c r="AU334" t="s">
        <v>2829</v>
      </c>
      <c r="AV334" t="s">
        <v>2829</v>
      </c>
      <c r="AW334" t="s">
        <v>2829</v>
      </c>
      <c r="AX334" t="s">
        <v>3495</v>
      </c>
      <c r="AY334" t="s">
        <v>3495</v>
      </c>
      <c r="AZ334" t="s">
        <v>2829</v>
      </c>
      <c r="BA334" t="s">
        <v>2829</v>
      </c>
      <c r="BB334" t="s">
        <v>2829</v>
      </c>
      <c r="BC334" t="s">
        <v>2829</v>
      </c>
      <c r="BD334" t="s">
        <v>3494</v>
      </c>
      <c r="BE334" t="s">
        <v>3494</v>
      </c>
      <c r="BF334" t="s">
        <v>243</v>
      </c>
      <c r="BG334" t="s">
        <v>243</v>
      </c>
      <c r="BH334" t="s">
        <v>243</v>
      </c>
      <c r="BI334" t="s">
        <v>243</v>
      </c>
      <c r="BJ334" t="s">
        <v>2829</v>
      </c>
      <c r="BK334" t="s">
        <v>243</v>
      </c>
      <c r="BL334" t="s">
        <v>243</v>
      </c>
      <c r="BM334" t="s">
        <v>243</v>
      </c>
      <c r="BN334" t="s">
        <v>243</v>
      </c>
      <c r="BO334" t="s">
        <v>243</v>
      </c>
      <c r="BP334" t="s">
        <v>2829</v>
      </c>
      <c r="BQ334" t="s">
        <v>243</v>
      </c>
      <c r="BR334" t="s">
        <v>243</v>
      </c>
      <c r="BS334" t="s">
        <v>243</v>
      </c>
      <c r="BT334" t="s">
        <v>243</v>
      </c>
      <c r="BU334" t="s">
        <v>243</v>
      </c>
      <c r="BV334" t="s">
        <v>3495</v>
      </c>
      <c r="BW334" t="s">
        <v>3495</v>
      </c>
      <c r="BX334" t="s">
        <v>243</v>
      </c>
      <c r="BY334" t="s">
        <v>243</v>
      </c>
      <c r="BZ334" t="s">
        <v>243</v>
      </c>
      <c r="CA334" t="s">
        <v>243</v>
      </c>
      <c r="CB334" t="s">
        <v>2829</v>
      </c>
      <c r="CC334" t="s">
        <v>243</v>
      </c>
      <c r="CD334" t="s">
        <v>243</v>
      </c>
      <c r="CE334" t="s">
        <v>243</v>
      </c>
      <c r="CF334" t="s">
        <v>243</v>
      </c>
      <c r="CG334" t="s">
        <v>243</v>
      </c>
      <c r="CH334" t="s">
        <v>2829</v>
      </c>
      <c r="CI334" t="s">
        <v>243</v>
      </c>
      <c r="CJ334" t="s">
        <v>243</v>
      </c>
      <c r="CK334" t="s">
        <v>243</v>
      </c>
      <c r="CL334" t="s">
        <v>243</v>
      </c>
      <c r="CM334" t="s">
        <v>243</v>
      </c>
      <c r="CN334" t="s">
        <v>2983</v>
      </c>
      <c r="CO334" t="s">
        <v>2843</v>
      </c>
      <c r="CP334" t="s">
        <v>2844</v>
      </c>
      <c r="CQ334" t="s">
        <v>430</v>
      </c>
      <c r="CR334" t="s">
        <v>2984</v>
      </c>
      <c r="CS334" t="s">
        <v>431</v>
      </c>
      <c r="CT334" t="s">
        <v>430</v>
      </c>
      <c r="CU334" t="s">
        <v>2985</v>
      </c>
      <c r="CV334" t="s">
        <v>2986</v>
      </c>
      <c r="CW334" t="s">
        <v>2984</v>
      </c>
      <c r="CX334" t="s">
        <v>2848</v>
      </c>
      <c r="CY334" t="s">
        <v>3496</v>
      </c>
    </row>
    <row r="335" spans="1:103" ht="11.25" customHeight="1">
      <c r="A335" t="s">
        <v>243</v>
      </c>
      <c r="B335" t="s">
        <v>243</v>
      </c>
      <c r="C335" t="s">
        <v>243</v>
      </c>
      <c r="D335" t="s">
        <v>243</v>
      </c>
      <c r="E335" t="s">
        <v>243</v>
      </c>
      <c r="F335" t="s">
        <v>2816</v>
      </c>
      <c r="G335" t="s">
        <v>243</v>
      </c>
      <c r="H335" t="s">
        <v>243</v>
      </c>
      <c r="I335" t="s">
        <v>3566</v>
      </c>
      <c r="J335" t="s">
        <v>243</v>
      </c>
      <c r="K335" t="s">
        <v>3567</v>
      </c>
      <c r="L335" t="s">
        <v>243</v>
      </c>
      <c r="M335" t="s">
        <v>114</v>
      </c>
      <c r="N335" t="s">
        <v>243</v>
      </c>
      <c r="O335" t="s">
        <v>2819</v>
      </c>
      <c r="P335" t="s">
        <v>4449</v>
      </c>
      <c r="Q335" t="s">
        <v>2821</v>
      </c>
      <c r="R335" t="s">
        <v>200</v>
      </c>
      <c r="S335" t="s">
        <v>200</v>
      </c>
      <c r="T335" t="s">
        <v>2968</v>
      </c>
      <c r="U335" t="s">
        <v>2968</v>
      </c>
      <c r="V335" t="s">
        <v>2969</v>
      </c>
      <c r="W335" t="s">
        <v>3568</v>
      </c>
      <c r="X335" t="s">
        <v>3569</v>
      </c>
      <c r="Y335" t="s">
        <v>3570</v>
      </c>
      <c r="Z335" t="s">
        <v>443</v>
      </c>
      <c r="AA335" t="s">
        <v>2994</v>
      </c>
      <c r="AB335" t="s">
        <v>2995</v>
      </c>
      <c r="AC335" t="s">
        <v>2829</v>
      </c>
      <c r="AD335" t="s">
        <v>2883</v>
      </c>
      <c r="AE335" t="s">
        <v>2857</v>
      </c>
      <c r="AF335" t="s">
        <v>3571</v>
      </c>
      <c r="AG335" t="s">
        <v>3571</v>
      </c>
      <c r="AH335" t="s">
        <v>2834</v>
      </c>
      <c r="AI335" t="s">
        <v>2835</v>
      </c>
      <c r="AJ335" t="s">
        <v>3572</v>
      </c>
      <c r="AK335" t="s">
        <v>3425</v>
      </c>
      <c r="AL335" t="s">
        <v>2994</v>
      </c>
      <c r="AM335" t="s">
        <v>2995</v>
      </c>
      <c r="AN335" t="s">
        <v>2829</v>
      </c>
      <c r="AO335" t="s">
        <v>2839</v>
      </c>
      <c r="AP335" t="s">
        <v>2840</v>
      </c>
      <c r="AQ335" t="s">
        <v>2841</v>
      </c>
      <c r="AR335" t="s">
        <v>3573</v>
      </c>
      <c r="AS335" t="s">
        <v>3573</v>
      </c>
      <c r="AT335" t="s">
        <v>2829</v>
      </c>
      <c r="AU335" t="s">
        <v>2829</v>
      </c>
      <c r="AV335" t="s">
        <v>2829</v>
      </c>
      <c r="AW335" t="s">
        <v>2829</v>
      </c>
      <c r="AX335" t="s">
        <v>2829</v>
      </c>
      <c r="AY335" t="s">
        <v>2829</v>
      </c>
      <c r="AZ335" t="s">
        <v>2829</v>
      </c>
      <c r="BA335" t="s">
        <v>2829</v>
      </c>
      <c r="BB335" t="s">
        <v>2829</v>
      </c>
      <c r="BC335" t="s">
        <v>2829</v>
      </c>
      <c r="BD335" t="s">
        <v>2829</v>
      </c>
      <c r="BE335" t="s">
        <v>243</v>
      </c>
      <c r="BF335" t="s">
        <v>243</v>
      </c>
      <c r="BG335" t="s">
        <v>243</v>
      </c>
      <c r="BH335" t="s">
        <v>243</v>
      </c>
      <c r="BI335" t="s">
        <v>243</v>
      </c>
      <c r="BJ335" t="s">
        <v>2829</v>
      </c>
      <c r="BK335" t="s">
        <v>243</v>
      </c>
      <c r="BL335" t="s">
        <v>243</v>
      </c>
      <c r="BM335" t="s">
        <v>243</v>
      </c>
      <c r="BN335" t="s">
        <v>243</v>
      </c>
      <c r="BO335" t="s">
        <v>243</v>
      </c>
      <c r="BP335" t="s">
        <v>3573</v>
      </c>
      <c r="BQ335" t="s">
        <v>3573</v>
      </c>
      <c r="BR335" t="s">
        <v>243</v>
      </c>
      <c r="BS335" t="s">
        <v>243</v>
      </c>
      <c r="BT335" t="s">
        <v>243</v>
      </c>
      <c r="BU335" t="s">
        <v>243</v>
      </c>
      <c r="BV335" t="s">
        <v>2829</v>
      </c>
      <c r="BW335" t="s">
        <v>243</v>
      </c>
      <c r="BX335" t="s">
        <v>243</v>
      </c>
      <c r="BY335" t="s">
        <v>243</v>
      </c>
      <c r="BZ335" t="s">
        <v>243</v>
      </c>
      <c r="CA335" t="s">
        <v>243</v>
      </c>
      <c r="CB335" t="s">
        <v>2829</v>
      </c>
      <c r="CC335" t="s">
        <v>243</v>
      </c>
      <c r="CD335" t="s">
        <v>243</v>
      </c>
      <c r="CE335" t="s">
        <v>243</v>
      </c>
      <c r="CF335" t="s">
        <v>243</v>
      </c>
      <c r="CG335" t="s">
        <v>243</v>
      </c>
      <c r="CH335" t="s">
        <v>2829</v>
      </c>
      <c r="CI335" t="s">
        <v>243</v>
      </c>
      <c r="CJ335" t="s">
        <v>243</v>
      </c>
      <c r="CK335" t="s">
        <v>243</v>
      </c>
      <c r="CL335" t="s">
        <v>243</v>
      </c>
      <c r="CM335" t="s">
        <v>243</v>
      </c>
      <c r="CN335" t="s">
        <v>3010</v>
      </c>
      <c r="CO335" t="s">
        <v>2843</v>
      </c>
      <c r="CP335" t="s">
        <v>2844</v>
      </c>
      <c r="CQ335" t="s">
        <v>430</v>
      </c>
      <c r="CR335" t="s">
        <v>2984</v>
      </c>
      <c r="CS335" t="s">
        <v>431</v>
      </c>
      <c r="CT335" t="s">
        <v>430</v>
      </c>
      <c r="CU335" t="s">
        <v>2985</v>
      </c>
      <c r="CV335" t="s">
        <v>2986</v>
      </c>
      <c r="CW335" t="s">
        <v>2984</v>
      </c>
      <c r="CX335" t="s">
        <v>2848</v>
      </c>
      <c r="CY335" t="s">
        <v>3574</v>
      </c>
    </row>
    <row r="336" spans="1:103" ht="11.25" customHeight="1">
      <c r="A336" t="s">
        <v>243</v>
      </c>
      <c r="B336" t="s">
        <v>243</v>
      </c>
      <c r="C336" t="s">
        <v>243</v>
      </c>
      <c r="D336" t="s">
        <v>243</v>
      </c>
      <c r="E336" t="s">
        <v>243</v>
      </c>
      <c r="F336" t="s">
        <v>2816</v>
      </c>
      <c r="G336" t="s">
        <v>243</v>
      </c>
      <c r="H336" t="s">
        <v>243</v>
      </c>
      <c r="I336" t="s">
        <v>3691</v>
      </c>
      <c r="J336" t="s">
        <v>243</v>
      </c>
      <c r="K336" t="s">
        <v>3692</v>
      </c>
      <c r="L336" t="s">
        <v>243</v>
      </c>
      <c r="M336" t="s">
        <v>114</v>
      </c>
      <c r="N336" t="s">
        <v>243</v>
      </c>
      <c r="O336" t="s">
        <v>2819</v>
      </c>
      <c r="P336" t="s">
        <v>4449</v>
      </c>
      <c r="Q336" t="s">
        <v>2821</v>
      </c>
      <c r="R336" t="s">
        <v>200</v>
      </c>
      <c r="S336" t="s">
        <v>200</v>
      </c>
      <c r="T336" t="s">
        <v>4463</v>
      </c>
      <c r="U336" t="s">
        <v>4463</v>
      </c>
      <c r="V336" t="s">
        <v>4464</v>
      </c>
      <c r="W336" t="s">
        <v>3138</v>
      </c>
      <c r="X336" t="s">
        <v>4465</v>
      </c>
      <c r="Y336" t="s">
        <v>3693</v>
      </c>
      <c r="Z336" t="s">
        <v>3477</v>
      </c>
      <c r="AA336" t="s">
        <v>3694</v>
      </c>
      <c r="AB336" t="s">
        <v>3695</v>
      </c>
      <c r="AC336" t="s">
        <v>3260</v>
      </c>
      <c r="AD336" t="s">
        <v>2883</v>
      </c>
      <c r="AE336" t="s">
        <v>2831</v>
      </c>
      <c r="AF336" t="s">
        <v>3144</v>
      </c>
      <c r="AG336" t="s">
        <v>3696</v>
      </c>
      <c r="AH336" t="s">
        <v>2834</v>
      </c>
      <c r="AI336" t="s">
        <v>2887</v>
      </c>
      <c r="AJ336" t="s">
        <v>3146</v>
      </c>
      <c r="AK336" t="s">
        <v>3697</v>
      </c>
      <c r="AL336" t="s">
        <v>3694</v>
      </c>
      <c r="AM336" t="s">
        <v>3698</v>
      </c>
      <c r="AN336" t="s">
        <v>3260</v>
      </c>
      <c r="AO336" t="s">
        <v>2839</v>
      </c>
      <c r="AP336" t="s">
        <v>2840</v>
      </c>
      <c r="AQ336" t="s">
        <v>2841</v>
      </c>
      <c r="AR336" t="s">
        <v>3699</v>
      </c>
      <c r="AS336" t="s">
        <v>3700</v>
      </c>
      <c r="AT336" t="s">
        <v>3701</v>
      </c>
      <c r="AU336" t="s">
        <v>3702</v>
      </c>
      <c r="AV336" t="s">
        <v>3703</v>
      </c>
      <c r="AW336" t="s">
        <v>2829</v>
      </c>
      <c r="AX336" t="s">
        <v>2829</v>
      </c>
      <c r="AY336" t="s">
        <v>2829</v>
      </c>
      <c r="AZ336" t="s">
        <v>2829</v>
      </c>
      <c r="BA336" t="s">
        <v>2829</v>
      </c>
      <c r="BB336" t="s">
        <v>2829</v>
      </c>
      <c r="BC336" t="s">
        <v>2829</v>
      </c>
      <c r="BD336" t="s">
        <v>3704</v>
      </c>
      <c r="BE336" t="s">
        <v>3705</v>
      </c>
      <c r="BF336" t="s">
        <v>3706</v>
      </c>
      <c r="BG336" t="s">
        <v>3107</v>
      </c>
      <c r="BH336" t="s">
        <v>3703</v>
      </c>
      <c r="BI336" t="s">
        <v>243</v>
      </c>
      <c r="BJ336" t="s">
        <v>2829</v>
      </c>
      <c r="BK336" t="s">
        <v>243</v>
      </c>
      <c r="BL336" t="s">
        <v>243</v>
      </c>
      <c r="BM336" t="s">
        <v>243</v>
      </c>
      <c r="BN336" t="s">
        <v>243</v>
      </c>
      <c r="BO336" t="s">
        <v>243</v>
      </c>
      <c r="BP336" t="s">
        <v>3707</v>
      </c>
      <c r="BQ336" t="s">
        <v>3708</v>
      </c>
      <c r="BR336" t="s">
        <v>3709</v>
      </c>
      <c r="BS336" t="s">
        <v>2859</v>
      </c>
      <c r="BT336" t="s">
        <v>243</v>
      </c>
      <c r="BU336" t="s">
        <v>243</v>
      </c>
      <c r="BV336" t="s">
        <v>2829</v>
      </c>
      <c r="BW336" t="s">
        <v>243</v>
      </c>
      <c r="BX336" t="s">
        <v>243</v>
      </c>
      <c r="BY336" t="s">
        <v>243</v>
      </c>
      <c r="BZ336" t="s">
        <v>243</v>
      </c>
      <c r="CA336" t="s">
        <v>243</v>
      </c>
      <c r="CB336" t="s">
        <v>2829</v>
      </c>
      <c r="CC336" t="s">
        <v>243</v>
      </c>
      <c r="CD336" t="s">
        <v>243</v>
      </c>
      <c r="CE336" t="s">
        <v>243</v>
      </c>
      <c r="CF336" t="s">
        <v>243</v>
      </c>
      <c r="CG336" t="s">
        <v>243</v>
      </c>
      <c r="CH336" t="s">
        <v>2829</v>
      </c>
      <c r="CI336" t="s">
        <v>243</v>
      </c>
      <c r="CJ336" t="s">
        <v>243</v>
      </c>
      <c r="CK336" t="s">
        <v>243</v>
      </c>
      <c r="CL336" t="s">
        <v>243</v>
      </c>
      <c r="CM336" t="s">
        <v>243</v>
      </c>
      <c r="CN336" t="s">
        <v>3150</v>
      </c>
      <c r="CO336" t="s">
        <v>2843</v>
      </c>
      <c r="CP336" t="s">
        <v>2844</v>
      </c>
      <c r="CQ336" t="s">
        <v>430</v>
      </c>
      <c r="CR336" t="s">
        <v>3151</v>
      </c>
      <c r="CS336" t="s">
        <v>266</v>
      </c>
      <c r="CT336" t="s">
        <v>430</v>
      </c>
      <c r="CU336" t="s">
        <v>440</v>
      </c>
      <c r="CV336" t="s">
        <v>3152</v>
      </c>
      <c r="CW336" t="s">
        <v>3151</v>
      </c>
      <c r="CX336" t="s">
        <v>2848</v>
      </c>
      <c r="CY336" t="s">
        <v>3710</v>
      </c>
    </row>
    <row r="337" spans="1:103" ht="11.25" customHeight="1">
      <c r="A337" t="s">
        <v>243</v>
      </c>
      <c r="B337" t="s">
        <v>243</v>
      </c>
      <c r="C337" t="s">
        <v>243</v>
      </c>
      <c r="D337" t="s">
        <v>243</v>
      </c>
      <c r="E337" t="s">
        <v>243</v>
      </c>
      <c r="F337" t="s">
        <v>2816</v>
      </c>
      <c r="G337" t="s">
        <v>243</v>
      </c>
      <c r="H337" t="s">
        <v>243</v>
      </c>
      <c r="I337" t="s">
        <v>4155</v>
      </c>
      <c r="J337" t="s">
        <v>243</v>
      </c>
      <c r="K337" t="s">
        <v>4156</v>
      </c>
      <c r="L337" t="s">
        <v>243</v>
      </c>
      <c r="M337" t="s">
        <v>114</v>
      </c>
      <c r="N337" t="s">
        <v>243</v>
      </c>
      <c r="O337" t="s">
        <v>2819</v>
      </c>
      <c r="P337" t="s">
        <v>4449</v>
      </c>
      <c r="Q337" t="s">
        <v>2821</v>
      </c>
      <c r="R337" t="s">
        <v>200</v>
      </c>
      <c r="S337" t="s">
        <v>200</v>
      </c>
      <c r="T337" t="s">
        <v>4463</v>
      </c>
      <c r="U337" t="s">
        <v>4463</v>
      </c>
      <c r="V337" t="s">
        <v>4464</v>
      </c>
      <c r="W337" t="s">
        <v>3138</v>
      </c>
      <c r="X337" t="s">
        <v>4465</v>
      </c>
      <c r="Y337" t="s">
        <v>3271</v>
      </c>
      <c r="Z337" t="s">
        <v>4157</v>
      </c>
      <c r="AA337" t="s">
        <v>4158</v>
      </c>
      <c r="AB337" t="s">
        <v>4159</v>
      </c>
      <c r="AC337" t="s">
        <v>2829</v>
      </c>
      <c r="AD337" t="s">
        <v>2883</v>
      </c>
      <c r="AE337" t="s">
        <v>2831</v>
      </c>
      <c r="AF337" t="s">
        <v>3144</v>
      </c>
      <c r="AG337" t="s">
        <v>4160</v>
      </c>
      <c r="AH337" t="s">
        <v>2834</v>
      </c>
      <c r="AI337" t="s">
        <v>2835</v>
      </c>
      <c r="AJ337" t="s">
        <v>3146</v>
      </c>
      <c r="AK337" t="s">
        <v>4161</v>
      </c>
      <c r="AL337" t="s">
        <v>4158</v>
      </c>
      <c r="AM337" t="s">
        <v>4162</v>
      </c>
      <c r="AN337" t="s">
        <v>2829</v>
      </c>
      <c r="AO337" t="s">
        <v>2839</v>
      </c>
      <c r="AP337" t="s">
        <v>2840</v>
      </c>
      <c r="AQ337" t="s">
        <v>2841</v>
      </c>
      <c r="AR337" t="s">
        <v>4163</v>
      </c>
      <c r="AS337" t="s">
        <v>4163</v>
      </c>
      <c r="AT337" t="s">
        <v>2829</v>
      </c>
      <c r="AU337" t="s">
        <v>2829</v>
      </c>
      <c r="AV337" t="s">
        <v>2829</v>
      </c>
      <c r="AW337" t="s">
        <v>2829</v>
      </c>
      <c r="AX337" t="s">
        <v>2829</v>
      </c>
      <c r="AY337" t="s">
        <v>2829</v>
      </c>
      <c r="AZ337" t="s">
        <v>2829</v>
      </c>
      <c r="BA337" t="s">
        <v>2829</v>
      </c>
      <c r="BB337" t="s">
        <v>2829</v>
      </c>
      <c r="BC337" t="s">
        <v>2829</v>
      </c>
      <c r="BD337" t="s">
        <v>3107</v>
      </c>
      <c r="BE337" t="s">
        <v>3107</v>
      </c>
      <c r="BF337" t="s">
        <v>243</v>
      </c>
      <c r="BG337" t="s">
        <v>243</v>
      </c>
      <c r="BH337" t="s">
        <v>243</v>
      </c>
      <c r="BI337" t="s">
        <v>243</v>
      </c>
      <c r="BJ337" t="s">
        <v>2829</v>
      </c>
      <c r="BK337" t="s">
        <v>243</v>
      </c>
      <c r="BL337" t="s">
        <v>243</v>
      </c>
      <c r="BM337" t="s">
        <v>243</v>
      </c>
      <c r="BN337" t="s">
        <v>243</v>
      </c>
      <c r="BO337" t="s">
        <v>243</v>
      </c>
      <c r="BP337" t="s">
        <v>3528</v>
      </c>
      <c r="BQ337" t="s">
        <v>3528</v>
      </c>
      <c r="BR337" t="s">
        <v>243</v>
      </c>
      <c r="BS337" t="s">
        <v>243</v>
      </c>
      <c r="BT337" t="s">
        <v>243</v>
      </c>
      <c r="BU337" t="s">
        <v>243</v>
      </c>
      <c r="BV337" t="s">
        <v>2829</v>
      </c>
      <c r="BW337" t="s">
        <v>243</v>
      </c>
      <c r="BX337" t="s">
        <v>243</v>
      </c>
      <c r="BY337" t="s">
        <v>243</v>
      </c>
      <c r="BZ337" t="s">
        <v>243</v>
      </c>
      <c r="CA337" t="s">
        <v>243</v>
      </c>
      <c r="CB337" t="s">
        <v>2829</v>
      </c>
      <c r="CC337" t="s">
        <v>243</v>
      </c>
      <c r="CD337" t="s">
        <v>243</v>
      </c>
      <c r="CE337" t="s">
        <v>243</v>
      </c>
      <c r="CF337" t="s">
        <v>243</v>
      </c>
      <c r="CG337" t="s">
        <v>243</v>
      </c>
      <c r="CH337" t="s">
        <v>2829</v>
      </c>
      <c r="CI337" t="s">
        <v>243</v>
      </c>
      <c r="CJ337" t="s">
        <v>243</v>
      </c>
      <c r="CK337" t="s">
        <v>243</v>
      </c>
      <c r="CL337" t="s">
        <v>243</v>
      </c>
      <c r="CM337" t="s">
        <v>243</v>
      </c>
      <c r="CN337" t="s">
        <v>3150</v>
      </c>
      <c r="CO337" t="s">
        <v>2843</v>
      </c>
      <c r="CP337" t="s">
        <v>2844</v>
      </c>
      <c r="CQ337" t="s">
        <v>430</v>
      </c>
      <c r="CR337" t="s">
        <v>3151</v>
      </c>
      <c r="CS337" t="s">
        <v>266</v>
      </c>
      <c r="CT337" t="s">
        <v>430</v>
      </c>
      <c r="CU337" t="s">
        <v>440</v>
      </c>
      <c r="CV337" t="s">
        <v>3152</v>
      </c>
      <c r="CW337" t="s">
        <v>3151</v>
      </c>
      <c r="CX337" t="s">
        <v>2848</v>
      </c>
      <c r="CY337" t="s">
        <v>4164</v>
      </c>
    </row>
    <row r="338" spans="1:103" ht="11.25" customHeight="1">
      <c r="A338" t="s">
        <v>243</v>
      </c>
      <c r="B338" t="s">
        <v>243</v>
      </c>
      <c r="C338" t="s">
        <v>243</v>
      </c>
      <c r="D338" t="s">
        <v>243</v>
      </c>
      <c r="E338" t="s">
        <v>243</v>
      </c>
      <c r="F338" t="s">
        <v>2816</v>
      </c>
      <c r="G338" t="s">
        <v>243</v>
      </c>
      <c r="H338" t="s">
        <v>243</v>
      </c>
      <c r="I338" t="s">
        <v>3299</v>
      </c>
      <c r="J338" t="s">
        <v>243</v>
      </c>
      <c r="K338" t="s">
        <v>428</v>
      </c>
      <c r="L338" t="s">
        <v>243</v>
      </c>
      <c r="M338" t="s">
        <v>114</v>
      </c>
      <c r="N338" t="s">
        <v>243</v>
      </c>
      <c r="O338" t="s">
        <v>2819</v>
      </c>
      <c r="P338" t="s">
        <v>4449</v>
      </c>
      <c r="Q338" t="s">
        <v>2821</v>
      </c>
      <c r="R338" t="s">
        <v>200</v>
      </c>
      <c r="S338" t="s">
        <v>200</v>
      </c>
      <c r="T338" t="s">
        <v>3048</v>
      </c>
      <c r="U338" t="s">
        <v>3048</v>
      </c>
      <c r="V338" t="s">
        <v>3049</v>
      </c>
      <c r="W338" t="s">
        <v>3050</v>
      </c>
      <c r="X338" t="s">
        <v>3051</v>
      </c>
      <c r="Y338" t="s">
        <v>3300</v>
      </c>
      <c r="Z338" t="s">
        <v>1763</v>
      </c>
      <c r="AA338" t="s">
        <v>3301</v>
      </c>
      <c r="AB338" t="s">
        <v>3302</v>
      </c>
      <c r="AC338" t="s">
        <v>2829</v>
      </c>
      <c r="AD338" t="s">
        <v>2883</v>
      </c>
      <c r="AE338" t="s">
        <v>2831</v>
      </c>
      <c r="AF338" t="s">
        <v>3055</v>
      </c>
      <c r="AG338" t="s">
        <v>3055</v>
      </c>
      <c r="AH338" t="s">
        <v>2834</v>
      </c>
      <c r="AI338" t="s">
        <v>2835</v>
      </c>
      <c r="AJ338" t="s">
        <v>3060</v>
      </c>
      <c r="AK338" t="s">
        <v>2961</v>
      </c>
      <c r="AL338" t="s">
        <v>3301</v>
      </c>
      <c r="AM338" t="s">
        <v>3303</v>
      </c>
      <c r="AN338" t="s">
        <v>2829</v>
      </c>
      <c r="AO338" t="s">
        <v>2839</v>
      </c>
      <c r="AP338" t="s">
        <v>2840</v>
      </c>
      <c r="AQ338" t="s">
        <v>2841</v>
      </c>
      <c r="AR338" t="s">
        <v>3005</v>
      </c>
      <c r="AS338" t="s">
        <v>3005</v>
      </c>
      <c r="AT338" t="s">
        <v>2829</v>
      </c>
      <c r="AU338" t="s">
        <v>2829</v>
      </c>
      <c r="AV338" t="s">
        <v>2829</v>
      </c>
      <c r="AW338" t="s">
        <v>2829</v>
      </c>
      <c r="AX338" t="s">
        <v>2829</v>
      </c>
      <c r="AY338" t="s">
        <v>2829</v>
      </c>
      <c r="AZ338" t="s">
        <v>2829</v>
      </c>
      <c r="BA338" t="s">
        <v>2829</v>
      </c>
      <c r="BB338" t="s">
        <v>2829</v>
      </c>
      <c r="BC338" t="s">
        <v>2829</v>
      </c>
      <c r="BD338" t="s">
        <v>3005</v>
      </c>
      <c r="BE338" t="s">
        <v>3005</v>
      </c>
      <c r="BF338" t="s">
        <v>243</v>
      </c>
      <c r="BG338" t="s">
        <v>243</v>
      </c>
      <c r="BH338" t="s">
        <v>243</v>
      </c>
      <c r="BI338" t="s">
        <v>243</v>
      </c>
      <c r="BJ338" t="s">
        <v>2829</v>
      </c>
      <c r="BK338" t="s">
        <v>243</v>
      </c>
      <c r="BL338" t="s">
        <v>243</v>
      </c>
      <c r="BM338" t="s">
        <v>243</v>
      </c>
      <c r="BN338" t="s">
        <v>243</v>
      </c>
      <c r="BO338" t="s">
        <v>243</v>
      </c>
      <c r="BP338" t="s">
        <v>2829</v>
      </c>
      <c r="BQ338" t="s">
        <v>243</v>
      </c>
      <c r="BR338" t="s">
        <v>243</v>
      </c>
      <c r="BS338" t="s">
        <v>243</v>
      </c>
      <c r="BT338" t="s">
        <v>243</v>
      </c>
      <c r="BU338" t="s">
        <v>243</v>
      </c>
      <c r="BV338" t="s">
        <v>2829</v>
      </c>
      <c r="BW338" t="s">
        <v>243</v>
      </c>
      <c r="BX338" t="s">
        <v>243</v>
      </c>
      <c r="BY338" t="s">
        <v>243</v>
      </c>
      <c r="BZ338" t="s">
        <v>243</v>
      </c>
      <c r="CA338" t="s">
        <v>243</v>
      </c>
      <c r="CB338" t="s">
        <v>2829</v>
      </c>
      <c r="CC338" t="s">
        <v>243</v>
      </c>
      <c r="CD338" t="s">
        <v>243</v>
      </c>
      <c r="CE338" t="s">
        <v>243</v>
      </c>
      <c r="CF338" t="s">
        <v>243</v>
      </c>
      <c r="CG338" t="s">
        <v>243</v>
      </c>
      <c r="CH338" t="s">
        <v>2829</v>
      </c>
      <c r="CI338" t="s">
        <v>243</v>
      </c>
      <c r="CJ338" t="s">
        <v>243</v>
      </c>
      <c r="CK338" t="s">
        <v>243</v>
      </c>
      <c r="CL338" t="s">
        <v>243</v>
      </c>
      <c r="CM338" t="s">
        <v>243</v>
      </c>
      <c r="CN338" t="s">
        <v>3187</v>
      </c>
      <c r="CO338" t="s">
        <v>2843</v>
      </c>
      <c r="CP338" t="s">
        <v>2844</v>
      </c>
      <c r="CQ338" t="s">
        <v>430</v>
      </c>
      <c r="CR338" t="s">
        <v>2872</v>
      </c>
      <c r="CS338" t="s">
        <v>431</v>
      </c>
      <c r="CT338" t="s">
        <v>430</v>
      </c>
      <c r="CU338" t="s">
        <v>3061</v>
      </c>
      <c r="CV338" t="s">
        <v>3062</v>
      </c>
      <c r="CW338" t="s">
        <v>2872</v>
      </c>
      <c r="CX338" t="s">
        <v>2848</v>
      </c>
      <c r="CY338" t="s">
        <v>3304</v>
      </c>
    </row>
    <row r="339" spans="1:103" ht="11.25" customHeight="1">
      <c r="A339" t="s">
        <v>243</v>
      </c>
      <c r="B339" t="s">
        <v>243</v>
      </c>
      <c r="C339" t="s">
        <v>243</v>
      </c>
      <c r="D339" t="s">
        <v>243</v>
      </c>
      <c r="E339" t="s">
        <v>243</v>
      </c>
      <c r="F339" t="s">
        <v>2816</v>
      </c>
      <c r="G339" t="s">
        <v>243</v>
      </c>
      <c r="H339" t="s">
        <v>243</v>
      </c>
      <c r="I339" t="s">
        <v>3305</v>
      </c>
      <c r="J339" t="s">
        <v>243</v>
      </c>
      <c r="K339" t="s">
        <v>455</v>
      </c>
      <c r="L339" t="s">
        <v>243</v>
      </c>
      <c r="M339" t="s">
        <v>114</v>
      </c>
      <c r="N339" t="s">
        <v>243</v>
      </c>
      <c r="O339" t="s">
        <v>2819</v>
      </c>
      <c r="P339" t="s">
        <v>4449</v>
      </c>
      <c r="Q339" t="s">
        <v>2821</v>
      </c>
      <c r="R339" t="s">
        <v>200</v>
      </c>
      <c r="S339" t="s">
        <v>200</v>
      </c>
      <c r="T339" t="s">
        <v>3048</v>
      </c>
      <c r="U339" t="s">
        <v>3048</v>
      </c>
      <c r="V339" t="s">
        <v>3049</v>
      </c>
      <c r="W339" t="s">
        <v>3050</v>
      </c>
      <c r="X339" t="s">
        <v>3051</v>
      </c>
      <c r="Y339" t="s">
        <v>3306</v>
      </c>
      <c r="Z339" t="s">
        <v>3307</v>
      </c>
      <c r="AA339" t="s">
        <v>3128</v>
      </c>
      <c r="AB339" t="s">
        <v>3193</v>
      </c>
      <c r="AC339" t="s">
        <v>2829</v>
      </c>
      <c r="AD339" t="s">
        <v>2883</v>
      </c>
      <c r="AE339" t="s">
        <v>2831</v>
      </c>
      <c r="AF339" t="s">
        <v>3055</v>
      </c>
      <c r="AG339" t="s">
        <v>3055</v>
      </c>
      <c r="AH339" t="s">
        <v>2834</v>
      </c>
      <c r="AI339" t="s">
        <v>2835</v>
      </c>
      <c r="AJ339" t="s">
        <v>3184</v>
      </c>
      <c r="AK339" t="s">
        <v>3308</v>
      </c>
      <c r="AL339" t="s">
        <v>3128</v>
      </c>
      <c r="AM339" t="s">
        <v>3193</v>
      </c>
      <c r="AN339" t="s">
        <v>2829</v>
      </c>
      <c r="AO339" t="s">
        <v>2839</v>
      </c>
      <c r="AP339" t="s">
        <v>2840</v>
      </c>
      <c r="AQ339" t="s">
        <v>2841</v>
      </c>
      <c r="AR339" t="s">
        <v>3005</v>
      </c>
      <c r="AS339" t="s">
        <v>3005</v>
      </c>
      <c r="AT339" t="s">
        <v>2829</v>
      </c>
      <c r="AU339" t="s">
        <v>2829</v>
      </c>
      <c r="AV339" t="s">
        <v>2829</v>
      </c>
      <c r="AW339" t="s">
        <v>2829</v>
      </c>
      <c r="AX339" t="s">
        <v>2829</v>
      </c>
      <c r="AY339" t="s">
        <v>2829</v>
      </c>
      <c r="AZ339" t="s">
        <v>2829</v>
      </c>
      <c r="BA339" t="s">
        <v>2829</v>
      </c>
      <c r="BB339" t="s">
        <v>2829</v>
      </c>
      <c r="BC339" t="s">
        <v>2829</v>
      </c>
      <c r="BD339" t="s">
        <v>3005</v>
      </c>
      <c r="BE339" t="s">
        <v>3005</v>
      </c>
      <c r="BF339" t="s">
        <v>243</v>
      </c>
      <c r="BG339" t="s">
        <v>243</v>
      </c>
      <c r="BH339" t="s">
        <v>243</v>
      </c>
      <c r="BI339" t="s">
        <v>243</v>
      </c>
      <c r="BJ339" t="s">
        <v>2829</v>
      </c>
      <c r="BK339" t="s">
        <v>243</v>
      </c>
      <c r="BL339" t="s">
        <v>243</v>
      </c>
      <c r="BM339" t="s">
        <v>243</v>
      </c>
      <c r="BN339" t="s">
        <v>243</v>
      </c>
      <c r="BO339" t="s">
        <v>243</v>
      </c>
      <c r="BP339" t="s">
        <v>2829</v>
      </c>
      <c r="BQ339" t="s">
        <v>243</v>
      </c>
      <c r="BR339" t="s">
        <v>243</v>
      </c>
      <c r="BS339" t="s">
        <v>243</v>
      </c>
      <c r="BT339" t="s">
        <v>243</v>
      </c>
      <c r="BU339" t="s">
        <v>243</v>
      </c>
      <c r="BV339" t="s">
        <v>2829</v>
      </c>
      <c r="BW339" t="s">
        <v>243</v>
      </c>
      <c r="BX339" t="s">
        <v>243</v>
      </c>
      <c r="BY339" t="s">
        <v>243</v>
      </c>
      <c r="BZ339" t="s">
        <v>243</v>
      </c>
      <c r="CA339" t="s">
        <v>243</v>
      </c>
      <c r="CB339" t="s">
        <v>2829</v>
      </c>
      <c r="CC339" t="s">
        <v>243</v>
      </c>
      <c r="CD339" t="s">
        <v>243</v>
      </c>
      <c r="CE339" t="s">
        <v>243</v>
      </c>
      <c r="CF339" t="s">
        <v>243</v>
      </c>
      <c r="CG339" t="s">
        <v>243</v>
      </c>
      <c r="CH339" t="s">
        <v>2829</v>
      </c>
      <c r="CI339" t="s">
        <v>243</v>
      </c>
      <c r="CJ339" t="s">
        <v>243</v>
      </c>
      <c r="CK339" t="s">
        <v>243</v>
      </c>
      <c r="CL339" t="s">
        <v>243</v>
      </c>
      <c r="CM339" t="s">
        <v>243</v>
      </c>
      <c r="CN339" t="s">
        <v>2942</v>
      </c>
      <c r="CO339" t="s">
        <v>2843</v>
      </c>
      <c r="CP339" t="s">
        <v>2844</v>
      </c>
      <c r="CQ339" t="s">
        <v>430</v>
      </c>
      <c r="CR339" t="s">
        <v>2872</v>
      </c>
      <c r="CS339" t="s">
        <v>431</v>
      </c>
      <c r="CT339" t="s">
        <v>430</v>
      </c>
      <c r="CU339" t="s">
        <v>3061</v>
      </c>
      <c r="CV339" t="s">
        <v>3062</v>
      </c>
      <c r="CW339" t="s">
        <v>2872</v>
      </c>
      <c r="CX339" t="s">
        <v>2848</v>
      </c>
      <c r="CY339" t="s">
        <v>3309</v>
      </c>
    </row>
    <row r="340" spans="1:103" ht="11.25" customHeight="1">
      <c r="A340" t="s">
        <v>243</v>
      </c>
      <c r="B340" t="s">
        <v>243</v>
      </c>
      <c r="C340" t="s">
        <v>243</v>
      </c>
      <c r="D340" t="s">
        <v>243</v>
      </c>
      <c r="E340" t="s">
        <v>243</v>
      </c>
      <c r="F340" t="s">
        <v>2816</v>
      </c>
      <c r="G340" t="s">
        <v>243</v>
      </c>
      <c r="H340" t="s">
        <v>243</v>
      </c>
      <c r="I340" t="s">
        <v>3958</v>
      </c>
      <c r="J340" t="s">
        <v>243</v>
      </c>
      <c r="K340" t="s">
        <v>3908</v>
      </c>
      <c r="L340" t="s">
        <v>243</v>
      </c>
      <c r="M340" t="s">
        <v>114</v>
      </c>
      <c r="N340" t="s">
        <v>243</v>
      </c>
      <c r="O340" t="s">
        <v>2819</v>
      </c>
      <c r="P340" t="s">
        <v>4449</v>
      </c>
      <c r="Q340" t="s">
        <v>2821</v>
      </c>
      <c r="R340" t="s">
        <v>200</v>
      </c>
      <c r="S340" t="s">
        <v>200</v>
      </c>
      <c r="T340" t="s">
        <v>2822</v>
      </c>
      <c r="U340" t="s">
        <v>2822</v>
      </c>
      <c r="V340" t="s">
        <v>2823</v>
      </c>
      <c r="W340" t="s">
        <v>3959</v>
      </c>
      <c r="X340" t="s">
        <v>3960</v>
      </c>
      <c r="Y340" t="s">
        <v>3610</v>
      </c>
      <c r="Z340" t="s">
        <v>3961</v>
      </c>
      <c r="AA340" t="s">
        <v>3962</v>
      </c>
      <c r="AB340" t="s">
        <v>3371</v>
      </c>
      <c r="AC340" t="s">
        <v>2829</v>
      </c>
      <c r="AD340" t="s">
        <v>2830</v>
      </c>
      <c r="AE340" t="s">
        <v>2831</v>
      </c>
      <c r="AF340" t="s">
        <v>3963</v>
      </c>
      <c r="AG340" t="s">
        <v>3964</v>
      </c>
      <c r="AH340" t="s">
        <v>2834</v>
      </c>
      <c r="AI340" t="s">
        <v>2835</v>
      </c>
      <c r="AJ340" t="s">
        <v>2960</v>
      </c>
      <c r="AK340" t="s">
        <v>3965</v>
      </c>
      <c r="AL340" t="s">
        <v>3078</v>
      </c>
      <c r="AM340" t="s">
        <v>3371</v>
      </c>
      <c r="AN340" t="s">
        <v>2829</v>
      </c>
      <c r="AO340" t="s">
        <v>2839</v>
      </c>
      <c r="AP340" t="s">
        <v>2840</v>
      </c>
      <c r="AQ340" t="s">
        <v>2841</v>
      </c>
      <c r="AR340" t="s">
        <v>3217</v>
      </c>
      <c r="AS340" t="s">
        <v>3217</v>
      </c>
      <c r="AT340" t="s">
        <v>2829</v>
      </c>
      <c r="AU340" t="s">
        <v>2829</v>
      </c>
      <c r="AV340" t="s">
        <v>2829</v>
      </c>
      <c r="AW340" t="s">
        <v>2829</v>
      </c>
      <c r="AX340" t="s">
        <v>2829</v>
      </c>
      <c r="AY340" t="s">
        <v>2829</v>
      </c>
      <c r="AZ340" t="s">
        <v>2829</v>
      </c>
      <c r="BA340" t="s">
        <v>2829</v>
      </c>
      <c r="BB340" t="s">
        <v>2829</v>
      </c>
      <c r="BC340" t="s">
        <v>2829</v>
      </c>
      <c r="BD340" t="s">
        <v>2829</v>
      </c>
      <c r="BE340" t="s">
        <v>243</v>
      </c>
      <c r="BF340" t="s">
        <v>243</v>
      </c>
      <c r="BG340" t="s">
        <v>243</v>
      </c>
      <c r="BH340" t="s">
        <v>243</v>
      </c>
      <c r="BI340" t="s">
        <v>243</v>
      </c>
      <c r="BJ340" t="s">
        <v>2829</v>
      </c>
      <c r="BK340" t="s">
        <v>243</v>
      </c>
      <c r="BL340" t="s">
        <v>243</v>
      </c>
      <c r="BM340" t="s">
        <v>243</v>
      </c>
      <c r="BN340" t="s">
        <v>243</v>
      </c>
      <c r="BO340" t="s">
        <v>243</v>
      </c>
      <c r="BP340" t="s">
        <v>2829</v>
      </c>
      <c r="BQ340" t="s">
        <v>243</v>
      </c>
      <c r="BR340" t="s">
        <v>243</v>
      </c>
      <c r="BS340" t="s">
        <v>243</v>
      </c>
      <c r="BT340" t="s">
        <v>243</v>
      </c>
      <c r="BU340" t="s">
        <v>243</v>
      </c>
      <c r="BV340" t="s">
        <v>2829</v>
      </c>
      <c r="BW340" t="s">
        <v>243</v>
      </c>
      <c r="BX340" t="s">
        <v>243</v>
      </c>
      <c r="BY340" t="s">
        <v>243</v>
      </c>
      <c r="BZ340" t="s">
        <v>243</v>
      </c>
      <c r="CA340" t="s">
        <v>243</v>
      </c>
      <c r="CB340" t="s">
        <v>3217</v>
      </c>
      <c r="CC340" t="s">
        <v>3217</v>
      </c>
      <c r="CD340" t="s">
        <v>243</v>
      </c>
      <c r="CE340" t="s">
        <v>243</v>
      </c>
      <c r="CF340" t="s">
        <v>243</v>
      </c>
      <c r="CG340" t="s">
        <v>243</v>
      </c>
      <c r="CH340" t="s">
        <v>2829</v>
      </c>
      <c r="CI340" t="s">
        <v>243</v>
      </c>
      <c r="CJ340" t="s">
        <v>243</v>
      </c>
      <c r="CK340" t="s">
        <v>243</v>
      </c>
      <c r="CL340" t="s">
        <v>243</v>
      </c>
      <c r="CM340" t="s">
        <v>243</v>
      </c>
      <c r="CN340" t="s">
        <v>2960</v>
      </c>
      <c r="CO340" t="s">
        <v>2843</v>
      </c>
      <c r="CP340" t="s">
        <v>2844</v>
      </c>
      <c r="CQ340" t="s">
        <v>430</v>
      </c>
      <c r="CR340" t="s">
        <v>2845</v>
      </c>
      <c r="CS340" t="s">
        <v>431</v>
      </c>
      <c r="CT340" t="s">
        <v>430</v>
      </c>
      <c r="CU340" t="s">
        <v>2846</v>
      </c>
      <c r="CV340" t="s">
        <v>2847</v>
      </c>
      <c r="CW340" t="s">
        <v>2845</v>
      </c>
      <c r="CX340" t="s">
        <v>2848</v>
      </c>
      <c r="CY340" t="s">
        <v>3966</v>
      </c>
    </row>
    <row r="341" spans="1:103" ht="11.25" customHeight="1">
      <c r="A341" t="s">
        <v>243</v>
      </c>
      <c r="B341" t="s">
        <v>243</v>
      </c>
      <c r="C341" t="s">
        <v>243</v>
      </c>
      <c r="D341" t="s">
        <v>243</v>
      </c>
      <c r="E341" t="s">
        <v>243</v>
      </c>
      <c r="F341" t="s">
        <v>2816</v>
      </c>
      <c r="G341" t="s">
        <v>243</v>
      </c>
      <c r="H341" t="s">
        <v>243</v>
      </c>
      <c r="I341" t="s">
        <v>3575</v>
      </c>
      <c r="J341" t="s">
        <v>243</v>
      </c>
      <c r="K341" t="s">
        <v>433</v>
      </c>
      <c r="L341" t="s">
        <v>243</v>
      </c>
      <c r="M341" t="s">
        <v>114</v>
      </c>
      <c r="N341" t="s">
        <v>243</v>
      </c>
      <c r="O341" t="s">
        <v>2819</v>
      </c>
      <c r="P341" t="s">
        <v>4449</v>
      </c>
      <c r="Q341" t="s">
        <v>2821</v>
      </c>
      <c r="R341" t="s">
        <v>200</v>
      </c>
      <c r="S341" t="s">
        <v>200</v>
      </c>
      <c r="T341" t="s">
        <v>2968</v>
      </c>
      <c r="U341" t="s">
        <v>2968</v>
      </c>
      <c r="V341" t="s">
        <v>2969</v>
      </c>
      <c r="W341" t="s">
        <v>3568</v>
      </c>
      <c r="X341" t="s">
        <v>3569</v>
      </c>
      <c r="Y341" t="s">
        <v>3576</v>
      </c>
      <c r="Z341" t="s">
        <v>902</v>
      </c>
      <c r="AA341" t="s">
        <v>3480</v>
      </c>
      <c r="AB341" t="s">
        <v>3260</v>
      </c>
      <c r="AC341" t="s">
        <v>2829</v>
      </c>
      <c r="AD341" t="s">
        <v>2883</v>
      </c>
      <c r="AE341" t="s">
        <v>2857</v>
      </c>
      <c r="AF341" t="s">
        <v>3577</v>
      </c>
      <c r="AG341" t="s">
        <v>3577</v>
      </c>
      <c r="AH341" t="s">
        <v>2834</v>
      </c>
      <c r="AI341" t="s">
        <v>2835</v>
      </c>
      <c r="AJ341" t="s">
        <v>3572</v>
      </c>
      <c r="AK341" t="s">
        <v>3425</v>
      </c>
      <c r="AL341" t="s">
        <v>3480</v>
      </c>
      <c r="AM341" t="s">
        <v>3260</v>
      </c>
      <c r="AN341" t="s">
        <v>2829</v>
      </c>
      <c r="AO341" t="s">
        <v>2839</v>
      </c>
      <c r="AP341" t="s">
        <v>2840</v>
      </c>
      <c r="AQ341" t="s">
        <v>2841</v>
      </c>
      <c r="AR341" t="s">
        <v>3578</v>
      </c>
      <c r="AS341" t="s">
        <v>3578</v>
      </c>
      <c r="AT341" t="s">
        <v>2829</v>
      </c>
      <c r="AU341" t="s">
        <v>2829</v>
      </c>
      <c r="AV341" t="s">
        <v>2829</v>
      </c>
      <c r="AW341" t="s">
        <v>2829</v>
      </c>
      <c r="AX341" t="s">
        <v>2829</v>
      </c>
      <c r="AY341" t="s">
        <v>2829</v>
      </c>
      <c r="AZ341" t="s">
        <v>2829</v>
      </c>
      <c r="BA341" t="s">
        <v>2829</v>
      </c>
      <c r="BB341" t="s">
        <v>2829</v>
      </c>
      <c r="BC341" t="s">
        <v>2829</v>
      </c>
      <c r="BD341" t="s">
        <v>2829</v>
      </c>
      <c r="BE341" t="s">
        <v>243</v>
      </c>
      <c r="BF341" t="s">
        <v>243</v>
      </c>
      <c r="BG341" t="s">
        <v>243</v>
      </c>
      <c r="BH341" t="s">
        <v>243</v>
      </c>
      <c r="BI341" t="s">
        <v>243</v>
      </c>
      <c r="BJ341" t="s">
        <v>2829</v>
      </c>
      <c r="BK341" t="s">
        <v>243</v>
      </c>
      <c r="BL341" t="s">
        <v>243</v>
      </c>
      <c r="BM341" t="s">
        <v>243</v>
      </c>
      <c r="BN341" t="s">
        <v>243</v>
      </c>
      <c r="BO341" t="s">
        <v>243</v>
      </c>
      <c r="BP341" t="s">
        <v>3578</v>
      </c>
      <c r="BQ341" t="s">
        <v>3578</v>
      </c>
      <c r="BR341" t="s">
        <v>243</v>
      </c>
      <c r="BS341" t="s">
        <v>243</v>
      </c>
      <c r="BT341" t="s">
        <v>243</v>
      </c>
      <c r="BU341" t="s">
        <v>243</v>
      </c>
      <c r="BV341" t="s">
        <v>2829</v>
      </c>
      <c r="BW341" t="s">
        <v>243</v>
      </c>
      <c r="BX341" t="s">
        <v>243</v>
      </c>
      <c r="BY341" t="s">
        <v>243</v>
      </c>
      <c r="BZ341" t="s">
        <v>243</v>
      </c>
      <c r="CA341" t="s">
        <v>243</v>
      </c>
      <c r="CB341" t="s">
        <v>2829</v>
      </c>
      <c r="CC341" t="s">
        <v>243</v>
      </c>
      <c r="CD341" t="s">
        <v>243</v>
      </c>
      <c r="CE341" t="s">
        <v>243</v>
      </c>
      <c r="CF341" t="s">
        <v>243</v>
      </c>
      <c r="CG341" t="s">
        <v>243</v>
      </c>
      <c r="CH341" t="s">
        <v>2829</v>
      </c>
      <c r="CI341" t="s">
        <v>243</v>
      </c>
      <c r="CJ341" t="s">
        <v>243</v>
      </c>
      <c r="CK341" t="s">
        <v>243</v>
      </c>
      <c r="CL341" t="s">
        <v>243</v>
      </c>
      <c r="CM341" t="s">
        <v>243</v>
      </c>
      <c r="CN341" t="s">
        <v>3010</v>
      </c>
      <c r="CO341" t="s">
        <v>2843</v>
      </c>
      <c r="CP341" t="s">
        <v>2844</v>
      </c>
      <c r="CQ341" t="s">
        <v>430</v>
      </c>
      <c r="CR341" t="s">
        <v>2984</v>
      </c>
      <c r="CS341" t="s">
        <v>431</v>
      </c>
      <c r="CT341" t="s">
        <v>430</v>
      </c>
      <c r="CU341" t="s">
        <v>2985</v>
      </c>
      <c r="CV341" t="s">
        <v>2986</v>
      </c>
      <c r="CW341" t="s">
        <v>2984</v>
      </c>
      <c r="CX341" t="s">
        <v>2848</v>
      </c>
      <c r="CY341" t="s">
        <v>3579</v>
      </c>
    </row>
    <row r="342" spans="1:103" ht="11.25" customHeight="1">
      <c r="A342" t="s">
        <v>243</v>
      </c>
      <c r="B342" t="s">
        <v>243</v>
      </c>
      <c r="C342" t="s">
        <v>243</v>
      </c>
      <c r="D342" t="s">
        <v>243</v>
      </c>
      <c r="E342" t="s">
        <v>243</v>
      </c>
      <c r="F342" t="s">
        <v>2816</v>
      </c>
      <c r="G342" t="s">
        <v>243</v>
      </c>
      <c r="H342" t="s">
        <v>243</v>
      </c>
      <c r="I342" t="s">
        <v>3580</v>
      </c>
      <c r="J342" t="s">
        <v>243</v>
      </c>
      <c r="K342" t="s">
        <v>3581</v>
      </c>
      <c r="L342" t="s">
        <v>243</v>
      </c>
      <c r="M342" t="s">
        <v>114</v>
      </c>
      <c r="N342" t="s">
        <v>243</v>
      </c>
      <c r="O342" t="s">
        <v>2819</v>
      </c>
      <c r="P342" t="s">
        <v>4449</v>
      </c>
      <c r="Q342" t="s">
        <v>2821</v>
      </c>
      <c r="R342" t="s">
        <v>200</v>
      </c>
      <c r="S342" t="s">
        <v>200</v>
      </c>
      <c r="T342" t="s">
        <v>2968</v>
      </c>
      <c r="U342" t="s">
        <v>2968</v>
      </c>
      <c r="V342" t="s">
        <v>2969</v>
      </c>
      <c r="W342" t="s">
        <v>3582</v>
      </c>
      <c r="X342" t="s">
        <v>3583</v>
      </c>
      <c r="Y342" t="s">
        <v>3584</v>
      </c>
      <c r="Z342" t="s">
        <v>3585</v>
      </c>
      <c r="AA342" t="s">
        <v>3260</v>
      </c>
      <c r="AB342" t="s">
        <v>3169</v>
      </c>
      <c r="AC342" t="s">
        <v>2829</v>
      </c>
      <c r="AD342" t="s">
        <v>2883</v>
      </c>
      <c r="AE342" t="s">
        <v>2857</v>
      </c>
      <c r="AF342" t="s">
        <v>3586</v>
      </c>
      <c r="AG342" t="s">
        <v>3586</v>
      </c>
      <c r="AH342" t="s">
        <v>2834</v>
      </c>
      <c r="AI342" t="s">
        <v>2835</v>
      </c>
      <c r="AJ342" t="s">
        <v>3572</v>
      </c>
      <c r="AK342" t="s">
        <v>3587</v>
      </c>
      <c r="AL342" t="s">
        <v>3260</v>
      </c>
      <c r="AM342" t="s">
        <v>3169</v>
      </c>
      <c r="AN342" t="s">
        <v>2829</v>
      </c>
      <c r="AO342" t="s">
        <v>2839</v>
      </c>
      <c r="AP342" t="s">
        <v>2840</v>
      </c>
      <c r="AQ342" t="s">
        <v>2841</v>
      </c>
      <c r="AR342" t="s">
        <v>3588</v>
      </c>
      <c r="AS342" t="s">
        <v>3588</v>
      </c>
      <c r="AT342" t="s">
        <v>2829</v>
      </c>
      <c r="AU342" t="s">
        <v>2829</v>
      </c>
      <c r="AV342" t="s">
        <v>2829</v>
      </c>
      <c r="AW342" t="s">
        <v>2829</v>
      </c>
      <c r="AX342" t="s">
        <v>2829</v>
      </c>
      <c r="AY342" t="s">
        <v>2829</v>
      </c>
      <c r="AZ342" t="s">
        <v>2829</v>
      </c>
      <c r="BA342" t="s">
        <v>2829</v>
      </c>
      <c r="BB342" t="s">
        <v>2829</v>
      </c>
      <c r="BC342" t="s">
        <v>2829</v>
      </c>
      <c r="BD342" t="s">
        <v>3589</v>
      </c>
      <c r="BE342" t="s">
        <v>3589</v>
      </c>
      <c r="BF342" t="s">
        <v>243</v>
      </c>
      <c r="BG342" t="s">
        <v>243</v>
      </c>
      <c r="BH342" t="s">
        <v>243</v>
      </c>
      <c r="BI342" t="s">
        <v>243</v>
      </c>
      <c r="BJ342" t="s">
        <v>2829</v>
      </c>
      <c r="BK342" t="s">
        <v>243</v>
      </c>
      <c r="BL342" t="s">
        <v>243</v>
      </c>
      <c r="BM342" t="s">
        <v>243</v>
      </c>
      <c r="BN342" t="s">
        <v>243</v>
      </c>
      <c r="BO342" t="s">
        <v>243</v>
      </c>
      <c r="BP342" t="s">
        <v>3590</v>
      </c>
      <c r="BQ342" t="s">
        <v>3590</v>
      </c>
      <c r="BR342" t="s">
        <v>243</v>
      </c>
      <c r="BS342" t="s">
        <v>243</v>
      </c>
      <c r="BT342" t="s">
        <v>243</v>
      </c>
      <c r="BU342" t="s">
        <v>243</v>
      </c>
      <c r="BV342" t="s">
        <v>2829</v>
      </c>
      <c r="BW342" t="s">
        <v>243</v>
      </c>
      <c r="BX342" t="s">
        <v>243</v>
      </c>
      <c r="BY342" t="s">
        <v>243</v>
      </c>
      <c r="BZ342" t="s">
        <v>243</v>
      </c>
      <c r="CA342" t="s">
        <v>243</v>
      </c>
      <c r="CB342" t="s">
        <v>2829</v>
      </c>
      <c r="CC342" t="s">
        <v>243</v>
      </c>
      <c r="CD342" t="s">
        <v>243</v>
      </c>
      <c r="CE342" t="s">
        <v>243</v>
      </c>
      <c r="CF342" t="s">
        <v>243</v>
      </c>
      <c r="CG342" t="s">
        <v>243</v>
      </c>
      <c r="CH342" t="s">
        <v>2829</v>
      </c>
      <c r="CI342" t="s">
        <v>243</v>
      </c>
      <c r="CJ342" t="s">
        <v>243</v>
      </c>
      <c r="CK342" t="s">
        <v>243</v>
      </c>
      <c r="CL342" t="s">
        <v>243</v>
      </c>
      <c r="CM342" t="s">
        <v>243</v>
      </c>
      <c r="CN342" t="s">
        <v>3010</v>
      </c>
      <c r="CO342" t="s">
        <v>2843</v>
      </c>
      <c r="CP342" t="s">
        <v>2844</v>
      </c>
      <c r="CQ342" t="s">
        <v>430</v>
      </c>
      <c r="CR342" t="s">
        <v>2984</v>
      </c>
      <c r="CS342" t="s">
        <v>431</v>
      </c>
      <c r="CT342" t="s">
        <v>430</v>
      </c>
      <c r="CU342" t="s">
        <v>2985</v>
      </c>
      <c r="CV342" t="s">
        <v>2986</v>
      </c>
      <c r="CW342" t="s">
        <v>2984</v>
      </c>
      <c r="CX342" t="s">
        <v>2848</v>
      </c>
      <c r="CY342" t="s">
        <v>3591</v>
      </c>
    </row>
    <row r="343" spans="1:103" ht="11.25" customHeight="1">
      <c r="A343" t="s">
        <v>243</v>
      </c>
      <c r="B343" t="s">
        <v>243</v>
      </c>
      <c r="C343" t="s">
        <v>243</v>
      </c>
      <c r="D343" t="s">
        <v>243</v>
      </c>
      <c r="E343" t="s">
        <v>243</v>
      </c>
      <c r="F343" t="s">
        <v>2816</v>
      </c>
      <c r="G343" t="s">
        <v>243</v>
      </c>
      <c r="H343" t="s">
        <v>243</v>
      </c>
      <c r="I343" t="s">
        <v>3592</v>
      </c>
      <c r="J343" t="s">
        <v>243</v>
      </c>
      <c r="K343" t="s">
        <v>3487</v>
      </c>
      <c r="L343" t="s">
        <v>243</v>
      </c>
      <c r="M343" t="s">
        <v>114</v>
      </c>
      <c r="N343" t="s">
        <v>243</v>
      </c>
      <c r="O343" t="s">
        <v>2819</v>
      </c>
      <c r="P343" t="s">
        <v>4449</v>
      </c>
      <c r="Q343" t="s">
        <v>2821</v>
      </c>
      <c r="R343" t="s">
        <v>200</v>
      </c>
      <c r="S343" t="s">
        <v>200</v>
      </c>
      <c r="T343" t="s">
        <v>3022</v>
      </c>
      <c r="U343" t="s">
        <v>3022</v>
      </c>
      <c r="V343" t="s">
        <v>3023</v>
      </c>
      <c r="W343" t="s">
        <v>3431</v>
      </c>
      <c r="X343" t="s">
        <v>3432</v>
      </c>
      <c r="Y343" t="s">
        <v>3593</v>
      </c>
      <c r="Z343" t="s">
        <v>1807</v>
      </c>
      <c r="AA343" t="s">
        <v>3594</v>
      </c>
      <c r="AB343" t="s">
        <v>3595</v>
      </c>
      <c r="AC343" t="s">
        <v>2829</v>
      </c>
      <c r="AD343" t="s">
        <v>2883</v>
      </c>
      <c r="AE343" t="s">
        <v>2831</v>
      </c>
      <c r="AF343" t="s">
        <v>3596</v>
      </c>
      <c r="AG343" t="s">
        <v>3596</v>
      </c>
      <c r="AH343" t="s">
        <v>2834</v>
      </c>
      <c r="AI343" t="s">
        <v>2835</v>
      </c>
      <c r="AJ343" t="s">
        <v>3187</v>
      </c>
      <c r="AK343" t="s">
        <v>3466</v>
      </c>
      <c r="AL343" t="s">
        <v>3594</v>
      </c>
      <c r="AM343" t="s">
        <v>3595</v>
      </c>
      <c r="AN343" t="s">
        <v>2829</v>
      </c>
      <c r="AO343" t="s">
        <v>2839</v>
      </c>
      <c r="AP343" t="s">
        <v>2840</v>
      </c>
      <c r="AQ343" t="s">
        <v>2841</v>
      </c>
      <c r="AR343" t="s">
        <v>2842</v>
      </c>
      <c r="AS343" t="s">
        <v>2842</v>
      </c>
      <c r="AT343" t="s">
        <v>2829</v>
      </c>
      <c r="AU343" t="s">
        <v>2829</v>
      </c>
      <c r="AV343" t="s">
        <v>2829</v>
      </c>
      <c r="AW343" t="s">
        <v>2829</v>
      </c>
      <c r="AX343" t="s">
        <v>2829</v>
      </c>
      <c r="AY343" t="s">
        <v>2829</v>
      </c>
      <c r="AZ343" t="s">
        <v>2829</v>
      </c>
      <c r="BA343" t="s">
        <v>2829</v>
      </c>
      <c r="BB343" t="s">
        <v>2829</v>
      </c>
      <c r="BC343" t="s">
        <v>2829</v>
      </c>
      <c r="BD343" t="s">
        <v>2838</v>
      </c>
      <c r="BE343" t="s">
        <v>2838</v>
      </c>
      <c r="BF343" t="s">
        <v>243</v>
      </c>
      <c r="BG343" t="s">
        <v>243</v>
      </c>
      <c r="BH343" t="s">
        <v>243</v>
      </c>
      <c r="BI343" t="s">
        <v>243</v>
      </c>
      <c r="BJ343" t="s">
        <v>2829</v>
      </c>
      <c r="BK343" t="s">
        <v>243</v>
      </c>
      <c r="BL343" t="s">
        <v>243</v>
      </c>
      <c r="BM343" t="s">
        <v>243</v>
      </c>
      <c r="BN343" t="s">
        <v>243</v>
      </c>
      <c r="BO343" t="s">
        <v>243</v>
      </c>
      <c r="BP343" t="s">
        <v>3350</v>
      </c>
      <c r="BQ343" t="s">
        <v>3350</v>
      </c>
      <c r="BR343" t="s">
        <v>243</v>
      </c>
      <c r="BS343" t="s">
        <v>243</v>
      </c>
      <c r="BT343" t="s">
        <v>243</v>
      </c>
      <c r="BU343" t="s">
        <v>243</v>
      </c>
      <c r="BV343" t="s">
        <v>2829</v>
      </c>
      <c r="BW343" t="s">
        <v>243</v>
      </c>
      <c r="BX343" t="s">
        <v>243</v>
      </c>
      <c r="BY343" t="s">
        <v>243</v>
      </c>
      <c r="BZ343" t="s">
        <v>243</v>
      </c>
      <c r="CA343" t="s">
        <v>243</v>
      </c>
      <c r="CB343" t="s">
        <v>2829</v>
      </c>
      <c r="CC343" t="s">
        <v>243</v>
      </c>
      <c r="CD343" t="s">
        <v>243</v>
      </c>
      <c r="CE343" t="s">
        <v>243</v>
      </c>
      <c r="CF343" t="s">
        <v>243</v>
      </c>
      <c r="CG343" t="s">
        <v>243</v>
      </c>
      <c r="CH343" t="s">
        <v>2829</v>
      </c>
      <c r="CI343" t="s">
        <v>243</v>
      </c>
      <c r="CJ343" t="s">
        <v>243</v>
      </c>
      <c r="CK343" t="s">
        <v>243</v>
      </c>
      <c r="CL343" t="s">
        <v>243</v>
      </c>
      <c r="CM343" t="s">
        <v>243</v>
      </c>
      <c r="CN343" t="s">
        <v>3130</v>
      </c>
      <c r="CO343" t="s">
        <v>2843</v>
      </c>
      <c r="CP343" t="s">
        <v>2844</v>
      </c>
      <c r="CQ343" t="s">
        <v>430</v>
      </c>
      <c r="CR343" t="s">
        <v>3033</v>
      </c>
      <c r="CS343" t="s">
        <v>431</v>
      </c>
      <c r="CT343" t="s">
        <v>430</v>
      </c>
      <c r="CU343" t="s">
        <v>3034</v>
      </c>
      <c r="CV343" t="s">
        <v>432</v>
      </c>
      <c r="CW343" t="s">
        <v>3033</v>
      </c>
      <c r="CX343" t="s">
        <v>2848</v>
      </c>
      <c r="CY343" t="s">
        <v>3597</v>
      </c>
    </row>
    <row r="344" spans="1:103" ht="11.25" customHeight="1">
      <c r="A344" t="s">
        <v>243</v>
      </c>
      <c r="B344" t="s">
        <v>243</v>
      </c>
      <c r="C344" t="s">
        <v>243</v>
      </c>
      <c r="D344" t="s">
        <v>243</v>
      </c>
      <c r="E344" t="s">
        <v>243</v>
      </c>
      <c r="F344" t="s">
        <v>2816</v>
      </c>
      <c r="G344" t="s">
        <v>243</v>
      </c>
      <c r="H344" t="s">
        <v>243</v>
      </c>
      <c r="I344" t="s">
        <v>3646</v>
      </c>
      <c r="J344" t="s">
        <v>243</v>
      </c>
      <c r="K344" t="s">
        <v>3281</v>
      </c>
      <c r="L344" t="s">
        <v>243</v>
      </c>
      <c r="M344" t="s">
        <v>114</v>
      </c>
      <c r="N344" t="s">
        <v>243</v>
      </c>
      <c r="O344" t="s">
        <v>2819</v>
      </c>
      <c r="P344" t="s">
        <v>4449</v>
      </c>
      <c r="Q344" t="s">
        <v>2821</v>
      </c>
      <c r="R344" t="s">
        <v>200</v>
      </c>
      <c r="S344" t="s">
        <v>200</v>
      </c>
      <c r="T344" t="s">
        <v>3022</v>
      </c>
      <c r="U344" t="s">
        <v>3022</v>
      </c>
      <c r="V344" t="s">
        <v>3023</v>
      </c>
      <c r="W344" t="s">
        <v>3647</v>
      </c>
      <c r="X344" t="s">
        <v>3648</v>
      </c>
      <c r="Y344" t="s">
        <v>3127</v>
      </c>
      <c r="Z344" t="s">
        <v>2972</v>
      </c>
      <c r="AA344" t="s">
        <v>3649</v>
      </c>
      <c r="AB344" t="s">
        <v>3242</v>
      </c>
      <c r="AC344" t="s">
        <v>2829</v>
      </c>
      <c r="AD344" t="s">
        <v>2883</v>
      </c>
      <c r="AE344" t="s">
        <v>2831</v>
      </c>
      <c r="AF344" t="s">
        <v>3650</v>
      </c>
      <c r="AG344" t="s">
        <v>3650</v>
      </c>
      <c r="AH344" t="s">
        <v>2834</v>
      </c>
      <c r="AI344" t="s">
        <v>2835</v>
      </c>
      <c r="AJ344" t="s">
        <v>3030</v>
      </c>
      <c r="AK344" t="s">
        <v>3651</v>
      </c>
      <c r="AL344" t="s">
        <v>3649</v>
      </c>
      <c r="AM344" t="s">
        <v>3242</v>
      </c>
      <c r="AN344" t="s">
        <v>2829</v>
      </c>
      <c r="AO344" t="s">
        <v>2839</v>
      </c>
      <c r="AP344" t="s">
        <v>2840</v>
      </c>
      <c r="AQ344" t="s">
        <v>2841</v>
      </c>
      <c r="AR344" t="s">
        <v>3652</v>
      </c>
      <c r="AS344" t="s">
        <v>3652</v>
      </c>
      <c r="AT344" t="s">
        <v>2829</v>
      </c>
      <c r="AU344" t="s">
        <v>2829</v>
      </c>
      <c r="AV344" t="s">
        <v>2829</v>
      </c>
      <c r="AW344" t="s">
        <v>2829</v>
      </c>
      <c r="AX344" t="s">
        <v>2829</v>
      </c>
      <c r="AY344" t="s">
        <v>2829</v>
      </c>
      <c r="AZ344" t="s">
        <v>2829</v>
      </c>
      <c r="BA344" t="s">
        <v>2829</v>
      </c>
      <c r="BB344" t="s">
        <v>2829</v>
      </c>
      <c r="BC344" t="s">
        <v>2829</v>
      </c>
      <c r="BD344" t="s">
        <v>3653</v>
      </c>
      <c r="BE344" t="s">
        <v>3653</v>
      </c>
      <c r="BF344" t="s">
        <v>243</v>
      </c>
      <c r="BG344" t="s">
        <v>243</v>
      </c>
      <c r="BH344" t="s">
        <v>243</v>
      </c>
      <c r="BI344" t="s">
        <v>243</v>
      </c>
      <c r="BJ344" t="s">
        <v>2829</v>
      </c>
      <c r="BK344" t="s">
        <v>243</v>
      </c>
      <c r="BL344" t="s">
        <v>243</v>
      </c>
      <c r="BM344" t="s">
        <v>243</v>
      </c>
      <c r="BN344" t="s">
        <v>243</v>
      </c>
      <c r="BO344" t="s">
        <v>243</v>
      </c>
      <c r="BP344" t="s">
        <v>3654</v>
      </c>
      <c r="BQ344" t="s">
        <v>3654</v>
      </c>
      <c r="BR344" t="s">
        <v>243</v>
      </c>
      <c r="BS344" t="s">
        <v>243</v>
      </c>
      <c r="BT344" t="s">
        <v>243</v>
      </c>
      <c r="BU344" t="s">
        <v>243</v>
      </c>
      <c r="BV344" t="s">
        <v>2829</v>
      </c>
      <c r="BW344" t="s">
        <v>243</v>
      </c>
      <c r="BX344" t="s">
        <v>243</v>
      </c>
      <c r="BY344" t="s">
        <v>243</v>
      </c>
      <c r="BZ344" t="s">
        <v>243</v>
      </c>
      <c r="CA344" t="s">
        <v>243</v>
      </c>
      <c r="CB344" t="s">
        <v>2829</v>
      </c>
      <c r="CC344" t="s">
        <v>243</v>
      </c>
      <c r="CD344" t="s">
        <v>243</v>
      </c>
      <c r="CE344" t="s">
        <v>243</v>
      </c>
      <c r="CF344" t="s">
        <v>243</v>
      </c>
      <c r="CG344" t="s">
        <v>243</v>
      </c>
      <c r="CH344" t="s">
        <v>2829</v>
      </c>
      <c r="CI344" t="s">
        <v>243</v>
      </c>
      <c r="CJ344" t="s">
        <v>243</v>
      </c>
      <c r="CK344" t="s">
        <v>243</v>
      </c>
      <c r="CL344" t="s">
        <v>243</v>
      </c>
      <c r="CM344" t="s">
        <v>243</v>
      </c>
      <c r="CN344" t="s">
        <v>3030</v>
      </c>
      <c r="CO344" t="s">
        <v>2843</v>
      </c>
      <c r="CP344" t="s">
        <v>2844</v>
      </c>
      <c r="CQ344" t="s">
        <v>430</v>
      </c>
      <c r="CR344" t="s">
        <v>3033</v>
      </c>
      <c r="CS344" t="s">
        <v>431</v>
      </c>
      <c r="CT344" t="s">
        <v>430</v>
      </c>
      <c r="CU344" t="s">
        <v>3034</v>
      </c>
      <c r="CV344" t="s">
        <v>432</v>
      </c>
      <c r="CW344" t="s">
        <v>3033</v>
      </c>
      <c r="CX344" t="s">
        <v>2848</v>
      </c>
      <c r="CY344" t="s">
        <v>3655</v>
      </c>
    </row>
    <row r="345" spans="1:103" ht="11.25" customHeight="1">
      <c r="A345" t="s">
        <v>243</v>
      </c>
      <c r="B345" t="s">
        <v>243</v>
      </c>
      <c r="C345" t="s">
        <v>243</v>
      </c>
      <c r="D345" t="s">
        <v>243</v>
      </c>
      <c r="E345" t="s">
        <v>243</v>
      </c>
      <c r="F345" t="s">
        <v>2816</v>
      </c>
      <c r="G345" t="s">
        <v>243</v>
      </c>
      <c r="H345" t="s">
        <v>243</v>
      </c>
      <c r="I345" t="s">
        <v>3269</v>
      </c>
      <c r="J345" t="s">
        <v>243</v>
      </c>
      <c r="K345" t="s">
        <v>3270</v>
      </c>
      <c r="L345" t="s">
        <v>243</v>
      </c>
      <c r="M345" t="s">
        <v>114</v>
      </c>
      <c r="N345" t="s">
        <v>243</v>
      </c>
      <c r="O345" t="s">
        <v>2819</v>
      </c>
      <c r="P345" t="s">
        <v>4449</v>
      </c>
      <c r="Q345" t="s">
        <v>2821</v>
      </c>
      <c r="R345" t="s">
        <v>200</v>
      </c>
      <c r="S345" t="s">
        <v>200</v>
      </c>
      <c r="T345" t="s">
        <v>4463</v>
      </c>
      <c r="U345" t="s">
        <v>4463</v>
      </c>
      <c r="V345" t="s">
        <v>4464</v>
      </c>
      <c r="W345" t="s">
        <v>3138</v>
      </c>
      <c r="X345" t="s">
        <v>4465</v>
      </c>
      <c r="Y345" t="s">
        <v>3271</v>
      </c>
      <c r="Z345" t="s">
        <v>2880</v>
      </c>
      <c r="AA345" t="s">
        <v>3272</v>
      </c>
      <c r="AB345" t="s">
        <v>3273</v>
      </c>
      <c r="AC345" t="s">
        <v>2829</v>
      </c>
      <c r="AD345" t="s">
        <v>2883</v>
      </c>
      <c r="AE345" t="s">
        <v>2831</v>
      </c>
      <c r="AF345" t="s">
        <v>3144</v>
      </c>
      <c r="AG345" t="s">
        <v>3274</v>
      </c>
      <c r="AH345" t="s">
        <v>2834</v>
      </c>
      <c r="AI345" t="s">
        <v>2835</v>
      </c>
      <c r="AJ345" t="s">
        <v>3146</v>
      </c>
      <c r="AK345" t="s">
        <v>3275</v>
      </c>
      <c r="AL345" t="s">
        <v>3272</v>
      </c>
      <c r="AM345" t="s">
        <v>3276</v>
      </c>
      <c r="AN345" t="s">
        <v>2829</v>
      </c>
      <c r="AO345" t="s">
        <v>2839</v>
      </c>
      <c r="AP345" t="s">
        <v>2840</v>
      </c>
      <c r="AQ345" t="s">
        <v>2841</v>
      </c>
      <c r="AR345" t="s">
        <v>3277</v>
      </c>
      <c r="AS345" t="s">
        <v>3277</v>
      </c>
      <c r="AT345" t="s">
        <v>2829</v>
      </c>
      <c r="AU345" t="s">
        <v>2829</v>
      </c>
      <c r="AV345" t="s">
        <v>2829</v>
      </c>
      <c r="AW345" t="s">
        <v>2829</v>
      </c>
      <c r="AX345" t="s">
        <v>2829</v>
      </c>
      <c r="AY345" t="s">
        <v>2829</v>
      </c>
      <c r="AZ345" t="s">
        <v>2829</v>
      </c>
      <c r="BA345" t="s">
        <v>2829</v>
      </c>
      <c r="BB345" t="s">
        <v>2829</v>
      </c>
      <c r="BC345" t="s">
        <v>2829</v>
      </c>
      <c r="BD345" t="s">
        <v>3278</v>
      </c>
      <c r="BE345" t="s">
        <v>3278</v>
      </c>
      <c r="BF345" t="s">
        <v>243</v>
      </c>
      <c r="BG345" t="s">
        <v>243</v>
      </c>
      <c r="BH345" t="s">
        <v>243</v>
      </c>
      <c r="BI345" t="s">
        <v>243</v>
      </c>
      <c r="BJ345" t="s">
        <v>2829</v>
      </c>
      <c r="BK345" t="s">
        <v>243</v>
      </c>
      <c r="BL345" t="s">
        <v>243</v>
      </c>
      <c r="BM345" t="s">
        <v>243</v>
      </c>
      <c r="BN345" t="s">
        <v>243</v>
      </c>
      <c r="BO345" t="s">
        <v>243</v>
      </c>
      <c r="BP345" t="s">
        <v>3279</v>
      </c>
      <c r="BQ345" t="s">
        <v>3279</v>
      </c>
      <c r="BR345" t="s">
        <v>243</v>
      </c>
      <c r="BS345" t="s">
        <v>243</v>
      </c>
      <c r="BT345" t="s">
        <v>243</v>
      </c>
      <c r="BU345" t="s">
        <v>243</v>
      </c>
      <c r="BV345" t="s">
        <v>2829</v>
      </c>
      <c r="BW345" t="s">
        <v>243</v>
      </c>
      <c r="BX345" t="s">
        <v>243</v>
      </c>
      <c r="BY345" t="s">
        <v>243</v>
      </c>
      <c r="BZ345" t="s">
        <v>243</v>
      </c>
      <c r="CA345" t="s">
        <v>243</v>
      </c>
      <c r="CB345" t="s">
        <v>2829</v>
      </c>
      <c r="CC345" t="s">
        <v>243</v>
      </c>
      <c r="CD345" t="s">
        <v>243</v>
      </c>
      <c r="CE345" t="s">
        <v>243</v>
      </c>
      <c r="CF345" t="s">
        <v>243</v>
      </c>
      <c r="CG345" t="s">
        <v>243</v>
      </c>
      <c r="CH345" t="s">
        <v>2829</v>
      </c>
      <c r="CI345" t="s">
        <v>243</v>
      </c>
      <c r="CJ345" t="s">
        <v>243</v>
      </c>
      <c r="CK345" t="s">
        <v>243</v>
      </c>
      <c r="CL345" t="s">
        <v>243</v>
      </c>
      <c r="CM345" t="s">
        <v>243</v>
      </c>
      <c r="CN345" t="s">
        <v>3150</v>
      </c>
      <c r="CO345" t="s">
        <v>2843</v>
      </c>
      <c r="CP345" t="s">
        <v>2844</v>
      </c>
      <c r="CQ345" t="s">
        <v>430</v>
      </c>
      <c r="CR345" t="s">
        <v>3151</v>
      </c>
      <c r="CS345" t="s">
        <v>266</v>
      </c>
      <c r="CT345" t="s">
        <v>430</v>
      </c>
      <c r="CU345" t="s">
        <v>440</v>
      </c>
      <c r="CV345" t="s">
        <v>3152</v>
      </c>
      <c r="CW345" t="s">
        <v>3151</v>
      </c>
      <c r="CX345" t="s">
        <v>2848</v>
      </c>
      <c r="CY345" t="s">
        <v>3280</v>
      </c>
    </row>
    <row r="346" spans="1:103" ht="11.25" customHeight="1">
      <c r="A346" t="s">
        <v>243</v>
      </c>
      <c r="B346" t="s">
        <v>243</v>
      </c>
      <c r="C346" t="s">
        <v>243</v>
      </c>
      <c r="D346" t="s">
        <v>243</v>
      </c>
      <c r="E346" t="s">
        <v>243</v>
      </c>
      <c r="F346" t="s">
        <v>2816</v>
      </c>
      <c r="G346" t="s">
        <v>243</v>
      </c>
      <c r="H346" t="s">
        <v>243</v>
      </c>
      <c r="I346" t="s">
        <v>4165</v>
      </c>
      <c r="J346" t="s">
        <v>243</v>
      </c>
      <c r="K346" t="s">
        <v>4166</v>
      </c>
      <c r="L346" t="s">
        <v>243</v>
      </c>
      <c r="M346" t="s">
        <v>114</v>
      </c>
      <c r="N346" t="s">
        <v>243</v>
      </c>
      <c r="O346" t="s">
        <v>2819</v>
      </c>
      <c r="P346" t="s">
        <v>4449</v>
      </c>
      <c r="Q346" t="s">
        <v>2821</v>
      </c>
      <c r="R346" t="s">
        <v>200</v>
      </c>
      <c r="S346" t="s">
        <v>200</v>
      </c>
      <c r="T346" t="s">
        <v>2822</v>
      </c>
      <c r="U346" t="s">
        <v>2822</v>
      </c>
      <c r="V346" t="s">
        <v>2823</v>
      </c>
      <c r="W346" t="s">
        <v>4167</v>
      </c>
      <c r="X346" t="s">
        <v>4168</v>
      </c>
      <c r="Y346" t="s">
        <v>4169</v>
      </c>
      <c r="Z346" t="s">
        <v>907</v>
      </c>
      <c r="AA346" t="s">
        <v>3066</v>
      </c>
      <c r="AB346" t="s">
        <v>2898</v>
      </c>
      <c r="AC346" t="s">
        <v>2829</v>
      </c>
      <c r="AD346" t="s">
        <v>2830</v>
      </c>
      <c r="AE346" t="s">
        <v>2831</v>
      </c>
      <c r="AF346" t="s">
        <v>4170</v>
      </c>
      <c r="AG346" t="s">
        <v>2833</v>
      </c>
      <c r="AH346" t="s">
        <v>2834</v>
      </c>
      <c r="AI346" t="s">
        <v>2835</v>
      </c>
      <c r="AJ346" t="s">
        <v>2829</v>
      </c>
      <c r="AK346" t="s">
        <v>4171</v>
      </c>
      <c r="AL346" t="s">
        <v>3228</v>
      </c>
      <c r="AM346" t="s">
        <v>2898</v>
      </c>
      <c r="AN346" t="s">
        <v>2829</v>
      </c>
      <c r="AO346" t="s">
        <v>2839</v>
      </c>
      <c r="AP346" t="s">
        <v>2840</v>
      </c>
      <c r="AQ346" t="s">
        <v>2841</v>
      </c>
      <c r="AR346" t="s">
        <v>4172</v>
      </c>
      <c r="AS346" t="s">
        <v>4172</v>
      </c>
      <c r="AT346" t="s">
        <v>2829</v>
      </c>
      <c r="AU346" t="s">
        <v>2829</v>
      </c>
      <c r="AV346" t="s">
        <v>2829</v>
      </c>
      <c r="AW346" t="s">
        <v>2829</v>
      </c>
      <c r="AX346" t="s">
        <v>2829</v>
      </c>
      <c r="AY346" t="s">
        <v>2829</v>
      </c>
      <c r="AZ346" t="s">
        <v>2829</v>
      </c>
      <c r="BA346" t="s">
        <v>2829</v>
      </c>
      <c r="BB346" t="s">
        <v>2829</v>
      </c>
      <c r="BC346" t="s">
        <v>2829</v>
      </c>
      <c r="BD346" t="s">
        <v>4172</v>
      </c>
      <c r="BE346" t="s">
        <v>4172</v>
      </c>
      <c r="BF346" t="s">
        <v>243</v>
      </c>
      <c r="BG346" t="s">
        <v>243</v>
      </c>
      <c r="BH346" t="s">
        <v>243</v>
      </c>
      <c r="BI346" t="s">
        <v>243</v>
      </c>
      <c r="BJ346" t="s">
        <v>2829</v>
      </c>
      <c r="BK346" t="s">
        <v>243</v>
      </c>
      <c r="BL346" t="s">
        <v>243</v>
      </c>
      <c r="BM346" t="s">
        <v>243</v>
      </c>
      <c r="BN346" t="s">
        <v>243</v>
      </c>
      <c r="BO346" t="s">
        <v>243</v>
      </c>
      <c r="BP346" t="s">
        <v>2829</v>
      </c>
      <c r="BQ346" t="s">
        <v>243</v>
      </c>
      <c r="BR346" t="s">
        <v>243</v>
      </c>
      <c r="BS346" t="s">
        <v>243</v>
      </c>
      <c r="BT346" t="s">
        <v>243</v>
      </c>
      <c r="BU346" t="s">
        <v>243</v>
      </c>
      <c r="BV346" t="s">
        <v>2829</v>
      </c>
      <c r="BW346" t="s">
        <v>243</v>
      </c>
      <c r="BX346" t="s">
        <v>243</v>
      </c>
      <c r="BY346" t="s">
        <v>243</v>
      </c>
      <c r="BZ346" t="s">
        <v>243</v>
      </c>
      <c r="CA346" t="s">
        <v>243</v>
      </c>
      <c r="CB346" t="s">
        <v>2829</v>
      </c>
      <c r="CC346" t="s">
        <v>243</v>
      </c>
      <c r="CD346" t="s">
        <v>243</v>
      </c>
      <c r="CE346" t="s">
        <v>243</v>
      </c>
      <c r="CF346" t="s">
        <v>243</v>
      </c>
      <c r="CG346" t="s">
        <v>243</v>
      </c>
      <c r="CH346" t="s">
        <v>2829</v>
      </c>
      <c r="CI346" t="s">
        <v>243</v>
      </c>
      <c r="CJ346" t="s">
        <v>243</v>
      </c>
      <c r="CK346" t="s">
        <v>243</v>
      </c>
      <c r="CL346" t="s">
        <v>243</v>
      </c>
      <c r="CM346" t="s">
        <v>243</v>
      </c>
      <c r="CN346" t="s">
        <v>2829</v>
      </c>
      <c r="CO346" t="s">
        <v>2843</v>
      </c>
      <c r="CP346" t="s">
        <v>2844</v>
      </c>
      <c r="CQ346" t="s">
        <v>430</v>
      </c>
      <c r="CR346" t="s">
        <v>2845</v>
      </c>
      <c r="CS346" t="s">
        <v>431</v>
      </c>
      <c r="CT346" t="s">
        <v>430</v>
      </c>
      <c r="CU346" t="s">
        <v>2846</v>
      </c>
      <c r="CV346" t="s">
        <v>2847</v>
      </c>
      <c r="CW346" t="s">
        <v>2845</v>
      </c>
      <c r="CX346" t="s">
        <v>2848</v>
      </c>
      <c r="CY346" t="s">
        <v>4173</v>
      </c>
    </row>
    <row r="347" spans="1:103" ht="11.25" customHeight="1">
      <c r="A347" t="s">
        <v>243</v>
      </c>
      <c r="B347" t="s">
        <v>243</v>
      </c>
      <c r="C347" t="s">
        <v>243</v>
      </c>
      <c r="D347" t="s">
        <v>243</v>
      </c>
      <c r="E347" t="s">
        <v>243</v>
      </c>
      <c r="F347" t="s">
        <v>2816</v>
      </c>
      <c r="G347" t="s">
        <v>243</v>
      </c>
      <c r="H347" t="s">
        <v>243</v>
      </c>
      <c r="I347" t="s">
        <v>3777</v>
      </c>
      <c r="J347" t="s">
        <v>243</v>
      </c>
      <c r="K347" t="s">
        <v>3615</v>
      </c>
      <c r="L347" t="s">
        <v>243</v>
      </c>
      <c r="M347" t="s">
        <v>114</v>
      </c>
      <c r="N347" t="s">
        <v>243</v>
      </c>
      <c r="O347" t="s">
        <v>2819</v>
      </c>
      <c r="P347" t="s">
        <v>4449</v>
      </c>
      <c r="Q347" t="s">
        <v>2821</v>
      </c>
      <c r="R347" t="s">
        <v>200</v>
      </c>
      <c r="S347" t="s">
        <v>200</v>
      </c>
      <c r="T347" t="s">
        <v>2822</v>
      </c>
      <c r="U347" t="s">
        <v>2822</v>
      </c>
      <c r="V347" t="s">
        <v>2823</v>
      </c>
      <c r="W347" t="s">
        <v>2927</v>
      </c>
      <c r="X347" t="s">
        <v>2928</v>
      </c>
      <c r="Y347" t="s">
        <v>2826</v>
      </c>
      <c r="Z347" t="s">
        <v>437</v>
      </c>
      <c r="AA347" t="s">
        <v>3778</v>
      </c>
      <c r="AB347" t="s">
        <v>3779</v>
      </c>
      <c r="AC347" t="s">
        <v>2829</v>
      </c>
      <c r="AD347" t="s">
        <v>2830</v>
      </c>
      <c r="AE347" t="s">
        <v>2831</v>
      </c>
      <c r="AF347" t="s">
        <v>3780</v>
      </c>
      <c r="AG347" t="s">
        <v>3781</v>
      </c>
      <c r="AH347" t="s">
        <v>2834</v>
      </c>
      <c r="AI347" t="s">
        <v>2835</v>
      </c>
      <c r="AJ347" t="s">
        <v>2960</v>
      </c>
      <c r="AK347" t="s">
        <v>3325</v>
      </c>
      <c r="AL347" t="s">
        <v>3778</v>
      </c>
      <c r="AM347" t="s">
        <v>3464</v>
      </c>
      <c r="AN347" t="s">
        <v>2829</v>
      </c>
      <c r="AO347" t="s">
        <v>2839</v>
      </c>
      <c r="AP347" t="s">
        <v>2840</v>
      </c>
      <c r="AQ347" t="s">
        <v>2841</v>
      </c>
      <c r="AR347" t="s">
        <v>3782</v>
      </c>
      <c r="AS347" t="s">
        <v>3782</v>
      </c>
      <c r="AT347" t="s">
        <v>2829</v>
      </c>
      <c r="AU347" t="s">
        <v>2829</v>
      </c>
      <c r="AV347" t="s">
        <v>2829</v>
      </c>
      <c r="AW347" t="s">
        <v>2829</v>
      </c>
      <c r="AX347" t="s">
        <v>2829</v>
      </c>
      <c r="AY347" t="s">
        <v>2829</v>
      </c>
      <c r="AZ347" t="s">
        <v>2829</v>
      </c>
      <c r="BA347" t="s">
        <v>2829</v>
      </c>
      <c r="BB347" t="s">
        <v>2829</v>
      </c>
      <c r="BC347" t="s">
        <v>2829</v>
      </c>
      <c r="BD347" t="s">
        <v>2829</v>
      </c>
      <c r="BE347" t="s">
        <v>243</v>
      </c>
      <c r="BF347" t="s">
        <v>243</v>
      </c>
      <c r="BG347" t="s">
        <v>243</v>
      </c>
      <c r="BH347" t="s">
        <v>243</v>
      </c>
      <c r="BI347" t="s">
        <v>243</v>
      </c>
      <c r="BJ347" t="s">
        <v>2829</v>
      </c>
      <c r="BK347" t="s">
        <v>243</v>
      </c>
      <c r="BL347" t="s">
        <v>243</v>
      </c>
      <c r="BM347" t="s">
        <v>243</v>
      </c>
      <c r="BN347" t="s">
        <v>243</v>
      </c>
      <c r="BO347" t="s">
        <v>243</v>
      </c>
      <c r="BP347" t="s">
        <v>2829</v>
      </c>
      <c r="BQ347" t="s">
        <v>243</v>
      </c>
      <c r="BR347" t="s">
        <v>243</v>
      </c>
      <c r="BS347" t="s">
        <v>243</v>
      </c>
      <c r="BT347" t="s">
        <v>243</v>
      </c>
      <c r="BU347" t="s">
        <v>243</v>
      </c>
      <c r="BV347" t="s">
        <v>2829</v>
      </c>
      <c r="BW347" t="s">
        <v>243</v>
      </c>
      <c r="BX347" t="s">
        <v>243</v>
      </c>
      <c r="BY347" t="s">
        <v>243</v>
      </c>
      <c r="BZ347" t="s">
        <v>243</v>
      </c>
      <c r="CA347" t="s">
        <v>243</v>
      </c>
      <c r="CB347" t="s">
        <v>3782</v>
      </c>
      <c r="CC347" t="s">
        <v>3782</v>
      </c>
      <c r="CD347" t="s">
        <v>243</v>
      </c>
      <c r="CE347" t="s">
        <v>243</v>
      </c>
      <c r="CF347" t="s">
        <v>243</v>
      </c>
      <c r="CG347" t="s">
        <v>243</v>
      </c>
      <c r="CH347" t="s">
        <v>2829</v>
      </c>
      <c r="CI347" t="s">
        <v>243</v>
      </c>
      <c r="CJ347" t="s">
        <v>243</v>
      </c>
      <c r="CK347" t="s">
        <v>243</v>
      </c>
      <c r="CL347" t="s">
        <v>243</v>
      </c>
      <c r="CM347" t="s">
        <v>243</v>
      </c>
      <c r="CN347" t="s">
        <v>2960</v>
      </c>
      <c r="CO347" t="s">
        <v>2843</v>
      </c>
      <c r="CP347" t="s">
        <v>2844</v>
      </c>
      <c r="CQ347" t="s">
        <v>430</v>
      </c>
      <c r="CR347" t="s">
        <v>2845</v>
      </c>
      <c r="CS347" t="s">
        <v>431</v>
      </c>
      <c r="CT347" t="s">
        <v>430</v>
      </c>
      <c r="CU347" t="s">
        <v>2846</v>
      </c>
      <c r="CV347" t="s">
        <v>2847</v>
      </c>
      <c r="CW347" t="s">
        <v>2845</v>
      </c>
      <c r="CX347" t="s">
        <v>2848</v>
      </c>
      <c r="CY347" t="s">
        <v>3783</v>
      </c>
    </row>
    <row r="348" spans="1:103" ht="11.25" customHeight="1">
      <c r="A348" t="s">
        <v>243</v>
      </c>
      <c r="B348" t="s">
        <v>243</v>
      </c>
      <c r="C348" t="s">
        <v>243</v>
      </c>
      <c r="D348" t="s">
        <v>243</v>
      </c>
      <c r="E348" t="s">
        <v>243</v>
      </c>
      <c r="F348" t="s">
        <v>2816</v>
      </c>
      <c r="G348" t="s">
        <v>243</v>
      </c>
      <c r="H348" t="s">
        <v>243</v>
      </c>
      <c r="I348" t="s">
        <v>3656</v>
      </c>
      <c r="J348" t="s">
        <v>243</v>
      </c>
      <c r="K348" t="s">
        <v>461</v>
      </c>
      <c r="L348" t="s">
        <v>243</v>
      </c>
      <c r="M348" t="s">
        <v>114</v>
      </c>
      <c r="N348" t="s">
        <v>243</v>
      </c>
      <c r="O348" t="s">
        <v>2819</v>
      </c>
      <c r="P348" t="s">
        <v>4449</v>
      </c>
      <c r="Q348" t="s">
        <v>2821</v>
      </c>
      <c r="R348" t="s">
        <v>200</v>
      </c>
      <c r="S348" t="s">
        <v>200</v>
      </c>
      <c r="T348" t="s">
        <v>3022</v>
      </c>
      <c r="U348" t="s">
        <v>3022</v>
      </c>
      <c r="V348" t="s">
        <v>3023</v>
      </c>
      <c r="W348" t="s">
        <v>3647</v>
      </c>
      <c r="X348" t="s">
        <v>3648</v>
      </c>
      <c r="Y348" t="s">
        <v>3657</v>
      </c>
      <c r="Z348" t="s">
        <v>3658</v>
      </c>
      <c r="AA348" t="s">
        <v>3480</v>
      </c>
      <c r="AB348" t="s">
        <v>3659</v>
      </c>
      <c r="AC348" t="s">
        <v>2829</v>
      </c>
      <c r="AD348" t="s">
        <v>2883</v>
      </c>
      <c r="AE348" t="s">
        <v>2831</v>
      </c>
      <c r="AF348" t="s">
        <v>3660</v>
      </c>
      <c r="AG348" t="s">
        <v>3660</v>
      </c>
      <c r="AH348" t="s">
        <v>2834</v>
      </c>
      <c r="AI348" t="s">
        <v>2835</v>
      </c>
      <c r="AJ348" t="s">
        <v>3661</v>
      </c>
      <c r="AK348" t="s">
        <v>3662</v>
      </c>
      <c r="AL348" t="s">
        <v>3480</v>
      </c>
      <c r="AM348" t="s">
        <v>3659</v>
      </c>
      <c r="AN348" t="s">
        <v>2829</v>
      </c>
      <c r="AO348" t="s">
        <v>2839</v>
      </c>
      <c r="AP348" t="s">
        <v>2840</v>
      </c>
      <c r="AQ348" t="s">
        <v>2841</v>
      </c>
      <c r="AR348" t="s">
        <v>3541</v>
      </c>
      <c r="AS348" t="s">
        <v>3541</v>
      </c>
      <c r="AT348" t="s">
        <v>2829</v>
      </c>
      <c r="AU348" t="s">
        <v>2829</v>
      </c>
      <c r="AV348" t="s">
        <v>2829</v>
      </c>
      <c r="AW348" t="s">
        <v>2829</v>
      </c>
      <c r="AX348" t="s">
        <v>2829</v>
      </c>
      <c r="AY348" t="s">
        <v>2829</v>
      </c>
      <c r="AZ348" t="s">
        <v>2829</v>
      </c>
      <c r="BA348" t="s">
        <v>2829</v>
      </c>
      <c r="BB348" t="s">
        <v>2829</v>
      </c>
      <c r="BC348" t="s">
        <v>2829</v>
      </c>
      <c r="BD348" t="s">
        <v>3663</v>
      </c>
      <c r="BE348" t="s">
        <v>3663</v>
      </c>
      <c r="BF348" t="s">
        <v>243</v>
      </c>
      <c r="BG348" t="s">
        <v>243</v>
      </c>
      <c r="BH348" t="s">
        <v>243</v>
      </c>
      <c r="BI348" t="s">
        <v>243</v>
      </c>
      <c r="BJ348" t="s">
        <v>2829</v>
      </c>
      <c r="BK348" t="s">
        <v>243</v>
      </c>
      <c r="BL348" t="s">
        <v>243</v>
      </c>
      <c r="BM348" t="s">
        <v>243</v>
      </c>
      <c r="BN348" t="s">
        <v>243</v>
      </c>
      <c r="BO348" t="s">
        <v>243</v>
      </c>
      <c r="BP348" t="s">
        <v>3664</v>
      </c>
      <c r="BQ348" t="s">
        <v>3664</v>
      </c>
      <c r="BR348" t="s">
        <v>243</v>
      </c>
      <c r="BS348" t="s">
        <v>243</v>
      </c>
      <c r="BT348" t="s">
        <v>243</v>
      </c>
      <c r="BU348" t="s">
        <v>243</v>
      </c>
      <c r="BV348" t="s">
        <v>2829</v>
      </c>
      <c r="BW348" t="s">
        <v>243</v>
      </c>
      <c r="BX348" t="s">
        <v>243</v>
      </c>
      <c r="BY348" t="s">
        <v>243</v>
      </c>
      <c r="BZ348" t="s">
        <v>243</v>
      </c>
      <c r="CA348" t="s">
        <v>243</v>
      </c>
      <c r="CB348" t="s">
        <v>2829</v>
      </c>
      <c r="CC348" t="s">
        <v>243</v>
      </c>
      <c r="CD348" t="s">
        <v>243</v>
      </c>
      <c r="CE348" t="s">
        <v>243</v>
      </c>
      <c r="CF348" t="s">
        <v>243</v>
      </c>
      <c r="CG348" t="s">
        <v>243</v>
      </c>
      <c r="CH348" t="s">
        <v>2829</v>
      </c>
      <c r="CI348" t="s">
        <v>243</v>
      </c>
      <c r="CJ348" t="s">
        <v>243</v>
      </c>
      <c r="CK348" t="s">
        <v>243</v>
      </c>
      <c r="CL348" t="s">
        <v>243</v>
      </c>
      <c r="CM348" t="s">
        <v>243</v>
      </c>
      <c r="CN348" t="s">
        <v>3030</v>
      </c>
      <c r="CO348" t="s">
        <v>2843</v>
      </c>
      <c r="CP348" t="s">
        <v>2844</v>
      </c>
      <c r="CQ348" t="s">
        <v>430</v>
      </c>
      <c r="CR348" t="s">
        <v>3033</v>
      </c>
      <c r="CS348" t="s">
        <v>431</v>
      </c>
      <c r="CT348" t="s">
        <v>430</v>
      </c>
      <c r="CU348" t="s">
        <v>3034</v>
      </c>
      <c r="CV348" t="s">
        <v>432</v>
      </c>
      <c r="CW348" t="s">
        <v>3033</v>
      </c>
      <c r="CX348" t="s">
        <v>2848</v>
      </c>
      <c r="CY348" t="s">
        <v>3665</v>
      </c>
    </row>
    <row r="349" spans="1:103" ht="11.25" customHeight="1">
      <c r="A349" t="s">
        <v>243</v>
      </c>
      <c r="B349" t="s">
        <v>243</v>
      </c>
      <c r="C349" t="s">
        <v>243</v>
      </c>
      <c r="D349" t="s">
        <v>243</v>
      </c>
      <c r="E349" t="s">
        <v>243</v>
      </c>
      <c r="F349" t="s">
        <v>2816</v>
      </c>
      <c r="G349" t="s">
        <v>243</v>
      </c>
      <c r="H349" t="s">
        <v>243</v>
      </c>
      <c r="I349" t="s">
        <v>3020</v>
      </c>
      <c r="J349" t="s">
        <v>243</v>
      </c>
      <c r="K349" t="s">
        <v>3021</v>
      </c>
      <c r="L349" t="s">
        <v>243</v>
      </c>
      <c r="M349" t="s">
        <v>114</v>
      </c>
      <c r="N349" t="s">
        <v>243</v>
      </c>
      <c r="O349" t="s">
        <v>2819</v>
      </c>
      <c r="P349" t="s">
        <v>4449</v>
      </c>
      <c r="Q349" t="s">
        <v>2821</v>
      </c>
      <c r="R349" t="s">
        <v>200</v>
      </c>
      <c r="S349" t="s">
        <v>200</v>
      </c>
      <c r="T349" t="s">
        <v>3022</v>
      </c>
      <c r="U349" t="s">
        <v>3022</v>
      </c>
      <c r="V349" t="s">
        <v>3023</v>
      </c>
      <c r="W349" t="s">
        <v>3024</v>
      </c>
      <c r="X349" t="s">
        <v>3025</v>
      </c>
      <c r="Y349" t="s">
        <v>3026</v>
      </c>
      <c r="Z349" t="s">
        <v>2972</v>
      </c>
      <c r="AA349" t="s">
        <v>3027</v>
      </c>
      <c r="AB349" t="s">
        <v>3028</v>
      </c>
      <c r="AC349" t="s">
        <v>2829</v>
      </c>
      <c r="AD349" t="s">
        <v>2883</v>
      </c>
      <c r="AE349" t="s">
        <v>2831</v>
      </c>
      <c r="AF349" t="s">
        <v>3029</v>
      </c>
      <c r="AG349" t="s">
        <v>3029</v>
      </c>
      <c r="AH349" t="s">
        <v>2834</v>
      </c>
      <c r="AI349" t="s">
        <v>2835</v>
      </c>
      <c r="AJ349" t="s">
        <v>3030</v>
      </c>
      <c r="AK349" t="s">
        <v>3031</v>
      </c>
      <c r="AL349" t="s">
        <v>3027</v>
      </c>
      <c r="AM349" t="s">
        <v>3028</v>
      </c>
      <c r="AN349" t="s">
        <v>2829</v>
      </c>
      <c r="AO349" t="s">
        <v>2839</v>
      </c>
      <c r="AP349" t="s">
        <v>2840</v>
      </c>
      <c r="AQ349" t="s">
        <v>2841</v>
      </c>
      <c r="AR349" t="s">
        <v>3032</v>
      </c>
      <c r="AS349" t="s">
        <v>3032</v>
      </c>
      <c r="AT349" t="s">
        <v>2829</v>
      </c>
      <c r="AU349" t="s">
        <v>2829</v>
      </c>
      <c r="AV349" t="s">
        <v>2829</v>
      </c>
      <c r="AW349" t="s">
        <v>2829</v>
      </c>
      <c r="AX349" t="s">
        <v>2829</v>
      </c>
      <c r="AY349" t="s">
        <v>2829</v>
      </c>
      <c r="AZ349" t="s">
        <v>2829</v>
      </c>
      <c r="BA349" t="s">
        <v>2829</v>
      </c>
      <c r="BB349" t="s">
        <v>2829</v>
      </c>
      <c r="BC349" t="s">
        <v>2829</v>
      </c>
      <c r="BD349" t="s">
        <v>2829</v>
      </c>
      <c r="BE349" t="s">
        <v>243</v>
      </c>
      <c r="BF349" t="s">
        <v>243</v>
      </c>
      <c r="BG349" t="s">
        <v>243</v>
      </c>
      <c r="BH349" t="s">
        <v>243</v>
      </c>
      <c r="BI349" t="s">
        <v>243</v>
      </c>
      <c r="BJ349" t="s">
        <v>2829</v>
      </c>
      <c r="BK349" t="s">
        <v>243</v>
      </c>
      <c r="BL349" t="s">
        <v>243</v>
      </c>
      <c r="BM349" t="s">
        <v>243</v>
      </c>
      <c r="BN349" t="s">
        <v>243</v>
      </c>
      <c r="BO349" t="s">
        <v>243</v>
      </c>
      <c r="BP349" t="s">
        <v>3032</v>
      </c>
      <c r="BQ349" t="s">
        <v>3032</v>
      </c>
      <c r="BR349" t="s">
        <v>243</v>
      </c>
      <c r="BS349" t="s">
        <v>243</v>
      </c>
      <c r="BT349" t="s">
        <v>243</v>
      </c>
      <c r="BU349" t="s">
        <v>243</v>
      </c>
      <c r="BV349" t="s">
        <v>2829</v>
      </c>
      <c r="BW349" t="s">
        <v>243</v>
      </c>
      <c r="BX349" t="s">
        <v>243</v>
      </c>
      <c r="BY349" t="s">
        <v>243</v>
      </c>
      <c r="BZ349" t="s">
        <v>243</v>
      </c>
      <c r="CA349" t="s">
        <v>243</v>
      </c>
      <c r="CB349" t="s">
        <v>2829</v>
      </c>
      <c r="CC349" t="s">
        <v>243</v>
      </c>
      <c r="CD349" t="s">
        <v>243</v>
      </c>
      <c r="CE349" t="s">
        <v>243</v>
      </c>
      <c r="CF349" t="s">
        <v>243</v>
      </c>
      <c r="CG349" t="s">
        <v>243</v>
      </c>
      <c r="CH349" t="s">
        <v>2829</v>
      </c>
      <c r="CI349" t="s">
        <v>243</v>
      </c>
      <c r="CJ349" t="s">
        <v>243</v>
      </c>
      <c r="CK349" t="s">
        <v>243</v>
      </c>
      <c r="CL349" t="s">
        <v>243</v>
      </c>
      <c r="CM349" t="s">
        <v>243</v>
      </c>
      <c r="CN349" t="s">
        <v>2997</v>
      </c>
      <c r="CO349" t="s">
        <v>2843</v>
      </c>
      <c r="CP349" t="s">
        <v>2844</v>
      </c>
      <c r="CQ349" t="s">
        <v>430</v>
      </c>
      <c r="CR349" t="s">
        <v>3033</v>
      </c>
      <c r="CS349" t="s">
        <v>431</v>
      </c>
      <c r="CT349" t="s">
        <v>430</v>
      </c>
      <c r="CU349" t="s">
        <v>3034</v>
      </c>
      <c r="CV349" t="s">
        <v>432</v>
      </c>
      <c r="CW349" t="s">
        <v>3033</v>
      </c>
      <c r="CX349" t="s">
        <v>2848</v>
      </c>
      <c r="CY349" t="s">
        <v>3035</v>
      </c>
    </row>
    <row r="350" spans="1:103" ht="11.25" customHeight="1">
      <c r="A350" t="s">
        <v>243</v>
      </c>
      <c r="B350" t="s">
        <v>243</v>
      </c>
      <c r="C350" t="s">
        <v>243</v>
      </c>
      <c r="D350" t="s">
        <v>243</v>
      </c>
      <c r="E350" t="s">
        <v>243</v>
      </c>
      <c r="F350" t="s">
        <v>2816</v>
      </c>
      <c r="G350" t="s">
        <v>243</v>
      </c>
      <c r="H350" t="s">
        <v>243</v>
      </c>
      <c r="I350" t="s">
        <v>3136</v>
      </c>
      <c r="J350" t="s">
        <v>243</v>
      </c>
      <c r="K350" t="s">
        <v>3137</v>
      </c>
      <c r="L350" t="s">
        <v>243</v>
      </c>
      <c r="M350" t="s">
        <v>114</v>
      </c>
      <c r="N350" t="s">
        <v>243</v>
      </c>
      <c r="O350" t="s">
        <v>2819</v>
      </c>
      <c r="P350" t="s">
        <v>4449</v>
      </c>
      <c r="Q350" t="s">
        <v>2821</v>
      </c>
      <c r="R350" t="s">
        <v>200</v>
      </c>
      <c r="S350" t="s">
        <v>200</v>
      </c>
      <c r="T350" t="s">
        <v>4463</v>
      </c>
      <c r="U350" t="s">
        <v>4463</v>
      </c>
      <c r="V350" t="s">
        <v>4464</v>
      </c>
      <c r="W350" t="s">
        <v>4466</v>
      </c>
      <c r="X350" t="s">
        <v>4467</v>
      </c>
      <c r="Y350" t="s">
        <v>3140</v>
      </c>
      <c r="Z350" t="s">
        <v>3141</v>
      </c>
      <c r="AA350" t="s">
        <v>3142</v>
      </c>
      <c r="AB350" t="s">
        <v>3143</v>
      </c>
      <c r="AC350" t="s">
        <v>2829</v>
      </c>
      <c r="AD350" t="s">
        <v>2883</v>
      </c>
      <c r="AE350" t="s">
        <v>2831</v>
      </c>
      <c r="AF350" t="s">
        <v>3144</v>
      </c>
      <c r="AG350" t="s">
        <v>3145</v>
      </c>
      <c r="AH350" t="s">
        <v>2834</v>
      </c>
      <c r="AI350" t="s">
        <v>2835</v>
      </c>
      <c r="AJ350" t="s">
        <v>3146</v>
      </c>
      <c r="AK350" t="s">
        <v>3147</v>
      </c>
      <c r="AL350" t="s">
        <v>3005</v>
      </c>
      <c r="AM350" t="s">
        <v>3148</v>
      </c>
      <c r="AN350" t="s">
        <v>2829</v>
      </c>
      <c r="AO350" t="s">
        <v>2839</v>
      </c>
      <c r="AP350" t="s">
        <v>2840</v>
      </c>
      <c r="AQ350" t="s">
        <v>2841</v>
      </c>
      <c r="AR350" t="s">
        <v>3149</v>
      </c>
      <c r="AS350" t="s">
        <v>3149</v>
      </c>
      <c r="AT350" t="s">
        <v>2829</v>
      </c>
      <c r="AU350" t="s">
        <v>2829</v>
      </c>
      <c r="AV350" t="s">
        <v>2829</v>
      </c>
      <c r="AW350" t="s">
        <v>2829</v>
      </c>
      <c r="AX350" t="s">
        <v>2829</v>
      </c>
      <c r="AY350" t="s">
        <v>2829</v>
      </c>
      <c r="AZ350" t="s">
        <v>2829</v>
      </c>
      <c r="BA350" t="s">
        <v>2829</v>
      </c>
      <c r="BB350" t="s">
        <v>2829</v>
      </c>
      <c r="BC350" t="s">
        <v>2829</v>
      </c>
      <c r="BD350" t="s">
        <v>3066</v>
      </c>
      <c r="BE350" t="s">
        <v>3066</v>
      </c>
      <c r="BF350" t="s">
        <v>243</v>
      </c>
      <c r="BG350" t="s">
        <v>243</v>
      </c>
      <c r="BH350" t="s">
        <v>243</v>
      </c>
      <c r="BI350" t="s">
        <v>243</v>
      </c>
      <c r="BJ350" t="s">
        <v>2829</v>
      </c>
      <c r="BK350" t="s">
        <v>243</v>
      </c>
      <c r="BL350" t="s">
        <v>243</v>
      </c>
      <c r="BM350" t="s">
        <v>243</v>
      </c>
      <c r="BN350" t="s">
        <v>243</v>
      </c>
      <c r="BO350" t="s">
        <v>243</v>
      </c>
      <c r="BP350" t="s">
        <v>3058</v>
      </c>
      <c r="BQ350" t="s">
        <v>3058</v>
      </c>
      <c r="BR350" t="s">
        <v>243</v>
      </c>
      <c r="BS350" t="s">
        <v>243</v>
      </c>
      <c r="BT350" t="s">
        <v>243</v>
      </c>
      <c r="BU350" t="s">
        <v>243</v>
      </c>
      <c r="BV350" t="s">
        <v>2829</v>
      </c>
      <c r="BW350" t="s">
        <v>243</v>
      </c>
      <c r="BX350" t="s">
        <v>243</v>
      </c>
      <c r="BY350" t="s">
        <v>243</v>
      </c>
      <c r="BZ350" t="s">
        <v>243</v>
      </c>
      <c r="CA350" t="s">
        <v>243</v>
      </c>
      <c r="CB350" t="s">
        <v>2829</v>
      </c>
      <c r="CC350" t="s">
        <v>243</v>
      </c>
      <c r="CD350" t="s">
        <v>243</v>
      </c>
      <c r="CE350" t="s">
        <v>243</v>
      </c>
      <c r="CF350" t="s">
        <v>243</v>
      </c>
      <c r="CG350" t="s">
        <v>243</v>
      </c>
      <c r="CH350" t="s">
        <v>2829</v>
      </c>
      <c r="CI350" t="s">
        <v>243</v>
      </c>
      <c r="CJ350" t="s">
        <v>243</v>
      </c>
      <c r="CK350" t="s">
        <v>243</v>
      </c>
      <c r="CL350" t="s">
        <v>243</v>
      </c>
      <c r="CM350" t="s">
        <v>243</v>
      </c>
      <c r="CN350" t="s">
        <v>3150</v>
      </c>
      <c r="CO350" t="s">
        <v>2843</v>
      </c>
      <c r="CP350" t="s">
        <v>2844</v>
      </c>
      <c r="CQ350" t="s">
        <v>430</v>
      </c>
      <c r="CR350" t="s">
        <v>3151</v>
      </c>
      <c r="CS350" t="s">
        <v>266</v>
      </c>
      <c r="CT350" t="s">
        <v>430</v>
      </c>
      <c r="CU350" t="s">
        <v>440</v>
      </c>
      <c r="CV350" t="s">
        <v>3152</v>
      </c>
      <c r="CW350" t="s">
        <v>3151</v>
      </c>
      <c r="CX350" t="s">
        <v>2848</v>
      </c>
      <c r="CY350" t="s">
        <v>4468</v>
      </c>
    </row>
    <row r="351" spans="1:103" ht="11.25" customHeight="1">
      <c r="A351" t="s">
        <v>243</v>
      </c>
      <c r="B351" t="s">
        <v>243</v>
      </c>
      <c r="C351" t="s">
        <v>243</v>
      </c>
      <c r="D351" t="s">
        <v>243</v>
      </c>
      <c r="E351" t="s">
        <v>243</v>
      </c>
      <c r="F351" t="s">
        <v>2816</v>
      </c>
      <c r="G351" t="s">
        <v>243</v>
      </c>
      <c r="H351" t="s">
        <v>243</v>
      </c>
      <c r="I351" t="s">
        <v>3154</v>
      </c>
      <c r="J351" t="s">
        <v>243</v>
      </c>
      <c r="K351" t="s">
        <v>433</v>
      </c>
      <c r="L351" t="s">
        <v>243</v>
      </c>
      <c r="M351" t="s">
        <v>114</v>
      </c>
      <c r="N351" t="s">
        <v>243</v>
      </c>
      <c r="O351" t="s">
        <v>2819</v>
      </c>
      <c r="P351" t="s">
        <v>4449</v>
      </c>
      <c r="Q351" t="s">
        <v>2821</v>
      </c>
      <c r="R351" t="s">
        <v>200</v>
      </c>
      <c r="S351" t="s">
        <v>200</v>
      </c>
      <c r="T351" t="s">
        <v>405</v>
      </c>
      <c r="U351" t="s">
        <v>405</v>
      </c>
      <c r="V351" t="s">
        <v>406</v>
      </c>
      <c r="W351" t="s">
        <v>3155</v>
      </c>
      <c r="X351" t="s">
        <v>3156</v>
      </c>
      <c r="Y351" t="s">
        <v>3157</v>
      </c>
      <c r="Z351" t="s">
        <v>463</v>
      </c>
      <c r="AA351" t="s">
        <v>3158</v>
      </c>
      <c r="AB351" t="s">
        <v>3159</v>
      </c>
      <c r="AC351" t="s">
        <v>3160</v>
      </c>
      <c r="AD351" t="s">
        <v>2830</v>
      </c>
      <c r="AE351" t="s">
        <v>2831</v>
      </c>
      <c r="AF351" t="s">
        <v>3161</v>
      </c>
      <c r="AG351" t="s">
        <v>3162</v>
      </c>
      <c r="AH351" t="s">
        <v>2834</v>
      </c>
      <c r="AI351" t="s">
        <v>2887</v>
      </c>
      <c r="AJ351" t="s">
        <v>3163</v>
      </c>
      <c r="AK351" t="s">
        <v>3164</v>
      </c>
      <c r="AL351" t="s">
        <v>3165</v>
      </c>
      <c r="AM351" t="s">
        <v>3159</v>
      </c>
      <c r="AN351" t="s">
        <v>3160</v>
      </c>
      <c r="AO351" t="s">
        <v>2839</v>
      </c>
      <c r="AP351" t="s">
        <v>3166</v>
      </c>
      <c r="AQ351" t="s">
        <v>2841</v>
      </c>
      <c r="AR351" t="s">
        <v>3167</v>
      </c>
      <c r="AS351" t="s">
        <v>3168</v>
      </c>
      <c r="AT351" t="s">
        <v>3169</v>
      </c>
      <c r="AU351" t="s">
        <v>2829</v>
      </c>
      <c r="AV351" t="s">
        <v>2829</v>
      </c>
      <c r="AW351" t="s">
        <v>2829</v>
      </c>
      <c r="AX351" t="s">
        <v>3170</v>
      </c>
      <c r="AY351" t="s">
        <v>3170</v>
      </c>
      <c r="AZ351" t="s">
        <v>2829</v>
      </c>
      <c r="BA351" t="s">
        <v>2829</v>
      </c>
      <c r="BB351" t="s">
        <v>2829</v>
      </c>
      <c r="BC351" t="s">
        <v>2829</v>
      </c>
      <c r="BD351" t="s">
        <v>3171</v>
      </c>
      <c r="BE351" t="s">
        <v>3172</v>
      </c>
      <c r="BF351" t="s">
        <v>3169</v>
      </c>
      <c r="BG351" t="s">
        <v>2829</v>
      </c>
      <c r="BH351" t="s">
        <v>2829</v>
      </c>
      <c r="BI351" t="s">
        <v>2829</v>
      </c>
      <c r="BJ351" t="s">
        <v>3173</v>
      </c>
      <c r="BK351" t="s">
        <v>3173</v>
      </c>
      <c r="BL351" t="s">
        <v>2829</v>
      </c>
      <c r="BM351" t="s">
        <v>2829</v>
      </c>
      <c r="BN351" t="s">
        <v>2829</v>
      </c>
      <c r="BO351" t="s">
        <v>2829</v>
      </c>
      <c r="BP351" t="s">
        <v>3174</v>
      </c>
      <c r="BQ351" t="s">
        <v>3174</v>
      </c>
      <c r="BR351" t="s">
        <v>2829</v>
      </c>
      <c r="BS351" t="s">
        <v>2829</v>
      </c>
      <c r="BT351" t="s">
        <v>2829</v>
      </c>
      <c r="BU351" t="s">
        <v>2829</v>
      </c>
      <c r="BV351" t="s">
        <v>3175</v>
      </c>
      <c r="BW351" t="s">
        <v>3175</v>
      </c>
      <c r="BX351" t="s">
        <v>2829</v>
      </c>
      <c r="BY351" t="s">
        <v>2829</v>
      </c>
      <c r="BZ351" t="s">
        <v>2829</v>
      </c>
      <c r="CA351" t="s">
        <v>2829</v>
      </c>
      <c r="CB351" t="s">
        <v>2829</v>
      </c>
      <c r="CC351" t="s">
        <v>243</v>
      </c>
      <c r="CD351" t="s">
        <v>243</v>
      </c>
      <c r="CE351" t="s">
        <v>243</v>
      </c>
      <c r="CF351" t="s">
        <v>243</v>
      </c>
      <c r="CG351" t="s">
        <v>243</v>
      </c>
      <c r="CH351" t="s">
        <v>2829</v>
      </c>
      <c r="CI351" t="s">
        <v>243</v>
      </c>
      <c r="CJ351" t="s">
        <v>243</v>
      </c>
      <c r="CK351" t="s">
        <v>243</v>
      </c>
      <c r="CL351" t="s">
        <v>243</v>
      </c>
      <c r="CM351" t="s">
        <v>243</v>
      </c>
      <c r="CN351" t="s">
        <v>3176</v>
      </c>
      <c r="CO351" t="s">
        <v>2843</v>
      </c>
      <c r="CP351" t="s">
        <v>2844</v>
      </c>
      <c r="CQ351" t="s">
        <v>430</v>
      </c>
      <c r="CR351" t="s">
        <v>3151</v>
      </c>
      <c r="CS351" t="s">
        <v>431</v>
      </c>
      <c r="CT351" t="s">
        <v>430</v>
      </c>
      <c r="CU351" t="s">
        <v>268</v>
      </c>
      <c r="CV351" t="s">
        <v>432</v>
      </c>
      <c r="CW351" t="s">
        <v>3151</v>
      </c>
      <c r="CX351" t="s">
        <v>2848</v>
      </c>
      <c r="CY351" t="s">
        <v>434</v>
      </c>
    </row>
    <row r="352" spans="1:103" ht="11.25" customHeight="1">
      <c r="A352" t="s">
        <v>243</v>
      </c>
      <c r="B352" t="s">
        <v>243</v>
      </c>
      <c r="C352" t="s">
        <v>243</v>
      </c>
      <c r="D352" t="s">
        <v>243</v>
      </c>
      <c r="E352" t="s">
        <v>243</v>
      </c>
      <c r="F352" t="s">
        <v>2816</v>
      </c>
      <c r="G352" t="s">
        <v>243</v>
      </c>
      <c r="H352" t="s">
        <v>243</v>
      </c>
      <c r="I352" t="s">
        <v>3310</v>
      </c>
      <c r="J352" t="s">
        <v>243</v>
      </c>
      <c r="K352" t="s">
        <v>3311</v>
      </c>
      <c r="L352" t="s">
        <v>243</v>
      </c>
      <c r="M352" t="s">
        <v>114</v>
      </c>
      <c r="N352" t="s">
        <v>243</v>
      </c>
      <c r="O352" t="s">
        <v>2819</v>
      </c>
      <c r="P352" t="s">
        <v>4449</v>
      </c>
      <c r="Q352" t="s">
        <v>2821</v>
      </c>
      <c r="R352" t="s">
        <v>200</v>
      </c>
      <c r="S352" t="s">
        <v>200</v>
      </c>
      <c r="T352" t="s">
        <v>3048</v>
      </c>
      <c r="U352" t="s">
        <v>3048</v>
      </c>
      <c r="V352" t="s">
        <v>3049</v>
      </c>
      <c r="W352" t="s">
        <v>3050</v>
      </c>
      <c r="X352" t="s">
        <v>3051</v>
      </c>
      <c r="Y352" t="s">
        <v>3312</v>
      </c>
      <c r="Z352" t="s">
        <v>3202</v>
      </c>
      <c r="AA352" t="s">
        <v>3313</v>
      </c>
      <c r="AB352" t="s">
        <v>3095</v>
      </c>
      <c r="AC352" t="s">
        <v>2829</v>
      </c>
      <c r="AD352" t="s">
        <v>2883</v>
      </c>
      <c r="AE352" t="s">
        <v>2831</v>
      </c>
      <c r="AF352" t="s">
        <v>3055</v>
      </c>
      <c r="AG352" t="s">
        <v>3055</v>
      </c>
      <c r="AH352" t="s">
        <v>2834</v>
      </c>
      <c r="AI352" t="s">
        <v>2835</v>
      </c>
      <c r="AJ352" t="s">
        <v>3314</v>
      </c>
      <c r="AK352" t="s">
        <v>3315</v>
      </c>
      <c r="AL352" t="s">
        <v>3313</v>
      </c>
      <c r="AM352" t="s">
        <v>3095</v>
      </c>
      <c r="AN352" t="s">
        <v>2829</v>
      </c>
      <c r="AO352" t="s">
        <v>2839</v>
      </c>
      <c r="AP352" t="s">
        <v>2840</v>
      </c>
      <c r="AQ352" t="s">
        <v>2841</v>
      </c>
      <c r="AR352" t="s">
        <v>3316</v>
      </c>
      <c r="AS352" t="s">
        <v>3316</v>
      </c>
      <c r="AT352" t="s">
        <v>2829</v>
      </c>
      <c r="AU352" t="s">
        <v>2829</v>
      </c>
      <c r="AV352" t="s">
        <v>2829</v>
      </c>
      <c r="AW352" t="s">
        <v>2829</v>
      </c>
      <c r="AX352" t="s">
        <v>2829</v>
      </c>
      <c r="AY352" t="s">
        <v>2829</v>
      </c>
      <c r="AZ352" t="s">
        <v>2829</v>
      </c>
      <c r="BA352" t="s">
        <v>2829</v>
      </c>
      <c r="BB352" t="s">
        <v>2829</v>
      </c>
      <c r="BC352" t="s">
        <v>2829</v>
      </c>
      <c r="BD352" t="s">
        <v>3316</v>
      </c>
      <c r="BE352" t="s">
        <v>3316</v>
      </c>
      <c r="BF352" t="s">
        <v>243</v>
      </c>
      <c r="BG352" t="s">
        <v>243</v>
      </c>
      <c r="BH352" t="s">
        <v>243</v>
      </c>
      <c r="BI352" t="s">
        <v>243</v>
      </c>
      <c r="BJ352" t="s">
        <v>2829</v>
      </c>
      <c r="BK352" t="s">
        <v>243</v>
      </c>
      <c r="BL352" t="s">
        <v>243</v>
      </c>
      <c r="BM352" t="s">
        <v>243</v>
      </c>
      <c r="BN352" t="s">
        <v>243</v>
      </c>
      <c r="BO352" t="s">
        <v>243</v>
      </c>
      <c r="BP352" t="s">
        <v>2829</v>
      </c>
      <c r="BQ352" t="s">
        <v>243</v>
      </c>
      <c r="BR352" t="s">
        <v>243</v>
      </c>
      <c r="BS352" t="s">
        <v>243</v>
      </c>
      <c r="BT352" t="s">
        <v>243</v>
      </c>
      <c r="BU352" t="s">
        <v>243</v>
      </c>
      <c r="BV352" t="s">
        <v>2829</v>
      </c>
      <c r="BW352" t="s">
        <v>243</v>
      </c>
      <c r="BX352" t="s">
        <v>243</v>
      </c>
      <c r="BY352" t="s">
        <v>243</v>
      </c>
      <c r="BZ352" t="s">
        <v>243</v>
      </c>
      <c r="CA352" t="s">
        <v>243</v>
      </c>
      <c r="CB352" t="s">
        <v>2829</v>
      </c>
      <c r="CC352" t="s">
        <v>243</v>
      </c>
      <c r="CD352" t="s">
        <v>243</v>
      </c>
      <c r="CE352" t="s">
        <v>243</v>
      </c>
      <c r="CF352" t="s">
        <v>243</v>
      </c>
      <c r="CG352" t="s">
        <v>243</v>
      </c>
      <c r="CH352" t="s">
        <v>2829</v>
      </c>
      <c r="CI352" t="s">
        <v>243</v>
      </c>
      <c r="CJ352" t="s">
        <v>243</v>
      </c>
      <c r="CK352" t="s">
        <v>243</v>
      </c>
      <c r="CL352" t="s">
        <v>243</v>
      </c>
      <c r="CM352" t="s">
        <v>243</v>
      </c>
      <c r="CN352" t="s">
        <v>3317</v>
      </c>
      <c r="CO352" t="s">
        <v>2843</v>
      </c>
      <c r="CP352" t="s">
        <v>2844</v>
      </c>
      <c r="CQ352" t="s">
        <v>430</v>
      </c>
      <c r="CR352" t="s">
        <v>2872</v>
      </c>
      <c r="CS352" t="s">
        <v>431</v>
      </c>
      <c r="CT352" t="s">
        <v>430</v>
      </c>
      <c r="CU352" t="s">
        <v>3061</v>
      </c>
      <c r="CV352" t="s">
        <v>3062</v>
      </c>
      <c r="CW352" t="s">
        <v>2872</v>
      </c>
      <c r="CX352" t="s">
        <v>2848</v>
      </c>
      <c r="CY352" t="s">
        <v>3318</v>
      </c>
    </row>
    <row r="353" spans="1:103" ht="11.25" customHeight="1">
      <c r="A353" t="s">
        <v>243</v>
      </c>
      <c r="B353" t="s">
        <v>243</v>
      </c>
      <c r="C353" t="s">
        <v>243</v>
      </c>
      <c r="D353" t="s">
        <v>243</v>
      </c>
      <c r="E353" t="s">
        <v>243</v>
      </c>
      <c r="F353" t="s">
        <v>2816</v>
      </c>
      <c r="G353" t="s">
        <v>243</v>
      </c>
      <c r="H353" t="s">
        <v>243</v>
      </c>
      <c r="I353" t="s">
        <v>3784</v>
      </c>
      <c r="J353" t="s">
        <v>243</v>
      </c>
      <c r="K353" t="s">
        <v>3320</v>
      </c>
      <c r="L353" t="s">
        <v>243</v>
      </c>
      <c r="M353" t="s">
        <v>114</v>
      </c>
      <c r="N353" t="s">
        <v>243</v>
      </c>
      <c r="O353" t="s">
        <v>2819</v>
      </c>
      <c r="P353" t="s">
        <v>4449</v>
      </c>
      <c r="Q353" t="s">
        <v>2821</v>
      </c>
      <c r="R353" t="s">
        <v>200</v>
      </c>
      <c r="S353" t="s">
        <v>200</v>
      </c>
      <c r="T353" t="s">
        <v>2822</v>
      </c>
      <c r="U353" t="s">
        <v>2822</v>
      </c>
      <c r="V353" t="s">
        <v>2823</v>
      </c>
      <c r="W353" t="s">
        <v>3785</v>
      </c>
      <c r="X353" t="s">
        <v>3786</v>
      </c>
      <c r="Y353" t="s">
        <v>3610</v>
      </c>
      <c r="Z353" t="s">
        <v>897</v>
      </c>
      <c r="AA353" t="s">
        <v>3005</v>
      </c>
      <c r="AB353" t="s">
        <v>3787</v>
      </c>
      <c r="AC353" t="s">
        <v>2829</v>
      </c>
      <c r="AD353" t="s">
        <v>2830</v>
      </c>
      <c r="AE353" t="s">
        <v>2831</v>
      </c>
      <c r="AF353" t="s">
        <v>3788</v>
      </c>
      <c r="AG353" t="s">
        <v>3789</v>
      </c>
      <c r="AH353" t="s">
        <v>2834</v>
      </c>
      <c r="AI353" t="s">
        <v>2835</v>
      </c>
      <c r="AJ353" t="s">
        <v>2960</v>
      </c>
      <c r="AK353" t="s">
        <v>3325</v>
      </c>
      <c r="AL353" t="s">
        <v>3005</v>
      </c>
      <c r="AM353" t="s">
        <v>3039</v>
      </c>
      <c r="AN353" t="s">
        <v>2829</v>
      </c>
      <c r="AO353" t="s">
        <v>2839</v>
      </c>
      <c r="AP353" t="s">
        <v>2840</v>
      </c>
      <c r="AQ353" t="s">
        <v>2841</v>
      </c>
      <c r="AR353" t="s">
        <v>3790</v>
      </c>
      <c r="AS353" t="s">
        <v>3790</v>
      </c>
      <c r="AT353" t="s">
        <v>2829</v>
      </c>
      <c r="AU353" t="s">
        <v>2829</v>
      </c>
      <c r="AV353" t="s">
        <v>2829</v>
      </c>
      <c r="AW353" t="s">
        <v>2829</v>
      </c>
      <c r="AX353" t="s">
        <v>2829</v>
      </c>
      <c r="AY353" t="s">
        <v>2829</v>
      </c>
      <c r="AZ353" t="s">
        <v>2829</v>
      </c>
      <c r="BA353" t="s">
        <v>2829</v>
      </c>
      <c r="BB353" t="s">
        <v>2829</v>
      </c>
      <c r="BC353" t="s">
        <v>2829</v>
      </c>
      <c r="BD353" t="s">
        <v>3790</v>
      </c>
      <c r="BE353" t="s">
        <v>3790</v>
      </c>
      <c r="BF353" t="s">
        <v>243</v>
      </c>
      <c r="BG353" t="s">
        <v>243</v>
      </c>
      <c r="BH353" t="s">
        <v>243</v>
      </c>
      <c r="BI353" t="s">
        <v>243</v>
      </c>
      <c r="BJ353" t="s">
        <v>2829</v>
      </c>
      <c r="BK353" t="s">
        <v>243</v>
      </c>
      <c r="BL353" t="s">
        <v>243</v>
      </c>
      <c r="BM353" t="s">
        <v>243</v>
      </c>
      <c r="BN353" t="s">
        <v>243</v>
      </c>
      <c r="BO353" t="s">
        <v>243</v>
      </c>
      <c r="BP353" t="s">
        <v>2829</v>
      </c>
      <c r="BQ353" t="s">
        <v>243</v>
      </c>
      <c r="BR353" t="s">
        <v>243</v>
      </c>
      <c r="BS353" t="s">
        <v>243</v>
      </c>
      <c r="BT353" t="s">
        <v>243</v>
      </c>
      <c r="BU353" t="s">
        <v>243</v>
      </c>
      <c r="BV353" t="s">
        <v>2829</v>
      </c>
      <c r="BW353" t="s">
        <v>243</v>
      </c>
      <c r="BX353" t="s">
        <v>243</v>
      </c>
      <c r="BY353" t="s">
        <v>243</v>
      </c>
      <c r="BZ353" t="s">
        <v>243</v>
      </c>
      <c r="CA353" t="s">
        <v>243</v>
      </c>
      <c r="CB353" t="s">
        <v>2829</v>
      </c>
      <c r="CC353" t="s">
        <v>243</v>
      </c>
      <c r="CD353" t="s">
        <v>243</v>
      </c>
      <c r="CE353" t="s">
        <v>243</v>
      </c>
      <c r="CF353" t="s">
        <v>243</v>
      </c>
      <c r="CG353" t="s">
        <v>243</v>
      </c>
      <c r="CH353" t="s">
        <v>2829</v>
      </c>
      <c r="CI353" t="s">
        <v>243</v>
      </c>
      <c r="CJ353" t="s">
        <v>243</v>
      </c>
      <c r="CK353" t="s">
        <v>243</v>
      </c>
      <c r="CL353" t="s">
        <v>243</v>
      </c>
      <c r="CM353" t="s">
        <v>243</v>
      </c>
      <c r="CN353" t="s">
        <v>2960</v>
      </c>
      <c r="CO353" t="s">
        <v>2843</v>
      </c>
      <c r="CP353" t="s">
        <v>2844</v>
      </c>
      <c r="CQ353" t="s">
        <v>430</v>
      </c>
      <c r="CR353" t="s">
        <v>2845</v>
      </c>
      <c r="CS353" t="s">
        <v>431</v>
      </c>
      <c r="CT353" t="s">
        <v>430</v>
      </c>
      <c r="CU353" t="s">
        <v>2846</v>
      </c>
      <c r="CV353" t="s">
        <v>2847</v>
      </c>
      <c r="CW353" t="s">
        <v>2845</v>
      </c>
      <c r="CX353" t="s">
        <v>2848</v>
      </c>
      <c r="CY353" t="s">
        <v>3791</v>
      </c>
    </row>
    <row r="354" spans="1:103" ht="11.25" customHeight="1">
      <c r="A354" t="s">
        <v>243</v>
      </c>
      <c r="B354" t="s">
        <v>243</v>
      </c>
      <c r="C354" t="s">
        <v>243</v>
      </c>
      <c r="D354" t="s">
        <v>243</v>
      </c>
      <c r="E354" t="s">
        <v>243</v>
      </c>
      <c r="F354" t="s">
        <v>2816</v>
      </c>
      <c r="G354" t="s">
        <v>243</v>
      </c>
      <c r="H354" t="s">
        <v>243</v>
      </c>
      <c r="I354" t="s">
        <v>917</v>
      </c>
      <c r="J354" t="s">
        <v>243</v>
      </c>
      <c r="K354" t="s">
        <v>2818</v>
      </c>
      <c r="L354" t="s">
        <v>243</v>
      </c>
      <c r="M354" t="s">
        <v>114</v>
      </c>
      <c r="N354" t="s">
        <v>243</v>
      </c>
      <c r="O354" t="s">
        <v>2819</v>
      </c>
      <c r="P354" t="s">
        <v>4449</v>
      </c>
      <c r="Q354" t="s">
        <v>2821</v>
      </c>
      <c r="R354" t="s">
        <v>200</v>
      </c>
      <c r="S354" t="s">
        <v>200</v>
      </c>
      <c r="T354" t="s">
        <v>2822</v>
      </c>
      <c r="U354" t="s">
        <v>2822</v>
      </c>
      <c r="V354" t="s">
        <v>2823</v>
      </c>
      <c r="W354" t="s">
        <v>3190</v>
      </c>
      <c r="X354" t="s">
        <v>3191</v>
      </c>
      <c r="Y354" t="s">
        <v>3610</v>
      </c>
      <c r="Z354" t="s">
        <v>3874</v>
      </c>
      <c r="AA354" t="s">
        <v>3875</v>
      </c>
      <c r="AB354" t="s">
        <v>3876</v>
      </c>
      <c r="AC354" t="s">
        <v>2829</v>
      </c>
      <c r="AD354" t="s">
        <v>2830</v>
      </c>
      <c r="AE354" t="s">
        <v>2831</v>
      </c>
      <c r="AF354" t="s">
        <v>3877</v>
      </c>
      <c r="AG354" t="s">
        <v>2833</v>
      </c>
      <c r="AH354" t="s">
        <v>2834</v>
      </c>
      <c r="AI354" t="s">
        <v>2835</v>
      </c>
      <c r="AJ354" t="s">
        <v>2836</v>
      </c>
      <c r="AK354" t="s">
        <v>2837</v>
      </c>
      <c r="AL354" t="s">
        <v>3875</v>
      </c>
      <c r="AM354" t="s">
        <v>3217</v>
      </c>
      <c r="AN354" t="s">
        <v>2829</v>
      </c>
      <c r="AO354" t="s">
        <v>2839</v>
      </c>
      <c r="AP354" t="s">
        <v>2840</v>
      </c>
      <c r="AQ354" t="s">
        <v>2841</v>
      </c>
      <c r="AR354" t="s">
        <v>2842</v>
      </c>
      <c r="AS354" t="s">
        <v>2842</v>
      </c>
      <c r="AT354" t="s">
        <v>2829</v>
      </c>
      <c r="AU354" t="s">
        <v>2829</v>
      </c>
      <c r="AV354" t="s">
        <v>2829</v>
      </c>
      <c r="AW354" t="s">
        <v>2829</v>
      </c>
      <c r="AX354" t="s">
        <v>2829</v>
      </c>
      <c r="AY354" t="s">
        <v>2829</v>
      </c>
      <c r="AZ354" t="s">
        <v>2829</v>
      </c>
      <c r="BA354" t="s">
        <v>2829</v>
      </c>
      <c r="BB354" t="s">
        <v>2829</v>
      </c>
      <c r="BC354" t="s">
        <v>2829</v>
      </c>
      <c r="BD354" t="s">
        <v>2842</v>
      </c>
      <c r="BE354" t="s">
        <v>2842</v>
      </c>
      <c r="BF354" t="s">
        <v>243</v>
      </c>
      <c r="BG354" t="s">
        <v>243</v>
      </c>
      <c r="BH354" t="s">
        <v>243</v>
      </c>
      <c r="BI354" t="s">
        <v>243</v>
      </c>
      <c r="BJ354" t="s">
        <v>2829</v>
      </c>
      <c r="BK354" t="s">
        <v>243</v>
      </c>
      <c r="BL354" t="s">
        <v>243</v>
      </c>
      <c r="BM354" t="s">
        <v>243</v>
      </c>
      <c r="BN354" t="s">
        <v>243</v>
      </c>
      <c r="BO354" t="s">
        <v>243</v>
      </c>
      <c r="BP354" t="s">
        <v>2829</v>
      </c>
      <c r="BQ354" t="s">
        <v>243</v>
      </c>
      <c r="BR354" t="s">
        <v>243</v>
      </c>
      <c r="BS354" t="s">
        <v>243</v>
      </c>
      <c r="BT354" t="s">
        <v>243</v>
      </c>
      <c r="BU354" t="s">
        <v>243</v>
      </c>
      <c r="BV354" t="s">
        <v>2829</v>
      </c>
      <c r="BW354" t="s">
        <v>243</v>
      </c>
      <c r="BX354" t="s">
        <v>243</v>
      </c>
      <c r="BY354" t="s">
        <v>243</v>
      </c>
      <c r="BZ354" t="s">
        <v>243</v>
      </c>
      <c r="CA354" t="s">
        <v>243</v>
      </c>
      <c r="CB354" t="s">
        <v>2829</v>
      </c>
      <c r="CC354" t="s">
        <v>243</v>
      </c>
      <c r="CD354" t="s">
        <v>243</v>
      </c>
      <c r="CE354" t="s">
        <v>243</v>
      </c>
      <c r="CF354" t="s">
        <v>243</v>
      </c>
      <c r="CG354" t="s">
        <v>243</v>
      </c>
      <c r="CH354" t="s">
        <v>2829</v>
      </c>
      <c r="CI354" t="s">
        <v>243</v>
      </c>
      <c r="CJ354" t="s">
        <v>243</v>
      </c>
      <c r="CK354" t="s">
        <v>243</v>
      </c>
      <c r="CL354" t="s">
        <v>243</v>
      </c>
      <c r="CM354" t="s">
        <v>243</v>
      </c>
      <c r="CN354" t="s">
        <v>2836</v>
      </c>
      <c r="CO354" t="s">
        <v>2843</v>
      </c>
      <c r="CP354" t="s">
        <v>2844</v>
      </c>
      <c r="CQ354" t="s">
        <v>430</v>
      </c>
      <c r="CR354" t="s">
        <v>2845</v>
      </c>
      <c r="CS354" t="s">
        <v>431</v>
      </c>
      <c r="CT354" t="s">
        <v>430</v>
      </c>
      <c r="CU354" t="s">
        <v>2846</v>
      </c>
      <c r="CV354" t="s">
        <v>2847</v>
      </c>
      <c r="CW354" t="s">
        <v>2845</v>
      </c>
      <c r="CX354" t="s">
        <v>2848</v>
      </c>
      <c r="CY354" t="s">
        <v>3878</v>
      </c>
    </row>
    <row r="355" spans="1:103" ht="11.25" customHeight="1">
      <c r="A355" t="s">
        <v>243</v>
      </c>
      <c r="B355" t="s">
        <v>243</v>
      </c>
      <c r="C355" t="s">
        <v>243</v>
      </c>
      <c r="D355" t="s">
        <v>243</v>
      </c>
      <c r="E355" t="s">
        <v>243</v>
      </c>
      <c r="F355" t="s">
        <v>2816</v>
      </c>
      <c r="G355" t="s">
        <v>243</v>
      </c>
      <c r="H355" t="s">
        <v>243</v>
      </c>
      <c r="I355" t="s">
        <v>3319</v>
      </c>
      <c r="J355" t="s">
        <v>243</v>
      </c>
      <c r="K355" t="s">
        <v>3320</v>
      </c>
      <c r="L355" t="s">
        <v>243</v>
      </c>
      <c r="M355" t="s">
        <v>114</v>
      </c>
      <c r="N355" t="s">
        <v>243</v>
      </c>
      <c r="O355" t="s">
        <v>2819</v>
      </c>
      <c r="P355" t="s">
        <v>4449</v>
      </c>
      <c r="Q355" t="s">
        <v>2821</v>
      </c>
      <c r="R355" t="s">
        <v>200</v>
      </c>
      <c r="S355" t="s">
        <v>200</v>
      </c>
      <c r="T355" t="s">
        <v>3048</v>
      </c>
      <c r="U355" t="s">
        <v>3048</v>
      </c>
      <c r="V355" t="s">
        <v>3049</v>
      </c>
      <c r="W355" t="s">
        <v>3050</v>
      </c>
      <c r="X355" t="s">
        <v>3051</v>
      </c>
      <c r="Y355" t="s">
        <v>3321</v>
      </c>
      <c r="Z355" t="s">
        <v>3322</v>
      </c>
      <c r="AA355" t="s">
        <v>3323</v>
      </c>
      <c r="AB355" t="s">
        <v>3324</v>
      </c>
      <c r="AC355" t="s">
        <v>2829</v>
      </c>
      <c r="AD355" t="s">
        <v>2883</v>
      </c>
      <c r="AE355" t="s">
        <v>2831</v>
      </c>
      <c r="AF355" t="s">
        <v>3055</v>
      </c>
      <c r="AG355" t="s">
        <v>3055</v>
      </c>
      <c r="AH355" t="s">
        <v>2834</v>
      </c>
      <c r="AI355" t="s">
        <v>2835</v>
      </c>
      <c r="AJ355" t="s">
        <v>3030</v>
      </c>
      <c r="AK355" t="s">
        <v>3325</v>
      </c>
      <c r="AL355" t="s">
        <v>3323</v>
      </c>
      <c r="AM355" t="s">
        <v>3324</v>
      </c>
      <c r="AN355" t="s">
        <v>2829</v>
      </c>
      <c r="AO355" t="s">
        <v>2839</v>
      </c>
      <c r="AP355" t="s">
        <v>2840</v>
      </c>
      <c r="AQ355" t="s">
        <v>2841</v>
      </c>
      <c r="AR355" t="s">
        <v>3326</v>
      </c>
      <c r="AS355" t="s">
        <v>3326</v>
      </c>
      <c r="AT355" t="s">
        <v>2829</v>
      </c>
      <c r="AU355" t="s">
        <v>2829</v>
      </c>
      <c r="AV355" t="s">
        <v>2829</v>
      </c>
      <c r="AW355" t="s">
        <v>2829</v>
      </c>
      <c r="AX355" t="s">
        <v>2829</v>
      </c>
      <c r="AY355" t="s">
        <v>2829</v>
      </c>
      <c r="AZ355" t="s">
        <v>2829</v>
      </c>
      <c r="BA355" t="s">
        <v>2829</v>
      </c>
      <c r="BB355" t="s">
        <v>2829</v>
      </c>
      <c r="BC355" t="s">
        <v>2829</v>
      </c>
      <c r="BD355" t="s">
        <v>3326</v>
      </c>
      <c r="BE355" t="s">
        <v>3326</v>
      </c>
      <c r="BF355" t="s">
        <v>243</v>
      </c>
      <c r="BG355" t="s">
        <v>243</v>
      </c>
      <c r="BH355" t="s">
        <v>243</v>
      </c>
      <c r="BI355" t="s">
        <v>243</v>
      </c>
      <c r="BJ355" t="s">
        <v>2829</v>
      </c>
      <c r="BK355" t="s">
        <v>243</v>
      </c>
      <c r="BL355" t="s">
        <v>243</v>
      </c>
      <c r="BM355" t="s">
        <v>243</v>
      </c>
      <c r="BN355" t="s">
        <v>243</v>
      </c>
      <c r="BO355" t="s">
        <v>243</v>
      </c>
      <c r="BP355" t="s">
        <v>2829</v>
      </c>
      <c r="BQ355" t="s">
        <v>243</v>
      </c>
      <c r="BR355" t="s">
        <v>243</v>
      </c>
      <c r="BS355" t="s">
        <v>243</v>
      </c>
      <c r="BT355" t="s">
        <v>243</v>
      </c>
      <c r="BU355" t="s">
        <v>243</v>
      </c>
      <c r="BV355" t="s">
        <v>2829</v>
      </c>
      <c r="BW355" t="s">
        <v>243</v>
      </c>
      <c r="BX355" t="s">
        <v>243</v>
      </c>
      <c r="BY355" t="s">
        <v>243</v>
      </c>
      <c r="BZ355" t="s">
        <v>243</v>
      </c>
      <c r="CA355" t="s">
        <v>243</v>
      </c>
      <c r="CB355" t="s">
        <v>2829</v>
      </c>
      <c r="CC355" t="s">
        <v>243</v>
      </c>
      <c r="CD355" t="s">
        <v>243</v>
      </c>
      <c r="CE355" t="s">
        <v>243</v>
      </c>
      <c r="CF355" t="s">
        <v>243</v>
      </c>
      <c r="CG355" t="s">
        <v>243</v>
      </c>
      <c r="CH355" t="s">
        <v>2829</v>
      </c>
      <c r="CI355" t="s">
        <v>243</v>
      </c>
      <c r="CJ355" t="s">
        <v>243</v>
      </c>
      <c r="CK355" t="s">
        <v>243</v>
      </c>
      <c r="CL355" t="s">
        <v>243</v>
      </c>
      <c r="CM355" t="s">
        <v>243</v>
      </c>
      <c r="CN355" t="s">
        <v>3150</v>
      </c>
      <c r="CO355" t="s">
        <v>2843</v>
      </c>
      <c r="CP355" t="s">
        <v>2844</v>
      </c>
      <c r="CQ355" t="s">
        <v>430</v>
      </c>
      <c r="CR355" t="s">
        <v>2872</v>
      </c>
      <c r="CS355" t="s">
        <v>431</v>
      </c>
      <c r="CT355" t="s">
        <v>430</v>
      </c>
      <c r="CU355" t="s">
        <v>3061</v>
      </c>
      <c r="CV355" t="s">
        <v>3062</v>
      </c>
      <c r="CW355" t="s">
        <v>2872</v>
      </c>
      <c r="CX355" t="s">
        <v>2848</v>
      </c>
      <c r="CY355" t="s">
        <v>3327</v>
      </c>
    </row>
    <row r="356" spans="1:103" ht="11.25" customHeight="1">
      <c r="A356" t="s">
        <v>243</v>
      </c>
      <c r="B356" t="s">
        <v>243</v>
      </c>
      <c r="C356" t="s">
        <v>243</v>
      </c>
      <c r="D356" t="s">
        <v>243</v>
      </c>
      <c r="E356" t="s">
        <v>243</v>
      </c>
      <c r="F356" t="s">
        <v>2816</v>
      </c>
      <c r="G356" t="s">
        <v>243</v>
      </c>
      <c r="H356" t="s">
        <v>243</v>
      </c>
      <c r="I356" t="s">
        <v>3328</v>
      </c>
      <c r="J356" t="s">
        <v>243</v>
      </c>
      <c r="K356" t="s">
        <v>3329</v>
      </c>
      <c r="L356" t="s">
        <v>243</v>
      </c>
      <c r="M356" t="s">
        <v>114</v>
      </c>
      <c r="N356" t="s">
        <v>243</v>
      </c>
      <c r="O356" t="s">
        <v>2819</v>
      </c>
      <c r="P356" t="s">
        <v>4449</v>
      </c>
      <c r="Q356" t="s">
        <v>2821</v>
      </c>
      <c r="R356" t="s">
        <v>200</v>
      </c>
      <c r="S356" t="s">
        <v>200</v>
      </c>
      <c r="T356" t="s">
        <v>3048</v>
      </c>
      <c r="U356" t="s">
        <v>3048</v>
      </c>
      <c r="V356" t="s">
        <v>3049</v>
      </c>
      <c r="W356" t="s">
        <v>3050</v>
      </c>
      <c r="X356" t="s">
        <v>3051</v>
      </c>
      <c r="Y356" t="s">
        <v>3330</v>
      </c>
      <c r="Z356" t="s">
        <v>1776</v>
      </c>
      <c r="AA356" t="s">
        <v>3331</v>
      </c>
      <c r="AB356" t="s">
        <v>3332</v>
      </c>
      <c r="AC356" t="s">
        <v>2829</v>
      </c>
      <c r="AD356" t="s">
        <v>2883</v>
      </c>
      <c r="AE356" t="s">
        <v>2831</v>
      </c>
      <c r="AF356" t="s">
        <v>3055</v>
      </c>
      <c r="AG356" t="s">
        <v>3055</v>
      </c>
      <c r="AH356" t="s">
        <v>2834</v>
      </c>
      <c r="AI356" t="s">
        <v>2835</v>
      </c>
      <c r="AJ356" t="s">
        <v>3184</v>
      </c>
      <c r="AK356" t="s">
        <v>3325</v>
      </c>
      <c r="AL356" t="s">
        <v>3331</v>
      </c>
      <c r="AM356" t="s">
        <v>3332</v>
      </c>
      <c r="AN356" t="s">
        <v>2829</v>
      </c>
      <c r="AO356" t="s">
        <v>2839</v>
      </c>
      <c r="AP356" t="s">
        <v>2840</v>
      </c>
      <c r="AQ356" t="s">
        <v>2841</v>
      </c>
      <c r="AR356" t="s">
        <v>3333</v>
      </c>
      <c r="AS356" t="s">
        <v>3333</v>
      </c>
      <c r="AT356" t="s">
        <v>2829</v>
      </c>
      <c r="AU356" t="s">
        <v>2829</v>
      </c>
      <c r="AV356" t="s">
        <v>2829</v>
      </c>
      <c r="AW356" t="s">
        <v>2829</v>
      </c>
      <c r="AX356" t="s">
        <v>2829</v>
      </c>
      <c r="AY356" t="s">
        <v>2829</v>
      </c>
      <c r="AZ356" t="s">
        <v>2829</v>
      </c>
      <c r="BA356" t="s">
        <v>2829</v>
      </c>
      <c r="BB356" t="s">
        <v>2829</v>
      </c>
      <c r="BC356" t="s">
        <v>2829</v>
      </c>
      <c r="BD356" t="s">
        <v>3333</v>
      </c>
      <c r="BE356" t="s">
        <v>3333</v>
      </c>
      <c r="BF356" t="s">
        <v>243</v>
      </c>
      <c r="BG356" t="s">
        <v>243</v>
      </c>
      <c r="BH356" t="s">
        <v>243</v>
      </c>
      <c r="BI356" t="s">
        <v>243</v>
      </c>
      <c r="BJ356" t="s">
        <v>2829</v>
      </c>
      <c r="BK356" t="s">
        <v>243</v>
      </c>
      <c r="BL356" t="s">
        <v>243</v>
      </c>
      <c r="BM356" t="s">
        <v>243</v>
      </c>
      <c r="BN356" t="s">
        <v>243</v>
      </c>
      <c r="BO356" t="s">
        <v>243</v>
      </c>
      <c r="BP356" t="s">
        <v>2829</v>
      </c>
      <c r="BQ356" t="s">
        <v>243</v>
      </c>
      <c r="BR356" t="s">
        <v>243</v>
      </c>
      <c r="BS356" t="s">
        <v>243</v>
      </c>
      <c r="BT356" t="s">
        <v>243</v>
      </c>
      <c r="BU356" t="s">
        <v>243</v>
      </c>
      <c r="BV356" t="s">
        <v>2829</v>
      </c>
      <c r="BW356" t="s">
        <v>243</v>
      </c>
      <c r="BX356" t="s">
        <v>243</v>
      </c>
      <c r="BY356" t="s">
        <v>243</v>
      </c>
      <c r="BZ356" t="s">
        <v>243</v>
      </c>
      <c r="CA356" t="s">
        <v>243</v>
      </c>
      <c r="CB356" t="s">
        <v>2829</v>
      </c>
      <c r="CC356" t="s">
        <v>243</v>
      </c>
      <c r="CD356" t="s">
        <v>243</v>
      </c>
      <c r="CE356" t="s">
        <v>243</v>
      </c>
      <c r="CF356" t="s">
        <v>243</v>
      </c>
      <c r="CG356" t="s">
        <v>243</v>
      </c>
      <c r="CH356" t="s">
        <v>2829</v>
      </c>
      <c r="CI356" t="s">
        <v>243</v>
      </c>
      <c r="CJ356" t="s">
        <v>243</v>
      </c>
      <c r="CK356" t="s">
        <v>243</v>
      </c>
      <c r="CL356" t="s">
        <v>243</v>
      </c>
      <c r="CM356" t="s">
        <v>243</v>
      </c>
      <c r="CN356" t="s">
        <v>3334</v>
      </c>
      <c r="CO356" t="s">
        <v>2843</v>
      </c>
      <c r="CP356" t="s">
        <v>2844</v>
      </c>
      <c r="CQ356" t="s">
        <v>430</v>
      </c>
      <c r="CR356" t="s">
        <v>2872</v>
      </c>
      <c r="CS356" t="s">
        <v>431</v>
      </c>
      <c r="CT356" t="s">
        <v>430</v>
      </c>
      <c r="CU356" t="s">
        <v>3061</v>
      </c>
      <c r="CV356" t="s">
        <v>3062</v>
      </c>
      <c r="CW356" t="s">
        <v>2872</v>
      </c>
      <c r="CX356" t="s">
        <v>2848</v>
      </c>
      <c r="CY356" t="s">
        <v>3335</v>
      </c>
    </row>
    <row r="357" spans="1:103" ht="11.25" customHeight="1">
      <c r="A357" t="s">
        <v>243</v>
      </c>
      <c r="B357" t="s">
        <v>243</v>
      </c>
      <c r="C357" t="s">
        <v>243</v>
      </c>
      <c r="D357" t="s">
        <v>243</v>
      </c>
      <c r="E357" t="s">
        <v>243</v>
      </c>
      <c r="F357" t="s">
        <v>2816</v>
      </c>
      <c r="G357" t="s">
        <v>243</v>
      </c>
      <c r="H357" t="s">
        <v>243</v>
      </c>
      <c r="I357" t="s">
        <v>3967</v>
      </c>
      <c r="J357" t="s">
        <v>243</v>
      </c>
      <c r="K357" t="s">
        <v>428</v>
      </c>
      <c r="L357" t="s">
        <v>243</v>
      </c>
      <c r="M357" t="s">
        <v>114</v>
      </c>
      <c r="N357" t="s">
        <v>243</v>
      </c>
      <c r="O357" t="s">
        <v>2819</v>
      </c>
      <c r="P357" t="s">
        <v>4449</v>
      </c>
      <c r="Q357" t="s">
        <v>2821</v>
      </c>
      <c r="R357" t="s">
        <v>200</v>
      </c>
      <c r="S357" t="s">
        <v>200</v>
      </c>
      <c r="T357" t="s">
        <v>2822</v>
      </c>
      <c r="U357" t="s">
        <v>2822</v>
      </c>
      <c r="V357" t="s">
        <v>2823</v>
      </c>
      <c r="W357" t="s">
        <v>3968</v>
      </c>
      <c r="X357" t="s">
        <v>3969</v>
      </c>
      <c r="Y357" t="s">
        <v>3970</v>
      </c>
      <c r="Z357" t="s">
        <v>3202</v>
      </c>
      <c r="AA357" t="s">
        <v>3971</v>
      </c>
      <c r="AB357" t="s">
        <v>3972</v>
      </c>
      <c r="AC357" t="s">
        <v>2829</v>
      </c>
      <c r="AD357" t="s">
        <v>2830</v>
      </c>
      <c r="AE357" t="s">
        <v>2831</v>
      </c>
      <c r="AF357" t="s">
        <v>3973</v>
      </c>
      <c r="AG357" t="s">
        <v>3974</v>
      </c>
      <c r="AH357" t="s">
        <v>2834</v>
      </c>
      <c r="AI357" t="s">
        <v>2887</v>
      </c>
      <c r="AJ357" t="s">
        <v>2960</v>
      </c>
      <c r="AK357" t="s">
        <v>3975</v>
      </c>
      <c r="AL357" t="s">
        <v>3971</v>
      </c>
      <c r="AM357" t="s">
        <v>3976</v>
      </c>
      <c r="AN357" t="s">
        <v>2829</v>
      </c>
      <c r="AO357" t="s">
        <v>2839</v>
      </c>
      <c r="AP357" t="s">
        <v>2840</v>
      </c>
      <c r="AQ357" t="s">
        <v>2841</v>
      </c>
      <c r="AR357" t="s">
        <v>3977</v>
      </c>
      <c r="AS357" t="s">
        <v>3978</v>
      </c>
      <c r="AT357" t="s">
        <v>3393</v>
      </c>
      <c r="AU357" t="s">
        <v>2829</v>
      </c>
      <c r="AV357" t="s">
        <v>2829</v>
      </c>
      <c r="AW357" t="s">
        <v>2829</v>
      </c>
      <c r="AX357" t="s">
        <v>2829</v>
      </c>
      <c r="AY357" t="s">
        <v>2829</v>
      </c>
      <c r="AZ357" t="s">
        <v>2829</v>
      </c>
      <c r="BA357" t="s">
        <v>2829</v>
      </c>
      <c r="BB357" t="s">
        <v>2829</v>
      </c>
      <c r="BC357" t="s">
        <v>2829</v>
      </c>
      <c r="BD357" t="s">
        <v>3979</v>
      </c>
      <c r="BE357" t="s">
        <v>3980</v>
      </c>
      <c r="BF357" t="s">
        <v>3393</v>
      </c>
      <c r="BG357" t="s">
        <v>243</v>
      </c>
      <c r="BH357" t="s">
        <v>243</v>
      </c>
      <c r="BI357" t="s">
        <v>243</v>
      </c>
      <c r="BJ357" t="s">
        <v>2829</v>
      </c>
      <c r="BK357" t="s">
        <v>243</v>
      </c>
      <c r="BL357" t="s">
        <v>243</v>
      </c>
      <c r="BM357" t="s">
        <v>243</v>
      </c>
      <c r="BN357" t="s">
        <v>243</v>
      </c>
      <c r="BO357" t="s">
        <v>243</v>
      </c>
      <c r="BP357" t="s">
        <v>3981</v>
      </c>
      <c r="BQ357" t="s">
        <v>3981</v>
      </c>
      <c r="BR357" t="s">
        <v>243</v>
      </c>
      <c r="BS357" t="s">
        <v>243</v>
      </c>
      <c r="BT357" t="s">
        <v>243</v>
      </c>
      <c r="BU357" t="s">
        <v>243</v>
      </c>
      <c r="BV357" t="s">
        <v>2829</v>
      </c>
      <c r="BW357" t="s">
        <v>243</v>
      </c>
      <c r="BX357" t="s">
        <v>243</v>
      </c>
      <c r="BY357" t="s">
        <v>243</v>
      </c>
      <c r="BZ357" t="s">
        <v>243</v>
      </c>
      <c r="CA357" t="s">
        <v>243</v>
      </c>
      <c r="CB357" t="s">
        <v>2829</v>
      </c>
      <c r="CC357" t="s">
        <v>243</v>
      </c>
      <c r="CD357" t="s">
        <v>243</v>
      </c>
      <c r="CE357" t="s">
        <v>243</v>
      </c>
      <c r="CF357" t="s">
        <v>243</v>
      </c>
      <c r="CG357" t="s">
        <v>243</v>
      </c>
      <c r="CH357" t="s">
        <v>2829</v>
      </c>
      <c r="CI357" t="s">
        <v>243</v>
      </c>
      <c r="CJ357" t="s">
        <v>243</v>
      </c>
      <c r="CK357" t="s">
        <v>243</v>
      </c>
      <c r="CL357" t="s">
        <v>243</v>
      </c>
      <c r="CM357" t="s">
        <v>243</v>
      </c>
      <c r="CN357" t="s">
        <v>2960</v>
      </c>
      <c r="CO357" t="s">
        <v>2843</v>
      </c>
      <c r="CP357" t="s">
        <v>2844</v>
      </c>
      <c r="CQ357" t="s">
        <v>430</v>
      </c>
      <c r="CR357" t="s">
        <v>2845</v>
      </c>
      <c r="CS357" t="s">
        <v>431</v>
      </c>
      <c r="CT357" t="s">
        <v>430</v>
      </c>
      <c r="CU357" t="s">
        <v>2846</v>
      </c>
      <c r="CV357" t="s">
        <v>2847</v>
      </c>
      <c r="CW357" t="s">
        <v>2845</v>
      </c>
      <c r="CX357" t="s">
        <v>2848</v>
      </c>
      <c r="CY357" t="s">
        <v>3982</v>
      </c>
    </row>
    <row r="358" spans="1:103" ht="11.25" customHeight="1">
      <c r="A358" t="s">
        <v>243</v>
      </c>
      <c r="B358" t="s">
        <v>243</v>
      </c>
      <c r="C358" t="s">
        <v>243</v>
      </c>
      <c r="D358" t="s">
        <v>243</v>
      </c>
      <c r="E358" t="s">
        <v>243</v>
      </c>
      <c r="F358" t="s">
        <v>2816</v>
      </c>
      <c r="G358" t="s">
        <v>243</v>
      </c>
      <c r="H358" t="s">
        <v>243</v>
      </c>
      <c r="I358" t="s">
        <v>3983</v>
      </c>
      <c r="J358" t="s">
        <v>243</v>
      </c>
      <c r="K358" t="s">
        <v>452</v>
      </c>
      <c r="L358" t="s">
        <v>243</v>
      </c>
      <c r="M358" t="s">
        <v>114</v>
      </c>
      <c r="N358" t="s">
        <v>243</v>
      </c>
      <c r="O358" t="s">
        <v>2819</v>
      </c>
      <c r="P358" t="s">
        <v>4449</v>
      </c>
      <c r="Q358" t="s">
        <v>2821</v>
      </c>
      <c r="R358" t="s">
        <v>200</v>
      </c>
      <c r="S358" t="s">
        <v>200</v>
      </c>
      <c r="T358" t="s">
        <v>2822</v>
      </c>
      <c r="U358" t="s">
        <v>2822</v>
      </c>
      <c r="V358" t="s">
        <v>2823</v>
      </c>
      <c r="W358" t="s">
        <v>3968</v>
      </c>
      <c r="X358" t="s">
        <v>3969</v>
      </c>
      <c r="Y358" t="s">
        <v>3984</v>
      </c>
      <c r="Z358" t="s">
        <v>2972</v>
      </c>
      <c r="AA358" t="s">
        <v>3798</v>
      </c>
      <c r="AB358" t="s">
        <v>3985</v>
      </c>
      <c r="AC358" t="s">
        <v>2829</v>
      </c>
      <c r="AD358" t="s">
        <v>2830</v>
      </c>
      <c r="AE358" t="s">
        <v>2831</v>
      </c>
      <c r="AF358" t="s">
        <v>3986</v>
      </c>
      <c r="AG358" t="s">
        <v>3987</v>
      </c>
      <c r="AH358" t="s">
        <v>2834</v>
      </c>
      <c r="AI358" t="s">
        <v>2835</v>
      </c>
      <c r="AJ358" t="s">
        <v>2960</v>
      </c>
      <c r="AK358" t="s">
        <v>3673</v>
      </c>
      <c r="AL358" t="s">
        <v>3798</v>
      </c>
      <c r="AM358" t="s">
        <v>3988</v>
      </c>
      <c r="AN358" t="s">
        <v>2829</v>
      </c>
      <c r="AO358" t="s">
        <v>2839</v>
      </c>
      <c r="AP358" t="s">
        <v>2840</v>
      </c>
      <c r="AQ358" t="s">
        <v>2841</v>
      </c>
      <c r="AR358" t="s">
        <v>3989</v>
      </c>
      <c r="AS358" t="s">
        <v>3989</v>
      </c>
      <c r="AT358" t="s">
        <v>2829</v>
      </c>
      <c r="AU358" t="s">
        <v>2829</v>
      </c>
      <c r="AV358" t="s">
        <v>2829</v>
      </c>
      <c r="AW358" t="s">
        <v>2829</v>
      </c>
      <c r="AX358" t="s">
        <v>2829</v>
      </c>
      <c r="AY358" t="s">
        <v>2829</v>
      </c>
      <c r="AZ358" t="s">
        <v>2829</v>
      </c>
      <c r="BA358" t="s">
        <v>2829</v>
      </c>
      <c r="BB358" t="s">
        <v>2829</v>
      </c>
      <c r="BC358" t="s">
        <v>2829</v>
      </c>
      <c r="BD358" t="s">
        <v>3989</v>
      </c>
      <c r="BE358" t="s">
        <v>3989</v>
      </c>
      <c r="BF358" t="s">
        <v>243</v>
      </c>
      <c r="BG358" t="s">
        <v>243</v>
      </c>
      <c r="BH358" t="s">
        <v>243</v>
      </c>
      <c r="BI358" t="s">
        <v>243</v>
      </c>
      <c r="BJ358" t="s">
        <v>2829</v>
      </c>
      <c r="BK358" t="s">
        <v>243</v>
      </c>
      <c r="BL358" t="s">
        <v>243</v>
      </c>
      <c r="BM358" t="s">
        <v>243</v>
      </c>
      <c r="BN358" t="s">
        <v>243</v>
      </c>
      <c r="BO358" t="s">
        <v>243</v>
      </c>
      <c r="BP358" t="s">
        <v>2829</v>
      </c>
      <c r="BQ358" t="s">
        <v>243</v>
      </c>
      <c r="BR358" t="s">
        <v>243</v>
      </c>
      <c r="BS358" t="s">
        <v>243</v>
      </c>
      <c r="BT358" t="s">
        <v>243</v>
      </c>
      <c r="BU358" t="s">
        <v>243</v>
      </c>
      <c r="BV358" t="s">
        <v>2829</v>
      </c>
      <c r="BW358" t="s">
        <v>243</v>
      </c>
      <c r="BX358" t="s">
        <v>243</v>
      </c>
      <c r="BY358" t="s">
        <v>243</v>
      </c>
      <c r="BZ358" t="s">
        <v>243</v>
      </c>
      <c r="CA358" t="s">
        <v>243</v>
      </c>
      <c r="CB358" t="s">
        <v>2829</v>
      </c>
      <c r="CC358" t="s">
        <v>243</v>
      </c>
      <c r="CD358" t="s">
        <v>243</v>
      </c>
      <c r="CE358" t="s">
        <v>243</v>
      </c>
      <c r="CF358" t="s">
        <v>243</v>
      </c>
      <c r="CG358" t="s">
        <v>243</v>
      </c>
      <c r="CH358" t="s">
        <v>2829</v>
      </c>
      <c r="CI358" t="s">
        <v>243</v>
      </c>
      <c r="CJ358" t="s">
        <v>243</v>
      </c>
      <c r="CK358" t="s">
        <v>243</v>
      </c>
      <c r="CL358" t="s">
        <v>243</v>
      </c>
      <c r="CM358" t="s">
        <v>243</v>
      </c>
      <c r="CN358" t="s">
        <v>2960</v>
      </c>
      <c r="CO358" t="s">
        <v>2843</v>
      </c>
      <c r="CP358" t="s">
        <v>2844</v>
      </c>
      <c r="CQ358" t="s">
        <v>430</v>
      </c>
      <c r="CR358" t="s">
        <v>2845</v>
      </c>
      <c r="CS358" t="s">
        <v>431</v>
      </c>
      <c r="CT358" t="s">
        <v>430</v>
      </c>
      <c r="CU358" t="s">
        <v>2846</v>
      </c>
      <c r="CV358" t="s">
        <v>2847</v>
      </c>
      <c r="CW358" t="s">
        <v>2845</v>
      </c>
      <c r="CX358" t="s">
        <v>2848</v>
      </c>
      <c r="CY358" t="s">
        <v>3990</v>
      </c>
    </row>
    <row r="359" spans="1:103" ht="11.25" customHeight="1">
      <c r="A359" t="s">
        <v>243</v>
      </c>
      <c r="B359" t="s">
        <v>243</v>
      </c>
      <c r="C359" t="s">
        <v>243</v>
      </c>
      <c r="D359" t="s">
        <v>243</v>
      </c>
      <c r="E359" t="s">
        <v>243</v>
      </c>
      <c r="F359" t="s">
        <v>2816</v>
      </c>
      <c r="G359" t="s">
        <v>243</v>
      </c>
      <c r="H359" t="s">
        <v>243</v>
      </c>
      <c r="I359" t="s">
        <v>923</v>
      </c>
      <c r="J359" t="s">
        <v>243</v>
      </c>
      <c r="K359" t="s">
        <v>2818</v>
      </c>
      <c r="L359" t="s">
        <v>243</v>
      </c>
      <c r="M359" t="s">
        <v>114</v>
      </c>
      <c r="N359" t="s">
        <v>243</v>
      </c>
      <c r="O359" t="s">
        <v>2819</v>
      </c>
      <c r="P359" t="s">
        <v>4449</v>
      </c>
      <c r="Q359" t="s">
        <v>2821</v>
      </c>
      <c r="R359" t="s">
        <v>200</v>
      </c>
      <c r="S359" t="s">
        <v>200</v>
      </c>
      <c r="T359" t="s">
        <v>2822</v>
      </c>
      <c r="U359" t="s">
        <v>2822</v>
      </c>
      <c r="V359" t="s">
        <v>2823</v>
      </c>
      <c r="W359" t="s">
        <v>4080</v>
      </c>
      <c r="X359" t="s">
        <v>4081</v>
      </c>
      <c r="Y359" t="s">
        <v>2913</v>
      </c>
      <c r="Z359" t="s">
        <v>4191</v>
      </c>
      <c r="AA359" t="s">
        <v>2855</v>
      </c>
      <c r="AB359" t="s">
        <v>3876</v>
      </c>
      <c r="AC359" t="s">
        <v>2829</v>
      </c>
      <c r="AD359" t="s">
        <v>2830</v>
      </c>
      <c r="AE359" t="s">
        <v>2831</v>
      </c>
      <c r="AF359" t="s">
        <v>4192</v>
      </c>
      <c r="AG359" t="s">
        <v>2833</v>
      </c>
      <c r="AH359" t="s">
        <v>2834</v>
      </c>
      <c r="AI359" t="s">
        <v>2835</v>
      </c>
      <c r="AJ359" t="s">
        <v>2836</v>
      </c>
      <c r="AK359" t="s">
        <v>2837</v>
      </c>
      <c r="AL359" t="s">
        <v>2855</v>
      </c>
      <c r="AM359" t="s">
        <v>2838</v>
      </c>
      <c r="AN359" t="s">
        <v>2829</v>
      </c>
      <c r="AO359" t="s">
        <v>2839</v>
      </c>
      <c r="AP359" t="s">
        <v>2840</v>
      </c>
      <c r="AQ359" t="s">
        <v>2841</v>
      </c>
      <c r="AR359" t="s">
        <v>2842</v>
      </c>
      <c r="AS359" t="s">
        <v>2842</v>
      </c>
      <c r="AT359" t="s">
        <v>2829</v>
      </c>
      <c r="AU359" t="s">
        <v>2829</v>
      </c>
      <c r="AV359" t="s">
        <v>2829</v>
      </c>
      <c r="AW359" t="s">
        <v>2829</v>
      </c>
      <c r="AX359" t="s">
        <v>2829</v>
      </c>
      <c r="AY359" t="s">
        <v>2829</v>
      </c>
      <c r="AZ359" t="s">
        <v>2829</v>
      </c>
      <c r="BA359" t="s">
        <v>2829</v>
      </c>
      <c r="BB359" t="s">
        <v>2829</v>
      </c>
      <c r="BC359" t="s">
        <v>2829</v>
      </c>
      <c r="BD359" t="s">
        <v>2842</v>
      </c>
      <c r="BE359" t="s">
        <v>2842</v>
      </c>
      <c r="BF359" t="s">
        <v>243</v>
      </c>
      <c r="BG359" t="s">
        <v>243</v>
      </c>
      <c r="BH359" t="s">
        <v>243</v>
      </c>
      <c r="BI359" t="s">
        <v>243</v>
      </c>
      <c r="BJ359" t="s">
        <v>2829</v>
      </c>
      <c r="BK359" t="s">
        <v>243</v>
      </c>
      <c r="BL359" t="s">
        <v>243</v>
      </c>
      <c r="BM359" t="s">
        <v>243</v>
      </c>
      <c r="BN359" t="s">
        <v>243</v>
      </c>
      <c r="BO359" t="s">
        <v>243</v>
      </c>
      <c r="BP359" t="s">
        <v>2829</v>
      </c>
      <c r="BQ359" t="s">
        <v>243</v>
      </c>
      <c r="BR359" t="s">
        <v>243</v>
      </c>
      <c r="BS359" t="s">
        <v>243</v>
      </c>
      <c r="BT359" t="s">
        <v>243</v>
      </c>
      <c r="BU359" t="s">
        <v>243</v>
      </c>
      <c r="BV359" t="s">
        <v>2829</v>
      </c>
      <c r="BW359" t="s">
        <v>243</v>
      </c>
      <c r="BX359" t="s">
        <v>243</v>
      </c>
      <c r="BY359" t="s">
        <v>243</v>
      </c>
      <c r="BZ359" t="s">
        <v>243</v>
      </c>
      <c r="CA359" t="s">
        <v>243</v>
      </c>
      <c r="CB359" t="s">
        <v>2829</v>
      </c>
      <c r="CC359" t="s">
        <v>243</v>
      </c>
      <c r="CD359" t="s">
        <v>243</v>
      </c>
      <c r="CE359" t="s">
        <v>243</v>
      </c>
      <c r="CF359" t="s">
        <v>243</v>
      </c>
      <c r="CG359" t="s">
        <v>243</v>
      </c>
      <c r="CH359" t="s">
        <v>2829</v>
      </c>
      <c r="CI359" t="s">
        <v>243</v>
      </c>
      <c r="CJ359" t="s">
        <v>243</v>
      </c>
      <c r="CK359" t="s">
        <v>243</v>
      </c>
      <c r="CL359" t="s">
        <v>243</v>
      </c>
      <c r="CM359" t="s">
        <v>243</v>
      </c>
      <c r="CN359" t="s">
        <v>2836</v>
      </c>
      <c r="CO359" t="s">
        <v>2843</v>
      </c>
      <c r="CP359" t="s">
        <v>2844</v>
      </c>
      <c r="CQ359" t="s">
        <v>430</v>
      </c>
      <c r="CR359" t="s">
        <v>2845</v>
      </c>
      <c r="CS359" t="s">
        <v>431</v>
      </c>
      <c r="CT359" t="s">
        <v>430</v>
      </c>
      <c r="CU359" t="s">
        <v>2846</v>
      </c>
      <c r="CV359" t="s">
        <v>2847</v>
      </c>
      <c r="CW359" t="s">
        <v>2845</v>
      </c>
      <c r="CX359" t="s">
        <v>2848</v>
      </c>
      <c r="CY359" t="s">
        <v>4193</v>
      </c>
    </row>
    <row r="360" spans="1:103" ht="11.25" customHeight="1">
      <c r="A360" t="s">
        <v>243</v>
      </c>
      <c r="B360" t="s">
        <v>243</v>
      </c>
      <c r="C360" t="s">
        <v>243</v>
      </c>
      <c r="D360" t="s">
        <v>243</v>
      </c>
      <c r="E360" t="s">
        <v>243</v>
      </c>
      <c r="F360" t="s">
        <v>2816</v>
      </c>
      <c r="G360" t="s">
        <v>243</v>
      </c>
      <c r="H360" t="s">
        <v>243</v>
      </c>
      <c r="I360" t="s">
        <v>4247</v>
      </c>
      <c r="J360" t="s">
        <v>243</v>
      </c>
      <c r="K360" t="s">
        <v>2818</v>
      </c>
      <c r="L360" t="s">
        <v>243</v>
      </c>
      <c r="M360" t="s">
        <v>114</v>
      </c>
      <c r="N360" t="s">
        <v>243</v>
      </c>
      <c r="O360" t="s">
        <v>2819</v>
      </c>
      <c r="P360" t="s">
        <v>4449</v>
      </c>
      <c r="Q360" t="s">
        <v>2821</v>
      </c>
      <c r="R360" t="s">
        <v>200</v>
      </c>
      <c r="S360" t="s">
        <v>200</v>
      </c>
      <c r="T360" t="s">
        <v>2822</v>
      </c>
      <c r="U360" t="s">
        <v>2822</v>
      </c>
      <c r="V360" t="s">
        <v>2823</v>
      </c>
      <c r="W360" t="s">
        <v>4248</v>
      </c>
      <c r="X360" t="s">
        <v>4249</v>
      </c>
      <c r="Y360" t="s">
        <v>4250</v>
      </c>
      <c r="Z360" t="s">
        <v>451</v>
      </c>
      <c r="AA360" t="s">
        <v>2904</v>
      </c>
      <c r="AB360" t="s">
        <v>4251</v>
      </c>
      <c r="AC360" t="s">
        <v>2829</v>
      </c>
      <c r="AD360" t="s">
        <v>2830</v>
      </c>
      <c r="AE360" t="s">
        <v>2857</v>
      </c>
      <c r="AF360" t="s">
        <v>4252</v>
      </c>
      <c r="AG360" t="s">
        <v>4252</v>
      </c>
      <c r="AH360" t="s">
        <v>2834</v>
      </c>
      <c r="AI360" t="s">
        <v>2835</v>
      </c>
      <c r="AJ360" t="s">
        <v>2836</v>
      </c>
      <c r="AK360" t="s">
        <v>2837</v>
      </c>
      <c r="AL360" t="s">
        <v>2904</v>
      </c>
      <c r="AM360" t="s">
        <v>3371</v>
      </c>
      <c r="AN360" t="s">
        <v>2829</v>
      </c>
      <c r="AO360" t="s">
        <v>2839</v>
      </c>
      <c r="AP360" t="s">
        <v>2840</v>
      </c>
      <c r="AQ360" t="s">
        <v>2841</v>
      </c>
      <c r="AR360" t="s">
        <v>2842</v>
      </c>
      <c r="AS360" t="s">
        <v>2842</v>
      </c>
      <c r="AT360" t="s">
        <v>2829</v>
      </c>
      <c r="AU360" t="s">
        <v>2829</v>
      </c>
      <c r="AV360" t="s">
        <v>2829</v>
      </c>
      <c r="AW360" t="s">
        <v>2829</v>
      </c>
      <c r="AX360" t="s">
        <v>2829</v>
      </c>
      <c r="AY360" t="s">
        <v>2829</v>
      </c>
      <c r="AZ360" t="s">
        <v>2829</v>
      </c>
      <c r="BA360" t="s">
        <v>2829</v>
      </c>
      <c r="BB360" t="s">
        <v>2829</v>
      </c>
      <c r="BC360" t="s">
        <v>2829</v>
      </c>
      <c r="BD360" t="s">
        <v>2842</v>
      </c>
      <c r="BE360" t="s">
        <v>2842</v>
      </c>
      <c r="BF360" t="s">
        <v>243</v>
      </c>
      <c r="BG360" t="s">
        <v>243</v>
      </c>
      <c r="BH360" t="s">
        <v>243</v>
      </c>
      <c r="BI360" t="s">
        <v>243</v>
      </c>
      <c r="BJ360" t="s">
        <v>2829</v>
      </c>
      <c r="BK360" t="s">
        <v>243</v>
      </c>
      <c r="BL360" t="s">
        <v>243</v>
      </c>
      <c r="BM360" t="s">
        <v>243</v>
      </c>
      <c r="BN360" t="s">
        <v>243</v>
      </c>
      <c r="BO360" t="s">
        <v>243</v>
      </c>
      <c r="BP360" t="s">
        <v>2829</v>
      </c>
      <c r="BQ360" t="s">
        <v>243</v>
      </c>
      <c r="BR360" t="s">
        <v>243</v>
      </c>
      <c r="BS360" t="s">
        <v>243</v>
      </c>
      <c r="BT360" t="s">
        <v>243</v>
      </c>
      <c r="BU360" t="s">
        <v>243</v>
      </c>
      <c r="BV360" t="s">
        <v>2829</v>
      </c>
      <c r="BW360" t="s">
        <v>243</v>
      </c>
      <c r="BX360" t="s">
        <v>243</v>
      </c>
      <c r="BY360" t="s">
        <v>243</v>
      </c>
      <c r="BZ360" t="s">
        <v>243</v>
      </c>
      <c r="CA360" t="s">
        <v>243</v>
      </c>
      <c r="CB360" t="s">
        <v>2829</v>
      </c>
      <c r="CC360" t="s">
        <v>243</v>
      </c>
      <c r="CD360" t="s">
        <v>243</v>
      </c>
      <c r="CE360" t="s">
        <v>243</v>
      </c>
      <c r="CF360" t="s">
        <v>243</v>
      </c>
      <c r="CG360" t="s">
        <v>243</v>
      </c>
      <c r="CH360" t="s">
        <v>2829</v>
      </c>
      <c r="CI360" t="s">
        <v>243</v>
      </c>
      <c r="CJ360" t="s">
        <v>243</v>
      </c>
      <c r="CK360" t="s">
        <v>243</v>
      </c>
      <c r="CL360" t="s">
        <v>243</v>
      </c>
      <c r="CM360" t="s">
        <v>243</v>
      </c>
      <c r="CN360" t="s">
        <v>2836</v>
      </c>
      <c r="CO360" t="s">
        <v>2843</v>
      </c>
      <c r="CP360" t="s">
        <v>2844</v>
      </c>
      <c r="CQ360" t="s">
        <v>430</v>
      </c>
      <c r="CR360" t="s">
        <v>2845</v>
      </c>
      <c r="CS360" t="s">
        <v>431</v>
      </c>
      <c r="CT360" t="s">
        <v>430</v>
      </c>
      <c r="CU360" t="s">
        <v>2846</v>
      </c>
      <c r="CV360" t="s">
        <v>2847</v>
      </c>
      <c r="CW360" t="s">
        <v>2845</v>
      </c>
      <c r="CX360" t="s">
        <v>2848</v>
      </c>
      <c r="CY360" t="s">
        <v>4253</v>
      </c>
    </row>
    <row r="361" spans="1:103" ht="11.25" customHeight="1">
      <c r="A361" t="s">
        <v>243</v>
      </c>
      <c r="B361" t="s">
        <v>243</v>
      </c>
      <c r="C361" t="s">
        <v>243</v>
      </c>
      <c r="D361" t="s">
        <v>243</v>
      </c>
      <c r="E361" t="s">
        <v>243</v>
      </c>
      <c r="F361" t="s">
        <v>2816</v>
      </c>
      <c r="G361" t="s">
        <v>243</v>
      </c>
      <c r="H361" t="s">
        <v>243</v>
      </c>
      <c r="I361" t="s">
        <v>3362</v>
      </c>
      <c r="J361" t="s">
        <v>243</v>
      </c>
      <c r="K361" t="s">
        <v>435</v>
      </c>
      <c r="L361" t="s">
        <v>243</v>
      </c>
      <c r="M361" t="s">
        <v>114</v>
      </c>
      <c r="N361" t="s">
        <v>243</v>
      </c>
      <c r="O361" t="s">
        <v>3356</v>
      </c>
      <c r="P361" t="s">
        <v>4449</v>
      </c>
      <c r="Q361" t="s">
        <v>2821</v>
      </c>
      <c r="R361" t="s">
        <v>190</v>
      </c>
      <c r="S361" t="s">
        <v>190</v>
      </c>
      <c r="T361" t="s">
        <v>405</v>
      </c>
      <c r="U361" t="s">
        <v>405</v>
      </c>
      <c r="V361" t="s">
        <v>406</v>
      </c>
      <c r="W361" t="s">
        <v>3155</v>
      </c>
      <c r="X361" t="s">
        <v>3156</v>
      </c>
      <c r="Y361" t="s">
        <v>3363</v>
      </c>
      <c r="Z361" t="s">
        <v>3364</v>
      </c>
      <c r="AA361" t="s">
        <v>4469</v>
      </c>
      <c r="AB361" t="s">
        <v>2920</v>
      </c>
      <c r="AC361" t="s">
        <v>243</v>
      </c>
      <c r="AD361" t="s">
        <v>2883</v>
      </c>
      <c r="AE361" t="s">
        <v>2831</v>
      </c>
      <c r="AF361" t="s">
        <v>3161</v>
      </c>
      <c r="AG361" t="s">
        <v>3162</v>
      </c>
      <c r="AH361" t="s">
        <v>2834</v>
      </c>
      <c r="AI361" t="s">
        <v>2835</v>
      </c>
      <c r="AJ361" t="s">
        <v>3184</v>
      </c>
      <c r="AK361" t="s">
        <v>3365</v>
      </c>
      <c r="AL361" t="s">
        <v>243</v>
      </c>
      <c r="AM361" t="s">
        <v>243</v>
      </c>
      <c r="AN361" t="s">
        <v>243</v>
      </c>
      <c r="AR361" t="s">
        <v>243</v>
      </c>
      <c r="AS361" t="s">
        <v>243</v>
      </c>
      <c r="AT361" t="s">
        <v>243</v>
      </c>
      <c r="AU361" t="s">
        <v>243</v>
      </c>
      <c r="AV361" t="s">
        <v>243</v>
      </c>
      <c r="AW361" t="s">
        <v>243</v>
      </c>
      <c r="AX361" t="s">
        <v>243</v>
      </c>
      <c r="AY361" t="s">
        <v>243</v>
      </c>
      <c r="AZ361" t="s">
        <v>243</v>
      </c>
      <c r="BA361" t="s">
        <v>243</v>
      </c>
      <c r="BB361" t="s">
        <v>243</v>
      </c>
      <c r="BC361" t="s">
        <v>243</v>
      </c>
      <c r="BD361" t="s">
        <v>243</v>
      </c>
      <c r="BE361" t="s">
        <v>243</v>
      </c>
      <c r="BF361" t="s">
        <v>243</v>
      </c>
      <c r="BG361" t="s">
        <v>243</v>
      </c>
      <c r="BH361" t="s">
        <v>243</v>
      </c>
      <c r="BI361" t="s">
        <v>243</v>
      </c>
      <c r="BJ361" t="s">
        <v>243</v>
      </c>
      <c r="BK361" t="s">
        <v>243</v>
      </c>
      <c r="BL361" t="s">
        <v>243</v>
      </c>
      <c r="BM361" t="s">
        <v>243</v>
      </c>
      <c r="BN361" t="s">
        <v>243</v>
      </c>
      <c r="BO361" t="s">
        <v>243</v>
      </c>
      <c r="BP361" t="s">
        <v>243</v>
      </c>
      <c r="BQ361" t="s">
        <v>243</v>
      </c>
      <c r="BR361" t="s">
        <v>243</v>
      </c>
      <c r="BS361" t="s">
        <v>243</v>
      </c>
      <c r="BT361" t="s">
        <v>243</v>
      </c>
      <c r="BU361" t="s">
        <v>243</v>
      </c>
      <c r="BV361" t="s">
        <v>243</v>
      </c>
      <c r="BW361" t="s">
        <v>243</v>
      </c>
      <c r="BX361" t="s">
        <v>243</v>
      </c>
      <c r="BY361" t="s">
        <v>243</v>
      </c>
      <c r="BZ361" t="s">
        <v>243</v>
      </c>
      <c r="CA361" t="s">
        <v>243</v>
      </c>
      <c r="CB361" t="s">
        <v>243</v>
      </c>
      <c r="CC361" t="s">
        <v>243</v>
      </c>
      <c r="CD361" t="s">
        <v>243</v>
      </c>
      <c r="CE361" t="s">
        <v>243</v>
      </c>
      <c r="CF361" t="s">
        <v>243</v>
      </c>
      <c r="CG361" t="s">
        <v>243</v>
      </c>
      <c r="CH361" t="s">
        <v>243</v>
      </c>
      <c r="CI361" t="s">
        <v>243</v>
      </c>
      <c r="CJ361" t="s">
        <v>243</v>
      </c>
      <c r="CK361" t="s">
        <v>243</v>
      </c>
      <c r="CL361" t="s">
        <v>243</v>
      </c>
      <c r="CM361" t="s">
        <v>243</v>
      </c>
      <c r="CN361" t="s">
        <v>243</v>
      </c>
      <c r="CO361" t="s">
        <v>2843</v>
      </c>
      <c r="CP361" t="s">
        <v>2844</v>
      </c>
      <c r="CQ361" t="s">
        <v>430</v>
      </c>
      <c r="CR361" t="s">
        <v>3361</v>
      </c>
      <c r="CS361" t="s">
        <v>431</v>
      </c>
      <c r="CT361" t="s">
        <v>430</v>
      </c>
      <c r="CU361" t="s">
        <v>268</v>
      </c>
      <c r="CV361" t="s">
        <v>432</v>
      </c>
      <c r="CW361" t="s">
        <v>3361</v>
      </c>
      <c r="CX361" t="s">
        <v>2848</v>
      </c>
      <c r="CY361" t="s">
        <v>436</v>
      </c>
    </row>
    <row r="362" spans="1:103" ht="11.25" customHeight="1">
      <c r="A362" t="s">
        <v>243</v>
      </c>
      <c r="B362" t="s">
        <v>243</v>
      </c>
      <c r="C362" t="s">
        <v>243</v>
      </c>
      <c r="D362" t="s">
        <v>243</v>
      </c>
      <c r="E362" t="s">
        <v>243</v>
      </c>
      <c r="F362" t="s">
        <v>2816</v>
      </c>
      <c r="G362" t="s">
        <v>243</v>
      </c>
      <c r="H362" t="s">
        <v>243</v>
      </c>
      <c r="I362" t="s">
        <v>4136</v>
      </c>
      <c r="J362" t="s">
        <v>243</v>
      </c>
      <c r="K362" t="s">
        <v>438</v>
      </c>
      <c r="L362" t="s">
        <v>243</v>
      </c>
      <c r="M362" t="s">
        <v>114</v>
      </c>
      <c r="N362" t="s">
        <v>243</v>
      </c>
      <c r="O362" t="s">
        <v>3356</v>
      </c>
      <c r="P362" t="s">
        <v>4449</v>
      </c>
      <c r="Q362" t="s">
        <v>2821</v>
      </c>
      <c r="R362" t="s">
        <v>190</v>
      </c>
      <c r="S362" t="s">
        <v>190</v>
      </c>
      <c r="T362" t="s">
        <v>405</v>
      </c>
      <c r="U362" t="s">
        <v>405</v>
      </c>
      <c r="V362" t="s">
        <v>406</v>
      </c>
      <c r="W362" t="s">
        <v>3155</v>
      </c>
      <c r="X362" t="s">
        <v>3156</v>
      </c>
      <c r="Y362" t="s">
        <v>4137</v>
      </c>
      <c r="Z362" t="s">
        <v>596</v>
      </c>
      <c r="AA362" t="s">
        <v>3393</v>
      </c>
      <c r="AB362" t="s">
        <v>4013</v>
      </c>
      <c r="AC362" t="s">
        <v>243</v>
      </c>
      <c r="AD362" t="s">
        <v>2883</v>
      </c>
      <c r="AE362" t="s">
        <v>2831</v>
      </c>
      <c r="AF362" t="s">
        <v>3161</v>
      </c>
      <c r="AG362" t="s">
        <v>3162</v>
      </c>
      <c r="AH362" t="s">
        <v>2834</v>
      </c>
      <c r="AI362" t="s">
        <v>2835</v>
      </c>
      <c r="AJ362" t="s">
        <v>2829</v>
      </c>
      <c r="AK362" t="s">
        <v>4138</v>
      </c>
      <c r="AL362" t="s">
        <v>243</v>
      </c>
      <c r="AM362" t="s">
        <v>243</v>
      </c>
      <c r="AN362" t="s">
        <v>243</v>
      </c>
      <c r="AR362" t="s">
        <v>243</v>
      </c>
      <c r="AS362" t="s">
        <v>243</v>
      </c>
      <c r="AT362" t="s">
        <v>243</v>
      </c>
      <c r="AU362" t="s">
        <v>243</v>
      </c>
      <c r="AV362" t="s">
        <v>243</v>
      </c>
      <c r="AW362" t="s">
        <v>243</v>
      </c>
      <c r="AX362" t="s">
        <v>243</v>
      </c>
      <c r="AY362" t="s">
        <v>243</v>
      </c>
      <c r="AZ362" t="s">
        <v>243</v>
      </c>
      <c r="BA362" t="s">
        <v>243</v>
      </c>
      <c r="BB362" t="s">
        <v>243</v>
      </c>
      <c r="BC362" t="s">
        <v>243</v>
      </c>
      <c r="BD362" t="s">
        <v>243</v>
      </c>
      <c r="BE362" t="s">
        <v>243</v>
      </c>
      <c r="BF362" t="s">
        <v>243</v>
      </c>
      <c r="BG362" t="s">
        <v>243</v>
      </c>
      <c r="BH362" t="s">
        <v>243</v>
      </c>
      <c r="BI362" t="s">
        <v>243</v>
      </c>
      <c r="BJ362" t="s">
        <v>243</v>
      </c>
      <c r="BK362" t="s">
        <v>243</v>
      </c>
      <c r="BL362" t="s">
        <v>243</v>
      </c>
      <c r="BM362" t="s">
        <v>243</v>
      </c>
      <c r="BN362" t="s">
        <v>243</v>
      </c>
      <c r="BO362" t="s">
        <v>243</v>
      </c>
      <c r="BP362" t="s">
        <v>243</v>
      </c>
      <c r="BQ362" t="s">
        <v>243</v>
      </c>
      <c r="BR362" t="s">
        <v>243</v>
      </c>
      <c r="BS362" t="s">
        <v>243</v>
      </c>
      <c r="BT362" t="s">
        <v>243</v>
      </c>
      <c r="BU362" t="s">
        <v>243</v>
      </c>
      <c r="BV362" t="s">
        <v>243</v>
      </c>
      <c r="BW362" t="s">
        <v>243</v>
      </c>
      <c r="BX362" t="s">
        <v>243</v>
      </c>
      <c r="BY362" t="s">
        <v>243</v>
      </c>
      <c r="BZ362" t="s">
        <v>243</v>
      </c>
      <c r="CA362" t="s">
        <v>243</v>
      </c>
      <c r="CB362" t="s">
        <v>243</v>
      </c>
      <c r="CC362" t="s">
        <v>243</v>
      </c>
      <c r="CD362" t="s">
        <v>243</v>
      </c>
      <c r="CE362" t="s">
        <v>243</v>
      </c>
      <c r="CF362" t="s">
        <v>243</v>
      </c>
      <c r="CG362" t="s">
        <v>243</v>
      </c>
      <c r="CH362" t="s">
        <v>243</v>
      </c>
      <c r="CI362" t="s">
        <v>243</v>
      </c>
      <c r="CJ362" t="s">
        <v>243</v>
      </c>
      <c r="CK362" t="s">
        <v>243</v>
      </c>
      <c r="CL362" t="s">
        <v>243</v>
      </c>
      <c r="CM362" t="s">
        <v>243</v>
      </c>
      <c r="CN362" t="s">
        <v>243</v>
      </c>
      <c r="CO362" t="s">
        <v>2843</v>
      </c>
      <c r="CP362" t="s">
        <v>2844</v>
      </c>
      <c r="CQ362" t="s">
        <v>430</v>
      </c>
      <c r="CR362" t="s">
        <v>3361</v>
      </c>
      <c r="CS362" t="s">
        <v>431</v>
      </c>
      <c r="CT362" t="s">
        <v>430</v>
      </c>
      <c r="CU362" t="s">
        <v>268</v>
      </c>
      <c r="CV362" t="s">
        <v>432</v>
      </c>
      <c r="CW362" t="s">
        <v>3361</v>
      </c>
      <c r="CX362" t="s">
        <v>2848</v>
      </c>
      <c r="CY362" t="s">
        <v>439</v>
      </c>
    </row>
    <row r="363" spans="1:103" ht="11.25" customHeight="1">
      <c r="A363" t="s">
        <v>243</v>
      </c>
      <c r="B363" t="s">
        <v>243</v>
      </c>
      <c r="C363" t="s">
        <v>243</v>
      </c>
      <c r="D363" t="s">
        <v>243</v>
      </c>
      <c r="E363" t="s">
        <v>243</v>
      </c>
      <c r="F363" t="s">
        <v>2816</v>
      </c>
      <c r="G363" t="s">
        <v>243</v>
      </c>
      <c r="H363" t="s">
        <v>243</v>
      </c>
      <c r="I363" t="s">
        <v>3046</v>
      </c>
      <c r="J363" t="s">
        <v>243</v>
      </c>
      <c r="K363" t="s">
        <v>3047</v>
      </c>
      <c r="L363" t="s">
        <v>243</v>
      </c>
      <c r="M363" t="s">
        <v>114</v>
      </c>
      <c r="N363" t="s">
        <v>243</v>
      </c>
      <c r="O363" t="s">
        <v>2819</v>
      </c>
      <c r="P363" t="s">
        <v>4449</v>
      </c>
      <c r="Q363" t="s">
        <v>2821</v>
      </c>
      <c r="R363" t="s">
        <v>200</v>
      </c>
      <c r="S363" t="s">
        <v>200</v>
      </c>
      <c r="T363" t="s">
        <v>3048</v>
      </c>
      <c r="U363" t="s">
        <v>3048</v>
      </c>
      <c r="V363" t="s">
        <v>3049</v>
      </c>
      <c r="W363" t="s">
        <v>3050</v>
      </c>
      <c r="X363" t="s">
        <v>3051</v>
      </c>
      <c r="Y363" t="s">
        <v>3052</v>
      </c>
      <c r="Z363" t="s">
        <v>3053</v>
      </c>
      <c r="AA363" t="s">
        <v>2966</v>
      </c>
      <c r="AB363" t="s">
        <v>3054</v>
      </c>
      <c r="AC363" t="s">
        <v>2829</v>
      </c>
      <c r="AD363" t="s">
        <v>2883</v>
      </c>
      <c r="AE363" t="s">
        <v>2831</v>
      </c>
      <c r="AF363" t="s">
        <v>3055</v>
      </c>
      <c r="AG363" t="s">
        <v>3055</v>
      </c>
      <c r="AH363" t="s">
        <v>2834</v>
      </c>
      <c r="AI363" t="s">
        <v>2835</v>
      </c>
      <c r="AJ363" t="s">
        <v>3056</v>
      </c>
      <c r="AK363" t="s">
        <v>3057</v>
      </c>
      <c r="AL363" t="s">
        <v>2966</v>
      </c>
      <c r="AM363" t="s">
        <v>3058</v>
      </c>
      <c r="AN363" t="s">
        <v>2829</v>
      </c>
      <c r="AO363" t="s">
        <v>2839</v>
      </c>
      <c r="AP363" t="s">
        <v>2840</v>
      </c>
      <c r="AQ363" t="s">
        <v>2841</v>
      </c>
      <c r="AR363" t="s">
        <v>3059</v>
      </c>
      <c r="AS363" t="s">
        <v>3059</v>
      </c>
      <c r="AT363" t="s">
        <v>2829</v>
      </c>
      <c r="AU363" t="s">
        <v>2829</v>
      </c>
      <c r="AV363" t="s">
        <v>2829</v>
      </c>
      <c r="AW363" t="s">
        <v>2829</v>
      </c>
      <c r="AX363" t="s">
        <v>2829</v>
      </c>
      <c r="AY363" t="s">
        <v>2829</v>
      </c>
      <c r="AZ363" t="s">
        <v>2829</v>
      </c>
      <c r="BA363" t="s">
        <v>2829</v>
      </c>
      <c r="BB363" t="s">
        <v>2829</v>
      </c>
      <c r="BC363" t="s">
        <v>2829</v>
      </c>
      <c r="BD363" t="s">
        <v>3059</v>
      </c>
      <c r="BE363" t="s">
        <v>3059</v>
      </c>
      <c r="BF363" t="s">
        <v>243</v>
      </c>
      <c r="BG363" t="s">
        <v>243</v>
      </c>
      <c r="BH363" t="s">
        <v>243</v>
      </c>
      <c r="BI363" t="s">
        <v>243</v>
      </c>
      <c r="BJ363" t="s">
        <v>2829</v>
      </c>
      <c r="BK363" t="s">
        <v>243</v>
      </c>
      <c r="BL363" t="s">
        <v>243</v>
      </c>
      <c r="BM363" t="s">
        <v>243</v>
      </c>
      <c r="BN363" t="s">
        <v>243</v>
      </c>
      <c r="BO363" t="s">
        <v>243</v>
      </c>
      <c r="BP363" t="s">
        <v>2829</v>
      </c>
      <c r="BQ363" t="s">
        <v>243</v>
      </c>
      <c r="BR363" t="s">
        <v>243</v>
      </c>
      <c r="BS363" t="s">
        <v>243</v>
      </c>
      <c r="BT363" t="s">
        <v>243</v>
      </c>
      <c r="BU363" t="s">
        <v>243</v>
      </c>
      <c r="BV363" t="s">
        <v>2829</v>
      </c>
      <c r="BW363" t="s">
        <v>243</v>
      </c>
      <c r="BX363" t="s">
        <v>243</v>
      </c>
      <c r="BY363" t="s">
        <v>243</v>
      </c>
      <c r="BZ363" t="s">
        <v>243</v>
      </c>
      <c r="CA363" t="s">
        <v>243</v>
      </c>
      <c r="CB363" t="s">
        <v>2829</v>
      </c>
      <c r="CC363" t="s">
        <v>243</v>
      </c>
      <c r="CD363" t="s">
        <v>243</v>
      </c>
      <c r="CE363" t="s">
        <v>243</v>
      </c>
      <c r="CF363" t="s">
        <v>243</v>
      </c>
      <c r="CG363" t="s">
        <v>243</v>
      </c>
      <c r="CH363" t="s">
        <v>2829</v>
      </c>
      <c r="CI363" t="s">
        <v>243</v>
      </c>
      <c r="CJ363" t="s">
        <v>243</v>
      </c>
      <c r="CK363" t="s">
        <v>243</v>
      </c>
      <c r="CL363" t="s">
        <v>243</v>
      </c>
      <c r="CM363" t="s">
        <v>243</v>
      </c>
      <c r="CN363" t="s">
        <v>3060</v>
      </c>
      <c r="CO363" t="s">
        <v>2843</v>
      </c>
      <c r="CP363" t="s">
        <v>2844</v>
      </c>
      <c r="CQ363" t="s">
        <v>430</v>
      </c>
      <c r="CR363" t="s">
        <v>2872</v>
      </c>
      <c r="CS363" t="s">
        <v>431</v>
      </c>
      <c r="CT363" t="s">
        <v>430</v>
      </c>
      <c r="CU363" t="s">
        <v>3061</v>
      </c>
      <c r="CV363" t="s">
        <v>3062</v>
      </c>
      <c r="CW363" t="s">
        <v>2872</v>
      </c>
      <c r="CX363" t="s">
        <v>2848</v>
      </c>
      <c r="CY363" t="s">
        <v>3063</v>
      </c>
    </row>
    <row r="364" spans="1:103" ht="11.25" customHeight="1">
      <c r="A364" t="s">
        <v>243</v>
      </c>
      <c r="B364" t="s">
        <v>243</v>
      </c>
      <c r="C364" t="s">
        <v>243</v>
      </c>
      <c r="D364" t="s">
        <v>243</v>
      </c>
      <c r="E364" t="s">
        <v>243</v>
      </c>
      <c r="F364" t="s">
        <v>2816</v>
      </c>
      <c r="G364" t="s">
        <v>243</v>
      </c>
      <c r="H364" t="s">
        <v>243</v>
      </c>
      <c r="I364" t="s">
        <v>4174</v>
      </c>
      <c r="J364" t="s">
        <v>243</v>
      </c>
      <c r="K364" t="s">
        <v>455</v>
      </c>
      <c r="L364" t="s">
        <v>243</v>
      </c>
      <c r="M364" t="s">
        <v>114</v>
      </c>
      <c r="N364" t="s">
        <v>243</v>
      </c>
      <c r="O364" t="s">
        <v>2819</v>
      </c>
      <c r="P364" t="s">
        <v>4449</v>
      </c>
      <c r="Q364" t="s">
        <v>2821</v>
      </c>
      <c r="R364" t="s">
        <v>200</v>
      </c>
      <c r="S364" t="s">
        <v>200</v>
      </c>
      <c r="T364" t="s">
        <v>2822</v>
      </c>
      <c r="U364" t="s">
        <v>2822</v>
      </c>
      <c r="V364" t="s">
        <v>2823</v>
      </c>
      <c r="W364" t="s">
        <v>4175</v>
      </c>
      <c r="X364" t="s">
        <v>4176</v>
      </c>
      <c r="Y364" t="s">
        <v>2864</v>
      </c>
      <c r="Z364" t="s">
        <v>4157</v>
      </c>
      <c r="AA364" t="s">
        <v>2965</v>
      </c>
      <c r="AB364" t="s">
        <v>4177</v>
      </c>
      <c r="AC364" t="s">
        <v>2829</v>
      </c>
      <c r="AD364" t="s">
        <v>2830</v>
      </c>
      <c r="AE364" t="s">
        <v>2831</v>
      </c>
      <c r="AF364" t="s">
        <v>4178</v>
      </c>
      <c r="AG364" t="s">
        <v>4179</v>
      </c>
      <c r="AH364" t="s">
        <v>2834</v>
      </c>
      <c r="AI364" t="s">
        <v>2835</v>
      </c>
      <c r="AJ364" t="s">
        <v>2960</v>
      </c>
      <c r="AK364" t="s">
        <v>3965</v>
      </c>
      <c r="AL364" t="s">
        <v>2965</v>
      </c>
      <c r="AM364" t="s">
        <v>4180</v>
      </c>
      <c r="AN364" t="s">
        <v>2829</v>
      </c>
      <c r="AO364" t="s">
        <v>2839</v>
      </c>
      <c r="AP364" t="s">
        <v>2840</v>
      </c>
      <c r="AQ364" t="s">
        <v>2841</v>
      </c>
      <c r="AR364" t="s">
        <v>4181</v>
      </c>
      <c r="AS364" t="s">
        <v>4181</v>
      </c>
      <c r="AT364" t="s">
        <v>2829</v>
      </c>
      <c r="AU364" t="s">
        <v>2829</v>
      </c>
      <c r="AV364" t="s">
        <v>2829</v>
      </c>
      <c r="AW364" t="s">
        <v>2829</v>
      </c>
      <c r="AX364" t="s">
        <v>2829</v>
      </c>
      <c r="AY364" t="s">
        <v>2829</v>
      </c>
      <c r="AZ364" t="s">
        <v>2829</v>
      </c>
      <c r="BA364" t="s">
        <v>2829</v>
      </c>
      <c r="BB364" t="s">
        <v>2829</v>
      </c>
      <c r="BC364" t="s">
        <v>2829</v>
      </c>
      <c r="BD364" t="s">
        <v>4181</v>
      </c>
      <c r="BE364" t="s">
        <v>4181</v>
      </c>
      <c r="BF364" t="s">
        <v>243</v>
      </c>
      <c r="BG364" t="s">
        <v>243</v>
      </c>
      <c r="BH364" t="s">
        <v>243</v>
      </c>
      <c r="BI364" t="s">
        <v>243</v>
      </c>
      <c r="BJ364" t="s">
        <v>2829</v>
      </c>
      <c r="BK364" t="s">
        <v>243</v>
      </c>
      <c r="BL364" t="s">
        <v>243</v>
      </c>
      <c r="BM364" t="s">
        <v>243</v>
      </c>
      <c r="BN364" t="s">
        <v>243</v>
      </c>
      <c r="BO364" t="s">
        <v>243</v>
      </c>
      <c r="BP364" t="s">
        <v>2829</v>
      </c>
      <c r="BQ364" t="s">
        <v>243</v>
      </c>
      <c r="BR364" t="s">
        <v>243</v>
      </c>
      <c r="BS364" t="s">
        <v>243</v>
      </c>
      <c r="BT364" t="s">
        <v>243</v>
      </c>
      <c r="BU364" t="s">
        <v>243</v>
      </c>
      <c r="BV364" t="s">
        <v>2829</v>
      </c>
      <c r="BW364" t="s">
        <v>243</v>
      </c>
      <c r="BX364" t="s">
        <v>243</v>
      </c>
      <c r="BY364" t="s">
        <v>243</v>
      </c>
      <c r="BZ364" t="s">
        <v>243</v>
      </c>
      <c r="CA364" t="s">
        <v>243</v>
      </c>
      <c r="CB364" t="s">
        <v>2829</v>
      </c>
      <c r="CC364" t="s">
        <v>243</v>
      </c>
      <c r="CD364" t="s">
        <v>243</v>
      </c>
      <c r="CE364" t="s">
        <v>243</v>
      </c>
      <c r="CF364" t="s">
        <v>243</v>
      </c>
      <c r="CG364" t="s">
        <v>243</v>
      </c>
      <c r="CH364" t="s">
        <v>2829</v>
      </c>
      <c r="CI364" t="s">
        <v>243</v>
      </c>
      <c r="CJ364" t="s">
        <v>243</v>
      </c>
      <c r="CK364" t="s">
        <v>243</v>
      </c>
      <c r="CL364" t="s">
        <v>243</v>
      </c>
      <c r="CM364" t="s">
        <v>243</v>
      </c>
      <c r="CN364" t="s">
        <v>2960</v>
      </c>
      <c r="CO364" t="s">
        <v>2843</v>
      </c>
      <c r="CP364" t="s">
        <v>2844</v>
      </c>
      <c r="CQ364" t="s">
        <v>430</v>
      </c>
      <c r="CR364" t="s">
        <v>2845</v>
      </c>
      <c r="CS364" t="s">
        <v>431</v>
      </c>
      <c r="CT364" t="s">
        <v>430</v>
      </c>
      <c r="CU364" t="s">
        <v>2846</v>
      </c>
      <c r="CV364" t="s">
        <v>2847</v>
      </c>
      <c r="CW364" t="s">
        <v>2845</v>
      </c>
      <c r="CX364" t="s">
        <v>2848</v>
      </c>
      <c r="CY364" t="s">
        <v>4182</v>
      </c>
    </row>
    <row r="365" spans="1:103" ht="11.25" customHeight="1">
      <c r="A365" t="s">
        <v>243</v>
      </c>
      <c r="B365" t="s">
        <v>243</v>
      </c>
      <c r="C365" t="s">
        <v>243</v>
      </c>
      <c r="D365" t="s">
        <v>243</v>
      </c>
      <c r="E365" t="s">
        <v>243</v>
      </c>
      <c r="F365" t="s">
        <v>2816</v>
      </c>
      <c r="G365" t="s">
        <v>243</v>
      </c>
      <c r="H365" t="s">
        <v>243</v>
      </c>
      <c r="I365" t="s">
        <v>927</v>
      </c>
      <c r="J365" t="s">
        <v>243</v>
      </c>
      <c r="K365" t="s">
        <v>2818</v>
      </c>
      <c r="L365" t="s">
        <v>243</v>
      </c>
      <c r="M365" t="s">
        <v>114</v>
      </c>
      <c r="N365" t="s">
        <v>243</v>
      </c>
      <c r="O365" t="s">
        <v>2819</v>
      </c>
      <c r="P365" t="s">
        <v>4449</v>
      </c>
      <c r="Q365" t="s">
        <v>2821</v>
      </c>
      <c r="R365" t="s">
        <v>200</v>
      </c>
      <c r="S365" t="s">
        <v>200</v>
      </c>
      <c r="T365" t="s">
        <v>2822</v>
      </c>
      <c r="U365" t="s">
        <v>2822</v>
      </c>
      <c r="V365" t="s">
        <v>2823</v>
      </c>
      <c r="W365" t="s">
        <v>4080</v>
      </c>
      <c r="X365" t="s">
        <v>4081</v>
      </c>
      <c r="Y365" t="s">
        <v>3610</v>
      </c>
      <c r="Z365" t="s">
        <v>463</v>
      </c>
      <c r="AA365" t="s">
        <v>2904</v>
      </c>
      <c r="AB365" t="s">
        <v>4082</v>
      </c>
      <c r="AC365" t="s">
        <v>2829</v>
      </c>
      <c r="AD365" t="s">
        <v>2830</v>
      </c>
      <c r="AE365" t="s">
        <v>2831</v>
      </c>
      <c r="AF365" t="s">
        <v>4083</v>
      </c>
      <c r="AG365" t="s">
        <v>2833</v>
      </c>
      <c r="AH365" t="s">
        <v>2834</v>
      </c>
      <c r="AI365" t="s">
        <v>2835</v>
      </c>
      <c r="AJ365" t="s">
        <v>2836</v>
      </c>
      <c r="AK365" t="s">
        <v>2837</v>
      </c>
      <c r="AL365" t="s">
        <v>2904</v>
      </c>
      <c r="AM365" t="s">
        <v>2842</v>
      </c>
      <c r="AN365" t="s">
        <v>2829</v>
      </c>
      <c r="AO365" t="s">
        <v>2839</v>
      </c>
      <c r="AP365" t="s">
        <v>2840</v>
      </c>
      <c r="AQ365" t="s">
        <v>2841</v>
      </c>
      <c r="AR365" t="s">
        <v>2842</v>
      </c>
      <c r="AS365" t="s">
        <v>2842</v>
      </c>
      <c r="AT365" t="s">
        <v>2829</v>
      </c>
      <c r="AU365" t="s">
        <v>2829</v>
      </c>
      <c r="AV365" t="s">
        <v>2829</v>
      </c>
      <c r="AW365" t="s">
        <v>2829</v>
      </c>
      <c r="AX365" t="s">
        <v>2829</v>
      </c>
      <c r="AY365" t="s">
        <v>2829</v>
      </c>
      <c r="AZ365" t="s">
        <v>2829</v>
      </c>
      <c r="BA365" t="s">
        <v>2829</v>
      </c>
      <c r="BB365" t="s">
        <v>2829</v>
      </c>
      <c r="BC365" t="s">
        <v>2829</v>
      </c>
      <c r="BD365" t="s">
        <v>2842</v>
      </c>
      <c r="BE365" t="s">
        <v>2842</v>
      </c>
      <c r="BF365" t="s">
        <v>243</v>
      </c>
      <c r="BG365" t="s">
        <v>243</v>
      </c>
      <c r="BH365" t="s">
        <v>243</v>
      </c>
      <c r="BI365" t="s">
        <v>243</v>
      </c>
      <c r="BJ365" t="s">
        <v>2829</v>
      </c>
      <c r="BK365" t="s">
        <v>243</v>
      </c>
      <c r="BL365" t="s">
        <v>243</v>
      </c>
      <c r="BM365" t="s">
        <v>243</v>
      </c>
      <c r="BN365" t="s">
        <v>243</v>
      </c>
      <c r="BO365" t="s">
        <v>243</v>
      </c>
      <c r="BP365" t="s">
        <v>2829</v>
      </c>
      <c r="BQ365" t="s">
        <v>243</v>
      </c>
      <c r="BR365" t="s">
        <v>243</v>
      </c>
      <c r="BS365" t="s">
        <v>243</v>
      </c>
      <c r="BT365" t="s">
        <v>243</v>
      </c>
      <c r="BU365" t="s">
        <v>243</v>
      </c>
      <c r="BV365" t="s">
        <v>2829</v>
      </c>
      <c r="BW365" t="s">
        <v>243</v>
      </c>
      <c r="BX365" t="s">
        <v>243</v>
      </c>
      <c r="BY365" t="s">
        <v>243</v>
      </c>
      <c r="BZ365" t="s">
        <v>243</v>
      </c>
      <c r="CA365" t="s">
        <v>243</v>
      </c>
      <c r="CB365" t="s">
        <v>2829</v>
      </c>
      <c r="CC365" t="s">
        <v>243</v>
      </c>
      <c r="CD365" t="s">
        <v>243</v>
      </c>
      <c r="CE365" t="s">
        <v>243</v>
      </c>
      <c r="CF365" t="s">
        <v>243</v>
      </c>
      <c r="CG365" t="s">
        <v>243</v>
      </c>
      <c r="CH365" t="s">
        <v>2829</v>
      </c>
      <c r="CI365" t="s">
        <v>243</v>
      </c>
      <c r="CJ365" t="s">
        <v>243</v>
      </c>
      <c r="CK365" t="s">
        <v>243</v>
      </c>
      <c r="CL365" t="s">
        <v>243</v>
      </c>
      <c r="CM365" t="s">
        <v>243</v>
      </c>
      <c r="CN365" t="s">
        <v>2836</v>
      </c>
      <c r="CO365" t="s">
        <v>2843</v>
      </c>
      <c r="CP365" t="s">
        <v>2844</v>
      </c>
      <c r="CQ365" t="s">
        <v>430</v>
      </c>
      <c r="CR365" t="s">
        <v>2845</v>
      </c>
      <c r="CS365" t="s">
        <v>431</v>
      </c>
      <c r="CT365" t="s">
        <v>430</v>
      </c>
      <c r="CU365" t="s">
        <v>2846</v>
      </c>
      <c r="CV365" t="s">
        <v>2847</v>
      </c>
      <c r="CW365" t="s">
        <v>2845</v>
      </c>
      <c r="CX365" t="s">
        <v>2848</v>
      </c>
      <c r="CY365" t="s">
        <v>4084</v>
      </c>
    </row>
    <row r="366" spans="1:103" ht="11.25" customHeight="1">
      <c r="A366" t="s">
        <v>243</v>
      </c>
      <c r="B366" t="s">
        <v>243</v>
      </c>
      <c r="C366" t="s">
        <v>243</v>
      </c>
      <c r="D366" t="s">
        <v>243</v>
      </c>
      <c r="E366" t="s">
        <v>243</v>
      </c>
      <c r="F366" t="s">
        <v>2816</v>
      </c>
      <c r="G366" t="s">
        <v>243</v>
      </c>
      <c r="H366" t="s">
        <v>243</v>
      </c>
      <c r="I366" t="s">
        <v>3075</v>
      </c>
      <c r="J366" t="s">
        <v>243</v>
      </c>
      <c r="K366" t="s">
        <v>3076</v>
      </c>
      <c r="L366" t="s">
        <v>243</v>
      </c>
      <c r="M366" t="s">
        <v>114</v>
      </c>
      <c r="N366" t="s">
        <v>243</v>
      </c>
      <c r="O366" t="s">
        <v>2819</v>
      </c>
      <c r="P366" t="s">
        <v>4449</v>
      </c>
      <c r="Q366" t="s">
        <v>2821</v>
      </c>
      <c r="R366" t="s">
        <v>200</v>
      </c>
      <c r="S366" t="s">
        <v>200</v>
      </c>
      <c r="T366" t="s">
        <v>3048</v>
      </c>
      <c r="U366" t="s">
        <v>3048</v>
      </c>
      <c r="V366" t="s">
        <v>3049</v>
      </c>
      <c r="W366" t="s">
        <v>3050</v>
      </c>
      <c r="X366" t="s">
        <v>3051</v>
      </c>
      <c r="Y366" t="s">
        <v>3077</v>
      </c>
      <c r="Z366" t="s">
        <v>2848</v>
      </c>
      <c r="AA366" t="s">
        <v>3078</v>
      </c>
      <c r="AB366" t="s">
        <v>3079</v>
      </c>
      <c r="AC366" t="s">
        <v>2829</v>
      </c>
      <c r="AD366" t="s">
        <v>2883</v>
      </c>
      <c r="AE366" t="s">
        <v>2831</v>
      </c>
      <c r="AF366" t="s">
        <v>3055</v>
      </c>
      <c r="AG366" t="s">
        <v>3055</v>
      </c>
      <c r="AH366" t="s">
        <v>2834</v>
      </c>
      <c r="AI366" t="s">
        <v>2835</v>
      </c>
      <c r="AJ366" t="s">
        <v>2888</v>
      </c>
      <c r="AK366" t="s">
        <v>3080</v>
      </c>
      <c r="AL366" t="s">
        <v>3078</v>
      </c>
      <c r="AM366" t="s">
        <v>3079</v>
      </c>
      <c r="AN366" t="s">
        <v>243</v>
      </c>
      <c r="AO366" t="s">
        <v>3081</v>
      </c>
      <c r="AP366" t="s">
        <v>2840</v>
      </c>
      <c r="AQ366" t="s">
        <v>2841</v>
      </c>
      <c r="AR366" t="s">
        <v>3082</v>
      </c>
      <c r="AS366" t="s">
        <v>3082</v>
      </c>
      <c r="AT366" t="s">
        <v>2829</v>
      </c>
      <c r="AU366" t="s">
        <v>2829</v>
      </c>
      <c r="AV366" t="s">
        <v>2829</v>
      </c>
      <c r="AW366" t="s">
        <v>2829</v>
      </c>
      <c r="AX366" t="s">
        <v>2829</v>
      </c>
      <c r="AY366" t="s">
        <v>2829</v>
      </c>
      <c r="AZ366" t="s">
        <v>2829</v>
      </c>
      <c r="BA366" t="s">
        <v>2829</v>
      </c>
      <c r="BB366" t="s">
        <v>2829</v>
      </c>
      <c r="BC366" t="s">
        <v>2829</v>
      </c>
      <c r="BD366" t="s">
        <v>3082</v>
      </c>
      <c r="BE366" t="s">
        <v>3082</v>
      </c>
      <c r="BF366" t="s">
        <v>243</v>
      </c>
      <c r="BG366" t="s">
        <v>243</v>
      </c>
      <c r="BH366" t="s">
        <v>243</v>
      </c>
      <c r="BI366" t="s">
        <v>243</v>
      </c>
      <c r="BJ366" t="s">
        <v>2829</v>
      </c>
      <c r="BK366" t="s">
        <v>243</v>
      </c>
      <c r="BL366" t="s">
        <v>243</v>
      </c>
      <c r="BM366" t="s">
        <v>243</v>
      </c>
      <c r="BN366" t="s">
        <v>243</v>
      </c>
      <c r="BO366" t="s">
        <v>243</v>
      </c>
      <c r="BP366" t="s">
        <v>2829</v>
      </c>
      <c r="BQ366" t="s">
        <v>243</v>
      </c>
      <c r="BR366" t="s">
        <v>243</v>
      </c>
      <c r="BS366" t="s">
        <v>243</v>
      </c>
      <c r="BT366" t="s">
        <v>243</v>
      </c>
      <c r="BU366" t="s">
        <v>243</v>
      </c>
      <c r="BV366" t="s">
        <v>2829</v>
      </c>
      <c r="BW366" t="s">
        <v>243</v>
      </c>
      <c r="BX366" t="s">
        <v>243</v>
      </c>
      <c r="BY366" t="s">
        <v>243</v>
      </c>
      <c r="BZ366" t="s">
        <v>243</v>
      </c>
      <c r="CA366" t="s">
        <v>243</v>
      </c>
      <c r="CB366" t="s">
        <v>2829</v>
      </c>
      <c r="CC366" t="s">
        <v>243</v>
      </c>
      <c r="CD366" t="s">
        <v>243</v>
      </c>
      <c r="CE366" t="s">
        <v>243</v>
      </c>
      <c r="CF366" t="s">
        <v>243</v>
      </c>
      <c r="CG366" t="s">
        <v>243</v>
      </c>
      <c r="CH366" t="s">
        <v>2829</v>
      </c>
      <c r="CI366" t="s">
        <v>243</v>
      </c>
      <c r="CJ366" t="s">
        <v>243</v>
      </c>
      <c r="CK366" t="s">
        <v>243</v>
      </c>
      <c r="CL366" t="s">
        <v>243</v>
      </c>
      <c r="CM366" t="s">
        <v>243</v>
      </c>
      <c r="CN366" t="s">
        <v>2888</v>
      </c>
      <c r="CO366" t="s">
        <v>2843</v>
      </c>
      <c r="CP366" t="s">
        <v>2844</v>
      </c>
      <c r="CQ366" t="s">
        <v>430</v>
      </c>
      <c r="CR366" t="s">
        <v>2872</v>
      </c>
      <c r="CS366" t="s">
        <v>431</v>
      </c>
      <c r="CT366" t="s">
        <v>430</v>
      </c>
      <c r="CU366" t="s">
        <v>3061</v>
      </c>
      <c r="CV366" t="s">
        <v>3062</v>
      </c>
      <c r="CW366" t="s">
        <v>2872</v>
      </c>
      <c r="CX366" t="s">
        <v>2848</v>
      </c>
      <c r="CY366" t="s">
        <v>3083</v>
      </c>
    </row>
    <row r="367" spans="1:103" ht="11.25" customHeight="1">
      <c r="A367" t="s">
        <v>243</v>
      </c>
      <c r="B367" t="s">
        <v>243</v>
      </c>
      <c r="C367" t="s">
        <v>243</v>
      </c>
      <c r="D367" t="s">
        <v>243</v>
      </c>
      <c r="E367" t="s">
        <v>243</v>
      </c>
      <c r="F367" t="s">
        <v>2816</v>
      </c>
      <c r="G367" t="s">
        <v>243</v>
      </c>
      <c r="H367" t="s">
        <v>243</v>
      </c>
      <c r="I367" t="s">
        <v>3817</v>
      </c>
      <c r="J367" t="s">
        <v>243</v>
      </c>
      <c r="K367" t="s">
        <v>458</v>
      </c>
      <c r="L367" t="s">
        <v>243</v>
      </c>
      <c r="M367" t="s">
        <v>114</v>
      </c>
      <c r="N367" t="s">
        <v>243</v>
      </c>
      <c r="O367" t="s">
        <v>2819</v>
      </c>
      <c r="P367" t="s">
        <v>4449</v>
      </c>
      <c r="Q367" t="s">
        <v>2821</v>
      </c>
      <c r="R367" t="s">
        <v>200</v>
      </c>
      <c r="S367" t="s">
        <v>200</v>
      </c>
      <c r="T367" t="s">
        <v>2822</v>
      </c>
      <c r="U367" t="s">
        <v>2822</v>
      </c>
      <c r="V367" t="s">
        <v>2823</v>
      </c>
      <c r="W367" t="s">
        <v>3818</v>
      </c>
      <c r="X367" t="s">
        <v>3819</v>
      </c>
      <c r="Y367" t="s">
        <v>3610</v>
      </c>
      <c r="Z367" t="s">
        <v>3820</v>
      </c>
      <c r="AA367" t="s">
        <v>3484</v>
      </c>
      <c r="AB367" t="s">
        <v>2907</v>
      </c>
      <c r="AC367" t="s">
        <v>2829</v>
      </c>
      <c r="AD367" t="s">
        <v>2830</v>
      </c>
      <c r="AE367" t="s">
        <v>2831</v>
      </c>
      <c r="AF367" t="s">
        <v>3821</v>
      </c>
      <c r="AG367" t="s">
        <v>3822</v>
      </c>
      <c r="AH367" t="s">
        <v>2834</v>
      </c>
      <c r="AI367" t="s">
        <v>2835</v>
      </c>
      <c r="AJ367" t="s">
        <v>2960</v>
      </c>
      <c r="AK367" t="s">
        <v>3823</v>
      </c>
      <c r="AL367" t="s">
        <v>3484</v>
      </c>
      <c r="AM367" t="s">
        <v>2907</v>
      </c>
      <c r="AN367" t="s">
        <v>2829</v>
      </c>
      <c r="AO367" t="s">
        <v>2839</v>
      </c>
      <c r="AP367" t="s">
        <v>2840</v>
      </c>
      <c r="AQ367" t="s">
        <v>2841</v>
      </c>
      <c r="AR367" t="s">
        <v>3824</v>
      </c>
      <c r="AS367" t="s">
        <v>3824</v>
      </c>
      <c r="AT367" t="s">
        <v>2829</v>
      </c>
      <c r="AU367" t="s">
        <v>2829</v>
      </c>
      <c r="AV367" t="s">
        <v>2829</v>
      </c>
      <c r="AW367" t="s">
        <v>2829</v>
      </c>
      <c r="AX367" t="s">
        <v>2829</v>
      </c>
      <c r="AY367" t="s">
        <v>2829</v>
      </c>
      <c r="AZ367" t="s">
        <v>2829</v>
      </c>
      <c r="BA367" t="s">
        <v>2829</v>
      </c>
      <c r="BB367" t="s">
        <v>2829</v>
      </c>
      <c r="BC367" t="s">
        <v>2829</v>
      </c>
      <c r="BD367" t="s">
        <v>2842</v>
      </c>
      <c r="BE367" t="s">
        <v>2842</v>
      </c>
      <c r="BF367" t="s">
        <v>243</v>
      </c>
      <c r="BG367" t="s">
        <v>243</v>
      </c>
      <c r="BH367" t="s">
        <v>243</v>
      </c>
      <c r="BI367" t="s">
        <v>243</v>
      </c>
      <c r="BJ367" t="s">
        <v>2829</v>
      </c>
      <c r="BK367" t="s">
        <v>243</v>
      </c>
      <c r="BL367" t="s">
        <v>243</v>
      </c>
      <c r="BM367" t="s">
        <v>243</v>
      </c>
      <c r="BN367" t="s">
        <v>243</v>
      </c>
      <c r="BO367" t="s">
        <v>243</v>
      </c>
      <c r="BP367" t="s">
        <v>2829</v>
      </c>
      <c r="BQ367" t="s">
        <v>243</v>
      </c>
      <c r="BR367" t="s">
        <v>243</v>
      </c>
      <c r="BS367" t="s">
        <v>243</v>
      </c>
      <c r="BT367" t="s">
        <v>243</v>
      </c>
      <c r="BU367" t="s">
        <v>243</v>
      </c>
      <c r="BV367" t="s">
        <v>2829</v>
      </c>
      <c r="BW367" t="s">
        <v>243</v>
      </c>
      <c r="BX367" t="s">
        <v>243</v>
      </c>
      <c r="BY367" t="s">
        <v>243</v>
      </c>
      <c r="BZ367" t="s">
        <v>243</v>
      </c>
      <c r="CA367" t="s">
        <v>243</v>
      </c>
      <c r="CB367" t="s">
        <v>3825</v>
      </c>
      <c r="CC367" t="s">
        <v>3825</v>
      </c>
      <c r="CD367" t="s">
        <v>243</v>
      </c>
      <c r="CE367" t="s">
        <v>243</v>
      </c>
      <c r="CF367" t="s">
        <v>243</v>
      </c>
      <c r="CG367" t="s">
        <v>243</v>
      </c>
      <c r="CH367" t="s">
        <v>2829</v>
      </c>
      <c r="CI367" t="s">
        <v>243</v>
      </c>
      <c r="CJ367" t="s">
        <v>243</v>
      </c>
      <c r="CK367" t="s">
        <v>243</v>
      </c>
      <c r="CL367" t="s">
        <v>243</v>
      </c>
      <c r="CM367" t="s">
        <v>243</v>
      </c>
      <c r="CN367" t="s">
        <v>2960</v>
      </c>
      <c r="CO367" t="s">
        <v>2843</v>
      </c>
      <c r="CP367" t="s">
        <v>2844</v>
      </c>
      <c r="CQ367" t="s">
        <v>430</v>
      </c>
      <c r="CR367" t="s">
        <v>2845</v>
      </c>
      <c r="CS367" t="s">
        <v>431</v>
      </c>
      <c r="CT367" t="s">
        <v>430</v>
      </c>
      <c r="CU367" t="s">
        <v>2846</v>
      </c>
      <c r="CV367" t="s">
        <v>2847</v>
      </c>
      <c r="CW367" t="s">
        <v>2845</v>
      </c>
      <c r="CX367" t="s">
        <v>2848</v>
      </c>
      <c r="CY367" t="s">
        <v>3826</v>
      </c>
    </row>
    <row r="368" spans="1:103" ht="11.25" customHeight="1">
      <c r="A368" t="s">
        <v>243</v>
      </c>
      <c r="B368" t="s">
        <v>243</v>
      </c>
      <c r="C368" t="s">
        <v>243</v>
      </c>
      <c r="D368" t="s">
        <v>243</v>
      </c>
      <c r="E368" t="s">
        <v>243</v>
      </c>
      <c r="F368" t="s">
        <v>2816</v>
      </c>
      <c r="G368" t="s">
        <v>243</v>
      </c>
      <c r="H368" t="s">
        <v>243</v>
      </c>
      <c r="I368" t="s">
        <v>3362</v>
      </c>
      <c r="J368" t="s">
        <v>243</v>
      </c>
      <c r="K368" t="s">
        <v>435</v>
      </c>
      <c r="L368" t="s">
        <v>243</v>
      </c>
      <c r="M368" t="s">
        <v>114</v>
      </c>
      <c r="N368" t="s">
        <v>243</v>
      </c>
      <c r="O368" t="s">
        <v>3356</v>
      </c>
      <c r="P368" t="s">
        <v>4448</v>
      </c>
      <c r="Q368" t="s">
        <v>2821</v>
      </c>
      <c r="R368" t="s">
        <v>190</v>
      </c>
      <c r="S368" t="s">
        <v>190</v>
      </c>
      <c r="T368" t="s">
        <v>405</v>
      </c>
      <c r="U368" t="s">
        <v>405</v>
      </c>
      <c r="V368" t="s">
        <v>406</v>
      </c>
      <c r="W368" t="s">
        <v>3155</v>
      </c>
      <c r="X368" t="s">
        <v>3156</v>
      </c>
      <c r="Y368" t="s">
        <v>3363</v>
      </c>
      <c r="Z368" t="s">
        <v>3364</v>
      </c>
      <c r="AA368" t="s">
        <v>2920</v>
      </c>
      <c r="AB368" t="s">
        <v>2920</v>
      </c>
      <c r="AC368" t="s">
        <v>243</v>
      </c>
      <c r="AD368" t="s">
        <v>2883</v>
      </c>
      <c r="AE368" t="s">
        <v>2831</v>
      </c>
      <c r="AF368" t="s">
        <v>3161</v>
      </c>
      <c r="AG368" t="s">
        <v>3162</v>
      </c>
      <c r="AH368" t="s">
        <v>2834</v>
      </c>
      <c r="AI368" t="s">
        <v>2835</v>
      </c>
      <c r="AJ368" t="s">
        <v>3184</v>
      </c>
      <c r="AK368" t="s">
        <v>3365</v>
      </c>
      <c r="AL368" t="s">
        <v>243</v>
      </c>
      <c r="AM368" t="s">
        <v>243</v>
      </c>
      <c r="AN368" t="s">
        <v>243</v>
      </c>
      <c r="AR368" t="s">
        <v>243</v>
      </c>
      <c r="AS368" t="s">
        <v>243</v>
      </c>
      <c r="AT368" t="s">
        <v>243</v>
      </c>
      <c r="AU368" t="s">
        <v>243</v>
      </c>
      <c r="AV368" t="s">
        <v>243</v>
      </c>
      <c r="AW368" t="s">
        <v>243</v>
      </c>
      <c r="AX368" t="s">
        <v>243</v>
      </c>
      <c r="AY368" t="s">
        <v>243</v>
      </c>
      <c r="AZ368" t="s">
        <v>243</v>
      </c>
      <c r="BA368" t="s">
        <v>243</v>
      </c>
      <c r="BB368" t="s">
        <v>243</v>
      </c>
      <c r="BC368" t="s">
        <v>243</v>
      </c>
      <c r="BD368" t="s">
        <v>243</v>
      </c>
      <c r="BE368" t="s">
        <v>243</v>
      </c>
      <c r="BF368" t="s">
        <v>243</v>
      </c>
      <c r="BG368" t="s">
        <v>243</v>
      </c>
      <c r="BH368" t="s">
        <v>243</v>
      </c>
      <c r="BI368" t="s">
        <v>243</v>
      </c>
      <c r="BJ368" t="s">
        <v>243</v>
      </c>
      <c r="BK368" t="s">
        <v>243</v>
      </c>
      <c r="BL368" t="s">
        <v>243</v>
      </c>
      <c r="BM368" t="s">
        <v>243</v>
      </c>
      <c r="BN368" t="s">
        <v>243</v>
      </c>
      <c r="BO368" t="s">
        <v>243</v>
      </c>
      <c r="BP368" t="s">
        <v>243</v>
      </c>
      <c r="BQ368" t="s">
        <v>243</v>
      </c>
      <c r="BR368" t="s">
        <v>243</v>
      </c>
      <c r="BS368" t="s">
        <v>243</v>
      </c>
      <c r="BT368" t="s">
        <v>243</v>
      </c>
      <c r="BU368" t="s">
        <v>243</v>
      </c>
      <c r="BV368" t="s">
        <v>243</v>
      </c>
      <c r="BW368" t="s">
        <v>243</v>
      </c>
      <c r="BX368" t="s">
        <v>243</v>
      </c>
      <c r="BY368" t="s">
        <v>243</v>
      </c>
      <c r="BZ368" t="s">
        <v>243</v>
      </c>
      <c r="CA368" t="s">
        <v>243</v>
      </c>
      <c r="CB368" t="s">
        <v>243</v>
      </c>
      <c r="CC368" t="s">
        <v>243</v>
      </c>
      <c r="CD368" t="s">
        <v>243</v>
      </c>
      <c r="CE368" t="s">
        <v>243</v>
      </c>
      <c r="CF368" t="s">
        <v>243</v>
      </c>
      <c r="CG368" t="s">
        <v>243</v>
      </c>
      <c r="CH368" t="s">
        <v>243</v>
      </c>
      <c r="CI368" t="s">
        <v>243</v>
      </c>
      <c r="CJ368" t="s">
        <v>243</v>
      </c>
      <c r="CK368" t="s">
        <v>243</v>
      </c>
      <c r="CL368" t="s">
        <v>243</v>
      </c>
      <c r="CM368" t="s">
        <v>243</v>
      </c>
      <c r="CN368" t="s">
        <v>243</v>
      </c>
      <c r="CO368" t="s">
        <v>2843</v>
      </c>
      <c r="CP368" t="s">
        <v>2844</v>
      </c>
      <c r="CQ368" t="s">
        <v>430</v>
      </c>
      <c r="CR368" t="s">
        <v>3361</v>
      </c>
      <c r="CS368" t="s">
        <v>431</v>
      </c>
      <c r="CT368" t="s">
        <v>430</v>
      </c>
      <c r="CU368" t="s">
        <v>268</v>
      </c>
      <c r="CV368" t="s">
        <v>432</v>
      </c>
      <c r="CW368" t="s">
        <v>3361</v>
      </c>
      <c r="CX368" t="s">
        <v>2848</v>
      </c>
      <c r="CY368" t="s">
        <v>436</v>
      </c>
    </row>
    <row r="369" spans="1:103" ht="11.25" customHeight="1">
      <c r="A369" t="s">
        <v>243</v>
      </c>
      <c r="B369" t="s">
        <v>243</v>
      </c>
      <c r="C369" t="s">
        <v>243</v>
      </c>
      <c r="D369" t="s">
        <v>243</v>
      </c>
      <c r="E369" t="s">
        <v>243</v>
      </c>
      <c r="F369" t="s">
        <v>2816</v>
      </c>
      <c r="G369" t="s">
        <v>243</v>
      </c>
      <c r="H369" t="s">
        <v>243</v>
      </c>
      <c r="I369" t="s">
        <v>4136</v>
      </c>
      <c r="J369" t="s">
        <v>243</v>
      </c>
      <c r="K369" t="s">
        <v>438</v>
      </c>
      <c r="L369" t="s">
        <v>243</v>
      </c>
      <c r="M369" t="s">
        <v>114</v>
      </c>
      <c r="N369" t="s">
        <v>243</v>
      </c>
      <c r="O369" t="s">
        <v>3356</v>
      </c>
      <c r="P369" t="s">
        <v>4448</v>
      </c>
      <c r="Q369" t="s">
        <v>2821</v>
      </c>
      <c r="R369" t="s">
        <v>190</v>
      </c>
      <c r="S369" t="s">
        <v>190</v>
      </c>
      <c r="T369" t="s">
        <v>405</v>
      </c>
      <c r="U369" t="s">
        <v>405</v>
      </c>
      <c r="V369" t="s">
        <v>406</v>
      </c>
      <c r="W369" t="s">
        <v>3155</v>
      </c>
      <c r="X369" t="s">
        <v>3156</v>
      </c>
      <c r="Y369" t="s">
        <v>4137</v>
      </c>
      <c r="Z369" t="s">
        <v>596</v>
      </c>
      <c r="AA369" t="s">
        <v>3393</v>
      </c>
      <c r="AB369" t="s">
        <v>4013</v>
      </c>
      <c r="AC369" t="s">
        <v>243</v>
      </c>
      <c r="AD369" t="s">
        <v>2883</v>
      </c>
      <c r="AE369" t="s">
        <v>2831</v>
      </c>
      <c r="AF369" t="s">
        <v>3161</v>
      </c>
      <c r="AG369" t="s">
        <v>3162</v>
      </c>
      <c r="AH369" t="s">
        <v>2834</v>
      </c>
      <c r="AI369" t="s">
        <v>2835</v>
      </c>
      <c r="AJ369" t="s">
        <v>2829</v>
      </c>
      <c r="AK369" t="s">
        <v>4138</v>
      </c>
      <c r="AL369" t="s">
        <v>243</v>
      </c>
      <c r="AM369" t="s">
        <v>243</v>
      </c>
      <c r="AN369" t="s">
        <v>243</v>
      </c>
      <c r="AR369" t="s">
        <v>243</v>
      </c>
      <c r="AS369" t="s">
        <v>243</v>
      </c>
      <c r="AT369" t="s">
        <v>243</v>
      </c>
      <c r="AU369" t="s">
        <v>243</v>
      </c>
      <c r="AV369" t="s">
        <v>243</v>
      </c>
      <c r="AW369" t="s">
        <v>243</v>
      </c>
      <c r="AX369" t="s">
        <v>243</v>
      </c>
      <c r="AY369" t="s">
        <v>243</v>
      </c>
      <c r="AZ369" t="s">
        <v>243</v>
      </c>
      <c r="BA369" t="s">
        <v>243</v>
      </c>
      <c r="BB369" t="s">
        <v>243</v>
      </c>
      <c r="BC369" t="s">
        <v>243</v>
      </c>
      <c r="BD369" t="s">
        <v>243</v>
      </c>
      <c r="BE369" t="s">
        <v>243</v>
      </c>
      <c r="BF369" t="s">
        <v>243</v>
      </c>
      <c r="BG369" t="s">
        <v>243</v>
      </c>
      <c r="BH369" t="s">
        <v>243</v>
      </c>
      <c r="BI369" t="s">
        <v>243</v>
      </c>
      <c r="BJ369" t="s">
        <v>243</v>
      </c>
      <c r="BK369" t="s">
        <v>243</v>
      </c>
      <c r="BL369" t="s">
        <v>243</v>
      </c>
      <c r="BM369" t="s">
        <v>243</v>
      </c>
      <c r="BN369" t="s">
        <v>243</v>
      </c>
      <c r="BO369" t="s">
        <v>243</v>
      </c>
      <c r="BP369" t="s">
        <v>243</v>
      </c>
      <c r="BQ369" t="s">
        <v>243</v>
      </c>
      <c r="BR369" t="s">
        <v>243</v>
      </c>
      <c r="BS369" t="s">
        <v>243</v>
      </c>
      <c r="BT369" t="s">
        <v>243</v>
      </c>
      <c r="BU369" t="s">
        <v>243</v>
      </c>
      <c r="BV369" t="s">
        <v>243</v>
      </c>
      <c r="BW369" t="s">
        <v>243</v>
      </c>
      <c r="BX369" t="s">
        <v>243</v>
      </c>
      <c r="BY369" t="s">
        <v>243</v>
      </c>
      <c r="BZ369" t="s">
        <v>243</v>
      </c>
      <c r="CA369" t="s">
        <v>243</v>
      </c>
      <c r="CB369" t="s">
        <v>243</v>
      </c>
      <c r="CC369" t="s">
        <v>243</v>
      </c>
      <c r="CD369" t="s">
        <v>243</v>
      </c>
      <c r="CE369" t="s">
        <v>243</v>
      </c>
      <c r="CF369" t="s">
        <v>243</v>
      </c>
      <c r="CG369" t="s">
        <v>243</v>
      </c>
      <c r="CH369" t="s">
        <v>243</v>
      </c>
      <c r="CI369" t="s">
        <v>243</v>
      </c>
      <c r="CJ369" t="s">
        <v>243</v>
      </c>
      <c r="CK369" t="s">
        <v>243</v>
      </c>
      <c r="CL369" t="s">
        <v>243</v>
      </c>
      <c r="CM369" t="s">
        <v>243</v>
      </c>
      <c r="CN369" t="s">
        <v>243</v>
      </c>
      <c r="CO369" t="s">
        <v>2843</v>
      </c>
      <c r="CP369" t="s">
        <v>2844</v>
      </c>
      <c r="CQ369" t="s">
        <v>430</v>
      </c>
      <c r="CR369" t="s">
        <v>3361</v>
      </c>
      <c r="CS369" t="s">
        <v>431</v>
      </c>
      <c r="CT369" t="s">
        <v>430</v>
      </c>
      <c r="CU369" t="s">
        <v>268</v>
      </c>
      <c r="CV369" t="s">
        <v>432</v>
      </c>
      <c r="CW369" t="s">
        <v>3361</v>
      </c>
      <c r="CX369" t="s">
        <v>2848</v>
      </c>
      <c r="CY369" t="s">
        <v>439</v>
      </c>
    </row>
    <row r="370" spans="1:103" ht="11.25" customHeight="1">
      <c r="A370" t="s">
        <v>243</v>
      </c>
      <c r="B370" t="s">
        <v>243</v>
      </c>
      <c r="C370" t="s">
        <v>243</v>
      </c>
      <c r="D370" t="s">
        <v>243</v>
      </c>
      <c r="E370" t="s">
        <v>243</v>
      </c>
      <c r="F370" t="s">
        <v>2816</v>
      </c>
      <c r="G370" t="s">
        <v>243</v>
      </c>
      <c r="H370" t="s">
        <v>243</v>
      </c>
      <c r="I370" t="s">
        <v>4311</v>
      </c>
      <c r="J370" t="s">
        <v>243</v>
      </c>
      <c r="K370" t="s">
        <v>2818</v>
      </c>
      <c r="L370" t="s">
        <v>243</v>
      </c>
      <c r="M370" t="s">
        <v>114</v>
      </c>
      <c r="N370" t="s">
        <v>243</v>
      </c>
      <c r="O370" t="s">
        <v>2819</v>
      </c>
      <c r="P370" t="s">
        <v>4448</v>
      </c>
      <c r="Q370" t="s">
        <v>2821</v>
      </c>
      <c r="R370" t="s">
        <v>200</v>
      </c>
      <c r="S370" t="s">
        <v>200</v>
      </c>
      <c r="T370" t="s">
        <v>2822</v>
      </c>
      <c r="U370" t="s">
        <v>2822</v>
      </c>
      <c r="V370" t="s">
        <v>2823</v>
      </c>
      <c r="W370" t="s">
        <v>4167</v>
      </c>
      <c r="X370" t="s">
        <v>4168</v>
      </c>
      <c r="Y370" t="s">
        <v>2929</v>
      </c>
      <c r="Z370" t="s">
        <v>443</v>
      </c>
      <c r="AA370" t="s">
        <v>4332</v>
      </c>
      <c r="AB370" t="s">
        <v>4333</v>
      </c>
      <c r="AC370" t="s">
        <v>2829</v>
      </c>
      <c r="AD370" t="s">
        <v>2830</v>
      </c>
      <c r="AE370" t="s">
        <v>2857</v>
      </c>
      <c r="AF370" t="s">
        <v>2867</v>
      </c>
      <c r="AG370" t="s">
        <v>2867</v>
      </c>
      <c r="AH370" t="s">
        <v>2834</v>
      </c>
      <c r="AI370" t="s">
        <v>2835</v>
      </c>
      <c r="AJ370" t="s">
        <v>2829</v>
      </c>
      <c r="AK370" t="s">
        <v>2868</v>
      </c>
      <c r="AL370" t="s">
        <v>4332</v>
      </c>
      <c r="AM370" t="s">
        <v>3703</v>
      </c>
      <c r="AN370" t="s">
        <v>2829</v>
      </c>
      <c r="AO370" t="s">
        <v>2839</v>
      </c>
      <c r="AP370" t="s">
        <v>2840</v>
      </c>
      <c r="AQ370" t="s">
        <v>2841</v>
      </c>
      <c r="AR370" t="s">
        <v>4334</v>
      </c>
      <c r="AS370" t="s">
        <v>4334</v>
      </c>
      <c r="AT370" t="s">
        <v>2829</v>
      </c>
      <c r="AU370" t="s">
        <v>2829</v>
      </c>
      <c r="AV370" t="s">
        <v>2829</v>
      </c>
      <c r="AW370" t="s">
        <v>2829</v>
      </c>
      <c r="AX370" t="s">
        <v>2829</v>
      </c>
      <c r="AY370" t="s">
        <v>2829</v>
      </c>
      <c r="AZ370" t="s">
        <v>2829</v>
      </c>
      <c r="BA370" t="s">
        <v>2829</v>
      </c>
      <c r="BB370" t="s">
        <v>2829</v>
      </c>
      <c r="BC370" t="s">
        <v>2829</v>
      </c>
      <c r="BD370" t="s">
        <v>4334</v>
      </c>
      <c r="BE370" t="s">
        <v>4334</v>
      </c>
      <c r="BF370" t="s">
        <v>243</v>
      </c>
      <c r="BG370" t="s">
        <v>243</v>
      </c>
      <c r="BH370" t="s">
        <v>243</v>
      </c>
      <c r="BI370" t="s">
        <v>243</v>
      </c>
      <c r="BJ370" t="s">
        <v>2829</v>
      </c>
      <c r="BK370" t="s">
        <v>243</v>
      </c>
      <c r="BL370" t="s">
        <v>243</v>
      </c>
      <c r="BM370" t="s">
        <v>243</v>
      </c>
      <c r="BN370" t="s">
        <v>243</v>
      </c>
      <c r="BO370" t="s">
        <v>243</v>
      </c>
      <c r="BP370" t="s">
        <v>2829</v>
      </c>
      <c r="BQ370" t="s">
        <v>243</v>
      </c>
      <c r="BR370" t="s">
        <v>243</v>
      </c>
      <c r="BS370" t="s">
        <v>243</v>
      </c>
      <c r="BT370" t="s">
        <v>243</v>
      </c>
      <c r="BU370" t="s">
        <v>243</v>
      </c>
      <c r="BV370" t="s">
        <v>2829</v>
      </c>
      <c r="BW370" t="s">
        <v>243</v>
      </c>
      <c r="BX370" t="s">
        <v>243</v>
      </c>
      <c r="BY370" t="s">
        <v>243</v>
      </c>
      <c r="BZ370" t="s">
        <v>243</v>
      </c>
      <c r="CA370" t="s">
        <v>243</v>
      </c>
      <c r="CB370" t="s">
        <v>2829</v>
      </c>
      <c r="CC370" t="s">
        <v>243</v>
      </c>
      <c r="CD370" t="s">
        <v>243</v>
      </c>
      <c r="CE370" t="s">
        <v>243</v>
      </c>
      <c r="CF370" t="s">
        <v>243</v>
      </c>
      <c r="CG370" t="s">
        <v>243</v>
      </c>
      <c r="CH370" t="s">
        <v>2829</v>
      </c>
      <c r="CI370" t="s">
        <v>243</v>
      </c>
      <c r="CJ370" t="s">
        <v>243</v>
      </c>
      <c r="CK370" t="s">
        <v>243</v>
      </c>
      <c r="CL370" t="s">
        <v>243</v>
      </c>
      <c r="CM370" t="s">
        <v>243</v>
      </c>
      <c r="CN370" t="s">
        <v>2829</v>
      </c>
      <c r="CO370" t="s">
        <v>2843</v>
      </c>
      <c r="CP370" t="s">
        <v>2844</v>
      </c>
      <c r="CQ370" t="s">
        <v>430</v>
      </c>
      <c r="CR370" t="s">
        <v>2872</v>
      </c>
      <c r="CS370" t="s">
        <v>431</v>
      </c>
      <c r="CT370" t="s">
        <v>430</v>
      </c>
      <c r="CU370" t="s">
        <v>2846</v>
      </c>
      <c r="CV370" t="s">
        <v>2873</v>
      </c>
      <c r="CW370" t="s">
        <v>2872</v>
      </c>
      <c r="CX370" t="s">
        <v>2848</v>
      </c>
      <c r="CY370" t="s">
        <v>4335</v>
      </c>
    </row>
    <row r="371" spans="1:103" ht="11.25" customHeight="1">
      <c r="A371" t="s">
        <v>243</v>
      </c>
      <c r="B371" t="s">
        <v>243</v>
      </c>
      <c r="C371" t="s">
        <v>243</v>
      </c>
      <c r="D371" t="s">
        <v>243</v>
      </c>
      <c r="E371" t="s">
        <v>243</v>
      </c>
      <c r="F371" t="s">
        <v>2816</v>
      </c>
      <c r="G371" t="s">
        <v>243</v>
      </c>
      <c r="H371" t="s">
        <v>243</v>
      </c>
      <c r="I371" t="s">
        <v>448</v>
      </c>
      <c r="J371" t="s">
        <v>243</v>
      </c>
      <c r="K371" t="s">
        <v>464</v>
      </c>
      <c r="L371" t="s">
        <v>243</v>
      </c>
      <c r="M371" t="s">
        <v>114</v>
      </c>
      <c r="N371" t="s">
        <v>243</v>
      </c>
      <c r="O371" t="s">
        <v>2819</v>
      </c>
      <c r="P371" t="s">
        <v>4448</v>
      </c>
      <c r="Q371" t="s">
        <v>2821</v>
      </c>
      <c r="R371" t="s">
        <v>200</v>
      </c>
      <c r="S371" t="s">
        <v>200</v>
      </c>
      <c r="T371" t="s">
        <v>2875</v>
      </c>
      <c r="U371" t="s">
        <v>2875</v>
      </c>
      <c r="V371" t="s">
        <v>2876</v>
      </c>
      <c r="W371" t="s">
        <v>2877</v>
      </c>
      <c r="X371" t="s">
        <v>2878</v>
      </c>
      <c r="Y371" t="s">
        <v>2879</v>
      </c>
      <c r="Z371" t="s">
        <v>2880</v>
      </c>
      <c r="AA371" t="s">
        <v>2881</v>
      </c>
      <c r="AB371" t="s">
        <v>2882</v>
      </c>
      <c r="AC371" t="s">
        <v>2829</v>
      </c>
      <c r="AD371" t="s">
        <v>2883</v>
      </c>
      <c r="AE371" t="s">
        <v>2884</v>
      </c>
      <c r="AF371" t="s">
        <v>2885</v>
      </c>
      <c r="AG371" t="s">
        <v>2886</v>
      </c>
      <c r="AH371" t="s">
        <v>2834</v>
      </c>
      <c r="AI371" t="s">
        <v>2887</v>
      </c>
      <c r="AJ371" t="s">
        <v>2888</v>
      </c>
      <c r="AK371" t="s">
        <v>2889</v>
      </c>
      <c r="AL371" t="s">
        <v>2881</v>
      </c>
      <c r="AM371" t="s">
        <v>2882</v>
      </c>
      <c r="AN371" t="s">
        <v>2829</v>
      </c>
      <c r="AO371" t="s">
        <v>2839</v>
      </c>
      <c r="AP371" t="s">
        <v>2840</v>
      </c>
      <c r="AQ371" t="s">
        <v>2841</v>
      </c>
      <c r="AR371" t="s">
        <v>2890</v>
      </c>
      <c r="AS371" t="s">
        <v>2891</v>
      </c>
      <c r="AT371" t="s">
        <v>2892</v>
      </c>
      <c r="AU371" t="s">
        <v>2829</v>
      </c>
      <c r="AV371" t="s">
        <v>2829</v>
      </c>
      <c r="AW371" t="s">
        <v>2829</v>
      </c>
      <c r="AX371" t="s">
        <v>2829</v>
      </c>
      <c r="AY371" t="s">
        <v>2829</v>
      </c>
      <c r="AZ371" t="s">
        <v>2829</v>
      </c>
      <c r="BA371" t="s">
        <v>2829</v>
      </c>
      <c r="BB371" t="s">
        <v>2829</v>
      </c>
      <c r="BC371" t="s">
        <v>2829</v>
      </c>
      <c r="BD371" t="s">
        <v>2893</v>
      </c>
      <c r="BE371" t="s">
        <v>2894</v>
      </c>
      <c r="BF371" t="s">
        <v>2895</v>
      </c>
      <c r="BG371" t="s">
        <v>243</v>
      </c>
      <c r="BH371" t="s">
        <v>243</v>
      </c>
      <c r="BI371" t="s">
        <v>243</v>
      </c>
      <c r="BJ371" t="s">
        <v>2829</v>
      </c>
      <c r="BK371" t="s">
        <v>243</v>
      </c>
      <c r="BL371" t="s">
        <v>243</v>
      </c>
      <c r="BM371" t="s">
        <v>243</v>
      </c>
      <c r="BN371" t="s">
        <v>243</v>
      </c>
      <c r="BO371" t="s">
        <v>243</v>
      </c>
      <c r="BP371" t="s">
        <v>2896</v>
      </c>
      <c r="BQ371" t="s">
        <v>2897</v>
      </c>
      <c r="BR371" t="s">
        <v>2898</v>
      </c>
      <c r="BS371" t="s">
        <v>243</v>
      </c>
      <c r="BT371" t="s">
        <v>243</v>
      </c>
      <c r="BU371" t="s">
        <v>243</v>
      </c>
      <c r="BV371" t="s">
        <v>2829</v>
      </c>
      <c r="BW371" t="s">
        <v>243</v>
      </c>
      <c r="BX371" t="s">
        <v>243</v>
      </c>
      <c r="BY371" t="s">
        <v>243</v>
      </c>
      <c r="BZ371" t="s">
        <v>243</v>
      </c>
      <c r="CA371" t="s">
        <v>243</v>
      </c>
      <c r="CB371" t="s">
        <v>2829</v>
      </c>
      <c r="CC371" t="s">
        <v>243</v>
      </c>
      <c r="CD371" t="s">
        <v>243</v>
      </c>
      <c r="CE371" t="s">
        <v>243</v>
      </c>
      <c r="CF371" t="s">
        <v>243</v>
      </c>
      <c r="CG371" t="s">
        <v>243</v>
      </c>
      <c r="CH371" t="s">
        <v>2829</v>
      </c>
      <c r="CI371" t="s">
        <v>243</v>
      </c>
      <c r="CJ371" t="s">
        <v>243</v>
      </c>
      <c r="CK371" t="s">
        <v>243</v>
      </c>
      <c r="CL371" t="s">
        <v>243</v>
      </c>
      <c r="CM371" t="s">
        <v>243</v>
      </c>
      <c r="CN371" t="s">
        <v>2888</v>
      </c>
      <c r="CO371" t="s">
        <v>2843</v>
      </c>
      <c r="CP371" t="s">
        <v>2844</v>
      </c>
      <c r="CQ371" t="s">
        <v>430</v>
      </c>
      <c r="CR371" t="s">
        <v>2899</v>
      </c>
      <c r="CS371" t="s">
        <v>431</v>
      </c>
      <c r="CT371" t="s">
        <v>430</v>
      </c>
      <c r="CU371" t="s">
        <v>2846</v>
      </c>
      <c r="CV371" t="s">
        <v>2900</v>
      </c>
      <c r="CW371" t="s">
        <v>2899</v>
      </c>
      <c r="CX371" t="s">
        <v>2848</v>
      </c>
      <c r="CY371" t="s">
        <v>2901</v>
      </c>
    </row>
    <row r="372" spans="1:103" ht="11.25" customHeight="1">
      <c r="A372" t="s">
        <v>243</v>
      </c>
      <c r="B372" t="s">
        <v>243</v>
      </c>
      <c r="C372" t="s">
        <v>243</v>
      </c>
      <c r="D372" t="s">
        <v>243</v>
      </c>
      <c r="E372" t="s">
        <v>243</v>
      </c>
      <c r="F372" t="s">
        <v>2816</v>
      </c>
      <c r="G372" t="s">
        <v>243</v>
      </c>
      <c r="H372" t="s">
        <v>243</v>
      </c>
      <c r="I372" t="s">
        <v>4377</v>
      </c>
      <c r="J372" t="s">
        <v>243</v>
      </c>
      <c r="K372" t="s">
        <v>2818</v>
      </c>
      <c r="L372" t="s">
        <v>243</v>
      </c>
      <c r="M372" t="s">
        <v>114</v>
      </c>
      <c r="N372" t="s">
        <v>243</v>
      </c>
      <c r="O372" t="s">
        <v>2819</v>
      </c>
      <c r="P372" t="s">
        <v>4448</v>
      </c>
      <c r="Q372" t="s">
        <v>2821</v>
      </c>
      <c r="R372" t="s">
        <v>200</v>
      </c>
      <c r="S372" t="s">
        <v>200</v>
      </c>
      <c r="T372" t="s">
        <v>2822</v>
      </c>
      <c r="U372" t="s">
        <v>2822</v>
      </c>
      <c r="V372" t="s">
        <v>2823</v>
      </c>
      <c r="W372" t="s">
        <v>4378</v>
      </c>
      <c r="X372" t="s">
        <v>4379</v>
      </c>
      <c r="Y372" t="s">
        <v>3380</v>
      </c>
      <c r="Z372" t="s">
        <v>4028</v>
      </c>
      <c r="AA372" t="s">
        <v>2855</v>
      </c>
      <c r="AB372" t="s">
        <v>3688</v>
      </c>
      <c r="AC372" t="s">
        <v>2829</v>
      </c>
      <c r="AD372" t="s">
        <v>2830</v>
      </c>
      <c r="AE372" t="s">
        <v>2857</v>
      </c>
      <c r="AF372" t="s">
        <v>3230</v>
      </c>
      <c r="AG372" t="s">
        <v>3230</v>
      </c>
      <c r="AH372" t="s">
        <v>2834</v>
      </c>
      <c r="AI372" t="s">
        <v>2835</v>
      </c>
      <c r="AJ372" t="s">
        <v>2829</v>
      </c>
      <c r="AK372" t="s">
        <v>2922</v>
      </c>
      <c r="AL372" t="s">
        <v>2855</v>
      </c>
      <c r="AM372" t="s">
        <v>3688</v>
      </c>
      <c r="AN372" t="s">
        <v>2829</v>
      </c>
      <c r="AO372" t="s">
        <v>2839</v>
      </c>
      <c r="AP372" t="s">
        <v>2840</v>
      </c>
      <c r="AQ372" t="s">
        <v>2841</v>
      </c>
      <c r="AR372" t="s">
        <v>3467</v>
      </c>
      <c r="AS372" t="s">
        <v>3467</v>
      </c>
      <c r="AT372" t="s">
        <v>2829</v>
      </c>
      <c r="AU372" t="s">
        <v>2829</v>
      </c>
      <c r="AV372" t="s">
        <v>2829</v>
      </c>
      <c r="AW372" t="s">
        <v>2829</v>
      </c>
      <c r="AX372" t="s">
        <v>2829</v>
      </c>
      <c r="AY372" t="s">
        <v>2829</v>
      </c>
      <c r="AZ372" t="s">
        <v>2829</v>
      </c>
      <c r="BA372" t="s">
        <v>2829</v>
      </c>
      <c r="BB372" t="s">
        <v>2829</v>
      </c>
      <c r="BC372" t="s">
        <v>2829</v>
      </c>
      <c r="BD372" t="s">
        <v>3467</v>
      </c>
      <c r="BE372" t="s">
        <v>3467</v>
      </c>
      <c r="BF372" t="s">
        <v>243</v>
      </c>
      <c r="BG372" t="s">
        <v>243</v>
      </c>
      <c r="BH372" t="s">
        <v>243</v>
      </c>
      <c r="BI372" t="s">
        <v>243</v>
      </c>
      <c r="BJ372" t="s">
        <v>2829</v>
      </c>
      <c r="BK372" t="s">
        <v>243</v>
      </c>
      <c r="BL372" t="s">
        <v>243</v>
      </c>
      <c r="BM372" t="s">
        <v>243</v>
      </c>
      <c r="BN372" t="s">
        <v>243</v>
      </c>
      <c r="BO372" t="s">
        <v>243</v>
      </c>
      <c r="BP372" t="s">
        <v>2829</v>
      </c>
      <c r="BQ372" t="s">
        <v>243</v>
      </c>
      <c r="BR372" t="s">
        <v>243</v>
      </c>
      <c r="BS372" t="s">
        <v>243</v>
      </c>
      <c r="BT372" t="s">
        <v>243</v>
      </c>
      <c r="BU372" t="s">
        <v>243</v>
      </c>
      <c r="BV372" t="s">
        <v>2829</v>
      </c>
      <c r="BW372" t="s">
        <v>243</v>
      </c>
      <c r="BX372" t="s">
        <v>243</v>
      </c>
      <c r="BY372" t="s">
        <v>243</v>
      </c>
      <c r="BZ372" t="s">
        <v>243</v>
      </c>
      <c r="CA372" t="s">
        <v>243</v>
      </c>
      <c r="CB372" t="s">
        <v>2829</v>
      </c>
      <c r="CC372" t="s">
        <v>243</v>
      </c>
      <c r="CD372" t="s">
        <v>243</v>
      </c>
      <c r="CE372" t="s">
        <v>243</v>
      </c>
      <c r="CF372" t="s">
        <v>243</v>
      </c>
      <c r="CG372" t="s">
        <v>243</v>
      </c>
      <c r="CH372" t="s">
        <v>2829</v>
      </c>
      <c r="CI372" t="s">
        <v>243</v>
      </c>
      <c r="CJ372" t="s">
        <v>243</v>
      </c>
      <c r="CK372" t="s">
        <v>243</v>
      </c>
      <c r="CL372" t="s">
        <v>243</v>
      </c>
      <c r="CM372" t="s">
        <v>243</v>
      </c>
      <c r="CN372" t="s">
        <v>2829</v>
      </c>
      <c r="CO372" t="s">
        <v>2924</v>
      </c>
      <c r="CP372" t="s">
        <v>2844</v>
      </c>
      <c r="CQ372" t="s">
        <v>430</v>
      </c>
      <c r="CR372" t="s">
        <v>2872</v>
      </c>
      <c r="CS372" t="s">
        <v>431</v>
      </c>
      <c r="CT372" t="s">
        <v>430</v>
      </c>
      <c r="CU372" t="s">
        <v>2846</v>
      </c>
      <c r="CV372" t="s">
        <v>2873</v>
      </c>
      <c r="CW372" t="s">
        <v>2872</v>
      </c>
      <c r="CX372" t="s">
        <v>2848</v>
      </c>
      <c r="CY372" t="s">
        <v>4380</v>
      </c>
    </row>
    <row r="373" spans="1:103" ht="11.25" customHeight="1">
      <c r="A373" t="s">
        <v>243</v>
      </c>
      <c r="B373" t="s">
        <v>243</v>
      </c>
      <c r="C373" t="s">
        <v>243</v>
      </c>
      <c r="D373" t="s">
        <v>243</v>
      </c>
      <c r="E373" t="s">
        <v>243</v>
      </c>
      <c r="F373" t="s">
        <v>2816</v>
      </c>
      <c r="G373" t="s">
        <v>243</v>
      </c>
      <c r="H373" t="s">
        <v>243</v>
      </c>
      <c r="I373" t="s">
        <v>341</v>
      </c>
      <c r="J373" t="s">
        <v>243</v>
      </c>
      <c r="K373" t="s">
        <v>3991</v>
      </c>
      <c r="L373" t="s">
        <v>243</v>
      </c>
      <c r="M373" t="s">
        <v>114</v>
      </c>
      <c r="N373" t="s">
        <v>243</v>
      </c>
      <c r="O373" t="s">
        <v>2819</v>
      </c>
      <c r="P373" t="s">
        <v>4448</v>
      </c>
      <c r="Q373" t="s">
        <v>2821</v>
      </c>
      <c r="R373" t="s">
        <v>200</v>
      </c>
      <c r="S373" t="s">
        <v>200</v>
      </c>
      <c r="T373" t="s">
        <v>3282</v>
      </c>
      <c r="U373" t="s">
        <v>3282</v>
      </c>
      <c r="V373" t="s">
        <v>3283</v>
      </c>
      <c r="W373" t="s">
        <v>3284</v>
      </c>
      <c r="X373" t="s">
        <v>3285</v>
      </c>
      <c r="Y373" t="s">
        <v>3992</v>
      </c>
      <c r="Z373" t="s">
        <v>457</v>
      </c>
      <c r="AA373" t="s">
        <v>3993</v>
      </c>
      <c r="AB373" t="s">
        <v>3994</v>
      </c>
      <c r="AC373" t="s">
        <v>2829</v>
      </c>
      <c r="AD373" t="s">
        <v>2883</v>
      </c>
      <c r="AE373" t="s">
        <v>2884</v>
      </c>
      <c r="AF373" t="s">
        <v>4470</v>
      </c>
      <c r="AG373" t="s">
        <v>4142</v>
      </c>
      <c r="AH373" t="s">
        <v>2834</v>
      </c>
      <c r="AI373" t="s">
        <v>2887</v>
      </c>
      <c r="AJ373" t="s">
        <v>2888</v>
      </c>
      <c r="AK373" t="s">
        <v>3949</v>
      </c>
      <c r="AL373" t="s">
        <v>3993</v>
      </c>
      <c r="AM373" t="s">
        <v>3994</v>
      </c>
      <c r="AN373" t="s">
        <v>2829</v>
      </c>
      <c r="AO373" t="s">
        <v>2839</v>
      </c>
      <c r="AP373" t="s">
        <v>2840</v>
      </c>
      <c r="AQ373" t="s">
        <v>2841</v>
      </c>
      <c r="AR373" t="s">
        <v>3996</v>
      </c>
      <c r="AS373" t="s">
        <v>3997</v>
      </c>
      <c r="AT373" t="s">
        <v>3998</v>
      </c>
      <c r="AU373" t="s">
        <v>3999</v>
      </c>
      <c r="AV373" t="s">
        <v>4000</v>
      </c>
      <c r="AW373" t="s">
        <v>2829</v>
      </c>
      <c r="AX373" t="s">
        <v>2829</v>
      </c>
      <c r="AY373" t="s">
        <v>2829</v>
      </c>
      <c r="AZ373" t="s">
        <v>2829</v>
      </c>
      <c r="BA373" t="s">
        <v>2829</v>
      </c>
      <c r="BB373" t="s">
        <v>2829</v>
      </c>
      <c r="BC373" t="s">
        <v>2829</v>
      </c>
      <c r="BD373" t="s">
        <v>4001</v>
      </c>
      <c r="BE373" t="s">
        <v>4002</v>
      </c>
      <c r="BF373" t="s">
        <v>4003</v>
      </c>
      <c r="BG373" t="s">
        <v>4004</v>
      </c>
      <c r="BH373" t="s">
        <v>4000</v>
      </c>
      <c r="BI373" t="s">
        <v>243</v>
      </c>
      <c r="BJ373" t="s">
        <v>2829</v>
      </c>
      <c r="BK373" t="s">
        <v>243</v>
      </c>
      <c r="BL373" t="s">
        <v>243</v>
      </c>
      <c r="BM373" t="s">
        <v>243</v>
      </c>
      <c r="BN373" t="s">
        <v>243</v>
      </c>
      <c r="BO373" t="s">
        <v>243</v>
      </c>
      <c r="BP373" t="s">
        <v>4005</v>
      </c>
      <c r="BQ373" t="s">
        <v>4006</v>
      </c>
      <c r="BR373" t="s">
        <v>4007</v>
      </c>
      <c r="BS373" t="s">
        <v>4008</v>
      </c>
      <c r="BT373" t="s">
        <v>243</v>
      </c>
      <c r="BU373" t="s">
        <v>243</v>
      </c>
      <c r="BV373" t="s">
        <v>2829</v>
      </c>
      <c r="BW373" t="s">
        <v>243</v>
      </c>
      <c r="BX373" t="s">
        <v>243</v>
      </c>
      <c r="BY373" t="s">
        <v>243</v>
      </c>
      <c r="BZ373" t="s">
        <v>243</v>
      </c>
      <c r="CA373" t="s">
        <v>243</v>
      </c>
      <c r="CB373" t="s">
        <v>2829</v>
      </c>
      <c r="CC373" t="s">
        <v>243</v>
      </c>
      <c r="CD373" t="s">
        <v>243</v>
      </c>
      <c r="CE373" t="s">
        <v>243</v>
      </c>
      <c r="CF373" t="s">
        <v>243</v>
      </c>
      <c r="CG373" t="s">
        <v>243</v>
      </c>
      <c r="CH373" t="s">
        <v>2829</v>
      </c>
      <c r="CI373" t="s">
        <v>243</v>
      </c>
      <c r="CJ373" t="s">
        <v>243</v>
      </c>
      <c r="CK373" t="s">
        <v>243</v>
      </c>
      <c r="CL373" t="s">
        <v>243</v>
      </c>
      <c r="CM373" t="s">
        <v>243</v>
      </c>
      <c r="CN373" t="s">
        <v>2888</v>
      </c>
      <c r="CO373" t="s">
        <v>2843</v>
      </c>
      <c r="CP373" t="s">
        <v>2844</v>
      </c>
      <c r="CQ373" t="s">
        <v>430</v>
      </c>
      <c r="CR373" t="s">
        <v>3297</v>
      </c>
      <c r="CS373" t="s">
        <v>431</v>
      </c>
      <c r="CT373" t="s">
        <v>430</v>
      </c>
      <c r="CU373" t="s">
        <v>341</v>
      </c>
      <c r="CV373" t="s">
        <v>2900</v>
      </c>
      <c r="CW373" t="s">
        <v>3297</v>
      </c>
      <c r="CX373" t="s">
        <v>2848</v>
      </c>
      <c r="CY373" t="s">
        <v>4009</v>
      </c>
    </row>
    <row r="374" spans="1:103" ht="11.25" customHeight="1">
      <c r="A374" t="s">
        <v>243</v>
      </c>
      <c r="B374" t="s">
        <v>243</v>
      </c>
      <c r="C374" t="s">
        <v>243</v>
      </c>
      <c r="D374" t="s">
        <v>243</v>
      </c>
      <c r="E374" t="s">
        <v>243</v>
      </c>
      <c r="F374" t="s">
        <v>2816</v>
      </c>
      <c r="G374" t="s">
        <v>243</v>
      </c>
      <c r="H374" t="s">
        <v>243</v>
      </c>
      <c r="I374" t="s">
        <v>451</v>
      </c>
      <c r="J374" t="s">
        <v>243</v>
      </c>
      <c r="K374" t="s">
        <v>3210</v>
      </c>
      <c r="L374" t="s">
        <v>243</v>
      </c>
      <c r="M374" t="s">
        <v>114</v>
      </c>
      <c r="N374" t="s">
        <v>243</v>
      </c>
      <c r="O374" t="s">
        <v>2819</v>
      </c>
      <c r="P374" t="s">
        <v>4448</v>
      </c>
      <c r="Q374" t="s">
        <v>2821</v>
      </c>
      <c r="R374" t="s">
        <v>200</v>
      </c>
      <c r="S374" t="s">
        <v>200</v>
      </c>
      <c r="T374" t="s">
        <v>2875</v>
      </c>
      <c r="U374" t="s">
        <v>2875</v>
      </c>
      <c r="V374" t="s">
        <v>2876</v>
      </c>
      <c r="W374" t="s">
        <v>2877</v>
      </c>
      <c r="X374" t="s">
        <v>2878</v>
      </c>
      <c r="Y374" t="s">
        <v>3211</v>
      </c>
      <c r="Z374" t="s">
        <v>341</v>
      </c>
      <c r="AA374" t="s">
        <v>2966</v>
      </c>
      <c r="AB374" t="s">
        <v>3212</v>
      </c>
      <c r="AC374" t="s">
        <v>2829</v>
      </c>
      <c r="AD374" t="s">
        <v>2883</v>
      </c>
      <c r="AE374" t="s">
        <v>2884</v>
      </c>
      <c r="AF374" t="s">
        <v>3213</v>
      </c>
      <c r="AG374" t="s">
        <v>3214</v>
      </c>
      <c r="AH374" t="s">
        <v>2834</v>
      </c>
      <c r="AI374" t="s">
        <v>2887</v>
      </c>
      <c r="AJ374" t="s">
        <v>2888</v>
      </c>
      <c r="AK374" t="s">
        <v>3196</v>
      </c>
      <c r="AL374" t="s">
        <v>2966</v>
      </c>
      <c r="AM374" t="s">
        <v>3212</v>
      </c>
      <c r="AN374" t="s">
        <v>2829</v>
      </c>
      <c r="AO374" t="s">
        <v>2839</v>
      </c>
      <c r="AP374" t="s">
        <v>2840</v>
      </c>
      <c r="AQ374" t="s">
        <v>2841</v>
      </c>
      <c r="AR374" t="s">
        <v>3215</v>
      </c>
      <c r="AS374" t="s">
        <v>3215</v>
      </c>
      <c r="AT374" t="s">
        <v>2829</v>
      </c>
      <c r="AU374" t="s">
        <v>2829</v>
      </c>
      <c r="AV374" t="s">
        <v>2829</v>
      </c>
      <c r="AW374" t="s">
        <v>2829</v>
      </c>
      <c r="AX374" t="s">
        <v>2829</v>
      </c>
      <c r="AY374" t="s">
        <v>2829</v>
      </c>
      <c r="AZ374" t="s">
        <v>2829</v>
      </c>
      <c r="BA374" t="s">
        <v>2829</v>
      </c>
      <c r="BB374" t="s">
        <v>2829</v>
      </c>
      <c r="BC374" t="s">
        <v>2829</v>
      </c>
      <c r="BD374" t="s">
        <v>3216</v>
      </c>
      <c r="BE374" t="s">
        <v>3216</v>
      </c>
      <c r="BF374" t="s">
        <v>243</v>
      </c>
      <c r="BG374" t="s">
        <v>243</v>
      </c>
      <c r="BH374" t="s">
        <v>243</v>
      </c>
      <c r="BI374" t="s">
        <v>243</v>
      </c>
      <c r="BJ374" t="s">
        <v>2829</v>
      </c>
      <c r="BK374" t="s">
        <v>243</v>
      </c>
      <c r="BL374" t="s">
        <v>243</v>
      </c>
      <c r="BM374" t="s">
        <v>243</v>
      </c>
      <c r="BN374" t="s">
        <v>243</v>
      </c>
      <c r="BO374" t="s">
        <v>243</v>
      </c>
      <c r="BP374" t="s">
        <v>3217</v>
      </c>
      <c r="BQ374" t="s">
        <v>3217</v>
      </c>
      <c r="BR374" t="s">
        <v>243</v>
      </c>
      <c r="BS374" t="s">
        <v>243</v>
      </c>
      <c r="BT374" t="s">
        <v>243</v>
      </c>
      <c r="BU374" t="s">
        <v>243</v>
      </c>
      <c r="BV374" t="s">
        <v>2829</v>
      </c>
      <c r="BW374" t="s">
        <v>243</v>
      </c>
      <c r="BX374" t="s">
        <v>243</v>
      </c>
      <c r="BY374" t="s">
        <v>243</v>
      </c>
      <c r="BZ374" t="s">
        <v>243</v>
      </c>
      <c r="CA374" t="s">
        <v>243</v>
      </c>
      <c r="CB374" t="s">
        <v>2829</v>
      </c>
      <c r="CC374" t="s">
        <v>243</v>
      </c>
      <c r="CD374" t="s">
        <v>243</v>
      </c>
      <c r="CE374" t="s">
        <v>243</v>
      </c>
      <c r="CF374" t="s">
        <v>243</v>
      </c>
      <c r="CG374" t="s">
        <v>243</v>
      </c>
      <c r="CH374" t="s">
        <v>2829</v>
      </c>
      <c r="CI374" t="s">
        <v>243</v>
      </c>
      <c r="CJ374" t="s">
        <v>243</v>
      </c>
      <c r="CK374" t="s">
        <v>243</v>
      </c>
      <c r="CL374" t="s">
        <v>243</v>
      </c>
      <c r="CM374" t="s">
        <v>243</v>
      </c>
      <c r="CN374" t="s">
        <v>2888</v>
      </c>
      <c r="CO374" t="s">
        <v>2843</v>
      </c>
      <c r="CP374" t="s">
        <v>2844</v>
      </c>
      <c r="CQ374" t="s">
        <v>430</v>
      </c>
      <c r="CR374" t="s">
        <v>2899</v>
      </c>
      <c r="CS374" t="s">
        <v>431</v>
      </c>
      <c r="CT374" t="s">
        <v>430</v>
      </c>
      <c r="CU374" t="s">
        <v>2846</v>
      </c>
      <c r="CV374" t="s">
        <v>2900</v>
      </c>
      <c r="CW374" t="s">
        <v>2899</v>
      </c>
      <c r="CX374" t="s">
        <v>2848</v>
      </c>
      <c r="CY374" t="s">
        <v>3218</v>
      </c>
    </row>
    <row r="375" spans="1:103" ht="11.25" customHeight="1">
      <c r="A375" t="s">
        <v>243</v>
      </c>
      <c r="B375" t="s">
        <v>243</v>
      </c>
      <c r="C375" t="s">
        <v>243</v>
      </c>
      <c r="D375" t="s">
        <v>243</v>
      </c>
      <c r="E375" t="s">
        <v>243</v>
      </c>
      <c r="F375" t="s">
        <v>2816</v>
      </c>
      <c r="G375" t="s">
        <v>243</v>
      </c>
      <c r="H375" t="s">
        <v>243</v>
      </c>
      <c r="I375" t="s">
        <v>4091</v>
      </c>
      <c r="J375" t="s">
        <v>243</v>
      </c>
      <c r="K375" t="s">
        <v>4092</v>
      </c>
      <c r="L375" t="s">
        <v>243</v>
      </c>
      <c r="M375" t="s">
        <v>114</v>
      </c>
      <c r="N375" t="s">
        <v>243</v>
      </c>
      <c r="O375" t="s">
        <v>2819</v>
      </c>
      <c r="P375" t="s">
        <v>4448</v>
      </c>
      <c r="Q375" t="s">
        <v>2821</v>
      </c>
      <c r="R375" t="s">
        <v>200</v>
      </c>
      <c r="S375" t="s">
        <v>200</v>
      </c>
      <c r="T375" t="s">
        <v>2933</v>
      </c>
      <c r="U375" t="s">
        <v>2933</v>
      </c>
      <c r="V375" t="s">
        <v>2934</v>
      </c>
      <c r="W375" t="s">
        <v>2935</v>
      </c>
      <c r="X375" t="s">
        <v>2936</v>
      </c>
      <c r="Y375" t="s">
        <v>4093</v>
      </c>
      <c r="Z375" t="s">
        <v>3894</v>
      </c>
      <c r="AA375" t="s">
        <v>3875</v>
      </c>
      <c r="AB375" t="s">
        <v>3371</v>
      </c>
      <c r="AC375" t="s">
        <v>2829</v>
      </c>
      <c r="AD375" t="s">
        <v>2883</v>
      </c>
      <c r="AE375" t="s">
        <v>2831</v>
      </c>
      <c r="AF375" t="s">
        <v>3238</v>
      </c>
      <c r="AG375" t="s">
        <v>3238</v>
      </c>
      <c r="AH375" t="s">
        <v>2834</v>
      </c>
      <c r="AI375" t="s">
        <v>2835</v>
      </c>
      <c r="AJ375" t="s">
        <v>3030</v>
      </c>
      <c r="AK375" t="s">
        <v>3097</v>
      </c>
      <c r="AL375" t="s">
        <v>3875</v>
      </c>
      <c r="AM375" t="s">
        <v>3371</v>
      </c>
      <c r="AN375" t="s">
        <v>243</v>
      </c>
      <c r="AO375" t="s">
        <v>2839</v>
      </c>
      <c r="AP375" t="s">
        <v>2840</v>
      </c>
      <c r="AQ375" t="s">
        <v>2841</v>
      </c>
      <c r="AR375" t="s">
        <v>4094</v>
      </c>
      <c r="AS375" t="s">
        <v>4094</v>
      </c>
      <c r="AT375" t="s">
        <v>2829</v>
      </c>
      <c r="AU375" t="s">
        <v>2829</v>
      </c>
      <c r="AV375" t="s">
        <v>2829</v>
      </c>
      <c r="AW375" t="s">
        <v>2829</v>
      </c>
      <c r="AX375" t="s">
        <v>2829</v>
      </c>
      <c r="AY375" t="s">
        <v>2829</v>
      </c>
      <c r="AZ375" t="s">
        <v>2829</v>
      </c>
      <c r="BA375" t="s">
        <v>2829</v>
      </c>
      <c r="BB375" t="s">
        <v>2829</v>
      </c>
      <c r="BC375" t="s">
        <v>2829</v>
      </c>
      <c r="BD375" t="s">
        <v>4094</v>
      </c>
      <c r="BE375" t="s">
        <v>4094</v>
      </c>
      <c r="BF375" t="s">
        <v>243</v>
      </c>
      <c r="BG375" t="s">
        <v>243</v>
      </c>
      <c r="BH375" t="s">
        <v>243</v>
      </c>
      <c r="BI375" t="s">
        <v>243</v>
      </c>
      <c r="BJ375" t="s">
        <v>2829</v>
      </c>
      <c r="BK375" t="s">
        <v>243</v>
      </c>
      <c r="BL375" t="s">
        <v>243</v>
      </c>
      <c r="BM375" t="s">
        <v>243</v>
      </c>
      <c r="BN375" t="s">
        <v>243</v>
      </c>
      <c r="BO375" t="s">
        <v>243</v>
      </c>
      <c r="BP375" t="s">
        <v>2829</v>
      </c>
      <c r="BQ375" t="s">
        <v>243</v>
      </c>
      <c r="BR375" t="s">
        <v>243</v>
      </c>
      <c r="BS375" t="s">
        <v>243</v>
      </c>
      <c r="BT375" t="s">
        <v>243</v>
      </c>
      <c r="BU375" t="s">
        <v>243</v>
      </c>
      <c r="BV375" t="s">
        <v>2829</v>
      </c>
      <c r="BW375" t="s">
        <v>243</v>
      </c>
      <c r="BX375" t="s">
        <v>243</v>
      </c>
      <c r="BY375" t="s">
        <v>243</v>
      </c>
      <c r="BZ375" t="s">
        <v>243</v>
      </c>
      <c r="CA375" t="s">
        <v>243</v>
      </c>
      <c r="CB375" t="s">
        <v>2829</v>
      </c>
      <c r="CC375" t="s">
        <v>243</v>
      </c>
      <c r="CD375" t="s">
        <v>243</v>
      </c>
      <c r="CE375" t="s">
        <v>243</v>
      </c>
      <c r="CF375" t="s">
        <v>243</v>
      </c>
      <c r="CG375" t="s">
        <v>243</v>
      </c>
      <c r="CH375" t="s">
        <v>2829</v>
      </c>
      <c r="CI375" t="s">
        <v>243</v>
      </c>
      <c r="CJ375" t="s">
        <v>243</v>
      </c>
      <c r="CK375" t="s">
        <v>243</v>
      </c>
      <c r="CL375" t="s">
        <v>243</v>
      </c>
      <c r="CM375" t="s">
        <v>243</v>
      </c>
      <c r="CN375" t="s">
        <v>3030</v>
      </c>
      <c r="CO375" t="s">
        <v>2843</v>
      </c>
      <c r="CP375" t="s">
        <v>2844</v>
      </c>
      <c r="CQ375" t="s">
        <v>430</v>
      </c>
      <c r="CR375" t="s">
        <v>2947</v>
      </c>
      <c r="CS375" t="s">
        <v>431</v>
      </c>
      <c r="CT375" t="s">
        <v>430</v>
      </c>
      <c r="CU375" t="s">
        <v>2948</v>
      </c>
      <c r="CV375" t="s">
        <v>2949</v>
      </c>
      <c r="CW375" t="s">
        <v>2947</v>
      </c>
      <c r="CX375" t="s">
        <v>2848</v>
      </c>
      <c r="CY375" t="s">
        <v>4095</v>
      </c>
    </row>
    <row r="376" spans="1:103" ht="11.25" customHeight="1">
      <c r="A376" t="s">
        <v>243</v>
      </c>
      <c r="B376" t="s">
        <v>243</v>
      </c>
      <c r="C376" t="s">
        <v>243</v>
      </c>
      <c r="D376" t="s">
        <v>243</v>
      </c>
      <c r="E376" t="s">
        <v>243</v>
      </c>
      <c r="F376" t="s">
        <v>2816</v>
      </c>
      <c r="G376" t="s">
        <v>243</v>
      </c>
      <c r="H376" t="s">
        <v>243</v>
      </c>
      <c r="I376" t="s">
        <v>454</v>
      </c>
      <c r="J376" t="s">
        <v>243</v>
      </c>
      <c r="K376" t="s">
        <v>3908</v>
      </c>
      <c r="L376" t="s">
        <v>243</v>
      </c>
      <c r="M376" t="s">
        <v>114</v>
      </c>
      <c r="N376" t="s">
        <v>243</v>
      </c>
      <c r="O376" t="s">
        <v>2819</v>
      </c>
      <c r="P376" t="s">
        <v>4448</v>
      </c>
      <c r="Q376" t="s">
        <v>2821</v>
      </c>
      <c r="R376" t="s">
        <v>200</v>
      </c>
      <c r="S376" t="s">
        <v>200</v>
      </c>
      <c r="T376" t="s">
        <v>2822</v>
      </c>
      <c r="U376" t="s">
        <v>2822</v>
      </c>
      <c r="V376" t="s">
        <v>2823</v>
      </c>
      <c r="W376" t="s">
        <v>2952</v>
      </c>
      <c r="X376" t="s">
        <v>2953</v>
      </c>
      <c r="Y376" t="s">
        <v>3741</v>
      </c>
      <c r="Z376" t="s">
        <v>3909</v>
      </c>
      <c r="AA376" t="s">
        <v>3910</v>
      </c>
      <c r="AB376" t="s">
        <v>3911</v>
      </c>
      <c r="AC376" t="s">
        <v>3912</v>
      </c>
      <c r="AD376" t="s">
        <v>2830</v>
      </c>
      <c r="AE376" t="s">
        <v>2831</v>
      </c>
      <c r="AF376" t="s">
        <v>3913</v>
      </c>
      <c r="AG376" t="s">
        <v>3914</v>
      </c>
      <c r="AH376" t="s">
        <v>2834</v>
      </c>
      <c r="AI376" t="s">
        <v>2835</v>
      </c>
      <c r="AJ376" t="s">
        <v>2960</v>
      </c>
      <c r="AK376" t="s">
        <v>2889</v>
      </c>
      <c r="AL376" t="s">
        <v>3910</v>
      </c>
      <c r="AM376" t="s">
        <v>3915</v>
      </c>
      <c r="AN376" t="s">
        <v>3916</v>
      </c>
      <c r="AO376" t="s">
        <v>2839</v>
      </c>
      <c r="AP376" t="s">
        <v>2840</v>
      </c>
      <c r="AQ376" t="s">
        <v>2841</v>
      </c>
      <c r="AR376" t="s">
        <v>3917</v>
      </c>
      <c r="AS376" t="s">
        <v>3918</v>
      </c>
      <c r="AT376" t="s">
        <v>3919</v>
      </c>
      <c r="AU376" t="s">
        <v>2829</v>
      </c>
      <c r="AV376" t="s">
        <v>2829</v>
      </c>
      <c r="AW376" t="s">
        <v>2829</v>
      </c>
      <c r="AX376" t="s">
        <v>2829</v>
      </c>
      <c r="AY376" t="s">
        <v>2829</v>
      </c>
      <c r="AZ376" t="s">
        <v>2829</v>
      </c>
      <c r="BA376" t="s">
        <v>2829</v>
      </c>
      <c r="BB376" t="s">
        <v>2829</v>
      </c>
      <c r="BC376" t="s">
        <v>2829</v>
      </c>
      <c r="BD376" t="s">
        <v>3920</v>
      </c>
      <c r="BE376" t="s">
        <v>3921</v>
      </c>
      <c r="BF376" t="s">
        <v>3919</v>
      </c>
      <c r="BG376" t="s">
        <v>243</v>
      </c>
      <c r="BH376" t="s">
        <v>243</v>
      </c>
      <c r="BI376" t="s">
        <v>243</v>
      </c>
      <c r="BJ376" t="s">
        <v>2829</v>
      </c>
      <c r="BK376" t="s">
        <v>243</v>
      </c>
      <c r="BL376" t="s">
        <v>243</v>
      </c>
      <c r="BM376" t="s">
        <v>243</v>
      </c>
      <c r="BN376" t="s">
        <v>243</v>
      </c>
      <c r="BO376" t="s">
        <v>243</v>
      </c>
      <c r="BP376" t="s">
        <v>3922</v>
      </c>
      <c r="BQ376" t="s">
        <v>3922</v>
      </c>
      <c r="BR376" t="s">
        <v>243</v>
      </c>
      <c r="BS376" t="s">
        <v>243</v>
      </c>
      <c r="BT376" t="s">
        <v>243</v>
      </c>
      <c r="BU376" t="s">
        <v>243</v>
      </c>
      <c r="BV376" t="s">
        <v>2829</v>
      </c>
      <c r="BW376" t="s">
        <v>243</v>
      </c>
      <c r="BX376" t="s">
        <v>243</v>
      </c>
      <c r="BY376" t="s">
        <v>243</v>
      </c>
      <c r="BZ376" t="s">
        <v>243</v>
      </c>
      <c r="CA376" t="s">
        <v>243</v>
      </c>
      <c r="CB376" t="s">
        <v>2829</v>
      </c>
      <c r="CC376" t="s">
        <v>243</v>
      </c>
      <c r="CD376" t="s">
        <v>243</v>
      </c>
      <c r="CE376" t="s">
        <v>243</v>
      </c>
      <c r="CF376" t="s">
        <v>243</v>
      </c>
      <c r="CG376" t="s">
        <v>243</v>
      </c>
      <c r="CH376" t="s">
        <v>2829</v>
      </c>
      <c r="CI376" t="s">
        <v>243</v>
      </c>
      <c r="CJ376" t="s">
        <v>243</v>
      </c>
      <c r="CK376" t="s">
        <v>243</v>
      </c>
      <c r="CL376" t="s">
        <v>243</v>
      </c>
      <c r="CM376" t="s">
        <v>243</v>
      </c>
      <c r="CN376" t="s">
        <v>2960</v>
      </c>
      <c r="CO376" t="s">
        <v>2843</v>
      </c>
      <c r="CP376" t="s">
        <v>2844</v>
      </c>
      <c r="CQ376" t="s">
        <v>430</v>
      </c>
      <c r="CR376" t="s">
        <v>2845</v>
      </c>
      <c r="CS376" t="s">
        <v>431</v>
      </c>
      <c r="CT376" t="s">
        <v>430</v>
      </c>
      <c r="CU376" t="s">
        <v>2846</v>
      </c>
      <c r="CV376" t="s">
        <v>2847</v>
      </c>
      <c r="CW376" t="s">
        <v>2845</v>
      </c>
      <c r="CX376" t="s">
        <v>2848</v>
      </c>
      <c r="CY376" t="s">
        <v>3923</v>
      </c>
    </row>
    <row r="377" spans="1:103" ht="11.25" customHeight="1">
      <c r="A377" t="s">
        <v>243</v>
      </c>
      <c r="B377" t="s">
        <v>243</v>
      </c>
      <c r="C377" t="s">
        <v>243</v>
      </c>
      <c r="D377" t="s">
        <v>243</v>
      </c>
      <c r="E377" t="s">
        <v>243</v>
      </c>
      <c r="F377" t="s">
        <v>2816</v>
      </c>
      <c r="G377" t="s">
        <v>243</v>
      </c>
      <c r="H377" t="s">
        <v>243</v>
      </c>
      <c r="I377" t="s">
        <v>457</v>
      </c>
      <c r="J377" t="s">
        <v>243</v>
      </c>
      <c r="K377" t="s">
        <v>2951</v>
      </c>
      <c r="L377" t="s">
        <v>243</v>
      </c>
      <c r="M377" t="s">
        <v>114</v>
      </c>
      <c r="N377" t="s">
        <v>243</v>
      </c>
      <c r="O377" t="s">
        <v>2819</v>
      </c>
      <c r="P377" t="s">
        <v>4448</v>
      </c>
      <c r="Q377" t="s">
        <v>2821</v>
      </c>
      <c r="R377" t="s">
        <v>200</v>
      </c>
      <c r="S377" t="s">
        <v>200</v>
      </c>
      <c r="T377" t="s">
        <v>2822</v>
      </c>
      <c r="U377" t="s">
        <v>2822</v>
      </c>
      <c r="V377" t="s">
        <v>2823</v>
      </c>
      <c r="W377" t="s">
        <v>2952</v>
      </c>
      <c r="X377" t="s">
        <v>2953</v>
      </c>
      <c r="Y377" t="s">
        <v>2954</v>
      </c>
      <c r="Z377" t="s">
        <v>2955</v>
      </c>
      <c r="AA377" t="s">
        <v>2956</v>
      </c>
      <c r="AB377" t="s">
        <v>2957</v>
      </c>
      <c r="AC377" t="s">
        <v>2829</v>
      </c>
      <c r="AD377" t="s">
        <v>2830</v>
      </c>
      <c r="AE377" t="s">
        <v>2831</v>
      </c>
      <c r="AF377" t="s">
        <v>2958</v>
      </c>
      <c r="AG377" t="s">
        <v>2959</v>
      </c>
      <c r="AH377" t="s">
        <v>2834</v>
      </c>
      <c r="AI377" t="s">
        <v>2835</v>
      </c>
      <c r="AJ377" t="s">
        <v>2960</v>
      </c>
      <c r="AK377" t="s">
        <v>2961</v>
      </c>
      <c r="AL377" t="s">
        <v>2956</v>
      </c>
      <c r="AM377" t="s">
        <v>2962</v>
      </c>
      <c r="AN377" t="s">
        <v>2829</v>
      </c>
      <c r="AO377" t="s">
        <v>2839</v>
      </c>
      <c r="AP377" t="s">
        <v>2840</v>
      </c>
      <c r="AQ377" t="s">
        <v>2841</v>
      </c>
      <c r="AR377" t="s">
        <v>2963</v>
      </c>
      <c r="AS377" t="s">
        <v>2964</v>
      </c>
      <c r="AT377" t="s">
        <v>2842</v>
      </c>
      <c r="AU377" t="s">
        <v>2829</v>
      </c>
      <c r="AV377" t="s">
        <v>2829</v>
      </c>
      <c r="AW377" t="s">
        <v>2829</v>
      </c>
      <c r="AX377" t="s">
        <v>2829</v>
      </c>
      <c r="AY377" t="s">
        <v>2829</v>
      </c>
      <c r="AZ377" t="s">
        <v>2829</v>
      </c>
      <c r="BA377" t="s">
        <v>2829</v>
      </c>
      <c r="BB377" t="s">
        <v>2829</v>
      </c>
      <c r="BC377" t="s">
        <v>2829</v>
      </c>
      <c r="BD377" t="s">
        <v>2965</v>
      </c>
      <c r="BE377" t="s">
        <v>2966</v>
      </c>
      <c r="BF377" t="s">
        <v>2842</v>
      </c>
      <c r="BG377" t="s">
        <v>243</v>
      </c>
      <c r="BH377" t="s">
        <v>243</v>
      </c>
      <c r="BI377" t="s">
        <v>243</v>
      </c>
      <c r="BJ377" t="s">
        <v>2829</v>
      </c>
      <c r="BK377" t="s">
        <v>243</v>
      </c>
      <c r="BL377" t="s">
        <v>243</v>
      </c>
      <c r="BM377" t="s">
        <v>243</v>
      </c>
      <c r="BN377" t="s">
        <v>243</v>
      </c>
      <c r="BO377" t="s">
        <v>243</v>
      </c>
      <c r="BP377" t="s">
        <v>2966</v>
      </c>
      <c r="BQ377" t="s">
        <v>2966</v>
      </c>
      <c r="BR377" t="s">
        <v>243</v>
      </c>
      <c r="BS377" t="s">
        <v>243</v>
      </c>
      <c r="BT377" t="s">
        <v>243</v>
      </c>
      <c r="BU377" t="s">
        <v>243</v>
      </c>
      <c r="BV377" t="s">
        <v>2829</v>
      </c>
      <c r="BW377" t="s">
        <v>243</v>
      </c>
      <c r="BX377" t="s">
        <v>243</v>
      </c>
      <c r="BY377" t="s">
        <v>243</v>
      </c>
      <c r="BZ377" t="s">
        <v>243</v>
      </c>
      <c r="CA377" t="s">
        <v>243</v>
      </c>
      <c r="CB377" t="s">
        <v>2829</v>
      </c>
      <c r="CC377" t="s">
        <v>243</v>
      </c>
      <c r="CD377" t="s">
        <v>243</v>
      </c>
      <c r="CE377" t="s">
        <v>243</v>
      </c>
      <c r="CF377" t="s">
        <v>243</v>
      </c>
      <c r="CG377" t="s">
        <v>243</v>
      </c>
      <c r="CH377" t="s">
        <v>2829</v>
      </c>
      <c r="CI377" t="s">
        <v>243</v>
      </c>
      <c r="CJ377" t="s">
        <v>243</v>
      </c>
      <c r="CK377" t="s">
        <v>243</v>
      </c>
      <c r="CL377" t="s">
        <v>243</v>
      </c>
      <c r="CM377" t="s">
        <v>243</v>
      </c>
      <c r="CN377" t="s">
        <v>2960</v>
      </c>
      <c r="CO377" t="s">
        <v>2843</v>
      </c>
      <c r="CP377" t="s">
        <v>2844</v>
      </c>
      <c r="CQ377" t="s">
        <v>430</v>
      </c>
      <c r="CR377" t="s">
        <v>2845</v>
      </c>
      <c r="CS377" t="s">
        <v>431</v>
      </c>
      <c r="CT377" t="s">
        <v>430</v>
      </c>
      <c r="CU377" t="s">
        <v>2846</v>
      </c>
      <c r="CV377" t="s">
        <v>2847</v>
      </c>
      <c r="CW377" t="s">
        <v>2845</v>
      </c>
      <c r="CX377" t="s">
        <v>2848</v>
      </c>
      <c r="CY377" t="s">
        <v>2967</v>
      </c>
    </row>
    <row r="378" spans="1:103" ht="11.25" customHeight="1">
      <c r="A378" t="s">
        <v>243</v>
      </c>
      <c r="B378" t="s">
        <v>243</v>
      </c>
      <c r="C378" t="s">
        <v>243</v>
      </c>
      <c r="D378" t="s">
        <v>243</v>
      </c>
      <c r="E378" t="s">
        <v>243</v>
      </c>
      <c r="F378" t="s">
        <v>2816</v>
      </c>
      <c r="G378" t="s">
        <v>243</v>
      </c>
      <c r="H378" t="s">
        <v>243</v>
      </c>
      <c r="I378" t="s">
        <v>4213</v>
      </c>
      <c r="J378" t="s">
        <v>243</v>
      </c>
      <c r="K378" t="s">
        <v>4214</v>
      </c>
      <c r="L378" t="s">
        <v>243</v>
      </c>
      <c r="M378" t="s">
        <v>114</v>
      </c>
      <c r="N378" t="s">
        <v>243</v>
      </c>
      <c r="O378" t="s">
        <v>2819</v>
      </c>
      <c r="P378" t="s">
        <v>4448</v>
      </c>
      <c r="Q378" t="s">
        <v>2821</v>
      </c>
      <c r="R378" t="s">
        <v>200</v>
      </c>
      <c r="S378" t="s">
        <v>200</v>
      </c>
      <c r="T378" t="s">
        <v>2933</v>
      </c>
      <c r="U378" t="s">
        <v>2933</v>
      </c>
      <c r="V378" t="s">
        <v>2934</v>
      </c>
      <c r="W378" t="s">
        <v>4215</v>
      </c>
      <c r="X378" t="s">
        <v>4216</v>
      </c>
      <c r="Y378" t="s">
        <v>4217</v>
      </c>
      <c r="Z378" t="s">
        <v>596</v>
      </c>
      <c r="AA378" t="s">
        <v>3094</v>
      </c>
      <c r="AB378" t="s">
        <v>4218</v>
      </c>
      <c r="AC378" t="s">
        <v>2829</v>
      </c>
      <c r="AD378" t="s">
        <v>2883</v>
      </c>
      <c r="AE378" t="s">
        <v>2831</v>
      </c>
      <c r="AF378" t="s">
        <v>4219</v>
      </c>
      <c r="AG378" t="s">
        <v>4219</v>
      </c>
      <c r="AH378" t="s">
        <v>2834</v>
      </c>
      <c r="AI378" t="s">
        <v>2835</v>
      </c>
      <c r="AJ378" t="s">
        <v>3187</v>
      </c>
      <c r="AK378" t="s">
        <v>3009</v>
      </c>
      <c r="AL378" t="s">
        <v>3094</v>
      </c>
      <c r="AM378" t="s">
        <v>4218</v>
      </c>
      <c r="AN378" t="s">
        <v>243</v>
      </c>
      <c r="AO378" t="s">
        <v>2839</v>
      </c>
      <c r="AP378" t="s">
        <v>2840</v>
      </c>
      <c r="AQ378" t="s">
        <v>2841</v>
      </c>
      <c r="AR378" t="s">
        <v>4220</v>
      </c>
      <c r="AS378" t="s">
        <v>4220</v>
      </c>
      <c r="AT378" t="s">
        <v>2829</v>
      </c>
      <c r="AU378" t="s">
        <v>2829</v>
      </c>
      <c r="AV378" t="s">
        <v>2829</v>
      </c>
      <c r="AW378" t="s">
        <v>2829</v>
      </c>
      <c r="AX378" t="s">
        <v>2829</v>
      </c>
      <c r="AY378" t="s">
        <v>2829</v>
      </c>
      <c r="AZ378" t="s">
        <v>2829</v>
      </c>
      <c r="BA378" t="s">
        <v>2829</v>
      </c>
      <c r="BB378" t="s">
        <v>2829</v>
      </c>
      <c r="BC378" t="s">
        <v>2829</v>
      </c>
      <c r="BD378" t="s">
        <v>4220</v>
      </c>
      <c r="BE378" t="s">
        <v>4220</v>
      </c>
      <c r="BF378" t="s">
        <v>243</v>
      </c>
      <c r="BG378" t="s">
        <v>243</v>
      </c>
      <c r="BH378" t="s">
        <v>243</v>
      </c>
      <c r="BI378" t="s">
        <v>243</v>
      </c>
      <c r="BJ378" t="s">
        <v>2829</v>
      </c>
      <c r="BK378" t="s">
        <v>243</v>
      </c>
      <c r="BL378" t="s">
        <v>243</v>
      </c>
      <c r="BM378" t="s">
        <v>243</v>
      </c>
      <c r="BN378" t="s">
        <v>243</v>
      </c>
      <c r="BO378" t="s">
        <v>243</v>
      </c>
      <c r="BP378" t="s">
        <v>2829</v>
      </c>
      <c r="BQ378" t="s">
        <v>243</v>
      </c>
      <c r="BR378" t="s">
        <v>243</v>
      </c>
      <c r="BS378" t="s">
        <v>243</v>
      </c>
      <c r="BT378" t="s">
        <v>243</v>
      </c>
      <c r="BU378" t="s">
        <v>243</v>
      </c>
      <c r="BV378" t="s">
        <v>2829</v>
      </c>
      <c r="BW378" t="s">
        <v>243</v>
      </c>
      <c r="BX378" t="s">
        <v>243</v>
      </c>
      <c r="BY378" t="s">
        <v>243</v>
      </c>
      <c r="BZ378" t="s">
        <v>243</v>
      </c>
      <c r="CA378" t="s">
        <v>243</v>
      </c>
      <c r="CB378" t="s">
        <v>2829</v>
      </c>
      <c r="CC378" t="s">
        <v>243</v>
      </c>
      <c r="CD378" t="s">
        <v>243</v>
      </c>
      <c r="CE378" t="s">
        <v>243</v>
      </c>
      <c r="CF378" t="s">
        <v>243</v>
      </c>
      <c r="CG378" t="s">
        <v>243</v>
      </c>
      <c r="CH378" t="s">
        <v>2829</v>
      </c>
      <c r="CI378" t="s">
        <v>243</v>
      </c>
      <c r="CJ378" t="s">
        <v>243</v>
      </c>
      <c r="CK378" t="s">
        <v>243</v>
      </c>
      <c r="CL378" t="s">
        <v>243</v>
      </c>
      <c r="CM378" t="s">
        <v>243</v>
      </c>
      <c r="CN378" t="s">
        <v>3187</v>
      </c>
      <c r="CO378" t="s">
        <v>2843</v>
      </c>
      <c r="CP378" t="s">
        <v>2844</v>
      </c>
      <c r="CQ378" t="s">
        <v>430</v>
      </c>
      <c r="CR378" t="s">
        <v>2947</v>
      </c>
      <c r="CS378" t="s">
        <v>431</v>
      </c>
      <c r="CT378" t="s">
        <v>430</v>
      </c>
      <c r="CU378" t="s">
        <v>2948</v>
      </c>
      <c r="CV378" t="s">
        <v>2949</v>
      </c>
      <c r="CW378" t="s">
        <v>2947</v>
      </c>
      <c r="CX378" t="s">
        <v>2848</v>
      </c>
      <c r="CY378" t="s">
        <v>4221</v>
      </c>
    </row>
    <row r="379" spans="1:103" ht="11.25" customHeight="1">
      <c r="A379" t="s">
        <v>243</v>
      </c>
      <c r="B379" t="s">
        <v>243</v>
      </c>
      <c r="C379" t="s">
        <v>243</v>
      </c>
      <c r="D379" t="s">
        <v>243</v>
      </c>
      <c r="E379" t="s">
        <v>243</v>
      </c>
      <c r="F379" t="s">
        <v>2816</v>
      </c>
      <c r="G379" t="s">
        <v>243</v>
      </c>
      <c r="H379" t="s">
        <v>243</v>
      </c>
      <c r="I379" t="s">
        <v>3566</v>
      </c>
      <c r="J379" t="s">
        <v>243</v>
      </c>
      <c r="K379" t="s">
        <v>3567</v>
      </c>
      <c r="L379" t="s">
        <v>243</v>
      </c>
      <c r="M379" t="s">
        <v>114</v>
      </c>
      <c r="N379" t="s">
        <v>243</v>
      </c>
      <c r="O379" t="s">
        <v>2819</v>
      </c>
      <c r="P379" t="s">
        <v>4448</v>
      </c>
      <c r="Q379" t="s">
        <v>2821</v>
      </c>
      <c r="R379" t="s">
        <v>200</v>
      </c>
      <c r="S379" t="s">
        <v>200</v>
      </c>
      <c r="T379" t="s">
        <v>2968</v>
      </c>
      <c r="U379" t="s">
        <v>2968</v>
      </c>
      <c r="V379" t="s">
        <v>2969</v>
      </c>
      <c r="W379" t="s">
        <v>3568</v>
      </c>
      <c r="X379" t="s">
        <v>3569</v>
      </c>
      <c r="Y379" t="s">
        <v>3570</v>
      </c>
      <c r="Z379" t="s">
        <v>443</v>
      </c>
      <c r="AA379" t="s">
        <v>2994</v>
      </c>
      <c r="AB379" t="s">
        <v>2995</v>
      </c>
      <c r="AC379" t="s">
        <v>2829</v>
      </c>
      <c r="AD379" t="s">
        <v>2883</v>
      </c>
      <c r="AE379" t="s">
        <v>2857</v>
      </c>
      <c r="AF379" t="s">
        <v>3571</v>
      </c>
      <c r="AG379" t="s">
        <v>3571</v>
      </c>
      <c r="AH379" t="s">
        <v>2834</v>
      </c>
      <c r="AI379" t="s">
        <v>2835</v>
      </c>
      <c r="AJ379" t="s">
        <v>3572</v>
      </c>
      <c r="AK379" t="s">
        <v>3425</v>
      </c>
      <c r="AL379" t="s">
        <v>2994</v>
      </c>
      <c r="AM379" t="s">
        <v>2995</v>
      </c>
      <c r="AN379" t="s">
        <v>2829</v>
      </c>
      <c r="AO379" t="s">
        <v>2839</v>
      </c>
      <c r="AP379" t="s">
        <v>2840</v>
      </c>
      <c r="AQ379" t="s">
        <v>2841</v>
      </c>
      <c r="AR379" t="s">
        <v>3573</v>
      </c>
      <c r="AS379" t="s">
        <v>3573</v>
      </c>
      <c r="AT379" t="s">
        <v>2829</v>
      </c>
      <c r="AU379" t="s">
        <v>2829</v>
      </c>
      <c r="AV379" t="s">
        <v>2829</v>
      </c>
      <c r="AW379" t="s">
        <v>2829</v>
      </c>
      <c r="AX379" t="s">
        <v>2829</v>
      </c>
      <c r="AY379" t="s">
        <v>2829</v>
      </c>
      <c r="AZ379" t="s">
        <v>2829</v>
      </c>
      <c r="BA379" t="s">
        <v>2829</v>
      </c>
      <c r="BB379" t="s">
        <v>2829</v>
      </c>
      <c r="BC379" t="s">
        <v>2829</v>
      </c>
      <c r="BD379" t="s">
        <v>2829</v>
      </c>
      <c r="BE379" t="s">
        <v>243</v>
      </c>
      <c r="BF379" t="s">
        <v>243</v>
      </c>
      <c r="BG379" t="s">
        <v>243</v>
      </c>
      <c r="BH379" t="s">
        <v>243</v>
      </c>
      <c r="BI379" t="s">
        <v>243</v>
      </c>
      <c r="BJ379" t="s">
        <v>2829</v>
      </c>
      <c r="BK379" t="s">
        <v>243</v>
      </c>
      <c r="BL379" t="s">
        <v>243</v>
      </c>
      <c r="BM379" t="s">
        <v>243</v>
      </c>
      <c r="BN379" t="s">
        <v>243</v>
      </c>
      <c r="BO379" t="s">
        <v>243</v>
      </c>
      <c r="BP379" t="s">
        <v>3573</v>
      </c>
      <c r="BQ379" t="s">
        <v>3573</v>
      </c>
      <c r="BR379" t="s">
        <v>243</v>
      </c>
      <c r="BS379" t="s">
        <v>243</v>
      </c>
      <c r="BT379" t="s">
        <v>243</v>
      </c>
      <c r="BU379" t="s">
        <v>243</v>
      </c>
      <c r="BV379" t="s">
        <v>2829</v>
      </c>
      <c r="BW379" t="s">
        <v>243</v>
      </c>
      <c r="BX379" t="s">
        <v>243</v>
      </c>
      <c r="BY379" t="s">
        <v>243</v>
      </c>
      <c r="BZ379" t="s">
        <v>243</v>
      </c>
      <c r="CA379" t="s">
        <v>243</v>
      </c>
      <c r="CB379" t="s">
        <v>2829</v>
      </c>
      <c r="CC379" t="s">
        <v>243</v>
      </c>
      <c r="CD379" t="s">
        <v>243</v>
      </c>
      <c r="CE379" t="s">
        <v>243</v>
      </c>
      <c r="CF379" t="s">
        <v>243</v>
      </c>
      <c r="CG379" t="s">
        <v>243</v>
      </c>
      <c r="CH379" t="s">
        <v>2829</v>
      </c>
      <c r="CI379" t="s">
        <v>243</v>
      </c>
      <c r="CJ379" t="s">
        <v>243</v>
      </c>
      <c r="CK379" t="s">
        <v>243</v>
      </c>
      <c r="CL379" t="s">
        <v>243</v>
      </c>
      <c r="CM379" t="s">
        <v>243</v>
      </c>
      <c r="CN379" t="s">
        <v>3010</v>
      </c>
      <c r="CO379" t="s">
        <v>2843</v>
      </c>
      <c r="CP379" t="s">
        <v>2844</v>
      </c>
      <c r="CQ379" t="s">
        <v>430</v>
      </c>
      <c r="CR379" t="s">
        <v>2984</v>
      </c>
      <c r="CS379" t="s">
        <v>431</v>
      </c>
      <c r="CT379" t="s">
        <v>430</v>
      </c>
      <c r="CU379" t="s">
        <v>2985</v>
      </c>
      <c r="CV379" t="s">
        <v>2986</v>
      </c>
      <c r="CW379" t="s">
        <v>2984</v>
      </c>
      <c r="CX379" t="s">
        <v>2848</v>
      </c>
      <c r="CY379" t="s">
        <v>3574</v>
      </c>
    </row>
    <row r="380" spans="1:103" ht="11.25" customHeight="1">
      <c r="A380" t="s">
        <v>243</v>
      </c>
      <c r="B380" t="s">
        <v>243</v>
      </c>
      <c r="C380" t="s">
        <v>243</v>
      </c>
      <c r="D380" t="s">
        <v>243</v>
      </c>
      <c r="E380" t="s">
        <v>243</v>
      </c>
      <c r="F380" t="s">
        <v>2816</v>
      </c>
      <c r="G380" t="s">
        <v>243</v>
      </c>
      <c r="H380" t="s">
        <v>243</v>
      </c>
      <c r="I380" t="s">
        <v>463</v>
      </c>
      <c r="J380" t="s">
        <v>243</v>
      </c>
      <c r="K380" t="s">
        <v>4116</v>
      </c>
      <c r="L380" t="s">
        <v>243</v>
      </c>
      <c r="M380" t="s">
        <v>114</v>
      </c>
      <c r="N380" t="s">
        <v>243</v>
      </c>
      <c r="O380" t="s">
        <v>2819</v>
      </c>
      <c r="P380" t="s">
        <v>4448</v>
      </c>
      <c r="Q380" t="s">
        <v>2821</v>
      </c>
      <c r="R380" t="s">
        <v>200</v>
      </c>
      <c r="S380" t="s">
        <v>200</v>
      </c>
      <c r="T380" t="s">
        <v>2822</v>
      </c>
      <c r="U380" t="s">
        <v>2822</v>
      </c>
      <c r="V380" t="s">
        <v>2823</v>
      </c>
      <c r="W380" t="s">
        <v>2952</v>
      </c>
      <c r="X380" t="s">
        <v>2953</v>
      </c>
      <c r="Y380" t="s">
        <v>4117</v>
      </c>
      <c r="Z380" t="s">
        <v>4118</v>
      </c>
      <c r="AA380" t="s">
        <v>4119</v>
      </c>
      <c r="AB380" t="s">
        <v>4120</v>
      </c>
      <c r="AC380" t="s">
        <v>2829</v>
      </c>
      <c r="AD380" t="s">
        <v>2830</v>
      </c>
      <c r="AE380" t="s">
        <v>2831</v>
      </c>
      <c r="AF380" t="s">
        <v>4121</v>
      </c>
      <c r="AG380" t="s">
        <v>4122</v>
      </c>
      <c r="AH380" t="s">
        <v>2834</v>
      </c>
      <c r="AI380" t="s">
        <v>2835</v>
      </c>
      <c r="AJ380" t="s">
        <v>2960</v>
      </c>
      <c r="AK380" t="s">
        <v>2961</v>
      </c>
      <c r="AL380" t="s">
        <v>4123</v>
      </c>
      <c r="AM380" t="s">
        <v>4124</v>
      </c>
      <c r="AN380" t="s">
        <v>2829</v>
      </c>
      <c r="AO380" t="s">
        <v>2839</v>
      </c>
      <c r="AP380" t="s">
        <v>2840</v>
      </c>
      <c r="AQ380" t="s">
        <v>2841</v>
      </c>
      <c r="AR380" t="s">
        <v>4125</v>
      </c>
      <c r="AS380" t="s">
        <v>4125</v>
      </c>
      <c r="AT380" t="s">
        <v>2829</v>
      </c>
      <c r="AU380" t="s">
        <v>2829</v>
      </c>
      <c r="AV380" t="s">
        <v>2829</v>
      </c>
      <c r="AW380" t="s">
        <v>2829</v>
      </c>
      <c r="AX380" t="s">
        <v>2829</v>
      </c>
      <c r="AY380" t="s">
        <v>2829</v>
      </c>
      <c r="AZ380" t="s">
        <v>2829</v>
      </c>
      <c r="BA380" t="s">
        <v>2829</v>
      </c>
      <c r="BB380" t="s">
        <v>2829</v>
      </c>
      <c r="BC380" t="s">
        <v>2829</v>
      </c>
      <c r="BD380" t="s">
        <v>4126</v>
      </c>
      <c r="BE380" t="s">
        <v>4126</v>
      </c>
      <c r="BF380" t="s">
        <v>243</v>
      </c>
      <c r="BG380" t="s">
        <v>243</v>
      </c>
      <c r="BH380" t="s">
        <v>243</v>
      </c>
      <c r="BI380" t="s">
        <v>243</v>
      </c>
      <c r="BJ380" t="s">
        <v>2829</v>
      </c>
      <c r="BK380" t="s">
        <v>243</v>
      </c>
      <c r="BL380" t="s">
        <v>243</v>
      </c>
      <c r="BM380" t="s">
        <v>243</v>
      </c>
      <c r="BN380" t="s">
        <v>243</v>
      </c>
      <c r="BO380" t="s">
        <v>243</v>
      </c>
      <c r="BP380" t="s">
        <v>4127</v>
      </c>
      <c r="BQ380" t="s">
        <v>4127</v>
      </c>
      <c r="BR380" t="s">
        <v>243</v>
      </c>
      <c r="BS380" t="s">
        <v>243</v>
      </c>
      <c r="BT380" t="s">
        <v>243</v>
      </c>
      <c r="BU380" t="s">
        <v>243</v>
      </c>
      <c r="BV380" t="s">
        <v>2829</v>
      </c>
      <c r="BW380" t="s">
        <v>243</v>
      </c>
      <c r="BX380" t="s">
        <v>243</v>
      </c>
      <c r="BY380" t="s">
        <v>243</v>
      </c>
      <c r="BZ380" t="s">
        <v>243</v>
      </c>
      <c r="CA380" t="s">
        <v>243</v>
      </c>
      <c r="CB380" t="s">
        <v>2829</v>
      </c>
      <c r="CC380" t="s">
        <v>243</v>
      </c>
      <c r="CD380" t="s">
        <v>243</v>
      </c>
      <c r="CE380" t="s">
        <v>243</v>
      </c>
      <c r="CF380" t="s">
        <v>243</v>
      </c>
      <c r="CG380" t="s">
        <v>243</v>
      </c>
      <c r="CH380" t="s">
        <v>2829</v>
      </c>
      <c r="CI380" t="s">
        <v>243</v>
      </c>
      <c r="CJ380" t="s">
        <v>243</v>
      </c>
      <c r="CK380" t="s">
        <v>243</v>
      </c>
      <c r="CL380" t="s">
        <v>243</v>
      </c>
      <c r="CM380" t="s">
        <v>243</v>
      </c>
      <c r="CN380" t="s">
        <v>2960</v>
      </c>
      <c r="CO380" t="s">
        <v>2843</v>
      </c>
      <c r="CP380" t="s">
        <v>2844</v>
      </c>
      <c r="CQ380" t="s">
        <v>430</v>
      </c>
      <c r="CR380" t="s">
        <v>2845</v>
      </c>
      <c r="CS380" t="s">
        <v>431</v>
      </c>
      <c r="CT380" t="s">
        <v>430</v>
      </c>
      <c r="CU380" t="s">
        <v>2846</v>
      </c>
      <c r="CV380" t="s">
        <v>2847</v>
      </c>
      <c r="CW380" t="s">
        <v>2845</v>
      </c>
      <c r="CX380" t="s">
        <v>2848</v>
      </c>
      <c r="CY380" t="s">
        <v>4128</v>
      </c>
    </row>
    <row r="381" spans="1:103" ht="11.25" customHeight="1">
      <c r="A381" t="s">
        <v>243</v>
      </c>
      <c r="B381" t="s">
        <v>243</v>
      </c>
      <c r="C381" t="s">
        <v>243</v>
      </c>
      <c r="D381" t="s">
        <v>243</v>
      </c>
      <c r="E381" t="s">
        <v>243</v>
      </c>
      <c r="F381" t="s">
        <v>2816</v>
      </c>
      <c r="G381" t="s">
        <v>243</v>
      </c>
      <c r="H381" t="s">
        <v>243</v>
      </c>
      <c r="I381" t="s">
        <v>3575</v>
      </c>
      <c r="J381" t="s">
        <v>243</v>
      </c>
      <c r="K381" t="s">
        <v>433</v>
      </c>
      <c r="L381" t="s">
        <v>243</v>
      </c>
      <c r="M381" t="s">
        <v>114</v>
      </c>
      <c r="N381" t="s">
        <v>243</v>
      </c>
      <c r="O381" t="s">
        <v>2819</v>
      </c>
      <c r="P381" t="s">
        <v>4448</v>
      </c>
      <c r="Q381" t="s">
        <v>2821</v>
      </c>
      <c r="R381" t="s">
        <v>200</v>
      </c>
      <c r="S381" t="s">
        <v>200</v>
      </c>
      <c r="T381" t="s">
        <v>2968</v>
      </c>
      <c r="U381" t="s">
        <v>2968</v>
      </c>
      <c r="V381" t="s">
        <v>2969</v>
      </c>
      <c r="W381" t="s">
        <v>3568</v>
      </c>
      <c r="X381" t="s">
        <v>3569</v>
      </c>
      <c r="Y381" t="s">
        <v>3576</v>
      </c>
      <c r="Z381" t="s">
        <v>902</v>
      </c>
      <c r="AA381" t="s">
        <v>3480</v>
      </c>
      <c r="AB381" t="s">
        <v>3260</v>
      </c>
      <c r="AC381" t="s">
        <v>2829</v>
      </c>
      <c r="AD381" t="s">
        <v>2883</v>
      </c>
      <c r="AE381" t="s">
        <v>2857</v>
      </c>
      <c r="AF381" t="s">
        <v>3577</v>
      </c>
      <c r="AG381" t="s">
        <v>3577</v>
      </c>
      <c r="AH381" t="s">
        <v>2834</v>
      </c>
      <c r="AI381" t="s">
        <v>2835</v>
      </c>
      <c r="AJ381" t="s">
        <v>3572</v>
      </c>
      <c r="AK381" t="s">
        <v>3425</v>
      </c>
      <c r="AL381" t="s">
        <v>3480</v>
      </c>
      <c r="AM381" t="s">
        <v>3260</v>
      </c>
      <c r="AN381" t="s">
        <v>2829</v>
      </c>
      <c r="AO381" t="s">
        <v>2839</v>
      </c>
      <c r="AP381" t="s">
        <v>2840</v>
      </c>
      <c r="AQ381" t="s">
        <v>2841</v>
      </c>
      <c r="AR381" t="s">
        <v>3578</v>
      </c>
      <c r="AS381" t="s">
        <v>3578</v>
      </c>
      <c r="AT381" t="s">
        <v>2829</v>
      </c>
      <c r="AU381" t="s">
        <v>2829</v>
      </c>
      <c r="AV381" t="s">
        <v>2829</v>
      </c>
      <c r="AW381" t="s">
        <v>2829</v>
      </c>
      <c r="AX381" t="s">
        <v>2829</v>
      </c>
      <c r="AY381" t="s">
        <v>2829</v>
      </c>
      <c r="AZ381" t="s">
        <v>2829</v>
      </c>
      <c r="BA381" t="s">
        <v>2829</v>
      </c>
      <c r="BB381" t="s">
        <v>2829</v>
      </c>
      <c r="BC381" t="s">
        <v>2829</v>
      </c>
      <c r="BD381" t="s">
        <v>2829</v>
      </c>
      <c r="BE381" t="s">
        <v>243</v>
      </c>
      <c r="BF381" t="s">
        <v>243</v>
      </c>
      <c r="BG381" t="s">
        <v>243</v>
      </c>
      <c r="BH381" t="s">
        <v>243</v>
      </c>
      <c r="BI381" t="s">
        <v>243</v>
      </c>
      <c r="BJ381" t="s">
        <v>2829</v>
      </c>
      <c r="BK381" t="s">
        <v>243</v>
      </c>
      <c r="BL381" t="s">
        <v>243</v>
      </c>
      <c r="BM381" t="s">
        <v>243</v>
      </c>
      <c r="BN381" t="s">
        <v>243</v>
      </c>
      <c r="BO381" t="s">
        <v>243</v>
      </c>
      <c r="BP381" t="s">
        <v>3578</v>
      </c>
      <c r="BQ381" t="s">
        <v>3578</v>
      </c>
      <c r="BR381" t="s">
        <v>243</v>
      </c>
      <c r="BS381" t="s">
        <v>243</v>
      </c>
      <c r="BT381" t="s">
        <v>243</v>
      </c>
      <c r="BU381" t="s">
        <v>243</v>
      </c>
      <c r="BV381" t="s">
        <v>2829</v>
      </c>
      <c r="BW381" t="s">
        <v>243</v>
      </c>
      <c r="BX381" t="s">
        <v>243</v>
      </c>
      <c r="BY381" t="s">
        <v>243</v>
      </c>
      <c r="BZ381" t="s">
        <v>243</v>
      </c>
      <c r="CA381" t="s">
        <v>243</v>
      </c>
      <c r="CB381" t="s">
        <v>2829</v>
      </c>
      <c r="CC381" t="s">
        <v>243</v>
      </c>
      <c r="CD381" t="s">
        <v>243</v>
      </c>
      <c r="CE381" t="s">
        <v>243</v>
      </c>
      <c r="CF381" t="s">
        <v>243</v>
      </c>
      <c r="CG381" t="s">
        <v>243</v>
      </c>
      <c r="CH381" t="s">
        <v>2829</v>
      </c>
      <c r="CI381" t="s">
        <v>243</v>
      </c>
      <c r="CJ381" t="s">
        <v>243</v>
      </c>
      <c r="CK381" t="s">
        <v>243</v>
      </c>
      <c r="CL381" t="s">
        <v>243</v>
      </c>
      <c r="CM381" t="s">
        <v>243</v>
      </c>
      <c r="CN381" t="s">
        <v>3010</v>
      </c>
      <c r="CO381" t="s">
        <v>2843</v>
      </c>
      <c r="CP381" t="s">
        <v>2844</v>
      </c>
      <c r="CQ381" t="s">
        <v>430</v>
      </c>
      <c r="CR381" t="s">
        <v>2984</v>
      </c>
      <c r="CS381" t="s">
        <v>431</v>
      </c>
      <c r="CT381" t="s">
        <v>430</v>
      </c>
      <c r="CU381" t="s">
        <v>2985</v>
      </c>
      <c r="CV381" t="s">
        <v>2986</v>
      </c>
      <c r="CW381" t="s">
        <v>2984</v>
      </c>
      <c r="CX381" t="s">
        <v>2848</v>
      </c>
      <c r="CY381" t="s">
        <v>3579</v>
      </c>
    </row>
    <row r="382" spans="1:103" ht="11.25" customHeight="1">
      <c r="A382" t="s">
        <v>243</v>
      </c>
      <c r="B382" t="s">
        <v>243</v>
      </c>
      <c r="C382" t="s">
        <v>243</v>
      </c>
      <c r="D382" t="s">
        <v>243</v>
      </c>
      <c r="E382" t="s">
        <v>243</v>
      </c>
      <c r="F382" t="s">
        <v>2816</v>
      </c>
      <c r="G382" t="s">
        <v>243</v>
      </c>
      <c r="H382" t="s">
        <v>243</v>
      </c>
      <c r="I382" t="s">
        <v>3580</v>
      </c>
      <c r="J382" t="s">
        <v>243</v>
      </c>
      <c r="K382" t="s">
        <v>3581</v>
      </c>
      <c r="L382" t="s">
        <v>243</v>
      </c>
      <c r="M382" t="s">
        <v>114</v>
      </c>
      <c r="N382" t="s">
        <v>243</v>
      </c>
      <c r="O382" t="s">
        <v>2819</v>
      </c>
      <c r="P382" t="s">
        <v>4448</v>
      </c>
      <c r="Q382" t="s">
        <v>2821</v>
      </c>
      <c r="R382" t="s">
        <v>200</v>
      </c>
      <c r="S382" t="s">
        <v>200</v>
      </c>
      <c r="T382" t="s">
        <v>2968</v>
      </c>
      <c r="U382" t="s">
        <v>2968</v>
      </c>
      <c r="V382" t="s">
        <v>2969</v>
      </c>
      <c r="W382" t="s">
        <v>3582</v>
      </c>
      <c r="X382" t="s">
        <v>3583</v>
      </c>
      <c r="Y382" t="s">
        <v>3584</v>
      </c>
      <c r="Z382" t="s">
        <v>3585</v>
      </c>
      <c r="AA382" t="s">
        <v>3260</v>
      </c>
      <c r="AB382" t="s">
        <v>3169</v>
      </c>
      <c r="AC382" t="s">
        <v>2829</v>
      </c>
      <c r="AD382" t="s">
        <v>2883</v>
      </c>
      <c r="AE382" t="s">
        <v>2857</v>
      </c>
      <c r="AF382" t="s">
        <v>3586</v>
      </c>
      <c r="AG382" t="s">
        <v>3586</v>
      </c>
      <c r="AH382" t="s">
        <v>2834</v>
      </c>
      <c r="AI382" t="s">
        <v>2835</v>
      </c>
      <c r="AJ382" t="s">
        <v>3572</v>
      </c>
      <c r="AK382" t="s">
        <v>3587</v>
      </c>
      <c r="AL382" t="s">
        <v>3260</v>
      </c>
      <c r="AM382" t="s">
        <v>3169</v>
      </c>
      <c r="AN382" t="s">
        <v>2829</v>
      </c>
      <c r="AO382" t="s">
        <v>2839</v>
      </c>
      <c r="AP382" t="s">
        <v>2840</v>
      </c>
      <c r="AQ382" t="s">
        <v>2841</v>
      </c>
      <c r="AR382" t="s">
        <v>3588</v>
      </c>
      <c r="AS382" t="s">
        <v>3588</v>
      </c>
      <c r="AT382" t="s">
        <v>2829</v>
      </c>
      <c r="AU382" t="s">
        <v>2829</v>
      </c>
      <c r="AV382" t="s">
        <v>2829</v>
      </c>
      <c r="AW382" t="s">
        <v>2829</v>
      </c>
      <c r="AX382" t="s">
        <v>2829</v>
      </c>
      <c r="AY382" t="s">
        <v>2829</v>
      </c>
      <c r="AZ382" t="s">
        <v>2829</v>
      </c>
      <c r="BA382" t="s">
        <v>2829</v>
      </c>
      <c r="BB382" t="s">
        <v>2829</v>
      </c>
      <c r="BC382" t="s">
        <v>2829</v>
      </c>
      <c r="BD382" t="s">
        <v>3589</v>
      </c>
      <c r="BE382" t="s">
        <v>3589</v>
      </c>
      <c r="BF382" t="s">
        <v>243</v>
      </c>
      <c r="BG382" t="s">
        <v>243</v>
      </c>
      <c r="BH382" t="s">
        <v>243</v>
      </c>
      <c r="BI382" t="s">
        <v>243</v>
      </c>
      <c r="BJ382" t="s">
        <v>2829</v>
      </c>
      <c r="BK382" t="s">
        <v>243</v>
      </c>
      <c r="BL382" t="s">
        <v>243</v>
      </c>
      <c r="BM382" t="s">
        <v>243</v>
      </c>
      <c r="BN382" t="s">
        <v>243</v>
      </c>
      <c r="BO382" t="s">
        <v>243</v>
      </c>
      <c r="BP382" t="s">
        <v>3590</v>
      </c>
      <c r="BQ382" t="s">
        <v>3590</v>
      </c>
      <c r="BR382" t="s">
        <v>243</v>
      </c>
      <c r="BS382" t="s">
        <v>243</v>
      </c>
      <c r="BT382" t="s">
        <v>243</v>
      </c>
      <c r="BU382" t="s">
        <v>243</v>
      </c>
      <c r="BV382" t="s">
        <v>2829</v>
      </c>
      <c r="BW382" t="s">
        <v>243</v>
      </c>
      <c r="BX382" t="s">
        <v>243</v>
      </c>
      <c r="BY382" t="s">
        <v>243</v>
      </c>
      <c r="BZ382" t="s">
        <v>243</v>
      </c>
      <c r="CA382" t="s">
        <v>243</v>
      </c>
      <c r="CB382" t="s">
        <v>2829</v>
      </c>
      <c r="CC382" t="s">
        <v>243</v>
      </c>
      <c r="CD382" t="s">
        <v>243</v>
      </c>
      <c r="CE382" t="s">
        <v>243</v>
      </c>
      <c r="CF382" t="s">
        <v>243</v>
      </c>
      <c r="CG382" t="s">
        <v>243</v>
      </c>
      <c r="CH382" t="s">
        <v>2829</v>
      </c>
      <c r="CI382" t="s">
        <v>243</v>
      </c>
      <c r="CJ382" t="s">
        <v>243</v>
      </c>
      <c r="CK382" t="s">
        <v>243</v>
      </c>
      <c r="CL382" t="s">
        <v>243</v>
      </c>
      <c r="CM382" t="s">
        <v>243</v>
      </c>
      <c r="CN382" t="s">
        <v>3010</v>
      </c>
      <c r="CO382" t="s">
        <v>2843</v>
      </c>
      <c r="CP382" t="s">
        <v>2844</v>
      </c>
      <c r="CQ382" t="s">
        <v>430</v>
      </c>
      <c r="CR382" t="s">
        <v>2984</v>
      </c>
      <c r="CS382" t="s">
        <v>431</v>
      </c>
      <c r="CT382" t="s">
        <v>430</v>
      </c>
      <c r="CU382" t="s">
        <v>2985</v>
      </c>
      <c r="CV382" t="s">
        <v>2986</v>
      </c>
      <c r="CW382" t="s">
        <v>2984</v>
      </c>
      <c r="CX382" t="s">
        <v>2848</v>
      </c>
      <c r="CY382" t="s">
        <v>3591</v>
      </c>
    </row>
    <row r="383" spans="1:103" ht="11.25" customHeight="1">
      <c r="A383" t="s">
        <v>243</v>
      </c>
      <c r="B383" t="s">
        <v>243</v>
      </c>
      <c r="C383" t="s">
        <v>243</v>
      </c>
      <c r="D383" t="s">
        <v>243</v>
      </c>
      <c r="E383" t="s">
        <v>243</v>
      </c>
      <c r="F383" t="s">
        <v>2816</v>
      </c>
      <c r="G383" t="s">
        <v>243</v>
      </c>
      <c r="H383" t="s">
        <v>243</v>
      </c>
      <c r="I383" t="s">
        <v>3244</v>
      </c>
      <c r="J383" t="s">
        <v>243</v>
      </c>
      <c r="K383" t="s">
        <v>3245</v>
      </c>
      <c r="L383" t="s">
        <v>243</v>
      </c>
      <c r="M383" t="s">
        <v>114</v>
      </c>
      <c r="N383" t="s">
        <v>243</v>
      </c>
      <c r="O383" t="s">
        <v>2819</v>
      </c>
      <c r="P383" t="s">
        <v>4448</v>
      </c>
      <c r="Q383" t="s">
        <v>2821</v>
      </c>
      <c r="R383" t="s">
        <v>200</v>
      </c>
      <c r="S383" t="s">
        <v>200</v>
      </c>
      <c r="T383" t="s">
        <v>3022</v>
      </c>
      <c r="U383" t="s">
        <v>3022</v>
      </c>
      <c r="V383" t="s">
        <v>3023</v>
      </c>
      <c r="W383" t="s">
        <v>3246</v>
      </c>
      <c r="X383" t="s">
        <v>3247</v>
      </c>
      <c r="Y383" t="s">
        <v>3248</v>
      </c>
      <c r="Z383" t="s">
        <v>3249</v>
      </c>
      <c r="AA383" t="s">
        <v>3250</v>
      </c>
      <c r="AB383" t="s">
        <v>3251</v>
      </c>
      <c r="AC383" t="s">
        <v>2829</v>
      </c>
      <c r="AD383" t="s">
        <v>2883</v>
      </c>
      <c r="AE383" t="s">
        <v>2831</v>
      </c>
      <c r="AF383" t="s">
        <v>3252</v>
      </c>
      <c r="AG383" t="s">
        <v>3252</v>
      </c>
      <c r="AH383" t="s">
        <v>2834</v>
      </c>
      <c r="AI383" t="s">
        <v>2835</v>
      </c>
      <c r="AJ383" t="s">
        <v>3041</v>
      </c>
      <c r="AK383" t="s">
        <v>3253</v>
      </c>
      <c r="AL383" t="s">
        <v>3250</v>
      </c>
      <c r="AM383" t="s">
        <v>3251</v>
      </c>
      <c r="AN383" t="s">
        <v>2829</v>
      </c>
      <c r="AO383" t="s">
        <v>2839</v>
      </c>
      <c r="AP383" t="s">
        <v>2840</v>
      </c>
      <c r="AQ383" t="s">
        <v>2841</v>
      </c>
      <c r="AR383" t="s">
        <v>3254</v>
      </c>
      <c r="AS383" t="s">
        <v>3255</v>
      </c>
      <c r="AT383" t="s">
        <v>3107</v>
      </c>
      <c r="AU383" t="s">
        <v>2829</v>
      </c>
      <c r="AV383" t="s">
        <v>2829</v>
      </c>
      <c r="AW383" t="s">
        <v>2829</v>
      </c>
      <c r="AX383" t="s">
        <v>2829</v>
      </c>
      <c r="AY383" t="s">
        <v>2829</v>
      </c>
      <c r="AZ383" t="s">
        <v>2829</v>
      </c>
      <c r="BA383" t="s">
        <v>2829</v>
      </c>
      <c r="BB383" t="s">
        <v>2829</v>
      </c>
      <c r="BC383" t="s">
        <v>2829</v>
      </c>
      <c r="BD383" t="s">
        <v>3256</v>
      </c>
      <c r="BE383" t="s">
        <v>3257</v>
      </c>
      <c r="BF383" t="s">
        <v>3107</v>
      </c>
      <c r="BG383" t="s">
        <v>243</v>
      </c>
      <c r="BH383" t="s">
        <v>243</v>
      </c>
      <c r="BI383" t="s">
        <v>243</v>
      </c>
      <c r="BJ383" t="s">
        <v>2829</v>
      </c>
      <c r="BK383" t="s">
        <v>243</v>
      </c>
      <c r="BL383" t="s">
        <v>243</v>
      </c>
      <c r="BM383" t="s">
        <v>243</v>
      </c>
      <c r="BN383" t="s">
        <v>243</v>
      </c>
      <c r="BO383" t="s">
        <v>243</v>
      </c>
      <c r="BP383" t="s">
        <v>3005</v>
      </c>
      <c r="BQ383" t="s">
        <v>3005</v>
      </c>
      <c r="BR383" t="s">
        <v>243</v>
      </c>
      <c r="BS383" t="s">
        <v>243</v>
      </c>
      <c r="BT383" t="s">
        <v>243</v>
      </c>
      <c r="BU383" t="s">
        <v>243</v>
      </c>
      <c r="BV383" t="s">
        <v>2829</v>
      </c>
      <c r="BW383" t="s">
        <v>243</v>
      </c>
      <c r="BX383" t="s">
        <v>243</v>
      </c>
      <c r="BY383" t="s">
        <v>243</v>
      </c>
      <c r="BZ383" t="s">
        <v>243</v>
      </c>
      <c r="CA383" t="s">
        <v>243</v>
      </c>
      <c r="CB383" t="s">
        <v>2829</v>
      </c>
      <c r="CC383" t="s">
        <v>243</v>
      </c>
      <c r="CD383" t="s">
        <v>243</v>
      </c>
      <c r="CE383" t="s">
        <v>243</v>
      </c>
      <c r="CF383" t="s">
        <v>243</v>
      </c>
      <c r="CG383" t="s">
        <v>243</v>
      </c>
      <c r="CH383" t="s">
        <v>2829</v>
      </c>
      <c r="CI383" t="s">
        <v>243</v>
      </c>
      <c r="CJ383" t="s">
        <v>243</v>
      </c>
      <c r="CK383" t="s">
        <v>243</v>
      </c>
      <c r="CL383" t="s">
        <v>243</v>
      </c>
      <c r="CM383" t="s">
        <v>243</v>
      </c>
      <c r="CN383" t="s">
        <v>3030</v>
      </c>
      <c r="CO383" t="s">
        <v>2843</v>
      </c>
      <c r="CP383" t="s">
        <v>2844</v>
      </c>
      <c r="CQ383" t="s">
        <v>430</v>
      </c>
      <c r="CR383" t="s">
        <v>3033</v>
      </c>
      <c r="CS383" t="s">
        <v>431</v>
      </c>
      <c r="CT383" t="s">
        <v>430</v>
      </c>
      <c r="CU383" t="s">
        <v>3034</v>
      </c>
      <c r="CV383" t="s">
        <v>432</v>
      </c>
      <c r="CW383" t="s">
        <v>3033</v>
      </c>
      <c r="CX383" t="s">
        <v>2848</v>
      </c>
      <c r="CY383" t="s">
        <v>3258</v>
      </c>
    </row>
    <row r="384" spans="1:103" ht="11.25" customHeight="1">
      <c r="A384" t="s">
        <v>243</v>
      </c>
      <c r="B384" t="s">
        <v>243</v>
      </c>
      <c r="C384" t="s">
        <v>243</v>
      </c>
      <c r="D384" t="s">
        <v>243</v>
      </c>
      <c r="E384" t="s">
        <v>243</v>
      </c>
      <c r="F384" t="s">
        <v>2816</v>
      </c>
      <c r="G384" t="s">
        <v>243</v>
      </c>
      <c r="H384" t="s">
        <v>243</v>
      </c>
      <c r="I384" t="s">
        <v>469</v>
      </c>
      <c r="J384" t="s">
        <v>243</v>
      </c>
      <c r="K384" t="s">
        <v>3516</v>
      </c>
      <c r="L384" t="s">
        <v>243</v>
      </c>
      <c r="M384" t="s">
        <v>114</v>
      </c>
      <c r="N384" t="s">
        <v>243</v>
      </c>
      <c r="O384" t="s">
        <v>2819</v>
      </c>
      <c r="P384" t="s">
        <v>4448</v>
      </c>
      <c r="Q384" t="s">
        <v>2821</v>
      </c>
      <c r="R384" t="s">
        <v>200</v>
      </c>
      <c r="S384" t="s">
        <v>200</v>
      </c>
      <c r="T384" t="s">
        <v>2822</v>
      </c>
      <c r="U384" t="s">
        <v>2822</v>
      </c>
      <c r="V384" t="s">
        <v>2823</v>
      </c>
      <c r="W384" t="s">
        <v>2952</v>
      </c>
      <c r="X384" t="s">
        <v>2953</v>
      </c>
      <c r="Y384" t="s">
        <v>3064</v>
      </c>
      <c r="Z384" t="s">
        <v>3517</v>
      </c>
      <c r="AA384" t="s">
        <v>3094</v>
      </c>
      <c r="AB384" t="s">
        <v>3518</v>
      </c>
      <c r="AC384" t="s">
        <v>2829</v>
      </c>
      <c r="AD384" t="s">
        <v>2830</v>
      </c>
      <c r="AE384" t="s">
        <v>2831</v>
      </c>
      <c r="AF384" t="s">
        <v>3519</v>
      </c>
      <c r="AG384" t="s">
        <v>3520</v>
      </c>
      <c r="AH384" t="s">
        <v>2834</v>
      </c>
      <c r="AI384" t="s">
        <v>2835</v>
      </c>
      <c r="AJ384" t="s">
        <v>2960</v>
      </c>
      <c r="AK384" t="s">
        <v>3521</v>
      </c>
      <c r="AL384" t="s">
        <v>3522</v>
      </c>
      <c r="AM384" t="s">
        <v>3518</v>
      </c>
      <c r="AN384" t="s">
        <v>2829</v>
      </c>
      <c r="AO384" t="s">
        <v>2839</v>
      </c>
      <c r="AP384" t="s">
        <v>2840</v>
      </c>
      <c r="AQ384" t="s">
        <v>2841</v>
      </c>
      <c r="AR384" t="s">
        <v>3523</v>
      </c>
      <c r="AS384" t="s">
        <v>3523</v>
      </c>
      <c r="AT384" t="s">
        <v>2829</v>
      </c>
      <c r="AU384" t="s">
        <v>2829</v>
      </c>
      <c r="AV384" t="s">
        <v>2829</v>
      </c>
      <c r="AW384" t="s">
        <v>2829</v>
      </c>
      <c r="AX384" t="s">
        <v>2829</v>
      </c>
      <c r="AY384" t="s">
        <v>2829</v>
      </c>
      <c r="AZ384" t="s">
        <v>2829</v>
      </c>
      <c r="BA384" t="s">
        <v>2829</v>
      </c>
      <c r="BB384" t="s">
        <v>2829</v>
      </c>
      <c r="BC384" t="s">
        <v>2829</v>
      </c>
      <c r="BD384" t="s">
        <v>3523</v>
      </c>
      <c r="BE384" t="s">
        <v>3523</v>
      </c>
      <c r="BF384" t="s">
        <v>243</v>
      </c>
      <c r="BG384" t="s">
        <v>243</v>
      </c>
      <c r="BH384" t="s">
        <v>243</v>
      </c>
      <c r="BI384" t="s">
        <v>243</v>
      </c>
      <c r="BJ384" t="s">
        <v>2829</v>
      </c>
      <c r="BK384" t="s">
        <v>243</v>
      </c>
      <c r="BL384" t="s">
        <v>243</v>
      </c>
      <c r="BM384" t="s">
        <v>243</v>
      </c>
      <c r="BN384" t="s">
        <v>243</v>
      </c>
      <c r="BO384" t="s">
        <v>243</v>
      </c>
      <c r="BP384" t="s">
        <v>2829</v>
      </c>
      <c r="BQ384" t="s">
        <v>243</v>
      </c>
      <c r="BR384" t="s">
        <v>243</v>
      </c>
      <c r="BS384" t="s">
        <v>243</v>
      </c>
      <c r="BT384" t="s">
        <v>243</v>
      </c>
      <c r="BU384" t="s">
        <v>243</v>
      </c>
      <c r="BV384" t="s">
        <v>2829</v>
      </c>
      <c r="BW384" t="s">
        <v>243</v>
      </c>
      <c r="BX384" t="s">
        <v>243</v>
      </c>
      <c r="BY384" t="s">
        <v>243</v>
      </c>
      <c r="BZ384" t="s">
        <v>243</v>
      </c>
      <c r="CA384" t="s">
        <v>243</v>
      </c>
      <c r="CB384" t="s">
        <v>2829</v>
      </c>
      <c r="CC384" t="s">
        <v>243</v>
      </c>
      <c r="CD384" t="s">
        <v>243</v>
      </c>
      <c r="CE384" t="s">
        <v>243</v>
      </c>
      <c r="CF384" t="s">
        <v>243</v>
      </c>
      <c r="CG384" t="s">
        <v>243</v>
      </c>
      <c r="CH384" t="s">
        <v>2829</v>
      </c>
      <c r="CI384" t="s">
        <v>243</v>
      </c>
      <c r="CJ384" t="s">
        <v>243</v>
      </c>
      <c r="CK384" t="s">
        <v>243</v>
      </c>
      <c r="CL384" t="s">
        <v>243</v>
      </c>
      <c r="CM384" t="s">
        <v>243</v>
      </c>
      <c r="CN384" t="s">
        <v>2960</v>
      </c>
      <c r="CO384" t="s">
        <v>2843</v>
      </c>
      <c r="CP384" t="s">
        <v>2844</v>
      </c>
      <c r="CQ384" t="s">
        <v>430</v>
      </c>
      <c r="CR384" t="s">
        <v>2845</v>
      </c>
      <c r="CS384" t="s">
        <v>431</v>
      </c>
      <c r="CT384" t="s">
        <v>430</v>
      </c>
      <c r="CU384" t="s">
        <v>2846</v>
      </c>
      <c r="CV384" t="s">
        <v>2847</v>
      </c>
      <c r="CW384" t="s">
        <v>2845</v>
      </c>
      <c r="CX384" t="s">
        <v>2848</v>
      </c>
      <c r="CY384" t="s">
        <v>3524</v>
      </c>
    </row>
    <row r="385" spans="1:103" ht="11.25" customHeight="1">
      <c r="A385" t="s">
        <v>243</v>
      </c>
      <c r="B385" t="s">
        <v>243</v>
      </c>
      <c r="C385" t="s">
        <v>243</v>
      </c>
      <c r="D385" t="s">
        <v>243</v>
      </c>
      <c r="E385" t="s">
        <v>243</v>
      </c>
      <c r="F385" t="s">
        <v>2816</v>
      </c>
      <c r="G385" t="s">
        <v>243</v>
      </c>
      <c r="H385" t="s">
        <v>243</v>
      </c>
      <c r="I385" t="s">
        <v>3123</v>
      </c>
      <c r="J385" t="s">
        <v>243</v>
      </c>
      <c r="K385" t="s">
        <v>3124</v>
      </c>
      <c r="L385" t="s">
        <v>243</v>
      </c>
      <c r="M385" t="s">
        <v>114</v>
      </c>
      <c r="N385" t="s">
        <v>243</v>
      </c>
      <c r="O385" t="s">
        <v>2819</v>
      </c>
      <c r="P385" t="s">
        <v>4448</v>
      </c>
      <c r="Q385" t="s">
        <v>2821</v>
      </c>
      <c r="R385" t="s">
        <v>200</v>
      </c>
      <c r="S385" t="s">
        <v>200</v>
      </c>
      <c r="T385" t="s">
        <v>3022</v>
      </c>
      <c r="U385" t="s">
        <v>3022</v>
      </c>
      <c r="V385" t="s">
        <v>3023</v>
      </c>
      <c r="W385" t="s">
        <v>3125</v>
      </c>
      <c r="X385" t="s">
        <v>3126</v>
      </c>
      <c r="Y385" t="s">
        <v>3127</v>
      </c>
      <c r="Z385" t="s">
        <v>454</v>
      </c>
      <c r="AA385" t="s">
        <v>3109</v>
      </c>
      <c r="AB385" t="s">
        <v>3128</v>
      </c>
      <c r="AC385" t="s">
        <v>2829</v>
      </c>
      <c r="AD385" t="s">
        <v>2883</v>
      </c>
      <c r="AE385" t="s">
        <v>2831</v>
      </c>
      <c r="AF385" t="s">
        <v>3129</v>
      </c>
      <c r="AG385" t="s">
        <v>3129</v>
      </c>
      <c r="AH385" t="s">
        <v>2834</v>
      </c>
      <c r="AI385" t="s">
        <v>2835</v>
      </c>
      <c r="AJ385" t="s">
        <v>3130</v>
      </c>
      <c r="AK385" t="s">
        <v>3131</v>
      </c>
      <c r="AL385" t="s">
        <v>3109</v>
      </c>
      <c r="AM385" t="s">
        <v>3128</v>
      </c>
      <c r="AN385" t="s">
        <v>2829</v>
      </c>
      <c r="AO385" t="s">
        <v>2839</v>
      </c>
      <c r="AP385" t="s">
        <v>2840</v>
      </c>
      <c r="AQ385" t="s">
        <v>2841</v>
      </c>
      <c r="AR385" t="s">
        <v>3132</v>
      </c>
      <c r="AS385" t="s">
        <v>3132</v>
      </c>
      <c r="AT385" t="s">
        <v>2829</v>
      </c>
      <c r="AU385" t="s">
        <v>2829</v>
      </c>
      <c r="AV385" t="s">
        <v>2829</v>
      </c>
      <c r="AW385" t="s">
        <v>2829</v>
      </c>
      <c r="AX385" t="s">
        <v>2829</v>
      </c>
      <c r="AY385" t="s">
        <v>2829</v>
      </c>
      <c r="AZ385" t="s">
        <v>2829</v>
      </c>
      <c r="BA385" t="s">
        <v>2829</v>
      </c>
      <c r="BB385" t="s">
        <v>2829</v>
      </c>
      <c r="BC385" t="s">
        <v>2829</v>
      </c>
      <c r="BD385" t="s">
        <v>3133</v>
      </c>
      <c r="BE385" t="s">
        <v>3133</v>
      </c>
      <c r="BF385" t="s">
        <v>243</v>
      </c>
      <c r="BG385" t="s">
        <v>243</v>
      </c>
      <c r="BH385" t="s">
        <v>243</v>
      </c>
      <c r="BI385" t="s">
        <v>243</v>
      </c>
      <c r="BJ385" t="s">
        <v>2829</v>
      </c>
      <c r="BK385" t="s">
        <v>243</v>
      </c>
      <c r="BL385" t="s">
        <v>243</v>
      </c>
      <c r="BM385" t="s">
        <v>243</v>
      </c>
      <c r="BN385" t="s">
        <v>243</v>
      </c>
      <c r="BO385" t="s">
        <v>243</v>
      </c>
      <c r="BP385" t="s">
        <v>2829</v>
      </c>
      <c r="BQ385" t="s">
        <v>243</v>
      </c>
      <c r="BR385" t="s">
        <v>243</v>
      </c>
      <c r="BS385" t="s">
        <v>243</v>
      </c>
      <c r="BT385" t="s">
        <v>243</v>
      </c>
      <c r="BU385" t="s">
        <v>243</v>
      </c>
      <c r="BV385" t="s">
        <v>2829</v>
      </c>
      <c r="BW385" t="s">
        <v>243</v>
      </c>
      <c r="BX385" t="s">
        <v>243</v>
      </c>
      <c r="BY385" t="s">
        <v>243</v>
      </c>
      <c r="BZ385" t="s">
        <v>243</v>
      </c>
      <c r="CA385" t="s">
        <v>243</v>
      </c>
      <c r="CB385" t="s">
        <v>3134</v>
      </c>
      <c r="CC385" t="s">
        <v>3134</v>
      </c>
      <c r="CD385" t="s">
        <v>243</v>
      </c>
      <c r="CE385" t="s">
        <v>243</v>
      </c>
      <c r="CF385" t="s">
        <v>243</v>
      </c>
      <c r="CG385" t="s">
        <v>243</v>
      </c>
      <c r="CH385" t="s">
        <v>2829</v>
      </c>
      <c r="CI385" t="s">
        <v>243</v>
      </c>
      <c r="CJ385" t="s">
        <v>243</v>
      </c>
      <c r="CK385" t="s">
        <v>243</v>
      </c>
      <c r="CL385" t="s">
        <v>243</v>
      </c>
      <c r="CM385" t="s">
        <v>243</v>
      </c>
      <c r="CN385" t="s">
        <v>3030</v>
      </c>
      <c r="CO385" t="s">
        <v>2843</v>
      </c>
      <c r="CP385" t="s">
        <v>2844</v>
      </c>
      <c r="CQ385" t="s">
        <v>430</v>
      </c>
      <c r="CR385" t="s">
        <v>3033</v>
      </c>
      <c r="CS385" t="s">
        <v>431</v>
      </c>
      <c r="CT385" t="s">
        <v>430</v>
      </c>
      <c r="CU385" t="s">
        <v>3034</v>
      </c>
      <c r="CV385" t="s">
        <v>432</v>
      </c>
      <c r="CW385" t="s">
        <v>3033</v>
      </c>
      <c r="CX385" t="s">
        <v>2848</v>
      </c>
      <c r="CY385" t="s">
        <v>3135</v>
      </c>
    </row>
    <row r="386" spans="1:103" ht="11.25" customHeight="1">
      <c r="A386" t="s">
        <v>243</v>
      </c>
      <c r="B386" t="s">
        <v>243</v>
      </c>
      <c r="C386" t="s">
        <v>243</v>
      </c>
      <c r="D386" t="s">
        <v>243</v>
      </c>
      <c r="E386" t="s">
        <v>243</v>
      </c>
      <c r="F386" t="s">
        <v>2816</v>
      </c>
      <c r="G386" t="s">
        <v>243</v>
      </c>
      <c r="H386" t="s">
        <v>243</v>
      </c>
      <c r="I386" t="s">
        <v>348</v>
      </c>
      <c r="J386" t="s">
        <v>243</v>
      </c>
      <c r="K386" t="s">
        <v>3281</v>
      </c>
      <c r="L386" t="s">
        <v>243</v>
      </c>
      <c r="M386" t="s">
        <v>114</v>
      </c>
      <c r="N386" t="s">
        <v>243</v>
      </c>
      <c r="O386" t="s">
        <v>2819</v>
      </c>
      <c r="P386" t="s">
        <v>4448</v>
      </c>
      <c r="Q386" t="s">
        <v>2821</v>
      </c>
      <c r="R386" t="s">
        <v>200</v>
      </c>
      <c r="S386" t="s">
        <v>200</v>
      </c>
      <c r="T386" t="s">
        <v>3282</v>
      </c>
      <c r="U386" t="s">
        <v>3282</v>
      </c>
      <c r="V386" t="s">
        <v>3283</v>
      </c>
      <c r="W386" t="s">
        <v>3284</v>
      </c>
      <c r="X386" t="s">
        <v>3285</v>
      </c>
      <c r="Y386" t="s">
        <v>3286</v>
      </c>
      <c r="Z386" t="s">
        <v>902</v>
      </c>
      <c r="AA386" t="s">
        <v>3287</v>
      </c>
      <c r="AB386" t="s">
        <v>3288</v>
      </c>
      <c r="AC386" t="s">
        <v>3260</v>
      </c>
      <c r="AD386" t="s">
        <v>2883</v>
      </c>
      <c r="AE386" t="s">
        <v>2975</v>
      </c>
      <c r="AF386" t="s">
        <v>3289</v>
      </c>
      <c r="AG386" t="s">
        <v>3290</v>
      </c>
      <c r="AH386" t="s">
        <v>2834</v>
      </c>
      <c r="AI386" t="s">
        <v>2887</v>
      </c>
      <c r="AJ386" t="s">
        <v>2888</v>
      </c>
      <c r="AK386" t="s">
        <v>2889</v>
      </c>
      <c r="AL386" t="s">
        <v>3287</v>
      </c>
      <c r="AM386" t="s">
        <v>3288</v>
      </c>
      <c r="AN386" t="s">
        <v>3260</v>
      </c>
      <c r="AO386" t="s">
        <v>2839</v>
      </c>
      <c r="AP386" t="s">
        <v>2840</v>
      </c>
      <c r="AQ386" t="s">
        <v>2841</v>
      </c>
      <c r="AR386" t="s">
        <v>3291</v>
      </c>
      <c r="AS386" t="s">
        <v>3292</v>
      </c>
      <c r="AT386" t="s">
        <v>3293</v>
      </c>
      <c r="AU386" t="s">
        <v>2829</v>
      </c>
      <c r="AV386" t="s">
        <v>2829</v>
      </c>
      <c r="AW386" t="s">
        <v>2829</v>
      </c>
      <c r="AX386" t="s">
        <v>2829</v>
      </c>
      <c r="AY386" t="s">
        <v>2829</v>
      </c>
      <c r="AZ386" t="s">
        <v>2829</v>
      </c>
      <c r="BA386" t="s">
        <v>2829</v>
      </c>
      <c r="BB386" t="s">
        <v>2829</v>
      </c>
      <c r="BC386" t="s">
        <v>2829</v>
      </c>
      <c r="BD386" t="s">
        <v>3294</v>
      </c>
      <c r="BE386" t="s">
        <v>3295</v>
      </c>
      <c r="BF386" t="s">
        <v>3293</v>
      </c>
      <c r="BG386" t="s">
        <v>243</v>
      </c>
      <c r="BH386" t="s">
        <v>243</v>
      </c>
      <c r="BI386" t="s">
        <v>243</v>
      </c>
      <c r="BJ386" t="s">
        <v>2829</v>
      </c>
      <c r="BK386" t="s">
        <v>243</v>
      </c>
      <c r="BL386" t="s">
        <v>243</v>
      </c>
      <c r="BM386" t="s">
        <v>243</v>
      </c>
      <c r="BN386" t="s">
        <v>243</v>
      </c>
      <c r="BO386" t="s">
        <v>243</v>
      </c>
      <c r="BP386" t="s">
        <v>3296</v>
      </c>
      <c r="BQ386" t="s">
        <v>3296</v>
      </c>
      <c r="BR386" t="s">
        <v>243</v>
      </c>
      <c r="BS386" t="s">
        <v>243</v>
      </c>
      <c r="BT386" t="s">
        <v>243</v>
      </c>
      <c r="BU386" t="s">
        <v>243</v>
      </c>
      <c r="BV386" t="s">
        <v>2829</v>
      </c>
      <c r="BW386" t="s">
        <v>243</v>
      </c>
      <c r="BX386" t="s">
        <v>243</v>
      </c>
      <c r="BY386" t="s">
        <v>243</v>
      </c>
      <c r="BZ386" t="s">
        <v>243</v>
      </c>
      <c r="CA386" t="s">
        <v>243</v>
      </c>
      <c r="CB386" t="s">
        <v>2829</v>
      </c>
      <c r="CC386" t="s">
        <v>243</v>
      </c>
      <c r="CD386" t="s">
        <v>243</v>
      </c>
      <c r="CE386" t="s">
        <v>243</v>
      </c>
      <c r="CF386" t="s">
        <v>243</v>
      </c>
      <c r="CG386" t="s">
        <v>243</v>
      </c>
      <c r="CH386" t="s">
        <v>2829</v>
      </c>
      <c r="CI386" t="s">
        <v>243</v>
      </c>
      <c r="CJ386" t="s">
        <v>243</v>
      </c>
      <c r="CK386" t="s">
        <v>243</v>
      </c>
      <c r="CL386" t="s">
        <v>243</v>
      </c>
      <c r="CM386" t="s">
        <v>243</v>
      </c>
      <c r="CN386" t="s">
        <v>2888</v>
      </c>
      <c r="CO386" t="s">
        <v>2843</v>
      </c>
      <c r="CP386" t="s">
        <v>2844</v>
      </c>
      <c r="CQ386" t="s">
        <v>430</v>
      </c>
      <c r="CR386" t="s">
        <v>3297</v>
      </c>
      <c r="CS386" t="s">
        <v>431</v>
      </c>
      <c r="CT386" t="s">
        <v>430</v>
      </c>
      <c r="CU386" t="s">
        <v>341</v>
      </c>
      <c r="CV386" t="s">
        <v>2900</v>
      </c>
      <c r="CW386" t="s">
        <v>3297</v>
      </c>
      <c r="CX386" t="s">
        <v>2848</v>
      </c>
      <c r="CY386" t="s">
        <v>3298</v>
      </c>
    </row>
    <row r="387" spans="1:103" ht="11.25" customHeight="1">
      <c r="A387" t="s">
        <v>243</v>
      </c>
      <c r="B387" t="s">
        <v>243</v>
      </c>
      <c r="C387" t="s">
        <v>243</v>
      </c>
      <c r="D387" t="s">
        <v>243</v>
      </c>
      <c r="E387" t="s">
        <v>243</v>
      </c>
      <c r="F387" t="s">
        <v>2816</v>
      </c>
      <c r="G387" t="s">
        <v>243</v>
      </c>
      <c r="H387" t="s">
        <v>243</v>
      </c>
      <c r="I387" t="s">
        <v>1776</v>
      </c>
      <c r="J387" t="s">
        <v>243</v>
      </c>
      <c r="K387" t="s">
        <v>455</v>
      </c>
      <c r="L387" t="s">
        <v>243</v>
      </c>
      <c r="M387" t="s">
        <v>114</v>
      </c>
      <c r="N387" t="s">
        <v>243</v>
      </c>
      <c r="O387" t="s">
        <v>2819</v>
      </c>
      <c r="P387" t="s">
        <v>4448</v>
      </c>
      <c r="Q387" t="s">
        <v>2821</v>
      </c>
      <c r="R387" t="s">
        <v>200</v>
      </c>
      <c r="S387" t="s">
        <v>200</v>
      </c>
      <c r="T387" t="s">
        <v>2822</v>
      </c>
      <c r="U387" t="s">
        <v>2822</v>
      </c>
      <c r="V387" t="s">
        <v>2823</v>
      </c>
      <c r="W387" t="s">
        <v>2952</v>
      </c>
      <c r="X387" t="s">
        <v>2953</v>
      </c>
      <c r="Y387" t="s">
        <v>2864</v>
      </c>
      <c r="Z387" t="s">
        <v>3734</v>
      </c>
      <c r="AA387" t="s">
        <v>3260</v>
      </c>
      <c r="AB387" t="s">
        <v>3735</v>
      </c>
      <c r="AC387" t="s">
        <v>2829</v>
      </c>
      <c r="AD387" t="s">
        <v>2830</v>
      </c>
      <c r="AE387" t="s">
        <v>2831</v>
      </c>
      <c r="AF387" t="s">
        <v>3736</v>
      </c>
      <c r="AG387" t="s">
        <v>3737</v>
      </c>
      <c r="AH387" t="s">
        <v>2834</v>
      </c>
      <c r="AI387" t="s">
        <v>2835</v>
      </c>
      <c r="AJ387" t="s">
        <v>2960</v>
      </c>
      <c r="AK387" t="s">
        <v>2961</v>
      </c>
      <c r="AL387" t="s">
        <v>2966</v>
      </c>
      <c r="AM387" t="s">
        <v>3738</v>
      </c>
      <c r="AN387" t="s">
        <v>2829</v>
      </c>
      <c r="AO387" t="s">
        <v>2839</v>
      </c>
      <c r="AP387" t="s">
        <v>2840</v>
      </c>
      <c r="AQ387" t="s">
        <v>2841</v>
      </c>
      <c r="AR387" t="s">
        <v>3739</v>
      </c>
      <c r="AS387" t="s">
        <v>3739</v>
      </c>
      <c r="AT387" t="s">
        <v>2829</v>
      </c>
      <c r="AU387" t="s">
        <v>2829</v>
      </c>
      <c r="AV387" t="s">
        <v>2829</v>
      </c>
      <c r="AW387" t="s">
        <v>2829</v>
      </c>
      <c r="AX387" t="s">
        <v>2829</v>
      </c>
      <c r="AY387" t="s">
        <v>2829</v>
      </c>
      <c r="AZ387" t="s">
        <v>2829</v>
      </c>
      <c r="BA387" t="s">
        <v>2829</v>
      </c>
      <c r="BB387" t="s">
        <v>2829</v>
      </c>
      <c r="BC387" t="s">
        <v>2829</v>
      </c>
      <c r="BD387" t="s">
        <v>2829</v>
      </c>
      <c r="BE387" t="s">
        <v>243</v>
      </c>
      <c r="BF387" t="s">
        <v>243</v>
      </c>
      <c r="BG387" t="s">
        <v>243</v>
      </c>
      <c r="BH387" t="s">
        <v>243</v>
      </c>
      <c r="BI387" t="s">
        <v>243</v>
      </c>
      <c r="BJ387" t="s">
        <v>2829</v>
      </c>
      <c r="BK387" t="s">
        <v>243</v>
      </c>
      <c r="BL387" t="s">
        <v>243</v>
      </c>
      <c r="BM387" t="s">
        <v>243</v>
      </c>
      <c r="BN387" t="s">
        <v>243</v>
      </c>
      <c r="BO387" t="s">
        <v>243</v>
      </c>
      <c r="BP387" t="s">
        <v>3739</v>
      </c>
      <c r="BQ387" t="s">
        <v>3739</v>
      </c>
      <c r="BR387" t="s">
        <v>243</v>
      </c>
      <c r="BS387" t="s">
        <v>243</v>
      </c>
      <c r="BT387" t="s">
        <v>243</v>
      </c>
      <c r="BU387" t="s">
        <v>243</v>
      </c>
      <c r="BV387" t="s">
        <v>2829</v>
      </c>
      <c r="BW387" t="s">
        <v>243</v>
      </c>
      <c r="BX387" t="s">
        <v>243</v>
      </c>
      <c r="BY387" t="s">
        <v>243</v>
      </c>
      <c r="BZ387" t="s">
        <v>243</v>
      </c>
      <c r="CA387" t="s">
        <v>243</v>
      </c>
      <c r="CB387" t="s">
        <v>2829</v>
      </c>
      <c r="CC387" t="s">
        <v>243</v>
      </c>
      <c r="CD387" t="s">
        <v>243</v>
      </c>
      <c r="CE387" t="s">
        <v>243</v>
      </c>
      <c r="CF387" t="s">
        <v>243</v>
      </c>
      <c r="CG387" t="s">
        <v>243</v>
      </c>
      <c r="CH387" t="s">
        <v>2829</v>
      </c>
      <c r="CI387" t="s">
        <v>243</v>
      </c>
      <c r="CJ387" t="s">
        <v>243</v>
      </c>
      <c r="CK387" t="s">
        <v>243</v>
      </c>
      <c r="CL387" t="s">
        <v>243</v>
      </c>
      <c r="CM387" t="s">
        <v>243</v>
      </c>
      <c r="CN387" t="s">
        <v>2960</v>
      </c>
      <c r="CO387" t="s">
        <v>2843</v>
      </c>
      <c r="CP387" t="s">
        <v>2844</v>
      </c>
      <c r="CQ387" t="s">
        <v>430</v>
      </c>
      <c r="CR387" t="s">
        <v>2845</v>
      </c>
      <c r="CS387" t="s">
        <v>431</v>
      </c>
      <c r="CT387" t="s">
        <v>430</v>
      </c>
      <c r="CU387" t="s">
        <v>2846</v>
      </c>
      <c r="CV387" t="s">
        <v>2847</v>
      </c>
      <c r="CW387" t="s">
        <v>2845</v>
      </c>
      <c r="CX387" t="s">
        <v>2848</v>
      </c>
      <c r="CY387" t="s">
        <v>3740</v>
      </c>
    </row>
    <row r="388" spans="1:103" ht="11.25" customHeight="1">
      <c r="A388" t="s">
        <v>243</v>
      </c>
      <c r="B388" t="s">
        <v>243</v>
      </c>
      <c r="C388" t="s">
        <v>243</v>
      </c>
      <c r="D388" t="s">
        <v>243</v>
      </c>
      <c r="E388" t="s">
        <v>243</v>
      </c>
      <c r="F388" t="s">
        <v>2816</v>
      </c>
      <c r="G388" t="s">
        <v>243</v>
      </c>
      <c r="H388" t="s">
        <v>243</v>
      </c>
      <c r="I388" t="s">
        <v>4297</v>
      </c>
      <c r="J388" t="s">
        <v>243</v>
      </c>
      <c r="K388" t="s">
        <v>2818</v>
      </c>
      <c r="L388" t="s">
        <v>243</v>
      </c>
      <c r="M388" t="s">
        <v>114</v>
      </c>
      <c r="N388" t="s">
        <v>243</v>
      </c>
      <c r="O388" t="s">
        <v>2819</v>
      </c>
      <c r="P388" t="s">
        <v>4448</v>
      </c>
      <c r="Q388" t="s">
        <v>2821</v>
      </c>
      <c r="R388" t="s">
        <v>200</v>
      </c>
      <c r="S388" t="s">
        <v>200</v>
      </c>
      <c r="T388" t="s">
        <v>2822</v>
      </c>
      <c r="U388" t="s">
        <v>2822</v>
      </c>
      <c r="V388" t="s">
        <v>2823</v>
      </c>
      <c r="W388" t="s">
        <v>4298</v>
      </c>
      <c r="X388" t="s">
        <v>4299</v>
      </c>
      <c r="Y388" t="s">
        <v>3717</v>
      </c>
      <c r="Z388" t="s">
        <v>460</v>
      </c>
      <c r="AA388" t="s">
        <v>2859</v>
      </c>
      <c r="AB388" t="s">
        <v>2859</v>
      </c>
      <c r="AC388" t="s">
        <v>243</v>
      </c>
      <c r="AD388" t="s">
        <v>2830</v>
      </c>
      <c r="AE388" t="s">
        <v>2831</v>
      </c>
      <c r="AF388" t="s">
        <v>4300</v>
      </c>
      <c r="AG388" t="s">
        <v>4300</v>
      </c>
      <c r="AH388" t="s">
        <v>2834</v>
      </c>
      <c r="AI388" t="s">
        <v>2835</v>
      </c>
      <c r="AJ388" t="s">
        <v>3287</v>
      </c>
      <c r="AK388" t="s">
        <v>4301</v>
      </c>
      <c r="AL388" t="s">
        <v>2859</v>
      </c>
      <c r="AM388" t="s">
        <v>2859</v>
      </c>
      <c r="AN388" t="s">
        <v>243</v>
      </c>
      <c r="AO388" t="s">
        <v>2839</v>
      </c>
      <c r="AP388" t="s">
        <v>2840</v>
      </c>
      <c r="AQ388" t="s">
        <v>2841</v>
      </c>
      <c r="AR388" t="s">
        <v>4302</v>
      </c>
      <c r="AS388" t="s">
        <v>4302</v>
      </c>
      <c r="AT388" t="s">
        <v>2829</v>
      </c>
      <c r="AU388" t="s">
        <v>2829</v>
      </c>
      <c r="AV388" t="s">
        <v>2829</v>
      </c>
      <c r="AW388" t="s">
        <v>2829</v>
      </c>
      <c r="AX388" t="s">
        <v>2829</v>
      </c>
      <c r="AY388" t="s">
        <v>2829</v>
      </c>
      <c r="AZ388" t="s">
        <v>2829</v>
      </c>
      <c r="BA388" t="s">
        <v>2829</v>
      </c>
      <c r="BB388" t="s">
        <v>2829</v>
      </c>
      <c r="BC388" t="s">
        <v>2829</v>
      </c>
      <c r="BD388" t="s">
        <v>4302</v>
      </c>
      <c r="BE388" t="s">
        <v>4302</v>
      </c>
      <c r="BF388" t="s">
        <v>243</v>
      </c>
      <c r="BG388" t="s">
        <v>243</v>
      </c>
      <c r="BH388" t="s">
        <v>243</v>
      </c>
      <c r="BI388" t="s">
        <v>243</v>
      </c>
      <c r="BJ388" t="s">
        <v>2829</v>
      </c>
      <c r="BK388" t="s">
        <v>243</v>
      </c>
      <c r="BL388" t="s">
        <v>243</v>
      </c>
      <c r="BM388" t="s">
        <v>243</v>
      </c>
      <c r="BN388" t="s">
        <v>243</v>
      </c>
      <c r="BO388" t="s">
        <v>243</v>
      </c>
      <c r="BP388" t="s">
        <v>2829</v>
      </c>
      <c r="BQ388" t="s">
        <v>243</v>
      </c>
      <c r="BR388" t="s">
        <v>243</v>
      </c>
      <c r="BS388" t="s">
        <v>243</v>
      </c>
      <c r="BT388" t="s">
        <v>243</v>
      </c>
      <c r="BU388" t="s">
        <v>243</v>
      </c>
      <c r="BV388" t="s">
        <v>2829</v>
      </c>
      <c r="BW388" t="s">
        <v>243</v>
      </c>
      <c r="BX388" t="s">
        <v>243</v>
      </c>
      <c r="BY388" t="s">
        <v>243</v>
      </c>
      <c r="BZ388" t="s">
        <v>243</v>
      </c>
      <c r="CA388" t="s">
        <v>243</v>
      </c>
      <c r="CB388" t="s">
        <v>2829</v>
      </c>
      <c r="CC388" t="s">
        <v>243</v>
      </c>
      <c r="CD388" t="s">
        <v>243</v>
      </c>
      <c r="CE388" t="s">
        <v>243</v>
      </c>
      <c r="CF388" t="s">
        <v>243</v>
      </c>
      <c r="CG388" t="s">
        <v>243</v>
      </c>
      <c r="CH388" t="s">
        <v>2829</v>
      </c>
      <c r="CI388" t="s">
        <v>243</v>
      </c>
      <c r="CJ388" t="s">
        <v>243</v>
      </c>
      <c r="CK388" t="s">
        <v>243</v>
      </c>
      <c r="CL388" t="s">
        <v>243</v>
      </c>
      <c r="CM388" t="s">
        <v>243</v>
      </c>
      <c r="CN388" t="s">
        <v>3287</v>
      </c>
      <c r="CO388" t="s">
        <v>2843</v>
      </c>
      <c r="CP388" t="s">
        <v>2844</v>
      </c>
      <c r="CQ388" t="s">
        <v>430</v>
      </c>
      <c r="CR388" t="s">
        <v>2872</v>
      </c>
      <c r="CS388" t="s">
        <v>431</v>
      </c>
      <c r="CT388" t="s">
        <v>430</v>
      </c>
      <c r="CU388" t="s">
        <v>2846</v>
      </c>
      <c r="CV388" t="s">
        <v>2873</v>
      </c>
      <c r="CW388" t="s">
        <v>2872</v>
      </c>
      <c r="CX388" t="s">
        <v>2848</v>
      </c>
      <c r="CY388" t="s">
        <v>4303</v>
      </c>
    </row>
    <row r="389" spans="1:103" ht="11.25" customHeight="1">
      <c r="A389" t="s">
        <v>243</v>
      </c>
      <c r="B389" t="s">
        <v>243</v>
      </c>
      <c r="C389" t="s">
        <v>243</v>
      </c>
      <c r="D389" t="s">
        <v>243</v>
      </c>
      <c r="E389" t="s">
        <v>243</v>
      </c>
      <c r="F389" t="s">
        <v>2816</v>
      </c>
      <c r="G389" t="s">
        <v>243</v>
      </c>
      <c r="H389" t="s">
        <v>243</v>
      </c>
      <c r="I389" t="s">
        <v>4367</v>
      </c>
      <c r="J389" t="s">
        <v>243</v>
      </c>
      <c r="K389" t="s">
        <v>2818</v>
      </c>
      <c r="L389" t="s">
        <v>243</v>
      </c>
      <c r="M389" t="s">
        <v>114</v>
      </c>
      <c r="N389" t="s">
        <v>243</v>
      </c>
      <c r="O389" t="s">
        <v>2819</v>
      </c>
      <c r="P389" t="s">
        <v>4448</v>
      </c>
      <c r="Q389" t="s">
        <v>2821</v>
      </c>
      <c r="R389" t="s">
        <v>200</v>
      </c>
      <c r="S389" t="s">
        <v>200</v>
      </c>
      <c r="T389" t="s">
        <v>2822</v>
      </c>
      <c r="U389" t="s">
        <v>2822</v>
      </c>
      <c r="V389" t="s">
        <v>2823</v>
      </c>
      <c r="W389" t="s">
        <v>3200</v>
      </c>
      <c r="X389" t="s">
        <v>3201</v>
      </c>
      <c r="Y389" t="s">
        <v>4368</v>
      </c>
      <c r="Z389" t="s">
        <v>341</v>
      </c>
      <c r="AA389" t="s">
        <v>3058</v>
      </c>
      <c r="AB389" t="s">
        <v>4369</v>
      </c>
      <c r="AC389" t="s">
        <v>243</v>
      </c>
      <c r="AD389" t="s">
        <v>2830</v>
      </c>
      <c r="AE389" t="s">
        <v>2831</v>
      </c>
      <c r="AF389" t="s">
        <v>4300</v>
      </c>
      <c r="AG389" t="s">
        <v>4300</v>
      </c>
      <c r="AH389" t="s">
        <v>2834</v>
      </c>
      <c r="AI389" t="s">
        <v>2835</v>
      </c>
      <c r="AJ389" t="s">
        <v>3287</v>
      </c>
      <c r="AK389" t="s">
        <v>4301</v>
      </c>
      <c r="AL389" t="s">
        <v>3058</v>
      </c>
      <c r="AM389" t="s">
        <v>4369</v>
      </c>
      <c r="AN389" t="s">
        <v>243</v>
      </c>
      <c r="AO389" t="s">
        <v>2839</v>
      </c>
      <c r="AP389" t="s">
        <v>2840</v>
      </c>
      <c r="AQ389" t="s">
        <v>2841</v>
      </c>
      <c r="AR389" t="s">
        <v>4114</v>
      </c>
      <c r="AS389" t="s">
        <v>4114</v>
      </c>
      <c r="AT389" t="s">
        <v>2829</v>
      </c>
      <c r="AU389" t="s">
        <v>2829</v>
      </c>
      <c r="AV389" t="s">
        <v>2829</v>
      </c>
      <c r="AW389" t="s">
        <v>2829</v>
      </c>
      <c r="AX389" t="s">
        <v>2829</v>
      </c>
      <c r="AY389" t="s">
        <v>2829</v>
      </c>
      <c r="AZ389" t="s">
        <v>2829</v>
      </c>
      <c r="BA389" t="s">
        <v>2829</v>
      </c>
      <c r="BB389" t="s">
        <v>2829</v>
      </c>
      <c r="BC389" t="s">
        <v>2829</v>
      </c>
      <c r="BD389" t="s">
        <v>4114</v>
      </c>
      <c r="BE389" t="s">
        <v>4114</v>
      </c>
      <c r="BF389" t="s">
        <v>243</v>
      </c>
      <c r="BG389" t="s">
        <v>243</v>
      </c>
      <c r="BH389" t="s">
        <v>243</v>
      </c>
      <c r="BI389" t="s">
        <v>243</v>
      </c>
      <c r="BJ389" t="s">
        <v>2829</v>
      </c>
      <c r="BK389" t="s">
        <v>243</v>
      </c>
      <c r="BL389" t="s">
        <v>243</v>
      </c>
      <c r="BM389" t="s">
        <v>243</v>
      </c>
      <c r="BN389" t="s">
        <v>243</v>
      </c>
      <c r="BO389" t="s">
        <v>243</v>
      </c>
      <c r="BP389" t="s">
        <v>2829</v>
      </c>
      <c r="BQ389" t="s">
        <v>243</v>
      </c>
      <c r="BR389" t="s">
        <v>243</v>
      </c>
      <c r="BS389" t="s">
        <v>243</v>
      </c>
      <c r="BT389" t="s">
        <v>243</v>
      </c>
      <c r="BU389" t="s">
        <v>243</v>
      </c>
      <c r="BV389" t="s">
        <v>2829</v>
      </c>
      <c r="BW389" t="s">
        <v>243</v>
      </c>
      <c r="BX389" t="s">
        <v>243</v>
      </c>
      <c r="BY389" t="s">
        <v>243</v>
      </c>
      <c r="BZ389" t="s">
        <v>243</v>
      </c>
      <c r="CA389" t="s">
        <v>243</v>
      </c>
      <c r="CB389" t="s">
        <v>2829</v>
      </c>
      <c r="CC389" t="s">
        <v>243</v>
      </c>
      <c r="CD389" t="s">
        <v>243</v>
      </c>
      <c r="CE389" t="s">
        <v>243</v>
      </c>
      <c r="CF389" t="s">
        <v>243</v>
      </c>
      <c r="CG389" t="s">
        <v>243</v>
      </c>
      <c r="CH389" t="s">
        <v>2829</v>
      </c>
      <c r="CI389" t="s">
        <v>243</v>
      </c>
      <c r="CJ389" t="s">
        <v>243</v>
      </c>
      <c r="CK389" t="s">
        <v>243</v>
      </c>
      <c r="CL389" t="s">
        <v>243</v>
      </c>
      <c r="CM389" t="s">
        <v>243</v>
      </c>
      <c r="CN389" t="s">
        <v>3287</v>
      </c>
      <c r="CO389" t="s">
        <v>2843</v>
      </c>
      <c r="CP389" t="s">
        <v>2844</v>
      </c>
      <c r="CQ389" t="s">
        <v>430</v>
      </c>
      <c r="CR389" t="s">
        <v>2872</v>
      </c>
      <c r="CS389" t="s">
        <v>431</v>
      </c>
      <c r="CT389" t="s">
        <v>430</v>
      </c>
      <c r="CU389" t="s">
        <v>2846</v>
      </c>
      <c r="CV389" t="s">
        <v>2873</v>
      </c>
      <c r="CW389" t="s">
        <v>2872</v>
      </c>
      <c r="CX389" t="s">
        <v>2848</v>
      </c>
      <c r="CY389" t="s">
        <v>4370</v>
      </c>
    </row>
    <row r="390" spans="1:103" ht="11.25" customHeight="1">
      <c r="A390" t="s">
        <v>243</v>
      </c>
      <c r="B390" t="s">
        <v>243</v>
      </c>
      <c r="C390" t="s">
        <v>243</v>
      </c>
      <c r="D390" t="s">
        <v>243</v>
      </c>
      <c r="E390" t="s">
        <v>243</v>
      </c>
      <c r="F390" t="s">
        <v>2816</v>
      </c>
      <c r="G390" t="s">
        <v>243</v>
      </c>
      <c r="H390" t="s">
        <v>243</v>
      </c>
      <c r="I390" t="s">
        <v>4371</v>
      </c>
      <c r="J390" t="s">
        <v>243</v>
      </c>
      <c r="K390" t="s">
        <v>2818</v>
      </c>
      <c r="L390" t="s">
        <v>243</v>
      </c>
      <c r="M390" t="s">
        <v>114</v>
      </c>
      <c r="N390" t="s">
        <v>243</v>
      </c>
      <c r="O390" t="s">
        <v>2819</v>
      </c>
      <c r="P390" t="s">
        <v>4448</v>
      </c>
      <c r="Q390" t="s">
        <v>2821</v>
      </c>
      <c r="R390" t="s">
        <v>200</v>
      </c>
      <c r="S390" t="s">
        <v>200</v>
      </c>
      <c r="T390" t="s">
        <v>2822</v>
      </c>
      <c r="U390" t="s">
        <v>2822</v>
      </c>
      <c r="V390" t="s">
        <v>2823</v>
      </c>
      <c r="W390" t="s">
        <v>4080</v>
      </c>
      <c r="X390" t="s">
        <v>4081</v>
      </c>
      <c r="Y390" t="s">
        <v>3610</v>
      </c>
      <c r="Z390" t="s">
        <v>3874</v>
      </c>
      <c r="AA390" t="s">
        <v>3875</v>
      </c>
      <c r="AB390" t="s">
        <v>3217</v>
      </c>
      <c r="AC390" t="s">
        <v>243</v>
      </c>
      <c r="AD390" t="s">
        <v>2830</v>
      </c>
      <c r="AE390" t="s">
        <v>2831</v>
      </c>
      <c r="AF390" t="s">
        <v>4300</v>
      </c>
      <c r="AG390" t="s">
        <v>4300</v>
      </c>
      <c r="AH390" t="s">
        <v>2834</v>
      </c>
      <c r="AI390" t="s">
        <v>2835</v>
      </c>
      <c r="AJ390" t="s">
        <v>3287</v>
      </c>
      <c r="AK390" t="s">
        <v>2873</v>
      </c>
      <c r="AL390" t="s">
        <v>3875</v>
      </c>
      <c r="AM390" t="s">
        <v>3876</v>
      </c>
      <c r="AN390" t="s">
        <v>243</v>
      </c>
      <c r="AO390" t="s">
        <v>2839</v>
      </c>
      <c r="AP390" t="s">
        <v>2840</v>
      </c>
      <c r="AQ390" t="s">
        <v>2841</v>
      </c>
      <c r="AR390" t="s">
        <v>2842</v>
      </c>
      <c r="AS390" t="s">
        <v>2842</v>
      </c>
      <c r="AT390" t="s">
        <v>2829</v>
      </c>
      <c r="AU390" t="s">
        <v>2829</v>
      </c>
      <c r="AV390" t="s">
        <v>2829</v>
      </c>
      <c r="AW390" t="s">
        <v>2829</v>
      </c>
      <c r="AX390" t="s">
        <v>2829</v>
      </c>
      <c r="AY390" t="s">
        <v>2829</v>
      </c>
      <c r="AZ390" t="s">
        <v>2829</v>
      </c>
      <c r="BA390" t="s">
        <v>2829</v>
      </c>
      <c r="BB390" t="s">
        <v>2829</v>
      </c>
      <c r="BC390" t="s">
        <v>2829</v>
      </c>
      <c r="BD390" t="s">
        <v>2842</v>
      </c>
      <c r="BE390" t="s">
        <v>2842</v>
      </c>
      <c r="BF390" t="s">
        <v>243</v>
      </c>
      <c r="BG390" t="s">
        <v>243</v>
      </c>
      <c r="BH390" t="s">
        <v>243</v>
      </c>
      <c r="BI390" t="s">
        <v>243</v>
      </c>
      <c r="BJ390" t="s">
        <v>2829</v>
      </c>
      <c r="BK390" t="s">
        <v>243</v>
      </c>
      <c r="BL390" t="s">
        <v>243</v>
      </c>
      <c r="BM390" t="s">
        <v>243</v>
      </c>
      <c r="BN390" t="s">
        <v>243</v>
      </c>
      <c r="BO390" t="s">
        <v>243</v>
      </c>
      <c r="BP390" t="s">
        <v>2829</v>
      </c>
      <c r="BQ390" t="s">
        <v>243</v>
      </c>
      <c r="BR390" t="s">
        <v>243</v>
      </c>
      <c r="BS390" t="s">
        <v>243</v>
      </c>
      <c r="BT390" t="s">
        <v>243</v>
      </c>
      <c r="BU390" t="s">
        <v>243</v>
      </c>
      <c r="BV390" t="s">
        <v>2829</v>
      </c>
      <c r="BW390" t="s">
        <v>243</v>
      </c>
      <c r="BX390" t="s">
        <v>243</v>
      </c>
      <c r="BY390" t="s">
        <v>243</v>
      </c>
      <c r="BZ390" t="s">
        <v>243</v>
      </c>
      <c r="CA390" t="s">
        <v>243</v>
      </c>
      <c r="CB390" t="s">
        <v>2829</v>
      </c>
      <c r="CC390" t="s">
        <v>243</v>
      </c>
      <c r="CD390" t="s">
        <v>243</v>
      </c>
      <c r="CE390" t="s">
        <v>243</v>
      </c>
      <c r="CF390" t="s">
        <v>243</v>
      </c>
      <c r="CG390" t="s">
        <v>243</v>
      </c>
      <c r="CH390" t="s">
        <v>2829</v>
      </c>
      <c r="CI390" t="s">
        <v>243</v>
      </c>
      <c r="CJ390" t="s">
        <v>243</v>
      </c>
      <c r="CK390" t="s">
        <v>243</v>
      </c>
      <c r="CL390" t="s">
        <v>243</v>
      </c>
      <c r="CM390" t="s">
        <v>243</v>
      </c>
      <c r="CN390" t="s">
        <v>3287</v>
      </c>
      <c r="CO390" t="s">
        <v>2843</v>
      </c>
      <c r="CP390" t="s">
        <v>2844</v>
      </c>
      <c r="CQ390" t="s">
        <v>430</v>
      </c>
      <c r="CR390" t="s">
        <v>2872</v>
      </c>
      <c r="CS390" t="s">
        <v>431</v>
      </c>
      <c r="CT390" t="s">
        <v>430</v>
      </c>
      <c r="CU390" t="s">
        <v>2846</v>
      </c>
      <c r="CV390" t="s">
        <v>2873</v>
      </c>
      <c r="CW390" t="s">
        <v>2872</v>
      </c>
      <c r="CX390" t="s">
        <v>2848</v>
      </c>
      <c r="CY390" t="s">
        <v>4372</v>
      </c>
    </row>
    <row r="391" spans="1:103" ht="11.25" customHeight="1">
      <c r="A391" t="s">
        <v>243</v>
      </c>
      <c r="B391" t="s">
        <v>243</v>
      </c>
      <c r="C391" t="s">
        <v>243</v>
      </c>
      <c r="D391" t="s">
        <v>243</v>
      </c>
      <c r="E391" t="s">
        <v>243</v>
      </c>
      <c r="F391" t="s">
        <v>2816</v>
      </c>
      <c r="G391" t="s">
        <v>243</v>
      </c>
      <c r="H391" t="s">
        <v>243</v>
      </c>
      <c r="I391" t="s">
        <v>3792</v>
      </c>
      <c r="J391" t="s">
        <v>243</v>
      </c>
      <c r="K391" t="s">
        <v>3793</v>
      </c>
      <c r="L391" t="s">
        <v>243</v>
      </c>
      <c r="M391" t="s">
        <v>114</v>
      </c>
      <c r="N391" t="s">
        <v>243</v>
      </c>
      <c r="O391" t="s">
        <v>2819</v>
      </c>
      <c r="P391" t="s">
        <v>4448</v>
      </c>
      <c r="Q391" t="s">
        <v>2821</v>
      </c>
      <c r="R391" t="s">
        <v>200</v>
      </c>
      <c r="S391" t="s">
        <v>200</v>
      </c>
      <c r="T391" t="s">
        <v>3048</v>
      </c>
      <c r="U391" t="s">
        <v>3048</v>
      </c>
      <c r="V391" t="s">
        <v>3049</v>
      </c>
      <c r="W391" t="s">
        <v>3086</v>
      </c>
      <c r="X391" t="s">
        <v>3087</v>
      </c>
      <c r="Y391" t="s">
        <v>3088</v>
      </c>
      <c r="Z391" t="s">
        <v>2848</v>
      </c>
      <c r="AA391" t="s">
        <v>3038</v>
      </c>
      <c r="AB391" t="s">
        <v>3467</v>
      </c>
      <c r="AC391" t="s">
        <v>2829</v>
      </c>
      <c r="AD391" t="s">
        <v>2883</v>
      </c>
      <c r="AE391" t="s">
        <v>3372</v>
      </c>
      <c r="AF391" t="s">
        <v>3794</v>
      </c>
      <c r="AG391" t="s">
        <v>3794</v>
      </c>
      <c r="AH391" t="s">
        <v>2834</v>
      </c>
      <c r="AI391" t="s">
        <v>2835</v>
      </c>
      <c r="AJ391" t="s">
        <v>2888</v>
      </c>
      <c r="AK391" t="s">
        <v>3080</v>
      </c>
      <c r="AL391" t="s">
        <v>3038</v>
      </c>
      <c r="AM391" t="s">
        <v>3467</v>
      </c>
      <c r="AN391" t="s">
        <v>243</v>
      </c>
      <c r="AO391" t="s">
        <v>2839</v>
      </c>
      <c r="AP391" t="s">
        <v>2840</v>
      </c>
      <c r="AQ391" t="s">
        <v>2841</v>
      </c>
      <c r="AR391" t="s">
        <v>2829</v>
      </c>
      <c r="AS391" t="s">
        <v>2829</v>
      </c>
      <c r="AT391" t="s">
        <v>2829</v>
      </c>
      <c r="AU391" t="s">
        <v>2829</v>
      </c>
      <c r="AV391" t="s">
        <v>2829</v>
      </c>
      <c r="AW391" t="s">
        <v>2829</v>
      </c>
      <c r="AX391" t="s">
        <v>2829</v>
      </c>
      <c r="AY391" t="s">
        <v>2829</v>
      </c>
      <c r="AZ391" t="s">
        <v>2829</v>
      </c>
      <c r="BA391" t="s">
        <v>2829</v>
      </c>
      <c r="BB391" t="s">
        <v>2829</v>
      </c>
      <c r="BC391" t="s">
        <v>2829</v>
      </c>
      <c r="BD391" t="s">
        <v>2829</v>
      </c>
      <c r="BE391" t="s">
        <v>2829</v>
      </c>
      <c r="BF391" t="s">
        <v>243</v>
      </c>
      <c r="BG391" t="s">
        <v>243</v>
      </c>
      <c r="BH391" t="s">
        <v>243</v>
      </c>
      <c r="BI391" t="s">
        <v>243</v>
      </c>
      <c r="BJ391" t="s">
        <v>2829</v>
      </c>
      <c r="BK391" t="s">
        <v>243</v>
      </c>
      <c r="BL391" t="s">
        <v>243</v>
      </c>
      <c r="BM391" t="s">
        <v>243</v>
      </c>
      <c r="BN391" t="s">
        <v>243</v>
      </c>
      <c r="BO391" t="s">
        <v>243</v>
      </c>
      <c r="BP391" t="s">
        <v>2829</v>
      </c>
      <c r="BQ391" t="s">
        <v>243</v>
      </c>
      <c r="BR391" t="s">
        <v>243</v>
      </c>
      <c r="BS391" t="s">
        <v>243</v>
      </c>
      <c r="BT391" t="s">
        <v>243</v>
      </c>
      <c r="BU391" t="s">
        <v>243</v>
      </c>
      <c r="BV391" t="s">
        <v>2829</v>
      </c>
      <c r="BW391" t="s">
        <v>243</v>
      </c>
      <c r="BX391" t="s">
        <v>243</v>
      </c>
      <c r="BY391" t="s">
        <v>243</v>
      </c>
      <c r="BZ391" t="s">
        <v>243</v>
      </c>
      <c r="CA391" t="s">
        <v>243</v>
      </c>
      <c r="CB391" t="s">
        <v>2829</v>
      </c>
      <c r="CC391" t="s">
        <v>243</v>
      </c>
      <c r="CD391" t="s">
        <v>243</v>
      </c>
      <c r="CE391" t="s">
        <v>243</v>
      </c>
      <c r="CF391" t="s">
        <v>243</v>
      </c>
      <c r="CG391" t="s">
        <v>243</v>
      </c>
      <c r="CH391" t="s">
        <v>2829</v>
      </c>
      <c r="CI391" t="s">
        <v>243</v>
      </c>
      <c r="CJ391" t="s">
        <v>243</v>
      </c>
      <c r="CK391" t="s">
        <v>243</v>
      </c>
      <c r="CL391" t="s">
        <v>243</v>
      </c>
      <c r="CM391" t="s">
        <v>243</v>
      </c>
      <c r="CN391" t="s">
        <v>2888</v>
      </c>
      <c r="CO391" t="s">
        <v>2843</v>
      </c>
      <c r="CP391" t="s">
        <v>2844</v>
      </c>
      <c r="CQ391" t="s">
        <v>470</v>
      </c>
      <c r="CR391" t="s">
        <v>2872</v>
      </c>
      <c r="CS391" t="s">
        <v>431</v>
      </c>
      <c r="CT391" t="s">
        <v>470</v>
      </c>
      <c r="CU391" t="s">
        <v>3061</v>
      </c>
      <c r="CV391" t="s">
        <v>3062</v>
      </c>
      <c r="CW391" t="s">
        <v>2872</v>
      </c>
      <c r="CX391" t="s">
        <v>2848</v>
      </c>
      <c r="CY391" t="s">
        <v>3089</v>
      </c>
    </row>
    <row r="392" spans="1:103" ht="11.25" customHeight="1">
      <c r="A392" t="s">
        <v>243</v>
      </c>
      <c r="B392" t="s">
        <v>243</v>
      </c>
      <c r="C392" t="s">
        <v>243</v>
      </c>
      <c r="D392" t="s">
        <v>243</v>
      </c>
      <c r="E392" t="s">
        <v>243</v>
      </c>
      <c r="F392" t="s">
        <v>2816</v>
      </c>
      <c r="G392" t="s">
        <v>243</v>
      </c>
      <c r="H392" t="s">
        <v>243</v>
      </c>
      <c r="I392" t="s">
        <v>3084</v>
      </c>
      <c r="J392" t="s">
        <v>243</v>
      </c>
      <c r="K392" t="s">
        <v>3085</v>
      </c>
      <c r="L392" t="s">
        <v>243</v>
      </c>
      <c r="M392" t="s">
        <v>114</v>
      </c>
      <c r="N392" t="s">
        <v>243</v>
      </c>
      <c r="O392" t="s">
        <v>2819</v>
      </c>
      <c r="P392" t="s">
        <v>4448</v>
      </c>
      <c r="Q392" t="s">
        <v>2821</v>
      </c>
      <c r="R392" t="s">
        <v>200</v>
      </c>
      <c r="S392" t="s">
        <v>200</v>
      </c>
      <c r="T392" t="s">
        <v>3048</v>
      </c>
      <c r="U392" t="s">
        <v>3048</v>
      </c>
      <c r="V392" t="s">
        <v>3049</v>
      </c>
      <c r="W392" t="s">
        <v>3086</v>
      </c>
      <c r="X392" t="s">
        <v>3087</v>
      </c>
      <c r="Y392" t="s">
        <v>3088</v>
      </c>
      <c r="Z392" t="s">
        <v>2848</v>
      </c>
      <c r="AA392" t="s">
        <v>2923</v>
      </c>
      <c r="AB392" t="s">
        <v>2923</v>
      </c>
      <c r="AC392" t="s">
        <v>2829</v>
      </c>
      <c r="AD392" t="s">
        <v>2883</v>
      </c>
      <c r="AE392" t="s">
        <v>2831</v>
      </c>
      <c r="AF392" t="s">
        <v>3055</v>
      </c>
      <c r="AG392" t="s">
        <v>3055</v>
      </c>
      <c r="AH392" t="s">
        <v>2834</v>
      </c>
      <c r="AI392" t="s">
        <v>2835</v>
      </c>
      <c r="AJ392" t="s">
        <v>2888</v>
      </c>
      <c r="AK392" t="s">
        <v>3080</v>
      </c>
      <c r="AL392" t="s">
        <v>2923</v>
      </c>
      <c r="AM392" t="s">
        <v>2923</v>
      </c>
      <c r="AN392" t="s">
        <v>243</v>
      </c>
      <c r="AO392" t="s">
        <v>3081</v>
      </c>
      <c r="AP392" t="s">
        <v>2840</v>
      </c>
      <c r="AQ392" t="s">
        <v>2841</v>
      </c>
      <c r="AR392" t="s">
        <v>2829</v>
      </c>
      <c r="AS392" t="s">
        <v>2829</v>
      </c>
      <c r="AT392" t="s">
        <v>2829</v>
      </c>
      <c r="AU392" t="s">
        <v>2829</v>
      </c>
      <c r="AV392" t="s">
        <v>2829</v>
      </c>
      <c r="AW392" t="s">
        <v>2829</v>
      </c>
      <c r="AX392" t="s">
        <v>2829</v>
      </c>
      <c r="AY392" t="s">
        <v>2829</v>
      </c>
      <c r="AZ392" t="s">
        <v>2829</v>
      </c>
      <c r="BA392" t="s">
        <v>2829</v>
      </c>
      <c r="BB392" t="s">
        <v>2829</v>
      </c>
      <c r="BC392" t="s">
        <v>2829</v>
      </c>
      <c r="BD392" t="s">
        <v>2829</v>
      </c>
      <c r="BE392" t="s">
        <v>2829</v>
      </c>
      <c r="BF392" t="s">
        <v>243</v>
      </c>
      <c r="BG392" t="s">
        <v>243</v>
      </c>
      <c r="BH392" t="s">
        <v>243</v>
      </c>
      <c r="BI392" t="s">
        <v>243</v>
      </c>
      <c r="BJ392" t="s">
        <v>2829</v>
      </c>
      <c r="BK392" t="s">
        <v>243</v>
      </c>
      <c r="BL392" t="s">
        <v>243</v>
      </c>
      <c r="BM392" t="s">
        <v>243</v>
      </c>
      <c r="BN392" t="s">
        <v>243</v>
      </c>
      <c r="BO392" t="s">
        <v>243</v>
      </c>
      <c r="BP392" t="s">
        <v>2829</v>
      </c>
      <c r="BQ392" t="s">
        <v>243</v>
      </c>
      <c r="BR392" t="s">
        <v>243</v>
      </c>
      <c r="BS392" t="s">
        <v>243</v>
      </c>
      <c r="BT392" t="s">
        <v>243</v>
      </c>
      <c r="BU392" t="s">
        <v>243</v>
      </c>
      <c r="BV392" t="s">
        <v>2829</v>
      </c>
      <c r="BW392" t="s">
        <v>243</v>
      </c>
      <c r="BX392" t="s">
        <v>243</v>
      </c>
      <c r="BY392" t="s">
        <v>243</v>
      </c>
      <c r="BZ392" t="s">
        <v>243</v>
      </c>
      <c r="CA392" t="s">
        <v>243</v>
      </c>
      <c r="CB392" t="s">
        <v>2829</v>
      </c>
      <c r="CC392" t="s">
        <v>243</v>
      </c>
      <c r="CD392" t="s">
        <v>243</v>
      </c>
      <c r="CE392" t="s">
        <v>243</v>
      </c>
      <c r="CF392" t="s">
        <v>243</v>
      </c>
      <c r="CG392" t="s">
        <v>243</v>
      </c>
      <c r="CH392" t="s">
        <v>2829</v>
      </c>
      <c r="CI392" t="s">
        <v>243</v>
      </c>
      <c r="CJ392" t="s">
        <v>243</v>
      </c>
      <c r="CK392" t="s">
        <v>243</v>
      </c>
      <c r="CL392" t="s">
        <v>243</v>
      </c>
      <c r="CM392" t="s">
        <v>243</v>
      </c>
      <c r="CN392" t="s">
        <v>2888</v>
      </c>
      <c r="CO392" t="s">
        <v>2843</v>
      </c>
      <c r="CP392" t="s">
        <v>2844</v>
      </c>
      <c r="CQ392" t="s">
        <v>470</v>
      </c>
      <c r="CR392" t="s">
        <v>2872</v>
      </c>
      <c r="CS392" t="s">
        <v>431</v>
      </c>
      <c r="CT392" t="s">
        <v>470</v>
      </c>
      <c r="CU392" t="s">
        <v>3061</v>
      </c>
      <c r="CV392" t="s">
        <v>3062</v>
      </c>
      <c r="CW392" t="s">
        <v>2872</v>
      </c>
      <c r="CX392" t="s">
        <v>2848</v>
      </c>
      <c r="CY392" t="s">
        <v>3089</v>
      </c>
    </row>
    <row r="393" spans="1:103" ht="11.25" customHeight="1">
      <c r="A393" t="s">
        <v>243</v>
      </c>
      <c r="B393" t="s">
        <v>243</v>
      </c>
      <c r="C393" t="s">
        <v>243</v>
      </c>
      <c r="D393" t="s">
        <v>243</v>
      </c>
      <c r="E393" t="s">
        <v>243</v>
      </c>
      <c r="F393" t="s">
        <v>2816</v>
      </c>
      <c r="G393" t="s">
        <v>243</v>
      </c>
      <c r="H393" t="s">
        <v>243</v>
      </c>
      <c r="I393" t="s">
        <v>1815</v>
      </c>
      <c r="J393" t="s">
        <v>243</v>
      </c>
      <c r="K393" t="s">
        <v>428</v>
      </c>
      <c r="L393" t="s">
        <v>243</v>
      </c>
      <c r="M393" t="s">
        <v>114</v>
      </c>
      <c r="N393" t="s">
        <v>243</v>
      </c>
      <c r="O393" t="s">
        <v>2819</v>
      </c>
      <c r="P393" t="s">
        <v>4448</v>
      </c>
      <c r="Q393" t="s">
        <v>2821</v>
      </c>
      <c r="R393" t="s">
        <v>200</v>
      </c>
      <c r="S393" t="s">
        <v>200</v>
      </c>
      <c r="T393" t="s">
        <v>2822</v>
      </c>
      <c r="U393" t="s">
        <v>2822</v>
      </c>
      <c r="V393" t="s">
        <v>2823</v>
      </c>
      <c r="W393" t="s">
        <v>2952</v>
      </c>
      <c r="X393" t="s">
        <v>2953</v>
      </c>
      <c r="Y393" t="s">
        <v>3064</v>
      </c>
      <c r="Z393" t="s">
        <v>3065</v>
      </c>
      <c r="AA393" t="s">
        <v>3066</v>
      </c>
      <c r="AB393" t="s">
        <v>3067</v>
      </c>
      <c r="AC393" t="s">
        <v>2829</v>
      </c>
      <c r="AD393" t="s">
        <v>2830</v>
      </c>
      <c r="AE393" t="s">
        <v>2831</v>
      </c>
      <c r="AF393" t="s">
        <v>3068</v>
      </c>
      <c r="AG393" t="s">
        <v>3069</v>
      </c>
      <c r="AH393" t="s">
        <v>2834</v>
      </c>
      <c r="AI393" t="s">
        <v>2835</v>
      </c>
      <c r="AJ393" t="s">
        <v>2960</v>
      </c>
      <c r="AK393" t="s">
        <v>3070</v>
      </c>
      <c r="AL393" t="s">
        <v>3071</v>
      </c>
      <c r="AM393" t="s">
        <v>3072</v>
      </c>
      <c r="AN393" t="s">
        <v>2829</v>
      </c>
      <c r="AO393" t="s">
        <v>2839</v>
      </c>
      <c r="AP393" t="s">
        <v>2840</v>
      </c>
      <c r="AQ393" t="s">
        <v>2841</v>
      </c>
      <c r="AR393" t="s">
        <v>3073</v>
      </c>
      <c r="AS393" t="s">
        <v>3073</v>
      </c>
      <c r="AT393" t="s">
        <v>2829</v>
      </c>
      <c r="AU393" t="s">
        <v>2829</v>
      </c>
      <c r="AV393" t="s">
        <v>2829</v>
      </c>
      <c r="AW393" t="s">
        <v>2829</v>
      </c>
      <c r="AX393" t="s">
        <v>2829</v>
      </c>
      <c r="AY393" t="s">
        <v>2829</v>
      </c>
      <c r="AZ393" t="s">
        <v>2829</v>
      </c>
      <c r="BA393" t="s">
        <v>2829</v>
      </c>
      <c r="BB393" t="s">
        <v>2829</v>
      </c>
      <c r="BC393" t="s">
        <v>2829</v>
      </c>
      <c r="BD393" t="s">
        <v>2829</v>
      </c>
      <c r="BE393" t="s">
        <v>243</v>
      </c>
      <c r="BF393" t="s">
        <v>243</v>
      </c>
      <c r="BG393" t="s">
        <v>243</v>
      </c>
      <c r="BH393" t="s">
        <v>243</v>
      </c>
      <c r="BI393" t="s">
        <v>243</v>
      </c>
      <c r="BJ393" t="s">
        <v>2829</v>
      </c>
      <c r="BK393" t="s">
        <v>243</v>
      </c>
      <c r="BL393" t="s">
        <v>243</v>
      </c>
      <c r="BM393" t="s">
        <v>243</v>
      </c>
      <c r="BN393" t="s">
        <v>243</v>
      </c>
      <c r="BO393" t="s">
        <v>243</v>
      </c>
      <c r="BP393" t="s">
        <v>3073</v>
      </c>
      <c r="BQ393" t="s">
        <v>3073</v>
      </c>
      <c r="BR393" t="s">
        <v>243</v>
      </c>
      <c r="BS393" t="s">
        <v>243</v>
      </c>
      <c r="BT393" t="s">
        <v>243</v>
      </c>
      <c r="BU393" t="s">
        <v>243</v>
      </c>
      <c r="BV393" t="s">
        <v>2829</v>
      </c>
      <c r="BW393" t="s">
        <v>243</v>
      </c>
      <c r="BX393" t="s">
        <v>243</v>
      </c>
      <c r="BY393" t="s">
        <v>243</v>
      </c>
      <c r="BZ393" t="s">
        <v>243</v>
      </c>
      <c r="CA393" t="s">
        <v>243</v>
      </c>
      <c r="CB393" t="s">
        <v>2829</v>
      </c>
      <c r="CC393" t="s">
        <v>243</v>
      </c>
      <c r="CD393" t="s">
        <v>243</v>
      </c>
      <c r="CE393" t="s">
        <v>243</v>
      </c>
      <c r="CF393" t="s">
        <v>243</v>
      </c>
      <c r="CG393" t="s">
        <v>243</v>
      </c>
      <c r="CH393" t="s">
        <v>2829</v>
      </c>
      <c r="CI393" t="s">
        <v>243</v>
      </c>
      <c r="CJ393" t="s">
        <v>243</v>
      </c>
      <c r="CK393" t="s">
        <v>243</v>
      </c>
      <c r="CL393" t="s">
        <v>243</v>
      </c>
      <c r="CM393" t="s">
        <v>243</v>
      </c>
      <c r="CN393" t="s">
        <v>2960</v>
      </c>
      <c r="CO393" t="s">
        <v>2843</v>
      </c>
      <c r="CP393" t="s">
        <v>2844</v>
      </c>
      <c r="CQ393" t="s">
        <v>430</v>
      </c>
      <c r="CR393" t="s">
        <v>2845</v>
      </c>
      <c r="CS393" t="s">
        <v>431</v>
      </c>
      <c r="CT393" t="s">
        <v>430</v>
      </c>
      <c r="CU393" t="s">
        <v>2846</v>
      </c>
      <c r="CV393" t="s">
        <v>2847</v>
      </c>
      <c r="CW393" t="s">
        <v>2845</v>
      </c>
      <c r="CX393" t="s">
        <v>2848</v>
      </c>
      <c r="CY393" t="s">
        <v>3074</v>
      </c>
    </row>
    <row r="394" spans="1:103" ht="11.25" customHeight="1">
      <c r="A394" t="s">
        <v>243</v>
      </c>
      <c r="B394" t="s">
        <v>243</v>
      </c>
      <c r="C394" t="s">
        <v>243</v>
      </c>
      <c r="D394" t="s">
        <v>243</v>
      </c>
      <c r="E394" t="s">
        <v>243</v>
      </c>
      <c r="F394" t="s">
        <v>2816</v>
      </c>
      <c r="G394" t="s">
        <v>243</v>
      </c>
      <c r="H394" t="s">
        <v>243</v>
      </c>
      <c r="I394" t="s">
        <v>3177</v>
      </c>
      <c r="J394" t="s">
        <v>243</v>
      </c>
      <c r="K394" t="s">
        <v>3178</v>
      </c>
      <c r="L394" t="s">
        <v>243</v>
      </c>
      <c r="M394" t="s">
        <v>114</v>
      </c>
      <c r="N394" t="s">
        <v>243</v>
      </c>
      <c r="O394" t="s">
        <v>2819</v>
      </c>
      <c r="P394" t="s">
        <v>4448</v>
      </c>
      <c r="Q394" t="s">
        <v>2821</v>
      </c>
      <c r="R394" t="s">
        <v>200</v>
      </c>
      <c r="S394" t="s">
        <v>200</v>
      </c>
      <c r="T394" t="s">
        <v>3048</v>
      </c>
      <c r="U394" t="s">
        <v>3048</v>
      </c>
      <c r="V394" t="s">
        <v>3049</v>
      </c>
      <c r="W394" t="s">
        <v>3179</v>
      </c>
      <c r="X394" t="s">
        <v>3180</v>
      </c>
      <c r="Y394" t="s">
        <v>3181</v>
      </c>
      <c r="Z394" t="s">
        <v>440</v>
      </c>
      <c r="AA394" t="s">
        <v>3182</v>
      </c>
      <c r="AB394" t="s">
        <v>3183</v>
      </c>
      <c r="AC394" t="s">
        <v>2829</v>
      </c>
      <c r="AD394" t="s">
        <v>2883</v>
      </c>
      <c r="AE394" t="s">
        <v>2831</v>
      </c>
      <c r="AF394" t="s">
        <v>3055</v>
      </c>
      <c r="AG394" t="s">
        <v>3055</v>
      </c>
      <c r="AH394" t="s">
        <v>2834</v>
      </c>
      <c r="AI394" t="s">
        <v>2835</v>
      </c>
      <c r="AJ394" t="s">
        <v>3184</v>
      </c>
      <c r="AK394" t="s">
        <v>3185</v>
      </c>
      <c r="AL394" t="s">
        <v>3182</v>
      </c>
      <c r="AM394" t="s">
        <v>3183</v>
      </c>
      <c r="AN394" t="s">
        <v>2829</v>
      </c>
      <c r="AO394" t="s">
        <v>2839</v>
      </c>
      <c r="AP394" t="s">
        <v>2840</v>
      </c>
      <c r="AQ394" t="s">
        <v>2841</v>
      </c>
      <c r="AR394" t="s">
        <v>3186</v>
      </c>
      <c r="AS394" t="s">
        <v>3186</v>
      </c>
      <c r="AT394" t="s">
        <v>2829</v>
      </c>
      <c r="AU394" t="s">
        <v>2829</v>
      </c>
      <c r="AV394" t="s">
        <v>2829</v>
      </c>
      <c r="AW394" t="s">
        <v>2829</v>
      </c>
      <c r="AX394" t="s">
        <v>2829</v>
      </c>
      <c r="AY394" t="s">
        <v>2829</v>
      </c>
      <c r="AZ394" t="s">
        <v>2829</v>
      </c>
      <c r="BA394" t="s">
        <v>2829</v>
      </c>
      <c r="BB394" t="s">
        <v>2829</v>
      </c>
      <c r="BC394" t="s">
        <v>2829</v>
      </c>
      <c r="BD394" t="s">
        <v>3186</v>
      </c>
      <c r="BE394" t="s">
        <v>3186</v>
      </c>
      <c r="BF394" t="s">
        <v>243</v>
      </c>
      <c r="BG394" t="s">
        <v>243</v>
      </c>
      <c r="BH394" t="s">
        <v>243</v>
      </c>
      <c r="BI394" t="s">
        <v>243</v>
      </c>
      <c r="BJ394" t="s">
        <v>2829</v>
      </c>
      <c r="BK394" t="s">
        <v>243</v>
      </c>
      <c r="BL394" t="s">
        <v>243</v>
      </c>
      <c r="BM394" t="s">
        <v>243</v>
      </c>
      <c r="BN394" t="s">
        <v>243</v>
      </c>
      <c r="BO394" t="s">
        <v>243</v>
      </c>
      <c r="BP394" t="s">
        <v>2829</v>
      </c>
      <c r="BQ394" t="s">
        <v>243</v>
      </c>
      <c r="BR394" t="s">
        <v>243</v>
      </c>
      <c r="BS394" t="s">
        <v>243</v>
      </c>
      <c r="BT394" t="s">
        <v>243</v>
      </c>
      <c r="BU394" t="s">
        <v>243</v>
      </c>
      <c r="BV394" t="s">
        <v>2829</v>
      </c>
      <c r="BW394" t="s">
        <v>243</v>
      </c>
      <c r="BX394" t="s">
        <v>243</v>
      </c>
      <c r="BY394" t="s">
        <v>243</v>
      </c>
      <c r="BZ394" t="s">
        <v>243</v>
      </c>
      <c r="CA394" t="s">
        <v>243</v>
      </c>
      <c r="CB394" t="s">
        <v>2829</v>
      </c>
      <c r="CC394" t="s">
        <v>243</v>
      </c>
      <c r="CD394" t="s">
        <v>243</v>
      </c>
      <c r="CE394" t="s">
        <v>243</v>
      </c>
      <c r="CF394" t="s">
        <v>243</v>
      </c>
      <c r="CG394" t="s">
        <v>243</v>
      </c>
      <c r="CH394" t="s">
        <v>2829</v>
      </c>
      <c r="CI394" t="s">
        <v>243</v>
      </c>
      <c r="CJ394" t="s">
        <v>243</v>
      </c>
      <c r="CK394" t="s">
        <v>243</v>
      </c>
      <c r="CL394" t="s">
        <v>243</v>
      </c>
      <c r="CM394" t="s">
        <v>243</v>
      </c>
      <c r="CN394" t="s">
        <v>3187</v>
      </c>
      <c r="CO394" t="s">
        <v>2843</v>
      </c>
      <c r="CP394" t="s">
        <v>2844</v>
      </c>
      <c r="CQ394" t="s">
        <v>470</v>
      </c>
      <c r="CR394" t="s">
        <v>2872</v>
      </c>
      <c r="CS394" t="s">
        <v>431</v>
      </c>
      <c r="CT394" t="s">
        <v>470</v>
      </c>
      <c r="CU394" t="s">
        <v>3061</v>
      </c>
      <c r="CV394" t="s">
        <v>3062</v>
      </c>
      <c r="CW394" t="s">
        <v>2872</v>
      </c>
      <c r="CX394" t="s">
        <v>2848</v>
      </c>
      <c r="CY394" t="s">
        <v>3188</v>
      </c>
    </row>
    <row r="395" spans="1:103" ht="11.25" customHeight="1">
      <c r="A395" t="s">
        <v>243</v>
      </c>
      <c r="B395" t="s">
        <v>243</v>
      </c>
      <c r="C395" t="s">
        <v>243</v>
      </c>
      <c r="D395" t="s">
        <v>243</v>
      </c>
      <c r="E395" t="s">
        <v>243</v>
      </c>
      <c r="F395" t="s">
        <v>2816</v>
      </c>
      <c r="G395" t="s">
        <v>243</v>
      </c>
      <c r="H395" t="s">
        <v>243</v>
      </c>
      <c r="I395" t="s">
        <v>865</v>
      </c>
      <c r="J395" t="s">
        <v>243</v>
      </c>
      <c r="K395" t="s">
        <v>3210</v>
      </c>
      <c r="L395" t="s">
        <v>243</v>
      </c>
      <c r="M395" t="s">
        <v>114</v>
      </c>
      <c r="N395" t="s">
        <v>243</v>
      </c>
      <c r="O395" t="s">
        <v>2819</v>
      </c>
      <c r="P395" t="s">
        <v>4448</v>
      </c>
      <c r="Q395" t="s">
        <v>2821</v>
      </c>
      <c r="R395" t="s">
        <v>200</v>
      </c>
      <c r="S395" t="s">
        <v>200</v>
      </c>
      <c r="T395" t="s">
        <v>2822</v>
      </c>
      <c r="U395" t="s">
        <v>2822</v>
      </c>
      <c r="V395" t="s">
        <v>2823</v>
      </c>
      <c r="W395" t="s">
        <v>3608</v>
      </c>
      <c r="X395" t="s">
        <v>3609</v>
      </c>
      <c r="Y395" t="s">
        <v>2918</v>
      </c>
      <c r="Z395" t="s">
        <v>341</v>
      </c>
      <c r="AA395" t="s">
        <v>3260</v>
      </c>
      <c r="AB395" t="s">
        <v>4058</v>
      </c>
      <c r="AC395" t="s">
        <v>2829</v>
      </c>
      <c r="AD395" t="s">
        <v>2830</v>
      </c>
      <c r="AE395" t="s">
        <v>2831</v>
      </c>
      <c r="AF395" t="s">
        <v>4059</v>
      </c>
      <c r="AG395" t="s">
        <v>4060</v>
      </c>
      <c r="AH395" t="s">
        <v>2834</v>
      </c>
      <c r="AI395" t="s">
        <v>2835</v>
      </c>
      <c r="AJ395" t="s">
        <v>2960</v>
      </c>
      <c r="AK395" t="s">
        <v>3751</v>
      </c>
      <c r="AL395" t="s">
        <v>3260</v>
      </c>
      <c r="AM395" t="s">
        <v>3688</v>
      </c>
      <c r="AN395" t="s">
        <v>2829</v>
      </c>
      <c r="AO395" t="s">
        <v>2839</v>
      </c>
      <c r="AP395" t="s">
        <v>2840</v>
      </c>
      <c r="AQ395" t="s">
        <v>2841</v>
      </c>
      <c r="AR395" t="s">
        <v>2842</v>
      </c>
      <c r="AS395" t="s">
        <v>2842</v>
      </c>
      <c r="AT395" t="s">
        <v>2829</v>
      </c>
      <c r="AU395" t="s">
        <v>2829</v>
      </c>
      <c r="AV395" t="s">
        <v>2829</v>
      </c>
      <c r="AW395" t="s">
        <v>2829</v>
      </c>
      <c r="AX395" t="s">
        <v>2829</v>
      </c>
      <c r="AY395" t="s">
        <v>2829</v>
      </c>
      <c r="AZ395" t="s">
        <v>2829</v>
      </c>
      <c r="BA395" t="s">
        <v>2829</v>
      </c>
      <c r="BB395" t="s">
        <v>2829</v>
      </c>
      <c r="BC395" t="s">
        <v>2829</v>
      </c>
      <c r="BD395" t="s">
        <v>2842</v>
      </c>
      <c r="BE395" t="s">
        <v>2842</v>
      </c>
      <c r="BF395" t="s">
        <v>243</v>
      </c>
      <c r="BG395" t="s">
        <v>243</v>
      </c>
      <c r="BH395" t="s">
        <v>243</v>
      </c>
      <c r="BI395" t="s">
        <v>243</v>
      </c>
      <c r="BJ395" t="s">
        <v>2829</v>
      </c>
      <c r="BK395" t="s">
        <v>243</v>
      </c>
      <c r="BL395" t="s">
        <v>243</v>
      </c>
      <c r="BM395" t="s">
        <v>243</v>
      </c>
      <c r="BN395" t="s">
        <v>243</v>
      </c>
      <c r="BO395" t="s">
        <v>243</v>
      </c>
      <c r="BP395" t="s">
        <v>2829</v>
      </c>
      <c r="BQ395" t="s">
        <v>243</v>
      </c>
      <c r="BR395" t="s">
        <v>243</v>
      </c>
      <c r="BS395" t="s">
        <v>243</v>
      </c>
      <c r="BT395" t="s">
        <v>243</v>
      </c>
      <c r="BU395" t="s">
        <v>243</v>
      </c>
      <c r="BV395" t="s">
        <v>2829</v>
      </c>
      <c r="BW395" t="s">
        <v>243</v>
      </c>
      <c r="BX395" t="s">
        <v>243</v>
      </c>
      <c r="BY395" t="s">
        <v>243</v>
      </c>
      <c r="BZ395" t="s">
        <v>243</v>
      </c>
      <c r="CA395" t="s">
        <v>243</v>
      </c>
      <c r="CB395" t="s">
        <v>2829</v>
      </c>
      <c r="CC395" t="s">
        <v>243</v>
      </c>
      <c r="CD395" t="s">
        <v>243</v>
      </c>
      <c r="CE395" t="s">
        <v>243</v>
      </c>
      <c r="CF395" t="s">
        <v>243</v>
      </c>
      <c r="CG395" t="s">
        <v>243</v>
      </c>
      <c r="CH395" t="s">
        <v>2829</v>
      </c>
      <c r="CI395" t="s">
        <v>243</v>
      </c>
      <c r="CJ395" t="s">
        <v>243</v>
      </c>
      <c r="CK395" t="s">
        <v>243</v>
      </c>
      <c r="CL395" t="s">
        <v>243</v>
      </c>
      <c r="CM395" t="s">
        <v>243</v>
      </c>
      <c r="CN395" t="s">
        <v>2960</v>
      </c>
      <c r="CO395" t="s">
        <v>2843</v>
      </c>
      <c r="CP395" t="s">
        <v>2844</v>
      </c>
      <c r="CQ395" t="s">
        <v>430</v>
      </c>
      <c r="CR395" t="s">
        <v>2845</v>
      </c>
      <c r="CS395" t="s">
        <v>431</v>
      </c>
      <c r="CT395" t="s">
        <v>430</v>
      </c>
      <c r="CU395" t="s">
        <v>2846</v>
      </c>
      <c r="CV395" t="s">
        <v>2847</v>
      </c>
      <c r="CW395" t="s">
        <v>2845</v>
      </c>
      <c r="CX395" t="s">
        <v>2848</v>
      </c>
      <c r="CY395" t="s">
        <v>4061</v>
      </c>
    </row>
    <row r="396" spans="1:103" ht="11.25" customHeight="1">
      <c r="A396" t="s">
        <v>243</v>
      </c>
      <c r="B396" t="s">
        <v>243</v>
      </c>
      <c r="C396" t="s">
        <v>243</v>
      </c>
      <c r="D396" t="s">
        <v>243</v>
      </c>
      <c r="E396" t="s">
        <v>243</v>
      </c>
      <c r="F396" t="s">
        <v>2816</v>
      </c>
      <c r="G396" t="s">
        <v>243</v>
      </c>
      <c r="H396" t="s">
        <v>243</v>
      </c>
      <c r="I396" t="s">
        <v>437</v>
      </c>
      <c r="J396" t="s">
        <v>243</v>
      </c>
      <c r="K396" t="s">
        <v>458</v>
      </c>
      <c r="L396" t="s">
        <v>243</v>
      </c>
      <c r="M396" t="s">
        <v>114</v>
      </c>
      <c r="N396" t="s">
        <v>243</v>
      </c>
      <c r="O396" t="s">
        <v>2819</v>
      </c>
      <c r="P396" t="s">
        <v>4448</v>
      </c>
      <c r="Q396" t="s">
        <v>2821</v>
      </c>
      <c r="R396" t="s">
        <v>200</v>
      </c>
      <c r="S396" t="s">
        <v>200</v>
      </c>
      <c r="T396" t="s">
        <v>3282</v>
      </c>
      <c r="U396" t="s">
        <v>3282</v>
      </c>
      <c r="V396" t="s">
        <v>3283</v>
      </c>
      <c r="W396" t="s">
        <v>3810</v>
      </c>
      <c r="X396" t="s">
        <v>3811</v>
      </c>
      <c r="Y396" t="s">
        <v>3812</v>
      </c>
      <c r="Z396" t="s">
        <v>341</v>
      </c>
      <c r="AA396" t="s">
        <v>2966</v>
      </c>
      <c r="AB396" t="s">
        <v>3813</v>
      </c>
      <c r="AC396" t="s">
        <v>2829</v>
      </c>
      <c r="AD396" t="s">
        <v>2883</v>
      </c>
      <c r="AE396" t="s">
        <v>2975</v>
      </c>
      <c r="AF396" t="s">
        <v>3814</v>
      </c>
      <c r="AG396" t="s">
        <v>2833</v>
      </c>
      <c r="AH396" t="s">
        <v>2834</v>
      </c>
      <c r="AI396" t="s">
        <v>2887</v>
      </c>
      <c r="AJ396" t="s">
        <v>2888</v>
      </c>
      <c r="AK396" t="s">
        <v>3445</v>
      </c>
      <c r="AL396" t="s">
        <v>2966</v>
      </c>
      <c r="AM396" t="s">
        <v>3813</v>
      </c>
      <c r="AN396" t="s">
        <v>2829</v>
      </c>
      <c r="AO396" t="s">
        <v>2839</v>
      </c>
      <c r="AP396" t="s">
        <v>2840</v>
      </c>
      <c r="AQ396" t="s">
        <v>2841</v>
      </c>
      <c r="AR396" t="s">
        <v>3815</v>
      </c>
      <c r="AS396" t="s">
        <v>3815</v>
      </c>
      <c r="AT396" t="s">
        <v>2829</v>
      </c>
      <c r="AU396" t="s">
        <v>2829</v>
      </c>
      <c r="AV396" t="s">
        <v>2829</v>
      </c>
      <c r="AW396" t="s">
        <v>2829</v>
      </c>
      <c r="AX396" t="s">
        <v>2829</v>
      </c>
      <c r="AY396" t="s">
        <v>2829</v>
      </c>
      <c r="AZ396" t="s">
        <v>2829</v>
      </c>
      <c r="BA396" t="s">
        <v>2829</v>
      </c>
      <c r="BB396" t="s">
        <v>2829</v>
      </c>
      <c r="BC396" t="s">
        <v>2829</v>
      </c>
      <c r="BD396" t="s">
        <v>2829</v>
      </c>
      <c r="BE396" t="s">
        <v>243</v>
      </c>
      <c r="BF396" t="s">
        <v>243</v>
      </c>
      <c r="BG396" t="s">
        <v>243</v>
      </c>
      <c r="BH396" t="s">
        <v>243</v>
      </c>
      <c r="BI396" t="s">
        <v>243</v>
      </c>
      <c r="BJ396" t="s">
        <v>2829</v>
      </c>
      <c r="BK396" t="s">
        <v>243</v>
      </c>
      <c r="BL396" t="s">
        <v>243</v>
      </c>
      <c r="BM396" t="s">
        <v>243</v>
      </c>
      <c r="BN396" t="s">
        <v>243</v>
      </c>
      <c r="BO396" t="s">
        <v>243</v>
      </c>
      <c r="BP396" t="s">
        <v>3815</v>
      </c>
      <c r="BQ396" t="s">
        <v>3815</v>
      </c>
      <c r="BR396" t="s">
        <v>243</v>
      </c>
      <c r="BS396" t="s">
        <v>243</v>
      </c>
      <c r="BT396" t="s">
        <v>243</v>
      </c>
      <c r="BU396" t="s">
        <v>243</v>
      </c>
      <c r="BV396" t="s">
        <v>2829</v>
      </c>
      <c r="BW396" t="s">
        <v>243</v>
      </c>
      <c r="BX396" t="s">
        <v>243</v>
      </c>
      <c r="BY396" t="s">
        <v>243</v>
      </c>
      <c r="BZ396" t="s">
        <v>243</v>
      </c>
      <c r="CA396" t="s">
        <v>243</v>
      </c>
      <c r="CB396" t="s">
        <v>2829</v>
      </c>
      <c r="CC396" t="s">
        <v>243</v>
      </c>
      <c r="CD396" t="s">
        <v>243</v>
      </c>
      <c r="CE396" t="s">
        <v>243</v>
      </c>
      <c r="CF396" t="s">
        <v>243</v>
      </c>
      <c r="CG396" t="s">
        <v>243</v>
      </c>
      <c r="CH396" t="s">
        <v>2829</v>
      </c>
      <c r="CI396" t="s">
        <v>243</v>
      </c>
      <c r="CJ396" t="s">
        <v>243</v>
      </c>
      <c r="CK396" t="s">
        <v>243</v>
      </c>
      <c r="CL396" t="s">
        <v>243</v>
      </c>
      <c r="CM396" t="s">
        <v>243</v>
      </c>
      <c r="CN396" t="s">
        <v>2888</v>
      </c>
      <c r="CO396" t="s">
        <v>2843</v>
      </c>
      <c r="CP396" t="s">
        <v>2844</v>
      </c>
      <c r="CQ396" t="s">
        <v>430</v>
      </c>
      <c r="CR396" t="s">
        <v>3297</v>
      </c>
      <c r="CS396" t="s">
        <v>431</v>
      </c>
      <c r="CT396" t="s">
        <v>430</v>
      </c>
      <c r="CU396" t="s">
        <v>341</v>
      </c>
      <c r="CV396" t="s">
        <v>2900</v>
      </c>
      <c r="CW396" t="s">
        <v>3297</v>
      </c>
      <c r="CX396" t="s">
        <v>2848</v>
      </c>
      <c r="CY396" t="s">
        <v>3816</v>
      </c>
    </row>
    <row r="397" spans="1:103" ht="11.25" customHeight="1">
      <c r="A397" t="s">
        <v>243</v>
      </c>
      <c r="B397" t="s">
        <v>243</v>
      </c>
      <c r="C397" t="s">
        <v>243</v>
      </c>
      <c r="D397" t="s">
        <v>243</v>
      </c>
      <c r="E397" t="s">
        <v>243</v>
      </c>
      <c r="F397" t="s">
        <v>2816</v>
      </c>
      <c r="G397" t="s">
        <v>243</v>
      </c>
      <c r="H397" t="s">
        <v>243</v>
      </c>
      <c r="I397" t="s">
        <v>869</v>
      </c>
      <c r="J397" t="s">
        <v>243</v>
      </c>
      <c r="K397" t="s">
        <v>461</v>
      </c>
      <c r="L397" t="s">
        <v>243</v>
      </c>
      <c r="M397" t="s">
        <v>114</v>
      </c>
      <c r="N397" t="s">
        <v>243</v>
      </c>
      <c r="O397" t="s">
        <v>2819</v>
      </c>
      <c r="P397" t="s">
        <v>4448</v>
      </c>
      <c r="Q397" t="s">
        <v>2821</v>
      </c>
      <c r="R397" t="s">
        <v>200</v>
      </c>
      <c r="S397" t="s">
        <v>200</v>
      </c>
      <c r="T397" t="s">
        <v>2822</v>
      </c>
      <c r="U397" t="s">
        <v>2822</v>
      </c>
      <c r="V397" t="s">
        <v>2823</v>
      </c>
      <c r="W397" t="s">
        <v>3828</v>
      </c>
      <c r="X397" t="s">
        <v>3829</v>
      </c>
      <c r="Y397" t="s">
        <v>4062</v>
      </c>
      <c r="Z397" t="s">
        <v>341</v>
      </c>
      <c r="AA397" t="s">
        <v>3260</v>
      </c>
      <c r="AB397" t="s">
        <v>4063</v>
      </c>
      <c r="AC397" t="s">
        <v>2829</v>
      </c>
      <c r="AD397" t="s">
        <v>2830</v>
      </c>
      <c r="AE397" t="s">
        <v>2831</v>
      </c>
      <c r="AF397" t="s">
        <v>4064</v>
      </c>
      <c r="AG397" t="s">
        <v>4065</v>
      </c>
      <c r="AH397" t="s">
        <v>2834</v>
      </c>
      <c r="AI397" t="s">
        <v>2835</v>
      </c>
      <c r="AJ397" t="s">
        <v>2960</v>
      </c>
      <c r="AK397" t="s">
        <v>2889</v>
      </c>
      <c r="AL397" t="s">
        <v>3260</v>
      </c>
      <c r="AM397" t="s">
        <v>3118</v>
      </c>
      <c r="AN397" t="s">
        <v>2829</v>
      </c>
      <c r="AO397" t="s">
        <v>2839</v>
      </c>
      <c r="AP397" t="s">
        <v>2840</v>
      </c>
      <c r="AQ397" t="s">
        <v>2841</v>
      </c>
      <c r="AR397" t="s">
        <v>4066</v>
      </c>
      <c r="AS397" t="s">
        <v>4066</v>
      </c>
      <c r="AT397" t="s">
        <v>2829</v>
      </c>
      <c r="AU397" t="s">
        <v>2829</v>
      </c>
      <c r="AV397" t="s">
        <v>2829</v>
      </c>
      <c r="AW397" t="s">
        <v>2829</v>
      </c>
      <c r="AX397" t="s">
        <v>2829</v>
      </c>
      <c r="AY397" t="s">
        <v>2829</v>
      </c>
      <c r="AZ397" t="s">
        <v>2829</v>
      </c>
      <c r="BA397" t="s">
        <v>2829</v>
      </c>
      <c r="BB397" t="s">
        <v>2829</v>
      </c>
      <c r="BC397" t="s">
        <v>2829</v>
      </c>
      <c r="BD397" t="s">
        <v>4066</v>
      </c>
      <c r="BE397" t="s">
        <v>4066</v>
      </c>
      <c r="BF397" t="s">
        <v>243</v>
      </c>
      <c r="BG397" t="s">
        <v>243</v>
      </c>
      <c r="BH397" t="s">
        <v>243</v>
      </c>
      <c r="BI397" t="s">
        <v>243</v>
      </c>
      <c r="BJ397" t="s">
        <v>2829</v>
      </c>
      <c r="BK397" t="s">
        <v>243</v>
      </c>
      <c r="BL397" t="s">
        <v>243</v>
      </c>
      <c r="BM397" t="s">
        <v>243</v>
      </c>
      <c r="BN397" t="s">
        <v>243</v>
      </c>
      <c r="BO397" t="s">
        <v>243</v>
      </c>
      <c r="BP397" t="s">
        <v>2829</v>
      </c>
      <c r="BQ397" t="s">
        <v>243</v>
      </c>
      <c r="BR397" t="s">
        <v>243</v>
      </c>
      <c r="BS397" t="s">
        <v>243</v>
      </c>
      <c r="BT397" t="s">
        <v>243</v>
      </c>
      <c r="BU397" t="s">
        <v>243</v>
      </c>
      <c r="BV397" t="s">
        <v>2829</v>
      </c>
      <c r="BW397" t="s">
        <v>243</v>
      </c>
      <c r="BX397" t="s">
        <v>243</v>
      </c>
      <c r="BY397" t="s">
        <v>243</v>
      </c>
      <c r="BZ397" t="s">
        <v>243</v>
      </c>
      <c r="CA397" t="s">
        <v>243</v>
      </c>
      <c r="CB397" t="s">
        <v>2829</v>
      </c>
      <c r="CC397" t="s">
        <v>243</v>
      </c>
      <c r="CD397" t="s">
        <v>243</v>
      </c>
      <c r="CE397" t="s">
        <v>243</v>
      </c>
      <c r="CF397" t="s">
        <v>243</v>
      </c>
      <c r="CG397" t="s">
        <v>243</v>
      </c>
      <c r="CH397" t="s">
        <v>2829</v>
      </c>
      <c r="CI397" t="s">
        <v>243</v>
      </c>
      <c r="CJ397" t="s">
        <v>243</v>
      </c>
      <c r="CK397" t="s">
        <v>243</v>
      </c>
      <c r="CL397" t="s">
        <v>243</v>
      </c>
      <c r="CM397" t="s">
        <v>243</v>
      </c>
      <c r="CN397" t="s">
        <v>2960</v>
      </c>
      <c r="CO397" t="s">
        <v>2843</v>
      </c>
      <c r="CP397" t="s">
        <v>2844</v>
      </c>
      <c r="CQ397" t="s">
        <v>430</v>
      </c>
      <c r="CR397" t="s">
        <v>2845</v>
      </c>
      <c r="CS397" t="s">
        <v>431</v>
      </c>
      <c r="CT397" t="s">
        <v>430</v>
      </c>
      <c r="CU397" t="s">
        <v>2846</v>
      </c>
      <c r="CV397" t="s">
        <v>2847</v>
      </c>
      <c r="CW397" t="s">
        <v>2845</v>
      </c>
      <c r="CX397" t="s">
        <v>2848</v>
      </c>
      <c r="CY397" t="s">
        <v>4067</v>
      </c>
    </row>
    <row r="398" spans="1:103" ht="11.25" customHeight="1">
      <c r="A398" t="s">
        <v>243</v>
      </c>
      <c r="B398" t="s">
        <v>243</v>
      </c>
      <c r="C398" t="s">
        <v>243</v>
      </c>
      <c r="D398" t="s">
        <v>243</v>
      </c>
      <c r="E398" t="s">
        <v>243</v>
      </c>
      <c r="F398" t="s">
        <v>2816</v>
      </c>
      <c r="G398" t="s">
        <v>243</v>
      </c>
      <c r="H398" t="s">
        <v>243</v>
      </c>
      <c r="I398" t="s">
        <v>3474</v>
      </c>
      <c r="J398" t="s">
        <v>243</v>
      </c>
      <c r="K398" t="s">
        <v>2818</v>
      </c>
      <c r="L398" t="s">
        <v>243</v>
      </c>
      <c r="M398" t="s">
        <v>114</v>
      </c>
      <c r="N398" t="s">
        <v>243</v>
      </c>
      <c r="O398" t="s">
        <v>2819</v>
      </c>
      <c r="P398" t="s">
        <v>4448</v>
      </c>
      <c r="Q398" t="s">
        <v>2821</v>
      </c>
      <c r="R398" t="s">
        <v>200</v>
      </c>
      <c r="S398" t="s">
        <v>200</v>
      </c>
      <c r="T398" t="s">
        <v>2822</v>
      </c>
      <c r="U398" t="s">
        <v>2822</v>
      </c>
      <c r="V398" t="s">
        <v>2823</v>
      </c>
      <c r="W398" t="s">
        <v>2851</v>
      </c>
      <c r="X398" t="s">
        <v>2852</v>
      </c>
      <c r="Y398" t="s">
        <v>2853</v>
      </c>
      <c r="Z398" t="s">
        <v>3475</v>
      </c>
      <c r="AA398" t="s">
        <v>2855</v>
      </c>
      <c r="AB398" t="s">
        <v>2842</v>
      </c>
      <c r="AC398" t="s">
        <v>2829</v>
      </c>
      <c r="AD398" t="s">
        <v>2830</v>
      </c>
      <c r="AE398" t="s">
        <v>2857</v>
      </c>
      <c r="AF398" t="s">
        <v>2867</v>
      </c>
      <c r="AG398" t="s">
        <v>2867</v>
      </c>
      <c r="AH398" t="s">
        <v>2834</v>
      </c>
      <c r="AI398" t="s">
        <v>2835</v>
      </c>
      <c r="AJ398" t="s">
        <v>2829</v>
      </c>
      <c r="AK398" t="s">
        <v>2922</v>
      </c>
      <c r="AL398" t="s">
        <v>2855</v>
      </c>
      <c r="AM398" t="s">
        <v>2842</v>
      </c>
      <c r="AN398" t="s">
        <v>2829</v>
      </c>
      <c r="AO398" t="s">
        <v>2839</v>
      </c>
      <c r="AP398" t="s">
        <v>2840</v>
      </c>
      <c r="AQ398" t="s">
        <v>2841</v>
      </c>
      <c r="AR398" t="s">
        <v>2923</v>
      </c>
      <c r="AS398" t="s">
        <v>2923</v>
      </c>
      <c r="AT398" t="s">
        <v>2829</v>
      </c>
      <c r="AU398" t="s">
        <v>2829</v>
      </c>
      <c r="AV398" t="s">
        <v>2829</v>
      </c>
      <c r="AW398" t="s">
        <v>2829</v>
      </c>
      <c r="AX398" t="s">
        <v>2829</v>
      </c>
      <c r="AY398" t="s">
        <v>2829</v>
      </c>
      <c r="AZ398" t="s">
        <v>2829</v>
      </c>
      <c r="BA398" t="s">
        <v>2829</v>
      </c>
      <c r="BB398" t="s">
        <v>2829</v>
      </c>
      <c r="BC398" t="s">
        <v>2829</v>
      </c>
      <c r="BD398" t="s">
        <v>2923</v>
      </c>
      <c r="BE398" t="s">
        <v>2923</v>
      </c>
      <c r="BF398" t="s">
        <v>243</v>
      </c>
      <c r="BG398" t="s">
        <v>243</v>
      </c>
      <c r="BH398" t="s">
        <v>243</v>
      </c>
      <c r="BI398" t="s">
        <v>243</v>
      </c>
      <c r="BJ398" t="s">
        <v>2829</v>
      </c>
      <c r="BK398" t="s">
        <v>243</v>
      </c>
      <c r="BL398" t="s">
        <v>243</v>
      </c>
      <c r="BM398" t="s">
        <v>243</v>
      </c>
      <c r="BN398" t="s">
        <v>243</v>
      </c>
      <c r="BO398" t="s">
        <v>243</v>
      </c>
      <c r="BP398" t="s">
        <v>2829</v>
      </c>
      <c r="BQ398" t="s">
        <v>243</v>
      </c>
      <c r="BR398" t="s">
        <v>243</v>
      </c>
      <c r="BS398" t="s">
        <v>243</v>
      </c>
      <c r="BT398" t="s">
        <v>243</v>
      </c>
      <c r="BU398" t="s">
        <v>243</v>
      </c>
      <c r="BV398" t="s">
        <v>2829</v>
      </c>
      <c r="BW398" t="s">
        <v>243</v>
      </c>
      <c r="BX398" t="s">
        <v>243</v>
      </c>
      <c r="BY398" t="s">
        <v>243</v>
      </c>
      <c r="BZ398" t="s">
        <v>243</v>
      </c>
      <c r="CA398" t="s">
        <v>243</v>
      </c>
      <c r="CB398" t="s">
        <v>2829</v>
      </c>
      <c r="CC398" t="s">
        <v>243</v>
      </c>
      <c r="CD398" t="s">
        <v>243</v>
      </c>
      <c r="CE398" t="s">
        <v>243</v>
      </c>
      <c r="CF398" t="s">
        <v>243</v>
      </c>
      <c r="CG398" t="s">
        <v>243</v>
      </c>
      <c r="CH398" t="s">
        <v>2829</v>
      </c>
      <c r="CI398" t="s">
        <v>243</v>
      </c>
      <c r="CJ398" t="s">
        <v>243</v>
      </c>
      <c r="CK398" t="s">
        <v>243</v>
      </c>
      <c r="CL398" t="s">
        <v>243</v>
      </c>
      <c r="CM398" t="s">
        <v>243</v>
      </c>
      <c r="CN398" t="s">
        <v>2829</v>
      </c>
      <c r="CO398" t="s">
        <v>2924</v>
      </c>
      <c r="CP398" t="s">
        <v>2844</v>
      </c>
      <c r="CQ398" t="s">
        <v>430</v>
      </c>
      <c r="CR398" t="s">
        <v>2872</v>
      </c>
      <c r="CS398" t="s">
        <v>431</v>
      </c>
      <c r="CT398" t="s">
        <v>430</v>
      </c>
      <c r="CU398" t="s">
        <v>2846</v>
      </c>
      <c r="CV398" t="s">
        <v>2873</v>
      </c>
      <c r="CW398" t="s">
        <v>2872</v>
      </c>
      <c r="CX398" t="s">
        <v>2848</v>
      </c>
      <c r="CY398" t="s">
        <v>3476</v>
      </c>
    </row>
    <row r="399" spans="1:103" ht="11.25" customHeight="1">
      <c r="A399" t="s">
        <v>243</v>
      </c>
      <c r="B399" t="s">
        <v>243</v>
      </c>
      <c r="C399" t="s">
        <v>243</v>
      </c>
      <c r="D399" t="s">
        <v>243</v>
      </c>
      <c r="E399" t="s">
        <v>243</v>
      </c>
      <c r="F399" t="s">
        <v>2816</v>
      </c>
      <c r="G399" t="s">
        <v>243</v>
      </c>
      <c r="H399" t="s">
        <v>243</v>
      </c>
      <c r="I399" t="s">
        <v>2917</v>
      </c>
      <c r="J399" t="s">
        <v>243</v>
      </c>
      <c r="K399" t="s">
        <v>2818</v>
      </c>
      <c r="L399" t="s">
        <v>243</v>
      </c>
      <c r="M399" t="s">
        <v>114</v>
      </c>
      <c r="N399" t="s">
        <v>243</v>
      </c>
      <c r="O399" t="s">
        <v>2819</v>
      </c>
      <c r="P399" t="s">
        <v>4448</v>
      </c>
      <c r="Q399" t="s">
        <v>2821</v>
      </c>
      <c r="R399" t="s">
        <v>200</v>
      </c>
      <c r="S399" t="s">
        <v>200</v>
      </c>
      <c r="T399" t="s">
        <v>2822</v>
      </c>
      <c r="U399" t="s">
        <v>2822</v>
      </c>
      <c r="V399" t="s">
        <v>2823</v>
      </c>
      <c r="W399" t="s">
        <v>2824</v>
      </c>
      <c r="X399" t="s">
        <v>2825</v>
      </c>
      <c r="Y399" t="s">
        <v>2918</v>
      </c>
      <c r="Z399" t="s">
        <v>2919</v>
      </c>
      <c r="AA399" t="s">
        <v>2865</v>
      </c>
      <c r="AB399" t="s">
        <v>2920</v>
      </c>
      <c r="AC399" t="s">
        <v>2829</v>
      </c>
      <c r="AD399" t="s">
        <v>2830</v>
      </c>
      <c r="AE399" t="s">
        <v>2857</v>
      </c>
      <c r="AF399" t="s">
        <v>2921</v>
      </c>
      <c r="AG399" t="s">
        <v>2921</v>
      </c>
      <c r="AH399" t="s">
        <v>2834</v>
      </c>
      <c r="AI399" t="s">
        <v>2835</v>
      </c>
      <c r="AJ399" t="s">
        <v>2829</v>
      </c>
      <c r="AK399" t="s">
        <v>2922</v>
      </c>
      <c r="AL399" t="s">
        <v>2865</v>
      </c>
      <c r="AM399" t="s">
        <v>2920</v>
      </c>
      <c r="AN399" t="s">
        <v>2829</v>
      </c>
      <c r="AO399" t="s">
        <v>2839</v>
      </c>
      <c r="AP399" t="s">
        <v>2840</v>
      </c>
      <c r="AQ399" t="s">
        <v>2841</v>
      </c>
      <c r="AR399" t="s">
        <v>2923</v>
      </c>
      <c r="AS399" t="s">
        <v>2923</v>
      </c>
      <c r="AT399" t="s">
        <v>2829</v>
      </c>
      <c r="AU399" t="s">
        <v>2829</v>
      </c>
      <c r="AV399" t="s">
        <v>2829</v>
      </c>
      <c r="AW399" t="s">
        <v>2829</v>
      </c>
      <c r="AX399" t="s">
        <v>2829</v>
      </c>
      <c r="AY399" t="s">
        <v>2829</v>
      </c>
      <c r="AZ399" t="s">
        <v>2829</v>
      </c>
      <c r="BA399" t="s">
        <v>2829</v>
      </c>
      <c r="BB399" t="s">
        <v>2829</v>
      </c>
      <c r="BC399" t="s">
        <v>2829</v>
      </c>
      <c r="BD399" t="s">
        <v>2923</v>
      </c>
      <c r="BE399" t="s">
        <v>2923</v>
      </c>
      <c r="BF399" t="s">
        <v>243</v>
      </c>
      <c r="BG399" t="s">
        <v>243</v>
      </c>
      <c r="BH399" t="s">
        <v>243</v>
      </c>
      <c r="BI399" t="s">
        <v>243</v>
      </c>
      <c r="BJ399" t="s">
        <v>2829</v>
      </c>
      <c r="BK399" t="s">
        <v>243</v>
      </c>
      <c r="BL399" t="s">
        <v>243</v>
      </c>
      <c r="BM399" t="s">
        <v>243</v>
      </c>
      <c r="BN399" t="s">
        <v>243</v>
      </c>
      <c r="BO399" t="s">
        <v>243</v>
      </c>
      <c r="BP399" t="s">
        <v>2829</v>
      </c>
      <c r="BQ399" t="s">
        <v>243</v>
      </c>
      <c r="BR399" t="s">
        <v>243</v>
      </c>
      <c r="BS399" t="s">
        <v>243</v>
      </c>
      <c r="BT399" t="s">
        <v>243</v>
      </c>
      <c r="BU399" t="s">
        <v>243</v>
      </c>
      <c r="BV399" t="s">
        <v>2829</v>
      </c>
      <c r="BW399" t="s">
        <v>243</v>
      </c>
      <c r="BX399" t="s">
        <v>243</v>
      </c>
      <c r="BY399" t="s">
        <v>243</v>
      </c>
      <c r="BZ399" t="s">
        <v>243</v>
      </c>
      <c r="CA399" t="s">
        <v>243</v>
      </c>
      <c r="CB399" t="s">
        <v>2829</v>
      </c>
      <c r="CC399" t="s">
        <v>243</v>
      </c>
      <c r="CD399" t="s">
        <v>243</v>
      </c>
      <c r="CE399" t="s">
        <v>243</v>
      </c>
      <c r="CF399" t="s">
        <v>243</v>
      </c>
      <c r="CG399" t="s">
        <v>243</v>
      </c>
      <c r="CH399" t="s">
        <v>2829</v>
      </c>
      <c r="CI399" t="s">
        <v>243</v>
      </c>
      <c r="CJ399" t="s">
        <v>243</v>
      </c>
      <c r="CK399" t="s">
        <v>243</v>
      </c>
      <c r="CL399" t="s">
        <v>243</v>
      </c>
      <c r="CM399" t="s">
        <v>243</v>
      </c>
      <c r="CN399" t="s">
        <v>2829</v>
      </c>
      <c r="CO399" t="s">
        <v>2924</v>
      </c>
      <c r="CP399" t="s">
        <v>2844</v>
      </c>
      <c r="CQ399" t="s">
        <v>430</v>
      </c>
      <c r="CR399" t="s">
        <v>2872</v>
      </c>
      <c r="CS399" t="s">
        <v>431</v>
      </c>
      <c r="CT399" t="s">
        <v>430</v>
      </c>
      <c r="CU399" t="s">
        <v>2846</v>
      </c>
      <c r="CV399" t="s">
        <v>2873</v>
      </c>
      <c r="CW399" t="s">
        <v>2872</v>
      </c>
      <c r="CX399" t="s">
        <v>2848</v>
      </c>
      <c r="CY399" t="s">
        <v>2925</v>
      </c>
    </row>
    <row r="400" spans="1:103" ht="11.25" customHeight="1">
      <c r="A400" t="s">
        <v>243</v>
      </c>
      <c r="B400" t="s">
        <v>243</v>
      </c>
      <c r="C400" t="s">
        <v>243</v>
      </c>
      <c r="D400" t="s">
        <v>243</v>
      </c>
      <c r="E400" t="s">
        <v>243</v>
      </c>
      <c r="F400" t="s">
        <v>2816</v>
      </c>
      <c r="G400" t="s">
        <v>243</v>
      </c>
      <c r="H400" t="s">
        <v>243</v>
      </c>
      <c r="I400" t="s">
        <v>4222</v>
      </c>
      <c r="J400" t="s">
        <v>243</v>
      </c>
      <c r="K400" t="s">
        <v>4223</v>
      </c>
      <c r="L400" t="s">
        <v>243</v>
      </c>
      <c r="M400" t="s">
        <v>114</v>
      </c>
      <c r="N400" t="s">
        <v>243</v>
      </c>
      <c r="O400" t="s">
        <v>2819</v>
      </c>
      <c r="P400" t="s">
        <v>4448</v>
      </c>
      <c r="Q400" t="s">
        <v>2821</v>
      </c>
      <c r="R400" t="s">
        <v>200</v>
      </c>
      <c r="S400" t="s">
        <v>200</v>
      </c>
      <c r="T400" t="s">
        <v>2933</v>
      </c>
      <c r="U400" t="s">
        <v>2933</v>
      </c>
      <c r="V400" t="s">
        <v>2934</v>
      </c>
      <c r="W400" t="s">
        <v>2935</v>
      </c>
      <c r="X400" t="s">
        <v>2936</v>
      </c>
      <c r="Y400" t="s">
        <v>4224</v>
      </c>
      <c r="Z400" t="s">
        <v>917</v>
      </c>
      <c r="AA400" t="s">
        <v>3094</v>
      </c>
      <c r="AB400" t="s">
        <v>3473</v>
      </c>
      <c r="AC400" t="s">
        <v>2829</v>
      </c>
      <c r="AD400" t="s">
        <v>2883</v>
      </c>
      <c r="AE400" t="s">
        <v>2831</v>
      </c>
      <c r="AF400" t="s">
        <v>4219</v>
      </c>
      <c r="AG400" t="s">
        <v>4219</v>
      </c>
      <c r="AH400" t="s">
        <v>2834</v>
      </c>
      <c r="AI400" t="s">
        <v>2835</v>
      </c>
      <c r="AJ400" t="s">
        <v>3130</v>
      </c>
      <c r="AK400" t="s">
        <v>2998</v>
      </c>
      <c r="AL400" t="s">
        <v>3094</v>
      </c>
      <c r="AM400" t="s">
        <v>4225</v>
      </c>
      <c r="AN400" t="s">
        <v>243</v>
      </c>
      <c r="AO400" t="s">
        <v>2839</v>
      </c>
      <c r="AP400" t="s">
        <v>2840</v>
      </c>
      <c r="AQ400" t="s">
        <v>2841</v>
      </c>
      <c r="AR400" t="s">
        <v>4226</v>
      </c>
      <c r="AS400" t="s">
        <v>4226</v>
      </c>
      <c r="AT400" t="s">
        <v>2829</v>
      </c>
      <c r="AU400" t="s">
        <v>2829</v>
      </c>
      <c r="AV400" t="s">
        <v>2829</v>
      </c>
      <c r="AW400" t="s">
        <v>2829</v>
      </c>
      <c r="AX400" t="s">
        <v>2829</v>
      </c>
      <c r="AY400" t="s">
        <v>2829</v>
      </c>
      <c r="AZ400" t="s">
        <v>2829</v>
      </c>
      <c r="BA400" t="s">
        <v>2829</v>
      </c>
      <c r="BB400" t="s">
        <v>2829</v>
      </c>
      <c r="BC400" t="s">
        <v>2829</v>
      </c>
      <c r="BD400" t="s">
        <v>4226</v>
      </c>
      <c r="BE400" t="s">
        <v>4226</v>
      </c>
      <c r="BF400" t="s">
        <v>243</v>
      </c>
      <c r="BG400" t="s">
        <v>243</v>
      </c>
      <c r="BH400" t="s">
        <v>243</v>
      </c>
      <c r="BI400" t="s">
        <v>243</v>
      </c>
      <c r="BJ400" t="s">
        <v>2829</v>
      </c>
      <c r="BK400" t="s">
        <v>243</v>
      </c>
      <c r="BL400" t="s">
        <v>243</v>
      </c>
      <c r="BM400" t="s">
        <v>243</v>
      </c>
      <c r="BN400" t="s">
        <v>243</v>
      </c>
      <c r="BO400" t="s">
        <v>243</v>
      </c>
      <c r="BP400" t="s">
        <v>2829</v>
      </c>
      <c r="BQ400" t="s">
        <v>243</v>
      </c>
      <c r="BR400" t="s">
        <v>243</v>
      </c>
      <c r="BS400" t="s">
        <v>243</v>
      </c>
      <c r="BT400" t="s">
        <v>243</v>
      </c>
      <c r="BU400" t="s">
        <v>243</v>
      </c>
      <c r="BV400" t="s">
        <v>2829</v>
      </c>
      <c r="BW400" t="s">
        <v>243</v>
      </c>
      <c r="BX400" t="s">
        <v>243</v>
      </c>
      <c r="BY400" t="s">
        <v>243</v>
      </c>
      <c r="BZ400" t="s">
        <v>243</v>
      </c>
      <c r="CA400" t="s">
        <v>243</v>
      </c>
      <c r="CB400" t="s">
        <v>2829</v>
      </c>
      <c r="CC400" t="s">
        <v>243</v>
      </c>
      <c r="CD400" t="s">
        <v>243</v>
      </c>
      <c r="CE400" t="s">
        <v>243</v>
      </c>
      <c r="CF400" t="s">
        <v>243</v>
      </c>
      <c r="CG400" t="s">
        <v>243</v>
      </c>
      <c r="CH400" t="s">
        <v>2829</v>
      </c>
      <c r="CI400" t="s">
        <v>243</v>
      </c>
      <c r="CJ400" t="s">
        <v>243</v>
      </c>
      <c r="CK400" t="s">
        <v>243</v>
      </c>
      <c r="CL400" t="s">
        <v>243</v>
      </c>
      <c r="CM400" t="s">
        <v>243</v>
      </c>
      <c r="CN400" t="s">
        <v>3130</v>
      </c>
      <c r="CO400" t="s">
        <v>2843</v>
      </c>
      <c r="CP400" t="s">
        <v>2844</v>
      </c>
      <c r="CQ400" t="s">
        <v>430</v>
      </c>
      <c r="CR400" t="s">
        <v>2947</v>
      </c>
      <c r="CS400" t="s">
        <v>431</v>
      </c>
      <c r="CT400" t="s">
        <v>430</v>
      </c>
      <c r="CU400" t="s">
        <v>2948</v>
      </c>
      <c r="CV400" t="s">
        <v>2949</v>
      </c>
      <c r="CW400" t="s">
        <v>2947</v>
      </c>
      <c r="CX400" t="s">
        <v>2848</v>
      </c>
      <c r="CY400" t="s">
        <v>4227</v>
      </c>
    </row>
    <row r="401" spans="1:103" ht="11.25" customHeight="1">
      <c r="A401" t="s">
        <v>243</v>
      </c>
      <c r="B401" t="s">
        <v>243</v>
      </c>
      <c r="C401" t="s">
        <v>243</v>
      </c>
      <c r="D401" t="s">
        <v>243</v>
      </c>
      <c r="E401" t="s">
        <v>243</v>
      </c>
      <c r="F401" t="s">
        <v>2816</v>
      </c>
      <c r="G401" t="s">
        <v>243</v>
      </c>
      <c r="H401" t="s">
        <v>243</v>
      </c>
      <c r="I401" t="s">
        <v>4336</v>
      </c>
      <c r="J401" t="s">
        <v>243</v>
      </c>
      <c r="K401" t="s">
        <v>428</v>
      </c>
      <c r="L401" t="s">
        <v>243</v>
      </c>
      <c r="M401" t="s">
        <v>114</v>
      </c>
      <c r="N401" t="s">
        <v>243</v>
      </c>
      <c r="O401" t="s">
        <v>2819</v>
      </c>
      <c r="P401" t="s">
        <v>4448</v>
      </c>
      <c r="Q401" t="s">
        <v>2821</v>
      </c>
      <c r="R401" t="s">
        <v>200</v>
      </c>
      <c r="S401" t="s">
        <v>200</v>
      </c>
      <c r="T401" t="s">
        <v>2968</v>
      </c>
      <c r="U401" t="s">
        <v>2968</v>
      </c>
      <c r="V401" t="s">
        <v>2969</v>
      </c>
      <c r="W401" t="s">
        <v>2970</v>
      </c>
      <c r="X401" t="s">
        <v>2971</v>
      </c>
      <c r="Y401" t="s">
        <v>3104</v>
      </c>
      <c r="Z401" t="s">
        <v>3909</v>
      </c>
      <c r="AA401" t="s">
        <v>4337</v>
      </c>
      <c r="AB401" t="s">
        <v>4338</v>
      </c>
      <c r="AC401" t="s">
        <v>2829</v>
      </c>
      <c r="AD401" t="s">
        <v>2883</v>
      </c>
      <c r="AE401" t="s">
        <v>2884</v>
      </c>
      <c r="AF401" t="s">
        <v>4339</v>
      </c>
      <c r="AG401" t="s">
        <v>4339</v>
      </c>
      <c r="AH401" t="s">
        <v>2834</v>
      </c>
      <c r="AI401" t="s">
        <v>2887</v>
      </c>
      <c r="AJ401" t="s">
        <v>2942</v>
      </c>
      <c r="AK401" t="s">
        <v>3425</v>
      </c>
      <c r="AL401" t="s">
        <v>4340</v>
      </c>
      <c r="AM401" t="s">
        <v>4338</v>
      </c>
      <c r="AN401" t="s">
        <v>2829</v>
      </c>
      <c r="AO401" t="s">
        <v>2839</v>
      </c>
      <c r="AP401" t="s">
        <v>2840</v>
      </c>
      <c r="AQ401" t="s">
        <v>2841</v>
      </c>
      <c r="AR401" t="s">
        <v>4341</v>
      </c>
      <c r="AS401" t="s">
        <v>4341</v>
      </c>
      <c r="AT401" t="s">
        <v>2829</v>
      </c>
      <c r="AU401" t="s">
        <v>2829</v>
      </c>
      <c r="AV401" t="s">
        <v>2829</v>
      </c>
      <c r="AW401" t="s">
        <v>2829</v>
      </c>
      <c r="AX401" t="s">
        <v>2829</v>
      </c>
      <c r="AY401" t="s">
        <v>2829</v>
      </c>
      <c r="AZ401" t="s">
        <v>2829</v>
      </c>
      <c r="BA401" t="s">
        <v>2829</v>
      </c>
      <c r="BB401" t="s">
        <v>2829</v>
      </c>
      <c r="BC401" t="s">
        <v>2829</v>
      </c>
      <c r="BD401" t="s">
        <v>4342</v>
      </c>
      <c r="BE401" t="s">
        <v>4342</v>
      </c>
      <c r="BF401" t="s">
        <v>243</v>
      </c>
      <c r="BG401" t="s">
        <v>243</v>
      </c>
      <c r="BH401" t="s">
        <v>243</v>
      </c>
      <c r="BI401" t="s">
        <v>243</v>
      </c>
      <c r="BJ401" t="s">
        <v>2829</v>
      </c>
      <c r="BK401" t="s">
        <v>243</v>
      </c>
      <c r="BL401" t="s">
        <v>243</v>
      </c>
      <c r="BM401" t="s">
        <v>243</v>
      </c>
      <c r="BN401" t="s">
        <v>243</v>
      </c>
      <c r="BO401" t="s">
        <v>243</v>
      </c>
      <c r="BP401" t="s">
        <v>4343</v>
      </c>
      <c r="BQ401" t="s">
        <v>4343</v>
      </c>
      <c r="BR401" t="s">
        <v>243</v>
      </c>
      <c r="BS401" t="s">
        <v>243</v>
      </c>
      <c r="BT401" t="s">
        <v>243</v>
      </c>
      <c r="BU401" t="s">
        <v>243</v>
      </c>
      <c r="BV401" t="s">
        <v>2829</v>
      </c>
      <c r="BW401" t="s">
        <v>243</v>
      </c>
      <c r="BX401" t="s">
        <v>243</v>
      </c>
      <c r="BY401" t="s">
        <v>243</v>
      </c>
      <c r="BZ401" t="s">
        <v>243</v>
      </c>
      <c r="CA401" t="s">
        <v>243</v>
      </c>
      <c r="CB401" t="s">
        <v>4344</v>
      </c>
      <c r="CC401" t="s">
        <v>4344</v>
      </c>
      <c r="CD401" t="s">
        <v>243</v>
      </c>
      <c r="CE401" t="s">
        <v>243</v>
      </c>
      <c r="CF401" t="s">
        <v>243</v>
      </c>
      <c r="CG401" t="s">
        <v>243</v>
      </c>
      <c r="CH401" t="s">
        <v>2829</v>
      </c>
      <c r="CI401" t="s">
        <v>243</v>
      </c>
      <c r="CJ401" t="s">
        <v>243</v>
      </c>
      <c r="CK401" t="s">
        <v>243</v>
      </c>
      <c r="CL401" t="s">
        <v>243</v>
      </c>
      <c r="CM401" t="s">
        <v>243</v>
      </c>
      <c r="CN401" t="s">
        <v>2983</v>
      </c>
      <c r="CO401" t="s">
        <v>2843</v>
      </c>
      <c r="CP401" t="s">
        <v>2844</v>
      </c>
      <c r="CQ401" t="s">
        <v>430</v>
      </c>
      <c r="CR401" t="s">
        <v>2984</v>
      </c>
      <c r="CS401" t="s">
        <v>431</v>
      </c>
      <c r="CT401" t="s">
        <v>430</v>
      </c>
      <c r="CU401" t="s">
        <v>2985</v>
      </c>
      <c r="CV401" t="s">
        <v>2986</v>
      </c>
      <c r="CW401" t="s">
        <v>2984</v>
      </c>
      <c r="CX401" t="s">
        <v>2848</v>
      </c>
      <c r="CY401" t="s">
        <v>4345</v>
      </c>
    </row>
    <row r="402" spans="1:103" ht="11.25" customHeight="1">
      <c r="A402" t="s">
        <v>243</v>
      </c>
      <c r="B402" t="s">
        <v>243</v>
      </c>
      <c r="C402" t="s">
        <v>243</v>
      </c>
      <c r="D402" t="s">
        <v>243</v>
      </c>
      <c r="E402" t="s">
        <v>243</v>
      </c>
      <c r="F402" t="s">
        <v>2816</v>
      </c>
      <c r="G402" t="s">
        <v>243</v>
      </c>
      <c r="H402" t="s">
        <v>243</v>
      </c>
      <c r="I402" t="s">
        <v>2988</v>
      </c>
      <c r="J402" t="s">
        <v>243</v>
      </c>
      <c r="K402" t="s">
        <v>2989</v>
      </c>
      <c r="L402" t="s">
        <v>243</v>
      </c>
      <c r="M402" t="s">
        <v>114</v>
      </c>
      <c r="N402" t="s">
        <v>243</v>
      </c>
      <c r="O402" t="s">
        <v>2819</v>
      </c>
      <c r="P402" t="s">
        <v>4448</v>
      </c>
      <c r="Q402" t="s">
        <v>2821</v>
      </c>
      <c r="R402" t="s">
        <v>200</v>
      </c>
      <c r="S402" t="s">
        <v>200</v>
      </c>
      <c r="T402" t="s">
        <v>2968</v>
      </c>
      <c r="U402" t="s">
        <v>2968</v>
      </c>
      <c r="V402" t="s">
        <v>2969</v>
      </c>
      <c r="W402" t="s">
        <v>2990</v>
      </c>
      <c r="X402" t="s">
        <v>2991</v>
      </c>
      <c r="Y402" t="s">
        <v>2992</v>
      </c>
      <c r="Z402" t="s">
        <v>2993</v>
      </c>
      <c r="AA402" t="s">
        <v>2994</v>
      </c>
      <c r="AB402" t="s">
        <v>2995</v>
      </c>
      <c r="AC402" t="s">
        <v>2829</v>
      </c>
      <c r="AD402" t="s">
        <v>2883</v>
      </c>
      <c r="AE402" t="s">
        <v>2857</v>
      </c>
      <c r="AF402" t="s">
        <v>2996</v>
      </c>
      <c r="AG402" t="s">
        <v>2996</v>
      </c>
      <c r="AH402" t="s">
        <v>2834</v>
      </c>
      <c r="AI402" t="s">
        <v>2835</v>
      </c>
      <c r="AJ402" t="s">
        <v>2997</v>
      </c>
      <c r="AK402" t="s">
        <v>2998</v>
      </c>
      <c r="AL402" t="s">
        <v>2994</v>
      </c>
      <c r="AM402" t="s">
        <v>2995</v>
      </c>
      <c r="AN402" t="s">
        <v>2829</v>
      </c>
      <c r="AO402" t="s">
        <v>2839</v>
      </c>
      <c r="AP402" t="s">
        <v>2840</v>
      </c>
      <c r="AQ402" t="s">
        <v>2841</v>
      </c>
      <c r="AR402" t="s">
        <v>2999</v>
      </c>
      <c r="AS402" t="s">
        <v>2999</v>
      </c>
      <c r="AT402" t="s">
        <v>2829</v>
      </c>
      <c r="AU402" t="s">
        <v>2829</v>
      </c>
      <c r="AV402" t="s">
        <v>2829</v>
      </c>
      <c r="AW402" t="s">
        <v>2829</v>
      </c>
      <c r="AX402" t="s">
        <v>2829</v>
      </c>
      <c r="AY402" t="s">
        <v>2829</v>
      </c>
      <c r="AZ402" t="s">
        <v>2829</v>
      </c>
      <c r="BA402" t="s">
        <v>2829</v>
      </c>
      <c r="BB402" t="s">
        <v>2829</v>
      </c>
      <c r="BC402" t="s">
        <v>2829</v>
      </c>
      <c r="BD402" t="s">
        <v>2829</v>
      </c>
      <c r="BE402" t="s">
        <v>243</v>
      </c>
      <c r="BF402" t="s">
        <v>243</v>
      </c>
      <c r="BG402" t="s">
        <v>243</v>
      </c>
      <c r="BH402" t="s">
        <v>243</v>
      </c>
      <c r="BI402" t="s">
        <v>243</v>
      </c>
      <c r="BJ402" t="s">
        <v>2829</v>
      </c>
      <c r="BK402" t="s">
        <v>243</v>
      </c>
      <c r="BL402" t="s">
        <v>243</v>
      </c>
      <c r="BM402" t="s">
        <v>243</v>
      </c>
      <c r="BN402" t="s">
        <v>243</v>
      </c>
      <c r="BO402" t="s">
        <v>243</v>
      </c>
      <c r="BP402" t="s">
        <v>2999</v>
      </c>
      <c r="BQ402" t="s">
        <v>2999</v>
      </c>
      <c r="BR402" t="s">
        <v>243</v>
      </c>
      <c r="BS402" t="s">
        <v>243</v>
      </c>
      <c r="BT402" t="s">
        <v>243</v>
      </c>
      <c r="BU402" t="s">
        <v>243</v>
      </c>
      <c r="BV402" t="s">
        <v>2829</v>
      </c>
      <c r="BW402" t="s">
        <v>243</v>
      </c>
      <c r="BX402" t="s">
        <v>243</v>
      </c>
      <c r="BY402" t="s">
        <v>243</v>
      </c>
      <c r="BZ402" t="s">
        <v>243</v>
      </c>
      <c r="CA402" t="s">
        <v>243</v>
      </c>
      <c r="CB402" t="s">
        <v>2829</v>
      </c>
      <c r="CC402" t="s">
        <v>243</v>
      </c>
      <c r="CD402" t="s">
        <v>243</v>
      </c>
      <c r="CE402" t="s">
        <v>243</v>
      </c>
      <c r="CF402" t="s">
        <v>243</v>
      </c>
      <c r="CG402" t="s">
        <v>243</v>
      </c>
      <c r="CH402" t="s">
        <v>2829</v>
      </c>
      <c r="CI402" t="s">
        <v>243</v>
      </c>
      <c r="CJ402" t="s">
        <v>243</v>
      </c>
      <c r="CK402" t="s">
        <v>243</v>
      </c>
      <c r="CL402" t="s">
        <v>243</v>
      </c>
      <c r="CM402" t="s">
        <v>243</v>
      </c>
      <c r="CN402" t="s">
        <v>2997</v>
      </c>
      <c r="CO402" t="s">
        <v>2843</v>
      </c>
      <c r="CP402" t="s">
        <v>2844</v>
      </c>
      <c r="CQ402" t="s">
        <v>430</v>
      </c>
      <c r="CR402" t="s">
        <v>2984</v>
      </c>
      <c r="CS402" t="s">
        <v>431</v>
      </c>
      <c r="CT402" t="s">
        <v>430</v>
      </c>
      <c r="CU402" t="s">
        <v>2985</v>
      </c>
      <c r="CV402" t="s">
        <v>2986</v>
      </c>
      <c r="CW402" t="s">
        <v>2984</v>
      </c>
      <c r="CX402" t="s">
        <v>2848</v>
      </c>
      <c r="CY402" t="s">
        <v>3000</v>
      </c>
    </row>
    <row r="403" spans="1:103" ht="11.25" customHeight="1">
      <c r="A403" t="s">
        <v>243</v>
      </c>
      <c r="B403" t="s">
        <v>243</v>
      </c>
      <c r="C403" t="s">
        <v>243</v>
      </c>
      <c r="D403" t="s">
        <v>243</v>
      </c>
      <c r="E403" t="s">
        <v>243</v>
      </c>
      <c r="F403" t="s">
        <v>2816</v>
      </c>
      <c r="G403" t="s">
        <v>243</v>
      </c>
      <c r="H403" t="s">
        <v>243</v>
      </c>
      <c r="I403" t="s">
        <v>4285</v>
      </c>
      <c r="J403" t="s">
        <v>243</v>
      </c>
      <c r="K403" t="s">
        <v>4286</v>
      </c>
      <c r="L403" t="s">
        <v>243</v>
      </c>
      <c r="M403" t="s">
        <v>114</v>
      </c>
      <c r="N403" t="s">
        <v>243</v>
      </c>
      <c r="O403" t="s">
        <v>2819</v>
      </c>
      <c r="P403" t="s">
        <v>4448</v>
      </c>
      <c r="Q403" t="s">
        <v>2821</v>
      </c>
      <c r="R403" t="s">
        <v>200</v>
      </c>
      <c r="S403" t="s">
        <v>200</v>
      </c>
      <c r="T403" t="s">
        <v>3022</v>
      </c>
      <c r="U403" t="s">
        <v>3022</v>
      </c>
      <c r="V403" t="s">
        <v>3023</v>
      </c>
      <c r="W403" t="s">
        <v>3678</v>
      </c>
      <c r="X403" t="s">
        <v>3679</v>
      </c>
      <c r="Y403" t="s">
        <v>4287</v>
      </c>
      <c r="Z403" t="s">
        <v>348</v>
      </c>
      <c r="AA403" t="s">
        <v>2964</v>
      </c>
      <c r="AB403" t="s">
        <v>3395</v>
      </c>
      <c r="AC403" t="s">
        <v>2829</v>
      </c>
      <c r="AD403" t="s">
        <v>2883</v>
      </c>
      <c r="AE403" t="s">
        <v>2831</v>
      </c>
      <c r="AF403" t="s">
        <v>3682</v>
      </c>
      <c r="AG403" t="s">
        <v>3682</v>
      </c>
      <c r="AH403" t="s">
        <v>2834</v>
      </c>
      <c r="AI403" t="s">
        <v>2835</v>
      </c>
      <c r="AJ403" t="s">
        <v>3044</v>
      </c>
      <c r="AK403" t="s">
        <v>4288</v>
      </c>
      <c r="AL403" t="s">
        <v>2964</v>
      </c>
      <c r="AM403" t="s">
        <v>3395</v>
      </c>
      <c r="AN403" t="s">
        <v>2829</v>
      </c>
      <c r="AO403" t="s">
        <v>2839</v>
      </c>
      <c r="AP403" t="s">
        <v>2840</v>
      </c>
      <c r="AQ403" t="s">
        <v>2841</v>
      </c>
      <c r="AR403" t="s">
        <v>4289</v>
      </c>
      <c r="AS403" t="s">
        <v>4289</v>
      </c>
      <c r="AT403" t="s">
        <v>2829</v>
      </c>
      <c r="AU403" t="s">
        <v>2829</v>
      </c>
      <c r="AV403" t="s">
        <v>2829</v>
      </c>
      <c r="AW403" t="s">
        <v>2829</v>
      </c>
      <c r="AX403" t="s">
        <v>2829</v>
      </c>
      <c r="AY403" t="s">
        <v>2829</v>
      </c>
      <c r="AZ403" t="s">
        <v>2829</v>
      </c>
      <c r="BA403" t="s">
        <v>2829</v>
      </c>
      <c r="BB403" t="s">
        <v>2829</v>
      </c>
      <c r="BC403" t="s">
        <v>2829</v>
      </c>
      <c r="BD403" t="s">
        <v>2829</v>
      </c>
      <c r="BE403" t="s">
        <v>243</v>
      </c>
      <c r="BF403" t="s">
        <v>243</v>
      </c>
      <c r="BG403" t="s">
        <v>243</v>
      </c>
      <c r="BH403" t="s">
        <v>243</v>
      </c>
      <c r="BI403" t="s">
        <v>243</v>
      </c>
      <c r="BJ403" t="s">
        <v>2829</v>
      </c>
      <c r="BK403" t="s">
        <v>243</v>
      </c>
      <c r="BL403" t="s">
        <v>243</v>
      </c>
      <c r="BM403" t="s">
        <v>243</v>
      </c>
      <c r="BN403" t="s">
        <v>243</v>
      </c>
      <c r="BO403" t="s">
        <v>243</v>
      </c>
      <c r="BP403" t="s">
        <v>4289</v>
      </c>
      <c r="BQ403" t="s">
        <v>4289</v>
      </c>
      <c r="BR403" t="s">
        <v>243</v>
      </c>
      <c r="BS403" t="s">
        <v>243</v>
      </c>
      <c r="BT403" t="s">
        <v>243</v>
      </c>
      <c r="BU403" t="s">
        <v>243</v>
      </c>
      <c r="BV403" t="s">
        <v>2829</v>
      </c>
      <c r="BW403" t="s">
        <v>243</v>
      </c>
      <c r="BX403" t="s">
        <v>243</v>
      </c>
      <c r="BY403" t="s">
        <v>243</v>
      </c>
      <c r="BZ403" t="s">
        <v>243</v>
      </c>
      <c r="CA403" t="s">
        <v>243</v>
      </c>
      <c r="CB403" t="s">
        <v>2829</v>
      </c>
      <c r="CC403" t="s">
        <v>243</v>
      </c>
      <c r="CD403" t="s">
        <v>243</v>
      </c>
      <c r="CE403" t="s">
        <v>243</v>
      </c>
      <c r="CF403" t="s">
        <v>243</v>
      </c>
      <c r="CG403" t="s">
        <v>243</v>
      </c>
      <c r="CH403" t="s">
        <v>2829</v>
      </c>
      <c r="CI403" t="s">
        <v>243</v>
      </c>
      <c r="CJ403" t="s">
        <v>243</v>
      </c>
      <c r="CK403" t="s">
        <v>243</v>
      </c>
      <c r="CL403" t="s">
        <v>243</v>
      </c>
      <c r="CM403" t="s">
        <v>243</v>
      </c>
      <c r="CN403" t="s">
        <v>3030</v>
      </c>
      <c r="CO403" t="s">
        <v>2843</v>
      </c>
      <c r="CP403" t="s">
        <v>2844</v>
      </c>
      <c r="CQ403" t="s">
        <v>430</v>
      </c>
      <c r="CR403" t="s">
        <v>3033</v>
      </c>
      <c r="CS403" t="s">
        <v>431</v>
      </c>
      <c r="CT403" t="s">
        <v>430</v>
      </c>
      <c r="CU403" t="s">
        <v>3034</v>
      </c>
      <c r="CV403" t="s">
        <v>432</v>
      </c>
      <c r="CW403" t="s">
        <v>3033</v>
      </c>
      <c r="CX403" t="s">
        <v>2848</v>
      </c>
      <c r="CY403" t="s">
        <v>4290</v>
      </c>
    </row>
    <row r="404" spans="1:103" ht="11.25" customHeight="1">
      <c r="A404" t="s">
        <v>243</v>
      </c>
      <c r="B404" t="s">
        <v>243</v>
      </c>
      <c r="C404" t="s">
        <v>243</v>
      </c>
      <c r="D404" t="s">
        <v>243</v>
      </c>
      <c r="E404" t="s">
        <v>243</v>
      </c>
      <c r="F404" t="s">
        <v>2816</v>
      </c>
      <c r="G404" t="s">
        <v>243</v>
      </c>
      <c r="H404" t="s">
        <v>243</v>
      </c>
      <c r="I404" t="s">
        <v>4359</v>
      </c>
      <c r="J404" t="s">
        <v>243</v>
      </c>
      <c r="K404" t="s">
        <v>4360</v>
      </c>
      <c r="L404" t="s">
        <v>243</v>
      </c>
      <c r="M404" t="s">
        <v>114</v>
      </c>
      <c r="N404" t="s">
        <v>243</v>
      </c>
      <c r="O404" t="s">
        <v>2819</v>
      </c>
      <c r="P404" t="s">
        <v>4448</v>
      </c>
      <c r="Q404" t="s">
        <v>2821</v>
      </c>
      <c r="R404" t="s">
        <v>200</v>
      </c>
      <c r="S404" t="s">
        <v>200</v>
      </c>
      <c r="T404" t="s">
        <v>3022</v>
      </c>
      <c r="U404" t="s">
        <v>3022</v>
      </c>
      <c r="V404" t="s">
        <v>3023</v>
      </c>
      <c r="W404" t="s">
        <v>4361</v>
      </c>
      <c r="X404" t="s">
        <v>4362</v>
      </c>
      <c r="Y404" t="s">
        <v>4363</v>
      </c>
      <c r="Z404" t="s">
        <v>865</v>
      </c>
      <c r="AA404" t="s">
        <v>3095</v>
      </c>
      <c r="AB404" t="s">
        <v>4364</v>
      </c>
      <c r="AC404" t="s">
        <v>2829</v>
      </c>
      <c r="AD404" t="s">
        <v>2883</v>
      </c>
      <c r="AE404" t="s">
        <v>2831</v>
      </c>
      <c r="AF404" t="s">
        <v>4365</v>
      </c>
      <c r="AG404" t="s">
        <v>4365</v>
      </c>
      <c r="AH404" t="s">
        <v>2834</v>
      </c>
      <c r="AI404" t="s">
        <v>2835</v>
      </c>
      <c r="AJ404" t="s">
        <v>3030</v>
      </c>
      <c r="AK404" t="s">
        <v>3760</v>
      </c>
      <c r="AL404" t="s">
        <v>3095</v>
      </c>
      <c r="AM404" t="s">
        <v>4364</v>
      </c>
      <c r="AN404" t="s">
        <v>2829</v>
      </c>
      <c r="AO404" t="s">
        <v>2839</v>
      </c>
      <c r="AP404" t="s">
        <v>2840</v>
      </c>
      <c r="AQ404" t="s">
        <v>2841</v>
      </c>
      <c r="AR404" t="s">
        <v>3631</v>
      </c>
      <c r="AS404" t="s">
        <v>3631</v>
      </c>
      <c r="AT404" t="s">
        <v>2829</v>
      </c>
      <c r="AU404" t="s">
        <v>2829</v>
      </c>
      <c r="AV404" t="s">
        <v>2829</v>
      </c>
      <c r="AW404" t="s">
        <v>2829</v>
      </c>
      <c r="AX404" t="s">
        <v>2829</v>
      </c>
      <c r="AY404" t="s">
        <v>2829</v>
      </c>
      <c r="AZ404" t="s">
        <v>2829</v>
      </c>
      <c r="BA404" t="s">
        <v>2829</v>
      </c>
      <c r="BB404" t="s">
        <v>2829</v>
      </c>
      <c r="BC404" t="s">
        <v>2829</v>
      </c>
      <c r="BD404" t="s">
        <v>2829</v>
      </c>
      <c r="BE404" t="s">
        <v>243</v>
      </c>
      <c r="BF404" t="s">
        <v>243</v>
      </c>
      <c r="BG404" t="s">
        <v>243</v>
      </c>
      <c r="BH404" t="s">
        <v>243</v>
      </c>
      <c r="BI404" t="s">
        <v>243</v>
      </c>
      <c r="BJ404" t="s">
        <v>2829</v>
      </c>
      <c r="BK404" t="s">
        <v>243</v>
      </c>
      <c r="BL404" t="s">
        <v>243</v>
      </c>
      <c r="BM404" t="s">
        <v>243</v>
      </c>
      <c r="BN404" t="s">
        <v>243</v>
      </c>
      <c r="BO404" t="s">
        <v>243</v>
      </c>
      <c r="BP404" t="s">
        <v>3731</v>
      </c>
      <c r="BQ404" t="s">
        <v>3731</v>
      </c>
      <c r="BR404" t="s">
        <v>243</v>
      </c>
      <c r="BS404" t="s">
        <v>243</v>
      </c>
      <c r="BT404" t="s">
        <v>243</v>
      </c>
      <c r="BU404" t="s">
        <v>243</v>
      </c>
      <c r="BV404" t="s">
        <v>2829</v>
      </c>
      <c r="BW404" t="s">
        <v>243</v>
      </c>
      <c r="BX404" t="s">
        <v>243</v>
      </c>
      <c r="BY404" t="s">
        <v>243</v>
      </c>
      <c r="BZ404" t="s">
        <v>243</v>
      </c>
      <c r="CA404" t="s">
        <v>243</v>
      </c>
      <c r="CB404" t="s">
        <v>2907</v>
      </c>
      <c r="CC404" t="s">
        <v>2907</v>
      </c>
      <c r="CD404" t="s">
        <v>243</v>
      </c>
      <c r="CE404" t="s">
        <v>243</v>
      </c>
      <c r="CF404" t="s">
        <v>243</v>
      </c>
      <c r="CG404" t="s">
        <v>243</v>
      </c>
      <c r="CH404" t="s">
        <v>2829</v>
      </c>
      <c r="CI404" t="s">
        <v>243</v>
      </c>
      <c r="CJ404" t="s">
        <v>243</v>
      </c>
      <c r="CK404" t="s">
        <v>243</v>
      </c>
      <c r="CL404" t="s">
        <v>243</v>
      </c>
      <c r="CM404" t="s">
        <v>243</v>
      </c>
      <c r="CN404" t="s">
        <v>3041</v>
      </c>
      <c r="CO404" t="s">
        <v>2843</v>
      </c>
      <c r="CP404" t="s">
        <v>2844</v>
      </c>
      <c r="CQ404" t="s">
        <v>430</v>
      </c>
      <c r="CR404" t="s">
        <v>3033</v>
      </c>
      <c r="CS404" t="s">
        <v>431</v>
      </c>
      <c r="CT404" t="s">
        <v>430</v>
      </c>
      <c r="CU404" t="s">
        <v>3034</v>
      </c>
      <c r="CV404" t="s">
        <v>432</v>
      </c>
      <c r="CW404" t="s">
        <v>3033</v>
      </c>
      <c r="CX404" t="s">
        <v>2848</v>
      </c>
      <c r="CY404" t="s">
        <v>4366</v>
      </c>
    </row>
    <row r="405" spans="1:103" ht="11.25" customHeight="1">
      <c r="A405" t="s">
        <v>243</v>
      </c>
      <c r="B405" t="s">
        <v>243</v>
      </c>
      <c r="C405" t="s">
        <v>243</v>
      </c>
      <c r="D405" t="s">
        <v>243</v>
      </c>
      <c r="E405" t="s">
        <v>243</v>
      </c>
      <c r="F405" t="s">
        <v>2816</v>
      </c>
      <c r="G405" t="s">
        <v>243</v>
      </c>
      <c r="H405" t="s">
        <v>243</v>
      </c>
      <c r="I405" t="s">
        <v>3397</v>
      </c>
      <c r="J405" t="s">
        <v>243</v>
      </c>
      <c r="K405" t="s">
        <v>452</v>
      </c>
      <c r="L405" t="s">
        <v>243</v>
      </c>
      <c r="M405" t="s">
        <v>114</v>
      </c>
      <c r="N405" t="s">
        <v>243</v>
      </c>
      <c r="O405" t="s">
        <v>2819</v>
      </c>
      <c r="P405" t="s">
        <v>4448</v>
      </c>
      <c r="Q405" t="s">
        <v>2821</v>
      </c>
      <c r="R405" t="s">
        <v>200</v>
      </c>
      <c r="S405" t="s">
        <v>200</v>
      </c>
      <c r="T405" t="s">
        <v>405</v>
      </c>
      <c r="U405" t="s">
        <v>405</v>
      </c>
      <c r="V405" t="s">
        <v>406</v>
      </c>
      <c r="W405" t="s">
        <v>3155</v>
      </c>
      <c r="X405" t="s">
        <v>3156</v>
      </c>
      <c r="Y405" t="s">
        <v>3398</v>
      </c>
      <c r="Z405" t="s">
        <v>3399</v>
      </c>
      <c r="AA405" t="s">
        <v>2964</v>
      </c>
      <c r="AB405" t="s">
        <v>3400</v>
      </c>
      <c r="AC405" t="s">
        <v>243</v>
      </c>
      <c r="AD405" t="s">
        <v>2830</v>
      </c>
      <c r="AE405" t="s">
        <v>2831</v>
      </c>
      <c r="AF405" t="s">
        <v>3401</v>
      </c>
      <c r="AG405" t="s">
        <v>3401</v>
      </c>
      <c r="AH405" t="s">
        <v>2834</v>
      </c>
      <c r="AI405" t="s">
        <v>2835</v>
      </c>
      <c r="AJ405" t="s">
        <v>2888</v>
      </c>
      <c r="AK405" t="s">
        <v>3402</v>
      </c>
      <c r="AL405" t="s">
        <v>2964</v>
      </c>
      <c r="AM405" t="s">
        <v>3400</v>
      </c>
      <c r="AN405" t="s">
        <v>243</v>
      </c>
      <c r="AO405" t="s">
        <v>2839</v>
      </c>
      <c r="AP405" t="s">
        <v>2840</v>
      </c>
      <c r="AQ405" t="s">
        <v>2841</v>
      </c>
      <c r="AR405" t="s">
        <v>3403</v>
      </c>
      <c r="AS405" t="s">
        <v>3403</v>
      </c>
      <c r="AT405" t="s">
        <v>2829</v>
      </c>
      <c r="AU405" t="s">
        <v>2829</v>
      </c>
      <c r="AV405" t="s">
        <v>2829</v>
      </c>
      <c r="AW405" t="s">
        <v>2829</v>
      </c>
      <c r="AX405" t="s">
        <v>2829</v>
      </c>
      <c r="AY405" t="s">
        <v>2829</v>
      </c>
      <c r="AZ405" t="s">
        <v>2829</v>
      </c>
      <c r="BA405" t="s">
        <v>2829</v>
      </c>
      <c r="BB405" t="s">
        <v>2829</v>
      </c>
      <c r="BC405" t="s">
        <v>2829</v>
      </c>
      <c r="BD405" t="s">
        <v>3403</v>
      </c>
      <c r="BE405" t="s">
        <v>3403</v>
      </c>
      <c r="BF405" t="s">
        <v>243</v>
      </c>
      <c r="BG405" t="s">
        <v>243</v>
      </c>
      <c r="BH405" t="s">
        <v>243</v>
      </c>
      <c r="BI405" t="s">
        <v>243</v>
      </c>
      <c r="BJ405" t="s">
        <v>2829</v>
      </c>
      <c r="BK405" t="s">
        <v>243</v>
      </c>
      <c r="BL405" t="s">
        <v>243</v>
      </c>
      <c r="BM405" t="s">
        <v>243</v>
      </c>
      <c r="BN405" t="s">
        <v>243</v>
      </c>
      <c r="BO405" t="s">
        <v>243</v>
      </c>
      <c r="BP405" t="s">
        <v>2829</v>
      </c>
      <c r="BQ405" t="s">
        <v>243</v>
      </c>
      <c r="BR405" t="s">
        <v>243</v>
      </c>
      <c r="BS405" t="s">
        <v>243</v>
      </c>
      <c r="BT405" t="s">
        <v>243</v>
      </c>
      <c r="BU405" t="s">
        <v>243</v>
      </c>
      <c r="BV405" t="s">
        <v>2829</v>
      </c>
      <c r="BW405" t="s">
        <v>243</v>
      </c>
      <c r="BX405" t="s">
        <v>243</v>
      </c>
      <c r="BY405" t="s">
        <v>243</v>
      </c>
      <c r="BZ405" t="s">
        <v>243</v>
      </c>
      <c r="CA405" t="s">
        <v>243</v>
      </c>
      <c r="CB405" t="s">
        <v>2829</v>
      </c>
      <c r="CC405" t="s">
        <v>243</v>
      </c>
      <c r="CD405" t="s">
        <v>243</v>
      </c>
      <c r="CE405" t="s">
        <v>243</v>
      </c>
      <c r="CF405" t="s">
        <v>243</v>
      </c>
      <c r="CG405" t="s">
        <v>243</v>
      </c>
      <c r="CH405" t="s">
        <v>2829</v>
      </c>
      <c r="CI405" t="s">
        <v>243</v>
      </c>
      <c r="CJ405" t="s">
        <v>243</v>
      </c>
      <c r="CK405" t="s">
        <v>243</v>
      </c>
      <c r="CL405" t="s">
        <v>243</v>
      </c>
      <c r="CM405" t="s">
        <v>243</v>
      </c>
      <c r="CN405" t="s">
        <v>2888</v>
      </c>
      <c r="CO405" t="s">
        <v>2843</v>
      </c>
      <c r="CP405" t="s">
        <v>2844</v>
      </c>
      <c r="CQ405" t="s">
        <v>430</v>
      </c>
      <c r="CR405" t="s">
        <v>2872</v>
      </c>
      <c r="CS405" t="s">
        <v>431</v>
      </c>
      <c r="CT405" t="s">
        <v>470</v>
      </c>
      <c r="CU405" t="s">
        <v>444</v>
      </c>
      <c r="CV405" t="s">
        <v>445</v>
      </c>
      <c r="CW405" t="s">
        <v>2872</v>
      </c>
      <c r="CX405" t="s">
        <v>2848</v>
      </c>
      <c r="CY405" t="s">
        <v>453</v>
      </c>
    </row>
    <row r="406" spans="1:103" ht="11.25" customHeight="1">
      <c r="A406" t="s">
        <v>243</v>
      </c>
      <c r="B406" t="s">
        <v>243</v>
      </c>
      <c r="C406" t="s">
        <v>243</v>
      </c>
      <c r="D406" t="s">
        <v>243</v>
      </c>
      <c r="E406" t="s">
        <v>243</v>
      </c>
      <c r="F406" t="s">
        <v>2816</v>
      </c>
      <c r="G406" t="s">
        <v>243</v>
      </c>
      <c r="H406" t="s">
        <v>243</v>
      </c>
      <c r="I406" t="s">
        <v>3685</v>
      </c>
      <c r="J406" t="s">
        <v>243</v>
      </c>
      <c r="K406" t="s">
        <v>3178</v>
      </c>
      <c r="L406" t="s">
        <v>243</v>
      </c>
      <c r="M406" t="s">
        <v>114</v>
      </c>
      <c r="N406" t="s">
        <v>243</v>
      </c>
      <c r="O406" t="s">
        <v>2819</v>
      </c>
      <c r="P406" t="s">
        <v>4448</v>
      </c>
      <c r="Q406" t="s">
        <v>2821</v>
      </c>
      <c r="R406" t="s">
        <v>200</v>
      </c>
      <c r="S406" t="s">
        <v>200</v>
      </c>
      <c r="T406" t="s">
        <v>3048</v>
      </c>
      <c r="U406" t="s">
        <v>3048</v>
      </c>
      <c r="V406" t="s">
        <v>3049</v>
      </c>
      <c r="W406" t="s">
        <v>3686</v>
      </c>
      <c r="X406" t="s">
        <v>3687</v>
      </c>
      <c r="Y406" t="s">
        <v>3610</v>
      </c>
      <c r="Z406" t="s">
        <v>3219</v>
      </c>
      <c r="AA406" t="s">
        <v>3393</v>
      </c>
      <c r="AB406" t="s">
        <v>3688</v>
      </c>
      <c r="AC406" t="s">
        <v>2829</v>
      </c>
      <c r="AD406" t="s">
        <v>2883</v>
      </c>
      <c r="AE406" t="s">
        <v>2831</v>
      </c>
      <c r="AF406" t="s">
        <v>3055</v>
      </c>
      <c r="AG406" t="s">
        <v>3055</v>
      </c>
      <c r="AH406" t="s">
        <v>2834</v>
      </c>
      <c r="AI406" t="s">
        <v>2835</v>
      </c>
      <c r="AJ406" t="s">
        <v>3008</v>
      </c>
      <c r="AK406" t="s">
        <v>3689</v>
      </c>
      <c r="AL406" t="s">
        <v>3393</v>
      </c>
      <c r="AM406" t="s">
        <v>3688</v>
      </c>
      <c r="AN406" t="s">
        <v>2829</v>
      </c>
      <c r="AO406" t="s">
        <v>2839</v>
      </c>
      <c r="AP406" t="s">
        <v>2840</v>
      </c>
      <c r="AQ406" t="s">
        <v>2841</v>
      </c>
      <c r="AR406" t="s">
        <v>3066</v>
      </c>
      <c r="AS406" t="s">
        <v>3066</v>
      </c>
      <c r="AT406" t="s">
        <v>2829</v>
      </c>
      <c r="AU406" t="s">
        <v>2829</v>
      </c>
      <c r="AV406" t="s">
        <v>2829</v>
      </c>
      <c r="AW406" t="s">
        <v>2829</v>
      </c>
      <c r="AX406" t="s">
        <v>2829</v>
      </c>
      <c r="AY406" t="s">
        <v>2829</v>
      </c>
      <c r="AZ406" t="s">
        <v>2829</v>
      </c>
      <c r="BA406" t="s">
        <v>2829</v>
      </c>
      <c r="BB406" t="s">
        <v>2829</v>
      </c>
      <c r="BC406" t="s">
        <v>2829</v>
      </c>
      <c r="BD406" t="s">
        <v>3066</v>
      </c>
      <c r="BE406" t="s">
        <v>3066</v>
      </c>
      <c r="BF406" t="s">
        <v>243</v>
      </c>
      <c r="BG406" t="s">
        <v>243</v>
      </c>
      <c r="BH406" t="s">
        <v>243</v>
      </c>
      <c r="BI406" t="s">
        <v>243</v>
      </c>
      <c r="BJ406" t="s">
        <v>2829</v>
      </c>
      <c r="BK406" t="s">
        <v>243</v>
      </c>
      <c r="BL406" t="s">
        <v>243</v>
      </c>
      <c r="BM406" t="s">
        <v>243</v>
      </c>
      <c r="BN406" t="s">
        <v>243</v>
      </c>
      <c r="BO406" t="s">
        <v>243</v>
      </c>
      <c r="BP406" t="s">
        <v>2829</v>
      </c>
      <c r="BQ406" t="s">
        <v>243</v>
      </c>
      <c r="BR406" t="s">
        <v>243</v>
      </c>
      <c r="BS406" t="s">
        <v>243</v>
      </c>
      <c r="BT406" t="s">
        <v>243</v>
      </c>
      <c r="BU406" t="s">
        <v>243</v>
      </c>
      <c r="BV406" t="s">
        <v>2829</v>
      </c>
      <c r="BW406" t="s">
        <v>243</v>
      </c>
      <c r="BX406" t="s">
        <v>243</v>
      </c>
      <c r="BY406" t="s">
        <v>243</v>
      </c>
      <c r="BZ406" t="s">
        <v>243</v>
      </c>
      <c r="CA406" t="s">
        <v>243</v>
      </c>
      <c r="CB406" t="s">
        <v>2829</v>
      </c>
      <c r="CC406" t="s">
        <v>243</v>
      </c>
      <c r="CD406" t="s">
        <v>243</v>
      </c>
      <c r="CE406" t="s">
        <v>243</v>
      </c>
      <c r="CF406" t="s">
        <v>243</v>
      </c>
      <c r="CG406" t="s">
        <v>243</v>
      </c>
      <c r="CH406" t="s">
        <v>2829</v>
      </c>
      <c r="CI406" t="s">
        <v>243</v>
      </c>
      <c r="CJ406" t="s">
        <v>243</v>
      </c>
      <c r="CK406" t="s">
        <v>243</v>
      </c>
      <c r="CL406" t="s">
        <v>243</v>
      </c>
      <c r="CM406" t="s">
        <v>243</v>
      </c>
      <c r="CN406" t="s">
        <v>3187</v>
      </c>
      <c r="CO406" t="s">
        <v>2843</v>
      </c>
      <c r="CP406" t="s">
        <v>2844</v>
      </c>
      <c r="CQ406" t="s">
        <v>470</v>
      </c>
      <c r="CR406" t="s">
        <v>2872</v>
      </c>
      <c r="CS406" t="s">
        <v>431</v>
      </c>
      <c r="CT406" t="s">
        <v>470</v>
      </c>
      <c r="CU406" t="s">
        <v>3061</v>
      </c>
      <c r="CV406" t="s">
        <v>3062</v>
      </c>
      <c r="CW406" t="s">
        <v>2872</v>
      </c>
      <c r="CX406" t="s">
        <v>2848</v>
      </c>
      <c r="CY406" t="s">
        <v>3690</v>
      </c>
    </row>
    <row r="407" spans="1:103" ht="11.25" customHeight="1">
      <c r="A407" t="s">
        <v>243</v>
      </c>
      <c r="B407" t="s">
        <v>243</v>
      </c>
      <c r="C407" t="s">
        <v>243</v>
      </c>
      <c r="D407" t="s">
        <v>243</v>
      </c>
      <c r="E407" t="s">
        <v>243</v>
      </c>
      <c r="F407" t="s">
        <v>2816</v>
      </c>
      <c r="G407" t="s">
        <v>243</v>
      </c>
      <c r="H407" t="s">
        <v>243</v>
      </c>
      <c r="I407" t="s">
        <v>3886</v>
      </c>
      <c r="J407" t="s">
        <v>243</v>
      </c>
      <c r="K407" t="s">
        <v>3178</v>
      </c>
      <c r="L407" t="s">
        <v>243</v>
      </c>
      <c r="M407" t="s">
        <v>114</v>
      </c>
      <c r="N407" t="s">
        <v>243</v>
      </c>
      <c r="O407" t="s">
        <v>2819</v>
      </c>
      <c r="P407" t="s">
        <v>4448</v>
      </c>
      <c r="Q407" t="s">
        <v>2821</v>
      </c>
      <c r="R407" t="s">
        <v>200</v>
      </c>
      <c r="S407" t="s">
        <v>200</v>
      </c>
      <c r="T407" t="s">
        <v>3048</v>
      </c>
      <c r="U407" t="s">
        <v>3048</v>
      </c>
      <c r="V407" t="s">
        <v>3049</v>
      </c>
      <c r="W407" t="s">
        <v>3887</v>
      </c>
      <c r="X407" t="s">
        <v>3888</v>
      </c>
      <c r="Y407" t="s">
        <v>3889</v>
      </c>
      <c r="Z407" t="s">
        <v>2846</v>
      </c>
      <c r="AA407" t="s">
        <v>3094</v>
      </c>
      <c r="AB407" t="s">
        <v>3117</v>
      </c>
      <c r="AC407" t="s">
        <v>2829</v>
      </c>
      <c r="AD407" t="s">
        <v>2883</v>
      </c>
      <c r="AE407" t="s">
        <v>2831</v>
      </c>
      <c r="AF407" t="s">
        <v>3055</v>
      </c>
      <c r="AG407" t="s">
        <v>3055</v>
      </c>
      <c r="AH407" t="s">
        <v>2834</v>
      </c>
      <c r="AI407" t="s">
        <v>2835</v>
      </c>
      <c r="AJ407" t="s">
        <v>2942</v>
      </c>
      <c r="AK407" t="s">
        <v>3057</v>
      </c>
      <c r="AL407" t="s">
        <v>3094</v>
      </c>
      <c r="AM407" t="s">
        <v>3117</v>
      </c>
      <c r="AN407" t="s">
        <v>2829</v>
      </c>
      <c r="AO407" t="s">
        <v>2839</v>
      </c>
      <c r="AP407" t="s">
        <v>2840</v>
      </c>
      <c r="AQ407" t="s">
        <v>2841</v>
      </c>
      <c r="AR407" t="s">
        <v>3279</v>
      </c>
      <c r="AS407" t="s">
        <v>3279</v>
      </c>
      <c r="AT407" t="s">
        <v>2829</v>
      </c>
      <c r="AU407" t="s">
        <v>2829</v>
      </c>
      <c r="AV407" t="s">
        <v>2829</v>
      </c>
      <c r="AW407" t="s">
        <v>2829</v>
      </c>
      <c r="AX407" t="s">
        <v>2829</v>
      </c>
      <c r="AY407" t="s">
        <v>2829</v>
      </c>
      <c r="AZ407" t="s">
        <v>2829</v>
      </c>
      <c r="BA407" t="s">
        <v>2829</v>
      </c>
      <c r="BB407" t="s">
        <v>2829</v>
      </c>
      <c r="BC407" t="s">
        <v>2829</v>
      </c>
      <c r="BD407" t="s">
        <v>3279</v>
      </c>
      <c r="BE407" t="s">
        <v>3279</v>
      </c>
      <c r="BF407" t="s">
        <v>243</v>
      </c>
      <c r="BG407" t="s">
        <v>243</v>
      </c>
      <c r="BH407" t="s">
        <v>243</v>
      </c>
      <c r="BI407" t="s">
        <v>243</v>
      </c>
      <c r="BJ407" t="s">
        <v>2829</v>
      </c>
      <c r="BK407" t="s">
        <v>243</v>
      </c>
      <c r="BL407" t="s">
        <v>243</v>
      </c>
      <c r="BM407" t="s">
        <v>243</v>
      </c>
      <c r="BN407" t="s">
        <v>243</v>
      </c>
      <c r="BO407" t="s">
        <v>243</v>
      </c>
      <c r="BP407" t="s">
        <v>2829</v>
      </c>
      <c r="BQ407" t="s">
        <v>243</v>
      </c>
      <c r="BR407" t="s">
        <v>243</v>
      </c>
      <c r="BS407" t="s">
        <v>243</v>
      </c>
      <c r="BT407" t="s">
        <v>243</v>
      </c>
      <c r="BU407" t="s">
        <v>243</v>
      </c>
      <c r="BV407" t="s">
        <v>2829</v>
      </c>
      <c r="BW407" t="s">
        <v>243</v>
      </c>
      <c r="BX407" t="s">
        <v>243</v>
      </c>
      <c r="BY407" t="s">
        <v>243</v>
      </c>
      <c r="BZ407" t="s">
        <v>243</v>
      </c>
      <c r="CA407" t="s">
        <v>243</v>
      </c>
      <c r="CB407" t="s">
        <v>2829</v>
      </c>
      <c r="CC407" t="s">
        <v>243</v>
      </c>
      <c r="CD407" t="s">
        <v>243</v>
      </c>
      <c r="CE407" t="s">
        <v>243</v>
      </c>
      <c r="CF407" t="s">
        <v>243</v>
      </c>
      <c r="CG407" t="s">
        <v>243</v>
      </c>
      <c r="CH407" t="s">
        <v>2829</v>
      </c>
      <c r="CI407" t="s">
        <v>243</v>
      </c>
      <c r="CJ407" t="s">
        <v>243</v>
      </c>
      <c r="CK407" t="s">
        <v>243</v>
      </c>
      <c r="CL407" t="s">
        <v>243</v>
      </c>
      <c r="CM407" t="s">
        <v>243</v>
      </c>
      <c r="CN407" t="s">
        <v>3187</v>
      </c>
      <c r="CO407" t="s">
        <v>2843</v>
      </c>
      <c r="CP407" t="s">
        <v>2844</v>
      </c>
      <c r="CQ407" t="s">
        <v>470</v>
      </c>
      <c r="CR407" t="s">
        <v>2872</v>
      </c>
      <c r="CS407" t="s">
        <v>431</v>
      </c>
      <c r="CT407" t="s">
        <v>470</v>
      </c>
      <c r="CU407" t="s">
        <v>3061</v>
      </c>
      <c r="CV407" t="s">
        <v>3062</v>
      </c>
      <c r="CW407" t="s">
        <v>2872</v>
      </c>
      <c r="CX407" t="s">
        <v>2848</v>
      </c>
      <c r="CY407" t="s">
        <v>3890</v>
      </c>
    </row>
    <row r="408" spans="1:103" ht="11.25" customHeight="1">
      <c r="A408" t="s">
        <v>243</v>
      </c>
      <c r="B408" t="s">
        <v>243</v>
      </c>
      <c r="C408" t="s">
        <v>243</v>
      </c>
      <c r="D408" t="s">
        <v>243</v>
      </c>
      <c r="E408" t="s">
        <v>243</v>
      </c>
      <c r="F408" t="s">
        <v>2816</v>
      </c>
      <c r="G408" t="s">
        <v>243</v>
      </c>
      <c r="H408" t="s">
        <v>243</v>
      </c>
      <c r="I408" t="s">
        <v>874</v>
      </c>
      <c r="J408" t="s">
        <v>243</v>
      </c>
      <c r="K408" t="s">
        <v>464</v>
      </c>
      <c r="L408" t="s">
        <v>243</v>
      </c>
      <c r="M408" t="s">
        <v>114</v>
      </c>
      <c r="N408" t="s">
        <v>243</v>
      </c>
      <c r="O408" t="s">
        <v>2819</v>
      </c>
      <c r="P408" t="s">
        <v>4448</v>
      </c>
      <c r="Q408" t="s">
        <v>2821</v>
      </c>
      <c r="R408" t="s">
        <v>200</v>
      </c>
      <c r="S408" t="s">
        <v>200</v>
      </c>
      <c r="T408" t="s">
        <v>2822</v>
      </c>
      <c r="U408" t="s">
        <v>2822</v>
      </c>
      <c r="V408" t="s">
        <v>2823</v>
      </c>
      <c r="W408" t="s">
        <v>2862</v>
      </c>
      <c r="X408" t="s">
        <v>2863</v>
      </c>
      <c r="Y408" t="s">
        <v>3938</v>
      </c>
      <c r="Z408" t="s">
        <v>1776</v>
      </c>
      <c r="AA408" t="s">
        <v>3395</v>
      </c>
      <c r="AB408" t="s">
        <v>3939</v>
      </c>
      <c r="AC408" t="s">
        <v>2829</v>
      </c>
      <c r="AD408" t="s">
        <v>2830</v>
      </c>
      <c r="AE408" t="s">
        <v>2831</v>
      </c>
      <c r="AF408" t="s">
        <v>3940</v>
      </c>
      <c r="AG408" t="s">
        <v>3941</v>
      </c>
      <c r="AH408" t="s">
        <v>2834</v>
      </c>
      <c r="AI408" t="s">
        <v>2835</v>
      </c>
      <c r="AJ408" t="s">
        <v>2960</v>
      </c>
      <c r="AK408" t="s">
        <v>2961</v>
      </c>
      <c r="AL408" t="s">
        <v>3395</v>
      </c>
      <c r="AM408" t="s">
        <v>3942</v>
      </c>
      <c r="AN408" t="s">
        <v>2829</v>
      </c>
      <c r="AO408" t="s">
        <v>2839</v>
      </c>
      <c r="AP408" t="s">
        <v>2840</v>
      </c>
      <c r="AQ408" t="s">
        <v>2841</v>
      </c>
      <c r="AR408" t="s">
        <v>3943</v>
      </c>
      <c r="AS408" t="s">
        <v>3943</v>
      </c>
      <c r="AT408" t="s">
        <v>2829</v>
      </c>
      <c r="AU408" t="s">
        <v>2829</v>
      </c>
      <c r="AV408" t="s">
        <v>2829</v>
      </c>
      <c r="AW408" t="s">
        <v>2829</v>
      </c>
      <c r="AX408" t="s">
        <v>2829</v>
      </c>
      <c r="AY408" t="s">
        <v>2829</v>
      </c>
      <c r="AZ408" t="s">
        <v>2829</v>
      </c>
      <c r="BA408" t="s">
        <v>2829</v>
      </c>
      <c r="BB408" t="s">
        <v>2829</v>
      </c>
      <c r="BC408" t="s">
        <v>2829</v>
      </c>
      <c r="BD408" t="s">
        <v>2829</v>
      </c>
      <c r="BE408" t="s">
        <v>243</v>
      </c>
      <c r="BF408" t="s">
        <v>243</v>
      </c>
      <c r="BG408" t="s">
        <v>243</v>
      </c>
      <c r="BH408" t="s">
        <v>243</v>
      </c>
      <c r="BI408" t="s">
        <v>243</v>
      </c>
      <c r="BJ408" t="s">
        <v>2829</v>
      </c>
      <c r="BK408" t="s">
        <v>243</v>
      </c>
      <c r="BL408" t="s">
        <v>243</v>
      </c>
      <c r="BM408" t="s">
        <v>243</v>
      </c>
      <c r="BN408" t="s">
        <v>243</v>
      </c>
      <c r="BO408" t="s">
        <v>243</v>
      </c>
      <c r="BP408" t="s">
        <v>2829</v>
      </c>
      <c r="BQ408" t="s">
        <v>243</v>
      </c>
      <c r="BR408" t="s">
        <v>243</v>
      </c>
      <c r="BS408" t="s">
        <v>243</v>
      </c>
      <c r="BT408" t="s">
        <v>243</v>
      </c>
      <c r="BU408" t="s">
        <v>243</v>
      </c>
      <c r="BV408" t="s">
        <v>2829</v>
      </c>
      <c r="BW408" t="s">
        <v>243</v>
      </c>
      <c r="BX408" t="s">
        <v>243</v>
      </c>
      <c r="BY408" t="s">
        <v>243</v>
      </c>
      <c r="BZ408" t="s">
        <v>243</v>
      </c>
      <c r="CA408" t="s">
        <v>243</v>
      </c>
      <c r="CB408" t="s">
        <v>3943</v>
      </c>
      <c r="CC408" t="s">
        <v>3943</v>
      </c>
      <c r="CD408" t="s">
        <v>243</v>
      </c>
      <c r="CE408" t="s">
        <v>243</v>
      </c>
      <c r="CF408" t="s">
        <v>243</v>
      </c>
      <c r="CG408" t="s">
        <v>243</v>
      </c>
      <c r="CH408" t="s">
        <v>2829</v>
      </c>
      <c r="CI408" t="s">
        <v>243</v>
      </c>
      <c r="CJ408" t="s">
        <v>243</v>
      </c>
      <c r="CK408" t="s">
        <v>243</v>
      </c>
      <c r="CL408" t="s">
        <v>243</v>
      </c>
      <c r="CM408" t="s">
        <v>243</v>
      </c>
      <c r="CN408" t="s">
        <v>2960</v>
      </c>
      <c r="CO408" t="s">
        <v>2843</v>
      </c>
      <c r="CP408" t="s">
        <v>2844</v>
      </c>
      <c r="CQ408" t="s">
        <v>430</v>
      </c>
      <c r="CR408" t="s">
        <v>2845</v>
      </c>
      <c r="CS408" t="s">
        <v>431</v>
      </c>
      <c r="CT408" t="s">
        <v>430</v>
      </c>
      <c r="CU408" t="s">
        <v>2846</v>
      </c>
      <c r="CV408" t="s">
        <v>2847</v>
      </c>
      <c r="CW408" t="s">
        <v>2845</v>
      </c>
      <c r="CX408" t="s">
        <v>2848</v>
      </c>
      <c r="CY408" t="s">
        <v>3944</v>
      </c>
    </row>
    <row r="409" spans="1:103" ht="11.25" customHeight="1">
      <c r="A409" t="s">
        <v>243</v>
      </c>
      <c r="B409" t="s">
        <v>243</v>
      </c>
      <c r="C409" t="s">
        <v>243</v>
      </c>
      <c r="D409" t="s">
        <v>243</v>
      </c>
      <c r="E409" t="s">
        <v>243</v>
      </c>
      <c r="F409" t="s">
        <v>2816</v>
      </c>
      <c r="G409" t="s">
        <v>243</v>
      </c>
      <c r="H409" t="s">
        <v>243</v>
      </c>
      <c r="I409" t="s">
        <v>440</v>
      </c>
      <c r="J409" t="s">
        <v>243</v>
      </c>
      <c r="K409" t="s">
        <v>3860</v>
      </c>
      <c r="L409" t="s">
        <v>243</v>
      </c>
      <c r="M409" t="s">
        <v>114</v>
      </c>
      <c r="N409" t="s">
        <v>243</v>
      </c>
      <c r="O409" t="s">
        <v>2819</v>
      </c>
      <c r="P409" t="s">
        <v>4448</v>
      </c>
      <c r="Q409" t="s">
        <v>2821</v>
      </c>
      <c r="R409" t="s">
        <v>200</v>
      </c>
      <c r="S409" t="s">
        <v>200</v>
      </c>
      <c r="T409" t="s">
        <v>3282</v>
      </c>
      <c r="U409" t="s">
        <v>3282</v>
      </c>
      <c r="V409" t="s">
        <v>3283</v>
      </c>
      <c r="W409" t="s">
        <v>3284</v>
      </c>
      <c r="X409" t="s">
        <v>3285</v>
      </c>
      <c r="Y409" t="s">
        <v>3861</v>
      </c>
      <c r="Z409" t="s">
        <v>341</v>
      </c>
      <c r="AA409" t="s">
        <v>3862</v>
      </c>
      <c r="AB409" t="s">
        <v>3863</v>
      </c>
      <c r="AC409" t="s">
        <v>3260</v>
      </c>
      <c r="AD409" t="s">
        <v>2883</v>
      </c>
      <c r="AE409" t="s">
        <v>2975</v>
      </c>
      <c r="AF409" t="s">
        <v>3814</v>
      </c>
      <c r="AG409" t="s">
        <v>3814</v>
      </c>
      <c r="AH409" t="s">
        <v>2834</v>
      </c>
      <c r="AI409" t="s">
        <v>2887</v>
      </c>
      <c r="AJ409" t="s">
        <v>2888</v>
      </c>
      <c r="AK409" t="s">
        <v>3445</v>
      </c>
      <c r="AL409" t="s">
        <v>3862</v>
      </c>
      <c r="AM409" t="s">
        <v>3863</v>
      </c>
      <c r="AN409" t="s">
        <v>3260</v>
      </c>
      <c r="AO409" t="s">
        <v>2839</v>
      </c>
      <c r="AP409" t="s">
        <v>2840</v>
      </c>
      <c r="AQ409" t="s">
        <v>2841</v>
      </c>
      <c r="AR409" t="s">
        <v>3864</v>
      </c>
      <c r="AS409" t="s">
        <v>3865</v>
      </c>
      <c r="AT409" t="s">
        <v>3866</v>
      </c>
      <c r="AU409" t="s">
        <v>2829</v>
      </c>
      <c r="AV409" t="s">
        <v>2829</v>
      </c>
      <c r="AW409" t="s">
        <v>2829</v>
      </c>
      <c r="AX409" t="s">
        <v>2829</v>
      </c>
      <c r="AY409" t="s">
        <v>2829</v>
      </c>
      <c r="AZ409" t="s">
        <v>2829</v>
      </c>
      <c r="BA409" t="s">
        <v>2829</v>
      </c>
      <c r="BB409" t="s">
        <v>2829</v>
      </c>
      <c r="BC409" t="s">
        <v>2829</v>
      </c>
      <c r="BD409" t="s">
        <v>3867</v>
      </c>
      <c r="BE409" t="s">
        <v>3868</v>
      </c>
      <c r="BF409" t="s">
        <v>3869</v>
      </c>
      <c r="BG409" t="s">
        <v>243</v>
      </c>
      <c r="BH409" t="s">
        <v>243</v>
      </c>
      <c r="BI409" t="s">
        <v>243</v>
      </c>
      <c r="BJ409" t="s">
        <v>2829</v>
      </c>
      <c r="BK409" t="s">
        <v>243</v>
      </c>
      <c r="BL409" t="s">
        <v>243</v>
      </c>
      <c r="BM409" t="s">
        <v>243</v>
      </c>
      <c r="BN409" t="s">
        <v>243</v>
      </c>
      <c r="BO409" t="s">
        <v>243</v>
      </c>
      <c r="BP409" t="s">
        <v>3870</v>
      </c>
      <c r="BQ409" t="s">
        <v>3871</v>
      </c>
      <c r="BR409" t="s">
        <v>3872</v>
      </c>
      <c r="BS409" t="s">
        <v>243</v>
      </c>
      <c r="BT409" t="s">
        <v>243</v>
      </c>
      <c r="BU409" t="s">
        <v>243</v>
      </c>
      <c r="BV409" t="s">
        <v>2829</v>
      </c>
      <c r="BW409" t="s">
        <v>243</v>
      </c>
      <c r="BX409" t="s">
        <v>243</v>
      </c>
      <c r="BY409" t="s">
        <v>243</v>
      </c>
      <c r="BZ409" t="s">
        <v>243</v>
      </c>
      <c r="CA409" t="s">
        <v>243</v>
      </c>
      <c r="CB409" t="s">
        <v>2829</v>
      </c>
      <c r="CC409" t="s">
        <v>243</v>
      </c>
      <c r="CD409" t="s">
        <v>243</v>
      </c>
      <c r="CE409" t="s">
        <v>243</v>
      </c>
      <c r="CF409" t="s">
        <v>243</v>
      </c>
      <c r="CG409" t="s">
        <v>243</v>
      </c>
      <c r="CH409" t="s">
        <v>2829</v>
      </c>
      <c r="CI409" t="s">
        <v>243</v>
      </c>
      <c r="CJ409" t="s">
        <v>243</v>
      </c>
      <c r="CK409" t="s">
        <v>243</v>
      </c>
      <c r="CL409" t="s">
        <v>243</v>
      </c>
      <c r="CM409" t="s">
        <v>243</v>
      </c>
      <c r="CN409" t="s">
        <v>2888</v>
      </c>
      <c r="CO409" t="s">
        <v>2843</v>
      </c>
      <c r="CP409" t="s">
        <v>2844</v>
      </c>
      <c r="CQ409" t="s">
        <v>430</v>
      </c>
      <c r="CR409" t="s">
        <v>3297</v>
      </c>
      <c r="CS409" t="s">
        <v>431</v>
      </c>
      <c r="CT409" t="s">
        <v>430</v>
      </c>
      <c r="CU409" t="s">
        <v>341</v>
      </c>
      <c r="CV409" t="s">
        <v>2900</v>
      </c>
      <c r="CW409" t="s">
        <v>3297</v>
      </c>
      <c r="CX409" t="s">
        <v>2848</v>
      </c>
      <c r="CY409" t="s">
        <v>3873</v>
      </c>
    </row>
    <row r="410" spans="1:103" ht="11.25" customHeight="1">
      <c r="A410" t="s">
        <v>243</v>
      </c>
      <c r="B410" t="s">
        <v>243</v>
      </c>
      <c r="C410" t="s">
        <v>243</v>
      </c>
      <c r="D410" t="s">
        <v>243</v>
      </c>
      <c r="E410" t="s">
        <v>243</v>
      </c>
      <c r="F410" t="s">
        <v>2816</v>
      </c>
      <c r="G410" t="s">
        <v>243</v>
      </c>
      <c r="H410" t="s">
        <v>243</v>
      </c>
      <c r="I410" t="s">
        <v>879</v>
      </c>
      <c r="J410" t="s">
        <v>243</v>
      </c>
      <c r="K410" t="s">
        <v>3233</v>
      </c>
      <c r="L410" t="s">
        <v>243</v>
      </c>
      <c r="M410" t="s">
        <v>114</v>
      </c>
      <c r="N410" t="s">
        <v>243</v>
      </c>
      <c r="O410" t="s">
        <v>2819</v>
      </c>
      <c r="P410" t="s">
        <v>4448</v>
      </c>
      <c r="Q410" t="s">
        <v>2821</v>
      </c>
      <c r="R410" t="s">
        <v>200</v>
      </c>
      <c r="S410" t="s">
        <v>200</v>
      </c>
      <c r="T410" t="s">
        <v>2822</v>
      </c>
      <c r="U410" t="s">
        <v>2822</v>
      </c>
      <c r="V410" t="s">
        <v>2823</v>
      </c>
      <c r="W410" t="s">
        <v>3225</v>
      </c>
      <c r="X410" t="s">
        <v>3226</v>
      </c>
      <c r="Y410" t="s">
        <v>2826</v>
      </c>
      <c r="Z410" t="s">
        <v>3434</v>
      </c>
      <c r="AA410" t="s">
        <v>2966</v>
      </c>
      <c r="AB410" t="s">
        <v>4010</v>
      </c>
      <c r="AC410" t="s">
        <v>2829</v>
      </c>
      <c r="AD410" t="s">
        <v>2830</v>
      </c>
      <c r="AE410" t="s">
        <v>2831</v>
      </c>
      <c r="AF410" t="s">
        <v>4011</v>
      </c>
      <c r="AG410" t="s">
        <v>4012</v>
      </c>
      <c r="AH410" t="s">
        <v>2834</v>
      </c>
      <c r="AI410" t="s">
        <v>2835</v>
      </c>
      <c r="AJ410" t="s">
        <v>2960</v>
      </c>
      <c r="AK410" t="s">
        <v>3325</v>
      </c>
      <c r="AL410" t="s">
        <v>2966</v>
      </c>
      <c r="AM410" t="s">
        <v>4013</v>
      </c>
      <c r="AN410" t="s">
        <v>2829</v>
      </c>
      <c r="AO410" t="s">
        <v>2839</v>
      </c>
      <c r="AP410" t="s">
        <v>2840</v>
      </c>
      <c r="AQ410" t="s">
        <v>2841</v>
      </c>
      <c r="AR410" t="s">
        <v>4014</v>
      </c>
      <c r="AS410" t="s">
        <v>4014</v>
      </c>
      <c r="AT410" t="s">
        <v>2829</v>
      </c>
      <c r="AU410" t="s">
        <v>2829</v>
      </c>
      <c r="AV410" t="s">
        <v>2829</v>
      </c>
      <c r="AW410" t="s">
        <v>2829</v>
      </c>
      <c r="AX410" t="s">
        <v>2829</v>
      </c>
      <c r="AY410" t="s">
        <v>2829</v>
      </c>
      <c r="AZ410" t="s">
        <v>2829</v>
      </c>
      <c r="BA410" t="s">
        <v>2829</v>
      </c>
      <c r="BB410" t="s">
        <v>2829</v>
      </c>
      <c r="BC410" t="s">
        <v>2829</v>
      </c>
      <c r="BD410" t="s">
        <v>2829</v>
      </c>
      <c r="BE410" t="s">
        <v>243</v>
      </c>
      <c r="BF410" t="s">
        <v>243</v>
      </c>
      <c r="BG410" t="s">
        <v>243</v>
      </c>
      <c r="BH410" t="s">
        <v>243</v>
      </c>
      <c r="BI410" t="s">
        <v>243</v>
      </c>
      <c r="BJ410" t="s">
        <v>2829</v>
      </c>
      <c r="BK410" t="s">
        <v>243</v>
      </c>
      <c r="BL410" t="s">
        <v>243</v>
      </c>
      <c r="BM410" t="s">
        <v>243</v>
      </c>
      <c r="BN410" t="s">
        <v>243</v>
      </c>
      <c r="BO410" t="s">
        <v>243</v>
      </c>
      <c r="BP410" t="s">
        <v>2829</v>
      </c>
      <c r="BQ410" t="s">
        <v>243</v>
      </c>
      <c r="BR410" t="s">
        <v>243</v>
      </c>
      <c r="BS410" t="s">
        <v>243</v>
      </c>
      <c r="BT410" t="s">
        <v>243</v>
      </c>
      <c r="BU410" t="s">
        <v>243</v>
      </c>
      <c r="BV410" t="s">
        <v>2829</v>
      </c>
      <c r="BW410" t="s">
        <v>243</v>
      </c>
      <c r="BX410" t="s">
        <v>243</v>
      </c>
      <c r="BY410" t="s">
        <v>243</v>
      </c>
      <c r="BZ410" t="s">
        <v>243</v>
      </c>
      <c r="CA410" t="s">
        <v>243</v>
      </c>
      <c r="CB410" t="s">
        <v>4014</v>
      </c>
      <c r="CC410" t="s">
        <v>4014</v>
      </c>
      <c r="CD410" t="s">
        <v>243</v>
      </c>
      <c r="CE410" t="s">
        <v>243</v>
      </c>
      <c r="CF410" t="s">
        <v>243</v>
      </c>
      <c r="CG410" t="s">
        <v>243</v>
      </c>
      <c r="CH410" t="s">
        <v>2829</v>
      </c>
      <c r="CI410" t="s">
        <v>243</v>
      </c>
      <c r="CJ410" t="s">
        <v>243</v>
      </c>
      <c r="CK410" t="s">
        <v>243</v>
      </c>
      <c r="CL410" t="s">
        <v>243</v>
      </c>
      <c r="CM410" t="s">
        <v>243</v>
      </c>
      <c r="CN410" t="s">
        <v>2960</v>
      </c>
      <c r="CO410" t="s">
        <v>2843</v>
      </c>
      <c r="CP410" t="s">
        <v>2844</v>
      </c>
      <c r="CQ410" t="s">
        <v>430</v>
      </c>
      <c r="CR410" t="s">
        <v>2845</v>
      </c>
      <c r="CS410" t="s">
        <v>431</v>
      </c>
      <c r="CT410" t="s">
        <v>430</v>
      </c>
      <c r="CU410" t="s">
        <v>2846</v>
      </c>
      <c r="CV410" t="s">
        <v>2847</v>
      </c>
      <c r="CW410" t="s">
        <v>2845</v>
      </c>
      <c r="CX410" t="s">
        <v>2848</v>
      </c>
      <c r="CY410" t="s">
        <v>4015</v>
      </c>
    </row>
    <row r="411" spans="1:103" ht="11.25" customHeight="1">
      <c r="A411" t="s">
        <v>243</v>
      </c>
      <c r="B411" t="s">
        <v>243</v>
      </c>
      <c r="C411" t="s">
        <v>243</v>
      </c>
      <c r="D411" t="s">
        <v>243</v>
      </c>
      <c r="E411" t="s">
        <v>243</v>
      </c>
      <c r="F411" t="s">
        <v>2816</v>
      </c>
      <c r="G411" t="s">
        <v>243</v>
      </c>
      <c r="H411" t="s">
        <v>243</v>
      </c>
      <c r="I411" t="s">
        <v>4028</v>
      </c>
      <c r="J411" t="s">
        <v>243</v>
      </c>
      <c r="K411" t="s">
        <v>2818</v>
      </c>
      <c r="L411" t="s">
        <v>243</v>
      </c>
      <c r="M411" t="s">
        <v>114</v>
      </c>
      <c r="N411" t="s">
        <v>243</v>
      </c>
      <c r="O411" t="s">
        <v>2819</v>
      </c>
      <c r="P411" t="s">
        <v>4448</v>
      </c>
      <c r="Q411" t="s">
        <v>2821</v>
      </c>
      <c r="R411" t="s">
        <v>200</v>
      </c>
      <c r="S411" t="s">
        <v>200</v>
      </c>
      <c r="T411" t="s">
        <v>2822</v>
      </c>
      <c r="U411" t="s">
        <v>2822</v>
      </c>
      <c r="V411" t="s">
        <v>2823</v>
      </c>
      <c r="W411" t="s">
        <v>2911</v>
      </c>
      <c r="X411" t="s">
        <v>2912</v>
      </c>
      <c r="Y411" t="s">
        <v>2918</v>
      </c>
      <c r="Z411" t="s">
        <v>463</v>
      </c>
      <c r="AA411" t="s">
        <v>3228</v>
      </c>
      <c r="AB411" t="s">
        <v>4029</v>
      </c>
      <c r="AC411" t="s">
        <v>2829</v>
      </c>
      <c r="AD411" t="s">
        <v>2830</v>
      </c>
      <c r="AE411" t="s">
        <v>2831</v>
      </c>
      <c r="AF411" t="s">
        <v>4030</v>
      </c>
      <c r="AG411" t="s">
        <v>2833</v>
      </c>
      <c r="AH411" t="s">
        <v>2834</v>
      </c>
      <c r="AI411" t="s">
        <v>2835</v>
      </c>
      <c r="AJ411" t="s">
        <v>2836</v>
      </c>
      <c r="AK411" t="s">
        <v>2837</v>
      </c>
      <c r="AL411" t="s">
        <v>3228</v>
      </c>
      <c r="AM411" t="s">
        <v>3688</v>
      </c>
      <c r="AN411" t="s">
        <v>2829</v>
      </c>
      <c r="AO411" t="s">
        <v>2839</v>
      </c>
      <c r="AP411" t="s">
        <v>2840</v>
      </c>
      <c r="AQ411" t="s">
        <v>2841</v>
      </c>
      <c r="AR411" t="s">
        <v>2842</v>
      </c>
      <c r="AS411" t="s">
        <v>2842</v>
      </c>
      <c r="AT411" t="s">
        <v>2829</v>
      </c>
      <c r="AU411" t="s">
        <v>2829</v>
      </c>
      <c r="AV411" t="s">
        <v>2829</v>
      </c>
      <c r="AW411" t="s">
        <v>2829</v>
      </c>
      <c r="AX411" t="s">
        <v>2829</v>
      </c>
      <c r="AY411" t="s">
        <v>2829</v>
      </c>
      <c r="AZ411" t="s">
        <v>2829</v>
      </c>
      <c r="BA411" t="s">
        <v>2829</v>
      </c>
      <c r="BB411" t="s">
        <v>2829</v>
      </c>
      <c r="BC411" t="s">
        <v>2829</v>
      </c>
      <c r="BD411" t="s">
        <v>2842</v>
      </c>
      <c r="BE411" t="s">
        <v>2842</v>
      </c>
      <c r="BF411" t="s">
        <v>243</v>
      </c>
      <c r="BG411" t="s">
        <v>243</v>
      </c>
      <c r="BH411" t="s">
        <v>243</v>
      </c>
      <c r="BI411" t="s">
        <v>243</v>
      </c>
      <c r="BJ411" t="s">
        <v>2829</v>
      </c>
      <c r="BK411" t="s">
        <v>243</v>
      </c>
      <c r="BL411" t="s">
        <v>243</v>
      </c>
      <c r="BM411" t="s">
        <v>243</v>
      </c>
      <c r="BN411" t="s">
        <v>243</v>
      </c>
      <c r="BO411" t="s">
        <v>243</v>
      </c>
      <c r="BP411" t="s">
        <v>2829</v>
      </c>
      <c r="BQ411" t="s">
        <v>243</v>
      </c>
      <c r="BR411" t="s">
        <v>243</v>
      </c>
      <c r="BS411" t="s">
        <v>243</v>
      </c>
      <c r="BT411" t="s">
        <v>243</v>
      </c>
      <c r="BU411" t="s">
        <v>243</v>
      </c>
      <c r="BV411" t="s">
        <v>2829</v>
      </c>
      <c r="BW411" t="s">
        <v>243</v>
      </c>
      <c r="BX411" t="s">
        <v>243</v>
      </c>
      <c r="BY411" t="s">
        <v>243</v>
      </c>
      <c r="BZ411" t="s">
        <v>243</v>
      </c>
      <c r="CA411" t="s">
        <v>243</v>
      </c>
      <c r="CB411" t="s">
        <v>2829</v>
      </c>
      <c r="CC411" t="s">
        <v>243</v>
      </c>
      <c r="CD411" t="s">
        <v>243</v>
      </c>
      <c r="CE411" t="s">
        <v>243</v>
      </c>
      <c r="CF411" t="s">
        <v>243</v>
      </c>
      <c r="CG411" t="s">
        <v>243</v>
      </c>
      <c r="CH411" t="s">
        <v>2829</v>
      </c>
      <c r="CI411" t="s">
        <v>243</v>
      </c>
      <c r="CJ411" t="s">
        <v>243</v>
      </c>
      <c r="CK411" t="s">
        <v>243</v>
      </c>
      <c r="CL411" t="s">
        <v>243</v>
      </c>
      <c r="CM411" t="s">
        <v>243</v>
      </c>
      <c r="CN411" t="s">
        <v>2836</v>
      </c>
      <c r="CO411" t="s">
        <v>2843</v>
      </c>
      <c r="CP411" t="s">
        <v>2844</v>
      </c>
      <c r="CQ411" t="s">
        <v>430</v>
      </c>
      <c r="CR411" t="s">
        <v>2845</v>
      </c>
      <c r="CS411" t="s">
        <v>431</v>
      </c>
      <c r="CT411" t="s">
        <v>430</v>
      </c>
      <c r="CU411" t="s">
        <v>2846</v>
      </c>
      <c r="CV411" t="s">
        <v>2847</v>
      </c>
      <c r="CW411" t="s">
        <v>2845</v>
      </c>
      <c r="CX411" t="s">
        <v>2848</v>
      </c>
      <c r="CY411" t="s">
        <v>4031</v>
      </c>
    </row>
    <row r="412" spans="1:103" ht="11.25" customHeight="1">
      <c r="A412" t="s">
        <v>243</v>
      </c>
      <c r="B412" t="s">
        <v>243</v>
      </c>
      <c r="C412" t="s">
        <v>243</v>
      </c>
      <c r="D412" t="s">
        <v>243</v>
      </c>
      <c r="E412" t="s">
        <v>243</v>
      </c>
      <c r="F412" t="s">
        <v>2816</v>
      </c>
      <c r="G412" t="s">
        <v>243</v>
      </c>
      <c r="H412" t="s">
        <v>243</v>
      </c>
      <c r="I412" t="s">
        <v>443</v>
      </c>
      <c r="J412" t="s">
        <v>243</v>
      </c>
      <c r="K412" t="s">
        <v>461</v>
      </c>
      <c r="L412" t="s">
        <v>243</v>
      </c>
      <c r="M412" t="s">
        <v>114</v>
      </c>
      <c r="N412" t="s">
        <v>243</v>
      </c>
      <c r="O412" t="s">
        <v>2819</v>
      </c>
      <c r="P412" t="s">
        <v>4448</v>
      </c>
      <c r="Q412" t="s">
        <v>2821</v>
      </c>
      <c r="R412" t="s">
        <v>200</v>
      </c>
      <c r="S412" t="s">
        <v>200</v>
      </c>
      <c r="T412" t="s">
        <v>2875</v>
      </c>
      <c r="U412" t="s">
        <v>2875</v>
      </c>
      <c r="V412" t="s">
        <v>2876</v>
      </c>
      <c r="W412" t="s">
        <v>2877</v>
      </c>
      <c r="X412" t="s">
        <v>2878</v>
      </c>
      <c r="Y412" t="s">
        <v>4139</v>
      </c>
      <c r="Z412" t="s">
        <v>3202</v>
      </c>
      <c r="AA412" t="s">
        <v>2942</v>
      </c>
      <c r="AB412" t="s">
        <v>4140</v>
      </c>
      <c r="AC412" t="s">
        <v>2829</v>
      </c>
      <c r="AD412" t="s">
        <v>2883</v>
      </c>
      <c r="AE412" t="s">
        <v>2884</v>
      </c>
      <c r="AF412" t="s">
        <v>4141</v>
      </c>
      <c r="AG412" t="s">
        <v>4142</v>
      </c>
      <c r="AH412" t="s">
        <v>2834</v>
      </c>
      <c r="AI412" t="s">
        <v>2887</v>
      </c>
      <c r="AJ412" t="s">
        <v>2888</v>
      </c>
      <c r="AK412" t="s">
        <v>4143</v>
      </c>
      <c r="AL412" t="s">
        <v>2942</v>
      </c>
      <c r="AM412" t="s">
        <v>4140</v>
      </c>
      <c r="AN412" t="s">
        <v>2829</v>
      </c>
      <c r="AO412" t="s">
        <v>2839</v>
      </c>
      <c r="AP412" t="s">
        <v>2840</v>
      </c>
      <c r="AQ412" t="s">
        <v>2841</v>
      </c>
      <c r="AR412" t="s">
        <v>4144</v>
      </c>
      <c r="AS412" t="s">
        <v>4145</v>
      </c>
      <c r="AT412" t="s">
        <v>4146</v>
      </c>
      <c r="AU412" t="s">
        <v>4147</v>
      </c>
      <c r="AV412" t="s">
        <v>2829</v>
      </c>
      <c r="AW412" t="s">
        <v>2829</v>
      </c>
      <c r="AX412" t="s">
        <v>2829</v>
      </c>
      <c r="AY412" t="s">
        <v>2829</v>
      </c>
      <c r="AZ412" t="s">
        <v>2829</v>
      </c>
      <c r="BA412" t="s">
        <v>2829</v>
      </c>
      <c r="BB412" t="s">
        <v>2829</v>
      </c>
      <c r="BC412" t="s">
        <v>2829</v>
      </c>
      <c r="BD412" t="s">
        <v>4148</v>
      </c>
      <c r="BE412" t="s">
        <v>3313</v>
      </c>
      <c r="BF412" t="s">
        <v>4149</v>
      </c>
      <c r="BG412" t="s">
        <v>4150</v>
      </c>
      <c r="BH412" t="s">
        <v>243</v>
      </c>
      <c r="BI412" t="s">
        <v>243</v>
      </c>
      <c r="BJ412" t="s">
        <v>2829</v>
      </c>
      <c r="BK412" t="s">
        <v>243</v>
      </c>
      <c r="BL412" t="s">
        <v>243</v>
      </c>
      <c r="BM412" t="s">
        <v>243</v>
      </c>
      <c r="BN412" t="s">
        <v>243</v>
      </c>
      <c r="BO412" t="s">
        <v>243</v>
      </c>
      <c r="BP412" t="s">
        <v>4151</v>
      </c>
      <c r="BQ412" t="s">
        <v>4152</v>
      </c>
      <c r="BR412" t="s">
        <v>4153</v>
      </c>
      <c r="BS412" t="s">
        <v>3073</v>
      </c>
      <c r="BT412" t="s">
        <v>243</v>
      </c>
      <c r="BU412" t="s">
        <v>243</v>
      </c>
      <c r="BV412" t="s">
        <v>2829</v>
      </c>
      <c r="BW412" t="s">
        <v>243</v>
      </c>
      <c r="BX412" t="s">
        <v>243</v>
      </c>
      <c r="BY412" t="s">
        <v>243</v>
      </c>
      <c r="BZ412" t="s">
        <v>243</v>
      </c>
      <c r="CA412" t="s">
        <v>243</v>
      </c>
      <c r="CB412" t="s">
        <v>2829</v>
      </c>
      <c r="CC412" t="s">
        <v>243</v>
      </c>
      <c r="CD412" t="s">
        <v>243</v>
      </c>
      <c r="CE412" t="s">
        <v>243</v>
      </c>
      <c r="CF412" t="s">
        <v>243</v>
      </c>
      <c r="CG412" t="s">
        <v>243</v>
      </c>
      <c r="CH412" t="s">
        <v>2829</v>
      </c>
      <c r="CI412" t="s">
        <v>243</v>
      </c>
      <c r="CJ412" t="s">
        <v>243</v>
      </c>
      <c r="CK412" t="s">
        <v>243</v>
      </c>
      <c r="CL412" t="s">
        <v>243</v>
      </c>
      <c r="CM412" t="s">
        <v>243</v>
      </c>
      <c r="CN412" t="s">
        <v>2888</v>
      </c>
      <c r="CO412" t="s">
        <v>2843</v>
      </c>
      <c r="CP412" t="s">
        <v>2844</v>
      </c>
      <c r="CQ412" t="s">
        <v>430</v>
      </c>
      <c r="CR412" t="s">
        <v>2899</v>
      </c>
      <c r="CS412" t="s">
        <v>431</v>
      </c>
      <c r="CT412" t="s">
        <v>430</v>
      </c>
      <c r="CU412" t="s">
        <v>2846</v>
      </c>
      <c r="CV412" t="s">
        <v>2900</v>
      </c>
      <c r="CW412" t="s">
        <v>2899</v>
      </c>
      <c r="CX412" t="s">
        <v>2848</v>
      </c>
      <c r="CY412" t="s">
        <v>4154</v>
      </c>
    </row>
    <row r="413" spans="1:103" ht="11.25" customHeight="1">
      <c r="A413" t="s">
        <v>243</v>
      </c>
      <c r="B413" t="s">
        <v>243</v>
      </c>
      <c r="C413" t="s">
        <v>243</v>
      </c>
      <c r="D413" t="s">
        <v>243</v>
      </c>
      <c r="E413" t="s">
        <v>243</v>
      </c>
      <c r="F413" t="s">
        <v>2816</v>
      </c>
      <c r="G413" t="s">
        <v>243</v>
      </c>
      <c r="H413" t="s">
        <v>243</v>
      </c>
      <c r="I413" t="s">
        <v>2926</v>
      </c>
      <c r="J413" t="s">
        <v>243</v>
      </c>
      <c r="K413" t="s">
        <v>2818</v>
      </c>
      <c r="L413" t="s">
        <v>243</v>
      </c>
      <c r="M413" t="s">
        <v>114</v>
      </c>
      <c r="N413" t="s">
        <v>243</v>
      </c>
      <c r="O413" t="s">
        <v>2819</v>
      </c>
      <c r="P413" t="s">
        <v>4448</v>
      </c>
      <c r="Q413" t="s">
        <v>2821</v>
      </c>
      <c r="R413" t="s">
        <v>200</v>
      </c>
      <c r="S413" t="s">
        <v>200</v>
      </c>
      <c r="T413" t="s">
        <v>2822</v>
      </c>
      <c r="U413" t="s">
        <v>2822</v>
      </c>
      <c r="V413" t="s">
        <v>2823</v>
      </c>
      <c r="W413" t="s">
        <v>2927</v>
      </c>
      <c r="X413" t="s">
        <v>2928</v>
      </c>
      <c r="Y413" t="s">
        <v>2929</v>
      </c>
      <c r="Z413" t="s">
        <v>2930</v>
      </c>
      <c r="AA413" t="s">
        <v>2865</v>
      </c>
      <c r="AB413" t="s">
        <v>2838</v>
      </c>
      <c r="AC413" t="s">
        <v>2829</v>
      </c>
      <c r="AD413" t="s">
        <v>2830</v>
      </c>
      <c r="AE413" t="s">
        <v>2857</v>
      </c>
      <c r="AF413" t="s">
        <v>2867</v>
      </c>
      <c r="AG413" t="s">
        <v>2867</v>
      </c>
      <c r="AH413" t="s">
        <v>2834</v>
      </c>
      <c r="AI413" t="s">
        <v>2835</v>
      </c>
      <c r="AJ413" t="s">
        <v>2829</v>
      </c>
      <c r="AK413" t="s">
        <v>2922</v>
      </c>
      <c r="AL413" t="s">
        <v>2865</v>
      </c>
      <c r="AM413" t="s">
        <v>2838</v>
      </c>
      <c r="AN413" t="s">
        <v>2829</v>
      </c>
      <c r="AO413" t="s">
        <v>2839</v>
      </c>
      <c r="AP413" t="s">
        <v>2840</v>
      </c>
      <c r="AQ413" t="s">
        <v>2841</v>
      </c>
      <c r="AR413" t="s">
        <v>2923</v>
      </c>
      <c r="AS413" t="s">
        <v>2923</v>
      </c>
      <c r="AT413" t="s">
        <v>2829</v>
      </c>
      <c r="AU413" t="s">
        <v>2829</v>
      </c>
      <c r="AV413" t="s">
        <v>2829</v>
      </c>
      <c r="AW413" t="s">
        <v>2829</v>
      </c>
      <c r="AX413" t="s">
        <v>2829</v>
      </c>
      <c r="AY413" t="s">
        <v>2829</v>
      </c>
      <c r="AZ413" t="s">
        <v>2829</v>
      </c>
      <c r="BA413" t="s">
        <v>2829</v>
      </c>
      <c r="BB413" t="s">
        <v>2829</v>
      </c>
      <c r="BC413" t="s">
        <v>2829</v>
      </c>
      <c r="BD413" t="s">
        <v>2923</v>
      </c>
      <c r="BE413" t="s">
        <v>2923</v>
      </c>
      <c r="BF413" t="s">
        <v>243</v>
      </c>
      <c r="BG413" t="s">
        <v>243</v>
      </c>
      <c r="BH413" t="s">
        <v>243</v>
      </c>
      <c r="BI413" t="s">
        <v>243</v>
      </c>
      <c r="BJ413" t="s">
        <v>2829</v>
      </c>
      <c r="BK413" t="s">
        <v>243</v>
      </c>
      <c r="BL413" t="s">
        <v>243</v>
      </c>
      <c r="BM413" t="s">
        <v>243</v>
      </c>
      <c r="BN413" t="s">
        <v>243</v>
      </c>
      <c r="BO413" t="s">
        <v>243</v>
      </c>
      <c r="BP413" t="s">
        <v>2829</v>
      </c>
      <c r="BQ413" t="s">
        <v>243</v>
      </c>
      <c r="BR413" t="s">
        <v>243</v>
      </c>
      <c r="BS413" t="s">
        <v>243</v>
      </c>
      <c r="BT413" t="s">
        <v>243</v>
      </c>
      <c r="BU413" t="s">
        <v>243</v>
      </c>
      <c r="BV413" t="s">
        <v>2829</v>
      </c>
      <c r="BW413" t="s">
        <v>243</v>
      </c>
      <c r="BX413" t="s">
        <v>243</v>
      </c>
      <c r="BY413" t="s">
        <v>243</v>
      </c>
      <c r="BZ413" t="s">
        <v>243</v>
      </c>
      <c r="CA413" t="s">
        <v>243</v>
      </c>
      <c r="CB413" t="s">
        <v>2829</v>
      </c>
      <c r="CC413" t="s">
        <v>243</v>
      </c>
      <c r="CD413" t="s">
        <v>243</v>
      </c>
      <c r="CE413" t="s">
        <v>243</v>
      </c>
      <c r="CF413" t="s">
        <v>243</v>
      </c>
      <c r="CG413" t="s">
        <v>243</v>
      </c>
      <c r="CH413" t="s">
        <v>2829</v>
      </c>
      <c r="CI413" t="s">
        <v>243</v>
      </c>
      <c r="CJ413" t="s">
        <v>243</v>
      </c>
      <c r="CK413" t="s">
        <v>243</v>
      </c>
      <c r="CL413" t="s">
        <v>243</v>
      </c>
      <c r="CM413" t="s">
        <v>243</v>
      </c>
      <c r="CN413" t="s">
        <v>2829</v>
      </c>
      <c r="CO413" t="s">
        <v>2924</v>
      </c>
      <c r="CP413" t="s">
        <v>2844</v>
      </c>
      <c r="CQ413" t="s">
        <v>430</v>
      </c>
      <c r="CR413" t="s">
        <v>2872</v>
      </c>
      <c r="CS413" t="s">
        <v>431</v>
      </c>
      <c r="CT413" t="s">
        <v>430</v>
      </c>
      <c r="CU413" t="s">
        <v>2846</v>
      </c>
      <c r="CV413" t="s">
        <v>2873</v>
      </c>
      <c r="CW413" t="s">
        <v>2872</v>
      </c>
      <c r="CX413" t="s">
        <v>2848</v>
      </c>
      <c r="CY413" t="s">
        <v>2931</v>
      </c>
    </row>
    <row r="414" spans="1:103" ht="11.25" customHeight="1">
      <c r="A414" t="s">
        <v>243</v>
      </c>
      <c r="B414" t="s">
        <v>243</v>
      </c>
      <c r="C414" t="s">
        <v>243</v>
      </c>
      <c r="D414" t="s">
        <v>243</v>
      </c>
      <c r="E414" t="s">
        <v>243</v>
      </c>
      <c r="F414" t="s">
        <v>2816</v>
      </c>
      <c r="G414" t="s">
        <v>243</v>
      </c>
      <c r="H414" t="s">
        <v>243</v>
      </c>
      <c r="I414" t="s">
        <v>3420</v>
      </c>
      <c r="J414" t="s">
        <v>243</v>
      </c>
      <c r="K414" t="s">
        <v>452</v>
      </c>
      <c r="L414" t="s">
        <v>243</v>
      </c>
      <c r="M414" t="s">
        <v>114</v>
      </c>
      <c r="N414" t="s">
        <v>243</v>
      </c>
      <c r="O414" t="s">
        <v>2819</v>
      </c>
      <c r="P414" t="s">
        <v>4448</v>
      </c>
      <c r="Q414" t="s">
        <v>2821</v>
      </c>
      <c r="R414" t="s">
        <v>200</v>
      </c>
      <c r="S414" t="s">
        <v>200</v>
      </c>
      <c r="T414" t="s">
        <v>2968</v>
      </c>
      <c r="U414" t="s">
        <v>2968</v>
      </c>
      <c r="V414" t="s">
        <v>2969</v>
      </c>
      <c r="W414" t="s">
        <v>2970</v>
      </c>
      <c r="X414" t="s">
        <v>2971</v>
      </c>
      <c r="Y414" t="s">
        <v>3104</v>
      </c>
      <c r="Z414" t="s">
        <v>3421</v>
      </c>
      <c r="AA414" t="s">
        <v>3422</v>
      </c>
      <c r="AB414" t="s">
        <v>3423</v>
      </c>
      <c r="AC414" t="s">
        <v>2829</v>
      </c>
      <c r="AD414" t="s">
        <v>2883</v>
      </c>
      <c r="AE414" t="s">
        <v>2975</v>
      </c>
      <c r="AF414" t="s">
        <v>3424</v>
      </c>
      <c r="AG414" t="s">
        <v>3424</v>
      </c>
      <c r="AH414" t="s">
        <v>2834</v>
      </c>
      <c r="AI414" t="s">
        <v>2835</v>
      </c>
      <c r="AJ414" t="s">
        <v>2888</v>
      </c>
      <c r="AK414" t="s">
        <v>3425</v>
      </c>
      <c r="AL414" t="s">
        <v>3422</v>
      </c>
      <c r="AM414" t="s">
        <v>3175</v>
      </c>
      <c r="AN414" t="s">
        <v>2829</v>
      </c>
      <c r="AO414" t="s">
        <v>2839</v>
      </c>
      <c r="AP414" t="s">
        <v>2840</v>
      </c>
      <c r="AQ414" t="s">
        <v>2841</v>
      </c>
      <c r="AR414" t="s">
        <v>3426</v>
      </c>
      <c r="AS414" t="s">
        <v>3426</v>
      </c>
      <c r="AT414" t="s">
        <v>2829</v>
      </c>
      <c r="AU414" t="s">
        <v>2829</v>
      </c>
      <c r="AV414" t="s">
        <v>2829</v>
      </c>
      <c r="AW414" t="s">
        <v>2829</v>
      </c>
      <c r="AX414" t="s">
        <v>2829</v>
      </c>
      <c r="AY414" t="s">
        <v>2829</v>
      </c>
      <c r="AZ414" t="s">
        <v>2829</v>
      </c>
      <c r="BA414" t="s">
        <v>2829</v>
      </c>
      <c r="BB414" t="s">
        <v>2829</v>
      </c>
      <c r="BC414" t="s">
        <v>2829</v>
      </c>
      <c r="BD414" t="s">
        <v>3427</v>
      </c>
      <c r="BE414" t="s">
        <v>3427</v>
      </c>
      <c r="BF414" t="s">
        <v>243</v>
      </c>
      <c r="BG414" t="s">
        <v>243</v>
      </c>
      <c r="BH414" t="s">
        <v>243</v>
      </c>
      <c r="BI414" t="s">
        <v>243</v>
      </c>
      <c r="BJ414" t="s">
        <v>2829</v>
      </c>
      <c r="BK414" t="s">
        <v>243</v>
      </c>
      <c r="BL414" t="s">
        <v>243</v>
      </c>
      <c r="BM414" t="s">
        <v>243</v>
      </c>
      <c r="BN414" t="s">
        <v>243</v>
      </c>
      <c r="BO414" t="s">
        <v>243</v>
      </c>
      <c r="BP414" t="s">
        <v>3428</v>
      </c>
      <c r="BQ414" t="s">
        <v>3428</v>
      </c>
      <c r="BR414" t="s">
        <v>243</v>
      </c>
      <c r="BS414" t="s">
        <v>243</v>
      </c>
      <c r="BT414" t="s">
        <v>243</v>
      </c>
      <c r="BU414" t="s">
        <v>243</v>
      </c>
      <c r="BV414" t="s">
        <v>2829</v>
      </c>
      <c r="BW414" t="s">
        <v>243</v>
      </c>
      <c r="BX414" t="s">
        <v>243</v>
      </c>
      <c r="BY414" t="s">
        <v>243</v>
      </c>
      <c r="BZ414" t="s">
        <v>243</v>
      </c>
      <c r="CA414" t="s">
        <v>243</v>
      </c>
      <c r="CB414" t="s">
        <v>2829</v>
      </c>
      <c r="CC414" t="s">
        <v>243</v>
      </c>
      <c r="CD414" t="s">
        <v>243</v>
      </c>
      <c r="CE414" t="s">
        <v>243</v>
      </c>
      <c r="CF414" t="s">
        <v>243</v>
      </c>
      <c r="CG414" t="s">
        <v>243</v>
      </c>
      <c r="CH414" t="s">
        <v>2829</v>
      </c>
      <c r="CI414" t="s">
        <v>243</v>
      </c>
      <c r="CJ414" t="s">
        <v>243</v>
      </c>
      <c r="CK414" t="s">
        <v>243</v>
      </c>
      <c r="CL414" t="s">
        <v>243</v>
      </c>
      <c r="CM414" t="s">
        <v>243</v>
      </c>
      <c r="CN414" t="s">
        <v>2983</v>
      </c>
      <c r="CO414" t="s">
        <v>2843</v>
      </c>
      <c r="CP414" t="s">
        <v>2844</v>
      </c>
      <c r="CQ414" t="s">
        <v>430</v>
      </c>
      <c r="CR414" t="s">
        <v>2984</v>
      </c>
      <c r="CS414" t="s">
        <v>431</v>
      </c>
      <c r="CT414" t="s">
        <v>430</v>
      </c>
      <c r="CU414" t="s">
        <v>2985</v>
      </c>
      <c r="CV414" t="s">
        <v>2986</v>
      </c>
      <c r="CW414" t="s">
        <v>2984</v>
      </c>
      <c r="CX414" t="s">
        <v>2848</v>
      </c>
      <c r="CY414" t="s">
        <v>3429</v>
      </c>
    </row>
    <row r="415" spans="1:103" ht="11.25" customHeight="1">
      <c r="A415" t="s">
        <v>243</v>
      </c>
      <c r="B415" t="s">
        <v>243</v>
      </c>
      <c r="C415" t="s">
        <v>243</v>
      </c>
      <c r="D415" t="s">
        <v>243</v>
      </c>
      <c r="E415" t="s">
        <v>243</v>
      </c>
      <c r="F415" t="s">
        <v>2816</v>
      </c>
      <c r="G415" t="s">
        <v>243</v>
      </c>
      <c r="H415" t="s">
        <v>243</v>
      </c>
      <c r="I415" t="s">
        <v>3001</v>
      </c>
      <c r="J415" t="s">
        <v>243</v>
      </c>
      <c r="K415" t="s">
        <v>3002</v>
      </c>
      <c r="L415" t="s">
        <v>243</v>
      </c>
      <c r="M415" t="s">
        <v>114</v>
      </c>
      <c r="N415" t="s">
        <v>243</v>
      </c>
      <c r="O415" t="s">
        <v>2819</v>
      </c>
      <c r="P415" t="s">
        <v>4448</v>
      </c>
      <c r="Q415" t="s">
        <v>2821</v>
      </c>
      <c r="R415" t="s">
        <v>200</v>
      </c>
      <c r="S415" t="s">
        <v>200</v>
      </c>
      <c r="T415" t="s">
        <v>2968</v>
      </c>
      <c r="U415" t="s">
        <v>2968</v>
      </c>
      <c r="V415" t="s">
        <v>2969</v>
      </c>
      <c r="W415" t="s">
        <v>3003</v>
      </c>
      <c r="X415" t="s">
        <v>3004</v>
      </c>
      <c r="Y415" t="s">
        <v>2918</v>
      </c>
      <c r="Z415" t="s">
        <v>2972</v>
      </c>
      <c r="AA415" t="s">
        <v>3005</v>
      </c>
      <c r="AB415" t="s">
        <v>3006</v>
      </c>
      <c r="AC415" t="s">
        <v>2829</v>
      </c>
      <c r="AD415" t="s">
        <v>2883</v>
      </c>
      <c r="AE415" t="s">
        <v>2975</v>
      </c>
      <c r="AF415" t="s">
        <v>3007</v>
      </c>
      <c r="AG415" t="s">
        <v>3007</v>
      </c>
      <c r="AH415" t="s">
        <v>2834</v>
      </c>
      <c r="AI415" t="s">
        <v>2835</v>
      </c>
      <c r="AJ415" t="s">
        <v>3008</v>
      </c>
      <c r="AK415" t="s">
        <v>3009</v>
      </c>
      <c r="AL415" t="s">
        <v>3005</v>
      </c>
      <c r="AM415" t="s">
        <v>3006</v>
      </c>
      <c r="AN415" t="s">
        <v>2829</v>
      </c>
      <c r="AO415" t="s">
        <v>2839</v>
      </c>
      <c r="AP415" t="s">
        <v>2840</v>
      </c>
      <c r="AQ415" t="s">
        <v>2841</v>
      </c>
      <c r="AR415" t="s">
        <v>2842</v>
      </c>
      <c r="AS415" t="s">
        <v>2842</v>
      </c>
      <c r="AT415" t="s">
        <v>2829</v>
      </c>
      <c r="AU415" t="s">
        <v>2829</v>
      </c>
      <c r="AV415" t="s">
        <v>2829</v>
      </c>
      <c r="AW415" t="s">
        <v>2829</v>
      </c>
      <c r="AX415" t="s">
        <v>2829</v>
      </c>
      <c r="AY415" t="s">
        <v>2829</v>
      </c>
      <c r="AZ415" t="s">
        <v>2829</v>
      </c>
      <c r="BA415" t="s">
        <v>2829</v>
      </c>
      <c r="BB415" t="s">
        <v>2829</v>
      </c>
      <c r="BC415" t="s">
        <v>2829</v>
      </c>
      <c r="BD415" t="s">
        <v>2829</v>
      </c>
      <c r="BE415" t="s">
        <v>243</v>
      </c>
      <c r="BF415" t="s">
        <v>243</v>
      </c>
      <c r="BG415" t="s">
        <v>243</v>
      </c>
      <c r="BH415" t="s">
        <v>243</v>
      </c>
      <c r="BI415" t="s">
        <v>243</v>
      </c>
      <c r="BJ415" t="s">
        <v>2829</v>
      </c>
      <c r="BK415" t="s">
        <v>243</v>
      </c>
      <c r="BL415" t="s">
        <v>243</v>
      </c>
      <c r="BM415" t="s">
        <v>243</v>
      </c>
      <c r="BN415" t="s">
        <v>243</v>
      </c>
      <c r="BO415" t="s">
        <v>243</v>
      </c>
      <c r="BP415" t="s">
        <v>2842</v>
      </c>
      <c r="BQ415" t="s">
        <v>2842</v>
      </c>
      <c r="BR415" t="s">
        <v>243</v>
      </c>
      <c r="BS415" t="s">
        <v>243</v>
      </c>
      <c r="BT415" t="s">
        <v>243</v>
      </c>
      <c r="BU415" t="s">
        <v>243</v>
      </c>
      <c r="BV415" t="s">
        <v>2829</v>
      </c>
      <c r="BW415" t="s">
        <v>243</v>
      </c>
      <c r="BX415" t="s">
        <v>243</v>
      </c>
      <c r="BY415" t="s">
        <v>243</v>
      </c>
      <c r="BZ415" t="s">
        <v>243</v>
      </c>
      <c r="CA415" t="s">
        <v>243</v>
      </c>
      <c r="CB415" t="s">
        <v>2829</v>
      </c>
      <c r="CC415" t="s">
        <v>243</v>
      </c>
      <c r="CD415" t="s">
        <v>243</v>
      </c>
      <c r="CE415" t="s">
        <v>243</v>
      </c>
      <c r="CF415" t="s">
        <v>243</v>
      </c>
      <c r="CG415" t="s">
        <v>243</v>
      </c>
      <c r="CH415" t="s">
        <v>2829</v>
      </c>
      <c r="CI415" t="s">
        <v>243</v>
      </c>
      <c r="CJ415" t="s">
        <v>243</v>
      </c>
      <c r="CK415" t="s">
        <v>243</v>
      </c>
      <c r="CL415" t="s">
        <v>243</v>
      </c>
      <c r="CM415" t="s">
        <v>243</v>
      </c>
      <c r="CN415" t="s">
        <v>3010</v>
      </c>
      <c r="CO415" t="s">
        <v>2843</v>
      </c>
      <c r="CP415" t="s">
        <v>2844</v>
      </c>
      <c r="CQ415" t="s">
        <v>430</v>
      </c>
      <c r="CR415" t="s">
        <v>2984</v>
      </c>
      <c r="CS415" t="s">
        <v>431</v>
      </c>
      <c r="CT415" t="s">
        <v>430</v>
      </c>
      <c r="CU415" t="s">
        <v>2985</v>
      </c>
      <c r="CV415" t="s">
        <v>2986</v>
      </c>
      <c r="CW415" t="s">
        <v>2984</v>
      </c>
      <c r="CX415" t="s">
        <v>2848</v>
      </c>
      <c r="CY415" t="s">
        <v>3011</v>
      </c>
    </row>
    <row r="416" spans="1:103" ht="11.25" customHeight="1">
      <c r="A416" t="s">
        <v>243</v>
      </c>
      <c r="B416" t="s">
        <v>243</v>
      </c>
      <c r="C416" t="s">
        <v>243</v>
      </c>
      <c r="D416" t="s">
        <v>243</v>
      </c>
      <c r="E416" t="s">
        <v>243</v>
      </c>
      <c r="F416" t="s">
        <v>2816</v>
      </c>
      <c r="G416" t="s">
        <v>243</v>
      </c>
      <c r="H416" t="s">
        <v>243</v>
      </c>
      <c r="I416" t="s">
        <v>3012</v>
      </c>
      <c r="J416" t="s">
        <v>243</v>
      </c>
      <c r="K416" t="s">
        <v>3013</v>
      </c>
      <c r="L416" t="s">
        <v>243</v>
      </c>
      <c r="M416" t="s">
        <v>114</v>
      </c>
      <c r="N416" t="s">
        <v>243</v>
      </c>
      <c r="O416" t="s">
        <v>2819</v>
      </c>
      <c r="P416" t="s">
        <v>4448</v>
      </c>
      <c r="Q416" t="s">
        <v>2821</v>
      </c>
      <c r="R416" t="s">
        <v>200</v>
      </c>
      <c r="S416" t="s">
        <v>200</v>
      </c>
      <c r="T416" t="s">
        <v>2968</v>
      </c>
      <c r="U416" t="s">
        <v>2968</v>
      </c>
      <c r="V416" t="s">
        <v>2969</v>
      </c>
      <c r="W416" t="s">
        <v>3003</v>
      </c>
      <c r="X416" t="s">
        <v>3004</v>
      </c>
      <c r="Y416" t="s">
        <v>3014</v>
      </c>
      <c r="Z416" t="s">
        <v>3015</v>
      </c>
      <c r="AA416" t="s">
        <v>3005</v>
      </c>
      <c r="AB416" t="s">
        <v>3016</v>
      </c>
      <c r="AC416" t="s">
        <v>2829</v>
      </c>
      <c r="AD416" t="s">
        <v>2883</v>
      </c>
      <c r="AE416" t="s">
        <v>2975</v>
      </c>
      <c r="AF416" t="s">
        <v>3017</v>
      </c>
      <c r="AG416" t="s">
        <v>3017</v>
      </c>
      <c r="AH416" t="s">
        <v>2834</v>
      </c>
      <c r="AI416" t="s">
        <v>2835</v>
      </c>
      <c r="AJ416" t="s">
        <v>3008</v>
      </c>
      <c r="AK416" t="s">
        <v>3018</v>
      </c>
      <c r="AL416" t="s">
        <v>3005</v>
      </c>
      <c r="AM416" t="s">
        <v>3016</v>
      </c>
      <c r="AN416" t="s">
        <v>2829</v>
      </c>
      <c r="AO416" t="s">
        <v>2839</v>
      </c>
      <c r="AP416" t="s">
        <v>2840</v>
      </c>
      <c r="AQ416" t="s">
        <v>2841</v>
      </c>
      <c r="AR416" t="s">
        <v>2842</v>
      </c>
      <c r="AS416" t="s">
        <v>2842</v>
      </c>
      <c r="AT416" t="s">
        <v>2829</v>
      </c>
      <c r="AU416" t="s">
        <v>2829</v>
      </c>
      <c r="AV416" t="s">
        <v>2829</v>
      </c>
      <c r="AW416" t="s">
        <v>2829</v>
      </c>
      <c r="AX416" t="s">
        <v>2829</v>
      </c>
      <c r="AY416" t="s">
        <v>2829</v>
      </c>
      <c r="AZ416" t="s">
        <v>2829</v>
      </c>
      <c r="BA416" t="s">
        <v>2829</v>
      </c>
      <c r="BB416" t="s">
        <v>2829</v>
      </c>
      <c r="BC416" t="s">
        <v>2829</v>
      </c>
      <c r="BD416" t="s">
        <v>2829</v>
      </c>
      <c r="BE416" t="s">
        <v>243</v>
      </c>
      <c r="BF416" t="s">
        <v>243</v>
      </c>
      <c r="BG416" t="s">
        <v>243</v>
      </c>
      <c r="BH416" t="s">
        <v>243</v>
      </c>
      <c r="BI416" t="s">
        <v>243</v>
      </c>
      <c r="BJ416" t="s">
        <v>2829</v>
      </c>
      <c r="BK416" t="s">
        <v>243</v>
      </c>
      <c r="BL416" t="s">
        <v>243</v>
      </c>
      <c r="BM416" t="s">
        <v>243</v>
      </c>
      <c r="BN416" t="s">
        <v>243</v>
      </c>
      <c r="BO416" t="s">
        <v>243</v>
      </c>
      <c r="BP416" t="s">
        <v>2842</v>
      </c>
      <c r="BQ416" t="s">
        <v>2842</v>
      </c>
      <c r="BR416" t="s">
        <v>243</v>
      </c>
      <c r="BS416" t="s">
        <v>243</v>
      </c>
      <c r="BT416" t="s">
        <v>243</v>
      </c>
      <c r="BU416" t="s">
        <v>243</v>
      </c>
      <c r="BV416" t="s">
        <v>2829</v>
      </c>
      <c r="BW416" t="s">
        <v>243</v>
      </c>
      <c r="BX416" t="s">
        <v>243</v>
      </c>
      <c r="BY416" t="s">
        <v>243</v>
      </c>
      <c r="BZ416" t="s">
        <v>243</v>
      </c>
      <c r="CA416" t="s">
        <v>243</v>
      </c>
      <c r="CB416" t="s">
        <v>2829</v>
      </c>
      <c r="CC416" t="s">
        <v>243</v>
      </c>
      <c r="CD416" t="s">
        <v>243</v>
      </c>
      <c r="CE416" t="s">
        <v>243</v>
      </c>
      <c r="CF416" t="s">
        <v>243</v>
      </c>
      <c r="CG416" t="s">
        <v>243</v>
      </c>
      <c r="CH416" t="s">
        <v>2829</v>
      </c>
      <c r="CI416" t="s">
        <v>243</v>
      </c>
      <c r="CJ416" t="s">
        <v>243</v>
      </c>
      <c r="CK416" t="s">
        <v>243</v>
      </c>
      <c r="CL416" t="s">
        <v>243</v>
      </c>
      <c r="CM416" t="s">
        <v>243</v>
      </c>
      <c r="CN416" t="s">
        <v>3010</v>
      </c>
      <c r="CO416" t="s">
        <v>2843</v>
      </c>
      <c r="CP416" t="s">
        <v>2844</v>
      </c>
      <c r="CQ416" t="s">
        <v>430</v>
      </c>
      <c r="CR416" t="s">
        <v>2984</v>
      </c>
      <c r="CS416" t="s">
        <v>431</v>
      </c>
      <c r="CT416" t="s">
        <v>430</v>
      </c>
      <c r="CU416" t="s">
        <v>2985</v>
      </c>
      <c r="CV416" t="s">
        <v>2986</v>
      </c>
      <c r="CW416" t="s">
        <v>2984</v>
      </c>
      <c r="CX416" t="s">
        <v>2848</v>
      </c>
      <c r="CY416" t="s">
        <v>3019</v>
      </c>
    </row>
    <row r="417" spans="1:103" ht="11.25" customHeight="1">
      <c r="A417" t="s">
        <v>243</v>
      </c>
      <c r="B417" t="s">
        <v>243</v>
      </c>
      <c r="C417" t="s">
        <v>243</v>
      </c>
      <c r="D417" t="s">
        <v>243</v>
      </c>
      <c r="E417" t="s">
        <v>243</v>
      </c>
      <c r="F417" t="s">
        <v>2816</v>
      </c>
      <c r="G417" t="s">
        <v>243</v>
      </c>
      <c r="H417" t="s">
        <v>243</v>
      </c>
      <c r="I417" t="s">
        <v>4346</v>
      </c>
      <c r="J417" t="s">
        <v>243</v>
      </c>
      <c r="K417" t="s">
        <v>4347</v>
      </c>
      <c r="L417" t="s">
        <v>243</v>
      </c>
      <c r="M417" t="s">
        <v>114</v>
      </c>
      <c r="N417" t="s">
        <v>243</v>
      </c>
      <c r="O417" t="s">
        <v>2819</v>
      </c>
      <c r="P417" t="s">
        <v>4448</v>
      </c>
      <c r="Q417" t="s">
        <v>2821</v>
      </c>
      <c r="R417" t="s">
        <v>200</v>
      </c>
      <c r="S417" t="s">
        <v>200</v>
      </c>
      <c r="T417" t="s">
        <v>3022</v>
      </c>
      <c r="U417" t="s">
        <v>3022</v>
      </c>
      <c r="V417" t="s">
        <v>3023</v>
      </c>
      <c r="W417" t="s">
        <v>4348</v>
      </c>
      <c r="X417" t="s">
        <v>4349</v>
      </c>
      <c r="Y417" t="s">
        <v>3610</v>
      </c>
      <c r="Z417" t="s">
        <v>3202</v>
      </c>
      <c r="AA417" t="s">
        <v>4350</v>
      </c>
      <c r="AB417" t="s">
        <v>3117</v>
      </c>
      <c r="AC417" t="s">
        <v>2829</v>
      </c>
      <c r="AD417" t="s">
        <v>2883</v>
      </c>
      <c r="AE417" t="s">
        <v>2831</v>
      </c>
      <c r="AF417" t="s">
        <v>4351</v>
      </c>
      <c r="AG417" t="s">
        <v>4351</v>
      </c>
      <c r="AH417" t="s">
        <v>2834</v>
      </c>
      <c r="AI417" t="s">
        <v>2835</v>
      </c>
      <c r="AJ417" t="s">
        <v>3030</v>
      </c>
      <c r="AK417" t="s">
        <v>4352</v>
      </c>
      <c r="AL417" t="s">
        <v>4350</v>
      </c>
      <c r="AM417" t="s">
        <v>3117</v>
      </c>
      <c r="AN417" t="s">
        <v>2829</v>
      </c>
      <c r="AO417" t="s">
        <v>2839</v>
      </c>
      <c r="AP417" t="s">
        <v>2840</v>
      </c>
      <c r="AQ417" t="s">
        <v>2841</v>
      </c>
      <c r="AR417" t="s">
        <v>3111</v>
      </c>
      <c r="AS417" t="s">
        <v>3111</v>
      </c>
      <c r="AT417" t="s">
        <v>2829</v>
      </c>
      <c r="AU417" t="s">
        <v>2829</v>
      </c>
      <c r="AV417" t="s">
        <v>2829</v>
      </c>
      <c r="AW417" t="s">
        <v>2829</v>
      </c>
      <c r="AX417" t="s">
        <v>2829</v>
      </c>
      <c r="AY417" t="s">
        <v>2829</v>
      </c>
      <c r="AZ417" t="s">
        <v>2829</v>
      </c>
      <c r="BA417" t="s">
        <v>2829</v>
      </c>
      <c r="BB417" t="s">
        <v>2829</v>
      </c>
      <c r="BC417" t="s">
        <v>2829</v>
      </c>
      <c r="BD417" t="s">
        <v>2829</v>
      </c>
      <c r="BE417" t="s">
        <v>243</v>
      </c>
      <c r="BF417" t="s">
        <v>243</v>
      </c>
      <c r="BG417" t="s">
        <v>243</v>
      </c>
      <c r="BH417" t="s">
        <v>243</v>
      </c>
      <c r="BI417" t="s">
        <v>243</v>
      </c>
      <c r="BJ417" t="s">
        <v>2829</v>
      </c>
      <c r="BK417" t="s">
        <v>243</v>
      </c>
      <c r="BL417" t="s">
        <v>243</v>
      </c>
      <c r="BM417" t="s">
        <v>243</v>
      </c>
      <c r="BN417" t="s">
        <v>243</v>
      </c>
      <c r="BO417" t="s">
        <v>243</v>
      </c>
      <c r="BP417" t="s">
        <v>3111</v>
      </c>
      <c r="BQ417" t="s">
        <v>3111</v>
      </c>
      <c r="BR417" t="s">
        <v>243</v>
      </c>
      <c r="BS417" t="s">
        <v>243</v>
      </c>
      <c r="BT417" t="s">
        <v>243</v>
      </c>
      <c r="BU417" t="s">
        <v>243</v>
      </c>
      <c r="BV417" t="s">
        <v>2829</v>
      </c>
      <c r="BW417" t="s">
        <v>243</v>
      </c>
      <c r="BX417" t="s">
        <v>243</v>
      </c>
      <c r="BY417" t="s">
        <v>243</v>
      </c>
      <c r="BZ417" t="s">
        <v>243</v>
      </c>
      <c r="CA417" t="s">
        <v>243</v>
      </c>
      <c r="CB417" t="s">
        <v>2829</v>
      </c>
      <c r="CC417" t="s">
        <v>243</v>
      </c>
      <c r="CD417" t="s">
        <v>243</v>
      </c>
      <c r="CE417" t="s">
        <v>243</v>
      </c>
      <c r="CF417" t="s">
        <v>243</v>
      </c>
      <c r="CG417" t="s">
        <v>243</v>
      </c>
      <c r="CH417" t="s">
        <v>2829</v>
      </c>
      <c r="CI417" t="s">
        <v>243</v>
      </c>
      <c r="CJ417" t="s">
        <v>243</v>
      </c>
      <c r="CK417" t="s">
        <v>243</v>
      </c>
      <c r="CL417" t="s">
        <v>243</v>
      </c>
      <c r="CM417" t="s">
        <v>243</v>
      </c>
      <c r="CN417" t="s">
        <v>3044</v>
      </c>
      <c r="CO417" t="s">
        <v>2843</v>
      </c>
      <c r="CP417" t="s">
        <v>2844</v>
      </c>
      <c r="CQ417" t="s">
        <v>430</v>
      </c>
      <c r="CR417" t="s">
        <v>3033</v>
      </c>
      <c r="CS417" t="s">
        <v>431</v>
      </c>
      <c r="CT417" t="s">
        <v>430</v>
      </c>
      <c r="CU417" t="s">
        <v>3034</v>
      </c>
      <c r="CV417" t="s">
        <v>432</v>
      </c>
      <c r="CW417" t="s">
        <v>3033</v>
      </c>
      <c r="CX417" t="s">
        <v>2848</v>
      </c>
      <c r="CY417" t="s">
        <v>4353</v>
      </c>
    </row>
    <row r="418" spans="1:103" ht="11.25" customHeight="1">
      <c r="A418" t="s">
        <v>243</v>
      </c>
      <c r="B418" t="s">
        <v>243</v>
      </c>
      <c r="C418" t="s">
        <v>243</v>
      </c>
      <c r="D418" t="s">
        <v>243</v>
      </c>
      <c r="E418" t="s">
        <v>243</v>
      </c>
      <c r="F418" t="s">
        <v>2816</v>
      </c>
      <c r="G418" t="s">
        <v>243</v>
      </c>
      <c r="H418" t="s">
        <v>243</v>
      </c>
      <c r="I418" t="s">
        <v>3376</v>
      </c>
      <c r="J418" t="s">
        <v>243</v>
      </c>
      <c r="K418" t="s">
        <v>3377</v>
      </c>
      <c r="L418" t="s">
        <v>243</v>
      </c>
      <c r="M418" t="s">
        <v>114</v>
      </c>
      <c r="N418" t="s">
        <v>243</v>
      </c>
      <c r="O418" t="s">
        <v>2819</v>
      </c>
      <c r="P418" t="s">
        <v>4448</v>
      </c>
      <c r="Q418" t="s">
        <v>2821</v>
      </c>
      <c r="R418" t="s">
        <v>200</v>
      </c>
      <c r="S418" t="s">
        <v>200</v>
      </c>
      <c r="T418" t="s">
        <v>3022</v>
      </c>
      <c r="U418" t="s">
        <v>3022</v>
      </c>
      <c r="V418" t="s">
        <v>3023</v>
      </c>
      <c r="W418" t="s">
        <v>3378</v>
      </c>
      <c r="X418" t="s">
        <v>3379</v>
      </c>
      <c r="Y418" t="s">
        <v>3380</v>
      </c>
      <c r="Z418" t="s">
        <v>1815</v>
      </c>
      <c r="AA418" t="s">
        <v>3381</v>
      </c>
      <c r="AB418" t="s">
        <v>3382</v>
      </c>
      <c r="AC418" t="s">
        <v>2829</v>
      </c>
      <c r="AD418" t="s">
        <v>2883</v>
      </c>
      <c r="AE418" t="s">
        <v>2831</v>
      </c>
      <c r="AF418" t="s">
        <v>3383</v>
      </c>
      <c r="AG418" t="s">
        <v>3383</v>
      </c>
      <c r="AH418" t="s">
        <v>2834</v>
      </c>
      <c r="AI418" t="s">
        <v>2835</v>
      </c>
      <c r="AJ418" t="s">
        <v>3030</v>
      </c>
      <c r="AK418" t="s">
        <v>3384</v>
      </c>
      <c r="AL418" t="s">
        <v>3381</v>
      </c>
      <c r="AM418" t="s">
        <v>3382</v>
      </c>
      <c r="AN418" t="s">
        <v>2829</v>
      </c>
      <c r="AO418" t="s">
        <v>2839</v>
      </c>
      <c r="AP418" t="s">
        <v>2840</v>
      </c>
      <c r="AQ418" t="s">
        <v>2841</v>
      </c>
      <c r="AR418" t="s">
        <v>3385</v>
      </c>
      <c r="AS418" t="s">
        <v>3385</v>
      </c>
      <c r="AT418" t="s">
        <v>2829</v>
      </c>
      <c r="AU418" t="s">
        <v>2829</v>
      </c>
      <c r="AV418" t="s">
        <v>2829</v>
      </c>
      <c r="AW418" t="s">
        <v>2829</v>
      </c>
      <c r="AX418" t="s">
        <v>2829</v>
      </c>
      <c r="AY418" t="s">
        <v>2829</v>
      </c>
      <c r="AZ418" t="s">
        <v>2829</v>
      </c>
      <c r="BA418" t="s">
        <v>2829</v>
      </c>
      <c r="BB418" t="s">
        <v>2829</v>
      </c>
      <c r="BC418" t="s">
        <v>2829</v>
      </c>
      <c r="BD418" t="s">
        <v>2829</v>
      </c>
      <c r="BE418" t="s">
        <v>243</v>
      </c>
      <c r="BF418" t="s">
        <v>243</v>
      </c>
      <c r="BG418" t="s">
        <v>243</v>
      </c>
      <c r="BH418" t="s">
        <v>243</v>
      </c>
      <c r="BI418" t="s">
        <v>243</v>
      </c>
      <c r="BJ418" t="s">
        <v>2829</v>
      </c>
      <c r="BK418" t="s">
        <v>243</v>
      </c>
      <c r="BL418" t="s">
        <v>243</v>
      </c>
      <c r="BM418" t="s">
        <v>243</v>
      </c>
      <c r="BN418" t="s">
        <v>243</v>
      </c>
      <c r="BO418" t="s">
        <v>243</v>
      </c>
      <c r="BP418" t="s">
        <v>3385</v>
      </c>
      <c r="BQ418" t="s">
        <v>3385</v>
      </c>
      <c r="BR418" t="s">
        <v>243</v>
      </c>
      <c r="BS418" t="s">
        <v>243</v>
      </c>
      <c r="BT418" t="s">
        <v>243</v>
      </c>
      <c r="BU418" t="s">
        <v>243</v>
      </c>
      <c r="BV418" t="s">
        <v>2829</v>
      </c>
      <c r="BW418" t="s">
        <v>243</v>
      </c>
      <c r="BX418" t="s">
        <v>243</v>
      </c>
      <c r="BY418" t="s">
        <v>243</v>
      </c>
      <c r="BZ418" t="s">
        <v>243</v>
      </c>
      <c r="CA418" t="s">
        <v>243</v>
      </c>
      <c r="CB418" t="s">
        <v>2829</v>
      </c>
      <c r="CC418" t="s">
        <v>243</v>
      </c>
      <c r="CD418" t="s">
        <v>243</v>
      </c>
      <c r="CE418" t="s">
        <v>243</v>
      </c>
      <c r="CF418" t="s">
        <v>243</v>
      </c>
      <c r="CG418" t="s">
        <v>243</v>
      </c>
      <c r="CH418" t="s">
        <v>2829</v>
      </c>
      <c r="CI418" t="s">
        <v>243</v>
      </c>
      <c r="CJ418" t="s">
        <v>243</v>
      </c>
      <c r="CK418" t="s">
        <v>243</v>
      </c>
      <c r="CL418" t="s">
        <v>243</v>
      </c>
      <c r="CM418" t="s">
        <v>243</v>
      </c>
      <c r="CN418" t="s">
        <v>3030</v>
      </c>
      <c r="CO418" t="s">
        <v>2843</v>
      </c>
      <c r="CP418" t="s">
        <v>2844</v>
      </c>
      <c r="CQ418" t="s">
        <v>430</v>
      </c>
      <c r="CR418" t="s">
        <v>3033</v>
      </c>
      <c r="CS418" t="s">
        <v>431</v>
      </c>
      <c r="CT418" t="s">
        <v>430</v>
      </c>
      <c r="CU418" t="s">
        <v>3034</v>
      </c>
      <c r="CV418" t="s">
        <v>432</v>
      </c>
      <c r="CW418" t="s">
        <v>3033</v>
      </c>
      <c r="CX418" t="s">
        <v>2848</v>
      </c>
      <c r="CY418" t="s">
        <v>3386</v>
      </c>
    </row>
    <row r="419" spans="1:103" ht="11.25" customHeight="1">
      <c r="A419" t="s">
        <v>243</v>
      </c>
      <c r="B419" t="s">
        <v>243</v>
      </c>
      <c r="C419" t="s">
        <v>243</v>
      </c>
      <c r="D419" t="s">
        <v>243</v>
      </c>
      <c r="E419" t="s">
        <v>243</v>
      </c>
      <c r="F419" t="s">
        <v>2816</v>
      </c>
      <c r="G419" t="s">
        <v>243</v>
      </c>
      <c r="H419" t="s">
        <v>243</v>
      </c>
      <c r="I419" t="s">
        <v>3469</v>
      </c>
      <c r="J419" t="s">
        <v>243</v>
      </c>
      <c r="K419" t="s">
        <v>455</v>
      </c>
      <c r="L419" t="s">
        <v>243</v>
      </c>
      <c r="M419" t="s">
        <v>114</v>
      </c>
      <c r="N419" t="s">
        <v>243</v>
      </c>
      <c r="O419" t="s">
        <v>2819</v>
      </c>
      <c r="P419" t="s">
        <v>4448</v>
      </c>
      <c r="Q419" t="s">
        <v>2821</v>
      </c>
      <c r="R419" t="s">
        <v>200</v>
      </c>
      <c r="S419" t="s">
        <v>200</v>
      </c>
      <c r="T419" t="s">
        <v>405</v>
      </c>
      <c r="U419" t="s">
        <v>405</v>
      </c>
      <c r="V419" t="s">
        <v>406</v>
      </c>
      <c r="W419" t="s">
        <v>3155</v>
      </c>
      <c r="X419" t="s">
        <v>3156</v>
      </c>
      <c r="Y419" t="s">
        <v>3470</v>
      </c>
      <c r="Z419" t="s">
        <v>3471</v>
      </c>
      <c r="AA419" t="s">
        <v>2964</v>
      </c>
      <c r="AB419" t="s">
        <v>3229</v>
      </c>
      <c r="AC419" t="s">
        <v>243</v>
      </c>
      <c r="AD419" t="s">
        <v>2883</v>
      </c>
      <c r="AE419" t="s">
        <v>2831</v>
      </c>
      <c r="AF419" t="s">
        <v>3401</v>
      </c>
      <c r="AG419" t="s">
        <v>3401</v>
      </c>
      <c r="AH419" t="s">
        <v>2834</v>
      </c>
      <c r="AI419" t="s">
        <v>2835</v>
      </c>
      <c r="AJ419" t="s">
        <v>2888</v>
      </c>
      <c r="AK419" t="s">
        <v>3472</v>
      </c>
      <c r="AL419" t="s">
        <v>2964</v>
      </c>
      <c r="AM419" t="s">
        <v>3229</v>
      </c>
      <c r="AN419" t="s">
        <v>243</v>
      </c>
      <c r="AO419" t="s">
        <v>2839</v>
      </c>
      <c r="AP419" t="s">
        <v>2840</v>
      </c>
      <c r="AQ419" t="s">
        <v>2841</v>
      </c>
      <c r="AR419" t="s">
        <v>3473</v>
      </c>
      <c r="AS419" t="s">
        <v>3473</v>
      </c>
      <c r="AT419" t="s">
        <v>2829</v>
      </c>
      <c r="AU419" t="s">
        <v>2829</v>
      </c>
      <c r="AV419" t="s">
        <v>2829</v>
      </c>
      <c r="AW419" t="s">
        <v>2829</v>
      </c>
      <c r="AX419" t="s">
        <v>2829</v>
      </c>
      <c r="AY419" t="s">
        <v>2829</v>
      </c>
      <c r="AZ419" t="s">
        <v>2829</v>
      </c>
      <c r="BA419" t="s">
        <v>2829</v>
      </c>
      <c r="BB419" t="s">
        <v>2829</v>
      </c>
      <c r="BC419" t="s">
        <v>2829</v>
      </c>
      <c r="BD419" t="s">
        <v>3473</v>
      </c>
      <c r="BE419" t="s">
        <v>3473</v>
      </c>
      <c r="BF419" t="s">
        <v>243</v>
      </c>
      <c r="BG419" t="s">
        <v>243</v>
      </c>
      <c r="BH419" t="s">
        <v>243</v>
      </c>
      <c r="BI419" t="s">
        <v>243</v>
      </c>
      <c r="BJ419" t="s">
        <v>2829</v>
      </c>
      <c r="BK419" t="s">
        <v>243</v>
      </c>
      <c r="BL419" t="s">
        <v>243</v>
      </c>
      <c r="BM419" t="s">
        <v>243</v>
      </c>
      <c r="BN419" t="s">
        <v>243</v>
      </c>
      <c r="BO419" t="s">
        <v>243</v>
      </c>
      <c r="BP419" t="s">
        <v>2829</v>
      </c>
      <c r="BQ419" t="s">
        <v>243</v>
      </c>
      <c r="BR419" t="s">
        <v>243</v>
      </c>
      <c r="BS419" t="s">
        <v>243</v>
      </c>
      <c r="BT419" t="s">
        <v>243</v>
      </c>
      <c r="BU419" t="s">
        <v>243</v>
      </c>
      <c r="BV419" t="s">
        <v>2829</v>
      </c>
      <c r="BW419" t="s">
        <v>243</v>
      </c>
      <c r="BX419" t="s">
        <v>243</v>
      </c>
      <c r="BY419" t="s">
        <v>243</v>
      </c>
      <c r="BZ419" t="s">
        <v>243</v>
      </c>
      <c r="CA419" t="s">
        <v>243</v>
      </c>
      <c r="CB419" t="s">
        <v>2829</v>
      </c>
      <c r="CC419" t="s">
        <v>243</v>
      </c>
      <c r="CD419" t="s">
        <v>243</v>
      </c>
      <c r="CE419" t="s">
        <v>243</v>
      </c>
      <c r="CF419" t="s">
        <v>243</v>
      </c>
      <c r="CG419" t="s">
        <v>243</v>
      </c>
      <c r="CH419" t="s">
        <v>2829</v>
      </c>
      <c r="CI419" t="s">
        <v>243</v>
      </c>
      <c r="CJ419" t="s">
        <v>243</v>
      </c>
      <c r="CK419" t="s">
        <v>243</v>
      </c>
      <c r="CL419" t="s">
        <v>243</v>
      </c>
      <c r="CM419" t="s">
        <v>243</v>
      </c>
      <c r="CN419" t="s">
        <v>2888</v>
      </c>
      <c r="CO419" t="s">
        <v>2843</v>
      </c>
      <c r="CP419" t="s">
        <v>2844</v>
      </c>
      <c r="CQ419" t="s">
        <v>470</v>
      </c>
      <c r="CR419" t="s">
        <v>2872</v>
      </c>
      <c r="CS419" t="s">
        <v>431</v>
      </c>
      <c r="CT419" t="s">
        <v>470</v>
      </c>
      <c r="CU419" t="s">
        <v>444</v>
      </c>
      <c r="CV419" t="s">
        <v>445</v>
      </c>
      <c r="CW419" t="s">
        <v>2872</v>
      </c>
      <c r="CX419" t="s">
        <v>2848</v>
      </c>
      <c r="CY419" t="s">
        <v>456</v>
      </c>
    </row>
    <row r="420" spans="1:103" ht="11.25" customHeight="1">
      <c r="A420" t="s">
        <v>243</v>
      </c>
      <c r="B420" t="s">
        <v>243</v>
      </c>
      <c r="C420" t="s">
        <v>243</v>
      </c>
      <c r="D420" t="s">
        <v>243</v>
      </c>
      <c r="E420" t="s">
        <v>243</v>
      </c>
      <c r="F420" t="s">
        <v>2816</v>
      </c>
      <c r="G420" t="s">
        <v>243</v>
      </c>
      <c r="H420" t="s">
        <v>243</v>
      </c>
      <c r="I420" t="s">
        <v>3448</v>
      </c>
      <c r="J420" t="s">
        <v>243</v>
      </c>
      <c r="K420" t="s">
        <v>441</v>
      </c>
      <c r="L420" t="s">
        <v>243</v>
      </c>
      <c r="M420" t="s">
        <v>114</v>
      </c>
      <c r="N420" t="s">
        <v>243</v>
      </c>
      <c r="O420" t="s">
        <v>2819</v>
      </c>
      <c r="P420" t="s">
        <v>4448</v>
      </c>
      <c r="Q420" t="s">
        <v>2821</v>
      </c>
      <c r="R420" t="s">
        <v>200</v>
      </c>
      <c r="S420" t="s">
        <v>200</v>
      </c>
      <c r="T420" t="s">
        <v>405</v>
      </c>
      <c r="U420" t="s">
        <v>405</v>
      </c>
      <c r="V420" t="s">
        <v>406</v>
      </c>
      <c r="W420" t="s">
        <v>3155</v>
      </c>
      <c r="X420" t="s">
        <v>3156</v>
      </c>
      <c r="Y420" t="s">
        <v>3449</v>
      </c>
      <c r="Z420" t="s">
        <v>437</v>
      </c>
      <c r="AA420" t="s">
        <v>3094</v>
      </c>
      <c r="AB420" t="s">
        <v>3043</v>
      </c>
      <c r="AC420" t="s">
        <v>243</v>
      </c>
      <c r="AD420" t="s">
        <v>2883</v>
      </c>
      <c r="AE420" t="s">
        <v>2831</v>
      </c>
      <c r="AF420" t="s">
        <v>3401</v>
      </c>
      <c r="AG420" t="s">
        <v>3401</v>
      </c>
      <c r="AH420" t="s">
        <v>2834</v>
      </c>
      <c r="AI420" t="s">
        <v>2835</v>
      </c>
      <c r="AJ420" t="s">
        <v>2888</v>
      </c>
      <c r="AK420" t="s">
        <v>3450</v>
      </c>
      <c r="AL420" t="s">
        <v>3094</v>
      </c>
      <c r="AM420" t="s">
        <v>3043</v>
      </c>
      <c r="AN420" t="s">
        <v>243</v>
      </c>
      <c r="AO420" t="s">
        <v>2839</v>
      </c>
      <c r="AP420" t="s">
        <v>2840</v>
      </c>
      <c r="AQ420" t="s">
        <v>2841</v>
      </c>
      <c r="AR420" t="s">
        <v>3451</v>
      </c>
      <c r="AS420" t="s">
        <v>3451</v>
      </c>
      <c r="AT420" t="s">
        <v>2829</v>
      </c>
      <c r="AU420" t="s">
        <v>2829</v>
      </c>
      <c r="AV420" t="s">
        <v>2829</v>
      </c>
      <c r="AW420" t="s">
        <v>2829</v>
      </c>
      <c r="AX420" t="s">
        <v>2829</v>
      </c>
      <c r="AY420" t="s">
        <v>2829</v>
      </c>
      <c r="AZ420" t="s">
        <v>2829</v>
      </c>
      <c r="BA420" t="s">
        <v>2829</v>
      </c>
      <c r="BB420" t="s">
        <v>2829</v>
      </c>
      <c r="BC420" t="s">
        <v>2829</v>
      </c>
      <c r="BD420" t="s">
        <v>3451</v>
      </c>
      <c r="BE420" t="s">
        <v>3451</v>
      </c>
      <c r="BF420" t="s">
        <v>243</v>
      </c>
      <c r="BG420" t="s">
        <v>243</v>
      </c>
      <c r="BH420" t="s">
        <v>243</v>
      </c>
      <c r="BI420" t="s">
        <v>243</v>
      </c>
      <c r="BJ420" t="s">
        <v>2829</v>
      </c>
      <c r="BK420" t="s">
        <v>243</v>
      </c>
      <c r="BL420" t="s">
        <v>243</v>
      </c>
      <c r="BM420" t="s">
        <v>243</v>
      </c>
      <c r="BN420" t="s">
        <v>243</v>
      </c>
      <c r="BO420" t="s">
        <v>243</v>
      </c>
      <c r="BP420" t="s">
        <v>2829</v>
      </c>
      <c r="BQ420" t="s">
        <v>243</v>
      </c>
      <c r="BR420" t="s">
        <v>243</v>
      </c>
      <c r="BS420" t="s">
        <v>243</v>
      </c>
      <c r="BT420" t="s">
        <v>243</v>
      </c>
      <c r="BU420" t="s">
        <v>243</v>
      </c>
      <c r="BV420" t="s">
        <v>2829</v>
      </c>
      <c r="BW420" t="s">
        <v>243</v>
      </c>
      <c r="BX420" t="s">
        <v>243</v>
      </c>
      <c r="BY420" t="s">
        <v>243</v>
      </c>
      <c r="BZ420" t="s">
        <v>243</v>
      </c>
      <c r="CA420" t="s">
        <v>243</v>
      </c>
      <c r="CB420" t="s">
        <v>2829</v>
      </c>
      <c r="CC420" t="s">
        <v>243</v>
      </c>
      <c r="CD420" t="s">
        <v>243</v>
      </c>
      <c r="CE420" t="s">
        <v>243</v>
      </c>
      <c r="CF420" t="s">
        <v>243</v>
      </c>
      <c r="CG420" t="s">
        <v>243</v>
      </c>
      <c r="CH420" t="s">
        <v>2829</v>
      </c>
      <c r="CI420" t="s">
        <v>243</v>
      </c>
      <c r="CJ420" t="s">
        <v>243</v>
      </c>
      <c r="CK420" t="s">
        <v>243</v>
      </c>
      <c r="CL420" t="s">
        <v>243</v>
      </c>
      <c r="CM420" t="s">
        <v>243</v>
      </c>
      <c r="CN420" t="s">
        <v>2888</v>
      </c>
      <c r="CO420" t="s">
        <v>2843</v>
      </c>
      <c r="CP420" t="s">
        <v>2844</v>
      </c>
      <c r="CQ420" t="s">
        <v>470</v>
      </c>
      <c r="CR420" t="s">
        <v>2872</v>
      </c>
      <c r="CS420" t="s">
        <v>431</v>
      </c>
      <c r="CT420" t="s">
        <v>470</v>
      </c>
      <c r="CU420" t="s">
        <v>444</v>
      </c>
      <c r="CV420" t="s">
        <v>445</v>
      </c>
      <c r="CW420" t="s">
        <v>2872</v>
      </c>
      <c r="CX420" t="s">
        <v>2848</v>
      </c>
      <c r="CY420" t="s">
        <v>442</v>
      </c>
    </row>
    <row r="421" spans="1:103" ht="11.25" customHeight="1">
      <c r="A421" t="s">
        <v>243</v>
      </c>
      <c r="B421" t="s">
        <v>243</v>
      </c>
      <c r="C421" t="s">
        <v>243</v>
      </c>
      <c r="D421" t="s">
        <v>243</v>
      </c>
      <c r="E421" t="s">
        <v>243</v>
      </c>
      <c r="F421" t="s">
        <v>2816</v>
      </c>
      <c r="G421" t="s">
        <v>243</v>
      </c>
      <c r="H421" t="s">
        <v>243</v>
      </c>
      <c r="I421" t="s">
        <v>3364</v>
      </c>
      <c r="J421" t="s">
        <v>243</v>
      </c>
      <c r="K421" t="s">
        <v>3178</v>
      </c>
      <c r="L421" t="s">
        <v>243</v>
      </c>
      <c r="M421" t="s">
        <v>114</v>
      </c>
      <c r="N421" t="s">
        <v>243</v>
      </c>
      <c r="O421" t="s">
        <v>2819</v>
      </c>
      <c r="P421" t="s">
        <v>4448</v>
      </c>
      <c r="Q421" t="s">
        <v>2821</v>
      </c>
      <c r="R421" t="s">
        <v>200</v>
      </c>
      <c r="S421" t="s">
        <v>200</v>
      </c>
      <c r="T421" t="s">
        <v>3048</v>
      </c>
      <c r="U421" t="s">
        <v>3048</v>
      </c>
      <c r="V421" t="s">
        <v>3049</v>
      </c>
      <c r="W421" t="s">
        <v>3795</v>
      </c>
      <c r="X421" t="s">
        <v>3796</v>
      </c>
      <c r="Y421" t="s">
        <v>3797</v>
      </c>
      <c r="Z421" t="s">
        <v>2846</v>
      </c>
      <c r="AA421" t="s">
        <v>3798</v>
      </c>
      <c r="AB421" t="s">
        <v>3443</v>
      </c>
      <c r="AC421" t="s">
        <v>2829</v>
      </c>
      <c r="AD421" t="s">
        <v>2883</v>
      </c>
      <c r="AE421" t="s">
        <v>2831</v>
      </c>
      <c r="AF421" t="s">
        <v>3055</v>
      </c>
      <c r="AG421" t="s">
        <v>3055</v>
      </c>
      <c r="AH421" t="s">
        <v>2834</v>
      </c>
      <c r="AI421" t="s">
        <v>2835</v>
      </c>
      <c r="AJ421" t="s">
        <v>3184</v>
      </c>
      <c r="AK421" t="s">
        <v>3185</v>
      </c>
      <c r="AL421" t="s">
        <v>3798</v>
      </c>
      <c r="AM421" t="s">
        <v>3443</v>
      </c>
      <c r="AN421" t="s">
        <v>2829</v>
      </c>
      <c r="AO421" t="s">
        <v>2839</v>
      </c>
      <c r="AP421" t="s">
        <v>2840</v>
      </c>
      <c r="AQ421" t="s">
        <v>2841</v>
      </c>
      <c r="AR421" t="s">
        <v>3438</v>
      </c>
      <c r="AS421" t="s">
        <v>3438</v>
      </c>
      <c r="AT421" t="s">
        <v>2829</v>
      </c>
      <c r="AU421" t="s">
        <v>2829</v>
      </c>
      <c r="AV421" t="s">
        <v>2829</v>
      </c>
      <c r="AW421" t="s">
        <v>2829</v>
      </c>
      <c r="AX421" t="s">
        <v>2829</v>
      </c>
      <c r="AY421" t="s">
        <v>2829</v>
      </c>
      <c r="AZ421" t="s">
        <v>2829</v>
      </c>
      <c r="BA421" t="s">
        <v>2829</v>
      </c>
      <c r="BB421" t="s">
        <v>2829</v>
      </c>
      <c r="BC421" t="s">
        <v>2829</v>
      </c>
      <c r="BD421" t="s">
        <v>3438</v>
      </c>
      <c r="BE421" t="s">
        <v>3438</v>
      </c>
      <c r="BF421" t="s">
        <v>243</v>
      </c>
      <c r="BG421" t="s">
        <v>243</v>
      </c>
      <c r="BH421" t="s">
        <v>243</v>
      </c>
      <c r="BI421" t="s">
        <v>243</v>
      </c>
      <c r="BJ421" t="s">
        <v>2829</v>
      </c>
      <c r="BK421" t="s">
        <v>243</v>
      </c>
      <c r="BL421" t="s">
        <v>243</v>
      </c>
      <c r="BM421" t="s">
        <v>243</v>
      </c>
      <c r="BN421" t="s">
        <v>243</v>
      </c>
      <c r="BO421" t="s">
        <v>243</v>
      </c>
      <c r="BP421" t="s">
        <v>2829</v>
      </c>
      <c r="BQ421" t="s">
        <v>243</v>
      </c>
      <c r="BR421" t="s">
        <v>243</v>
      </c>
      <c r="BS421" t="s">
        <v>243</v>
      </c>
      <c r="BT421" t="s">
        <v>243</v>
      </c>
      <c r="BU421" t="s">
        <v>243</v>
      </c>
      <c r="BV421" t="s">
        <v>2829</v>
      </c>
      <c r="BW421" t="s">
        <v>243</v>
      </c>
      <c r="BX421" t="s">
        <v>243</v>
      </c>
      <c r="BY421" t="s">
        <v>243</v>
      </c>
      <c r="BZ421" t="s">
        <v>243</v>
      </c>
      <c r="CA421" t="s">
        <v>243</v>
      </c>
      <c r="CB421" t="s">
        <v>2829</v>
      </c>
      <c r="CC421" t="s">
        <v>243</v>
      </c>
      <c r="CD421" t="s">
        <v>243</v>
      </c>
      <c r="CE421" t="s">
        <v>243</v>
      </c>
      <c r="CF421" t="s">
        <v>243</v>
      </c>
      <c r="CG421" t="s">
        <v>243</v>
      </c>
      <c r="CH421" t="s">
        <v>2829</v>
      </c>
      <c r="CI421" t="s">
        <v>243</v>
      </c>
      <c r="CJ421" t="s">
        <v>243</v>
      </c>
      <c r="CK421" t="s">
        <v>243</v>
      </c>
      <c r="CL421" t="s">
        <v>243</v>
      </c>
      <c r="CM421" t="s">
        <v>243</v>
      </c>
      <c r="CN421" t="s">
        <v>3187</v>
      </c>
      <c r="CO421" t="s">
        <v>2843</v>
      </c>
      <c r="CP421" t="s">
        <v>2844</v>
      </c>
      <c r="CQ421" t="s">
        <v>470</v>
      </c>
      <c r="CR421" t="s">
        <v>2872</v>
      </c>
      <c r="CS421" t="s">
        <v>431</v>
      </c>
      <c r="CT421" t="s">
        <v>470</v>
      </c>
      <c r="CU421" t="s">
        <v>3061</v>
      </c>
      <c r="CV421" t="s">
        <v>3062</v>
      </c>
      <c r="CW421" t="s">
        <v>2872</v>
      </c>
      <c r="CX421" t="s">
        <v>2848</v>
      </c>
      <c r="CY421" t="s">
        <v>3799</v>
      </c>
    </row>
    <row r="422" spans="1:103" ht="11.25" customHeight="1">
      <c r="A422" t="s">
        <v>243</v>
      </c>
      <c r="B422" t="s">
        <v>243</v>
      </c>
      <c r="C422" t="s">
        <v>243</v>
      </c>
      <c r="D422" t="s">
        <v>243</v>
      </c>
      <c r="E422" t="s">
        <v>243</v>
      </c>
      <c r="F422" t="s">
        <v>2816</v>
      </c>
      <c r="G422" t="s">
        <v>243</v>
      </c>
      <c r="H422" t="s">
        <v>243</v>
      </c>
      <c r="I422" t="s">
        <v>883</v>
      </c>
      <c r="J422" t="s">
        <v>243</v>
      </c>
      <c r="K422" t="s">
        <v>3497</v>
      </c>
      <c r="L422" t="s">
        <v>243</v>
      </c>
      <c r="M422" t="s">
        <v>114</v>
      </c>
      <c r="N422" t="s">
        <v>243</v>
      </c>
      <c r="O422" t="s">
        <v>2819</v>
      </c>
      <c r="P422" t="s">
        <v>4448</v>
      </c>
      <c r="Q422" t="s">
        <v>2821</v>
      </c>
      <c r="R422" t="s">
        <v>200</v>
      </c>
      <c r="S422" t="s">
        <v>200</v>
      </c>
      <c r="T422" t="s">
        <v>2822</v>
      </c>
      <c r="U422" t="s">
        <v>2822</v>
      </c>
      <c r="V422" t="s">
        <v>2823</v>
      </c>
      <c r="W422" t="s">
        <v>3848</v>
      </c>
      <c r="X422" t="s">
        <v>3849</v>
      </c>
      <c r="Y422" t="s">
        <v>3850</v>
      </c>
      <c r="Z422" t="s">
        <v>3851</v>
      </c>
      <c r="AA422" t="s">
        <v>3852</v>
      </c>
      <c r="AB422" t="s">
        <v>3853</v>
      </c>
      <c r="AC422" t="s">
        <v>2829</v>
      </c>
      <c r="AD422" t="s">
        <v>2830</v>
      </c>
      <c r="AE422" t="s">
        <v>2831</v>
      </c>
      <c r="AF422" t="s">
        <v>3854</v>
      </c>
      <c r="AG422" t="s">
        <v>3855</v>
      </c>
      <c r="AH422" t="s">
        <v>2834</v>
      </c>
      <c r="AI422" t="s">
        <v>2835</v>
      </c>
      <c r="AJ422" t="s">
        <v>2960</v>
      </c>
      <c r="AK422" t="s">
        <v>3856</v>
      </c>
      <c r="AL422" t="s">
        <v>3852</v>
      </c>
      <c r="AM422" t="s">
        <v>3266</v>
      </c>
      <c r="AN422" t="s">
        <v>2829</v>
      </c>
      <c r="AO422" t="s">
        <v>2839</v>
      </c>
      <c r="AP422" t="s">
        <v>2840</v>
      </c>
      <c r="AQ422" t="s">
        <v>2841</v>
      </c>
      <c r="AR422" t="s">
        <v>3857</v>
      </c>
      <c r="AS422" t="s">
        <v>3857</v>
      </c>
      <c r="AT422" t="s">
        <v>2829</v>
      </c>
      <c r="AU422" t="s">
        <v>2829</v>
      </c>
      <c r="AV422" t="s">
        <v>2829</v>
      </c>
      <c r="AW422" t="s">
        <v>2829</v>
      </c>
      <c r="AX422" t="s">
        <v>2829</v>
      </c>
      <c r="AY422" t="s">
        <v>2829</v>
      </c>
      <c r="AZ422" t="s">
        <v>2829</v>
      </c>
      <c r="BA422" t="s">
        <v>2829</v>
      </c>
      <c r="BB422" t="s">
        <v>2829</v>
      </c>
      <c r="BC422" t="s">
        <v>2829</v>
      </c>
      <c r="BD422" t="s">
        <v>3858</v>
      </c>
      <c r="BE422" t="s">
        <v>3858</v>
      </c>
      <c r="BF422" t="s">
        <v>243</v>
      </c>
      <c r="BG422" t="s">
        <v>243</v>
      </c>
      <c r="BH422" t="s">
        <v>243</v>
      </c>
      <c r="BI422" t="s">
        <v>243</v>
      </c>
      <c r="BJ422" t="s">
        <v>2829</v>
      </c>
      <c r="BK422" t="s">
        <v>243</v>
      </c>
      <c r="BL422" t="s">
        <v>243</v>
      </c>
      <c r="BM422" t="s">
        <v>243</v>
      </c>
      <c r="BN422" t="s">
        <v>243</v>
      </c>
      <c r="BO422" t="s">
        <v>243</v>
      </c>
      <c r="BP422" t="s">
        <v>2829</v>
      </c>
      <c r="BQ422" t="s">
        <v>243</v>
      </c>
      <c r="BR422" t="s">
        <v>243</v>
      </c>
      <c r="BS422" t="s">
        <v>243</v>
      </c>
      <c r="BT422" t="s">
        <v>243</v>
      </c>
      <c r="BU422" t="s">
        <v>243</v>
      </c>
      <c r="BV422" t="s">
        <v>2829</v>
      </c>
      <c r="BW422" t="s">
        <v>243</v>
      </c>
      <c r="BX422" t="s">
        <v>243</v>
      </c>
      <c r="BY422" t="s">
        <v>243</v>
      </c>
      <c r="BZ422" t="s">
        <v>243</v>
      </c>
      <c r="CA422" t="s">
        <v>243</v>
      </c>
      <c r="CB422" t="s">
        <v>3858</v>
      </c>
      <c r="CC422" t="s">
        <v>3858</v>
      </c>
      <c r="CD422" t="s">
        <v>243</v>
      </c>
      <c r="CE422" t="s">
        <v>243</v>
      </c>
      <c r="CF422" t="s">
        <v>243</v>
      </c>
      <c r="CG422" t="s">
        <v>243</v>
      </c>
      <c r="CH422" t="s">
        <v>2829</v>
      </c>
      <c r="CI422" t="s">
        <v>243</v>
      </c>
      <c r="CJ422" t="s">
        <v>243</v>
      </c>
      <c r="CK422" t="s">
        <v>243</v>
      </c>
      <c r="CL422" t="s">
        <v>243</v>
      </c>
      <c r="CM422" t="s">
        <v>243</v>
      </c>
      <c r="CN422" t="s">
        <v>2960</v>
      </c>
      <c r="CO422" t="s">
        <v>2843</v>
      </c>
      <c r="CP422" t="s">
        <v>2844</v>
      </c>
      <c r="CQ422" t="s">
        <v>430</v>
      </c>
      <c r="CR422" t="s">
        <v>2845</v>
      </c>
      <c r="CS422" t="s">
        <v>431</v>
      </c>
      <c r="CT422" t="s">
        <v>430</v>
      </c>
      <c r="CU422" t="s">
        <v>2846</v>
      </c>
      <c r="CV422" t="s">
        <v>2847</v>
      </c>
      <c r="CW422" t="s">
        <v>2845</v>
      </c>
      <c r="CX422" t="s">
        <v>2848</v>
      </c>
      <c r="CY422" t="s">
        <v>3859</v>
      </c>
    </row>
    <row r="423" spans="1:103" ht="11.25" customHeight="1">
      <c r="A423" t="s">
        <v>243</v>
      </c>
      <c r="B423" t="s">
        <v>243</v>
      </c>
      <c r="C423" t="s">
        <v>243</v>
      </c>
      <c r="D423" t="s">
        <v>243</v>
      </c>
      <c r="E423" t="s">
        <v>243</v>
      </c>
      <c r="F423" t="s">
        <v>2816</v>
      </c>
      <c r="G423" t="s">
        <v>243</v>
      </c>
      <c r="H423" t="s">
        <v>243</v>
      </c>
      <c r="I423" t="s">
        <v>4032</v>
      </c>
      <c r="J423" t="s">
        <v>243</v>
      </c>
      <c r="K423" t="s">
        <v>2818</v>
      </c>
      <c r="L423" t="s">
        <v>243</v>
      </c>
      <c r="M423" t="s">
        <v>114</v>
      </c>
      <c r="N423" t="s">
        <v>243</v>
      </c>
      <c r="O423" t="s">
        <v>2819</v>
      </c>
      <c r="P423" t="s">
        <v>4448</v>
      </c>
      <c r="Q423" t="s">
        <v>2821</v>
      </c>
      <c r="R423" t="s">
        <v>200</v>
      </c>
      <c r="S423" t="s">
        <v>200</v>
      </c>
      <c r="T423" t="s">
        <v>2822</v>
      </c>
      <c r="U423" t="s">
        <v>2822</v>
      </c>
      <c r="V423" t="s">
        <v>2823</v>
      </c>
      <c r="W423" t="s">
        <v>3763</v>
      </c>
      <c r="X423" t="s">
        <v>3764</v>
      </c>
      <c r="Y423" t="s">
        <v>4033</v>
      </c>
      <c r="Z423" t="s">
        <v>1776</v>
      </c>
      <c r="AA423" t="s">
        <v>2904</v>
      </c>
      <c r="AB423" t="s">
        <v>4034</v>
      </c>
      <c r="AC423" t="s">
        <v>2829</v>
      </c>
      <c r="AD423" t="s">
        <v>2830</v>
      </c>
      <c r="AE423" t="s">
        <v>2831</v>
      </c>
      <c r="AF423" t="s">
        <v>4035</v>
      </c>
      <c r="AG423" t="s">
        <v>2833</v>
      </c>
      <c r="AH423" t="s">
        <v>2834</v>
      </c>
      <c r="AI423" t="s">
        <v>2835</v>
      </c>
      <c r="AJ423" t="s">
        <v>2836</v>
      </c>
      <c r="AK423" t="s">
        <v>2837</v>
      </c>
      <c r="AL423" t="s">
        <v>2904</v>
      </c>
      <c r="AM423" t="s">
        <v>3194</v>
      </c>
      <c r="AN423" t="s">
        <v>2829</v>
      </c>
      <c r="AO423" t="s">
        <v>2839</v>
      </c>
      <c r="AP423" t="s">
        <v>2840</v>
      </c>
      <c r="AQ423" t="s">
        <v>2841</v>
      </c>
      <c r="AR423" t="s">
        <v>2842</v>
      </c>
      <c r="AS423" t="s">
        <v>2842</v>
      </c>
      <c r="AT423" t="s">
        <v>2829</v>
      </c>
      <c r="AU423" t="s">
        <v>2829</v>
      </c>
      <c r="AV423" t="s">
        <v>2829</v>
      </c>
      <c r="AW423" t="s">
        <v>2829</v>
      </c>
      <c r="AX423" t="s">
        <v>2829</v>
      </c>
      <c r="AY423" t="s">
        <v>2829</v>
      </c>
      <c r="AZ423" t="s">
        <v>2829</v>
      </c>
      <c r="BA423" t="s">
        <v>2829</v>
      </c>
      <c r="BB423" t="s">
        <v>2829</v>
      </c>
      <c r="BC423" t="s">
        <v>2829</v>
      </c>
      <c r="BD423" t="s">
        <v>2842</v>
      </c>
      <c r="BE423" t="s">
        <v>2842</v>
      </c>
      <c r="BF423" t="s">
        <v>243</v>
      </c>
      <c r="BG423" t="s">
        <v>243</v>
      </c>
      <c r="BH423" t="s">
        <v>243</v>
      </c>
      <c r="BI423" t="s">
        <v>243</v>
      </c>
      <c r="BJ423" t="s">
        <v>2829</v>
      </c>
      <c r="BK423" t="s">
        <v>243</v>
      </c>
      <c r="BL423" t="s">
        <v>243</v>
      </c>
      <c r="BM423" t="s">
        <v>243</v>
      </c>
      <c r="BN423" t="s">
        <v>243</v>
      </c>
      <c r="BO423" t="s">
        <v>243</v>
      </c>
      <c r="BP423" t="s">
        <v>2829</v>
      </c>
      <c r="BQ423" t="s">
        <v>243</v>
      </c>
      <c r="BR423" t="s">
        <v>243</v>
      </c>
      <c r="BS423" t="s">
        <v>243</v>
      </c>
      <c r="BT423" t="s">
        <v>243</v>
      </c>
      <c r="BU423" t="s">
        <v>243</v>
      </c>
      <c r="BV423" t="s">
        <v>2829</v>
      </c>
      <c r="BW423" t="s">
        <v>243</v>
      </c>
      <c r="BX423" t="s">
        <v>243</v>
      </c>
      <c r="BY423" t="s">
        <v>243</v>
      </c>
      <c r="BZ423" t="s">
        <v>243</v>
      </c>
      <c r="CA423" t="s">
        <v>243</v>
      </c>
      <c r="CB423" t="s">
        <v>2829</v>
      </c>
      <c r="CC423" t="s">
        <v>243</v>
      </c>
      <c r="CD423" t="s">
        <v>243</v>
      </c>
      <c r="CE423" t="s">
        <v>243</v>
      </c>
      <c r="CF423" t="s">
        <v>243</v>
      </c>
      <c r="CG423" t="s">
        <v>243</v>
      </c>
      <c r="CH423" t="s">
        <v>2829</v>
      </c>
      <c r="CI423" t="s">
        <v>243</v>
      </c>
      <c r="CJ423" t="s">
        <v>243</v>
      </c>
      <c r="CK423" t="s">
        <v>243</v>
      </c>
      <c r="CL423" t="s">
        <v>243</v>
      </c>
      <c r="CM423" t="s">
        <v>243</v>
      </c>
      <c r="CN423" t="s">
        <v>2836</v>
      </c>
      <c r="CO423" t="s">
        <v>2843</v>
      </c>
      <c r="CP423" t="s">
        <v>2844</v>
      </c>
      <c r="CQ423" t="s">
        <v>430</v>
      </c>
      <c r="CR423" t="s">
        <v>2845</v>
      </c>
      <c r="CS423" t="s">
        <v>431</v>
      </c>
      <c r="CT423" t="s">
        <v>430</v>
      </c>
      <c r="CU423" t="s">
        <v>2846</v>
      </c>
      <c r="CV423" t="s">
        <v>2847</v>
      </c>
      <c r="CW423" t="s">
        <v>2845</v>
      </c>
      <c r="CX423" t="s">
        <v>2848</v>
      </c>
      <c r="CY423" t="s">
        <v>4036</v>
      </c>
    </row>
    <row r="424" spans="1:103" ht="11.25" customHeight="1">
      <c r="A424" t="s">
        <v>243</v>
      </c>
      <c r="B424" t="s">
        <v>243</v>
      </c>
      <c r="C424" t="s">
        <v>243</v>
      </c>
      <c r="D424" t="s">
        <v>243</v>
      </c>
      <c r="E424" t="s">
        <v>243</v>
      </c>
      <c r="F424" t="s">
        <v>2816</v>
      </c>
      <c r="G424" t="s">
        <v>243</v>
      </c>
      <c r="H424" t="s">
        <v>243</v>
      </c>
      <c r="I424" t="s">
        <v>3219</v>
      </c>
      <c r="J424" t="s">
        <v>243</v>
      </c>
      <c r="K424" t="s">
        <v>2818</v>
      </c>
      <c r="L424" t="s">
        <v>243</v>
      </c>
      <c r="M424" t="s">
        <v>114</v>
      </c>
      <c r="N424" t="s">
        <v>243</v>
      </c>
      <c r="O424" t="s">
        <v>2819</v>
      </c>
      <c r="P424" t="s">
        <v>4448</v>
      </c>
      <c r="Q424" t="s">
        <v>2821</v>
      </c>
      <c r="R424" t="s">
        <v>200</v>
      </c>
      <c r="S424" t="s">
        <v>200</v>
      </c>
      <c r="T424" t="s">
        <v>2822</v>
      </c>
      <c r="U424" t="s">
        <v>2822</v>
      </c>
      <c r="V424" t="s">
        <v>2823</v>
      </c>
      <c r="W424" t="s">
        <v>3220</v>
      </c>
      <c r="X424" t="s">
        <v>3221</v>
      </c>
      <c r="Y424" t="s">
        <v>2918</v>
      </c>
      <c r="Z424" t="s">
        <v>3222</v>
      </c>
      <c r="AA424" t="s">
        <v>2865</v>
      </c>
      <c r="AB424" t="s">
        <v>2838</v>
      </c>
      <c r="AC424" t="s">
        <v>2829</v>
      </c>
      <c r="AD424" t="s">
        <v>2830</v>
      </c>
      <c r="AE424" t="s">
        <v>2857</v>
      </c>
      <c r="AF424" t="s">
        <v>2867</v>
      </c>
      <c r="AG424" t="s">
        <v>2867</v>
      </c>
      <c r="AH424" t="s">
        <v>2834</v>
      </c>
      <c r="AI424" t="s">
        <v>2835</v>
      </c>
      <c r="AJ424" t="s">
        <v>2829</v>
      </c>
      <c r="AK424" t="s">
        <v>2922</v>
      </c>
      <c r="AL424" t="s">
        <v>2865</v>
      </c>
      <c r="AM424" t="s">
        <v>2838</v>
      </c>
      <c r="AN424" t="s">
        <v>2829</v>
      </c>
      <c r="AO424" t="s">
        <v>2839</v>
      </c>
      <c r="AP424" t="s">
        <v>2840</v>
      </c>
      <c r="AQ424" t="s">
        <v>2841</v>
      </c>
      <c r="AR424" t="s">
        <v>2923</v>
      </c>
      <c r="AS424" t="s">
        <v>2923</v>
      </c>
      <c r="AT424" t="s">
        <v>2829</v>
      </c>
      <c r="AU424" t="s">
        <v>2829</v>
      </c>
      <c r="AV424" t="s">
        <v>2829</v>
      </c>
      <c r="AW424" t="s">
        <v>2829</v>
      </c>
      <c r="AX424" t="s">
        <v>2829</v>
      </c>
      <c r="AY424" t="s">
        <v>2829</v>
      </c>
      <c r="AZ424" t="s">
        <v>2829</v>
      </c>
      <c r="BA424" t="s">
        <v>2829</v>
      </c>
      <c r="BB424" t="s">
        <v>2829</v>
      </c>
      <c r="BC424" t="s">
        <v>2829</v>
      </c>
      <c r="BD424" t="s">
        <v>2923</v>
      </c>
      <c r="BE424" t="s">
        <v>2923</v>
      </c>
      <c r="BF424" t="s">
        <v>243</v>
      </c>
      <c r="BG424" t="s">
        <v>243</v>
      </c>
      <c r="BH424" t="s">
        <v>243</v>
      </c>
      <c r="BI424" t="s">
        <v>243</v>
      </c>
      <c r="BJ424" t="s">
        <v>2829</v>
      </c>
      <c r="BK424" t="s">
        <v>243</v>
      </c>
      <c r="BL424" t="s">
        <v>243</v>
      </c>
      <c r="BM424" t="s">
        <v>243</v>
      </c>
      <c r="BN424" t="s">
        <v>243</v>
      </c>
      <c r="BO424" t="s">
        <v>243</v>
      </c>
      <c r="BP424" t="s">
        <v>2829</v>
      </c>
      <c r="BQ424" t="s">
        <v>243</v>
      </c>
      <c r="BR424" t="s">
        <v>243</v>
      </c>
      <c r="BS424" t="s">
        <v>243</v>
      </c>
      <c r="BT424" t="s">
        <v>243</v>
      </c>
      <c r="BU424" t="s">
        <v>243</v>
      </c>
      <c r="BV424" t="s">
        <v>2829</v>
      </c>
      <c r="BW424" t="s">
        <v>243</v>
      </c>
      <c r="BX424" t="s">
        <v>243</v>
      </c>
      <c r="BY424" t="s">
        <v>243</v>
      </c>
      <c r="BZ424" t="s">
        <v>243</v>
      </c>
      <c r="CA424" t="s">
        <v>243</v>
      </c>
      <c r="CB424" t="s">
        <v>2829</v>
      </c>
      <c r="CC424" t="s">
        <v>243</v>
      </c>
      <c r="CD424" t="s">
        <v>243</v>
      </c>
      <c r="CE424" t="s">
        <v>243</v>
      </c>
      <c r="CF424" t="s">
        <v>243</v>
      </c>
      <c r="CG424" t="s">
        <v>243</v>
      </c>
      <c r="CH424" t="s">
        <v>2829</v>
      </c>
      <c r="CI424" t="s">
        <v>243</v>
      </c>
      <c r="CJ424" t="s">
        <v>243</v>
      </c>
      <c r="CK424" t="s">
        <v>243</v>
      </c>
      <c r="CL424" t="s">
        <v>243</v>
      </c>
      <c r="CM424" t="s">
        <v>243</v>
      </c>
      <c r="CN424" t="s">
        <v>2829</v>
      </c>
      <c r="CO424" t="s">
        <v>2924</v>
      </c>
      <c r="CP424" t="s">
        <v>2844</v>
      </c>
      <c r="CQ424" t="s">
        <v>430</v>
      </c>
      <c r="CR424" t="s">
        <v>2872</v>
      </c>
      <c r="CS424" t="s">
        <v>431</v>
      </c>
      <c r="CT424" t="s">
        <v>430</v>
      </c>
      <c r="CU424" t="s">
        <v>2846</v>
      </c>
      <c r="CV424" t="s">
        <v>2873</v>
      </c>
      <c r="CW424" t="s">
        <v>2872</v>
      </c>
      <c r="CX424" t="s">
        <v>2848</v>
      </c>
      <c r="CY424" t="s">
        <v>3223</v>
      </c>
    </row>
    <row r="425" spans="1:103" ht="11.25" customHeight="1">
      <c r="A425" t="s">
        <v>243</v>
      </c>
      <c r="B425" t="s">
        <v>243</v>
      </c>
      <c r="C425" t="s">
        <v>243</v>
      </c>
      <c r="D425" t="s">
        <v>243</v>
      </c>
      <c r="E425" t="s">
        <v>243</v>
      </c>
      <c r="F425" t="s">
        <v>2816</v>
      </c>
      <c r="G425" t="s">
        <v>243</v>
      </c>
      <c r="H425" t="s">
        <v>243</v>
      </c>
      <c r="I425" t="s">
        <v>3224</v>
      </c>
      <c r="J425" t="s">
        <v>243</v>
      </c>
      <c r="K425" t="s">
        <v>2818</v>
      </c>
      <c r="L425" t="s">
        <v>243</v>
      </c>
      <c r="M425" t="s">
        <v>114</v>
      </c>
      <c r="N425" t="s">
        <v>243</v>
      </c>
      <c r="O425" t="s">
        <v>2819</v>
      </c>
      <c r="P425" t="s">
        <v>4448</v>
      </c>
      <c r="Q425" t="s">
        <v>2821</v>
      </c>
      <c r="R425" t="s">
        <v>200</v>
      </c>
      <c r="S425" t="s">
        <v>200</v>
      </c>
      <c r="T425" t="s">
        <v>2822</v>
      </c>
      <c r="U425" t="s">
        <v>2822</v>
      </c>
      <c r="V425" t="s">
        <v>2823</v>
      </c>
      <c r="W425" t="s">
        <v>3225</v>
      </c>
      <c r="X425" t="s">
        <v>3226</v>
      </c>
      <c r="Y425" t="s">
        <v>3227</v>
      </c>
      <c r="Z425" t="s">
        <v>2917</v>
      </c>
      <c r="AA425" t="s">
        <v>3228</v>
      </c>
      <c r="AB425" t="s">
        <v>3229</v>
      </c>
      <c r="AC425" t="s">
        <v>2829</v>
      </c>
      <c r="AD425" t="s">
        <v>2830</v>
      </c>
      <c r="AE425" t="s">
        <v>2857</v>
      </c>
      <c r="AF425" t="s">
        <v>3230</v>
      </c>
      <c r="AG425" t="s">
        <v>3230</v>
      </c>
      <c r="AH425" t="s">
        <v>2834</v>
      </c>
      <c r="AI425" t="s">
        <v>2835</v>
      </c>
      <c r="AJ425" t="s">
        <v>2829</v>
      </c>
      <c r="AK425" t="s">
        <v>2922</v>
      </c>
      <c r="AL425" t="s">
        <v>3228</v>
      </c>
      <c r="AM425" t="s">
        <v>3229</v>
      </c>
      <c r="AN425" t="s">
        <v>2829</v>
      </c>
      <c r="AO425" t="s">
        <v>2839</v>
      </c>
      <c r="AP425" t="s">
        <v>2840</v>
      </c>
      <c r="AQ425" t="s">
        <v>2841</v>
      </c>
      <c r="AR425" t="s">
        <v>2923</v>
      </c>
      <c r="AS425" t="s">
        <v>2923</v>
      </c>
      <c r="AT425" t="s">
        <v>2829</v>
      </c>
      <c r="AU425" t="s">
        <v>2829</v>
      </c>
      <c r="AV425" t="s">
        <v>2829</v>
      </c>
      <c r="AW425" t="s">
        <v>2829</v>
      </c>
      <c r="AX425" t="s">
        <v>2829</v>
      </c>
      <c r="AY425" t="s">
        <v>2829</v>
      </c>
      <c r="AZ425" t="s">
        <v>2829</v>
      </c>
      <c r="BA425" t="s">
        <v>2829</v>
      </c>
      <c r="BB425" t="s">
        <v>2829</v>
      </c>
      <c r="BC425" t="s">
        <v>2829</v>
      </c>
      <c r="BD425" t="s">
        <v>2923</v>
      </c>
      <c r="BE425" t="s">
        <v>2923</v>
      </c>
      <c r="BF425" t="s">
        <v>243</v>
      </c>
      <c r="BG425" t="s">
        <v>243</v>
      </c>
      <c r="BH425" t="s">
        <v>243</v>
      </c>
      <c r="BI425" t="s">
        <v>243</v>
      </c>
      <c r="BJ425" t="s">
        <v>2829</v>
      </c>
      <c r="BK425" t="s">
        <v>243</v>
      </c>
      <c r="BL425" t="s">
        <v>243</v>
      </c>
      <c r="BM425" t="s">
        <v>243</v>
      </c>
      <c r="BN425" t="s">
        <v>243</v>
      </c>
      <c r="BO425" t="s">
        <v>243</v>
      </c>
      <c r="BP425" t="s">
        <v>2829</v>
      </c>
      <c r="BQ425" t="s">
        <v>243</v>
      </c>
      <c r="BR425" t="s">
        <v>243</v>
      </c>
      <c r="BS425" t="s">
        <v>243</v>
      </c>
      <c r="BT425" t="s">
        <v>243</v>
      </c>
      <c r="BU425" t="s">
        <v>243</v>
      </c>
      <c r="BV425" t="s">
        <v>2829</v>
      </c>
      <c r="BW425" t="s">
        <v>243</v>
      </c>
      <c r="BX425" t="s">
        <v>243</v>
      </c>
      <c r="BY425" t="s">
        <v>243</v>
      </c>
      <c r="BZ425" t="s">
        <v>243</v>
      </c>
      <c r="CA425" t="s">
        <v>243</v>
      </c>
      <c r="CB425" t="s">
        <v>2829</v>
      </c>
      <c r="CC425" t="s">
        <v>243</v>
      </c>
      <c r="CD425" t="s">
        <v>243</v>
      </c>
      <c r="CE425" t="s">
        <v>243</v>
      </c>
      <c r="CF425" t="s">
        <v>243</v>
      </c>
      <c r="CG425" t="s">
        <v>243</v>
      </c>
      <c r="CH425" t="s">
        <v>2829</v>
      </c>
      <c r="CI425" t="s">
        <v>243</v>
      </c>
      <c r="CJ425" t="s">
        <v>243</v>
      </c>
      <c r="CK425" t="s">
        <v>243</v>
      </c>
      <c r="CL425" t="s">
        <v>243</v>
      </c>
      <c r="CM425" t="s">
        <v>243</v>
      </c>
      <c r="CN425" t="s">
        <v>2829</v>
      </c>
      <c r="CO425" t="s">
        <v>2924</v>
      </c>
      <c r="CP425" t="s">
        <v>2844</v>
      </c>
      <c r="CQ425" t="s">
        <v>430</v>
      </c>
      <c r="CR425" t="s">
        <v>2872</v>
      </c>
      <c r="CS425" t="s">
        <v>431</v>
      </c>
      <c r="CT425" t="s">
        <v>430</v>
      </c>
      <c r="CU425" t="s">
        <v>2846</v>
      </c>
      <c r="CV425" t="s">
        <v>2873</v>
      </c>
      <c r="CW425" t="s">
        <v>2872</v>
      </c>
      <c r="CX425" t="s">
        <v>2848</v>
      </c>
      <c r="CY425" t="s">
        <v>3231</v>
      </c>
    </row>
    <row r="426" spans="1:103" ht="11.25" customHeight="1">
      <c r="A426" t="s">
        <v>243</v>
      </c>
      <c r="B426" t="s">
        <v>243</v>
      </c>
      <c r="C426" t="s">
        <v>243</v>
      </c>
      <c r="D426" t="s">
        <v>243</v>
      </c>
      <c r="E426" t="s">
        <v>243</v>
      </c>
      <c r="F426" t="s">
        <v>2816</v>
      </c>
      <c r="G426" t="s">
        <v>243</v>
      </c>
      <c r="H426" t="s">
        <v>243</v>
      </c>
      <c r="I426" t="s">
        <v>3477</v>
      </c>
      <c r="J426" t="s">
        <v>243</v>
      </c>
      <c r="K426" t="s">
        <v>441</v>
      </c>
      <c r="L426" t="s">
        <v>243</v>
      </c>
      <c r="M426" t="s">
        <v>114</v>
      </c>
      <c r="N426" t="s">
        <v>243</v>
      </c>
      <c r="O426" t="s">
        <v>2819</v>
      </c>
      <c r="P426" t="s">
        <v>4448</v>
      </c>
      <c r="Q426" t="s">
        <v>2821</v>
      </c>
      <c r="R426" t="s">
        <v>200</v>
      </c>
      <c r="S426" t="s">
        <v>200</v>
      </c>
      <c r="T426" t="s">
        <v>2968</v>
      </c>
      <c r="U426" t="s">
        <v>2968</v>
      </c>
      <c r="V426" t="s">
        <v>2969</v>
      </c>
      <c r="W426" t="s">
        <v>2970</v>
      </c>
      <c r="X426" t="s">
        <v>2971</v>
      </c>
      <c r="Y426" t="s">
        <v>3478</v>
      </c>
      <c r="Z426" t="s">
        <v>3479</v>
      </c>
      <c r="AA426" t="s">
        <v>3480</v>
      </c>
      <c r="AB426" t="s">
        <v>3481</v>
      </c>
      <c r="AC426" t="s">
        <v>2829</v>
      </c>
      <c r="AD426" t="s">
        <v>2883</v>
      </c>
      <c r="AE426" t="s">
        <v>2975</v>
      </c>
      <c r="AF426" t="s">
        <v>3482</v>
      </c>
      <c r="AG426" t="s">
        <v>3482</v>
      </c>
      <c r="AH426" t="s">
        <v>2834</v>
      </c>
      <c r="AI426" t="s">
        <v>2835</v>
      </c>
      <c r="AJ426" t="s">
        <v>3446</v>
      </c>
      <c r="AK426" t="s">
        <v>3483</v>
      </c>
      <c r="AL426" t="s">
        <v>3480</v>
      </c>
      <c r="AM426" t="s">
        <v>3066</v>
      </c>
      <c r="AN426" t="s">
        <v>2829</v>
      </c>
      <c r="AO426" t="s">
        <v>2839</v>
      </c>
      <c r="AP426" t="s">
        <v>2840</v>
      </c>
      <c r="AQ426" t="s">
        <v>2841</v>
      </c>
      <c r="AR426" t="s">
        <v>3484</v>
      </c>
      <c r="AS426" t="s">
        <v>3484</v>
      </c>
      <c r="AT426" t="s">
        <v>2829</v>
      </c>
      <c r="AU426" t="s">
        <v>2829</v>
      </c>
      <c r="AV426" t="s">
        <v>2829</v>
      </c>
      <c r="AW426" t="s">
        <v>2829</v>
      </c>
      <c r="AX426" t="s">
        <v>2829</v>
      </c>
      <c r="AY426" t="s">
        <v>2829</v>
      </c>
      <c r="AZ426" t="s">
        <v>2829</v>
      </c>
      <c r="BA426" t="s">
        <v>2829</v>
      </c>
      <c r="BB426" t="s">
        <v>2829</v>
      </c>
      <c r="BC426" t="s">
        <v>2829</v>
      </c>
      <c r="BD426" t="s">
        <v>2829</v>
      </c>
      <c r="BE426" t="s">
        <v>243</v>
      </c>
      <c r="BF426" t="s">
        <v>243</v>
      </c>
      <c r="BG426" t="s">
        <v>243</v>
      </c>
      <c r="BH426" t="s">
        <v>243</v>
      </c>
      <c r="BI426" t="s">
        <v>243</v>
      </c>
      <c r="BJ426" t="s">
        <v>2829</v>
      </c>
      <c r="BK426" t="s">
        <v>243</v>
      </c>
      <c r="BL426" t="s">
        <v>243</v>
      </c>
      <c r="BM426" t="s">
        <v>243</v>
      </c>
      <c r="BN426" t="s">
        <v>243</v>
      </c>
      <c r="BO426" t="s">
        <v>243</v>
      </c>
      <c r="BP426" t="s">
        <v>3484</v>
      </c>
      <c r="BQ426" t="s">
        <v>3484</v>
      </c>
      <c r="BR426" t="s">
        <v>243</v>
      </c>
      <c r="BS426" t="s">
        <v>243</v>
      </c>
      <c r="BT426" t="s">
        <v>243</v>
      </c>
      <c r="BU426" t="s">
        <v>243</v>
      </c>
      <c r="BV426" t="s">
        <v>2829</v>
      </c>
      <c r="BW426" t="s">
        <v>243</v>
      </c>
      <c r="BX426" t="s">
        <v>243</v>
      </c>
      <c r="BY426" t="s">
        <v>243</v>
      </c>
      <c r="BZ426" t="s">
        <v>243</v>
      </c>
      <c r="CA426" t="s">
        <v>243</v>
      </c>
      <c r="CB426" t="s">
        <v>2829</v>
      </c>
      <c r="CC426" t="s">
        <v>243</v>
      </c>
      <c r="CD426" t="s">
        <v>243</v>
      </c>
      <c r="CE426" t="s">
        <v>243</v>
      </c>
      <c r="CF426" t="s">
        <v>243</v>
      </c>
      <c r="CG426" t="s">
        <v>243</v>
      </c>
      <c r="CH426" t="s">
        <v>2829</v>
      </c>
      <c r="CI426" t="s">
        <v>243</v>
      </c>
      <c r="CJ426" t="s">
        <v>243</v>
      </c>
      <c r="CK426" t="s">
        <v>243</v>
      </c>
      <c r="CL426" t="s">
        <v>243</v>
      </c>
      <c r="CM426" t="s">
        <v>243</v>
      </c>
      <c r="CN426" t="s">
        <v>2983</v>
      </c>
      <c r="CO426" t="s">
        <v>2843</v>
      </c>
      <c r="CP426" t="s">
        <v>2844</v>
      </c>
      <c r="CQ426" t="s">
        <v>430</v>
      </c>
      <c r="CR426" t="s">
        <v>2984</v>
      </c>
      <c r="CS426" t="s">
        <v>431</v>
      </c>
      <c r="CT426" t="s">
        <v>430</v>
      </c>
      <c r="CU426" t="s">
        <v>2985</v>
      </c>
      <c r="CV426" t="s">
        <v>2986</v>
      </c>
      <c r="CW426" t="s">
        <v>2984</v>
      </c>
      <c r="CX426" t="s">
        <v>2848</v>
      </c>
      <c r="CY426" t="s">
        <v>3485</v>
      </c>
    </row>
    <row r="427" spans="1:103" ht="11.25" customHeight="1">
      <c r="A427" t="s">
        <v>243</v>
      </c>
      <c r="B427" t="s">
        <v>243</v>
      </c>
      <c r="C427" t="s">
        <v>243</v>
      </c>
      <c r="D427" t="s">
        <v>243</v>
      </c>
      <c r="E427" t="s">
        <v>243</v>
      </c>
      <c r="F427" t="s">
        <v>2816</v>
      </c>
      <c r="G427" t="s">
        <v>243</v>
      </c>
      <c r="H427" t="s">
        <v>243</v>
      </c>
      <c r="I427" t="s">
        <v>3486</v>
      </c>
      <c r="J427" t="s">
        <v>243</v>
      </c>
      <c r="K427" t="s">
        <v>3487</v>
      </c>
      <c r="L427" t="s">
        <v>243</v>
      </c>
      <c r="M427" t="s">
        <v>114</v>
      </c>
      <c r="N427" t="s">
        <v>243</v>
      </c>
      <c r="O427" t="s">
        <v>2819</v>
      </c>
      <c r="P427" t="s">
        <v>4448</v>
      </c>
      <c r="Q427" t="s">
        <v>2821</v>
      </c>
      <c r="R427" t="s">
        <v>200</v>
      </c>
      <c r="S427" t="s">
        <v>200</v>
      </c>
      <c r="T427" t="s">
        <v>2968</v>
      </c>
      <c r="U427" t="s">
        <v>2968</v>
      </c>
      <c r="V427" t="s">
        <v>2969</v>
      </c>
      <c r="W427" t="s">
        <v>2970</v>
      </c>
      <c r="X427" t="s">
        <v>2971</v>
      </c>
      <c r="Y427" t="s">
        <v>3488</v>
      </c>
      <c r="Z427" t="s">
        <v>3489</v>
      </c>
      <c r="AA427" t="s">
        <v>3490</v>
      </c>
      <c r="AB427" t="s">
        <v>3491</v>
      </c>
      <c r="AC427" t="s">
        <v>2829</v>
      </c>
      <c r="AD427" t="s">
        <v>2883</v>
      </c>
      <c r="AE427" t="s">
        <v>2975</v>
      </c>
      <c r="AF427" t="s">
        <v>3492</v>
      </c>
      <c r="AG427" t="s">
        <v>3492</v>
      </c>
      <c r="AH427" t="s">
        <v>2834</v>
      </c>
      <c r="AI427" t="s">
        <v>2835</v>
      </c>
      <c r="AJ427" t="s">
        <v>3446</v>
      </c>
      <c r="AK427" t="s">
        <v>3493</v>
      </c>
      <c r="AL427" t="s">
        <v>3490</v>
      </c>
      <c r="AM427" t="s">
        <v>3106</v>
      </c>
      <c r="AN427" t="s">
        <v>2829</v>
      </c>
      <c r="AO427" t="s">
        <v>2839</v>
      </c>
      <c r="AP427" t="s">
        <v>2840</v>
      </c>
      <c r="AQ427" t="s">
        <v>2841</v>
      </c>
      <c r="AR427" t="s">
        <v>3494</v>
      </c>
      <c r="AS427" t="s">
        <v>3494</v>
      </c>
      <c r="AT427" t="s">
        <v>2829</v>
      </c>
      <c r="AU427" t="s">
        <v>2829</v>
      </c>
      <c r="AV427" t="s">
        <v>2829</v>
      </c>
      <c r="AW427" t="s">
        <v>2829</v>
      </c>
      <c r="AX427" t="s">
        <v>3495</v>
      </c>
      <c r="AY427" t="s">
        <v>3495</v>
      </c>
      <c r="AZ427" t="s">
        <v>2829</v>
      </c>
      <c r="BA427" t="s">
        <v>2829</v>
      </c>
      <c r="BB427" t="s">
        <v>2829</v>
      </c>
      <c r="BC427" t="s">
        <v>2829</v>
      </c>
      <c r="BD427" t="s">
        <v>3494</v>
      </c>
      <c r="BE427" t="s">
        <v>3494</v>
      </c>
      <c r="BF427" t="s">
        <v>243</v>
      </c>
      <c r="BG427" t="s">
        <v>243</v>
      </c>
      <c r="BH427" t="s">
        <v>243</v>
      </c>
      <c r="BI427" t="s">
        <v>243</v>
      </c>
      <c r="BJ427" t="s">
        <v>2829</v>
      </c>
      <c r="BK427" t="s">
        <v>243</v>
      </c>
      <c r="BL427" t="s">
        <v>243</v>
      </c>
      <c r="BM427" t="s">
        <v>243</v>
      </c>
      <c r="BN427" t="s">
        <v>243</v>
      </c>
      <c r="BO427" t="s">
        <v>243</v>
      </c>
      <c r="BP427" t="s">
        <v>2829</v>
      </c>
      <c r="BQ427" t="s">
        <v>243</v>
      </c>
      <c r="BR427" t="s">
        <v>243</v>
      </c>
      <c r="BS427" t="s">
        <v>243</v>
      </c>
      <c r="BT427" t="s">
        <v>243</v>
      </c>
      <c r="BU427" t="s">
        <v>243</v>
      </c>
      <c r="BV427" t="s">
        <v>3495</v>
      </c>
      <c r="BW427" t="s">
        <v>3495</v>
      </c>
      <c r="BX427" t="s">
        <v>243</v>
      </c>
      <c r="BY427" t="s">
        <v>243</v>
      </c>
      <c r="BZ427" t="s">
        <v>243</v>
      </c>
      <c r="CA427" t="s">
        <v>243</v>
      </c>
      <c r="CB427" t="s">
        <v>2829</v>
      </c>
      <c r="CC427" t="s">
        <v>243</v>
      </c>
      <c r="CD427" t="s">
        <v>243</v>
      </c>
      <c r="CE427" t="s">
        <v>243</v>
      </c>
      <c r="CF427" t="s">
        <v>243</v>
      </c>
      <c r="CG427" t="s">
        <v>243</v>
      </c>
      <c r="CH427" t="s">
        <v>2829</v>
      </c>
      <c r="CI427" t="s">
        <v>243</v>
      </c>
      <c r="CJ427" t="s">
        <v>243</v>
      </c>
      <c r="CK427" t="s">
        <v>243</v>
      </c>
      <c r="CL427" t="s">
        <v>243</v>
      </c>
      <c r="CM427" t="s">
        <v>243</v>
      </c>
      <c r="CN427" t="s">
        <v>2983</v>
      </c>
      <c r="CO427" t="s">
        <v>2843</v>
      </c>
      <c r="CP427" t="s">
        <v>2844</v>
      </c>
      <c r="CQ427" t="s">
        <v>430</v>
      </c>
      <c r="CR427" t="s">
        <v>2984</v>
      </c>
      <c r="CS427" t="s">
        <v>431</v>
      </c>
      <c r="CT427" t="s">
        <v>430</v>
      </c>
      <c r="CU427" t="s">
        <v>2985</v>
      </c>
      <c r="CV427" t="s">
        <v>2986</v>
      </c>
      <c r="CW427" t="s">
        <v>2984</v>
      </c>
      <c r="CX427" t="s">
        <v>2848</v>
      </c>
      <c r="CY427" t="s">
        <v>3496</v>
      </c>
    </row>
    <row r="428" spans="1:103" ht="11.25" customHeight="1">
      <c r="A428" t="s">
        <v>243</v>
      </c>
      <c r="B428" t="s">
        <v>243</v>
      </c>
      <c r="C428" t="s">
        <v>243</v>
      </c>
      <c r="D428" t="s">
        <v>243</v>
      </c>
      <c r="E428" t="s">
        <v>243</v>
      </c>
      <c r="F428" t="s">
        <v>2816</v>
      </c>
      <c r="G428" t="s">
        <v>243</v>
      </c>
      <c r="H428" t="s">
        <v>243</v>
      </c>
      <c r="I428" t="s">
        <v>3715</v>
      </c>
      <c r="J428" t="s">
        <v>243</v>
      </c>
      <c r="K428" t="s">
        <v>3716</v>
      </c>
      <c r="L428" t="s">
        <v>243</v>
      </c>
      <c r="M428" t="s">
        <v>114</v>
      </c>
      <c r="N428" t="s">
        <v>243</v>
      </c>
      <c r="O428" t="s">
        <v>3356</v>
      </c>
      <c r="P428" t="s">
        <v>4448</v>
      </c>
      <c r="Q428" t="s">
        <v>2821</v>
      </c>
      <c r="R428" t="s">
        <v>190</v>
      </c>
      <c r="S428" t="s">
        <v>190</v>
      </c>
      <c r="T428" t="s">
        <v>2968</v>
      </c>
      <c r="U428" t="s">
        <v>2968</v>
      </c>
      <c r="V428" t="s">
        <v>2969</v>
      </c>
      <c r="W428" t="s">
        <v>3003</v>
      </c>
      <c r="X428" t="s">
        <v>3004</v>
      </c>
      <c r="Y428" t="s">
        <v>3717</v>
      </c>
      <c r="Z428" t="s">
        <v>3202</v>
      </c>
      <c r="AA428" t="s">
        <v>3217</v>
      </c>
      <c r="AB428" t="s">
        <v>2842</v>
      </c>
      <c r="AC428" t="s">
        <v>2829</v>
      </c>
      <c r="AD428" t="s">
        <v>2883</v>
      </c>
      <c r="AE428" t="s">
        <v>2857</v>
      </c>
      <c r="AF428" t="s">
        <v>3718</v>
      </c>
      <c r="AG428" t="s">
        <v>3718</v>
      </c>
      <c r="AH428" t="s">
        <v>2834</v>
      </c>
      <c r="AI428" t="s">
        <v>2835</v>
      </c>
      <c r="AJ428" t="s">
        <v>3130</v>
      </c>
      <c r="AK428" t="s">
        <v>3483</v>
      </c>
      <c r="AL428" t="s">
        <v>243</v>
      </c>
      <c r="AM428" t="s">
        <v>243</v>
      </c>
      <c r="AN428" t="s">
        <v>243</v>
      </c>
      <c r="AR428" t="s">
        <v>243</v>
      </c>
      <c r="AS428" t="s">
        <v>243</v>
      </c>
      <c r="AT428" t="s">
        <v>243</v>
      </c>
      <c r="AU428" t="s">
        <v>243</v>
      </c>
      <c r="AV428" t="s">
        <v>243</v>
      </c>
      <c r="AW428" t="s">
        <v>243</v>
      </c>
      <c r="AX428" t="s">
        <v>243</v>
      </c>
      <c r="AY428" t="s">
        <v>243</v>
      </c>
      <c r="AZ428" t="s">
        <v>243</v>
      </c>
      <c r="BA428" t="s">
        <v>243</v>
      </c>
      <c r="BB428" t="s">
        <v>243</v>
      </c>
      <c r="BC428" t="s">
        <v>243</v>
      </c>
      <c r="BD428" t="s">
        <v>243</v>
      </c>
      <c r="BE428" t="s">
        <v>243</v>
      </c>
      <c r="BF428" t="s">
        <v>243</v>
      </c>
      <c r="BG428" t="s">
        <v>243</v>
      </c>
      <c r="BH428" t="s">
        <v>243</v>
      </c>
      <c r="BI428" t="s">
        <v>243</v>
      </c>
      <c r="BJ428" t="s">
        <v>243</v>
      </c>
      <c r="BK428" t="s">
        <v>243</v>
      </c>
      <c r="BL428" t="s">
        <v>243</v>
      </c>
      <c r="BM428" t="s">
        <v>243</v>
      </c>
      <c r="BN428" t="s">
        <v>243</v>
      </c>
      <c r="BO428" t="s">
        <v>243</v>
      </c>
      <c r="BP428" t="s">
        <v>243</v>
      </c>
      <c r="BQ428" t="s">
        <v>243</v>
      </c>
      <c r="BR428" t="s">
        <v>243</v>
      </c>
      <c r="BS428" t="s">
        <v>243</v>
      </c>
      <c r="BT428" t="s">
        <v>243</v>
      </c>
      <c r="BU428" t="s">
        <v>243</v>
      </c>
      <c r="BV428" t="s">
        <v>243</v>
      </c>
      <c r="BW428" t="s">
        <v>243</v>
      </c>
      <c r="BX428" t="s">
        <v>243</v>
      </c>
      <c r="BY428" t="s">
        <v>243</v>
      </c>
      <c r="BZ428" t="s">
        <v>243</v>
      </c>
      <c r="CA428" t="s">
        <v>243</v>
      </c>
      <c r="CB428" t="s">
        <v>243</v>
      </c>
      <c r="CC428" t="s">
        <v>243</v>
      </c>
      <c r="CD428" t="s">
        <v>243</v>
      </c>
      <c r="CE428" t="s">
        <v>243</v>
      </c>
      <c r="CF428" t="s">
        <v>243</v>
      </c>
      <c r="CG428" t="s">
        <v>243</v>
      </c>
      <c r="CH428" t="s">
        <v>243</v>
      </c>
      <c r="CI428" t="s">
        <v>243</v>
      </c>
      <c r="CJ428" t="s">
        <v>243</v>
      </c>
      <c r="CK428" t="s">
        <v>243</v>
      </c>
      <c r="CL428" t="s">
        <v>243</v>
      </c>
      <c r="CM428" t="s">
        <v>243</v>
      </c>
      <c r="CN428" t="s">
        <v>243</v>
      </c>
      <c r="CO428" t="s">
        <v>2843</v>
      </c>
      <c r="CP428" t="s">
        <v>2844</v>
      </c>
      <c r="CQ428" t="s">
        <v>430</v>
      </c>
      <c r="CR428" t="s">
        <v>2984</v>
      </c>
      <c r="CS428" t="s">
        <v>431</v>
      </c>
      <c r="CT428" t="s">
        <v>430</v>
      </c>
      <c r="CU428" t="s">
        <v>2985</v>
      </c>
      <c r="CV428" t="s">
        <v>2986</v>
      </c>
      <c r="CW428" t="s">
        <v>2984</v>
      </c>
      <c r="CX428" t="s">
        <v>2848</v>
      </c>
      <c r="CY428" t="s">
        <v>3719</v>
      </c>
    </row>
    <row r="429" spans="1:103" ht="11.25" customHeight="1">
      <c r="A429" t="s">
        <v>243</v>
      </c>
      <c r="B429" t="s">
        <v>243</v>
      </c>
      <c r="C429" t="s">
        <v>243</v>
      </c>
      <c r="D429" t="s">
        <v>243</v>
      </c>
      <c r="E429" t="s">
        <v>243</v>
      </c>
      <c r="F429" t="s">
        <v>2816</v>
      </c>
      <c r="G429" t="s">
        <v>243</v>
      </c>
      <c r="H429" t="s">
        <v>243</v>
      </c>
      <c r="I429" t="s">
        <v>3720</v>
      </c>
      <c r="J429" t="s">
        <v>243</v>
      </c>
      <c r="K429" t="s">
        <v>3721</v>
      </c>
      <c r="L429" t="s">
        <v>243</v>
      </c>
      <c r="M429" t="s">
        <v>114</v>
      </c>
      <c r="N429" t="s">
        <v>243</v>
      </c>
      <c r="O429" t="s">
        <v>2819</v>
      </c>
      <c r="P429" t="s">
        <v>4448</v>
      </c>
      <c r="Q429" t="s">
        <v>2821</v>
      </c>
      <c r="R429" t="s">
        <v>200</v>
      </c>
      <c r="S429" t="s">
        <v>200</v>
      </c>
      <c r="T429" t="s">
        <v>2968</v>
      </c>
      <c r="U429" t="s">
        <v>2968</v>
      </c>
      <c r="V429" t="s">
        <v>2969</v>
      </c>
      <c r="W429" t="s">
        <v>3722</v>
      </c>
      <c r="X429" t="s">
        <v>3723</v>
      </c>
      <c r="Y429" t="s">
        <v>3724</v>
      </c>
      <c r="Z429" t="s">
        <v>3725</v>
      </c>
      <c r="AA429" t="s">
        <v>3726</v>
      </c>
      <c r="AB429" t="s">
        <v>3727</v>
      </c>
      <c r="AC429" t="s">
        <v>2829</v>
      </c>
      <c r="AD429" t="s">
        <v>2883</v>
      </c>
      <c r="AE429" t="s">
        <v>2857</v>
      </c>
      <c r="AF429" t="s">
        <v>3728</v>
      </c>
      <c r="AG429" t="s">
        <v>3728</v>
      </c>
      <c r="AH429" t="s">
        <v>2834</v>
      </c>
      <c r="AI429" t="s">
        <v>2835</v>
      </c>
      <c r="AJ429" t="s">
        <v>3572</v>
      </c>
      <c r="AK429" t="s">
        <v>3729</v>
      </c>
      <c r="AL429" t="s">
        <v>3726</v>
      </c>
      <c r="AM429" t="s">
        <v>3727</v>
      </c>
      <c r="AN429" t="s">
        <v>2829</v>
      </c>
      <c r="AO429" t="s">
        <v>2839</v>
      </c>
      <c r="AP429" t="s">
        <v>2840</v>
      </c>
      <c r="AQ429" t="s">
        <v>2841</v>
      </c>
      <c r="AR429" t="s">
        <v>3730</v>
      </c>
      <c r="AS429" t="s">
        <v>3730</v>
      </c>
      <c r="AT429" t="s">
        <v>2829</v>
      </c>
      <c r="AU429" t="s">
        <v>2829</v>
      </c>
      <c r="AV429" t="s">
        <v>2829</v>
      </c>
      <c r="AW429" t="s">
        <v>2829</v>
      </c>
      <c r="AX429" t="s">
        <v>2829</v>
      </c>
      <c r="AY429" t="s">
        <v>2829</v>
      </c>
      <c r="AZ429" t="s">
        <v>2829</v>
      </c>
      <c r="BA429" t="s">
        <v>2829</v>
      </c>
      <c r="BB429" t="s">
        <v>2829</v>
      </c>
      <c r="BC429" t="s">
        <v>2829</v>
      </c>
      <c r="BD429" t="s">
        <v>3731</v>
      </c>
      <c r="BE429" t="s">
        <v>3731</v>
      </c>
      <c r="BF429" t="s">
        <v>243</v>
      </c>
      <c r="BG429" t="s">
        <v>243</v>
      </c>
      <c r="BH429" t="s">
        <v>243</v>
      </c>
      <c r="BI429" t="s">
        <v>243</v>
      </c>
      <c r="BJ429" t="s">
        <v>2829</v>
      </c>
      <c r="BK429" t="s">
        <v>243</v>
      </c>
      <c r="BL429" t="s">
        <v>243</v>
      </c>
      <c r="BM429" t="s">
        <v>243</v>
      </c>
      <c r="BN429" t="s">
        <v>243</v>
      </c>
      <c r="BO429" t="s">
        <v>243</v>
      </c>
      <c r="BP429" t="s">
        <v>3732</v>
      </c>
      <c r="BQ429" t="s">
        <v>3732</v>
      </c>
      <c r="BR429" t="s">
        <v>243</v>
      </c>
      <c r="BS429" t="s">
        <v>243</v>
      </c>
      <c r="BT429" t="s">
        <v>243</v>
      </c>
      <c r="BU429" t="s">
        <v>243</v>
      </c>
      <c r="BV429" t="s">
        <v>2829</v>
      </c>
      <c r="BW429" t="s">
        <v>243</v>
      </c>
      <c r="BX429" t="s">
        <v>243</v>
      </c>
      <c r="BY429" t="s">
        <v>243</v>
      </c>
      <c r="BZ429" t="s">
        <v>243</v>
      </c>
      <c r="CA429" t="s">
        <v>243</v>
      </c>
      <c r="CB429" t="s">
        <v>2829</v>
      </c>
      <c r="CC429" t="s">
        <v>243</v>
      </c>
      <c r="CD429" t="s">
        <v>243</v>
      </c>
      <c r="CE429" t="s">
        <v>243</v>
      </c>
      <c r="CF429" t="s">
        <v>243</v>
      </c>
      <c r="CG429" t="s">
        <v>243</v>
      </c>
      <c r="CH429" t="s">
        <v>2829</v>
      </c>
      <c r="CI429" t="s">
        <v>243</v>
      </c>
      <c r="CJ429" t="s">
        <v>243</v>
      </c>
      <c r="CK429" t="s">
        <v>243</v>
      </c>
      <c r="CL429" t="s">
        <v>243</v>
      </c>
      <c r="CM429" t="s">
        <v>243</v>
      </c>
      <c r="CN429" t="s">
        <v>3010</v>
      </c>
      <c r="CO429" t="s">
        <v>2843</v>
      </c>
      <c r="CP429" t="s">
        <v>2844</v>
      </c>
      <c r="CQ429" t="s">
        <v>430</v>
      </c>
      <c r="CR429" t="s">
        <v>2984</v>
      </c>
      <c r="CS429" t="s">
        <v>431</v>
      </c>
      <c r="CT429" t="s">
        <v>430</v>
      </c>
      <c r="CU429" t="s">
        <v>2985</v>
      </c>
      <c r="CV429" t="s">
        <v>2986</v>
      </c>
      <c r="CW429" t="s">
        <v>2984</v>
      </c>
      <c r="CX429" t="s">
        <v>2848</v>
      </c>
      <c r="CY429" t="s">
        <v>3733</v>
      </c>
    </row>
    <row r="430" spans="1:103" ht="11.25" customHeight="1">
      <c r="A430" t="s">
        <v>243</v>
      </c>
      <c r="B430" t="s">
        <v>243</v>
      </c>
      <c r="C430" t="s">
        <v>243</v>
      </c>
      <c r="D430" t="s">
        <v>243</v>
      </c>
      <c r="E430" t="s">
        <v>243</v>
      </c>
      <c r="F430" t="s">
        <v>2816</v>
      </c>
      <c r="G430" t="s">
        <v>243</v>
      </c>
      <c r="H430" t="s">
        <v>243</v>
      </c>
      <c r="I430" t="s">
        <v>3387</v>
      </c>
      <c r="J430" t="s">
        <v>243</v>
      </c>
      <c r="K430" t="s">
        <v>3388</v>
      </c>
      <c r="L430" t="s">
        <v>243</v>
      </c>
      <c r="M430" t="s">
        <v>114</v>
      </c>
      <c r="N430" t="s">
        <v>243</v>
      </c>
      <c r="O430" t="s">
        <v>2819</v>
      </c>
      <c r="P430" t="s">
        <v>4448</v>
      </c>
      <c r="Q430" t="s">
        <v>2821</v>
      </c>
      <c r="R430" t="s">
        <v>200</v>
      </c>
      <c r="S430" t="s">
        <v>200</v>
      </c>
      <c r="T430" t="s">
        <v>3022</v>
      </c>
      <c r="U430" t="s">
        <v>3022</v>
      </c>
      <c r="V430" t="s">
        <v>3023</v>
      </c>
      <c r="W430" t="s">
        <v>3389</v>
      </c>
      <c r="X430" t="s">
        <v>3390</v>
      </c>
      <c r="Y430" t="s">
        <v>3391</v>
      </c>
      <c r="Z430" t="s">
        <v>1847</v>
      </c>
      <c r="AA430" t="s">
        <v>3392</v>
      </c>
      <c r="AB430" t="s">
        <v>3393</v>
      </c>
      <c r="AC430" t="s">
        <v>2829</v>
      </c>
      <c r="AD430" t="s">
        <v>2883</v>
      </c>
      <c r="AE430" t="s">
        <v>2831</v>
      </c>
      <c r="AF430" t="s">
        <v>3394</v>
      </c>
      <c r="AG430" t="s">
        <v>3394</v>
      </c>
      <c r="AH430" t="s">
        <v>2834</v>
      </c>
      <c r="AI430" t="s">
        <v>2835</v>
      </c>
      <c r="AJ430" t="s">
        <v>3030</v>
      </c>
      <c r="AK430" t="s">
        <v>3185</v>
      </c>
      <c r="AL430" t="s">
        <v>3392</v>
      </c>
      <c r="AM430" t="s">
        <v>3393</v>
      </c>
      <c r="AN430" t="s">
        <v>2829</v>
      </c>
      <c r="AO430" t="s">
        <v>2839</v>
      </c>
      <c r="AP430" t="s">
        <v>2840</v>
      </c>
      <c r="AQ430" t="s">
        <v>2841</v>
      </c>
      <c r="AR430" t="s">
        <v>3395</v>
      </c>
      <c r="AS430" t="s">
        <v>3395</v>
      </c>
      <c r="AT430" t="s">
        <v>2829</v>
      </c>
      <c r="AU430" t="s">
        <v>2829</v>
      </c>
      <c r="AV430" t="s">
        <v>2829</v>
      </c>
      <c r="AW430" t="s">
        <v>2829</v>
      </c>
      <c r="AX430" t="s">
        <v>2829</v>
      </c>
      <c r="AY430" t="s">
        <v>2829</v>
      </c>
      <c r="AZ430" t="s">
        <v>2829</v>
      </c>
      <c r="BA430" t="s">
        <v>2829</v>
      </c>
      <c r="BB430" t="s">
        <v>2829</v>
      </c>
      <c r="BC430" t="s">
        <v>2829</v>
      </c>
      <c r="BD430" t="s">
        <v>2829</v>
      </c>
      <c r="BE430" t="s">
        <v>243</v>
      </c>
      <c r="BF430" t="s">
        <v>243</v>
      </c>
      <c r="BG430" t="s">
        <v>243</v>
      </c>
      <c r="BH430" t="s">
        <v>243</v>
      </c>
      <c r="BI430" t="s">
        <v>243</v>
      </c>
      <c r="BJ430" t="s">
        <v>2829</v>
      </c>
      <c r="BK430" t="s">
        <v>243</v>
      </c>
      <c r="BL430" t="s">
        <v>243</v>
      </c>
      <c r="BM430" t="s">
        <v>243</v>
      </c>
      <c r="BN430" t="s">
        <v>243</v>
      </c>
      <c r="BO430" t="s">
        <v>243</v>
      </c>
      <c r="BP430" t="s">
        <v>3395</v>
      </c>
      <c r="BQ430" t="s">
        <v>3395</v>
      </c>
      <c r="BR430" t="s">
        <v>243</v>
      </c>
      <c r="BS430" t="s">
        <v>243</v>
      </c>
      <c r="BT430" t="s">
        <v>243</v>
      </c>
      <c r="BU430" t="s">
        <v>243</v>
      </c>
      <c r="BV430" t="s">
        <v>2829</v>
      </c>
      <c r="BW430" t="s">
        <v>243</v>
      </c>
      <c r="BX430" t="s">
        <v>243</v>
      </c>
      <c r="BY430" t="s">
        <v>243</v>
      </c>
      <c r="BZ430" t="s">
        <v>243</v>
      </c>
      <c r="CA430" t="s">
        <v>243</v>
      </c>
      <c r="CB430" t="s">
        <v>2829</v>
      </c>
      <c r="CC430" t="s">
        <v>243</v>
      </c>
      <c r="CD430" t="s">
        <v>243</v>
      </c>
      <c r="CE430" t="s">
        <v>243</v>
      </c>
      <c r="CF430" t="s">
        <v>243</v>
      </c>
      <c r="CG430" t="s">
        <v>243</v>
      </c>
      <c r="CH430" t="s">
        <v>2829</v>
      </c>
      <c r="CI430" t="s">
        <v>243</v>
      </c>
      <c r="CJ430" t="s">
        <v>243</v>
      </c>
      <c r="CK430" t="s">
        <v>243</v>
      </c>
      <c r="CL430" t="s">
        <v>243</v>
      </c>
      <c r="CM430" t="s">
        <v>243</v>
      </c>
      <c r="CN430" t="s">
        <v>3030</v>
      </c>
      <c r="CO430" t="s">
        <v>2843</v>
      </c>
      <c r="CP430" t="s">
        <v>2844</v>
      </c>
      <c r="CQ430" t="s">
        <v>430</v>
      </c>
      <c r="CR430" t="s">
        <v>3033</v>
      </c>
      <c r="CS430" t="s">
        <v>431</v>
      </c>
      <c r="CT430" t="s">
        <v>430</v>
      </c>
      <c r="CU430" t="s">
        <v>3034</v>
      </c>
      <c r="CV430" t="s">
        <v>432</v>
      </c>
      <c r="CW430" t="s">
        <v>3033</v>
      </c>
      <c r="CX430" t="s">
        <v>2848</v>
      </c>
      <c r="CY430" t="s">
        <v>3396</v>
      </c>
    </row>
    <row r="431" spans="1:103" ht="11.25" customHeight="1">
      <c r="A431" t="s">
        <v>243</v>
      </c>
      <c r="B431" t="s">
        <v>243</v>
      </c>
      <c r="C431" t="s">
        <v>243</v>
      </c>
      <c r="D431" t="s">
        <v>243</v>
      </c>
      <c r="E431" t="s">
        <v>243</v>
      </c>
      <c r="F431" t="s">
        <v>2816</v>
      </c>
      <c r="G431" t="s">
        <v>243</v>
      </c>
      <c r="H431" t="s">
        <v>243</v>
      </c>
      <c r="I431" t="s">
        <v>3532</v>
      </c>
      <c r="J431" t="s">
        <v>243</v>
      </c>
      <c r="K431" t="s">
        <v>458</v>
      </c>
      <c r="L431" t="s">
        <v>243</v>
      </c>
      <c r="M431" t="s">
        <v>114</v>
      </c>
      <c r="N431" t="s">
        <v>243</v>
      </c>
      <c r="O431" t="s">
        <v>2819</v>
      </c>
      <c r="P431" t="s">
        <v>4448</v>
      </c>
      <c r="Q431" t="s">
        <v>2821</v>
      </c>
      <c r="R431" t="s">
        <v>200</v>
      </c>
      <c r="S431" t="s">
        <v>200</v>
      </c>
      <c r="T431" t="s">
        <v>405</v>
      </c>
      <c r="U431" t="s">
        <v>405</v>
      </c>
      <c r="V431" t="s">
        <v>406</v>
      </c>
      <c r="W431" t="s">
        <v>3155</v>
      </c>
      <c r="X431" t="s">
        <v>3156</v>
      </c>
      <c r="Y431" t="s">
        <v>2918</v>
      </c>
      <c r="Z431" t="s">
        <v>3533</v>
      </c>
      <c r="AA431" t="s">
        <v>3385</v>
      </c>
      <c r="AB431" t="s">
        <v>3534</v>
      </c>
      <c r="AC431" t="s">
        <v>243</v>
      </c>
      <c r="AD431" t="s">
        <v>2883</v>
      </c>
      <c r="AE431" t="s">
        <v>2831</v>
      </c>
      <c r="AF431" t="s">
        <v>3401</v>
      </c>
      <c r="AG431" t="s">
        <v>3401</v>
      </c>
      <c r="AH431" t="s">
        <v>2834</v>
      </c>
      <c r="AI431" t="s">
        <v>2835</v>
      </c>
      <c r="AJ431" t="s">
        <v>2888</v>
      </c>
      <c r="AK431" t="s">
        <v>3450</v>
      </c>
      <c r="AL431" t="s">
        <v>3385</v>
      </c>
      <c r="AM431" t="s">
        <v>3534</v>
      </c>
      <c r="AN431" t="s">
        <v>243</v>
      </c>
      <c r="AO431" t="s">
        <v>2839</v>
      </c>
      <c r="AP431" t="s">
        <v>2840</v>
      </c>
      <c r="AQ431" t="s">
        <v>2841</v>
      </c>
      <c r="AR431" t="s">
        <v>3535</v>
      </c>
      <c r="AS431" t="s">
        <v>3535</v>
      </c>
      <c r="AT431" t="s">
        <v>2829</v>
      </c>
      <c r="AU431" t="s">
        <v>2829</v>
      </c>
      <c r="AV431" t="s">
        <v>2829</v>
      </c>
      <c r="AW431" t="s">
        <v>2829</v>
      </c>
      <c r="AX431" t="s">
        <v>2829</v>
      </c>
      <c r="AY431" t="s">
        <v>2829</v>
      </c>
      <c r="AZ431" t="s">
        <v>2829</v>
      </c>
      <c r="BA431" t="s">
        <v>2829</v>
      </c>
      <c r="BB431" t="s">
        <v>2829</v>
      </c>
      <c r="BC431" t="s">
        <v>2829</v>
      </c>
      <c r="BD431" t="s">
        <v>3535</v>
      </c>
      <c r="BE431" t="s">
        <v>3535</v>
      </c>
      <c r="BF431" t="s">
        <v>243</v>
      </c>
      <c r="BG431" t="s">
        <v>243</v>
      </c>
      <c r="BH431" t="s">
        <v>243</v>
      </c>
      <c r="BI431" t="s">
        <v>243</v>
      </c>
      <c r="BJ431" t="s">
        <v>2829</v>
      </c>
      <c r="BK431" t="s">
        <v>243</v>
      </c>
      <c r="BL431" t="s">
        <v>243</v>
      </c>
      <c r="BM431" t="s">
        <v>243</v>
      </c>
      <c r="BN431" t="s">
        <v>243</v>
      </c>
      <c r="BO431" t="s">
        <v>243</v>
      </c>
      <c r="BP431" t="s">
        <v>2829</v>
      </c>
      <c r="BQ431" t="s">
        <v>243</v>
      </c>
      <c r="BR431" t="s">
        <v>243</v>
      </c>
      <c r="BS431" t="s">
        <v>243</v>
      </c>
      <c r="BT431" t="s">
        <v>243</v>
      </c>
      <c r="BU431" t="s">
        <v>243</v>
      </c>
      <c r="BV431" t="s">
        <v>2829</v>
      </c>
      <c r="BW431" t="s">
        <v>243</v>
      </c>
      <c r="BX431" t="s">
        <v>243</v>
      </c>
      <c r="BY431" t="s">
        <v>243</v>
      </c>
      <c r="BZ431" t="s">
        <v>243</v>
      </c>
      <c r="CA431" t="s">
        <v>243</v>
      </c>
      <c r="CB431" t="s">
        <v>2829</v>
      </c>
      <c r="CC431" t="s">
        <v>243</v>
      </c>
      <c r="CD431" t="s">
        <v>243</v>
      </c>
      <c r="CE431" t="s">
        <v>243</v>
      </c>
      <c r="CF431" t="s">
        <v>243</v>
      </c>
      <c r="CG431" t="s">
        <v>243</v>
      </c>
      <c r="CH431" t="s">
        <v>2829</v>
      </c>
      <c r="CI431" t="s">
        <v>243</v>
      </c>
      <c r="CJ431" t="s">
        <v>243</v>
      </c>
      <c r="CK431" t="s">
        <v>243</v>
      </c>
      <c r="CL431" t="s">
        <v>243</v>
      </c>
      <c r="CM431" t="s">
        <v>243</v>
      </c>
      <c r="CN431" t="s">
        <v>2888</v>
      </c>
      <c r="CO431" t="s">
        <v>2843</v>
      </c>
      <c r="CP431" t="s">
        <v>2844</v>
      </c>
      <c r="CQ431" t="s">
        <v>470</v>
      </c>
      <c r="CR431" t="s">
        <v>2872</v>
      </c>
      <c r="CS431" t="s">
        <v>431</v>
      </c>
      <c r="CT431" t="s">
        <v>470</v>
      </c>
      <c r="CU431" t="s">
        <v>444</v>
      </c>
      <c r="CV431" t="s">
        <v>445</v>
      </c>
      <c r="CW431" t="s">
        <v>2872</v>
      </c>
      <c r="CX431" t="s">
        <v>2848</v>
      </c>
      <c r="CY431" t="s">
        <v>459</v>
      </c>
    </row>
    <row r="432" spans="1:103" ht="11.25" customHeight="1">
      <c r="A432" t="s">
        <v>243</v>
      </c>
      <c r="B432" t="s">
        <v>243</v>
      </c>
      <c r="C432" t="s">
        <v>243</v>
      </c>
      <c r="D432" t="s">
        <v>243</v>
      </c>
      <c r="E432" t="s">
        <v>243</v>
      </c>
      <c r="F432" t="s">
        <v>2816</v>
      </c>
      <c r="G432" t="s">
        <v>243</v>
      </c>
      <c r="H432" t="s">
        <v>243</v>
      </c>
      <c r="I432" t="s">
        <v>3322</v>
      </c>
      <c r="J432" t="s">
        <v>243</v>
      </c>
      <c r="K432" t="s">
        <v>461</v>
      </c>
      <c r="L432" t="s">
        <v>243</v>
      </c>
      <c r="M432" t="s">
        <v>114</v>
      </c>
      <c r="N432" t="s">
        <v>243</v>
      </c>
      <c r="O432" t="s">
        <v>2819</v>
      </c>
      <c r="P432" t="s">
        <v>4448</v>
      </c>
      <c r="Q432" t="s">
        <v>2821</v>
      </c>
      <c r="R432" t="s">
        <v>200</v>
      </c>
      <c r="S432" t="s">
        <v>200</v>
      </c>
      <c r="T432" t="s">
        <v>405</v>
      </c>
      <c r="U432" t="s">
        <v>405</v>
      </c>
      <c r="V432" t="s">
        <v>406</v>
      </c>
      <c r="W432" t="s">
        <v>3155</v>
      </c>
      <c r="X432" t="s">
        <v>3156</v>
      </c>
      <c r="Y432" t="s">
        <v>3536</v>
      </c>
      <c r="Z432" t="s">
        <v>3537</v>
      </c>
      <c r="AA432" t="s">
        <v>3094</v>
      </c>
      <c r="AB432" t="s">
        <v>3183</v>
      </c>
      <c r="AC432" t="s">
        <v>243</v>
      </c>
      <c r="AD432" t="s">
        <v>2883</v>
      </c>
      <c r="AE432" t="s">
        <v>2831</v>
      </c>
      <c r="AF432" t="s">
        <v>3401</v>
      </c>
      <c r="AG432" t="s">
        <v>3401</v>
      </c>
      <c r="AH432" t="s">
        <v>2834</v>
      </c>
      <c r="AI432" t="s">
        <v>2835</v>
      </c>
      <c r="AJ432" t="s">
        <v>2888</v>
      </c>
      <c r="AK432" t="s">
        <v>3450</v>
      </c>
      <c r="AL432" t="s">
        <v>3094</v>
      </c>
      <c r="AM432" t="s">
        <v>3183</v>
      </c>
      <c r="AN432" t="s">
        <v>243</v>
      </c>
      <c r="AO432" t="s">
        <v>2839</v>
      </c>
      <c r="AP432" t="s">
        <v>2840</v>
      </c>
      <c r="AQ432" t="s">
        <v>2841</v>
      </c>
      <c r="AR432" t="s">
        <v>3538</v>
      </c>
      <c r="AS432" t="s">
        <v>3538</v>
      </c>
      <c r="AT432" t="s">
        <v>2829</v>
      </c>
      <c r="AU432" t="s">
        <v>2829</v>
      </c>
      <c r="AV432" t="s">
        <v>2829</v>
      </c>
      <c r="AW432" t="s">
        <v>2829</v>
      </c>
      <c r="AX432" t="s">
        <v>2829</v>
      </c>
      <c r="AY432" t="s">
        <v>2829</v>
      </c>
      <c r="AZ432" t="s">
        <v>2829</v>
      </c>
      <c r="BA432" t="s">
        <v>2829</v>
      </c>
      <c r="BB432" t="s">
        <v>2829</v>
      </c>
      <c r="BC432" t="s">
        <v>2829</v>
      </c>
      <c r="BD432" t="s">
        <v>3538</v>
      </c>
      <c r="BE432" t="s">
        <v>3538</v>
      </c>
      <c r="BF432" t="s">
        <v>243</v>
      </c>
      <c r="BG432" t="s">
        <v>243</v>
      </c>
      <c r="BH432" t="s">
        <v>243</v>
      </c>
      <c r="BI432" t="s">
        <v>243</v>
      </c>
      <c r="BJ432" t="s">
        <v>2829</v>
      </c>
      <c r="BK432" t="s">
        <v>243</v>
      </c>
      <c r="BL432" t="s">
        <v>243</v>
      </c>
      <c r="BM432" t="s">
        <v>243</v>
      </c>
      <c r="BN432" t="s">
        <v>243</v>
      </c>
      <c r="BO432" t="s">
        <v>243</v>
      </c>
      <c r="BP432" t="s">
        <v>2829</v>
      </c>
      <c r="BQ432" t="s">
        <v>243</v>
      </c>
      <c r="BR432" t="s">
        <v>243</v>
      </c>
      <c r="BS432" t="s">
        <v>243</v>
      </c>
      <c r="BT432" t="s">
        <v>243</v>
      </c>
      <c r="BU432" t="s">
        <v>243</v>
      </c>
      <c r="BV432" t="s">
        <v>2829</v>
      </c>
      <c r="BW432" t="s">
        <v>243</v>
      </c>
      <c r="BX432" t="s">
        <v>243</v>
      </c>
      <c r="BY432" t="s">
        <v>243</v>
      </c>
      <c r="BZ432" t="s">
        <v>243</v>
      </c>
      <c r="CA432" t="s">
        <v>243</v>
      </c>
      <c r="CB432" t="s">
        <v>2829</v>
      </c>
      <c r="CC432" t="s">
        <v>243</v>
      </c>
      <c r="CD432" t="s">
        <v>243</v>
      </c>
      <c r="CE432" t="s">
        <v>243</v>
      </c>
      <c r="CF432" t="s">
        <v>243</v>
      </c>
      <c r="CG432" t="s">
        <v>243</v>
      </c>
      <c r="CH432" t="s">
        <v>2829</v>
      </c>
      <c r="CI432" t="s">
        <v>243</v>
      </c>
      <c r="CJ432" t="s">
        <v>243</v>
      </c>
      <c r="CK432" t="s">
        <v>243</v>
      </c>
      <c r="CL432" t="s">
        <v>243</v>
      </c>
      <c r="CM432" t="s">
        <v>243</v>
      </c>
      <c r="CN432" t="s">
        <v>2888</v>
      </c>
      <c r="CO432" t="s">
        <v>2843</v>
      </c>
      <c r="CP432" t="s">
        <v>2844</v>
      </c>
      <c r="CQ432" t="s">
        <v>470</v>
      </c>
      <c r="CR432" t="s">
        <v>2872</v>
      </c>
      <c r="CS432" t="s">
        <v>431</v>
      </c>
      <c r="CT432" t="s">
        <v>470</v>
      </c>
      <c r="CU432" t="s">
        <v>444</v>
      </c>
      <c r="CV432" t="s">
        <v>445</v>
      </c>
      <c r="CW432" t="s">
        <v>2872</v>
      </c>
      <c r="CX432" t="s">
        <v>2848</v>
      </c>
      <c r="CY432" t="s">
        <v>462</v>
      </c>
    </row>
    <row r="433" spans="1:103" ht="11.25" customHeight="1">
      <c r="A433" t="s">
        <v>243</v>
      </c>
      <c r="B433" t="s">
        <v>243</v>
      </c>
      <c r="C433" t="s">
        <v>243</v>
      </c>
      <c r="D433" t="s">
        <v>243</v>
      </c>
      <c r="E433" t="s">
        <v>243</v>
      </c>
      <c r="F433" t="s">
        <v>2816</v>
      </c>
      <c r="G433" t="s">
        <v>243</v>
      </c>
      <c r="H433" t="s">
        <v>243</v>
      </c>
      <c r="I433" t="s">
        <v>596</v>
      </c>
      <c r="J433" t="s">
        <v>243</v>
      </c>
      <c r="K433" t="s">
        <v>3047</v>
      </c>
      <c r="L433" t="s">
        <v>243</v>
      </c>
      <c r="M433" t="s">
        <v>114</v>
      </c>
      <c r="N433" t="s">
        <v>243</v>
      </c>
      <c r="O433" t="s">
        <v>2819</v>
      </c>
      <c r="P433" t="s">
        <v>4448</v>
      </c>
      <c r="Q433" t="s">
        <v>2821</v>
      </c>
      <c r="R433" t="s">
        <v>200</v>
      </c>
      <c r="S433" t="s">
        <v>200</v>
      </c>
      <c r="T433" t="s">
        <v>2822</v>
      </c>
      <c r="U433" t="s">
        <v>2822</v>
      </c>
      <c r="V433" t="s">
        <v>2823</v>
      </c>
      <c r="W433" t="s">
        <v>3763</v>
      </c>
      <c r="X433" t="s">
        <v>3764</v>
      </c>
      <c r="Y433" t="s">
        <v>3610</v>
      </c>
      <c r="Z433" t="s">
        <v>3800</v>
      </c>
      <c r="AA433" t="s">
        <v>2966</v>
      </c>
      <c r="AB433" t="s">
        <v>3801</v>
      </c>
      <c r="AC433" t="s">
        <v>2829</v>
      </c>
      <c r="AD433" t="s">
        <v>2830</v>
      </c>
      <c r="AE433" t="s">
        <v>2831</v>
      </c>
      <c r="AF433" t="s">
        <v>3802</v>
      </c>
      <c r="AG433" t="s">
        <v>3803</v>
      </c>
      <c r="AH433" t="s">
        <v>2834</v>
      </c>
      <c r="AI433" t="s">
        <v>2887</v>
      </c>
      <c r="AJ433" t="s">
        <v>2960</v>
      </c>
      <c r="AK433" t="s">
        <v>3057</v>
      </c>
      <c r="AL433" t="s">
        <v>2966</v>
      </c>
      <c r="AM433" t="s">
        <v>3801</v>
      </c>
      <c r="AN433" t="s">
        <v>2829</v>
      </c>
      <c r="AO433" t="s">
        <v>2839</v>
      </c>
      <c r="AP433" t="s">
        <v>2840</v>
      </c>
      <c r="AQ433" t="s">
        <v>2841</v>
      </c>
      <c r="AR433" t="s">
        <v>3216</v>
      </c>
      <c r="AS433" t="s">
        <v>3216</v>
      </c>
      <c r="AT433" t="s">
        <v>2829</v>
      </c>
      <c r="AU433" t="s">
        <v>2829</v>
      </c>
      <c r="AV433" t="s">
        <v>2829</v>
      </c>
      <c r="AW433" t="s">
        <v>2829</v>
      </c>
      <c r="AX433" t="s">
        <v>2829</v>
      </c>
      <c r="AY433" t="s">
        <v>2829</v>
      </c>
      <c r="AZ433" t="s">
        <v>2829</v>
      </c>
      <c r="BA433" t="s">
        <v>2829</v>
      </c>
      <c r="BB433" t="s">
        <v>2829</v>
      </c>
      <c r="BC433" t="s">
        <v>2829</v>
      </c>
      <c r="BD433" t="s">
        <v>2829</v>
      </c>
      <c r="BE433" t="s">
        <v>243</v>
      </c>
      <c r="BF433" t="s">
        <v>243</v>
      </c>
      <c r="BG433" t="s">
        <v>243</v>
      </c>
      <c r="BH433" t="s">
        <v>243</v>
      </c>
      <c r="BI433" t="s">
        <v>243</v>
      </c>
      <c r="BJ433" t="s">
        <v>2829</v>
      </c>
      <c r="BK433" t="s">
        <v>243</v>
      </c>
      <c r="BL433" t="s">
        <v>243</v>
      </c>
      <c r="BM433" t="s">
        <v>243</v>
      </c>
      <c r="BN433" t="s">
        <v>243</v>
      </c>
      <c r="BO433" t="s">
        <v>243</v>
      </c>
      <c r="BP433" t="s">
        <v>2829</v>
      </c>
      <c r="BQ433" t="s">
        <v>243</v>
      </c>
      <c r="BR433" t="s">
        <v>243</v>
      </c>
      <c r="BS433" t="s">
        <v>243</v>
      </c>
      <c r="BT433" t="s">
        <v>243</v>
      </c>
      <c r="BU433" t="s">
        <v>243</v>
      </c>
      <c r="BV433" t="s">
        <v>2829</v>
      </c>
      <c r="BW433" t="s">
        <v>243</v>
      </c>
      <c r="BX433" t="s">
        <v>243</v>
      </c>
      <c r="BY433" t="s">
        <v>243</v>
      </c>
      <c r="BZ433" t="s">
        <v>243</v>
      </c>
      <c r="CA433" t="s">
        <v>243</v>
      </c>
      <c r="CB433" t="s">
        <v>3216</v>
      </c>
      <c r="CC433" t="s">
        <v>3216</v>
      </c>
      <c r="CD433" t="s">
        <v>243</v>
      </c>
      <c r="CE433" t="s">
        <v>243</v>
      </c>
      <c r="CF433" t="s">
        <v>243</v>
      </c>
      <c r="CG433" t="s">
        <v>243</v>
      </c>
      <c r="CH433" t="s">
        <v>2829</v>
      </c>
      <c r="CI433" t="s">
        <v>243</v>
      </c>
      <c r="CJ433" t="s">
        <v>243</v>
      </c>
      <c r="CK433" t="s">
        <v>243</v>
      </c>
      <c r="CL433" t="s">
        <v>243</v>
      </c>
      <c r="CM433" t="s">
        <v>243</v>
      </c>
      <c r="CN433" t="s">
        <v>2960</v>
      </c>
      <c r="CO433" t="s">
        <v>2843</v>
      </c>
      <c r="CP433" t="s">
        <v>2844</v>
      </c>
      <c r="CQ433" t="s">
        <v>430</v>
      </c>
      <c r="CR433" t="s">
        <v>2845</v>
      </c>
      <c r="CS433" t="s">
        <v>431</v>
      </c>
      <c r="CT433" t="s">
        <v>430</v>
      </c>
      <c r="CU433" t="s">
        <v>2846</v>
      </c>
      <c r="CV433" t="s">
        <v>2847</v>
      </c>
      <c r="CW433" t="s">
        <v>2845</v>
      </c>
      <c r="CX433" t="s">
        <v>2848</v>
      </c>
      <c r="CY433" t="s">
        <v>3804</v>
      </c>
    </row>
    <row r="434" spans="1:103" ht="11.25" customHeight="1">
      <c r="A434" t="s">
        <v>243</v>
      </c>
      <c r="B434" t="s">
        <v>243</v>
      </c>
      <c r="C434" t="s">
        <v>243</v>
      </c>
      <c r="D434" t="s">
        <v>243</v>
      </c>
      <c r="E434" t="s">
        <v>243</v>
      </c>
      <c r="F434" t="s">
        <v>2816</v>
      </c>
      <c r="G434" t="s">
        <v>243</v>
      </c>
      <c r="H434" t="s">
        <v>243</v>
      </c>
      <c r="I434" t="s">
        <v>3805</v>
      </c>
      <c r="J434" t="s">
        <v>243</v>
      </c>
      <c r="K434" t="s">
        <v>3178</v>
      </c>
      <c r="L434" t="s">
        <v>243</v>
      </c>
      <c r="M434" t="s">
        <v>114</v>
      </c>
      <c r="N434" t="s">
        <v>243</v>
      </c>
      <c r="O434" t="s">
        <v>2819</v>
      </c>
      <c r="P434" t="s">
        <v>4448</v>
      </c>
      <c r="Q434" t="s">
        <v>2821</v>
      </c>
      <c r="R434" t="s">
        <v>200</v>
      </c>
      <c r="S434" t="s">
        <v>200</v>
      </c>
      <c r="T434" t="s">
        <v>3048</v>
      </c>
      <c r="U434" t="s">
        <v>3048</v>
      </c>
      <c r="V434" t="s">
        <v>3049</v>
      </c>
      <c r="W434" t="s">
        <v>3806</v>
      </c>
      <c r="X434" t="s">
        <v>3807</v>
      </c>
      <c r="Y434" t="s">
        <v>3808</v>
      </c>
      <c r="Z434" t="s">
        <v>2846</v>
      </c>
      <c r="AA434" t="s">
        <v>3182</v>
      </c>
      <c r="AB434" t="s">
        <v>3183</v>
      </c>
      <c r="AC434" t="s">
        <v>2829</v>
      </c>
      <c r="AD434" t="s">
        <v>2883</v>
      </c>
      <c r="AE434" t="s">
        <v>2831</v>
      </c>
      <c r="AF434" t="s">
        <v>3055</v>
      </c>
      <c r="AG434" t="s">
        <v>3055</v>
      </c>
      <c r="AH434" t="s">
        <v>2834</v>
      </c>
      <c r="AI434" t="s">
        <v>2835</v>
      </c>
      <c r="AJ434" t="s">
        <v>3184</v>
      </c>
      <c r="AK434" t="s">
        <v>3662</v>
      </c>
      <c r="AL434" t="s">
        <v>3182</v>
      </c>
      <c r="AM434" t="s">
        <v>3183</v>
      </c>
      <c r="AN434" t="s">
        <v>2829</v>
      </c>
      <c r="AO434" t="s">
        <v>2839</v>
      </c>
      <c r="AP434" t="s">
        <v>2840</v>
      </c>
      <c r="AQ434" t="s">
        <v>2841</v>
      </c>
      <c r="AR434" t="s">
        <v>3279</v>
      </c>
      <c r="AS434" t="s">
        <v>3279</v>
      </c>
      <c r="AT434" t="s">
        <v>2829</v>
      </c>
      <c r="AU434" t="s">
        <v>2829</v>
      </c>
      <c r="AV434" t="s">
        <v>2829</v>
      </c>
      <c r="AW434" t="s">
        <v>2829</v>
      </c>
      <c r="AX434" t="s">
        <v>2829</v>
      </c>
      <c r="AY434" t="s">
        <v>2829</v>
      </c>
      <c r="AZ434" t="s">
        <v>2829</v>
      </c>
      <c r="BA434" t="s">
        <v>2829</v>
      </c>
      <c r="BB434" t="s">
        <v>2829</v>
      </c>
      <c r="BC434" t="s">
        <v>2829</v>
      </c>
      <c r="BD434" t="s">
        <v>3279</v>
      </c>
      <c r="BE434" t="s">
        <v>3279</v>
      </c>
      <c r="BF434" t="s">
        <v>243</v>
      </c>
      <c r="BG434" t="s">
        <v>243</v>
      </c>
      <c r="BH434" t="s">
        <v>243</v>
      </c>
      <c r="BI434" t="s">
        <v>243</v>
      </c>
      <c r="BJ434" t="s">
        <v>2829</v>
      </c>
      <c r="BK434" t="s">
        <v>243</v>
      </c>
      <c r="BL434" t="s">
        <v>243</v>
      </c>
      <c r="BM434" t="s">
        <v>243</v>
      </c>
      <c r="BN434" t="s">
        <v>243</v>
      </c>
      <c r="BO434" t="s">
        <v>243</v>
      </c>
      <c r="BP434" t="s">
        <v>2829</v>
      </c>
      <c r="BQ434" t="s">
        <v>243</v>
      </c>
      <c r="BR434" t="s">
        <v>243</v>
      </c>
      <c r="BS434" t="s">
        <v>243</v>
      </c>
      <c r="BT434" t="s">
        <v>243</v>
      </c>
      <c r="BU434" t="s">
        <v>243</v>
      </c>
      <c r="BV434" t="s">
        <v>2829</v>
      </c>
      <c r="BW434" t="s">
        <v>243</v>
      </c>
      <c r="BX434" t="s">
        <v>243</v>
      </c>
      <c r="BY434" t="s">
        <v>243</v>
      </c>
      <c r="BZ434" t="s">
        <v>243</v>
      </c>
      <c r="CA434" t="s">
        <v>243</v>
      </c>
      <c r="CB434" t="s">
        <v>2829</v>
      </c>
      <c r="CC434" t="s">
        <v>243</v>
      </c>
      <c r="CD434" t="s">
        <v>243</v>
      </c>
      <c r="CE434" t="s">
        <v>243</v>
      </c>
      <c r="CF434" t="s">
        <v>243</v>
      </c>
      <c r="CG434" t="s">
        <v>243</v>
      </c>
      <c r="CH434" t="s">
        <v>2829</v>
      </c>
      <c r="CI434" t="s">
        <v>243</v>
      </c>
      <c r="CJ434" t="s">
        <v>243</v>
      </c>
      <c r="CK434" t="s">
        <v>243</v>
      </c>
      <c r="CL434" t="s">
        <v>243</v>
      </c>
      <c r="CM434" t="s">
        <v>243</v>
      </c>
      <c r="CN434" t="s">
        <v>3187</v>
      </c>
      <c r="CO434" t="s">
        <v>2843</v>
      </c>
      <c r="CP434" t="s">
        <v>2844</v>
      </c>
      <c r="CQ434" t="s">
        <v>470</v>
      </c>
      <c r="CR434" t="s">
        <v>2872</v>
      </c>
      <c r="CS434" t="s">
        <v>431</v>
      </c>
      <c r="CT434" t="s">
        <v>470</v>
      </c>
      <c r="CU434" t="s">
        <v>3061</v>
      </c>
      <c r="CV434" t="s">
        <v>3062</v>
      </c>
      <c r="CW434" t="s">
        <v>2872</v>
      </c>
      <c r="CX434" t="s">
        <v>2848</v>
      </c>
      <c r="CY434" t="s">
        <v>3809</v>
      </c>
    </row>
    <row r="435" spans="1:103" ht="11.25" customHeight="1">
      <c r="A435" t="s">
        <v>243</v>
      </c>
      <c r="B435" t="s">
        <v>243</v>
      </c>
      <c r="C435" t="s">
        <v>243</v>
      </c>
      <c r="D435" t="s">
        <v>243</v>
      </c>
      <c r="E435" t="s">
        <v>243</v>
      </c>
      <c r="F435" t="s">
        <v>2816</v>
      </c>
      <c r="G435" t="s">
        <v>243</v>
      </c>
      <c r="H435" t="s">
        <v>243</v>
      </c>
      <c r="I435" t="s">
        <v>3755</v>
      </c>
      <c r="J435" t="s">
        <v>243</v>
      </c>
      <c r="K435" t="s">
        <v>3178</v>
      </c>
      <c r="L435" t="s">
        <v>243</v>
      </c>
      <c r="M435" t="s">
        <v>114</v>
      </c>
      <c r="N435" t="s">
        <v>243</v>
      </c>
      <c r="O435" t="s">
        <v>2819</v>
      </c>
      <c r="P435" t="s">
        <v>4448</v>
      </c>
      <c r="Q435" t="s">
        <v>2821</v>
      </c>
      <c r="R435" t="s">
        <v>200</v>
      </c>
      <c r="S435" t="s">
        <v>200</v>
      </c>
      <c r="T435" t="s">
        <v>3048</v>
      </c>
      <c r="U435" t="s">
        <v>3048</v>
      </c>
      <c r="V435" t="s">
        <v>3049</v>
      </c>
      <c r="W435" t="s">
        <v>3756</v>
      </c>
      <c r="X435" t="s">
        <v>3757</v>
      </c>
      <c r="Y435" t="s">
        <v>2918</v>
      </c>
      <c r="Z435" t="s">
        <v>2846</v>
      </c>
      <c r="AA435" t="s">
        <v>3758</v>
      </c>
      <c r="AB435" t="s">
        <v>3759</v>
      </c>
      <c r="AC435" t="s">
        <v>2829</v>
      </c>
      <c r="AD435" t="s">
        <v>2883</v>
      </c>
      <c r="AE435" t="s">
        <v>2831</v>
      </c>
      <c r="AF435" t="s">
        <v>3055</v>
      </c>
      <c r="AG435" t="s">
        <v>3055</v>
      </c>
      <c r="AH435" t="s">
        <v>2834</v>
      </c>
      <c r="AI435" t="s">
        <v>2835</v>
      </c>
      <c r="AJ435" t="s">
        <v>3184</v>
      </c>
      <c r="AK435" t="s">
        <v>3760</v>
      </c>
      <c r="AL435" t="s">
        <v>3758</v>
      </c>
      <c r="AM435" t="s">
        <v>3759</v>
      </c>
      <c r="AN435" t="s">
        <v>2829</v>
      </c>
      <c r="AO435" t="s">
        <v>2839</v>
      </c>
      <c r="AP435" t="s">
        <v>2840</v>
      </c>
      <c r="AQ435" t="s">
        <v>2841</v>
      </c>
      <c r="AR435" t="s">
        <v>3761</v>
      </c>
      <c r="AS435" t="s">
        <v>3761</v>
      </c>
      <c r="AT435" t="s">
        <v>2829</v>
      </c>
      <c r="AU435" t="s">
        <v>2829</v>
      </c>
      <c r="AV435" t="s">
        <v>2829</v>
      </c>
      <c r="AW435" t="s">
        <v>2829</v>
      </c>
      <c r="AX435" t="s">
        <v>2829</v>
      </c>
      <c r="AY435" t="s">
        <v>2829</v>
      </c>
      <c r="AZ435" t="s">
        <v>2829</v>
      </c>
      <c r="BA435" t="s">
        <v>2829</v>
      </c>
      <c r="BB435" t="s">
        <v>2829</v>
      </c>
      <c r="BC435" t="s">
        <v>2829</v>
      </c>
      <c r="BD435" t="s">
        <v>3761</v>
      </c>
      <c r="BE435" t="s">
        <v>3761</v>
      </c>
      <c r="BF435" t="s">
        <v>243</v>
      </c>
      <c r="BG435" t="s">
        <v>243</v>
      </c>
      <c r="BH435" t="s">
        <v>243</v>
      </c>
      <c r="BI435" t="s">
        <v>243</v>
      </c>
      <c r="BJ435" t="s">
        <v>2829</v>
      </c>
      <c r="BK435" t="s">
        <v>243</v>
      </c>
      <c r="BL435" t="s">
        <v>243</v>
      </c>
      <c r="BM435" t="s">
        <v>243</v>
      </c>
      <c r="BN435" t="s">
        <v>243</v>
      </c>
      <c r="BO435" t="s">
        <v>243</v>
      </c>
      <c r="BP435" t="s">
        <v>2829</v>
      </c>
      <c r="BQ435" t="s">
        <v>243</v>
      </c>
      <c r="BR435" t="s">
        <v>243</v>
      </c>
      <c r="BS435" t="s">
        <v>243</v>
      </c>
      <c r="BT435" t="s">
        <v>243</v>
      </c>
      <c r="BU435" t="s">
        <v>243</v>
      </c>
      <c r="BV435" t="s">
        <v>2829</v>
      </c>
      <c r="BW435" t="s">
        <v>243</v>
      </c>
      <c r="BX435" t="s">
        <v>243</v>
      </c>
      <c r="BY435" t="s">
        <v>243</v>
      </c>
      <c r="BZ435" t="s">
        <v>243</v>
      </c>
      <c r="CA435" t="s">
        <v>243</v>
      </c>
      <c r="CB435" t="s">
        <v>2829</v>
      </c>
      <c r="CC435" t="s">
        <v>243</v>
      </c>
      <c r="CD435" t="s">
        <v>243</v>
      </c>
      <c r="CE435" t="s">
        <v>243</v>
      </c>
      <c r="CF435" t="s">
        <v>243</v>
      </c>
      <c r="CG435" t="s">
        <v>243</v>
      </c>
      <c r="CH435" t="s">
        <v>2829</v>
      </c>
      <c r="CI435" t="s">
        <v>243</v>
      </c>
      <c r="CJ435" t="s">
        <v>243</v>
      </c>
      <c r="CK435" t="s">
        <v>243</v>
      </c>
      <c r="CL435" t="s">
        <v>243</v>
      </c>
      <c r="CM435" t="s">
        <v>243</v>
      </c>
      <c r="CN435" t="s">
        <v>3187</v>
      </c>
      <c r="CO435" t="s">
        <v>2843</v>
      </c>
      <c r="CP435" t="s">
        <v>2844</v>
      </c>
      <c r="CQ435" t="s">
        <v>470</v>
      </c>
      <c r="CR435" t="s">
        <v>2872</v>
      </c>
      <c r="CS435" t="s">
        <v>431</v>
      </c>
      <c r="CT435" t="s">
        <v>470</v>
      </c>
      <c r="CU435" t="s">
        <v>3061</v>
      </c>
      <c r="CV435" t="s">
        <v>3062</v>
      </c>
      <c r="CW435" t="s">
        <v>2872</v>
      </c>
      <c r="CX435" t="s">
        <v>2848</v>
      </c>
      <c r="CY435" t="s">
        <v>3762</v>
      </c>
    </row>
    <row r="436" spans="1:103" ht="11.25" customHeight="1">
      <c r="A436" t="s">
        <v>243</v>
      </c>
      <c r="B436" t="s">
        <v>243</v>
      </c>
      <c r="C436" t="s">
        <v>243</v>
      </c>
      <c r="D436" t="s">
        <v>243</v>
      </c>
      <c r="E436" t="s">
        <v>243</v>
      </c>
      <c r="F436" t="s">
        <v>2816</v>
      </c>
      <c r="G436" t="s">
        <v>243</v>
      </c>
      <c r="H436" t="s">
        <v>243</v>
      </c>
      <c r="I436" t="s">
        <v>887</v>
      </c>
      <c r="J436" t="s">
        <v>243</v>
      </c>
      <c r="K436" t="s">
        <v>4068</v>
      </c>
      <c r="L436" t="s">
        <v>243</v>
      </c>
      <c r="M436" t="s">
        <v>114</v>
      </c>
      <c r="N436" t="s">
        <v>243</v>
      </c>
      <c r="O436" t="s">
        <v>2819</v>
      </c>
      <c r="P436" t="s">
        <v>4448</v>
      </c>
      <c r="Q436" t="s">
        <v>2821</v>
      </c>
      <c r="R436" t="s">
        <v>200</v>
      </c>
      <c r="S436" t="s">
        <v>200</v>
      </c>
      <c r="T436" t="s">
        <v>2822</v>
      </c>
      <c r="U436" t="s">
        <v>2822</v>
      </c>
      <c r="V436" t="s">
        <v>2823</v>
      </c>
      <c r="W436" t="s">
        <v>3848</v>
      </c>
      <c r="X436" t="s">
        <v>3849</v>
      </c>
      <c r="Y436" t="s">
        <v>3610</v>
      </c>
      <c r="Z436" t="s">
        <v>3249</v>
      </c>
      <c r="AA436" t="s">
        <v>2964</v>
      </c>
      <c r="AB436" t="s">
        <v>3600</v>
      </c>
      <c r="AC436" t="s">
        <v>2829</v>
      </c>
      <c r="AD436" t="s">
        <v>2830</v>
      </c>
      <c r="AE436" t="s">
        <v>2831</v>
      </c>
      <c r="AF436" t="s">
        <v>4069</v>
      </c>
      <c r="AG436" t="s">
        <v>4070</v>
      </c>
      <c r="AH436" t="s">
        <v>2834</v>
      </c>
      <c r="AI436" t="s">
        <v>2835</v>
      </c>
      <c r="AJ436" t="s">
        <v>2960</v>
      </c>
      <c r="AK436" t="s">
        <v>3325</v>
      </c>
      <c r="AL436" t="s">
        <v>2964</v>
      </c>
      <c r="AM436" t="s">
        <v>3595</v>
      </c>
      <c r="AN436" t="s">
        <v>2829</v>
      </c>
      <c r="AO436" t="s">
        <v>2839</v>
      </c>
      <c r="AP436" t="s">
        <v>2840</v>
      </c>
      <c r="AQ436" t="s">
        <v>2841</v>
      </c>
      <c r="AR436" t="s">
        <v>4071</v>
      </c>
      <c r="AS436" t="s">
        <v>4071</v>
      </c>
      <c r="AT436" t="s">
        <v>2829</v>
      </c>
      <c r="AU436" t="s">
        <v>2829</v>
      </c>
      <c r="AV436" t="s">
        <v>2829</v>
      </c>
      <c r="AW436" t="s">
        <v>2829</v>
      </c>
      <c r="AX436" t="s">
        <v>2829</v>
      </c>
      <c r="AY436" t="s">
        <v>2829</v>
      </c>
      <c r="AZ436" t="s">
        <v>2829</v>
      </c>
      <c r="BA436" t="s">
        <v>2829</v>
      </c>
      <c r="BB436" t="s">
        <v>2829</v>
      </c>
      <c r="BC436" t="s">
        <v>2829</v>
      </c>
      <c r="BD436" t="s">
        <v>2829</v>
      </c>
      <c r="BE436" t="s">
        <v>243</v>
      </c>
      <c r="BF436" t="s">
        <v>243</v>
      </c>
      <c r="BG436" t="s">
        <v>243</v>
      </c>
      <c r="BH436" t="s">
        <v>243</v>
      </c>
      <c r="BI436" t="s">
        <v>243</v>
      </c>
      <c r="BJ436" t="s">
        <v>2829</v>
      </c>
      <c r="BK436" t="s">
        <v>243</v>
      </c>
      <c r="BL436" t="s">
        <v>243</v>
      </c>
      <c r="BM436" t="s">
        <v>243</v>
      </c>
      <c r="BN436" t="s">
        <v>243</v>
      </c>
      <c r="BO436" t="s">
        <v>243</v>
      </c>
      <c r="BP436" t="s">
        <v>2829</v>
      </c>
      <c r="BQ436" t="s">
        <v>243</v>
      </c>
      <c r="BR436" t="s">
        <v>243</v>
      </c>
      <c r="BS436" t="s">
        <v>243</v>
      </c>
      <c r="BT436" t="s">
        <v>243</v>
      </c>
      <c r="BU436" t="s">
        <v>243</v>
      </c>
      <c r="BV436" t="s">
        <v>2829</v>
      </c>
      <c r="BW436" t="s">
        <v>243</v>
      </c>
      <c r="BX436" t="s">
        <v>243</v>
      </c>
      <c r="BY436" t="s">
        <v>243</v>
      </c>
      <c r="BZ436" t="s">
        <v>243</v>
      </c>
      <c r="CA436" t="s">
        <v>243</v>
      </c>
      <c r="CB436" t="s">
        <v>4071</v>
      </c>
      <c r="CC436" t="s">
        <v>4071</v>
      </c>
      <c r="CD436" t="s">
        <v>243</v>
      </c>
      <c r="CE436" t="s">
        <v>243</v>
      </c>
      <c r="CF436" t="s">
        <v>243</v>
      </c>
      <c r="CG436" t="s">
        <v>243</v>
      </c>
      <c r="CH436" t="s">
        <v>2829</v>
      </c>
      <c r="CI436" t="s">
        <v>243</v>
      </c>
      <c r="CJ436" t="s">
        <v>243</v>
      </c>
      <c r="CK436" t="s">
        <v>243</v>
      </c>
      <c r="CL436" t="s">
        <v>243</v>
      </c>
      <c r="CM436" t="s">
        <v>243</v>
      </c>
      <c r="CN436" t="s">
        <v>2960</v>
      </c>
      <c r="CO436" t="s">
        <v>2843</v>
      </c>
      <c r="CP436" t="s">
        <v>2844</v>
      </c>
      <c r="CQ436" t="s">
        <v>430</v>
      </c>
      <c r="CR436" t="s">
        <v>2845</v>
      </c>
      <c r="CS436" t="s">
        <v>431</v>
      </c>
      <c r="CT436" t="s">
        <v>430</v>
      </c>
      <c r="CU436" t="s">
        <v>2846</v>
      </c>
      <c r="CV436" t="s">
        <v>2847</v>
      </c>
      <c r="CW436" t="s">
        <v>2845</v>
      </c>
      <c r="CX436" t="s">
        <v>2848</v>
      </c>
      <c r="CY436" t="s">
        <v>4072</v>
      </c>
    </row>
    <row r="437" spans="1:103" ht="11.25" customHeight="1">
      <c r="A437" t="s">
        <v>243</v>
      </c>
      <c r="B437" t="s">
        <v>243</v>
      </c>
      <c r="C437" t="s">
        <v>243</v>
      </c>
      <c r="D437" t="s">
        <v>243</v>
      </c>
      <c r="E437" t="s">
        <v>243</v>
      </c>
      <c r="F437" t="s">
        <v>2816</v>
      </c>
      <c r="G437" t="s">
        <v>243</v>
      </c>
      <c r="H437" t="s">
        <v>243</v>
      </c>
      <c r="I437" t="s">
        <v>892</v>
      </c>
      <c r="J437" t="s">
        <v>243</v>
      </c>
      <c r="K437" t="s">
        <v>4073</v>
      </c>
      <c r="L437" t="s">
        <v>243</v>
      </c>
      <c r="M437" t="s">
        <v>114</v>
      </c>
      <c r="N437" t="s">
        <v>243</v>
      </c>
      <c r="O437" t="s">
        <v>2819</v>
      </c>
      <c r="P437" t="s">
        <v>4448</v>
      </c>
      <c r="Q437" t="s">
        <v>2821</v>
      </c>
      <c r="R437" t="s">
        <v>200</v>
      </c>
      <c r="S437" t="s">
        <v>200</v>
      </c>
      <c r="T437" t="s">
        <v>2822</v>
      </c>
      <c r="U437" t="s">
        <v>2822</v>
      </c>
      <c r="V437" t="s">
        <v>2823</v>
      </c>
      <c r="W437" t="s">
        <v>3848</v>
      </c>
      <c r="X437" t="s">
        <v>3849</v>
      </c>
      <c r="Y437" t="s">
        <v>3610</v>
      </c>
      <c r="Z437" t="s">
        <v>4074</v>
      </c>
      <c r="AA437" t="s">
        <v>3393</v>
      </c>
      <c r="AB437" t="s">
        <v>4075</v>
      </c>
      <c r="AC437" t="s">
        <v>2829</v>
      </c>
      <c r="AD437" t="s">
        <v>2830</v>
      </c>
      <c r="AE437" t="s">
        <v>2831</v>
      </c>
      <c r="AF437" t="s">
        <v>4076</v>
      </c>
      <c r="AG437" t="s">
        <v>4077</v>
      </c>
      <c r="AH437" t="s">
        <v>2834</v>
      </c>
      <c r="AI437" t="s">
        <v>2835</v>
      </c>
      <c r="AJ437" t="s">
        <v>2960</v>
      </c>
      <c r="AK437" t="s">
        <v>3325</v>
      </c>
      <c r="AL437" t="s">
        <v>3393</v>
      </c>
      <c r="AM437" t="s">
        <v>2859</v>
      </c>
      <c r="AN437" t="s">
        <v>2829</v>
      </c>
      <c r="AO437" t="s">
        <v>2839</v>
      </c>
      <c r="AP437" t="s">
        <v>2840</v>
      </c>
      <c r="AQ437" t="s">
        <v>2841</v>
      </c>
      <c r="AR437" t="s">
        <v>4078</v>
      </c>
      <c r="AS437" t="s">
        <v>4078</v>
      </c>
      <c r="AT437" t="s">
        <v>2829</v>
      </c>
      <c r="AU437" t="s">
        <v>2829</v>
      </c>
      <c r="AV437" t="s">
        <v>2829</v>
      </c>
      <c r="AW437" t="s">
        <v>2829</v>
      </c>
      <c r="AX437" t="s">
        <v>2829</v>
      </c>
      <c r="AY437" t="s">
        <v>2829</v>
      </c>
      <c r="AZ437" t="s">
        <v>2829</v>
      </c>
      <c r="BA437" t="s">
        <v>2829</v>
      </c>
      <c r="BB437" t="s">
        <v>2829</v>
      </c>
      <c r="BC437" t="s">
        <v>2829</v>
      </c>
      <c r="BD437" t="s">
        <v>4078</v>
      </c>
      <c r="BE437" t="s">
        <v>4078</v>
      </c>
      <c r="BF437" t="s">
        <v>243</v>
      </c>
      <c r="BG437" t="s">
        <v>243</v>
      </c>
      <c r="BH437" t="s">
        <v>243</v>
      </c>
      <c r="BI437" t="s">
        <v>243</v>
      </c>
      <c r="BJ437" t="s">
        <v>2829</v>
      </c>
      <c r="BK437" t="s">
        <v>243</v>
      </c>
      <c r="BL437" t="s">
        <v>243</v>
      </c>
      <c r="BM437" t="s">
        <v>243</v>
      </c>
      <c r="BN437" t="s">
        <v>243</v>
      </c>
      <c r="BO437" t="s">
        <v>243</v>
      </c>
      <c r="BP437" t="s">
        <v>2829</v>
      </c>
      <c r="BQ437" t="s">
        <v>243</v>
      </c>
      <c r="BR437" t="s">
        <v>243</v>
      </c>
      <c r="BS437" t="s">
        <v>243</v>
      </c>
      <c r="BT437" t="s">
        <v>243</v>
      </c>
      <c r="BU437" t="s">
        <v>243</v>
      </c>
      <c r="BV437" t="s">
        <v>2829</v>
      </c>
      <c r="BW437" t="s">
        <v>243</v>
      </c>
      <c r="BX437" t="s">
        <v>243</v>
      </c>
      <c r="BY437" t="s">
        <v>243</v>
      </c>
      <c r="BZ437" t="s">
        <v>243</v>
      </c>
      <c r="CA437" t="s">
        <v>243</v>
      </c>
      <c r="CB437" t="s">
        <v>2829</v>
      </c>
      <c r="CC437" t="s">
        <v>243</v>
      </c>
      <c r="CD437" t="s">
        <v>243</v>
      </c>
      <c r="CE437" t="s">
        <v>243</v>
      </c>
      <c r="CF437" t="s">
        <v>243</v>
      </c>
      <c r="CG437" t="s">
        <v>243</v>
      </c>
      <c r="CH437" t="s">
        <v>2829</v>
      </c>
      <c r="CI437" t="s">
        <v>243</v>
      </c>
      <c r="CJ437" t="s">
        <v>243</v>
      </c>
      <c r="CK437" t="s">
        <v>243</v>
      </c>
      <c r="CL437" t="s">
        <v>243</v>
      </c>
      <c r="CM437" t="s">
        <v>243</v>
      </c>
      <c r="CN437" t="s">
        <v>2960</v>
      </c>
      <c r="CO437" t="s">
        <v>2843</v>
      </c>
      <c r="CP437" t="s">
        <v>2844</v>
      </c>
      <c r="CQ437" t="s">
        <v>430</v>
      </c>
      <c r="CR437" t="s">
        <v>2845</v>
      </c>
      <c r="CS437" t="s">
        <v>431</v>
      </c>
      <c r="CT437" t="s">
        <v>430</v>
      </c>
      <c r="CU437" t="s">
        <v>2846</v>
      </c>
      <c r="CV437" t="s">
        <v>2847</v>
      </c>
      <c r="CW437" t="s">
        <v>2845</v>
      </c>
      <c r="CX437" t="s">
        <v>2848</v>
      </c>
      <c r="CY437" t="s">
        <v>4079</v>
      </c>
    </row>
    <row r="438" spans="1:103" ht="11.25" customHeight="1">
      <c r="A438" t="s">
        <v>243</v>
      </c>
      <c r="B438" t="s">
        <v>243</v>
      </c>
      <c r="C438" t="s">
        <v>243</v>
      </c>
      <c r="D438" t="s">
        <v>243</v>
      </c>
      <c r="E438" t="s">
        <v>243</v>
      </c>
      <c r="F438" t="s">
        <v>2816</v>
      </c>
      <c r="G438" t="s">
        <v>243</v>
      </c>
      <c r="H438" t="s">
        <v>243</v>
      </c>
      <c r="I438" t="s">
        <v>4373</v>
      </c>
      <c r="J438" t="s">
        <v>243</v>
      </c>
      <c r="K438" t="s">
        <v>2818</v>
      </c>
      <c r="L438" t="s">
        <v>243</v>
      </c>
      <c r="M438" t="s">
        <v>114</v>
      </c>
      <c r="N438" t="s">
        <v>243</v>
      </c>
      <c r="O438" t="s">
        <v>2819</v>
      </c>
      <c r="P438" t="s">
        <v>4448</v>
      </c>
      <c r="Q438" t="s">
        <v>2821</v>
      </c>
      <c r="R438" t="s">
        <v>200</v>
      </c>
      <c r="S438" t="s">
        <v>200</v>
      </c>
      <c r="T438" t="s">
        <v>2822</v>
      </c>
      <c r="U438" t="s">
        <v>2822</v>
      </c>
      <c r="V438" t="s">
        <v>2823</v>
      </c>
      <c r="W438" t="s">
        <v>2824</v>
      </c>
      <c r="X438" t="s">
        <v>2825</v>
      </c>
      <c r="Y438" t="s">
        <v>2826</v>
      </c>
      <c r="Z438" t="s">
        <v>348</v>
      </c>
      <c r="AA438" t="s">
        <v>2904</v>
      </c>
      <c r="AB438" t="s">
        <v>4374</v>
      </c>
      <c r="AC438" t="s">
        <v>2829</v>
      </c>
      <c r="AD438" t="s">
        <v>2830</v>
      </c>
      <c r="AE438" t="s">
        <v>2857</v>
      </c>
      <c r="AF438" t="s">
        <v>4375</v>
      </c>
      <c r="AG438" t="s">
        <v>4375</v>
      </c>
      <c r="AH438" t="s">
        <v>2834</v>
      </c>
      <c r="AI438" t="s">
        <v>2835</v>
      </c>
      <c r="AJ438" t="s">
        <v>2836</v>
      </c>
      <c r="AK438" t="s">
        <v>2837</v>
      </c>
      <c r="AL438" t="s">
        <v>2904</v>
      </c>
      <c r="AM438" t="s">
        <v>4022</v>
      </c>
      <c r="AN438" t="s">
        <v>2829</v>
      </c>
      <c r="AO438" t="s">
        <v>2839</v>
      </c>
      <c r="AP438" t="s">
        <v>2840</v>
      </c>
      <c r="AQ438" t="s">
        <v>2841</v>
      </c>
      <c r="AR438" t="s">
        <v>2842</v>
      </c>
      <c r="AS438" t="s">
        <v>2842</v>
      </c>
      <c r="AT438" t="s">
        <v>2829</v>
      </c>
      <c r="AU438" t="s">
        <v>2829</v>
      </c>
      <c r="AV438" t="s">
        <v>2829</v>
      </c>
      <c r="AW438" t="s">
        <v>2829</v>
      </c>
      <c r="AX438" t="s">
        <v>2829</v>
      </c>
      <c r="AY438" t="s">
        <v>2829</v>
      </c>
      <c r="AZ438" t="s">
        <v>2829</v>
      </c>
      <c r="BA438" t="s">
        <v>2829</v>
      </c>
      <c r="BB438" t="s">
        <v>2829</v>
      </c>
      <c r="BC438" t="s">
        <v>2829</v>
      </c>
      <c r="BD438" t="s">
        <v>2842</v>
      </c>
      <c r="BE438" t="s">
        <v>2842</v>
      </c>
      <c r="BF438" t="s">
        <v>243</v>
      </c>
      <c r="BG438" t="s">
        <v>243</v>
      </c>
      <c r="BH438" t="s">
        <v>243</v>
      </c>
      <c r="BI438" t="s">
        <v>243</v>
      </c>
      <c r="BJ438" t="s">
        <v>2829</v>
      </c>
      <c r="BK438" t="s">
        <v>243</v>
      </c>
      <c r="BL438" t="s">
        <v>243</v>
      </c>
      <c r="BM438" t="s">
        <v>243</v>
      </c>
      <c r="BN438" t="s">
        <v>243</v>
      </c>
      <c r="BO438" t="s">
        <v>243</v>
      </c>
      <c r="BP438" t="s">
        <v>2829</v>
      </c>
      <c r="BQ438" t="s">
        <v>243</v>
      </c>
      <c r="BR438" t="s">
        <v>243</v>
      </c>
      <c r="BS438" t="s">
        <v>243</v>
      </c>
      <c r="BT438" t="s">
        <v>243</v>
      </c>
      <c r="BU438" t="s">
        <v>243</v>
      </c>
      <c r="BV438" t="s">
        <v>2829</v>
      </c>
      <c r="BW438" t="s">
        <v>243</v>
      </c>
      <c r="BX438" t="s">
        <v>243</v>
      </c>
      <c r="BY438" t="s">
        <v>243</v>
      </c>
      <c r="BZ438" t="s">
        <v>243</v>
      </c>
      <c r="CA438" t="s">
        <v>243</v>
      </c>
      <c r="CB438" t="s">
        <v>2829</v>
      </c>
      <c r="CC438" t="s">
        <v>243</v>
      </c>
      <c r="CD438" t="s">
        <v>243</v>
      </c>
      <c r="CE438" t="s">
        <v>243</v>
      </c>
      <c r="CF438" t="s">
        <v>243</v>
      </c>
      <c r="CG438" t="s">
        <v>243</v>
      </c>
      <c r="CH438" t="s">
        <v>2829</v>
      </c>
      <c r="CI438" t="s">
        <v>243</v>
      </c>
      <c r="CJ438" t="s">
        <v>243</v>
      </c>
      <c r="CK438" t="s">
        <v>243</v>
      </c>
      <c r="CL438" t="s">
        <v>243</v>
      </c>
      <c r="CM438" t="s">
        <v>243</v>
      </c>
      <c r="CN438" t="s">
        <v>2836</v>
      </c>
      <c r="CO438" t="s">
        <v>2843</v>
      </c>
      <c r="CP438" t="s">
        <v>2844</v>
      </c>
      <c r="CQ438" t="s">
        <v>430</v>
      </c>
      <c r="CR438" t="s">
        <v>2845</v>
      </c>
      <c r="CS438" t="s">
        <v>431</v>
      </c>
      <c r="CT438" t="s">
        <v>430</v>
      </c>
      <c r="CU438" t="s">
        <v>2846</v>
      </c>
      <c r="CV438" t="s">
        <v>2847</v>
      </c>
      <c r="CW438" t="s">
        <v>2845</v>
      </c>
      <c r="CX438" t="s">
        <v>2848</v>
      </c>
      <c r="CY438" t="s">
        <v>4376</v>
      </c>
    </row>
    <row r="439" spans="1:103" ht="11.25" customHeight="1">
      <c r="A439" t="s">
        <v>243</v>
      </c>
      <c r="B439" t="s">
        <v>243</v>
      </c>
      <c r="C439" t="s">
        <v>243</v>
      </c>
      <c r="D439" t="s">
        <v>243</v>
      </c>
      <c r="E439" t="s">
        <v>243</v>
      </c>
      <c r="F439" t="s">
        <v>2816</v>
      </c>
      <c r="G439" t="s">
        <v>243</v>
      </c>
      <c r="H439" t="s">
        <v>243</v>
      </c>
      <c r="I439" t="s">
        <v>2817</v>
      </c>
      <c r="J439" t="s">
        <v>243</v>
      </c>
      <c r="K439" t="s">
        <v>2818</v>
      </c>
      <c r="L439" t="s">
        <v>243</v>
      </c>
      <c r="M439" t="s">
        <v>114</v>
      </c>
      <c r="N439" t="s">
        <v>243</v>
      </c>
      <c r="O439" t="s">
        <v>2819</v>
      </c>
      <c r="P439" t="s">
        <v>4448</v>
      </c>
      <c r="Q439" t="s">
        <v>2821</v>
      </c>
      <c r="R439" t="s">
        <v>200</v>
      </c>
      <c r="S439" t="s">
        <v>200</v>
      </c>
      <c r="T439" t="s">
        <v>2822</v>
      </c>
      <c r="U439" t="s">
        <v>2822</v>
      </c>
      <c r="V439" t="s">
        <v>2823</v>
      </c>
      <c r="W439" t="s">
        <v>2824</v>
      </c>
      <c r="X439" t="s">
        <v>2825</v>
      </c>
      <c r="Y439" t="s">
        <v>2826</v>
      </c>
      <c r="Z439" t="s">
        <v>443</v>
      </c>
      <c r="AA439" t="s">
        <v>2827</v>
      </c>
      <c r="AB439" t="s">
        <v>2828</v>
      </c>
      <c r="AC439" t="s">
        <v>2829</v>
      </c>
      <c r="AD439" t="s">
        <v>2830</v>
      </c>
      <c r="AE439" t="s">
        <v>2831</v>
      </c>
      <c r="AF439" t="s">
        <v>2832</v>
      </c>
      <c r="AG439" t="s">
        <v>2833</v>
      </c>
      <c r="AH439" t="s">
        <v>2834</v>
      </c>
      <c r="AI439" t="s">
        <v>2835</v>
      </c>
      <c r="AJ439" t="s">
        <v>2836</v>
      </c>
      <c r="AK439" t="s">
        <v>2837</v>
      </c>
      <c r="AL439" t="s">
        <v>2827</v>
      </c>
      <c r="AM439" t="s">
        <v>2838</v>
      </c>
      <c r="AN439" t="s">
        <v>2829</v>
      </c>
      <c r="AO439" t="s">
        <v>2839</v>
      </c>
      <c r="AP439" t="s">
        <v>2840</v>
      </c>
      <c r="AQ439" t="s">
        <v>2841</v>
      </c>
      <c r="AR439" t="s">
        <v>2842</v>
      </c>
      <c r="AS439" t="s">
        <v>2842</v>
      </c>
      <c r="AT439" t="s">
        <v>2829</v>
      </c>
      <c r="AU439" t="s">
        <v>2829</v>
      </c>
      <c r="AV439" t="s">
        <v>2829</v>
      </c>
      <c r="AW439" t="s">
        <v>2829</v>
      </c>
      <c r="AX439" t="s">
        <v>2829</v>
      </c>
      <c r="AY439" t="s">
        <v>2829</v>
      </c>
      <c r="AZ439" t="s">
        <v>2829</v>
      </c>
      <c r="BA439" t="s">
        <v>2829</v>
      </c>
      <c r="BB439" t="s">
        <v>2829</v>
      </c>
      <c r="BC439" t="s">
        <v>2829</v>
      </c>
      <c r="BD439" t="s">
        <v>2842</v>
      </c>
      <c r="BE439" t="s">
        <v>2842</v>
      </c>
      <c r="BF439" t="s">
        <v>243</v>
      </c>
      <c r="BG439" t="s">
        <v>243</v>
      </c>
      <c r="BH439" t="s">
        <v>243</v>
      </c>
      <c r="BI439" t="s">
        <v>243</v>
      </c>
      <c r="BJ439" t="s">
        <v>2829</v>
      </c>
      <c r="BK439" t="s">
        <v>243</v>
      </c>
      <c r="BL439" t="s">
        <v>243</v>
      </c>
      <c r="BM439" t="s">
        <v>243</v>
      </c>
      <c r="BN439" t="s">
        <v>243</v>
      </c>
      <c r="BO439" t="s">
        <v>243</v>
      </c>
      <c r="BP439" t="s">
        <v>2829</v>
      </c>
      <c r="BQ439" t="s">
        <v>243</v>
      </c>
      <c r="BR439" t="s">
        <v>243</v>
      </c>
      <c r="BS439" t="s">
        <v>243</v>
      </c>
      <c r="BT439" t="s">
        <v>243</v>
      </c>
      <c r="BU439" t="s">
        <v>243</v>
      </c>
      <c r="BV439" t="s">
        <v>2829</v>
      </c>
      <c r="BW439" t="s">
        <v>243</v>
      </c>
      <c r="BX439" t="s">
        <v>243</v>
      </c>
      <c r="BY439" t="s">
        <v>243</v>
      </c>
      <c r="BZ439" t="s">
        <v>243</v>
      </c>
      <c r="CA439" t="s">
        <v>243</v>
      </c>
      <c r="CB439" t="s">
        <v>2829</v>
      </c>
      <c r="CC439" t="s">
        <v>243</v>
      </c>
      <c r="CD439" t="s">
        <v>243</v>
      </c>
      <c r="CE439" t="s">
        <v>243</v>
      </c>
      <c r="CF439" t="s">
        <v>243</v>
      </c>
      <c r="CG439" t="s">
        <v>243</v>
      </c>
      <c r="CH439" t="s">
        <v>2829</v>
      </c>
      <c r="CI439" t="s">
        <v>243</v>
      </c>
      <c r="CJ439" t="s">
        <v>243</v>
      </c>
      <c r="CK439" t="s">
        <v>243</v>
      </c>
      <c r="CL439" t="s">
        <v>243</v>
      </c>
      <c r="CM439" t="s">
        <v>243</v>
      </c>
      <c r="CN439" t="s">
        <v>2836</v>
      </c>
      <c r="CO439" t="s">
        <v>2843</v>
      </c>
      <c r="CP439" t="s">
        <v>2844</v>
      </c>
      <c r="CQ439" t="s">
        <v>430</v>
      </c>
      <c r="CR439" t="s">
        <v>2845</v>
      </c>
      <c r="CS439" t="s">
        <v>431</v>
      </c>
      <c r="CT439" t="s">
        <v>430</v>
      </c>
      <c r="CU439" t="s">
        <v>2846</v>
      </c>
      <c r="CV439" t="s">
        <v>2847</v>
      </c>
      <c r="CW439" t="s">
        <v>2845</v>
      </c>
      <c r="CX439" t="s">
        <v>2848</v>
      </c>
      <c r="CY439" t="s">
        <v>2849</v>
      </c>
    </row>
    <row r="440" spans="1:103" ht="11.25" customHeight="1">
      <c r="A440" t="s">
        <v>243</v>
      </c>
      <c r="B440" t="s">
        <v>243</v>
      </c>
      <c r="C440" t="s">
        <v>243</v>
      </c>
      <c r="D440" t="s">
        <v>243</v>
      </c>
      <c r="E440" t="s">
        <v>243</v>
      </c>
      <c r="F440" t="s">
        <v>2816</v>
      </c>
      <c r="G440" t="s">
        <v>243</v>
      </c>
      <c r="H440" t="s">
        <v>243</v>
      </c>
      <c r="I440" t="s">
        <v>3607</v>
      </c>
      <c r="J440" t="s">
        <v>243</v>
      </c>
      <c r="K440" t="s">
        <v>2818</v>
      </c>
      <c r="L440" t="s">
        <v>243</v>
      </c>
      <c r="M440" t="s">
        <v>114</v>
      </c>
      <c r="N440" t="s">
        <v>243</v>
      </c>
      <c r="O440" t="s">
        <v>2819</v>
      </c>
      <c r="P440" t="s">
        <v>4448</v>
      </c>
      <c r="Q440" t="s">
        <v>2821</v>
      </c>
      <c r="R440" t="s">
        <v>200</v>
      </c>
      <c r="S440" t="s">
        <v>200</v>
      </c>
      <c r="T440" t="s">
        <v>2822</v>
      </c>
      <c r="U440" t="s">
        <v>2822</v>
      </c>
      <c r="V440" t="s">
        <v>2823</v>
      </c>
      <c r="W440" t="s">
        <v>3608</v>
      </c>
      <c r="X440" t="s">
        <v>3609</v>
      </c>
      <c r="Y440" t="s">
        <v>3610</v>
      </c>
      <c r="Z440" t="s">
        <v>3611</v>
      </c>
      <c r="AA440" t="s">
        <v>3228</v>
      </c>
      <c r="AB440" t="s">
        <v>3058</v>
      </c>
      <c r="AC440" t="s">
        <v>2829</v>
      </c>
      <c r="AD440" t="s">
        <v>2830</v>
      </c>
      <c r="AE440" t="s">
        <v>2857</v>
      </c>
      <c r="AF440" t="s">
        <v>3612</v>
      </c>
      <c r="AG440" t="s">
        <v>3612</v>
      </c>
      <c r="AH440" t="s">
        <v>2834</v>
      </c>
      <c r="AI440" t="s">
        <v>2835</v>
      </c>
      <c r="AJ440" t="s">
        <v>2829</v>
      </c>
      <c r="AK440" t="s">
        <v>2922</v>
      </c>
      <c r="AL440" t="s">
        <v>3228</v>
      </c>
      <c r="AM440" t="s">
        <v>3058</v>
      </c>
      <c r="AN440" t="s">
        <v>2829</v>
      </c>
      <c r="AO440" t="s">
        <v>2839</v>
      </c>
      <c r="AP440" t="s">
        <v>2840</v>
      </c>
      <c r="AQ440" t="s">
        <v>2841</v>
      </c>
      <c r="AR440" t="s">
        <v>2923</v>
      </c>
      <c r="AS440" t="s">
        <v>2923</v>
      </c>
      <c r="AT440" t="s">
        <v>2829</v>
      </c>
      <c r="AU440" t="s">
        <v>2829</v>
      </c>
      <c r="AV440" t="s">
        <v>2829</v>
      </c>
      <c r="AW440" t="s">
        <v>2829</v>
      </c>
      <c r="AX440" t="s">
        <v>2829</v>
      </c>
      <c r="AY440" t="s">
        <v>2829</v>
      </c>
      <c r="AZ440" t="s">
        <v>2829</v>
      </c>
      <c r="BA440" t="s">
        <v>2829</v>
      </c>
      <c r="BB440" t="s">
        <v>2829</v>
      </c>
      <c r="BC440" t="s">
        <v>2829</v>
      </c>
      <c r="BD440" t="s">
        <v>2923</v>
      </c>
      <c r="BE440" t="s">
        <v>2923</v>
      </c>
      <c r="BF440" t="s">
        <v>243</v>
      </c>
      <c r="BG440" t="s">
        <v>243</v>
      </c>
      <c r="BH440" t="s">
        <v>243</v>
      </c>
      <c r="BI440" t="s">
        <v>243</v>
      </c>
      <c r="BJ440" t="s">
        <v>2829</v>
      </c>
      <c r="BK440" t="s">
        <v>243</v>
      </c>
      <c r="BL440" t="s">
        <v>243</v>
      </c>
      <c r="BM440" t="s">
        <v>243</v>
      </c>
      <c r="BN440" t="s">
        <v>243</v>
      </c>
      <c r="BO440" t="s">
        <v>243</v>
      </c>
      <c r="BP440" t="s">
        <v>2829</v>
      </c>
      <c r="BQ440" t="s">
        <v>243</v>
      </c>
      <c r="BR440" t="s">
        <v>243</v>
      </c>
      <c r="BS440" t="s">
        <v>243</v>
      </c>
      <c r="BT440" t="s">
        <v>243</v>
      </c>
      <c r="BU440" t="s">
        <v>243</v>
      </c>
      <c r="BV440" t="s">
        <v>2829</v>
      </c>
      <c r="BW440" t="s">
        <v>243</v>
      </c>
      <c r="BX440" t="s">
        <v>243</v>
      </c>
      <c r="BY440" t="s">
        <v>243</v>
      </c>
      <c r="BZ440" t="s">
        <v>243</v>
      </c>
      <c r="CA440" t="s">
        <v>243</v>
      </c>
      <c r="CB440" t="s">
        <v>2829</v>
      </c>
      <c r="CC440" t="s">
        <v>243</v>
      </c>
      <c r="CD440" t="s">
        <v>243</v>
      </c>
      <c r="CE440" t="s">
        <v>243</v>
      </c>
      <c r="CF440" t="s">
        <v>243</v>
      </c>
      <c r="CG440" t="s">
        <v>243</v>
      </c>
      <c r="CH440" t="s">
        <v>2829</v>
      </c>
      <c r="CI440" t="s">
        <v>243</v>
      </c>
      <c r="CJ440" t="s">
        <v>243</v>
      </c>
      <c r="CK440" t="s">
        <v>243</v>
      </c>
      <c r="CL440" t="s">
        <v>243</v>
      </c>
      <c r="CM440" t="s">
        <v>243</v>
      </c>
      <c r="CN440" t="s">
        <v>2829</v>
      </c>
      <c r="CO440" t="s">
        <v>2924</v>
      </c>
      <c r="CP440" t="s">
        <v>2844</v>
      </c>
      <c r="CQ440" t="s">
        <v>430</v>
      </c>
      <c r="CR440" t="s">
        <v>2872</v>
      </c>
      <c r="CS440" t="s">
        <v>431</v>
      </c>
      <c r="CT440" t="s">
        <v>430</v>
      </c>
      <c r="CU440" t="s">
        <v>2846</v>
      </c>
      <c r="CV440" t="s">
        <v>2873</v>
      </c>
      <c r="CW440" t="s">
        <v>2872</v>
      </c>
      <c r="CX440" t="s">
        <v>2848</v>
      </c>
      <c r="CY440" t="s">
        <v>3613</v>
      </c>
    </row>
    <row r="441" spans="1:103" ht="11.25" customHeight="1">
      <c r="A441" t="s">
        <v>243</v>
      </c>
      <c r="B441" t="s">
        <v>243</v>
      </c>
      <c r="C441" t="s">
        <v>243</v>
      </c>
      <c r="D441" t="s">
        <v>243</v>
      </c>
      <c r="E441" t="s">
        <v>243</v>
      </c>
      <c r="F441" t="s">
        <v>2816</v>
      </c>
      <c r="G441" t="s">
        <v>243</v>
      </c>
      <c r="H441" t="s">
        <v>243</v>
      </c>
      <c r="I441" t="s">
        <v>3601</v>
      </c>
      <c r="J441" t="s">
        <v>243</v>
      </c>
      <c r="K441" t="s">
        <v>3281</v>
      </c>
      <c r="L441" t="s">
        <v>243</v>
      </c>
      <c r="M441" t="s">
        <v>114</v>
      </c>
      <c r="N441" t="s">
        <v>243</v>
      </c>
      <c r="O441" t="s">
        <v>2819</v>
      </c>
      <c r="P441" t="s">
        <v>4448</v>
      </c>
      <c r="Q441" t="s">
        <v>2821</v>
      </c>
      <c r="R441" t="s">
        <v>200</v>
      </c>
      <c r="S441" t="s">
        <v>200</v>
      </c>
      <c r="T441" t="s">
        <v>2968</v>
      </c>
      <c r="U441" t="s">
        <v>2968</v>
      </c>
      <c r="V441" t="s">
        <v>2969</v>
      </c>
      <c r="W441" t="s">
        <v>2970</v>
      </c>
      <c r="X441" t="s">
        <v>2971</v>
      </c>
      <c r="Y441" t="s">
        <v>3602</v>
      </c>
      <c r="Z441" t="s">
        <v>3603</v>
      </c>
      <c r="AA441" t="s">
        <v>3094</v>
      </c>
      <c r="AB441" t="s">
        <v>3182</v>
      </c>
      <c r="AC441" t="s">
        <v>2829</v>
      </c>
      <c r="AD441" t="s">
        <v>2883</v>
      </c>
      <c r="AE441" t="s">
        <v>2975</v>
      </c>
      <c r="AF441" t="s">
        <v>2958</v>
      </c>
      <c r="AG441" t="s">
        <v>2958</v>
      </c>
      <c r="AH441" t="s">
        <v>2834</v>
      </c>
      <c r="AI441" t="s">
        <v>2835</v>
      </c>
      <c r="AJ441" t="s">
        <v>2997</v>
      </c>
      <c r="AK441" t="s">
        <v>3604</v>
      </c>
      <c r="AL441" t="s">
        <v>3094</v>
      </c>
      <c r="AM441" t="s">
        <v>3182</v>
      </c>
      <c r="AN441" t="s">
        <v>2829</v>
      </c>
      <c r="AO441" t="s">
        <v>2839</v>
      </c>
      <c r="AP441" t="s">
        <v>2840</v>
      </c>
      <c r="AQ441" t="s">
        <v>2841</v>
      </c>
      <c r="AR441" t="s">
        <v>3605</v>
      </c>
      <c r="AS441" t="s">
        <v>3605</v>
      </c>
      <c r="AT441" t="s">
        <v>2829</v>
      </c>
      <c r="AU441" t="s">
        <v>2829</v>
      </c>
      <c r="AV441" t="s">
        <v>2829</v>
      </c>
      <c r="AW441" t="s">
        <v>2829</v>
      </c>
      <c r="AX441" t="s">
        <v>2829</v>
      </c>
      <c r="AY441" t="s">
        <v>2829</v>
      </c>
      <c r="AZ441" t="s">
        <v>2829</v>
      </c>
      <c r="BA441" t="s">
        <v>2829</v>
      </c>
      <c r="BB441" t="s">
        <v>2829</v>
      </c>
      <c r="BC441" t="s">
        <v>2829</v>
      </c>
      <c r="BD441" t="s">
        <v>2829</v>
      </c>
      <c r="BE441" t="s">
        <v>243</v>
      </c>
      <c r="BF441" t="s">
        <v>243</v>
      </c>
      <c r="BG441" t="s">
        <v>243</v>
      </c>
      <c r="BH441" t="s">
        <v>243</v>
      </c>
      <c r="BI441" t="s">
        <v>243</v>
      </c>
      <c r="BJ441" t="s">
        <v>2829</v>
      </c>
      <c r="BK441" t="s">
        <v>243</v>
      </c>
      <c r="BL441" t="s">
        <v>243</v>
      </c>
      <c r="BM441" t="s">
        <v>243</v>
      </c>
      <c r="BN441" t="s">
        <v>243</v>
      </c>
      <c r="BO441" t="s">
        <v>243</v>
      </c>
      <c r="BP441" t="s">
        <v>3605</v>
      </c>
      <c r="BQ441" t="s">
        <v>3605</v>
      </c>
      <c r="BR441" t="s">
        <v>243</v>
      </c>
      <c r="BS441" t="s">
        <v>243</v>
      </c>
      <c r="BT441" t="s">
        <v>243</v>
      </c>
      <c r="BU441" t="s">
        <v>243</v>
      </c>
      <c r="BV441" t="s">
        <v>2829</v>
      </c>
      <c r="BW441" t="s">
        <v>243</v>
      </c>
      <c r="BX441" t="s">
        <v>243</v>
      </c>
      <c r="BY441" t="s">
        <v>243</v>
      </c>
      <c r="BZ441" t="s">
        <v>243</v>
      </c>
      <c r="CA441" t="s">
        <v>243</v>
      </c>
      <c r="CB441" t="s">
        <v>2829</v>
      </c>
      <c r="CC441" t="s">
        <v>243</v>
      </c>
      <c r="CD441" t="s">
        <v>243</v>
      </c>
      <c r="CE441" t="s">
        <v>243</v>
      </c>
      <c r="CF441" t="s">
        <v>243</v>
      </c>
      <c r="CG441" t="s">
        <v>243</v>
      </c>
      <c r="CH441" t="s">
        <v>2829</v>
      </c>
      <c r="CI441" t="s">
        <v>243</v>
      </c>
      <c r="CJ441" t="s">
        <v>243</v>
      </c>
      <c r="CK441" t="s">
        <v>243</v>
      </c>
      <c r="CL441" t="s">
        <v>243</v>
      </c>
      <c r="CM441" t="s">
        <v>243</v>
      </c>
      <c r="CN441" t="s">
        <v>2983</v>
      </c>
      <c r="CO441" t="s">
        <v>2843</v>
      </c>
      <c r="CP441" t="s">
        <v>2844</v>
      </c>
      <c r="CQ441" t="s">
        <v>430</v>
      </c>
      <c r="CR441" t="s">
        <v>2984</v>
      </c>
      <c r="CS441" t="s">
        <v>431</v>
      </c>
      <c r="CT441" t="s">
        <v>430</v>
      </c>
      <c r="CU441" t="s">
        <v>2985</v>
      </c>
      <c r="CV441" t="s">
        <v>2986</v>
      </c>
      <c r="CW441" t="s">
        <v>2984</v>
      </c>
      <c r="CX441" t="s">
        <v>2848</v>
      </c>
      <c r="CY441" t="s">
        <v>3606</v>
      </c>
    </row>
    <row r="442" spans="1:103" ht="11.25" customHeight="1">
      <c r="A442" t="s">
        <v>243</v>
      </c>
      <c r="B442" t="s">
        <v>243</v>
      </c>
      <c r="C442" t="s">
        <v>243</v>
      </c>
      <c r="D442" t="s">
        <v>243</v>
      </c>
      <c r="E442" t="s">
        <v>243</v>
      </c>
      <c r="F442" t="s">
        <v>2816</v>
      </c>
      <c r="G442" t="s">
        <v>243</v>
      </c>
      <c r="H442" t="s">
        <v>243</v>
      </c>
      <c r="I442" t="s">
        <v>3931</v>
      </c>
      <c r="J442" t="s">
        <v>243</v>
      </c>
      <c r="K442" t="s">
        <v>3716</v>
      </c>
      <c r="L442" t="s">
        <v>243</v>
      </c>
      <c r="M442" t="s">
        <v>114</v>
      </c>
      <c r="N442" t="s">
        <v>243</v>
      </c>
      <c r="O442" t="s">
        <v>2819</v>
      </c>
      <c r="P442" t="s">
        <v>4448</v>
      </c>
      <c r="Q442" t="s">
        <v>2821</v>
      </c>
      <c r="R442" t="s">
        <v>200</v>
      </c>
      <c r="S442" t="s">
        <v>200</v>
      </c>
      <c r="T442" t="s">
        <v>2968</v>
      </c>
      <c r="U442" t="s">
        <v>2968</v>
      </c>
      <c r="V442" t="s">
        <v>2969</v>
      </c>
      <c r="W442" t="s">
        <v>3722</v>
      </c>
      <c r="X442" t="s">
        <v>3723</v>
      </c>
      <c r="Y442" t="s">
        <v>3932</v>
      </c>
      <c r="Z442" t="s">
        <v>3933</v>
      </c>
      <c r="AA442" t="s">
        <v>3117</v>
      </c>
      <c r="AB442" t="s">
        <v>3703</v>
      </c>
      <c r="AC442" t="s">
        <v>2829</v>
      </c>
      <c r="AD442" t="s">
        <v>2883</v>
      </c>
      <c r="AE442" t="s">
        <v>2857</v>
      </c>
      <c r="AF442" t="s">
        <v>3934</v>
      </c>
      <c r="AG442" t="s">
        <v>3934</v>
      </c>
      <c r="AH442" t="s">
        <v>2834</v>
      </c>
      <c r="AI442" t="s">
        <v>2835</v>
      </c>
      <c r="AJ442" t="s">
        <v>3130</v>
      </c>
      <c r="AK442" t="s">
        <v>3729</v>
      </c>
      <c r="AL442" t="s">
        <v>3117</v>
      </c>
      <c r="AM442" t="s">
        <v>3935</v>
      </c>
      <c r="AN442" t="s">
        <v>2829</v>
      </c>
      <c r="AO442" t="s">
        <v>2839</v>
      </c>
      <c r="AP442" t="s">
        <v>2840</v>
      </c>
      <c r="AQ442" t="s">
        <v>2841</v>
      </c>
      <c r="AR442" t="s">
        <v>3936</v>
      </c>
      <c r="AS442" t="s">
        <v>3936</v>
      </c>
      <c r="AT442" t="s">
        <v>2829</v>
      </c>
      <c r="AU442" t="s">
        <v>2829</v>
      </c>
      <c r="AV442" t="s">
        <v>2829</v>
      </c>
      <c r="AW442" t="s">
        <v>2829</v>
      </c>
      <c r="AX442" t="s">
        <v>2829</v>
      </c>
      <c r="AY442" t="s">
        <v>2829</v>
      </c>
      <c r="AZ442" t="s">
        <v>2829</v>
      </c>
      <c r="BA442" t="s">
        <v>2829</v>
      </c>
      <c r="BB442" t="s">
        <v>2829</v>
      </c>
      <c r="BC442" t="s">
        <v>2829</v>
      </c>
      <c r="BD442" t="s">
        <v>2829</v>
      </c>
      <c r="BE442" t="s">
        <v>243</v>
      </c>
      <c r="BF442" t="s">
        <v>243</v>
      </c>
      <c r="BG442" t="s">
        <v>243</v>
      </c>
      <c r="BH442" t="s">
        <v>243</v>
      </c>
      <c r="BI442" t="s">
        <v>243</v>
      </c>
      <c r="BJ442" t="s">
        <v>2829</v>
      </c>
      <c r="BK442" t="s">
        <v>243</v>
      </c>
      <c r="BL442" t="s">
        <v>243</v>
      </c>
      <c r="BM442" t="s">
        <v>243</v>
      </c>
      <c r="BN442" t="s">
        <v>243</v>
      </c>
      <c r="BO442" t="s">
        <v>243</v>
      </c>
      <c r="BP442" t="s">
        <v>3936</v>
      </c>
      <c r="BQ442" t="s">
        <v>3936</v>
      </c>
      <c r="BR442" t="s">
        <v>243</v>
      </c>
      <c r="BS442" t="s">
        <v>243</v>
      </c>
      <c r="BT442" t="s">
        <v>243</v>
      </c>
      <c r="BU442" t="s">
        <v>243</v>
      </c>
      <c r="BV442" t="s">
        <v>2829</v>
      </c>
      <c r="BW442" t="s">
        <v>243</v>
      </c>
      <c r="BX442" t="s">
        <v>243</v>
      </c>
      <c r="BY442" t="s">
        <v>243</v>
      </c>
      <c r="BZ442" t="s">
        <v>243</v>
      </c>
      <c r="CA442" t="s">
        <v>243</v>
      </c>
      <c r="CB442" t="s">
        <v>2829</v>
      </c>
      <c r="CC442" t="s">
        <v>243</v>
      </c>
      <c r="CD442" t="s">
        <v>243</v>
      </c>
      <c r="CE442" t="s">
        <v>243</v>
      </c>
      <c r="CF442" t="s">
        <v>243</v>
      </c>
      <c r="CG442" t="s">
        <v>243</v>
      </c>
      <c r="CH442" t="s">
        <v>2829</v>
      </c>
      <c r="CI442" t="s">
        <v>243</v>
      </c>
      <c r="CJ442" t="s">
        <v>243</v>
      </c>
      <c r="CK442" t="s">
        <v>243</v>
      </c>
      <c r="CL442" t="s">
        <v>243</v>
      </c>
      <c r="CM442" t="s">
        <v>243</v>
      </c>
      <c r="CN442" t="s">
        <v>3010</v>
      </c>
      <c r="CO442" t="s">
        <v>2843</v>
      </c>
      <c r="CP442" t="s">
        <v>2844</v>
      </c>
      <c r="CQ442" t="s">
        <v>430</v>
      </c>
      <c r="CR442" t="s">
        <v>2984</v>
      </c>
      <c r="CS442" t="s">
        <v>431</v>
      </c>
      <c r="CT442" t="s">
        <v>430</v>
      </c>
      <c r="CU442" t="s">
        <v>2985</v>
      </c>
      <c r="CV442" t="s">
        <v>2986</v>
      </c>
      <c r="CW442" t="s">
        <v>2984</v>
      </c>
      <c r="CX442" t="s">
        <v>2848</v>
      </c>
      <c r="CY442" t="s">
        <v>3937</v>
      </c>
    </row>
    <row r="443" spans="1:103" ht="11.25" customHeight="1">
      <c r="A443" t="s">
        <v>243</v>
      </c>
      <c r="B443" t="s">
        <v>243</v>
      </c>
      <c r="C443" t="s">
        <v>243</v>
      </c>
      <c r="D443" t="s">
        <v>243</v>
      </c>
      <c r="E443" t="s">
        <v>243</v>
      </c>
      <c r="F443" t="s">
        <v>2816</v>
      </c>
      <c r="G443" t="s">
        <v>243</v>
      </c>
      <c r="H443" t="s">
        <v>243</v>
      </c>
      <c r="I443" t="s">
        <v>3452</v>
      </c>
      <c r="J443" t="s">
        <v>243</v>
      </c>
      <c r="K443" t="s">
        <v>3453</v>
      </c>
      <c r="L443" t="s">
        <v>243</v>
      </c>
      <c r="M443" t="s">
        <v>114</v>
      </c>
      <c r="N443" t="s">
        <v>243</v>
      </c>
      <c r="O443" t="s">
        <v>2819</v>
      </c>
      <c r="P443" t="s">
        <v>4448</v>
      </c>
      <c r="Q443" t="s">
        <v>2821</v>
      </c>
      <c r="R443" t="s">
        <v>200</v>
      </c>
      <c r="S443" t="s">
        <v>200</v>
      </c>
      <c r="T443" t="s">
        <v>3022</v>
      </c>
      <c r="U443" t="s">
        <v>3022</v>
      </c>
      <c r="V443" t="s">
        <v>3023</v>
      </c>
      <c r="W443" t="s">
        <v>3389</v>
      </c>
      <c r="X443" t="s">
        <v>3390</v>
      </c>
      <c r="Y443" t="s">
        <v>2929</v>
      </c>
      <c r="Z443" t="s">
        <v>3454</v>
      </c>
      <c r="AA443" t="s">
        <v>3455</v>
      </c>
      <c r="AB443" t="s">
        <v>3193</v>
      </c>
      <c r="AC443" t="s">
        <v>2829</v>
      </c>
      <c r="AD443" t="s">
        <v>2883</v>
      </c>
      <c r="AE443" t="s">
        <v>2831</v>
      </c>
      <c r="AF443" t="s">
        <v>3456</v>
      </c>
      <c r="AG443" t="s">
        <v>3456</v>
      </c>
      <c r="AH443" t="s">
        <v>2834</v>
      </c>
      <c r="AI443" t="s">
        <v>2835</v>
      </c>
      <c r="AJ443" t="s">
        <v>3030</v>
      </c>
      <c r="AK443" t="s">
        <v>3185</v>
      </c>
      <c r="AL443" t="s">
        <v>3455</v>
      </c>
      <c r="AM443" t="s">
        <v>2995</v>
      </c>
      <c r="AN443" t="s">
        <v>2829</v>
      </c>
      <c r="AO443" t="s">
        <v>2839</v>
      </c>
      <c r="AP443" t="s">
        <v>2840</v>
      </c>
      <c r="AQ443" t="s">
        <v>2841</v>
      </c>
      <c r="AR443" t="s">
        <v>3457</v>
      </c>
      <c r="AS443" t="s">
        <v>3457</v>
      </c>
      <c r="AT443" t="s">
        <v>2829</v>
      </c>
      <c r="AU443" t="s">
        <v>2829</v>
      </c>
      <c r="AV443" t="s">
        <v>2829</v>
      </c>
      <c r="AW443" t="s">
        <v>2829</v>
      </c>
      <c r="AX443" t="s">
        <v>2829</v>
      </c>
      <c r="AY443" t="s">
        <v>2829</v>
      </c>
      <c r="AZ443" t="s">
        <v>2829</v>
      </c>
      <c r="BA443" t="s">
        <v>2829</v>
      </c>
      <c r="BB443" t="s">
        <v>2829</v>
      </c>
      <c r="BC443" t="s">
        <v>2829</v>
      </c>
      <c r="BD443" t="s">
        <v>2829</v>
      </c>
      <c r="BE443" t="s">
        <v>243</v>
      </c>
      <c r="BF443" t="s">
        <v>243</v>
      </c>
      <c r="BG443" t="s">
        <v>243</v>
      </c>
      <c r="BH443" t="s">
        <v>243</v>
      </c>
      <c r="BI443" t="s">
        <v>243</v>
      </c>
      <c r="BJ443" t="s">
        <v>2829</v>
      </c>
      <c r="BK443" t="s">
        <v>243</v>
      </c>
      <c r="BL443" t="s">
        <v>243</v>
      </c>
      <c r="BM443" t="s">
        <v>243</v>
      </c>
      <c r="BN443" t="s">
        <v>243</v>
      </c>
      <c r="BO443" t="s">
        <v>243</v>
      </c>
      <c r="BP443" t="s">
        <v>3457</v>
      </c>
      <c r="BQ443" t="s">
        <v>3457</v>
      </c>
      <c r="BR443" t="s">
        <v>243</v>
      </c>
      <c r="BS443" t="s">
        <v>243</v>
      </c>
      <c r="BT443" t="s">
        <v>243</v>
      </c>
      <c r="BU443" t="s">
        <v>243</v>
      </c>
      <c r="BV443" t="s">
        <v>2829</v>
      </c>
      <c r="BW443" t="s">
        <v>243</v>
      </c>
      <c r="BX443" t="s">
        <v>243</v>
      </c>
      <c r="BY443" t="s">
        <v>243</v>
      </c>
      <c r="BZ443" t="s">
        <v>243</v>
      </c>
      <c r="CA443" t="s">
        <v>243</v>
      </c>
      <c r="CB443" t="s">
        <v>2829</v>
      </c>
      <c r="CC443" t="s">
        <v>243</v>
      </c>
      <c r="CD443" t="s">
        <v>243</v>
      </c>
      <c r="CE443" t="s">
        <v>243</v>
      </c>
      <c r="CF443" t="s">
        <v>243</v>
      </c>
      <c r="CG443" t="s">
        <v>243</v>
      </c>
      <c r="CH443" t="s">
        <v>2829</v>
      </c>
      <c r="CI443" t="s">
        <v>243</v>
      </c>
      <c r="CJ443" t="s">
        <v>243</v>
      </c>
      <c r="CK443" t="s">
        <v>243</v>
      </c>
      <c r="CL443" t="s">
        <v>243</v>
      </c>
      <c r="CM443" t="s">
        <v>243</v>
      </c>
      <c r="CN443" t="s">
        <v>3130</v>
      </c>
      <c r="CO443" t="s">
        <v>2843</v>
      </c>
      <c r="CP443" t="s">
        <v>2844</v>
      </c>
      <c r="CQ443" t="s">
        <v>430</v>
      </c>
      <c r="CR443" t="s">
        <v>3033</v>
      </c>
      <c r="CS443" t="s">
        <v>431</v>
      </c>
      <c r="CT443" t="s">
        <v>430</v>
      </c>
      <c r="CU443" t="s">
        <v>3034</v>
      </c>
      <c r="CV443" t="s">
        <v>432</v>
      </c>
      <c r="CW443" t="s">
        <v>3033</v>
      </c>
      <c r="CX443" t="s">
        <v>2848</v>
      </c>
      <c r="CY443" t="s">
        <v>3458</v>
      </c>
    </row>
    <row r="444" spans="1:103" ht="11.25" customHeight="1">
      <c r="A444" t="s">
        <v>243</v>
      </c>
      <c r="B444" t="s">
        <v>243</v>
      </c>
      <c r="C444" t="s">
        <v>243</v>
      </c>
      <c r="D444" t="s">
        <v>243</v>
      </c>
      <c r="E444" t="s">
        <v>243</v>
      </c>
      <c r="F444" t="s">
        <v>2816</v>
      </c>
      <c r="G444" t="s">
        <v>243</v>
      </c>
      <c r="H444" t="s">
        <v>243</v>
      </c>
      <c r="I444" t="s">
        <v>3459</v>
      </c>
      <c r="J444" t="s">
        <v>243</v>
      </c>
      <c r="K444" t="s">
        <v>3460</v>
      </c>
      <c r="L444" t="s">
        <v>243</v>
      </c>
      <c r="M444" t="s">
        <v>114</v>
      </c>
      <c r="N444" t="s">
        <v>243</v>
      </c>
      <c r="O444" t="s">
        <v>2819</v>
      </c>
      <c r="P444" t="s">
        <v>4448</v>
      </c>
      <c r="Q444" t="s">
        <v>2821</v>
      </c>
      <c r="R444" t="s">
        <v>200</v>
      </c>
      <c r="S444" t="s">
        <v>200</v>
      </c>
      <c r="T444" t="s">
        <v>3022</v>
      </c>
      <c r="U444" t="s">
        <v>3022</v>
      </c>
      <c r="V444" t="s">
        <v>3023</v>
      </c>
      <c r="W444" t="s">
        <v>3461</v>
      </c>
      <c r="X444" t="s">
        <v>3462</v>
      </c>
      <c r="Y444" t="s">
        <v>3463</v>
      </c>
      <c r="Z444" t="s">
        <v>902</v>
      </c>
      <c r="AA444" t="s">
        <v>3059</v>
      </c>
      <c r="AB444" t="s">
        <v>3464</v>
      </c>
      <c r="AC444" t="s">
        <v>2829</v>
      </c>
      <c r="AD444" t="s">
        <v>2883</v>
      </c>
      <c r="AE444" t="s">
        <v>2831</v>
      </c>
      <c r="AF444" t="s">
        <v>3465</v>
      </c>
      <c r="AG444" t="s">
        <v>3465</v>
      </c>
      <c r="AH444" t="s">
        <v>2834</v>
      </c>
      <c r="AI444" t="s">
        <v>2835</v>
      </c>
      <c r="AJ444" t="s">
        <v>3030</v>
      </c>
      <c r="AK444" t="s">
        <v>3466</v>
      </c>
      <c r="AL444" t="s">
        <v>3059</v>
      </c>
      <c r="AM444" t="s">
        <v>3464</v>
      </c>
      <c r="AN444" t="s">
        <v>2829</v>
      </c>
      <c r="AO444" t="s">
        <v>2839</v>
      </c>
      <c r="AP444" t="s">
        <v>2840</v>
      </c>
      <c r="AQ444" t="s">
        <v>2841</v>
      </c>
      <c r="AR444" t="s">
        <v>3467</v>
      </c>
      <c r="AS444" t="s">
        <v>3467</v>
      </c>
      <c r="AT444" t="s">
        <v>2829</v>
      </c>
      <c r="AU444" t="s">
        <v>2829</v>
      </c>
      <c r="AV444" t="s">
        <v>2829</v>
      </c>
      <c r="AW444" t="s">
        <v>2829</v>
      </c>
      <c r="AX444" t="s">
        <v>2829</v>
      </c>
      <c r="AY444" t="s">
        <v>2829</v>
      </c>
      <c r="AZ444" t="s">
        <v>2829</v>
      </c>
      <c r="BA444" t="s">
        <v>2829</v>
      </c>
      <c r="BB444" t="s">
        <v>2829</v>
      </c>
      <c r="BC444" t="s">
        <v>2829</v>
      </c>
      <c r="BD444" t="s">
        <v>2829</v>
      </c>
      <c r="BE444" t="s">
        <v>243</v>
      </c>
      <c r="BF444" t="s">
        <v>243</v>
      </c>
      <c r="BG444" t="s">
        <v>243</v>
      </c>
      <c r="BH444" t="s">
        <v>243</v>
      </c>
      <c r="BI444" t="s">
        <v>243</v>
      </c>
      <c r="BJ444" t="s">
        <v>2829</v>
      </c>
      <c r="BK444" t="s">
        <v>243</v>
      </c>
      <c r="BL444" t="s">
        <v>243</v>
      </c>
      <c r="BM444" t="s">
        <v>243</v>
      </c>
      <c r="BN444" t="s">
        <v>243</v>
      </c>
      <c r="BO444" t="s">
        <v>243</v>
      </c>
      <c r="BP444" t="s">
        <v>3467</v>
      </c>
      <c r="BQ444" t="s">
        <v>3467</v>
      </c>
      <c r="BR444" t="s">
        <v>243</v>
      </c>
      <c r="BS444" t="s">
        <v>243</v>
      </c>
      <c r="BT444" t="s">
        <v>243</v>
      </c>
      <c r="BU444" t="s">
        <v>243</v>
      </c>
      <c r="BV444" t="s">
        <v>2829</v>
      </c>
      <c r="BW444" t="s">
        <v>243</v>
      </c>
      <c r="BX444" t="s">
        <v>243</v>
      </c>
      <c r="BY444" t="s">
        <v>243</v>
      </c>
      <c r="BZ444" t="s">
        <v>243</v>
      </c>
      <c r="CA444" t="s">
        <v>243</v>
      </c>
      <c r="CB444" t="s">
        <v>2829</v>
      </c>
      <c r="CC444" t="s">
        <v>243</v>
      </c>
      <c r="CD444" t="s">
        <v>243</v>
      </c>
      <c r="CE444" t="s">
        <v>243</v>
      </c>
      <c r="CF444" t="s">
        <v>243</v>
      </c>
      <c r="CG444" t="s">
        <v>243</v>
      </c>
      <c r="CH444" t="s">
        <v>2829</v>
      </c>
      <c r="CI444" t="s">
        <v>243</v>
      </c>
      <c r="CJ444" t="s">
        <v>243</v>
      </c>
      <c r="CK444" t="s">
        <v>243</v>
      </c>
      <c r="CL444" t="s">
        <v>243</v>
      </c>
      <c r="CM444" t="s">
        <v>243</v>
      </c>
      <c r="CN444" t="s">
        <v>3041</v>
      </c>
      <c r="CO444" t="s">
        <v>2843</v>
      </c>
      <c r="CP444" t="s">
        <v>2844</v>
      </c>
      <c r="CQ444" t="s">
        <v>430</v>
      </c>
      <c r="CR444" t="s">
        <v>3033</v>
      </c>
      <c r="CS444" t="s">
        <v>431</v>
      </c>
      <c r="CT444" t="s">
        <v>430</v>
      </c>
      <c r="CU444" t="s">
        <v>3034</v>
      </c>
      <c r="CV444" t="s">
        <v>432</v>
      </c>
      <c r="CW444" t="s">
        <v>3033</v>
      </c>
      <c r="CX444" t="s">
        <v>2848</v>
      </c>
      <c r="CY444" t="s">
        <v>3468</v>
      </c>
    </row>
    <row r="445" spans="1:103" ht="11.25" customHeight="1">
      <c r="A445" t="s">
        <v>243</v>
      </c>
      <c r="B445" t="s">
        <v>243</v>
      </c>
      <c r="C445" t="s">
        <v>243</v>
      </c>
      <c r="D445" t="s">
        <v>243</v>
      </c>
      <c r="E445" t="s">
        <v>243</v>
      </c>
      <c r="F445" t="s">
        <v>2816</v>
      </c>
      <c r="G445" t="s">
        <v>243</v>
      </c>
      <c r="H445" t="s">
        <v>243</v>
      </c>
      <c r="I445" t="s">
        <v>1807</v>
      </c>
      <c r="J445" t="s">
        <v>243</v>
      </c>
      <c r="K445" t="s">
        <v>452</v>
      </c>
      <c r="L445" t="s">
        <v>243</v>
      </c>
      <c r="M445" t="s">
        <v>114</v>
      </c>
      <c r="N445" t="s">
        <v>243</v>
      </c>
      <c r="O445" t="s">
        <v>2819</v>
      </c>
      <c r="P445" t="s">
        <v>4448</v>
      </c>
      <c r="Q445" t="s">
        <v>2821</v>
      </c>
      <c r="R445" t="s">
        <v>200</v>
      </c>
      <c r="S445" t="s">
        <v>200</v>
      </c>
      <c r="T445" t="s">
        <v>2822</v>
      </c>
      <c r="U445" t="s">
        <v>2822</v>
      </c>
      <c r="V445" t="s">
        <v>2823</v>
      </c>
      <c r="W445" t="s">
        <v>2952</v>
      </c>
      <c r="X445" t="s">
        <v>2953</v>
      </c>
      <c r="Y445" t="s">
        <v>3741</v>
      </c>
      <c r="Z445" t="s">
        <v>3742</v>
      </c>
      <c r="AA445" t="s">
        <v>3066</v>
      </c>
      <c r="AB445" t="s">
        <v>3743</v>
      </c>
      <c r="AC445" t="s">
        <v>2829</v>
      </c>
      <c r="AD445" t="s">
        <v>2830</v>
      </c>
      <c r="AE445" t="s">
        <v>2831</v>
      </c>
      <c r="AF445" t="s">
        <v>3744</v>
      </c>
      <c r="AG445" t="s">
        <v>3745</v>
      </c>
      <c r="AH445" t="s">
        <v>2834</v>
      </c>
      <c r="AI445" t="s">
        <v>2835</v>
      </c>
      <c r="AJ445" t="s">
        <v>2960</v>
      </c>
      <c r="AK445" t="s">
        <v>3070</v>
      </c>
      <c r="AL445" t="s">
        <v>3746</v>
      </c>
      <c r="AM445" t="s">
        <v>3117</v>
      </c>
      <c r="AN445" t="s">
        <v>2829</v>
      </c>
      <c r="AO445" t="s">
        <v>2839</v>
      </c>
      <c r="AP445" t="s">
        <v>2840</v>
      </c>
      <c r="AQ445" t="s">
        <v>2841</v>
      </c>
      <c r="AR445" t="s">
        <v>3625</v>
      </c>
      <c r="AS445" t="s">
        <v>3625</v>
      </c>
      <c r="AT445" t="s">
        <v>2829</v>
      </c>
      <c r="AU445" t="s">
        <v>2829</v>
      </c>
      <c r="AV445" t="s">
        <v>2829</v>
      </c>
      <c r="AW445" t="s">
        <v>2829</v>
      </c>
      <c r="AX445" t="s">
        <v>2829</v>
      </c>
      <c r="AY445" t="s">
        <v>2829</v>
      </c>
      <c r="AZ445" t="s">
        <v>2829</v>
      </c>
      <c r="BA445" t="s">
        <v>2829</v>
      </c>
      <c r="BB445" t="s">
        <v>2829</v>
      </c>
      <c r="BC445" t="s">
        <v>2829</v>
      </c>
      <c r="BD445" t="s">
        <v>3731</v>
      </c>
      <c r="BE445" t="s">
        <v>3731</v>
      </c>
      <c r="BF445" t="s">
        <v>243</v>
      </c>
      <c r="BG445" t="s">
        <v>243</v>
      </c>
      <c r="BH445" t="s">
        <v>243</v>
      </c>
      <c r="BI445" t="s">
        <v>243</v>
      </c>
      <c r="BJ445" t="s">
        <v>2829</v>
      </c>
      <c r="BK445" t="s">
        <v>243</v>
      </c>
      <c r="BL445" t="s">
        <v>243</v>
      </c>
      <c r="BM445" t="s">
        <v>243</v>
      </c>
      <c r="BN445" t="s">
        <v>243</v>
      </c>
      <c r="BO445" t="s">
        <v>243</v>
      </c>
      <c r="BP445" t="s">
        <v>3731</v>
      </c>
      <c r="BQ445" t="s">
        <v>3731</v>
      </c>
      <c r="BR445" t="s">
        <v>243</v>
      </c>
      <c r="BS445" t="s">
        <v>243</v>
      </c>
      <c r="BT445" t="s">
        <v>243</v>
      </c>
      <c r="BU445" t="s">
        <v>243</v>
      </c>
      <c r="BV445" t="s">
        <v>2829</v>
      </c>
      <c r="BW445" t="s">
        <v>243</v>
      </c>
      <c r="BX445" t="s">
        <v>243</v>
      </c>
      <c r="BY445" t="s">
        <v>243</v>
      </c>
      <c r="BZ445" t="s">
        <v>243</v>
      </c>
      <c r="CA445" t="s">
        <v>243</v>
      </c>
      <c r="CB445" t="s">
        <v>2829</v>
      </c>
      <c r="CC445" t="s">
        <v>243</v>
      </c>
      <c r="CD445" t="s">
        <v>243</v>
      </c>
      <c r="CE445" t="s">
        <v>243</v>
      </c>
      <c r="CF445" t="s">
        <v>243</v>
      </c>
      <c r="CG445" t="s">
        <v>243</v>
      </c>
      <c r="CH445" t="s">
        <v>2829</v>
      </c>
      <c r="CI445" t="s">
        <v>243</v>
      </c>
      <c r="CJ445" t="s">
        <v>243</v>
      </c>
      <c r="CK445" t="s">
        <v>243</v>
      </c>
      <c r="CL445" t="s">
        <v>243</v>
      </c>
      <c r="CM445" t="s">
        <v>243</v>
      </c>
      <c r="CN445" t="s">
        <v>2960</v>
      </c>
      <c r="CO445" t="s">
        <v>2843</v>
      </c>
      <c r="CP445" t="s">
        <v>2844</v>
      </c>
      <c r="CQ445" t="s">
        <v>430</v>
      </c>
      <c r="CR445" t="s">
        <v>2845</v>
      </c>
      <c r="CS445" t="s">
        <v>431</v>
      </c>
      <c r="CT445" t="s">
        <v>430</v>
      </c>
      <c r="CU445" t="s">
        <v>2846</v>
      </c>
      <c r="CV445" t="s">
        <v>2847</v>
      </c>
      <c r="CW445" t="s">
        <v>2845</v>
      </c>
      <c r="CX445" t="s">
        <v>2848</v>
      </c>
      <c r="CY445" t="s">
        <v>3747</v>
      </c>
    </row>
    <row r="446" spans="1:103" ht="11.25" customHeight="1">
      <c r="A446" t="s">
        <v>243</v>
      </c>
      <c r="B446" t="s">
        <v>243</v>
      </c>
      <c r="C446" t="s">
        <v>243</v>
      </c>
      <c r="D446" t="s">
        <v>243</v>
      </c>
      <c r="E446" t="s">
        <v>243</v>
      </c>
      <c r="F446" t="s">
        <v>2816</v>
      </c>
      <c r="G446" t="s">
        <v>243</v>
      </c>
      <c r="H446" t="s">
        <v>243</v>
      </c>
      <c r="I446" t="s">
        <v>3598</v>
      </c>
      <c r="J446" t="s">
        <v>243</v>
      </c>
      <c r="K446" t="s">
        <v>464</v>
      </c>
      <c r="L446" t="s">
        <v>243</v>
      </c>
      <c r="M446" t="s">
        <v>114</v>
      </c>
      <c r="N446" t="s">
        <v>243</v>
      </c>
      <c r="O446" t="s">
        <v>2819</v>
      </c>
      <c r="P446" t="s">
        <v>4448</v>
      </c>
      <c r="Q446" t="s">
        <v>2821</v>
      </c>
      <c r="R446" t="s">
        <v>200</v>
      </c>
      <c r="S446" t="s">
        <v>200</v>
      </c>
      <c r="T446" t="s">
        <v>405</v>
      </c>
      <c r="U446" t="s">
        <v>405</v>
      </c>
      <c r="V446" t="s">
        <v>406</v>
      </c>
      <c r="W446" t="s">
        <v>3155</v>
      </c>
      <c r="X446" t="s">
        <v>3156</v>
      </c>
      <c r="Y446" t="s">
        <v>2913</v>
      </c>
      <c r="Z446" t="s">
        <v>3599</v>
      </c>
      <c r="AA446" t="s">
        <v>3359</v>
      </c>
      <c r="AB446" t="s">
        <v>3043</v>
      </c>
      <c r="AC446" t="s">
        <v>243</v>
      </c>
      <c r="AD446" t="s">
        <v>2883</v>
      </c>
      <c r="AE446" t="s">
        <v>2831</v>
      </c>
      <c r="AF446" t="s">
        <v>3401</v>
      </c>
      <c r="AG446" t="s">
        <v>3401</v>
      </c>
      <c r="AH446" t="s">
        <v>2834</v>
      </c>
      <c r="AI446" t="s">
        <v>2835</v>
      </c>
      <c r="AJ446" t="s">
        <v>2888</v>
      </c>
      <c r="AK446" t="s">
        <v>3472</v>
      </c>
      <c r="AL446" t="s">
        <v>3359</v>
      </c>
      <c r="AM446" t="s">
        <v>3043</v>
      </c>
      <c r="AN446" t="s">
        <v>243</v>
      </c>
      <c r="AO446" t="s">
        <v>2839</v>
      </c>
      <c r="AP446" t="s">
        <v>2840</v>
      </c>
      <c r="AQ446" t="s">
        <v>2841</v>
      </c>
      <c r="AR446" t="s">
        <v>3600</v>
      </c>
      <c r="AS446" t="s">
        <v>3600</v>
      </c>
      <c r="AT446" t="s">
        <v>2829</v>
      </c>
      <c r="AU446" t="s">
        <v>2829</v>
      </c>
      <c r="AV446" t="s">
        <v>2829</v>
      </c>
      <c r="AW446" t="s">
        <v>2829</v>
      </c>
      <c r="AX446" t="s">
        <v>2829</v>
      </c>
      <c r="AY446" t="s">
        <v>2829</v>
      </c>
      <c r="AZ446" t="s">
        <v>2829</v>
      </c>
      <c r="BA446" t="s">
        <v>2829</v>
      </c>
      <c r="BB446" t="s">
        <v>2829</v>
      </c>
      <c r="BC446" t="s">
        <v>2829</v>
      </c>
      <c r="BD446" t="s">
        <v>3600</v>
      </c>
      <c r="BE446" t="s">
        <v>3600</v>
      </c>
      <c r="BF446" t="s">
        <v>243</v>
      </c>
      <c r="BG446" t="s">
        <v>243</v>
      </c>
      <c r="BH446" t="s">
        <v>243</v>
      </c>
      <c r="BI446" t="s">
        <v>243</v>
      </c>
      <c r="BJ446" t="s">
        <v>2829</v>
      </c>
      <c r="BK446" t="s">
        <v>243</v>
      </c>
      <c r="BL446" t="s">
        <v>243</v>
      </c>
      <c r="BM446" t="s">
        <v>243</v>
      </c>
      <c r="BN446" t="s">
        <v>243</v>
      </c>
      <c r="BO446" t="s">
        <v>243</v>
      </c>
      <c r="BP446" t="s">
        <v>2829</v>
      </c>
      <c r="BQ446" t="s">
        <v>243</v>
      </c>
      <c r="BR446" t="s">
        <v>243</v>
      </c>
      <c r="BS446" t="s">
        <v>243</v>
      </c>
      <c r="BT446" t="s">
        <v>243</v>
      </c>
      <c r="BU446" t="s">
        <v>243</v>
      </c>
      <c r="BV446" t="s">
        <v>2829</v>
      </c>
      <c r="BW446" t="s">
        <v>243</v>
      </c>
      <c r="BX446" t="s">
        <v>243</v>
      </c>
      <c r="BY446" t="s">
        <v>243</v>
      </c>
      <c r="BZ446" t="s">
        <v>243</v>
      </c>
      <c r="CA446" t="s">
        <v>243</v>
      </c>
      <c r="CB446" t="s">
        <v>2829</v>
      </c>
      <c r="CC446" t="s">
        <v>243</v>
      </c>
      <c r="CD446" t="s">
        <v>243</v>
      </c>
      <c r="CE446" t="s">
        <v>243</v>
      </c>
      <c r="CF446" t="s">
        <v>243</v>
      </c>
      <c r="CG446" t="s">
        <v>243</v>
      </c>
      <c r="CH446" t="s">
        <v>2829</v>
      </c>
      <c r="CI446" t="s">
        <v>243</v>
      </c>
      <c r="CJ446" t="s">
        <v>243</v>
      </c>
      <c r="CK446" t="s">
        <v>243</v>
      </c>
      <c r="CL446" t="s">
        <v>243</v>
      </c>
      <c r="CM446" t="s">
        <v>243</v>
      </c>
      <c r="CN446" t="s">
        <v>2888</v>
      </c>
      <c r="CO446" t="s">
        <v>2843</v>
      </c>
      <c r="CP446" t="s">
        <v>2844</v>
      </c>
      <c r="CQ446" t="s">
        <v>470</v>
      </c>
      <c r="CR446" t="s">
        <v>2872</v>
      </c>
      <c r="CS446" t="s">
        <v>431</v>
      </c>
      <c r="CT446" t="s">
        <v>470</v>
      </c>
      <c r="CU446" t="s">
        <v>444</v>
      </c>
      <c r="CV446" t="s">
        <v>445</v>
      </c>
      <c r="CW446" t="s">
        <v>2872</v>
      </c>
      <c r="CX446" t="s">
        <v>2848</v>
      </c>
      <c r="CY446" t="s">
        <v>465</v>
      </c>
    </row>
    <row r="447" spans="1:103" ht="11.25" customHeight="1">
      <c r="A447" t="s">
        <v>243</v>
      </c>
      <c r="B447" t="s">
        <v>243</v>
      </c>
      <c r="C447" t="s">
        <v>243</v>
      </c>
      <c r="D447" t="s">
        <v>243</v>
      </c>
      <c r="E447" t="s">
        <v>243</v>
      </c>
      <c r="F447" t="s">
        <v>2816</v>
      </c>
      <c r="G447" t="s">
        <v>243</v>
      </c>
      <c r="H447" t="s">
        <v>243</v>
      </c>
      <c r="I447" t="s">
        <v>3945</v>
      </c>
      <c r="J447" t="s">
        <v>243</v>
      </c>
      <c r="K447" t="s">
        <v>3178</v>
      </c>
      <c r="L447" t="s">
        <v>243</v>
      </c>
      <c r="M447" t="s">
        <v>114</v>
      </c>
      <c r="N447" t="s">
        <v>243</v>
      </c>
      <c r="O447" t="s">
        <v>2819</v>
      </c>
      <c r="P447" t="s">
        <v>4448</v>
      </c>
      <c r="Q447" t="s">
        <v>2821</v>
      </c>
      <c r="R447" t="s">
        <v>200</v>
      </c>
      <c r="S447" t="s">
        <v>200</v>
      </c>
      <c r="T447" t="s">
        <v>3048</v>
      </c>
      <c r="U447" t="s">
        <v>3048</v>
      </c>
      <c r="V447" t="s">
        <v>3049</v>
      </c>
      <c r="W447" t="s">
        <v>3946</v>
      </c>
      <c r="X447" t="s">
        <v>3947</v>
      </c>
      <c r="Y447" t="s">
        <v>3127</v>
      </c>
      <c r="Z447" t="s">
        <v>2846</v>
      </c>
      <c r="AA447" t="s">
        <v>3948</v>
      </c>
      <c r="AB447" t="s">
        <v>3942</v>
      </c>
      <c r="AC447" t="s">
        <v>2829</v>
      </c>
      <c r="AD447" t="s">
        <v>2883</v>
      </c>
      <c r="AE447" t="s">
        <v>2831</v>
      </c>
      <c r="AF447" t="s">
        <v>3055</v>
      </c>
      <c r="AG447" t="s">
        <v>3055</v>
      </c>
      <c r="AH447" t="s">
        <v>2834</v>
      </c>
      <c r="AI447" t="s">
        <v>2835</v>
      </c>
      <c r="AJ447" t="s">
        <v>3184</v>
      </c>
      <c r="AK447" t="s">
        <v>3949</v>
      </c>
      <c r="AL447" t="s">
        <v>3948</v>
      </c>
      <c r="AM447" t="s">
        <v>3942</v>
      </c>
      <c r="AN447" t="s">
        <v>2829</v>
      </c>
      <c r="AO447" t="s">
        <v>2839</v>
      </c>
      <c r="AP447" t="s">
        <v>2840</v>
      </c>
      <c r="AQ447" t="s">
        <v>2841</v>
      </c>
      <c r="AR447" t="s">
        <v>3950</v>
      </c>
      <c r="AS447" t="s">
        <v>3950</v>
      </c>
      <c r="AT447" t="s">
        <v>2829</v>
      </c>
      <c r="AU447" t="s">
        <v>2829</v>
      </c>
      <c r="AV447" t="s">
        <v>2829</v>
      </c>
      <c r="AW447" t="s">
        <v>2829</v>
      </c>
      <c r="AX447" t="s">
        <v>2829</v>
      </c>
      <c r="AY447" t="s">
        <v>2829</v>
      </c>
      <c r="AZ447" t="s">
        <v>2829</v>
      </c>
      <c r="BA447" t="s">
        <v>2829</v>
      </c>
      <c r="BB447" t="s">
        <v>2829</v>
      </c>
      <c r="BC447" t="s">
        <v>2829</v>
      </c>
      <c r="BD447" t="s">
        <v>3950</v>
      </c>
      <c r="BE447" t="s">
        <v>3950</v>
      </c>
      <c r="BF447" t="s">
        <v>243</v>
      </c>
      <c r="BG447" t="s">
        <v>243</v>
      </c>
      <c r="BH447" t="s">
        <v>243</v>
      </c>
      <c r="BI447" t="s">
        <v>243</v>
      </c>
      <c r="BJ447" t="s">
        <v>2829</v>
      </c>
      <c r="BK447" t="s">
        <v>243</v>
      </c>
      <c r="BL447" t="s">
        <v>243</v>
      </c>
      <c r="BM447" t="s">
        <v>243</v>
      </c>
      <c r="BN447" t="s">
        <v>243</v>
      </c>
      <c r="BO447" t="s">
        <v>243</v>
      </c>
      <c r="BP447" t="s">
        <v>2829</v>
      </c>
      <c r="BQ447" t="s">
        <v>243</v>
      </c>
      <c r="BR447" t="s">
        <v>243</v>
      </c>
      <c r="BS447" t="s">
        <v>243</v>
      </c>
      <c r="BT447" t="s">
        <v>243</v>
      </c>
      <c r="BU447" t="s">
        <v>243</v>
      </c>
      <c r="BV447" t="s">
        <v>2829</v>
      </c>
      <c r="BW447" t="s">
        <v>243</v>
      </c>
      <c r="BX447" t="s">
        <v>243</v>
      </c>
      <c r="BY447" t="s">
        <v>243</v>
      </c>
      <c r="BZ447" t="s">
        <v>243</v>
      </c>
      <c r="CA447" t="s">
        <v>243</v>
      </c>
      <c r="CB447" t="s">
        <v>2829</v>
      </c>
      <c r="CC447" t="s">
        <v>243</v>
      </c>
      <c r="CD447" t="s">
        <v>243</v>
      </c>
      <c r="CE447" t="s">
        <v>243</v>
      </c>
      <c r="CF447" t="s">
        <v>243</v>
      </c>
      <c r="CG447" t="s">
        <v>243</v>
      </c>
      <c r="CH447" t="s">
        <v>2829</v>
      </c>
      <c r="CI447" t="s">
        <v>243</v>
      </c>
      <c r="CJ447" t="s">
        <v>243</v>
      </c>
      <c r="CK447" t="s">
        <v>243</v>
      </c>
      <c r="CL447" t="s">
        <v>243</v>
      </c>
      <c r="CM447" t="s">
        <v>243</v>
      </c>
      <c r="CN447" t="s">
        <v>3187</v>
      </c>
      <c r="CO447" t="s">
        <v>2843</v>
      </c>
      <c r="CP447" t="s">
        <v>2844</v>
      </c>
      <c r="CQ447" t="s">
        <v>470</v>
      </c>
      <c r="CR447" t="s">
        <v>2872</v>
      </c>
      <c r="CS447" t="s">
        <v>431</v>
      </c>
      <c r="CT447" t="s">
        <v>470</v>
      </c>
      <c r="CU447" t="s">
        <v>3061</v>
      </c>
      <c r="CV447" t="s">
        <v>3062</v>
      </c>
      <c r="CW447" t="s">
        <v>2872</v>
      </c>
      <c r="CX447" t="s">
        <v>2848</v>
      </c>
      <c r="CY447" t="s">
        <v>3951</v>
      </c>
    </row>
    <row r="448" spans="1:103" ht="11.25" customHeight="1">
      <c r="A448" t="s">
        <v>243</v>
      </c>
      <c r="B448" t="s">
        <v>243</v>
      </c>
      <c r="C448" t="s">
        <v>243</v>
      </c>
      <c r="D448" t="s">
        <v>243</v>
      </c>
      <c r="E448" t="s">
        <v>243</v>
      </c>
      <c r="F448" t="s">
        <v>2816</v>
      </c>
      <c r="G448" t="s">
        <v>243</v>
      </c>
      <c r="H448" t="s">
        <v>243</v>
      </c>
      <c r="I448" t="s">
        <v>897</v>
      </c>
      <c r="J448" t="s">
        <v>243</v>
      </c>
      <c r="K448" t="s">
        <v>441</v>
      </c>
      <c r="L448" t="s">
        <v>243</v>
      </c>
      <c r="M448" t="s">
        <v>114</v>
      </c>
      <c r="N448" t="s">
        <v>243</v>
      </c>
      <c r="O448" t="s">
        <v>2819</v>
      </c>
      <c r="P448" t="s">
        <v>4448</v>
      </c>
      <c r="Q448" t="s">
        <v>2821</v>
      </c>
      <c r="R448" t="s">
        <v>200</v>
      </c>
      <c r="S448" t="s">
        <v>200</v>
      </c>
      <c r="T448" t="s">
        <v>2822</v>
      </c>
      <c r="U448" t="s">
        <v>2822</v>
      </c>
      <c r="V448" t="s">
        <v>2823</v>
      </c>
      <c r="W448" t="s">
        <v>4183</v>
      </c>
      <c r="X448" t="s">
        <v>4184</v>
      </c>
      <c r="Y448" t="s">
        <v>3064</v>
      </c>
      <c r="Z448" t="s">
        <v>4185</v>
      </c>
      <c r="AA448" t="s">
        <v>3260</v>
      </c>
      <c r="AB448" t="s">
        <v>4186</v>
      </c>
      <c r="AC448" t="s">
        <v>2829</v>
      </c>
      <c r="AD448" t="s">
        <v>2830</v>
      </c>
      <c r="AE448" t="s">
        <v>2831</v>
      </c>
      <c r="AF448" t="s">
        <v>4187</v>
      </c>
      <c r="AG448" t="s">
        <v>4188</v>
      </c>
      <c r="AH448" t="s">
        <v>2834</v>
      </c>
      <c r="AI448" t="s">
        <v>2835</v>
      </c>
      <c r="AJ448" t="s">
        <v>2960</v>
      </c>
      <c r="AK448" t="s">
        <v>3057</v>
      </c>
      <c r="AL448" t="s">
        <v>3260</v>
      </c>
      <c r="AM448" t="s">
        <v>3118</v>
      </c>
      <c r="AN448" t="s">
        <v>2829</v>
      </c>
      <c r="AO448" t="s">
        <v>2839</v>
      </c>
      <c r="AP448" t="s">
        <v>2840</v>
      </c>
      <c r="AQ448" t="s">
        <v>2841</v>
      </c>
      <c r="AR448" t="s">
        <v>4189</v>
      </c>
      <c r="AS448" t="s">
        <v>4189</v>
      </c>
      <c r="AT448" t="s">
        <v>2829</v>
      </c>
      <c r="AU448" t="s">
        <v>2829</v>
      </c>
      <c r="AV448" t="s">
        <v>2829</v>
      </c>
      <c r="AW448" t="s">
        <v>2829</v>
      </c>
      <c r="AX448" t="s">
        <v>2829</v>
      </c>
      <c r="AY448" t="s">
        <v>2829</v>
      </c>
      <c r="AZ448" t="s">
        <v>2829</v>
      </c>
      <c r="BA448" t="s">
        <v>2829</v>
      </c>
      <c r="BB448" t="s">
        <v>2829</v>
      </c>
      <c r="BC448" t="s">
        <v>2829</v>
      </c>
      <c r="BD448" t="s">
        <v>2829</v>
      </c>
      <c r="BE448" t="s">
        <v>243</v>
      </c>
      <c r="BF448" t="s">
        <v>243</v>
      </c>
      <c r="BG448" t="s">
        <v>243</v>
      </c>
      <c r="BH448" t="s">
        <v>243</v>
      </c>
      <c r="BI448" t="s">
        <v>243</v>
      </c>
      <c r="BJ448" t="s">
        <v>2829</v>
      </c>
      <c r="BK448" t="s">
        <v>243</v>
      </c>
      <c r="BL448" t="s">
        <v>243</v>
      </c>
      <c r="BM448" t="s">
        <v>243</v>
      </c>
      <c r="BN448" t="s">
        <v>243</v>
      </c>
      <c r="BO448" t="s">
        <v>243</v>
      </c>
      <c r="BP448" t="s">
        <v>2829</v>
      </c>
      <c r="BQ448" t="s">
        <v>243</v>
      </c>
      <c r="BR448" t="s">
        <v>243</v>
      </c>
      <c r="BS448" t="s">
        <v>243</v>
      </c>
      <c r="BT448" t="s">
        <v>243</v>
      </c>
      <c r="BU448" t="s">
        <v>243</v>
      </c>
      <c r="BV448" t="s">
        <v>2829</v>
      </c>
      <c r="BW448" t="s">
        <v>243</v>
      </c>
      <c r="BX448" t="s">
        <v>243</v>
      </c>
      <c r="BY448" t="s">
        <v>243</v>
      </c>
      <c r="BZ448" t="s">
        <v>243</v>
      </c>
      <c r="CA448" t="s">
        <v>243</v>
      </c>
      <c r="CB448" t="s">
        <v>4189</v>
      </c>
      <c r="CC448" t="s">
        <v>4189</v>
      </c>
      <c r="CD448" t="s">
        <v>243</v>
      </c>
      <c r="CE448" t="s">
        <v>243</v>
      </c>
      <c r="CF448" t="s">
        <v>243</v>
      </c>
      <c r="CG448" t="s">
        <v>243</v>
      </c>
      <c r="CH448" t="s">
        <v>2829</v>
      </c>
      <c r="CI448" t="s">
        <v>243</v>
      </c>
      <c r="CJ448" t="s">
        <v>243</v>
      </c>
      <c r="CK448" t="s">
        <v>243</v>
      </c>
      <c r="CL448" t="s">
        <v>243</v>
      </c>
      <c r="CM448" t="s">
        <v>243</v>
      </c>
      <c r="CN448" t="s">
        <v>2960</v>
      </c>
      <c r="CO448" t="s">
        <v>2843</v>
      </c>
      <c r="CP448" t="s">
        <v>2844</v>
      </c>
      <c r="CQ448" t="s">
        <v>430</v>
      </c>
      <c r="CR448" t="s">
        <v>2845</v>
      </c>
      <c r="CS448" t="s">
        <v>431</v>
      </c>
      <c r="CT448" t="s">
        <v>430</v>
      </c>
      <c r="CU448" t="s">
        <v>2846</v>
      </c>
      <c r="CV448" t="s">
        <v>2847</v>
      </c>
      <c r="CW448" t="s">
        <v>2845</v>
      </c>
      <c r="CX448" t="s">
        <v>2848</v>
      </c>
      <c r="CY448" t="s">
        <v>4190</v>
      </c>
    </row>
    <row r="449" spans="1:103" ht="11.25" customHeight="1">
      <c r="A449" t="s">
        <v>243</v>
      </c>
      <c r="B449" t="s">
        <v>243</v>
      </c>
      <c r="C449" t="s">
        <v>243</v>
      </c>
      <c r="D449" t="s">
        <v>243</v>
      </c>
      <c r="E449" t="s">
        <v>243</v>
      </c>
      <c r="F449" t="s">
        <v>2816</v>
      </c>
      <c r="G449" t="s">
        <v>243</v>
      </c>
      <c r="H449" t="s">
        <v>243</v>
      </c>
      <c r="I449" t="s">
        <v>2850</v>
      </c>
      <c r="J449" t="s">
        <v>243</v>
      </c>
      <c r="K449" t="s">
        <v>2818</v>
      </c>
      <c r="L449" t="s">
        <v>243</v>
      </c>
      <c r="M449" t="s">
        <v>114</v>
      </c>
      <c r="N449" t="s">
        <v>243</v>
      </c>
      <c r="O449" t="s">
        <v>2819</v>
      </c>
      <c r="P449" t="s">
        <v>4448</v>
      </c>
      <c r="Q449" t="s">
        <v>2821</v>
      </c>
      <c r="R449" t="s">
        <v>200</v>
      </c>
      <c r="S449" t="s">
        <v>200</v>
      </c>
      <c r="T449" t="s">
        <v>2822</v>
      </c>
      <c r="U449" t="s">
        <v>2822</v>
      </c>
      <c r="V449" t="s">
        <v>2823</v>
      </c>
      <c r="W449" t="s">
        <v>2851</v>
      </c>
      <c r="X449" t="s">
        <v>2852</v>
      </c>
      <c r="Y449" t="s">
        <v>2853</v>
      </c>
      <c r="Z449" t="s">
        <v>2854</v>
      </c>
      <c r="AA449" t="s">
        <v>2855</v>
      </c>
      <c r="AB449" t="s">
        <v>2856</v>
      </c>
      <c r="AC449" t="s">
        <v>2829</v>
      </c>
      <c r="AD449" t="s">
        <v>2830</v>
      </c>
      <c r="AE449" t="s">
        <v>2857</v>
      </c>
      <c r="AF449" t="s">
        <v>2858</v>
      </c>
      <c r="AG449" t="s">
        <v>2858</v>
      </c>
      <c r="AH449" t="s">
        <v>2834</v>
      </c>
      <c r="AI449" t="s">
        <v>2835</v>
      </c>
      <c r="AJ449" t="s">
        <v>2836</v>
      </c>
      <c r="AK449" t="s">
        <v>2837</v>
      </c>
      <c r="AL449" t="s">
        <v>2855</v>
      </c>
      <c r="AM449" t="s">
        <v>2859</v>
      </c>
      <c r="AN449" t="s">
        <v>2829</v>
      </c>
      <c r="AO449" t="s">
        <v>2839</v>
      </c>
      <c r="AP449" t="s">
        <v>2840</v>
      </c>
      <c r="AQ449" t="s">
        <v>2841</v>
      </c>
      <c r="AR449" t="s">
        <v>2842</v>
      </c>
      <c r="AS449" t="s">
        <v>2842</v>
      </c>
      <c r="AT449" t="s">
        <v>2829</v>
      </c>
      <c r="AU449" t="s">
        <v>2829</v>
      </c>
      <c r="AV449" t="s">
        <v>2829</v>
      </c>
      <c r="AW449" t="s">
        <v>2829</v>
      </c>
      <c r="AX449" t="s">
        <v>2829</v>
      </c>
      <c r="AY449" t="s">
        <v>2829</v>
      </c>
      <c r="AZ449" t="s">
        <v>2829</v>
      </c>
      <c r="BA449" t="s">
        <v>2829</v>
      </c>
      <c r="BB449" t="s">
        <v>2829</v>
      </c>
      <c r="BC449" t="s">
        <v>2829</v>
      </c>
      <c r="BD449" t="s">
        <v>2842</v>
      </c>
      <c r="BE449" t="s">
        <v>2842</v>
      </c>
      <c r="BF449" t="s">
        <v>243</v>
      </c>
      <c r="BG449" t="s">
        <v>243</v>
      </c>
      <c r="BH449" t="s">
        <v>243</v>
      </c>
      <c r="BI449" t="s">
        <v>243</v>
      </c>
      <c r="BJ449" t="s">
        <v>2829</v>
      </c>
      <c r="BK449" t="s">
        <v>243</v>
      </c>
      <c r="BL449" t="s">
        <v>243</v>
      </c>
      <c r="BM449" t="s">
        <v>243</v>
      </c>
      <c r="BN449" t="s">
        <v>243</v>
      </c>
      <c r="BO449" t="s">
        <v>243</v>
      </c>
      <c r="BP449" t="s">
        <v>2829</v>
      </c>
      <c r="BQ449" t="s">
        <v>243</v>
      </c>
      <c r="BR449" t="s">
        <v>243</v>
      </c>
      <c r="BS449" t="s">
        <v>243</v>
      </c>
      <c r="BT449" t="s">
        <v>243</v>
      </c>
      <c r="BU449" t="s">
        <v>243</v>
      </c>
      <c r="BV449" t="s">
        <v>2829</v>
      </c>
      <c r="BW449" t="s">
        <v>243</v>
      </c>
      <c r="BX449" t="s">
        <v>243</v>
      </c>
      <c r="BY449" t="s">
        <v>243</v>
      </c>
      <c r="BZ449" t="s">
        <v>243</v>
      </c>
      <c r="CA449" t="s">
        <v>243</v>
      </c>
      <c r="CB449" t="s">
        <v>2829</v>
      </c>
      <c r="CC449" t="s">
        <v>243</v>
      </c>
      <c r="CD449" t="s">
        <v>243</v>
      </c>
      <c r="CE449" t="s">
        <v>243</v>
      </c>
      <c r="CF449" t="s">
        <v>243</v>
      </c>
      <c r="CG449" t="s">
        <v>243</v>
      </c>
      <c r="CH449" t="s">
        <v>2829</v>
      </c>
      <c r="CI449" t="s">
        <v>243</v>
      </c>
      <c r="CJ449" t="s">
        <v>243</v>
      </c>
      <c r="CK449" t="s">
        <v>243</v>
      </c>
      <c r="CL449" t="s">
        <v>243</v>
      </c>
      <c r="CM449" t="s">
        <v>243</v>
      </c>
      <c r="CN449" t="s">
        <v>2836</v>
      </c>
      <c r="CO449" t="s">
        <v>2843</v>
      </c>
      <c r="CP449" t="s">
        <v>2844</v>
      </c>
      <c r="CQ449" t="s">
        <v>430</v>
      </c>
      <c r="CR449" t="s">
        <v>2845</v>
      </c>
      <c r="CS449" t="s">
        <v>431</v>
      </c>
      <c r="CT449" t="s">
        <v>430</v>
      </c>
      <c r="CU449" t="s">
        <v>2846</v>
      </c>
      <c r="CV449" t="s">
        <v>2847</v>
      </c>
      <c r="CW449" t="s">
        <v>2845</v>
      </c>
      <c r="CX449" t="s">
        <v>2848</v>
      </c>
      <c r="CY449" t="s">
        <v>2860</v>
      </c>
    </row>
    <row r="450" spans="1:103" ht="11.25" customHeight="1">
      <c r="A450" t="s">
        <v>243</v>
      </c>
      <c r="B450" t="s">
        <v>243</v>
      </c>
      <c r="C450" t="s">
        <v>243</v>
      </c>
      <c r="D450" t="s">
        <v>243</v>
      </c>
      <c r="E450" t="s">
        <v>243</v>
      </c>
      <c r="F450" t="s">
        <v>2816</v>
      </c>
      <c r="G450" t="s">
        <v>243</v>
      </c>
      <c r="H450" t="s">
        <v>243</v>
      </c>
      <c r="I450" t="s">
        <v>3827</v>
      </c>
      <c r="J450" t="s">
        <v>243</v>
      </c>
      <c r="K450" t="s">
        <v>2818</v>
      </c>
      <c r="L450" t="s">
        <v>243</v>
      </c>
      <c r="M450" t="s">
        <v>114</v>
      </c>
      <c r="N450" t="s">
        <v>243</v>
      </c>
      <c r="O450" t="s">
        <v>2819</v>
      </c>
      <c r="P450" t="s">
        <v>4448</v>
      </c>
      <c r="Q450" t="s">
        <v>2821</v>
      </c>
      <c r="R450" t="s">
        <v>200</v>
      </c>
      <c r="S450" t="s">
        <v>200</v>
      </c>
      <c r="T450" t="s">
        <v>2822</v>
      </c>
      <c r="U450" t="s">
        <v>2822</v>
      </c>
      <c r="V450" t="s">
        <v>2823</v>
      </c>
      <c r="W450" t="s">
        <v>3828</v>
      </c>
      <c r="X450" t="s">
        <v>3829</v>
      </c>
      <c r="Y450" t="s">
        <v>3610</v>
      </c>
      <c r="Z450" t="s">
        <v>3830</v>
      </c>
      <c r="AA450" t="s">
        <v>3228</v>
      </c>
      <c r="AB450" t="s">
        <v>3467</v>
      </c>
      <c r="AC450" t="s">
        <v>2829</v>
      </c>
      <c r="AD450" t="s">
        <v>2830</v>
      </c>
      <c r="AE450" t="s">
        <v>2857</v>
      </c>
      <c r="AF450" t="s">
        <v>3831</v>
      </c>
      <c r="AG450" t="s">
        <v>3831</v>
      </c>
      <c r="AH450" t="s">
        <v>2834</v>
      </c>
      <c r="AI450" t="s">
        <v>2835</v>
      </c>
      <c r="AJ450" t="s">
        <v>2829</v>
      </c>
      <c r="AK450" t="s">
        <v>2922</v>
      </c>
      <c r="AL450" t="s">
        <v>3228</v>
      </c>
      <c r="AM450" t="s">
        <v>3467</v>
      </c>
      <c r="AN450" t="s">
        <v>2829</v>
      </c>
      <c r="AO450" t="s">
        <v>2839</v>
      </c>
      <c r="AP450" t="s">
        <v>2840</v>
      </c>
      <c r="AQ450" t="s">
        <v>2841</v>
      </c>
      <c r="AR450" t="s">
        <v>2923</v>
      </c>
      <c r="AS450" t="s">
        <v>2923</v>
      </c>
      <c r="AT450" t="s">
        <v>2829</v>
      </c>
      <c r="AU450" t="s">
        <v>2829</v>
      </c>
      <c r="AV450" t="s">
        <v>2829</v>
      </c>
      <c r="AW450" t="s">
        <v>2829</v>
      </c>
      <c r="AX450" t="s">
        <v>2829</v>
      </c>
      <c r="AY450" t="s">
        <v>2829</v>
      </c>
      <c r="AZ450" t="s">
        <v>2829</v>
      </c>
      <c r="BA450" t="s">
        <v>2829</v>
      </c>
      <c r="BB450" t="s">
        <v>2829</v>
      </c>
      <c r="BC450" t="s">
        <v>2829</v>
      </c>
      <c r="BD450" t="s">
        <v>2923</v>
      </c>
      <c r="BE450" t="s">
        <v>2923</v>
      </c>
      <c r="BF450" t="s">
        <v>243</v>
      </c>
      <c r="BG450" t="s">
        <v>243</v>
      </c>
      <c r="BH450" t="s">
        <v>243</v>
      </c>
      <c r="BI450" t="s">
        <v>243</v>
      </c>
      <c r="BJ450" t="s">
        <v>2829</v>
      </c>
      <c r="BK450" t="s">
        <v>243</v>
      </c>
      <c r="BL450" t="s">
        <v>243</v>
      </c>
      <c r="BM450" t="s">
        <v>243</v>
      </c>
      <c r="BN450" t="s">
        <v>243</v>
      </c>
      <c r="BO450" t="s">
        <v>243</v>
      </c>
      <c r="BP450" t="s">
        <v>2829</v>
      </c>
      <c r="BQ450" t="s">
        <v>243</v>
      </c>
      <c r="BR450" t="s">
        <v>243</v>
      </c>
      <c r="BS450" t="s">
        <v>243</v>
      </c>
      <c r="BT450" t="s">
        <v>243</v>
      </c>
      <c r="BU450" t="s">
        <v>243</v>
      </c>
      <c r="BV450" t="s">
        <v>2829</v>
      </c>
      <c r="BW450" t="s">
        <v>243</v>
      </c>
      <c r="BX450" t="s">
        <v>243</v>
      </c>
      <c r="BY450" t="s">
        <v>243</v>
      </c>
      <c r="BZ450" t="s">
        <v>243</v>
      </c>
      <c r="CA450" t="s">
        <v>243</v>
      </c>
      <c r="CB450" t="s">
        <v>2829</v>
      </c>
      <c r="CC450" t="s">
        <v>243</v>
      </c>
      <c r="CD450" t="s">
        <v>243</v>
      </c>
      <c r="CE450" t="s">
        <v>243</v>
      </c>
      <c r="CF450" t="s">
        <v>243</v>
      </c>
      <c r="CG450" t="s">
        <v>243</v>
      </c>
      <c r="CH450" t="s">
        <v>2829</v>
      </c>
      <c r="CI450" t="s">
        <v>243</v>
      </c>
      <c r="CJ450" t="s">
        <v>243</v>
      </c>
      <c r="CK450" t="s">
        <v>243</v>
      </c>
      <c r="CL450" t="s">
        <v>243</v>
      </c>
      <c r="CM450" t="s">
        <v>243</v>
      </c>
      <c r="CN450" t="s">
        <v>2829</v>
      </c>
      <c r="CO450" t="s">
        <v>2924</v>
      </c>
      <c r="CP450" t="s">
        <v>2844</v>
      </c>
      <c r="CQ450" t="s">
        <v>430</v>
      </c>
      <c r="CR450" t="s">
        <v>2872</v>
      </c>
      <c r="CS450" t="s">
        <v>431</v>
      </c>
      <c r="CT450" t="s">
        <v>430</v>
      </c>
      <c r="CU450" t="s">
        <v>2846</v>
      </c>
      <c r="CV450" t="s">
        <v>2873</v>
      </c>
      <c r="CW450" t="s">
        <v>2872</v>
      </c>
      <c r="CX450" t="s">
        <v>2848</v>
      </c>
      <c r="CY450" t="s">
        <v>3832</v>
      </c>
    </row>
    <row r="451" spans="1:103" ht="11.25" customHeight="1">
      <c r="A451" t="s">
        <v>243</v>
      </c>
      <c r="B451" t="s">
        <v>243</v>
      </c>
      <c r="C451" t="s">
        <v>243</v>
      </c>
      <c r="D451" t="s">
        <v>243</v>
      </c>
      <c r="E451" t="s">
        <v>243</v>
      </c>
      <c r="F451" t="s">
        <v>2816</v>
      </c>
      <c r="G451" t="s">
        <v>243</v>
      </c>
      <c r="H451" t="s">
        <v>243</v>
      </c>
      <c r="I451" t="s">
        <v>4037</v>
      </c>
      <c r="J451" t="s">
        <v>243</v>
      </c>
      <c r="K451" t="s">
        <v>4038</v>
      </c>
      <c r="L451" t="s">
        <v>243</v>
      </c>
      <c r="M451" t="s">
        <v>114</v>
      </c>
      <c r="N451" t="s">
        <v>243</v>
      </c>
      <c r="O451" t="s">
        <v>2819</v>
      </c>
      <c r="P451" t="s">
        <v>4448</v>
      </c>
      <c r="Q451" t="s">
        <v>2821</v>
      </c>
      <c r="R451" t="s">
        <v>200</v>
      </c>
      <c r="S451" t="s">
        <v>200</v>
      </c>
      <c r="T451" t="s">
        <v>2933</v>
      </c>
      <c r="U451" t="s">
        <v>2933</v>
      </c>
      <c r="V451" t="s">
        <v>2934</v>
      </c>
      <c r="W451" t="s">
        <v>2935</v>
      </c>
      <c r="X451" t="s">
        <v>2936</v>
      </c>
      <c r="Y451" t="s">
        <v>4039</v>
      </c>
      <c r="Z451" t="s">
        <v>457</v>
      </c>
      <c r="AA451" t="s">
        <v>4040</v>
      </c>
      <c r="AB451" t="s">
        <v>4041</v>
      </c>
      <c r="AC451" t="s">
        <v>3916</v>
      </c>
      <c r="AD451" t="s">
        <v>2883</v>
      </c>
      <c r="AE451" t="s">
        <v>4042</v>
      </c>
      <c r="AF451" t="s">
        <v>4043</v>
      </c>
      <c r="AG451" t="s">
        <v>4043</v>
      </c>
      <c r="AH451" t="s">
        <v>2834</v>
      </c>
      <c r="AI451" t="s">
        <v>2887</v>
      </c>
      <c r="AJ451" t="s">
        <v>3010</v>
      </c>
      <c r="AK451" t="s">
        <v>4044</v>
      </c>
      <c r="AL451" t="s">
        <v>4040</v>
      </c>
      <c r="AM451" t="s">
        <v>4041</v>
      </c>
      <c r="AN451" t="s">
        <v>3916</v>
      </c>
      <c r="AO451" t="s">
        <v>2839</v>
      </c>
      <c r="AP451" t="s">
        <v>2840</v>
      </c>
      <c r="AQ451" t="s">
        <v>2841</v>
      </c>
      <c r="AR451" t="s">
        <v>4045</v>
      </c>
      <c r="AS451" t="s">
        <v>4046</v>
      </c>
      <c r="AT451" t="s">
        <v>4047</v>
      </c>
      <c r="AU451" t="s">
        <v>4048</v>
      </c>
      <c r="AV451" t="s">
        <v>2829</v>
      </c>
      <c r="AW451" t="s">
        <v>2829</v>
      </c>
      <c r="AX451" t="s">
        <v>2829</v>
      </c>
      <c r="AY451" t="s">
        <v>2829</v>
      </c>
      <c r="AZ451" t="s">
        <v>2829</v>
      </c>
      <c r="BA451" t="s">
        <v>2829</v>
      </c>
      <c r="BB451" t="s">
        <v>2829</v>
      </c>
      <c r="BC451" t="s">
        <v>2829</v>
      </c>
      <c r="BD451" t="s">
        <v>4049</v>
      </c>
      <c r="BE451" t="s">
        <v>4050</v>
      </c>
      <c r="BF451" t="s">
        <v>4051</v>
      </c>
      <c r="BG451" t="s">
        <v>4052</v>
      </c>
      <c r="BH451" t="s">
        <v>243</v>
      </c>
      <c r="BI451" t="s">
        <v>243</v>
      </c>
      <c r="BJ451" t="s">
        <v>2829</v>
      </c>
      <c r="BK451" t="s">
        <v>243</v>
      </c>
      <c r="BL451" t="s">
        <v>243</v>
      </c>
      <c r="BM451" t="s">
        <v>243</v>
      </c>
      <c r="BN451" t="s">
        <v>243</v>
      </c>
      <c r="BO451" t="s">
        <v>243</v>
      </c>
      <c r="BP451" t="s">
        <v>4053</v>
      </c>
      <c r="BQ451" t="s">
        <v>4054</v>
      </c>
      <c r="BR451" t="s">
        <v>4055</v>
      </c>
      <c r="BS451" t="s">
        <v>4056</v>
      </c>
      <c r="BT451" t="s">
        <v>243</v>
      </c>
      <c r="BU451" t="s">
        <v>243</v>
      </c>
      <c r="BV451" t="s">
        <v>2829</v>
      </c>
      <c r="BW451" t="s">
        <v>243</v>
      </c>
      <c r="BX451" t="s">
        <v>243</v>
      </c>
      <c r="BY451" t="s">
        <v>243</v>
      </c>
      <c r="BZ451" t="s">
        <v>243</v>
      </c>
      <c r="CA451" t="s">
        <v>243</v>
      </c>
      <c r="CB451" t="s">
        <v>4004</v>
      </c>
      <c r="CC451" t="s">
        <v>4004</v>
      </c>
      <c r="CD451" t="s">
        <v>243</v>
      </c>
      <c r="CE451" t="s">
        <v>243</v>
      </c>
      <c r="CF451" t="s">
        <v>243</v>
      </c>
      <c r="CG451" t="s">
        <v>243</v>
      </c>
      <c r="CH451" t="s">
        <v>2829</v>
      </c>
      <c r="CI451" t="s">
        <v>243</v>
      </c>
      <c r="CJ451" t="s">
        <v>243</v>
      </c>
      <c r="CK451" t="s">
        <v>243</v>
      </c>
      <c r="CL451" t="s">
        <v>243</v>
      </c>
      <c r="CM451" t="s">
        <v>243</v>
      </c>
      <c r="CN451" t="s">
        <v>3010</v>
      </c>
      <c r="CO451" t="s">
        <v>2843</v>
      </c>
      <c r="CP451" t="s">
        <v>2844</v>
      </c>
      <c r="CQ451" t="s">
        <v>430</v>
      </c>
      <c r="CR451" t="s">
        <v>2947</v>
      </c>
      <c r="CS451" t="s">
        <v>431</v>
      </c>
      <c r="CT451" t="s">
        <v>430</v>
      </c>
      <c r="CU451" t="s">
        <v>2948</v>
      </c>
      <c r="CV451" t="s">
        <v>2949</v>
      </c>
      <c r="CW451" t="s">
        <v>2947</v>
      </c>
      <c r="CX451" t="s">
        <v>2848</v>
      </c>
      <c r="CY451" t="s">
        <v>4057</v>
      </c>
    </row>
    <row r="452" spans="1:103" ht="11.25" customHeight="1">
      <c r="A452" t="s">
        <v>243</v>
      </c>
      <c r="B452" t="s">
        <v>243</v>
      </c>
      <c r="C452" t="s">
        <v>243</v>
      </c>
      <c r="D452" t="s">
        <v>243</v>
      </c>
      <c r="E452" t="s">
        <v>243</v>
      </c>
      <c r="F452" t="s">
        <v>2816</v>
      </c>
      <c r="G452" t="s">
        <v>243</v>
      </c>
      <c r="H452" t="s">
        <v>243</v>
      </c>
      <c r="I452" t="s">
        <v>252</v>
      </c>
      <c r="J452" t="s">
        <v>243</v>
      </c>
      <c r="K452" t="s">
        <v>458</v>
      </c>
      <c r="L452" t="s">
        <v>243</v>
      </c>
      <c r="M452" t="s">
        <v>114</v>
      </c>
      <c r="N452" t="s">
        <v>243</v>
      </c>
      <c r="O452" t="s">
        <v>2819</v>
      </c>
      <c r="P452" t="s">
        <v>4448</v>
      </c>
      <c r="Q452" t="s">
        <v>2821</v>
      </c>
      <c r="R452" t="s">
        <v>200</v>
      </c>
      <c r="S452" t="s">
        <v>200</v>
      </c>
      <c r="T452" t="s">
        <v>2968</v>
      </c>
      <c r="U452" t="s">
        <v>2968</v>
      </c>
      <c r="V452" t="s">
        <v>2969</v>
      </c>
      <c r="W452" t="s">
        <v>2970</v>
      </c>
      <c r="X452" t="s">
        <v>2971</v>
      </c>
      <c r="Y452" t="s">
        <v>2929</v>
      </c>
      <c r="Z452" t="s">
        <v>2972</v>
      </c>
      <c r="AA452" t="s">
        <v>2973</v>
      </c>
      <c r="AB452" t="s">
        <v>2974</v>
      </c>
      <c r="AC452" t="s">
        <v>2829</v>
      </c>
      <c r="AD452" t="s">
        <v>2883</v>
      </c>
      <c r="AE452" t="s">
        <v>2975</v>
      </c>
      <c r="AF452" t="s">
        <v>2976</v>
      </c>
      <c r="AG452" t="s">
        <v>2976</v>
      </c>
      <c r="AH452" t="s">
        <v>2834</v>
      </c>
      <c r="AI452" t="s">
        <v>2835</v>
      </c>
      <c r="AJ452" t="s">
        <v>2977</v>
      </c>
      <c r="AK452" t="s">
        <v>2978</v>
      </c>
      <c r="AL452" t="s">
        <v>2973</v>
      </c>
      <c r="AM452" t="s">
        <v>2979</v>
      </c>
      <c r="AN452" t="s">
        <v>2829</v>
      </c>
      <c r="AO452" t="s">
        <v>2839</v>
      </c>
      <c r="AP452" t="s">
        <v>2840</v>
      </c>
      <c r="AQ452" t="s">
        <v>2841</v>
      </c>
      <c r="AR452" t="s">
        <v>2980</v>
      </c>
      <c r="AS452" t="s">
        <v>2980</v>
      </c>
      <c r="AT452" t="s">
        <v>2829</v>
      </c>
      <c r="AU452" t="s">
        <v>2829</v>
      </c>
      <c r="AV452" t="s">
        <v>2829</v>
      </c>
      <c r="AW452" t="s">
        <v>2829</v>
      </c>
      <c r="AX452" t="s">
        <v>2829</v>
      </c>
      <c r="AY452" t="s">
        <v>2829</v>
      </c>
      <c r="AZ452" t="s">
        <v>2829</v>
      </c>
      <c r="BA452" t="s">
        <v>2829</v>
      </c>
      <c r="BB452" t="s">
        <v>2829</v>
      </c>
      <c r="BC452" t="s">
        <v>2829</v>
      </c>
      <c r="BD452" t="s">
        <v>2981</v>
      </c>
      <c r="BE452" t="s">
        <v>2981</v>
      </c>
      <c r="BF452" t="s">
        <v>243</v>
      </c>
      <c r="BG452" t="s">
        <v>243</v>
      </c>
      <c r="BH452" t="s">
        <v>243</v>
      </c>
      <c r="BI452" t="s">
        <v>243</v>
      </c>
      <c r="BJ452" t="s">
        <v>2829</v>
      </c>
      <c r="BK452" t="s">
        <v>243</v>
      </c>
      <c r="BL452" t="s">
        <v>243</v>
      </c>
      <c r="BM452" t="s">
        <v>243</v>
      </c>
      <c r="BN452" t="s">
        <v>243</v>
      </c>
      <c r="BO452" t="s">
        <v>243</v>
      </c>
      <c r="BP452" t="s">
        <v>2982</v>
      </c>
      <c r="BQ452" t="s">
        <v>2982</v>
      </c>
      <c r="BR452" t="s">
        <v>243</v>
      </c>
      <c r="BS452" t="s">
        <v>243</v>
      </c>
      <c r="BT452" t="s">
        <v>243</v>
      </c>
      <c r="BU452" t="s">
        <v>243</v>
      </c>
      <c r="BV452" t="s">
        <v>2829</v>
      </c>
      <c r="BW452" t="s">
        <v>243</v>
      </c>
      <c r="BX452" t="s">
        <v>243</v>
      </c>
      <c r="BY452" t="s">
        <v>243</v>
      </c>
      <c r="BZ452" t="s">
        <v>243</v>
      </c>
      <c r="CA452" t="s">
        <v>243</v>
      </c>
      <c r="CB452" t="s">
        <v>2829</v>
      </c>
      <c r="CC452" t="s">
        <v>243</v>
      </c>
      <c r="CD452" t="s">
        <v>243</v>
      </c>
      <c r="CE452" t="s">
        <v>243</v>
      </c>
      <c r="CF452" t="s">
        <v>243</v>
      </c>
      <c r="CG452" t="s">
        <v>243</v>
      </c>
      <c r="CH452" t="s">
        <v>2829</v>
      </c>
      <c r="CI452" t="s">
        <v>243</v>
      </c>
      <c r="CJ452" t="s">
        <v>243</v>
      </c>
      <c r="CK452" t="s">
        <v>243</v>
      </c>
      <c r="CL452" t="s">
        <v>243</v>
      </c>
      <c r="CM452" t="s">
        <v>243</v>
      </c>
      <c r="CN452" t="s">
        <v>2983</v>
      </c>
      <c r="CO452" t="s">
        <v>2843</v>
      </c>
      <c r="CP452" t="s">
        <v>2844</v>
      </c>
      <c r="CQ452" t="s">
        <v>430</v>
      </c>
      <c r="CR452" t="s">
        <v>2984</v>
      </c>
      <c r="CS452" t="s">
        <v>431</v>
      </c>
      <c r="CT452" t="s">
        <v>430</v>
      </c>
      <c r="CU452" t="s">
        <v>2985</v>
      </c>
      <c r="CV452" t="s">
        <v>2986</v>
      </c>
      <c r="CW452" t="s">
        <v>2984</v>
      </c>
      <c r="CX452" t="s">
        <v>2848</v>
      </c>
      <c r="CY452" t="s">
        <v>2987</v>
      </c>
    </row>
    <row r="453" spans="1:103" ht="11.25" customHeight="1">
      <c r="A453" t="s">
        <v>243</v>
      </c>
      <c r="B453" t="s">
        <v>243</v>
      </c>
      <c r="C453" t="s">
        <v>243</v>
      </c>
      <c r="D453" t="s">
        <v>243</v>
      </c>
      <c r="E453" t="s">
        <v>243</v>
      </c>
      <c r="F453" t="s">
        <v>2816</v>
      </c>
      <c r="G453" t="s">
        <v>243</v>
      </c>
      <c r="H453" t="s">
        <v>243</v>
      </c>
      <c r="I453" t="s">
        <v>258</v>
      </c>
      <c r="J453" t="s">
        <v>243</v>
      </c>
      <c r="K453" t="s">
        <v>433</v>
      </c>
      <c r="L453" t="s">
        <v>243</v>
      </c>
      <c r="M453" t="s">
        <v>114</v>
      </c>
      <c r="N453" t="s">
        <v>243</v>
      </c>
      <c r="O453" t="s">
        <v>2819</v>
      </c>
      <c r="P453" t="s">
        <v>4448</v>
      </c>
      <c r="Q453" t="s">
        <v>2821</v>
      </c>
      <c r="R453" t="s">
        <v>200</v>
      </c>
      <c r="S453" t="s">
        <v>200</v>
      </c>
      <c r="T453" t="s">
        <v>2968</v>
      </c>
      <c r="U453" t="s">
        <v>2968</v>
      </c>
      <c r="V453" t="s">
        <v>2969</v>
      </c>
      <c r="W453" t="s">
        <v>3102</v>
      </c>
      <c r="X453" t="s">
        <v>3103</v>
      </c>
      <c r="Y453" t="s">
        <v>3104</v>
      </c>
      <c r="Z453" t="s">
        <v>3105</v>
      </c>
      <c r="AA453" t="s">
        <v>3106</v>
      </c>
      <c r="AB453" t="s">
        <v>3107</v>
      </c>
      <c r="AC453" t="s">
        <v>2829</v>
      </c>
      <c r="AD453" t="s">
        <v>2883</v>
      </c>
      <c r="AE453" t="s">
        <v>2857</v>
      </c>
      <c r="AF453" t="s">
        <v>3108</v>
      </c>
      <c r="AG453" t="s">
        <v>3108</v>
      </c>
      <c r="AH453" t="s">
        <v>2834</v>
      </c>
      <c r="AI453" t="s">
        <v>2835</v>
      </c>
      <c r="AJ453" t="s">
        <v>3109</v>
      </c>
      <c r="AK453" t="s">
        <v>2978</v>
      </c>
      <c r="AL453" t="s">
        <v>3106</v>
      </c>
      <c r="AM453" t="s">
        <v>3107</v>
      </c>
      <c r="AN453" t="s">
        <v>2829</v>
      </c>
      <c r="AO453" t="s">
        <v>2839</v>
      </c>
      <c r="AP453" t="s">
        <v>2840</v>
      </c>
      <c r="AQ453" t="s">
        <v>2841</v>
      </c>
      <c r="AR453" t="s">
        <v>3110</v>
      </c>
      <c r="AS453" t="s">
        <v>3110</v>
      </c>
      <c r="AT453" t="s">
        <v>2829</v>
      </c>
      <c r="AU453" t="s">
        <v>2829</v>
      </c>
      <c r="AV453" t="s">
        <v>2829</v>
      </c>
      <c r="AW453" t="s">
        <v>2829</v>
      </c>
      <c r="AX453" t="s">
        <v>2829</v>
      </c>
      <c r="AY453" t="s">
        <v>2829</v>
      </c>
      <c r="AZ453" t="s">
        <v>2829</v>
      </c>
      <c r="BA453" t="s">
        <v>2829</v>
      </c>
      <c r="BB453" t="s">
        <v>2829</v>
      </c>
      <c r="BC453" t="s">
        <v>2829</v>
      </c>
      <c r="BD453" t="s">
        <v>3111</v>
      </c>
      <c r="BE453" t="s">
        <v>3111</v>
      </c>
      <c r="BF453" t="s">
        <v>243</v>
      </c>
      <c r="BG453" t="s">
        <v>243</v>
      </c>
      <c r="BH453" t="s">
        <v>243</v>
      </c>
      <c r="BI453" t="s">
        <v>243</v>
      </c>
      <c r="BJ453" t="s">
        <v>2829</v>
      </c>
      <c r="BK453" t="s">
        <v>243</v>
      </c>
      <c r="BL453" t="s">
        <v>243</v>
      </c>
      <c r="BM453" t="s">
        <v>243</v>
      </c>
      <c r="BN453" t="s">
        <v>243</v>
      </c>
      <c r="BO453" t="s">
        <v>243</v>
      </c>
      <c r="BP453" t="s">
        <v>3112</v>
      </c>
      <c r="BQ453" t="s">
        <v>3112</v>
      </c>
      <c r="BR453" t="s">
        <v>243</v>
      </c>
      <c r="BS453" t="s">
        <v>243</v>
      </c>
      <c r="BT453" t="s">
        <v>243</v>
      </c>
      <c r="BU453" t="s">
        <v>243</v>
      </c>
      <c r="BV453" t="s">
        <v>2829</v>
      </c>
      <c r="BW453" t="s">
        <v>243</v>
      </c>
      <c r="BX453" t="s">
        <v>243</v>
      </c>
      <c r="BY453" t="s">
        <v>243</v>
      </c>
      <c r="BZ453" t="s">
        <v>243</v>
      </c>
      <c r="CA453" t="s">
        <v>243</v>
      </c>
      <c r="CB453" t="s">
        <v>2829</v>
      </c>
      <c r="CC453" t="s">
        <v>243</v>
      </c>
      <c r="CD453" t="s">
        <v>243</v>
      </c>
      <c r="CE453" t="s">
        <v>243</v>
      </c>
      <c r="CF453" t="s">
        <v>243</v>
      </c>
      <c r="CG453" t="s">
        <v>243</v>
      </c>
      <c r="CH453" t="s">
        <v>2829</v>
      </c>
      <c r="CI453" t="s">
        <v>243</v>
      </c>
      <c r="CJ453" t="s">
        <v>243</v>
      </c>
      <c r="CK453" t="s">
        <v>243</v>
      </c>
      <c r="CL453" t="s">
        <v>243</v>
      </c>
      <c r="CM453" t="s">
        <v>243</v>
      </c>
      <c r="CN453" t="s">
        <v>2983</v>
      </c>
      <c r="CO453" t="s">
        <v>2843</v>
      </c>
      <c r="CP453" t="s">
        <v>2844</v>
      </c>
      <c r="CQ453" t="s">
        <v>430</v>
      </c>
      <c r="CR453" t="s">
        <v>2984</v>
      </c>
      <c r="CS453" t="s">
        <v>431</v>
      </c>
      <c r="CT453" t="s">
        <v>430</v>
      </c>
      <c r="CU453" t="s">
        <v>2985</v>
      </c>
      <c r="CV453" t="s">
        <v>2986</v>
      </c>
      <c r="CW453" t="s">
        <v>2984</v>
      </c>
      <c r="CX453" t="s">
        <v>2848</v>
      </c>
      <c r="CY453" t="s">
        <v>3113</v>
      </c>
    </row>
    <row r="454" spans="1:103" ht="11.25" customHeight="1">
      <c r="A454" t="s">
        <v>243</v>
      </c>
      <c r="B454" t="s">
        <v>243</v>
      </c>
      <c r="C454" t="s">
        <v>243</v>
      </c>
      <c r="D454" t="s">
        <v>243</v>
      </c>
      <c r="E454" t="s">
        <v>243</v>
      </c>
      <c r="F454" t="s">
        <v>2816</v>
      </c>
      <c r="G454" t="s">
        <v>243</v>
      </c>
      <c r="H454" t="s">
        <v>243</v>
      </c>
      <c r="I454" t="s">
        <v>4108</v>
      </c>
      <c r="J454" t="s">
        <v>243</v>
      </c>
      <c r="K454" t="s">
        <v>4109</v>
      </c>
      <c r="L454" t="s">
        <v>243</v>
      </c>
      <c r="M454" t="s">
        <v>114</v>
      </c>
      <c r="N454" t="s">
        <v>243</v>
      </c>
      <c r="O454" t="s">
        <v>2819</v>
      </c>
      <c r="P454" t="s">
        <v>4448</v>
      </c>
      <c r="Q454" t="s">
        <v>2821</v>
      </c>
      <c r="R454" t="s">
        <v>200</v>
      </c>
      <c r="S454" t="s">
        <v>200</v>
      </c>
      <c r="T454" t="s">
        <v>2968</v>
      </c>
      <c r="U454" t="s">
        <v>2968</v>
      </c>
      <c r="V454" t="s">
        <v>2969</v>
      </c>
      <c r="W454" t="s">
        <v>3722</v>
      </c>
      <c r="X454" t="s">
        <v>3723</v>
      </c>
      <c r="Y454" t="s">
        <v>4110</v>
      </c>
      <c r="Z454" t="s">
        <v>3630</v>
      </c>
      <c r="AA454" t="s">
        <v>3117</v>
      </c>
      <c r="AB454" t="s">
        <v>4111</v>
      </c>
      <c r="AC454" t="s">
        <v>2829</v>
      </c>
      <c r="AD454" t="s">
        <v>2883</v>
      </c>
      <c r="AE454" t="s">
        <v>2857</v>
      </c>
      <c r="AF454" t="s">
        <v>4112</v>
      </c>
      <c r="AG454" t="s">
        <v>4112</v>
      </c>
      <c r="AH454" t="s">
        <v>2834</v>
      </c>
      <c r="AI454" t="s">
        <v>2835</v>
      </c>
      <c r="AJ454" t="s">
        <v>3008</v>
      </c>
      <c r="AK454" t="s">
        <v>4113</v>
      </c>
      <c r="AL454" t="s">
        <v>3117</v>
      </c>
      <c r="AM454" t="s">
        <v>4111</v>
      </c>
      <c r="AN454" t="s">
        <v>2829</v>
      </c>
      <c r="AO454" t="s">
        <v>2839</v>
      </c>
      <c r="AP454" t="s">
        <v>2840</v>
      </c>
      <c r="AQ454" t="s">
        <v>2841</v>
      </c>
      <c r="AR454" t="s">
        <v>4114</v>
      </c>
      <c r="AS454" t="s">
        <v>4114</v>
      </c>
      <c r="AT454" t="s">
        <v>2829</v>
      </c>
      <c r="AU454" t="s">
        <v>2829</v>
      </c>
      <c r="AV454" t="s">
        <v>2829</v>
      </c>
      <c r="AW454" t="s">
        <v>2829</v>
      </c>
      <c r="AX454" t="s">
        <v>2829</v>
      </c>
      <c r="AY454" t="s">
        <v>2829</v>
      </c>
      <c r="AZ454" t="s">
        <v>2829</v>
      </c>
      <c r="BA454" t="s">
        <v>2829</v>
      </c>
      <c r="BB454" t="s">
        <v>2829</v>
      </c>
      <c r="BC454" t="s">
        <v>2829</v>
      </c>
      <c r="BD454" t="s">
        <v>4114</v>
      </c>
      <c r="BE454" t="s">
        <v>4114</v>
      </c>
      <c r="BF454" t="s">
        <v>243</v>
      </c>
      <c r="BG454" t="s">
        <v>243</v>
      </c>
      <c r="BH454" t="s">
        <v>243</v>
      </c>
      <c r="BI454" t="s">
        <v>243</v>
      </c>
      <c r="BJ454" t="s">
        <v>2829</v>
      </c>
      <c r="BK454" t="s">
        <v>243</v>
      </c>
      <c r="BL454" t="s">
        <v>243</v>
      </c>
      <c r="BM454" t="s">
        <v>243</v>
      </c>
      <c r="BN454" t="s">
        <v>243</v>
      </c>
      <c r="BO454" t="s">
        <v>243</v>
      </c>
      <c r="BP454" t="s">
        <v>2829</v>
      </c>
      <c r="BQ454" t="s">
        <v>243</v>
      </c>
      <c r="BR454" t="s">
        <v>243</v>
      </c>
      <c r="BS454" t="s">
        <v>243</v>
      </c>
      <c r="BT454" t="s">
        <v>243</v>
      </c>
      <c r="BU454" t="s">
        <v>243</v>
      </c>
      <c r="BV454" t="s">
        <v>2829</v>
      </c>
      <c r="BW454" t="s">
        <v>243</v>
      </c>
      <c r="BX454" t="s">
        <v>243</v>
      </c>
      <c r="BY454" t="s">
        <v>243</v>
      </c>
      <c r="BZ454" t="s">
        <v>243</v>
      </c>
      <c r="CA454" t="s">
        <v>243</v>
      </c>
      <c r="CB454" t="s">
        <v>2829</v>
      </c>
      <c r="CC454" t="s">
        <v>243</v>
      </c>
      <c r="CD454" t="s">
        <v>243</v>
      </c>
      <c r="CE454" t="s">
        <v>243</v>
      </c>
      <c r="CF454" t="s">
        <v>243</v>
      </c>
      <c r="CG454" t="s">
        <v>243</v>
      </c>
      <c r="CH454" t="s">
        <v>2829</v>
      </c>
      <c r="CI454" t="s">
        <v>243</v>
      </c>
      <c r="CJ454" t="s">
        <v>243</v>
      </c>
      <c r="CK454" t="s">
        <v>243</v>
      </c>
      <c r="CL454" t="s">
        <v>243</v>
      </c>
      <c r="CM454" t="s">
        <v>243</v>
      </c>
      <c r="CN454" t="s">
        <v>3010</v>
      </c>
      <c r="CO454" t="s">
        <v>2843</v>
      </c>
      <c r="CP454" t="s">
        <v>2844</v>
      </c>
      <c r="CQ454" t="s">
        <v>430</v>
      </c>
      <c r="CR454" t="s">
        <v>2984</v>
      </c>
      <c r="CS454" t="s">
        <v>431</v>
      </c>
      <c r="CT454" t="s">
        <v>430</v>
      </c>
      <c r="CU454" t="s">
        <v>2985</v>
      </c>
      <c r="CV454" t="s">
        <v>2986</v>
      </c>
      <c r="CW454" t="s">
        <v>2984</v>
      </c>
      <c r="CX454" t="s">
        <v>2848</v>
      </c>
      <c r="CY454" t="s">
        <v>4115</v>
      </c>
    </row>
    <row r="455" spans="1:103" ht="11.25" customHeight="1">
      <c r="A455" t="s">
        <v>243</v>
      </c>
      <c r="B455" t="s">
        <v>243</v>
      </c>
      <c r="C455" t="s">
        <v>243</v>
      </c>
      <c r="D455" t="s">
        <v>243</v>
      </c>
      <c r="E455" t="s">
        <v>243</v>
      </c>
      <c r="F455" t="s">
        <v>2816</v>
      </c>
      <c r="G455" t="s">
        <v>243</v>
      </c>
      <c r="H455" t="s">
        <v>243</v>
      </c>
      <c r="I455" t="s">
        <v>4129</v>
      </c>
      <c r="J455" t="s">
        <v>243</v>
      </c>
      <c r="K455" t="s">
        <v>3507</v>
      </c>
      <c r="L455" t="s">
        <v>243</v>
      </c>
      <c r="M455" t="s">
        <v>114</v>
      </c>
      <c r="N455" t="s">
        <v>243</v>
      </c>
      <c r="O455" t="s">
        <v>2819</v>
      </c>
      <c r="P455" t="s">
        <v>4448</v>
      </c>
      <c r="Q455" t="s">
        <v>2821</v>
      </c>
      <c r="R455" t="s">
        <v>200</v>
      </c>
      <c r="S455" t="s">
        <v>200</v>
      </c>
      <c r="T455" t="s">
        <v>2968</v>
      </c>
      <c r="U455" t="s">
        <v>2968</v>
      </c>
      <c r="V455" t="s">
        <v>2969</v>
      </c>
      <c r="W455" t="s">
        <v>4130</v>
      </c>
      <c r="X455" t="s">
        <v>4131</v>
      </c>
      <c r="Y455" t="s">
        <v>4132</v>
      </c>
      <c r="Z455" t="s">
        <v>348</v>
      </c>
      <c r="AA455" t="s">
        <v>3117</v>
      </c>
      <c r="AB455" t="s">
        <v>4133</v>
      </c>
      <c r="AC455" t="s">
        <v>2829</v>
      </c>
      <c r="AD455" t="s">
        <v>2883</v>
      </c>
      <c r="AE455" t="s">
        <v>2857</v>
      </c>
      <c r="AF455" t="s">
        <v>4134</v>
      </c>
      <c r="AG455" t="s">
        <v>4134</v>
      </c>
      <c r="AH455" t="s">
        <v>2834</v>
      </c>
      <c r="AI455" t="s">
        <v>2835</v>
      </c>
      <c r="AJ455" t="s">
        <v>3008</v>
      </c>
      <c r="AK455" t="s">
        <v>3018</v>
      </c>
      <c r="AL455" t="s">
        <v>3117</v>
      </c>
      <c r="AM455" t="s">
        <v>4133</v>
      </c>
      <c r="AN455" t="s">
        <v>2829</v>
      </c>
      <c r="AO455" t="s">
        <v>2839</v>
      </c>
      <c r="AP455" t="s">
        <v>2840</v>
      </c>
      <c r="AQ455" t="s">
        <v>2841</v>
      </c>
      <c r="AR455" t="s">
        <v>3898</v>
      </c>
      <c r="AS455" t="s">
        <v>3898</v>
      </c>
      <c r="AT455" t="s">
        <v>2829</v>
      </c>
      <c r="AU455" t="s">
        <v>2829</v>
      </c>
      <c r="AV455" t="s">
        <v>2829</v>
      </c>
      <c r="AW455" t="s">
        <v>2829</v>
      </c>
      <c r="AX455" t="s">
        <v>2829</v>
      </c>
      <c r="AY455" t="s">
        <v>2829</v>
      </c>
      <c r="AZ455" t="s">
        <v>2829</v>
      </c>
      <c r="BA455" t="s">
        <v>2829</v>
      </c>
      <c r="BB455" t="s">
        <v>2829</v>
      </c>
      <c r="BC455" t="s">
        <v>2829</v>
      </c>
      <c r="BD455" t="s">
        <v>2829</v>
      </c>
      <c r="BE455" t="s">
        <v>243</v>
      </c>
      <c r="BF455" t="s">
        <v>243</v>
      </c>
      <c r="BG455" t="s">
        <v>243</v>
      </c>
      <c r="BH455" t="s">
        <v>243</v>
      </c>
      <c r="BI455" t="s">
        <v>243</v>
      </c>
      <c r="BJ455" t="s">
        <v>2829</v>
      </c>
      <c r="BK455" t="s">
        <v>243</v>
      </c>
      <c r="BL455" t="s">
        <v>243</v>
      </c>
      <c r="BM455" t="s">
        <v>243</v>
      </c>
      <c r="BN455" t="s">
        <v>243</v>
      </c>
      <c r="BO455" t="s">
        <v>243</v>
      </c>
      <c r="BP455" t="s">
        <v>3898</v>
      </c>
      <c r="BQ455" t="s">
        <v>3898</v>
      </c>
      <c r="BR455" t="s">
        <v>243</v>
      </c>
      <c r="BS455" t="s">
        <v>243</v>
      </c>
      <c r="BT455" t="s">
        <v>243</v>
      </c>
      <c r="BU455" t="s">
        <v>243</v>
      </c>
      <c r="BV455" t="s">
        <v>2829</v>
      </c>
      <c r="BW455" t="s">
        <v>243</v>
      </c>
      <c r="BX455" t="s">
        <v>243</v>
      </c>
      <c r="BY455" t="s">
        <v>243</v>
      </c>
      <c r="BZ455" t="s">
        <v>243</v>
      </c>
      <c r="CA455" t="s">
        <v>243</v>
      </c>
      <c r="CB455" t="s">
        <v>2829</v>
      </c>
      <c r="CC455" t="s">
        <v>243</v>
      </c>
      <c r="CD455" t="s">
        <v>243</v>
      </c>
      <c r="CE455" t="s">
        <v>243</v>
      </c>
      <c r="CF455" t="s">
        <v>243</v>
      </c>
      <c r="CG455" t="s">
        <v>243</v>
      </c>
      <c r="CH455" t="s">
        <v>2829</v>
      </c>
      <c r="CI455" t="s">
        <v>243</v>
      </c>
      <c r="CJ455" t="s">
        <v>243</v>
      </c>
      <c r="CK455" t="s">
        <v>243</v>
      </c>
      <c r="CL455" t="s">
        <v>243</v>
      </c>
      <c r="CM455" t="s">
        <v>243</v>
      </c>
      <c r="CN455" t="s">
        <v>3010</v>
      </c>
      <c r="CO455" t="s">
        <v>2843</v>
      </c>
      <c r="CP455" t="s">
        <v>2844</v>
      </c>
      <c r="CQ455" t="s">
        <v>430</v>
      </c>
      <c r="CR455" t="s">
        <v>2984</v>
      </c>
      <c r="CS455" t="s">
        <v>431</v>
      </c>
      <c r="CT455" t="s">
        <v>430</v>
      </c>
      <c r="CU455" t="s">
        <v>2985</v>
      </c>
      <c r="CV455" t="s">
        <v>2986</v>
      </c>
      <c r="CW455" t="s">
        <v>2984</v>
      </c>
      <c r="CX455" t="s">
        <v>2848</v>
      </c>
      <c r="CY455" t="s">
        <v>4135</v>
      </c>
    </row>
    <row r="456" spans="1:103" ht="11.25" customHeight="1">
      <c r="A456" t="s">
        <v>243</v>
      </c>
      <c r="B456" t="s">
        <v>243</v>
      </c>
      <c r="C456" t="s">
        <v>243</v>
      </c>
      <c r="D456" t="s">
        <v>243</v>
      </c>
      <c r="E456" t="s">
        <v>243</v>
      </c>
      <c r="F456" t="s">
        <v>2816</v>
      </c>
      <c r="G456" t="s">
        <v>243</v>
      </c>
      <c r="H456" t="s">
        <v>243</v>
      </c>
      <c r="I456" t="s">
        <v>1763</v>
      </c>
      <c r="J456" t="s">
        <v>243</v>
      </c>
      <c r="K456" t="s">
        <v>3210</v>
      </c>
      <c r="L456" t="s">
        <v>243</v>
      </c>
      <c r="M456" t="s">
        <v>114</v>
      </c>
      <c r="N456" t="s">
        <v>243</v>
      </c>
      <c r="O456" t="s">
        <v>2819</v>
      </c>
      <c r="P456" t="s">
        <v>4448</v>
      </c>
      <c r="Q456" t="s">
        <v>2821</v>
      </c>
      <c r="R456" t="s">
        <v>200</v>
      </c>
      <c r="S456" t="s">
        <v>200</v>
      </c>
      <c r="T456" t="s">
        <v>2822</v>
      </c>
      <c r="U456" t="s">
        <v>2822</v>
      </c>
      <c r="V456" t="s">
        <v>2823</v>
      </c>
      <c r="W456" t="s">
        <v>2952</v>
      </c>
      <c r="X456" t="s">
        <v>2953</v>
      </c>
      <c r="Y456" t="s">
        <v>3104</v>
      </c>
      <c r="Z456" t="s">
        <v>3259</v>
      </c>
      <c r="AA456" t="s">
        <v>3260</v>
      </c>
      <c r="AB456" t="s">
        <v>3261</v>
      </c>
      <c r="AC456" t="s">
        <v>2829</v>
      </c>
      <c r="AD456" t="s">
        <v>2830</v>
      </c>
      <c r="AE456" t="s">
        <v>2831</v>
      </c>
      <c r="AF456" t="s">
        <v>3262</v>
      </c>
      <c r="AG456" t="s">
        <v>3263</v>
      </c>
      <c r="AH456" t="s">
        <v>2834</v>
      </c>
      <c r="AI456" t="s">
        <v>2835</v>
      </c>
      <c r="AJ456" t="s">
        <v>2960</v>
      </c>
      <c r="AK456" t="s">
        <v>3264</v>
      </c>
      <c r="AL456" t="s">
        <v>3265</v>
      </c>
      <c r="AM456" t="s">
        <v>3266</v>
      </c>
      <c r="AN456" t="s">
        <v>2829</v>
      </c>
      <c r="AO456" t="s">
        <v>2839</v>
      </c>
      <c r="AP456" t="s">
        <v>2840</v>
      </c>
      <c r="AQ456" t="s">
        <v>2841</v>
      </c>
      <c r="AR456" t="s">
        <v>3267</v>
      </c>
      <c r="AS456" t="s">
        <v>3267</v>
      </c>
      <c r="AT456" t="s">
        <v>2829</v>
      </c>
      <c r="AU456" t="s">
        <v>2829</v>
      </c>
      <c r="AV456" t="s">
        <v>2829</v>
      </c>
      <c r="AW456" t="s">
        <v>2829</v>
      </c>
      <c r="AX456" t="s">
        <v>2829</v>
      </c>
      <c r="AY456" t="s">
        <v>2829</v>
      </c>
      <c r="AZ456" t="s">
        <v>2829</v>
      </c>
      <c r="BA456" t="s">
        <v>2829</v>
      </c>
      <c r="BB456" t="s">
        <v>2829</v>
      </c>
      <c r="BC456" t="s">
        <v>2829</v>
      </c>
      <c r="BD456" t="s">
        <v>2829</v>
      </c>
      <c r="BE456" t="s">
        <v>243</v>
      </c>
      <c r="BF456" t="s">
        <v>243</v>
      </c>
      <c r="BG456" t="s">
        <v>243</v>
      </c>
      <c r="BH456" t="s">
        <v>243</v>
      </c>
      <c r="BI456" t="s">
        <v>243</v>
      </c>
      <c r="BJ456" t="s">
        <v>2829</v>
      </c>
      <c r="BK456" t="s">
        <v>243</v>
      </c>
      <c r="BL456" t="s">
        <v>243</v>
      </c>
      <c r="BM456" t="s">
        <v>243</v>
      </c>
      <c r="BN456" t="s">
        <v>243</v>
      </c>
      <c r="BO456" t="s">
        <v>243</v>
      </c>
      <c r="BP456" t="s">
        <v>3267</v>
      </c>
      <c r="BQ456" t="s">
        <v>3267</v>
      </c>
      <c r="BR456" t="s">
        <v>243</v>
      </c>
      <c r="BS456" t="s">
        <v>243</v>
      </c>
      <c r="BT456" t="s">
        <v>243</v>
      </c>
      <c r="BU456" t="s">
        <v>243</v>
      </c>
      <c r="BV456" t="s">
        <v>2829</v>
      </c>
      <c r="BW456" t="s">
        <v>243</v>
      </c>
      <c r="BX456" t="s">
        <v>243</v>
      </c>
      <c r="BY456" t="s">
        <v>243</v>
      </c>
      <c r="BZ456" t="s">
        <v>243</v>
      </c>
      <c r="CA456" t="s">
        <v>243</v>
      </c>
      <c r="CB456" t="s">
        <v>2829</v>
      </c>
      <c r="CC456" t="s">
        <v>243</v>
      </c>
      <c r="CD456" t="s">
        <v>243</v>
      </c>
      <c r="CE456" t="s">
        <v>243</v>
      </c>
      <c r="CF456" t="s">
        <v>243</v>
      </c>
      <c r="CG456" t="s">
        <v>243</v>
      </c>
      <c r="CH456" t="s">
        <v>2829</v>
      </c>
      <c r="CI456" t="s">
        <v>243</v>
      </c>
      <c r="CJ456" t="s">
        <v>243</v>
      </c>
      <c r="CK456" t="s">
        <v>243</v>
      </c>
      <c r="CL456" t="s">
        <v>243</v>
      </c>
      <c r="CM456" t="s">
        <v>243</v>
      </c>
      <c r="CN456" t="s">
        <v>2960</v>
      </c>
      <c r="CO456" t="s">
        <v>2843</v>
      </c>
      <c r="CP456" t="s">
        <v>2844</v>
      </c>
      <c r="CQ456" t="s">
        <v>430</v>
      </c>
      <c r="CR456" t="s">
        <v>2845</v>
      </c>
      <c r="CS456" t="s">
        <v>431</v>
      </c>
      <c r="CT456" t="s">
        <v>430</v>
      </c>
      <c r="CU456" t="s">
        <v>2846</v>
      </c>
      <c r="CV456" t="s">
        <v>2847</v>
      </c>
      <c r="CW456" t="s">
        <v>2845</v>
      </c>
      <c r="CX456" t="s">
        <v>2848</v>
      </c>
      <c r="CY456" t="s">
        <v>3268</v>
      </c>
    </row>
    <row r="457" spans="1:103" ht="11.25" customHeight="1">
      <c r="A457" t="s">
        <v>243</v>
      </c>
      <c r="B457" t="s">
        <v>243</v>
      </c>
      <c r="C457" t="s">
        <v>243</v>
      </c>
      <c r="D457" t="s">
        <v>243</v>
      </c>
      <c r="E457" t="s">
        <v>243</v>
      </c>
      <c r="F457" t="s">
        <v>2816</v>
      </c>
      <c r="G457" t="s">
        <v>243</v>
      </c>
      <c r="H457" t="s">
        <v>243</v>
      </c>
      <c r="I457" t="s">
        <v>3525</v>
      </c>
      <c r="J457" t="s">
        <v>243</v>
      </c>
      <c r="K457" t="s">
        <v>3526</v>
      </c>
      <c r="L457" t="s">
        <v>243</v>
      </c>
      <c r="M457" t="s">
        <v>114</v>
      </c>
      <c r="N457" t="s">
        <v>243</v>
      </c>
      <c r="O457" t="s">
        <v>2819</v>
      </c>
      <c r="P457" t="s">
        <v>4448</v>
      </c>
      <c r="Q457" t="s">
        <v>2821</v>
      </c>
      <c r="R457" t="s">
        <v>200</v>
      </c>
      <c r="S457" t="s">
        <v>200</v>
      </c>
      <c r="T457" t="s">
        <v>3022</v>
      </c>
      <c r="U457" t="s">
        <v>3022</v>
      </c>
      <c r="V457" t="s">
        <v>3023</v>
      </c>
      <c r="W457" t="s">
        <v>3461</v>
      </c>
      <c r="X457" t="s">
        <v>3462</v>
      </c>
      <c r="Y457" t="s">
        <v>3248</v>
      </c>
      <c r="Z457" t="s">
        <v>463</v>
      </c>
      <c r="AA457" t="s">
        <v>3527</v>
      </c>
      <c r="AB457" t="s">
        <v>3528</v>
      </c>
      <c r="AC457" t="s">
        <v>2829</v>
      </c>
      <c r="AD457" t="s">
        <v>2883</v>
      </c>
      <c r="AE457" t="s">
        <v>2831</v>
      </c>
      <c r="AF457" t="s">
        <v>3529</v>
      </c>
      <c r="AG457" t="s">
        <v>3529</v>
      </c>
      <c r="AH457" t="s">
        <v>2834</v>
      </c>
      <c r="AI457" t="s">
        <v>2835</v>
      </c>
      <c r="AJ457" t="s">
        <v>3044</v>
      </c>
      <c r="AK457" t="s">
        <v>3466</v>
      </c>
      <c r="AL457" t="s">
        <v>3527</v>
      </c>
      <c r="AM457" t="s">
        <v>3528</v>
      </c>
      <c r="AN457" t="s">
        <v>2829</v>
      </c>
      <c r="AO457" t="s">
        <v>2839</v>
      </c>
      <c r="AP457" t="s">
        <v>2840</v>
      </c>
      <c r="AQ457" t="s">
        <v>2841</v>
      </c>
      <c r="AR457" t="s">
        <v>3530</v>
      </c>
      <c r="AS457" t="s">
        <v>3530</v>
      </c>
      <c r="AT457" t="s">
        <v>2829</v>
      </c>
      <c r="AU457" t="s">
        <v>2829</v>
      </c>
      <c r="AV457" t="s">
        <v>2829</v>
      </c>
      <c r="AW457" t="s">
        <v>2829</v>
      </c>
      <c r="AX457" t="s">
        <v>2829</v>
      </c>
      <c r="AY457" t="s">
        <v>2829</v>
      </c>
      <c r="AZ457" t="s">
        <v>2829</v>
      </c>
      <c r="BA457" t="s">
        <v>2829</v>
      </c>
      <c r="BB457" t="s">
        <v>2829</v>
      </c>
      <c r="BC457" t="s">
        <v>2829</v>
      </c>
      <c r="BD457" t="s">
        <v>2829</v>
      </c>
      <c r="BE457" t="s">
        <v>243</v>
      </c>
      <c r="BF457" t="s">
        <v>243</v>
      </c>
      <c r="BG457" t="s">
        <v>243</v>
      </c>
      <c r="BH457" t="s">
        <v>243</v>
      </c>
      <c r="BI457" t="s">
        <v>243</v>
      </c>
      <c r="BJ457" t="s">
        <v>2829</v>
      </c>
      <c r="BK457" t="s">
        <v>243</v>
      </c>
      <c r="BL457" t="s">
        <v>243</v>
      </c>
      <c r="BM457" t="s">
        <v>243</v>
      </c>
      <c r="BN457" t="s">
        <v>243</v>
      </c>
      <c r="BO457" t="s">
        <v>243</v>
      </c>
      <c r="BP457" t="s">
        <v>3530</v>
      </c>
      <c r="BQ457" t="s">
        <v>3530</v>
      </c>
      <c r="BR457" t="s">
        <v>243</v>
      </c>
      <c r="BS457" t="s">
        <v>243</v>
      </c>
      <c r="BT457" t="s">
        <v>243</v>
      </c>
      <c r="BU457" t="s">
        <v>243</v>
      </c>
      <c r="BV457" t="s">
        <v>2829</v>
      </c>
      <c r="BW457" t="s">
        <v>243</v>
      </c>
      <c r="BX457" t="s">
        <v>243</v>
      </c>
      <c r="BY457" t="s">
        <v>243</v>
      </c>
      <c r="BZ457" t="s">
        <v>243</v>
      </c>
      <c r="CA457" t="s">
        <v>243</v>
      </c>
      <c r="CB457" t="s">
        <v>2829</v>
      </c>
      <c r="CC457" t="s">
        <v>243</v>
      </c>
      <c r="CD457" t="s">
        <v>243</v>
      </c>
      <c r="CE457" t="s">
        <v>243</v>
      </c>
      <c r="CF457" t="s">
        <v>243</v>
      </c>
      <c r="CG457" t="s">
        <v>243</v>
      </c>
      <c r="CH457" t="s">
        <v>2829</v>
      </c>
      <c r="CI457" t="s">
        <v>243</v>
      </c>
      <c r="CJ457" t="s">
        <v>243</v>
      </c>
      <c r="CK457" t="s">
        <v>243</v>
      </c>
      <c r="CL457" t="s">
        <v>243</v>
      </c>
      <c r="CM457" t="s">
        <v>243</v>
      </c>
      <c r="CN457" t="s">
        <v>3041</v>
      </c>
      <c r="CO457" t="s">
        <v>2843</v>
      </c>
      <c r="CP457" t="s">
        <v>2844</v>
      </c>
      <c r="CQ457" t="s">
        <v>430</v>
      </c>
      <c r="CR457" t="s">
        <v>3033</v>
      </c>
      <c r="CS457" t="s">
        <v>431</v>
      </c>
      <c r="CT457" t="s">
        <v>430</v>
      </c>
      <c r="CU457" t="s">
        <v>3034</v>
      </c>
      <c r="CV457" t="s">
        <v>432</v>
      </c>
      <c r="CW457" t="s">
        <v>3033</v>
      </c>
      <c r="CX457" t="s">
        <v>2848</v>
      </c>
      <c r="CY457" t="s">
        <v>3531</v>
      </c>
    </row>
    <row r="458" spans="1:103" ht="11.25" customHeight="1">
      <c r="A458" t="s">
        <v>243</v>
      </c>
      <c r="B458" t="s">
        <v>243</v>
      </c>
      <c r="C458" t="s">
        <v>243</v>
      </c>
      <c r="D458" t="s">
        <v>243</v>
      </c>
      <c r="E458" t="s">
        <v>243</v>
      </c>
      <c r="F458" t="s">
        <v>2816</v>
      </c>
      <c r="G458" t="s">
        <v>243</v>
      </c>
      <c r="H458" t="s">
        <v>243</v>
      </c>
      <c r="I458" t="s">
        <v>3711</v>
      </c>
      <c r="J458" t="s">
        <v>243</v>
      </c>
      <c r="K458" t="s">
        <v>467</v>
      </c>
      <c r="L458" t="s">
        <v>243</v>
      </c>
      <c r="M458" t="s">
        <v>114</v>
      </c>
      <c r="N458" t="s">
        <v>243</v>
      </c>
      <c r="O458" t="s">
        <v>2819</v>
      </c>
      <c r="P458" t="s">
        <v>4448</v>
      </c>
      <c r="Q458" t="s">
        <v>2821</v>
      </c>
      <c r="R458" t="s">
        <v>200</v>
      </c>
      <c r="S458" t="s">
        <v>200</v>
      </c>
      <c r="T458" t="s">
        <v>405</v>
      </c>
      <c r="U458" t="s">
        <v>405</v>
      </c>
      <c r="V458" t="s">
        <v>406</v>
      </c>
      <c r="W458" t="s">
        <v>3155</v>
      </c>
      <c r="X458" t="s">
        <v>3156</v>
      </c>
      <c r="Y458" t="s">
        <v>3712</v>
      </c>
      <c r="Z458" t="s">
        <v>1815</v>
      </c>
      <c r="AA458" t="s">
        <v>2904</v>
      </c>
      <c r="AB458" t="s">
        <v>2904</v>
      </c>
      <c r="AC458" t="s">
        <v>243</v>
      </c>
      <c r="AD458" t="s">
        <v>2830</v>
      </c>
      <c r="AE458" t="s">
        <v>2857</v>
      </c>
      <c r="AF458" t="s">
        <v>3713</v>
      </c>
      <c r="AG458" t="s">
        <v>3713</v>
      </c>
      <c r="AH458" t="s">
        <v>2834</v>
      </c>
      <c r="AI458" t="s">
        <v>2835</v>
      </c>
      <c r="AJ458" t="s">
        <v>3184</v>
      </c>
      <c r="AK458" t="s">
        <v>3714</v>
      </c>
      <c r="AL458" t="s">
        <v>2904</v>
      </c>
      <c r="AM458" t="s">
        <v>2904</v>
      </c>
      <c r="AN458" t="s">
        <v>243</v>
      </c>
      <c r="AO458" t="s">
        <v>2839</v>
      </c>
      <c r="AP458" t="s">
        <v>2840</v>
      </c>
      <c r="AQ458" t="s">
        <v>2841</v>
      </c>
      <c r="AR458" t="s">
        <v>2838</v>
      </c>
      <c r="AS458" t="s">
        <v>2838</v>
      </c>
      <c r="AT458" t="s">
        <v>2829</v>
      </c>
      <c r="AU458" t="s">
        <v>2829</v>
      </c>
      <c r="AV458" t="s">
        <v>2829</v>
      </c>
      <c r="AW458" t="s">
        <v>2829</v>
      </c>
      <c r="AX458" t="s">
        <v>2829</v>
      </c>
      <c r="AY458" t="s">
        <v>2829</v>
      </c>
      <c r="AZ458" t="s">
        <v>2829</v>
      </c>
      <c r="BA458" t="s">
        <v>2829</v>
      </c>
      <c r="BB458" t="s">
        <v>2829</v>
      </c>
      <c r="BC458" t="s">
        <v>2829</v>
      </c>
      <c r="BD458" t="s">
        <v>2829</v>
      </c>
      <c r="BE458" t="s">
        <v>243</v>
      </c>
      <c r="BF458" t="s">
        <v>243</v>
      </c>
      <c r="BG458" t="s">
        <v>243</v>
      </c>
      <c r="BH458" t="s">
        <v>243</v>
      </c>
      <c r="BI458" t="s">
        <v>243</v>
      </c>
      <c r="BJ458" t="s">
        <v>2829</v>
      </c>
      <c r="BK458" t="s">
        <v>243</v>
      </c>
      <c r="BL458" t="s">
        <v>243</v>
      </c>
      <c r="BM458" t="s">
        <v>243</v>
      </c>
      <c r="BN458" t="s">
        <v>243</v>
      </c>
      <c r="BO458" t="s">
        <v>243</v>
      </c>
      <c r="BP458" t="s">
        <v>2838</v>
      </c>
      <c r="BQ458" t="s">
        <v>2838</v>
      </c>
      <c r="BR458" t="s">
        <v>243</v>
      </c>
      <c r="BS458" t="s">
        <v>243</v>
      </c>
      <c r="BT458" t="s">
        <v>243</v>
      </c>
      <c r="BU458" t="s">
        <v>243</v>
      </c>
      <c r="BV458" t="s">
        <v>2829</v>
      </c>
      <c r="BW458" t="s">
        <v>243</v>
      </c>
      <c r="BX458" t="s">
        <v>243</v>
      </c>
      <c r="BY458" t="s">
        <v>243</v>
      </c>
      <c r="BZ458" t="s">
        <v>243</v>
      </c>
      <c r="CA458" t="s">
        <v>243</v>
      </c>
      <c r="CB458" t="s">
        <v>2829</v>
      </c>
      <c r="CC458" t="s">
        <v>243</v>
      </c>
      <c r="CD458" t="s">
        <v>243</v>
      </c>
      <c r="CE458" t="s">
        <v>243</v>
      </c>
      <c r="CF458" t="s">
        <v>243</v>
      </c>
      <c r="CG458" t="s">
        <v>243</v>
      </c>
      <c r="CH458" t="s">
        <v>2829</v>
      </c>
      <c r="CI458" t="s">
        <v>243</v>
      </c>
      <c r="CJ458" t="s">
        <v>243</v>
      </c>
      <c r="CK458" t="s">
        <v>243</v>
      </c>
      <c r="CL458" t="s">
        <v>243</v>
      </c>
      <c r="CM458" t="s">
        <v>243</v>
      </c>
      <c r="CN458" t="s">
        <v>2888</v>
      </c>
      <c r="CO458" t="s">
        <v>2843</v>
      </c>
      <c r="CP458" t="s">
        <v>2844</v>
      </c>
      <c r="CQ458" t="s">
        <v>430</v>
      </c>
      <c r="CR458" t="s">
        <v>2872</v>
      </c>
      <c r="CS458" t="s">
        <v>431</v>
      </c>
      <c r="CT458" t="s">
        <v>430</v>
      </c>
      <c r="CU458" t="s">
        <v>268</v>
      </c>
      <c r="CV458" t="s">
        <v>432</v>
      </c>
      <c r="CW458" t="s">
        <v>2872</v>
      </c>
      <c r="CX458" t="s">
        <v>2848</v>
      </c>
      <c r="CY458" t="s">
        <v>468</v>
      </c>
    </row>
    <row r="459" spans="1:103" ht="11.25" customHeight="1">
      <c r="A459" t="s">
        <v>243</v>
      </c>
      <c r="B459" t="s">
        <v>243</v>
      </c>
      <c r="C459" t="s">
        <v>243</v>
      </c>
      <c r="D459" t="s">
        <v>243</v>
      </c>
      <c r="E459" t="s">
        <v>243</v>
      </c>
      <c r="F459" t="s">
        <v>2816</v>
      </c>
      <c r="G459" t="s">
        <v>243</v>
      </c>
      <c r="H459" t="s">
        <v>243</v>
      </c>
      <c r="I459" t="s">
        <v>3748</v>
      </c>
      <c r="J459" t="s">
        <v>243</v>
      </c>
      <c r="K459" t="s">
        <v>441</v>
      </c>
      <c r="L459" t="s">
        <v>243</v>
      </c>
      <c r="M459" t="s">
        <v>114</v>
      </c>
      <c r="N459" t="s">
        <v>243</v>
      </c>
      <c r="O459" t="s">
        <v>2819</v>
      </c>
      <c r="P459" t="s">
        <v>4448</v>
      </c>
      <c r="Q459" t="s">
        <v>2821</v>
      </c>
      <c r="R459" t="s">
        <v>200</v>
      </c>
      <c r="S459" t="s">
        <v>200</v>
      </c>
      <c r="T459" t="s">
        <v>3048</v>
      </c>
      <c r="U459" t="s">
        <v>3048</v>
      </c>
      <c r="V459" t="s">
        <v>3049</v>
      </c>
      <c r="W459" t="s">
        <v>3050</v>
      </c>
      <c r="X459" t="s">
        <v>3051</v>
      </c>
      <c r="Y459" t="s">
        <v>3127</v>
      </c>
      <c r="Z459" t="s">
        <v>2930</v>
      </c>
      <c r="AA459" t="s">
        <v>3749</v>
      </c>
      <c r="AB459" t="s">
        <v>3750</v>
      </c>
      <c r="AC459" t="s">
        <v>2829</v>
      </c>
      <c r="AD459" t="s">
        <v>2883</v>
      </c>
      <c r="AE459" t="s">
        <v>2831</v>
      </c>
      <c r="AF459" t="s">
        <v>3055</v>
      </c>
      <c r="AG459" t="s">
        <v>3055</v>
      </c>
      <c r="AH459" t="s">
        <v>2834</v>
      </c>
      <c r="AI459" t="s">
        <v>2835</v>
      </c>
      <c r="AJ459" t="s">
        <v>3176</v>
      </c>
      <c r="AK459" t="s">
        <v>3751</v>
      </c>
      <c r="AL459" t="s">
        <v>3749</v>
      </c>
      <c r="AM459" t="s">
        <v>3750</v>
      </c>
      <c r="AN459" t="s">
        <v>2829</v>
      </c>
      <c r="AO459" t="s">
        <v>2839</v>
      </c>
      <c r="AP459" t="s">
        <v>2840</v>
      </c>
      <c r="AQ459" t="s">
        <v>2841</v>
      </c>
      <c r="AR459" t="s">
        <v>3752</v>
      </c>
      <c r="AS459" t="s">
        <v>3752</v>
      </c>
      <c r="AT459" t="s">
        <v>2829</v>
      </c>
      <c r="AU459" t="s">
        <v>2829</v>
      </c>
      <c r="AV459" t="s">
        <v>2829</v>
      </c>
      <c r="AW459" t="s">
        <v>2829</v>
      </c>
      <c r="AX459" t="s">
        <v>2829</v>
      </c>
      <c r="AY459" t="s">
        <v>2829</v>
      </c>
      <c r="AZ459" t="s">
        <v>2829</v>
      </c>
      <c r="BA459" t="s">
        <v>2829</v>
      </c>
      <c r="BB459" t="s">
        <v>2829</v>
      </c>
      <c r="BC459" t="s">
        <v>2829</v>
      </c>
      <c r="BD459" t="s">
        <v>3752</v>
      </c>
      <c r="BE459" t="s">
        <v>3752</v>
      </c>
      <c r="BF459" t="s">
        <v>243</v>
      </c>
      <c r="BG459" t="s">
        <v>243</v>
      </c>
      <c r="BH459" t="s">
        <v>243</v>
      </c>
      <c r="BI459" t="s">
        <v>243</v>
      </c>
      <c r="BJ459" t="s">
        <v>2829</v>
      </c>
      <c r="BK459" t="s">
        <v>243</v>
      </c>
      <c r="BL459" t="s">
        <v>243</v>
      </c>
      <c r="BM459" t="s">
        <v>243</v>
      </c>
      <c r="BN459" t="s">
        <v>243</v>
      </c>
      <c r="BO459" t="s">
        <v>243</v>
      </c>
      <c r="BP459" t="s">
        <v>2829</v>
      </c>
      <c r="BQ459" t="s">
        <v>243</v>
      </c>
      <c r="BR459" t="s">
        <v>243</v>
      </c>
      <c r="BS459" t="s">
        <v>243</v>
      </c>
      <c r="BT459" t="s">
        <v>243</v>
      </c>
      <c r="BU459" t="s">
        <v>243</v>
      </c>
      <c r="BV459" t="s">
        <v>2829</v>
      </c>
      <c r="BW459" t="s">
        <v>243</v>
      </c>
      <c r="BX459" t="s">
        <v>243</v>
      </c>
      <c r="BY459" t="s">
        <v>243</v>
      </c>
      <c r="BZ459" t="s">
        <v>243</v>
      </c>
      <c r="CA459" t="s">
        <v>243</v>
      </c>
      <c r="CB459" t="s">
        <v>2829</v>
      </c>
      <c r="CC459" t="s">
        <v>243</v>
      </c>
      <c r="CD459" t="s">
        <v>243</v>
      </c>
      <c r="CE459" t="s">
        <v>243</v>
      </c>
      <c r="CF459" t="s">
        <v>243</v>
      </c>
      <c r="CG459" t="s">
        <v>243</v>
      </c>
      <c r="CH459" t="s">
        <v>2829</v>
      </c>
      <c r="CI459" t="s">
        <v>243</v>
      </c>
      <c r="CJ459" t="s">
        <v>243</v>
      </c>
      <c r="CK459" t="s">
        <v>243</v>
      </c>
      <c r="CL459" t="s">
        <v>243</v>
      </c>
      <c r="CM459" t="s">
        <v>243</v>
      </c>
      <c r="CN459" t="s">
        <v>3753</v>
      </c>
      <c r="CO459" t="s">
        <v>2843</v>
      </c>
      <c r="CP459" t="s">
        <v>2844</v>
      </c>
      <c r="CQ459" t="s">
        <v>470</v>
      </c>
      <c r="CR459" t="s">
        <v>2872</v>
      </c>
      <c r="CS459" t="s">
        <v>431</v>
      </c>
      <c r="CT459" t="s">
        <v>470</v>
      </c>
      <c r="CU459" t="s">
        <v>3061</v>
      </c>
      <c r="CV459" t="s">
        <v>3062</v>
      </c>
      <c r="CW459" t="s">
        <v>2872</v>
      </c>
      <c r="CX459" t="s">
        <v>2848</v>
      </c>
      <c r="CY459" t="s">
        <v>3754</v>
      </c>
    </row>
    <row r="460" spans="1:103" ht="11.25" customHeight="1">
      <c r="A460" t="s">
        <v>243</v>
      </c>
      <c r="B460" t="s">
        <v>243</v>
      </c>
      <c r="C460" t="s">
        <v>243</v>
      </c>
      <c r="D460" t="s">
        <v>243</v>
      </c>
      <c r="E460" t="s">
        <v>243</v>
      </c>
      <c r="F460" t="s">
        <v>2816</v>
      </c>
      <c r="G460" t="s">
        <v>243</v>
      </c>
      <c r="H460" t="s">
        <v>243</v>
      </c>
      <c r="I460" t="s">
        <v>3952</v>
      </c>
      <c r="J460" t="s">
        <v>243</v>
      </c>
      <c r="K460" t="s">
        <v>3953</v>
      </c>
      <c r="L460" t="s">
        <v>243</v>
      </c>
      <c r="M460" t="s">
        <v>114</v>
      </c>
      <c r="N460" t="s">
        <v>243</v>
      </c>
      <c r="O460" t="s">
        <v>2819</v>
      </c>
      <c r="P460" t="s">
        <v>4448</v>
      </c>
      <c r="Q460" t="s">
        <v>2821</v>
      </c>
      <c r="R460" t="s">
        <v>200</v>
      </c>
      <c r="S460" t="s">
        <v>200</v>
      </c>
      <c r="T460" t="s">
        <v>3282</v>
      </c>
      <c r="U460" t="s">
        <v>3282</v>
      </c>
      <c r="V460" t="s">
        <v>3283</v>
      </c>
      <c r="W460" t="s">
        <v>3284</v>
      </c>
      <c r="X460" t="s">
        <v>3285</v>
      </c>
      <c r="Y460" t="s">
        <v>3954</v>
      </c>
      <c r="Z460" t="s">
        <v>3222</v>
      </c>
      <c r="AA460" t="s">
        <v>3228</v>
      </c>
      <c r="AB460" t="s">
        <v>3228</v>
      </c>
      <c r="AC460" t="s">
        <v>2829</v>
      </c>
      <c r="AD460" t="s">
        <v>2883</v>
      </c>
      <c r="AE460" t="s">
        <v>2857</v>
      </c>
      <c r="AF460" t="s">
        <v>3955</v>
      </c>
      <c r="AG460" t="s">
        <v>3955</v>
      </c>
      <c r="AH460" t="s">
        <v>2834</v>
      </c>
      <c r="AI460" t="s">
        <v>2835</v>
      </c>
      <c r="AJ460" t="s">
        <v>2829</v>
      </c>
      <c r="AK460" t="s">
        <v>3956</v>
      </c>
      <c r="AL460" t="s">
        <v>3228</v>
      </c>
      <c r="AM460" t="s">
        <v>3228</v>
      </c>
      <c r="AN460" t="s">
        <v>2829</v>
      </c>
      <c r="AO460" t="s">
        <v>3081</v>
      </c>
      <c r="AP460" t="s">
        <v>2840</v>
      </c>
      <c r="AQ460" t="s">
        <v>2841</v>
      </c>
      <c r="AR460" t="s">
        <v>2838</v>
      </c>
      <c r="AS460" t="s">
        <v>2838</v>
      </c>
      <c r="AT460" t="s">
        <v>2829</v>
      </c>
      <c r="AU460" t="s">
        <v>2829</v>
      </c>
      <c r="AV460" t="s">
        <v>2829</v>
      </c>
      <c r="AW460" t="s">
        <v>2829</v>
      </c>
      <c r="AX460" t="s">
        <v>2829</v>
      </c>
      <c r="AY460" t="s">
        <v>2829</v>
      </c>
      <c r="AZ460" t="s">
        <v>2829</v>
      </c>
      <c r="BA460" t="s">
        <v>2829</v>
      </c>
      <c r="BB460" t="s">
        <v>2829</v>
      </c>
      <c r="BC460" t="s">
        <v>2829</v>
      </c>
      <c r="BD460" t="s">
        <v>2829</v>
      </c>
      <c r="BE460" t="s">
        <v>243</v>
      </c>
      <c r="BF460" t="s">
        <v>243</v>
      </c>
      <c r="BG460" t="s">
        <v>243</v>
      </c>
      <c r="BH460" t="s">
        <v>243</v>
      </c>
      <c r="BI460" t="s">
        <v>243</v>
      </c>
      <c r="BJ460" t="s">
        <v>2829</v>
      </c>
      <c r="BK460" t="s">
        <v>243</v>
      </c>
      <c r="BL460" t="s">
        <v>243</v>
      </c>
      <c r="BM460" t="s">
        <v>243</v>
      </c>
      <c r="BN460" t="s">
        <v>243</v>
      </c>
      <c r="BO460" t="s">
        <v>243</v>
      </c>
      <c r="BP460" t="s">
        <v>2838</v>
      </c>
      <c r="BQ460" t="s">
        <v>2838</v>
      </c>
      <c r="BR460" t="s">
        <v>243</v>
      </c>
      <c r="BS460" t="s">
        <v>243</v>
      </c>
      <c r="BT460" t="s">
        <v>243</v>
      </c>
      <c r="BU460" t="s">
        <v>243</v>
      </c>
      <c r="BV460" t="s">
        <v>2829</v>
      </c>
      <c r="BW460" t="s">
        <v>243</v>
      </c>
      <c r="BX460" t="s">
        <v>243</v>
      </c>
      <c r="BY460" t="s">
        <v>243</v>
      </c>
      <c r="BZ460" t="s">
        <v>243</v>
      </c>
      <c r="CA460" t="s">
        <v>243</v>
      </c>
      <c r="CB460" t="s">
        <v>2829</v>
      </c>
      <c r="CC460" t="s">
        <v>243</v>
      </c>
      <c r="CD460" t="s">
        <v>243</v>
      </c>
      <c r="CE460" t="s">
        <v>243</v>
      </c>
      <c r="CF460" t="s">
        <v>243</v>
      </c>
      <c r="CG460" t="s">
        <v>243</v>
      </c>
      <c r="CH460" t="s">
        <v>2829</v>
      </c>
      <c r="CI460" t="s">
        <v>243</v>
      </c>
      <c r="CJ460" t="s">
        <v>243</v>
      </c>
      <c r="CK460" t="s">
        <v>243</v>
      </c>
      <c r="CL460" t="s">
        <v>243</v>
      </c>
      <c r="CM460" t="s">
        <v>243</v>
      </c>
      <c r="CN460" t="s">
        <v>2829</v>
      </c>
      <c r="CO460" t="s">
        <v>2843</v>
      </c>
      <c r="CP460" t="s">
        <v>2844</v>
      </c>
      <c r="CQ460" t="s">
        <v>430</v>
      </c>
      <c r="CR460" t="s">
        <v>3297</v>
      </c>
      <c r="CS460" t="s">
        <v>431</v>
      </c>
      <c r="CT460" t="s">
        <v>430</v>
      </c>
      <c r="CU460" t="s">
        <v>341</v>
      </c>
      <c r="CV460" t="s">
        <v>2900</v>
      </c>
      <c r="CW460" t="s">
        <v>3297</v>
      </c>
      <c r="CX460" t="s">
        <v>2848</v>
      </c>
      <c r="CY460" t="s">
        <v>3957</v>
      </c>
    </row>
    <row r="461" spans="1:103" ht="11.25" customHeight="1">
      <c r="A461" t="s">
        <v>243</v>
      </c>
      <c r="B461" t="s">
        <v>243</v>
      </c>
      <c r="C461" t="s">
        <v>243</v>
      </c>
      <c r="D461" t="s">
        <v>243</v>
      </c>
      <c r="E461" t="s">
        <v>243</v>
      </c>
      <c r="F461" t="s">
        <v>2816</v>
      </c>
      <c r="G461" t="s">
        <v>243</v>
      </c>
      <c r="H461" t="s">
        <v>243</v>
      </c>
      <c r="I461" t="s">
        <v>902</v>
      </c>
      <c r="J461" t="s">
        <v>243</v>
      </c>
      <c r="K461" t="s">
        <v>428</v>
      </c>
      <c r="L461" t="s">
        <v>243</v>
      </c>
      <c r="M461" t="s">
        <v>114</v>
      </c>
      <c r="N461" t="s">
        <v>243</v>
      </c>
      <c r="O461" t="s">
        <v>2819</v>
      </c>
      <c r="P461" t="s">
        <v>4448</v>
      </c>
      <c r="Q461" t="s">
        <v>2821</v>
      </c>
      <c r="R461" t="s">
        <v>200</v>
      </c>
      <c r="S461" t="s">
        <v>200</v>
      </c>
      <c r="T461" t="s">
        <v>2822</v>
      </c>
      <c r="U461" t="s">
        <v>2822</v>
      </c>
      <c r="V461" t="s">
        <v>2823</v>
      </c>
      <c r="W461" t="s">
        <v>3190</v>
      </c>
      <c r="X461" t="s">
        <v>3191</v>
      </c>
      <c r="Y461" t="s">
        <v>4016</v>
      </c>
      <c r="Z461" t="s">
        <v>460</v>
      </c>
      <c r="AA461" t="s">
        <v>3359</v>
      </c>
      <c r="AB461" t="s">
        <v>4017</v>
      </c>
      <c r="AC461" t="s">
        <v>2829</v>
      </c>
      <c r="AD461" t="s">
        <v>2830</v>
      </c>
      <c r="AE461" t="s">
        <v>2831</v>
      </c>
      <c r="AF461" t="s">
        <v>4018</v>
      </c>
      <c r="AG461" t="s">
        <v>4019</v>
      </c>
      <c r="AH461" t="s">
        <v>2834</v>
      </c>
      <c r="AI461" t="s">
        <v>2835</v>
      </c>
      <c r="AJ461" t="s">
        <v>2960</v>
      </c>
      <c r="AK461" t="s">
        <v>3856</v>
      </c>
      <c r="AL461" t="s">
        <v>3359</v>
      </c>
      <c r="AM461" t="s">
        <v>3039</v>
      </c>
      <c r="AN461" t="s">
        <v>2829</v>
      </c>
      <c r="AO461" t="s">
        <v>2839</v>
      </c>
      <c r="AP461" t="s">
        <v>2840</v>
      </c>
      <c r="AQ461" t="s">
        <v>2841</v>
      </c>
      <c r="AR461" t="s">
        <v>3303</v>
      </c>
      <c r="AS461" t="s">
        <v>3303</v>
      </c>
      <c r="AT461" t="s">
        <v>2829</v>
      </c>
      <c r="AU461" t="s">
        <v>2829</v>
      </c>
      <c r="AV461" t="s">
        <v>2829</v>
      </c>
      <c r="AW461" t="s">
        <v>2829</v>
      </c>
      <c r="AX461" t="s">
        <v>2829</v>
      </c>
      <c r="AY461" t="s">
        <v>2829</v>
      </c>
      <c r="AZ461" t="s">
        <v>2829</v>
      </c>
      <c r="BA461" t="s">
        <v>2829</v>
      </c>
      <c r="BB461" t="s">
        <v>2829</v>
      </c>
      <c r="BC461" t="s">
        <v>2829</v>
      </c>
      <c r="BD461" t="s">
        <v>2842</v>
      </c>
      <c r="BE461" t="s">
        <v>2842</v>
      </c>
      <c r="BF461" t="s">
        <v>243</v>
      </c>
      <c r="BG461" t="s">
        <v>243</v>
      </c>
      <c r="BH461" t="s">
        <v>243</v>
      </c>
      <c r="BI461" t="s">
        <v>243</v>
      </c>
      <c r="BJ461" t="s">
        <v>2829</v>
      </c>
      <c r="BK461" t="s">
        <v>243</v>
      </c>
      <c r="BL461" t="s">
        <v>243</v>
      </c>
      <c r="BM461" t="s">
        <v>243</v>
      </c>
      <c r="BN461" t="s">
        <v>243</v>
      </c>
      <c r="BO461" t="s">
        <v>243</v>
      </c>
      <c r="BP461" t="s">
        <v>2829</v>
      </c>
      <c r="BQ461" t="s">
        <v>243</v>
      </c>
      <c r="BR461" t="s">
        <v>243</v>
      </c>
      <c r="BS461" t="s">
        <v>243</v>
      </c>
      <c r="BT461" t="s">
        <v>243</v>
      </c>
      <c r="BU461" t="s">
        <v>243</v>
      </c>
      <c r="BV461" t="s">
        <v>2829</v>
      </c>
      <c r="BW461" t="s">
        <v>243</v>
      </c>
      <c r="BX461" t="s">
        <v>243</v>
      </c>
      <c r="BY461" t="s">
        <v>243</v>
      </c>
      <c r="BZ461" t="s">
        <v>243</v>
      </c>
      <c r="CA461" t="s">
        <v>243</v>
      </c>
      <c r="CB461" t="s">
        <v>3073</v>
      </c>
      <c r="CC461" t="s">
        <v>3073</v>
      </c>
      <c r="CD461" t="s">
        <v>243</v>
      </c>
      <c r="CE461" t="s">
        <v>243</v>
      </c>
      <c r="CF461" t="s">
        <v>243</v>
      </c>
      <c r="CG461" t="s">
        <v>243</v>
      </c>
      <c r="CH461" t="s">
        <v>2829</v>
      </c>
      <c r="CI461" t="s">
        <v>243</v>
      </c>
      <c r="CJ461" t="s">
        <v>243</v>
      </c>
      <c r="CK461" t="s">
        <v>243</v>
      </c>
      <c r="CL461" t="s">
        <v>243</v>
      </c>
      <c r="CM461" t="s">
        <v>243</v>
      </c>
      <c r="CN461" t="s">
        <v>2960</v>
      </c>
      <c r="CO461" t="s">
        <v>2843</v>
      </c>
      <c r="CP461" t="s">
        <v>2844</v>
      </c>
      <c r="CQ461" t="s">
        <v>430</v>
      </c>
      <c r="CR461" t="s">
        <v>2845</v>
      </c>
      <c r="CS461" t="s">
        <v>431</v>
      </c>
      <c r="CT461" t="s">
        <v>430</v>
      </c>
      <c r="CU461" t="s">
        <v>2846</v>
      </c>
      <c r="CV461" t="s">
        <v>2847</v>
      </c>
      <c r="CW461" t="s">
        <v>2845</v>
      </c>
      <c r="CX461" t="s">
        <v>2848</v>
      </c>
      <c r="CY461" t="s">
        <v>4020</v>
      </c>
    </row>
    <row r="462" spans="1:103" ht="11.25" customHeight="1">
      <c r="A462" t="s">
        <v>243</v>
      </c>
      <c r="B462" t="s">
        <v>243</v>
      </c>
      <c r="C462" t="s">
        <v>243</v>
      </c>
      <c r="D462" t="s">
        <v>243</v>
      </c>
      <c r="E462" t="s">
        <v>243</v>
      </c>
      <c r="F462" t="s">
        <v>2816</v>
      </c>
      <c r="G462" t="s">
        <v>243</v>
      </c>
      <c r="H462" t="s">
        <v>243</v>
      </c>
      <c r="I462" t="s">
        <v>907</v>
      </c>
      <c r="J462" t="s">
        <v>243</v>
      </c>
      <c r="K462" t="s">
        <v>455</v>
      </c>
      <c r="L462" t="s">
        <v>243</v>
      </c>
      <c r="M462" t="s">
        <v>114</v>
      </c>
      <c r="N462" t="s">
        <v>243</v>
      </c>
      <c r="O462" t="s">
        <v>2819</v>
      </c>
      <c r="P462" t="s">
        <v>4448</v>
      </c>
      <c r="Q462" t="s">
        <v>2821</v>
      </c>
      <c r="R462" t="s">
        <v>200</v>
      </c>
      <c r="S462" t="s">
        <v>200</v>
      </c>
      <c r="T462" t="s">
        <v>2822</v>
      </c>
      <c r="U462" t="s">
        <v>2822</v>
      </c>
      <c r="V462" t="s">
        <v>2823</v>
      </c>
      <c r="W462" t="s">
        <v>3190</v>
      </c>
      <c r="X462" t="s">
        <v>3191</v>
      </c>
      <c r="Y462" t="s">
        <v>4021</v>
      </c>
      <c r="Z462" t="s">
        <v>448</v>
      </c>
      <c r="AA462" t="s">
        <v>4022</v>
      </c>
      <c r="AB462" t="s">
        <v>2907</v>
      </c>
      <c r="AC462" t="s">
        <v>2829</v>
      </c>
      <c r="AD462" t="s">
        <v>2830</v>
      </c>
      <c r="AE462" t="s">
        <v>2831</v>
      </c>
      <c r="AF462" t="s">
        <v>4023</v>
      </c>
      <c r="AG462" t="s">
        <v>4024</v>
      </c>
      <c r="AH462" t="s">
        <v>2834</v>
      </c>
      <c r="AI462" t="s">
        <v>2835</v>
      </c>
      <c r="AJ462" t="s">
        <v>2960</v>
      </c>
      <c r="AK462" t="s">
        <v>4025</v>
      </c>
      <c r="AL462" t="s">
        <v>4022</v>
      </c>
      <c r="AM462" t="s">
        <v>3143</v>
      </c>
      <c r="AN462" t="s">
        <v>2829</v>
      </c>
      <c r="AO462" t="s">
        <v>2839</v>
      </c>
      <c r="AP462" t="s">
        <v>2840</v>
      </c>
      <c r="AQ462" t="s">
        <v>2841</v>
      </c>
      <c r="AR462" t="s">
        <v>4026</v>
      </c>
      <c r="AS462" t="s">
        <v>4026</v>
      </c>
      <c r="AT462" t="s">
        <v>2829</v>
      </c>
      <c r="AU462" t="s">
        <v>2829</v>
      </c>
      <c r="AV462" t="s">
        <v>2829</v>
      </c>
      <c r="AW462" t="s">
        <v>2829</v>
      </c>
      <c r="AX462" t="s">
        <v>2829</v>
      </c>
      <c r="AY462" t="s">
        <v>2829</v>
      </c>
      <c r="AZ462" t="s">
        <v>2829</v>
      </c>
      <c r="BA462" t="s">
        <v>2829</v>
      </c>
      <c r="BB462" t="s">
        <v>2829</v>
      </c>
      <c r="BC462" t="s">
        <v>2829</v>
      </c>
      <c r="BD462" t="s">
        <v>2829</v>
      </c>
      <c r="BE462" t="s">
        <v>243</v>
      </c>
      <c r="BF462" t="s">
        <v>243</v>
      </c>
      <c r="BG462" t="s">
        <v>243</v>
      </c>
      <c r="BH462" t="s">
        <v>243</v>
      </c>
      <c r="BI462" t="s">
        <v>243</v>
      </c>
      <c r="BJ462" t="s">
        <v>2829</v>
      </c>
      <c r="BK462" t="s">
        <v>243</v>
      </c>
      <c r="BL462" t="s">
        <v>243</v>
      </c>
      <c r="BM462" t="s">
        <v>243</v>
      </c>
      <c r="BN462" t="s">
        <v>243</v>
      </c>
      <c r="BO462" t="s">
        <v>243</v>
      </c>
      <c r="BP462" t="s">
        <v>2829</v>
      </c>
      <c r="BQ462" t="s">
        <v>243</v>
      </c>
      <c r="BR462" t="s">
        <v>243</v>
      </c>
      <c r="BS462" t="s">
        <v>243</v>
      </c>
      <c r="BT462" t="s">
        <v>243</v>
      </c>
      <c r="BU462" t="s">
        <v>243</v>
      </c>
      <c r="BV462" t="s">
        <v>2829</v>
      </c>
      <c r="BW462" t="s">
        <v>243</v>
      </c>
      <c r="BX462" t="s">
        <v>243</v>
      </c>
      <c r="BY462" t="s">
        <v>243</v>
      </c>
      <c r="BZ462" t="s">
        <v>243</v>
      </c>
      <c r="CA462" t="s">
        <v>243</v>
      </c>
      <c r="CB462" t="s">
        <v>4026</v>
      </c>
      <c r="CC462" t="s">
        <v>4026</v>
      </c>
      <c r="CD462" t="s">
        <v>243</v>
      </c>
      <c r="CE462" t="s">
        <v>243</v>
      </c>
      <c r="CF462" t="s">
        <v>243</v>
      </c>
      <c r="CG462" t="s">
        <v>243</v>
      </c>
      <c r="CH462" t="s">
        <v>2829</v>
      </c>
      <c r="CI462" t="s">
        <v>243</v>
      </c>
      <c r="CJ462" t="s">
        <v>243</v>
      </c>
      <c r="CK462" t="s">
        <v>243</v>
      </c>
      <c r="CL462" t="s">
        <v>243</v>
      </c>
      <c r="CM462" t="s">
        <v>243</v>
      </c>
      <c r="CN462" t="s">
        <v>2960</v>
      </c>
      <c r="CO462" t="s">
        <v>2843</v>
      </c>
      <c r="CP462" t="s">
        <v>2844</v>
      </c>
      <c r="CQ462" t="s">
        <v>430</v>
      </c>
      <c r="CR462" t="s">
        <v>2845</v>
      </c>
      <c r="CS462" t="s">
        <v>431</v>
      </c>
      <c r="CT462" t="s">
        <v>430</v>
      </c>
      <c r="CU462" t="s">
        <v>2846</v>
      </c>
      <c r="CV462" t="s">
        <v>2847</v>
      </c>
      <c r="CW462" t="s">
        <v>2845</v>
      </c>
      <c r="CX462" t="s">
        <v>2848</v>
      </c>
      <c r="CY462" t="s">
        <v>4027</v>
      </c>
    </row>
    <row r="463" spans="1:103" ht="11.25" customHeight="1">
      <c r="A463" t="s">
        <v>243</v>
      </c>
      <c r="B463" t="s">
        <v>243</v>
      </c>
      <c r="C463" t="s">
        <v>243</v>
      </c>
      <c r="D463" t="s">
        <v>243</v>
      </c>
      <c r="E463" t="s">
        <v>243</v>
      </c>
      <c r="F463" t="s">
        <v>2816</v>
      </c>
      <c r="G463" t="s">
        <v>243</v>
      </c>
      <c r="H463" t="s">
        <v>243</v>
      </c>
      <c r="I463" t="s">
        <v>3189</v>
      </c>
      <c r="J463" t="s">
        <v>243</v>
      </c>
      <c r="K463" t="s">
        <v>452</v>
      </c>
      <c r="L463" t="s">
        <v>243</v>
      </c>
      <c r="M463" t="s">
        <v>114</v>
      </c>
      <c r="N463" t="s">
        <v>243</v>
      </c>
      <c r="O463" t="s">
        <v>2819</v>
      </c>
      <c r="P463" t="s">
        <v>4448</v>
      </c>
      <c r="Q463" t="s">
        <v>2821</v>
      </c>
      <c r="R463" t="s">
        <v>200</v>
      </c>
      <c r="S463" t="s">
        <v>200</v>
      </c>
      <c r="T463" t="s">
        <v>2822</v>
      </c>
      <c r="U463" t="s">
        <v>2822</v>
      </c>
      <c r="V463" t="s">
        <v>2823</v>
      </c>
      <c r="W463" t="s">
        <v>3190</v>
      </c>
      <c r="X463" t="s">
        <v>3191</v>
      </c>
      <c r="Y463" t="s">
        <v>3192</v>
      </c>
      <c r="Z463" t="s">
        <v>466</v>
      </c>
      <c r="AA463" t="s">
        <v>3193</v>
      </c>
      <c r="AB463" t="s">
        <v>3194</v>
      </c>
      <c r="AC463" t="s">
        <v>2829</v>
      </c>
      <c r="AD463" t="s">
        <v>2830</v>
      </c>
      <c r="AE463" t="s">
        <v>2831</v>
      </c>
      <c r="AF463" t="s">
        <v>3195</v>
      </c>
      <c r="AG463" t="s">
        <v>3195</v>
      </c>
      <c r="AH463" t="s">
        <v>2834</v>
      </c>
      <c r="AI463" t="s">
        <v>2835</v>
      </c>
      <c r="AJ463" t="s">
        <v>2960</v>
      </c>
      <c r="AK463" t="s">
        <v>3196</v>
      </c>
      <c r="AL463" t="s">
        <v>3193</v>
      </c>
      <c r="AM463" t="s">
        <v>3194</v>
      </c>
      <c r="AN463" t="s">
        <v>2829</v>
      </c>
      <c r="AO463" t="s">
        <v>2839</v>
      </c>
      <c r="AP463" t="s">
        <v>2840</v>
      </c>
      <c r="AQ463" t="s">
        <v>2841</v>
      </c>
      <c r="AR463" t="s">
        <v>3197</v>
      </c>
      <c r="AS463" t="s">
        <v>3197</v>
      </c>
      <c r="AT463" t="s">
        <v>2829</v>
      </c>
      <c r="AU463" t="s">
        <v>2829</v>
      </c>
      <c r="AV463" t="s">
        <v>2829</v>
      </c>
      <c r="AW463" t="s">
        <v>2829</v>
      </c>
      <c r="AX463" t="s">
        <v>2829</v>
      </c>
      <c r="AY463" t="s">
        <v>2829</v>
      </c>
      <c r="AZ463" t="s">
        <v>2829</v>
      </c>
      <c r="BA463" t="s">
        <v>2829</v>
      </c>
      <c r="BB463" t="s">
        <v>2829</v>
      </c>
      <c r="BC463" t="s">
        <v>2829</v>
      </c>
      <c r="BD463" t="s">
        <v>3197</v>
      </c>
      <c r="BE463" t="s">
        <v>3197</v>
      </c>
      <c r="BF463" t="s">
        <v>243</v>
      </c>
      <c r="BG463" t="s">
        <v>243</v>
      </c>
      <c r="BH463" t="s">
        <v>243</v>
      </c>
      <c r="BI463" t="s">
        <v>243</v>
      </c>
      <c r="BJ463" t="s">
        <v>2829</v>
      </c>
      <c r="BK463" t="s">
        <v>243</v>
      </c>
      <c r="BL463" t="s">
        <v>243</v>
      </c>
      <c r="BM463" t="s">
        <v>243</v>
      </c>
      <c r="BN463" t="s">
        <v>243</v>
      </c>
      <c r="BO463" t="s">
        <v>243</v>
      </c>
      <c r="BP463" t="s">
        <v>2829</v>
      </c>
      <c r="BQ463" t="s">
        <v>243</v>
      </c>
      <c r="BR463" t="s">
        <v>243</v>
      </c>
      <c r="BS463" t="s">
        <v>243</v>
      </c>
      <c r="BT463" t="s">
        <v>243</v>
      </c>
      <c r="BU463" t="s">
        <v>243</v>
      </c>
      <c r="BV463" t="s">
        <v>2829</v>
      </c>
      <c r="BW463" t="s">
        <v>243</v>
      </c>
      <c r="BX463" t="s">
        <v>243</v>
      </c>
      <c r="BY463" t="s">
        <v>243</v>
      </c>
      <c r="BZ463" t="s">
        <v>243</v>
      </c>
      <c r="CA463" t="s">
        <v>243</v>
      </c>
      <c r="CB463" t="s">
        <v>2829</v>
      </c>
      <c r="CC463" t="s">
        <v>243</v>
      </c>
      <c r="CD463" t="s">
        <v>243</v>
      </c>
      <c r="CE463" t="s">
        <v>243</v>
      </c>
      <c r="CF463" t="s">
        <v>243</v>
      </c>
      <c r="CG463" t="s">
        <v>243</v>
      </c>
      <c r="CH463" t="s">
        <v>2829</v>
      </c>
      <c r="CI463" t="s">
        <v>243</v>
      </c>
      <c r="CJ463" t="s">
        <v>243</v>
      </c>
      <c r="CK463" t="s">
        <v>243</v>
      </c>
      <c r="CL463" t="s">
        <v>243</v>
      </c>
      <c r="CM463" t="s">
        <v>243</v>
      </c>
      <c r="CN463" t="s">
        <v>2960</v>
      </c>
      <c r="CO463" t="s">
        <v>2843</v>
      </c>
      <c r="CP463" t="s">
        <v>2844</v>
      </c>
      <c r="CQ463" t="s">
        <v>430</v>
      </c>
      <c r="CR463" t="s">
        <v>2845</v>
      </c>
      <c r="CS463" t="s">
        <v>431</v>
      </c>
      <c r="CT463" t="s">
        <v>430</v>
      </c>
      <c r="CU463" t="s">
        <v>2846</v>
      </c>
      <c r="CV463" t="s">
        <v>2847</v>
      </c>
      <c r="CW463" t="s">
        <v>2845</v>
      </c>
      <c r="CX463" t="s">
        <v>2848</v>
      </c>
      <c r="CY463" t="s">
        <v>3198</v>
      </c>
    </row>
    <row r="464" spans="1:103" ht="11.25" customHeight="1">
      <c r="A464" t="s">
        <v>243</v>
      </c>
      <c r="B464" t="s">
        <v>243</v>
      </c>
      <c r="C464" t="s">
        <v>243</v>
      </c>
      <c r="D464" t="s">
        <v>243</v>
      </c>
      <c r="E464" t="s">
        <v>243</v>
      </c>
      <c r="F464" t="s">
        <v>2816</v>
      </c>
      <c r="G464" t="s">
        <v>243</v>
      </c>
      <c r="H464" t="s">
        <v>243</v>
      </c>
      <c r="I464" t="s">
        <v>4199</v>
      </c>
      <c r="J464" t="s">
        <v>243</v>
      </c>
      <c r="K464" t="s">
        <v>2818</v>
      </c>
      <c r="L464" t="s">
        <v>243</v>
      </c>
      <c r="M464" t="s">
        <v>114</v>
      </c>
      <c r="N464" t="s">
        <v>243</v>
      </c>
      <c r="O464" t="s">
        <v>2819</v>
      </c>
      <c r="P464" t="s">
        <v>4448</v>
      </c>
      <c r="Q464" t="s">
        <v>2821</v>
      </c>
      <c r="R464" t="s">
        <v>200</v>
      </c>
      <c r="S464" t="s">
        <v>200</v>
      </c>
      <c r="T464" t="s">
        <v>2822</v>
      </c>
      <c r="U464" t="s">
        <v>2822</v>
      </c>
      <c r="V464" t="s">
        <v>2823</v>
      </c>
      <c r="W464" t="s">
        <v>2952</v>
      </c>
      <c r="X464" t="s">
        <v>2953</v>
      </c>
      <c r="Y464" t="s">
        <v>4200</v>
      </c>
      <c r="Z464" t="s">
        <v>469</v>
      </c>
      <c r="AA464" t="s">
        <v>3228</v>
      </c>
      <c r="AB464" t="s">
        <v>4201</v>
      </c>
      <c r="AC464" t="s">
        <v>2829</v>
      </c>
      <c r="AD464" t="s">
        <v>2830</v>
      </c>
      <c r="AE464" t="s">
        <v>2831</v>
      </c>
      <c r="AF464" t="s">
        <v>4202</v>
      </c>
      <c r="AG464" t="s">
        <v>2833</v>
      </c>
      <c r="AH464" t="s">
        <v>2834</v>
      </c>
      <c r="AI464" t="s">
        <v>2835</v>
      </c>
      <c r="AJ464" t="s">
        <v>2829</v>
      </c>
      <c r="AK464" t="s">
        <v>2868</v>
      </c>
      <c r="AL464" t="s">
        <v>3688</v>
      </c>
      <c r="AM464" t="s">
        <v>3058</v>
      </c>
      <c r="AN464" t="s">
        <v>2829</v>
      </c>
      <c r="AO464" t="s">
        <v>2839</v>
      </c>
      <c r="AP464" t="s">
        <v>2840</v>
      </c>
      <c r="AQ464" t="s">
        <v>2841</v>
      </c>
      <c r="AR464" t="s">
        <v>4203</v>
      </c>
      <c r="AS464" t="s">
        <v>4203</v>
      </c>
      <c r="AT464" t="s">
        <v>2829</v>
      </c>
      <c r="AU464" t="s">
        <v>2829</v>
      </c>
      <c r="AV464" t="s">
        <v>2829</v>
      </c>
      <c r="AW464" t="s">
        <v>2829</v>
      </c>
      <c r="AX464" t="s">
        <v>2829</v>
      </c>
      <c r="AY464" t="s">
        <v>2829</v>
      </c>
      <c r="AZ464" t="s">
        <v>2829</v>
      </c>
      <c r="BA464" t="s">
        <v>2829</v>
      </c>
      <c r="BB464" t="s">
        <v>2829</v>
      </c>
      <c r="BC464" t="s">
        <v>2829</v>
      </c>
      <c r="BD464" t="s">
        <v>4204</v>
      </c>
      <c r="BE464" t="s">
        <v>4204</v>
      </c>
      <c r="BF464" t="s">
        <v>243</v>
      </c>
      <c r="BG464" t="s">
        <v>243</v>
      </c>
      <c r="BH464" t="s">
        <v>243</v>
      </c>
      <c r="BI464" t="s">
        <v>243</v>
      </c>
      <c r="BJ464" t="s">
        <v>2829</v>
      </c>
      <c r="BK464" t="s">
        <v>243</v>
      </c>
      <c r="BL464" t="s">
        <v>243</v>
      </c>
      <c r="BM464" t="s">
        <v>243</v>
      </c>
      <c r="BN464" t="s">
        <v>243</v>
      </c>
      <c r="BO464" t="s">
        <v>243</v>
      </c>
      <c r="BP464" t="s">
        <v>4205</v>
      </c>
      <c r="BQ464" t="s">
        <v>4205</v>
      </c>
      <c r="BR464" t="s">
        <v>243</v>
      </c>
      <c r="BS464" t="s">
        <v>243</v>
      </c>
      <c r="BT464" t="s">
        <v>243</v>
      </c>
      <c r="BU464" t="s">
        <v>243</v>
      </c>
      <c r="BV464" t="s">
        <v>2829</v>
      </c>
      <c r="BW464" t="s">
        <v>243</v>
      </c>
      <c r="BX464" t="s">
        <v>243</v>
      </c>
      <c r="BY464" t="s">
        <v>243</v>
      </c>
      <c r="BZ464" t="s">
        <v>243</v>
      </c>
      <c r="CA464" t="s">
        <v>243</v>
      </c>
      <c r="CB464" t="s">
        <v>2829</v>
      </c>
      <c r="CC464" t="s">
        <v>243</v>
      </c>
      <c r="CD464" t="s">
        <v>243</v>
      </c>
      <c r="CE464" t="s">
        <v>243</v>
      </c>
      <c r="CF464" t="s">
        <v>243</v>
      </c>
      <c r="CG464" t="s">
        <v>243</v>
      </c>
      <c r="CH464" t="s">
        <v>2829</v>
      </c>
      <c r="CI464" t="s">
        <v>243</v>
      </c>
      <c r="CJ464" t="s">
        <v>243</v>
      </c>
      <c r="CK464" t="s">
        <v>243</v>
      </c>
      <c r="CL464" t="s">
        <v>243</v>
      </c>
      <c r="CM464" t="s">
        <v>243</v>
      </c>
      <c r="CN464" t="s">
        <v>2829</v>
      </c>
      <c r="CO464" t="s">
        <v>2843</v>
      </c>
      <c r="CP464" t="s">
        <v>2844</v>
      </c>
      <c r="CQ464" t="s">
        <v>430</v>
      </c>
      <c r="CR464" t="s">
        <v>2872</v>
      </c>
      <c r="CS464" t="s">
        <v>431</v>
      </c>
      <c r="CT464" t="s">
        <v>430</v>
      </c>
      <c r="CU464" t="s">
        <v>2846</v>
      </c>
      <c r="CV464" t="s">
        <v>2873</v>
      </c>
      <c r="CW464" t="s">
        <v>2872</v>
      </c>
      <c r="CX464" t="s">
        <v>2848</v>
      </c>
      <c r="CY464" t="s">
        <v>4206</v>
      </c>
    </row>
    <row r="465" spans="1:103" ht="11.25" customHeight="1">
      <c r="A465" t="s">
        <v>243</v>
      </c>
      <c r="B465" t="s">
        <v>243</v>
      </c>
      <c r="C465" t="s">
        <v>243</v>
      </c>
      <c r="D465" t="s">
        <v>243</v>
      </c>
      <c r="E465" t="s">
        <v>243</v>
      </c>
      <c r="F465" t="s">
        <v>2816</v>
      </c>
      <c r="G465" t="s">
        <v>243</v>
      </c>
      <c r="H465" t="s">
        <v>243</v>
      </c>
      <c r="I465" t="s">
        <v>4381</v>
      </c>
      <c r="J465" t="s">
        <v>243</v>
      </c>
      <c r="K465" t="s">
        <v>4382</v>
      </c>
      <c r="L465" t="s">
        <v>243</v>
      </c>
      <c r="M465" t="s">
        <v>114</v>
      </c>
      <c r="N465" t="s">
        <v>243</v>
      </c>
      <c r="O465" t="s">
        <v>2819</v>
      </c>
      <c r="P465" t="s">
        <v>4448</v>
      </c>
      <c r="Q465" t="s">
        <v>2821</v>
      </c>
      <c r="R465" t="s">
        <v>200</v>
      </c>
      <c r="S465" t="s">
        <v>200</v>
      </c>
      <c r="T465" t="s">
        <v>2933</v>
      </c>
      <c r="U465" t="s">
        <v>2933</v>
      </c>
      <c r="V465" t="s">
        <v>2934</v>
      </c>
      <c r="W465" t="s">
        <v>2935</v>
      </c>
      <c r="X465" t="s">
        <v>2936</v>
      </c>
      <c r="Y465" t="s">
        <v>4383</v>
      </c>
      <c r="Z465" t="s">
        <v>440</v>
      </c>
      <c r="AA465" t="s">
        <v>4384</v>
      </c>
      <c r="AB465" t="s">
        <v>4385</v>
      </c>
      <c r="AC465" t="s">
        <v>2939</v>
      </c>
      <c r="AD465" t="s">
        <v>2883</v>
      </c>
      <c r="AE465" t="s">
        <v>4042</v>
      </c>
      <c r="AF465" t="s">
        <v>4386</v>
      </c>
      <c r="AG465" t="s">
        <v>4386</v>
      </c>
      <c r="AH465" t="s">
        <v>2834</v>
      </c>
      <c r="AI465" t="s">
        <v>2835</v>
      </c>
      <c r="AJ465" t="s">
        <v>3010</v>
      </c>
      <c r="AK465" t="s">
        <v>3018</v>
      </c>
      <c r="AL465" t="s">
        <v>4384</v>
      </c>
      <c r="AM465" t="s">
        <v>4387</v>
      </c>
      <c r="AN465" t="s">
        <v>2939</v>
      </c>
      <c r="AO465" t="s">
        <v>2839</v>
      </c>
      <c r="AP465" t="s">
        <v>2840</v>
      </c>
      <c r="AQ465" t="s">
        <v>2841</v>
      </c>
      <c r="AR465" t="s">
        <v>4388</v>
      </c>
      <c r="AS465" t="s">
        <v>4389</v>
      </c>
      <c r="AT465" t="s">
        <v>4390</v>
      </c>
      <c r="AU465" t="s">
        <v>4391</v>
      </c>
      <c r="AV465" t="s">
        <v>3332</v>
      </c>
      <c r="AW465" t="s">
        <v>2829</v>
      </c>
      <c r="AX465" t="s">
        <v>2829</v>
      </c>
      <c r="AY465" t="s">
        <v>2829</v>
      </c>
      <c r="AZ465" t="s">
        <v>2829</v>
      </c>
      <c r="BA465" t="s">
        <v>2829</v>
      </c>
      <c r="BB465" t="s">
        <v>2829</v>
      </c>
      <c r="BC465" t="s">
        <v>2829</v>
      </c>
      <c r="BD465" t="s">
        <v>4392</v>
      </c>
      <c r="BE465" t="s">
        <v>4393</v>
      </c>
      <c r="BF465" t="s">
        <v>4394</v>
      </c>
      <c r="BG465" t="s">
        <v>4395</v>
      </c>
      <c r="BH465" t="s">
        <v>3332</v>
      </c>
      <c r="BI465" t="s">
        <v>243</v>
      </c>
      <c r="BJ465" t="s">
        <v>2829</v>
      </c>
      <c r="BK465" t="s">
        <v>243</v>
      </c>
      <c r="BL465" t="s">
        <v>243</v>
      </c>
      <c r="BM465" t="s">
        <v>243</v>
      </c>
      <c r="BN465" t="s">
        <v>243</v>
      </c>
      <c r="BO465" t="s">
        <v>243</v>
      </c>
      <c r="BP465" t="s">
        <v>4396</v>
      </c>
      <c r="BQ465" t="s">
        <v>4397</v>
      </c>
      <c r="BR465" t="s">
        <v>4398</v>
      </c>
      <c r="BS465" t="s">
        <v>4399</v>
      </c>
      <c r="BT465" t="s">
        <v>243</v>
      </c>
      <c r="BU465" t="s">
        <v>243</v>
      </c>
      <c r="BV465" t="s">
        <v>2829</v>
      </c>
      <c r="BW465" t="s">
        <v>243</v>
      </c>
      <c r="BX465" t="s">
        <v>243</v>
      </c>
      <c r="BY465" t="s">
        <v>243</v>
      </c>
      <c r="BZ465" t="s">
        <v>243</v>
      </c>
      <c r="CA465" t="s">
        <v>243</v>
      </c>
      <c r="CB465" t="s">
        <v>4400</v>
      </c>
      <c r="CC465" t="s">
        <v>4400</v>
      </c>
      <c r="CD465" t="s">
        <v>243</v>
      </c>
      <c r="CE465" t="s">
        <v>243</v>
      </c>
      <c r="CF465" t="s">
        <v>243</v>
      </c>
      <c r="CG465" t="s">
        <v>243</v>
      </c>
      <c r="CH465" t="s">
        <v>2829</v>
      </c>
      <c r="CI465" t="s">
        <v>243</v>
      </c>
      <c r="CJ465" t="s">
        <v>243</v>
      </c>
      <c r="CK465" t="s">
        <v>243</v>
      </c>
      <c r="CL465" t="s">
        <v>243</v>
      </c>
      <c r="CM465" t="s">
        <v>243</v>
      </c>
      <c r="CN465" t="s">
        <v>3010</v>
      </c>
      <c r="CO465" t="s">
        <v>2843</v>
      </c>
      <c r="CP465" t="s">
        <v>2844</v>
      </c>
      <c r="CQ465" t="s">
        <v>430</v>
      </c>
      <c r="CR465" t="s">
        <v>2947</v>
      </c>
      <c r="CS465" t="s">
        <v>431</v>
      </c>
      <c r="CT465" t="s">
        <v>430</v>
      </c>
      <c r="CU465" t="s">
        <v>2948</v>
      </c>
      <c r="CV465" t="s">
        <v>2949</v>
      </c>
      <c r="CW465" t="s">
        <v>2947</v>
      </c>
      <c r="CX465" t="s">
        <v>2848</v>
      </c>
      <c r="CY465" t="s">
        <v>4401</v>
      </c>
    </row>
    <row r="466" spans="1:103" ht="11.25" customHeight="1">
      <c r="A466" t="s">
        <v>243</v>
      </c>
      <c r="B466" t="s">
        <v>243</v>
      </c>
      <c r="C466" t="s">
        <v>243</v>
      </c>
      <c r="D466" t="s">
        <v>243</v>
      </c>
      <c r="E466" t="s">
        <v>243</v>
      </c>
      <c r="F466" t="s">
        <v>2816</v>
      </c>
      <c r="G466" t="s">
        <v>243</v>
      </c>
      <c r="H466" t="s">
        <v>243</v>
      </c>
      <c r="I466" t="s">
        <v>3114</v>
      </c>
      <c r="J466" t="s">
        <v>243</v>
      </c>
      <c r="K466" t="s">
        <v>3115</v>
      </c>
      <c r="L466" t="s">
        <v>243</v>
      </c>
      <c r="M466" t="s">
        <v>114</v>
      </c>
      <c r="N466" t="s">
        <v>243</v>
      </c>
      <c r="O466" t="s">
        <v>2819</v>
      </c>
      <c r="P466" t="s">
        <v>4448</v>
      </c>
      <c r="Q466" t="s">
        <v>2821</v>
      </c>
      <c r="R466" t="s">
        <v>200</v>
      </c>
      <c r="S466" t="s">
        <v>200</v>
      </c>
      <c r="T466" t="s">
        <v>2968</v>
      </c>
      <c r="U466" t="s">
        <v>2968</v>
      </c>
      <c r="V466" t="s">
        <v>2969</v>
      </c>
      <c r="W466" t="s">
        <v>3102</v>
      </c>
      <c r="X466" t="s">
        <v>3103</v>
      </c>
      <c r="Y466" t="s">
        <v>3104</v>
      </c>
      <c r="Z466" t="s">
        <v>3116</v>
      </c>
      <c r="AA466" t="s">
        <v>3117</v>
      </c>
      <c r="AB466" t="s">
        <v>3118</v>
      </c>
      <c r="AC466" t="s">
        <v>2829</v>
      </c>
      <c r="AD466" t="s">
        <v>2883</v>
      </c>
      <c r="AE466" t="s">
        <v>2857</v>
      </c>
      <c r="AF466" t="s">
        <v>3119</v>
      </c>
      <c r="AG466" t="s">
        <v>3119</v>
      </c>
      <c r="AH466" t="s">
        <v>2834</v>
      </c>
      <c r="AI466" t="s">
        <v>2835</v>
      </c>
      <c r="AJ466" t="s">
        <v>3008</v>
      </c>
      <c r="AK466" t="s">
        <v>3120</v>
      </c>
      <c r="AL466" t="s">
        <v>3117</v>
      </c>
      <c r="AM466" t="s">
        <v>3118</v>
      </c>
      <c r="AN466" t="s">
        <v>2829</v>
      </c>
      <c r="AO466" t="s">
        <v>2839</v>
      </c>
      <c r="AP466" t="s">
        <v>2840</v>
      </c>
      <c r="AQ466" t="s">
        <v>2841</v>
      </c>
      <c r="AR466" t="s">
        <v>3121</v>
      </c>
      <c r="AS466" t="s">
        <v>3121</v>
      </c>
      <c r="AT466" t="s">
        <v>2829</v>
      </c>
      <c r="AU466" t="s">
        <v>2829</v>
      </c>
      <c r="AV466" t="s">
        <v>2829</v>
      </c>
      <c r="AW466" t="s">
        <v>2829</v>
      </c>
      <c r="AX466" t="s">
        <v>2829</v>
      </c>
      <c r="AY466" t="s">
        <v>2829</v>
      </c>
      <c r="AZ466" t="s">
        <v>2829</v>
      </c>
      <c r="BA466" t="s">
        <v>2829</v>
      </c>
      <c r="BB466" t="s">
        <v>2829</v>
      </c>
      <c r="BC466" t="s">
        <v>2829</v>
      </c>
      <c r="BD466" t="s">
        <v>2829</v>
      </c>
      <c r="BE466" t="s">
        <v>243</v>
      </c>
      <c r="BF466" t="s">
        <v>243</v>
      </c>
      <c r="BG466" t="s">
        <v>243</v>
      </c>
      <c r="BH466" t="s">
        <v>243</v>
      </c>
      <c r="BI466" t="s">
        <v>243</v>
      </c>
      <c r="BJ466" t="s">
        <v>2829</v>
      </c>
      <c r="BK466" t="s">
        <v>243</v>
      </c>
      <c r="BL466" t="s">
        <v>243</v>
      </c>
      <c r="BM466" t="s">
        <v>243</v>
      </c>
      <c r="BN466" t="s">
        <v>243</v>
      </c>
      <c r="BO466" t="s">
        <v>243</v>
      </c>
      <c r="BP466" t="s">
        <v>3121</v>
      </c>
      <c r="BQ466" t="s">
        <v>3121</v>
      </c>
      <c r="BR466" t="s">
        <v>243</v>
      </c>
      <c r="BS466" t="s">
        <v>243</v>
      </c>
      <c r="BT466" t="s">
        <v>243</v>
      </c>
      <c r="BU466" t="s">
        <v>243</v>
      </c>
      <c r="BV466" t="s">
        <v>2829</v>
      </c>
      <c r="BW466" t="s">
        <v>243</v>
      </c>
      <c r="BX466" t="s">
        <v>243</v>
      </c>
      <c r="BY466" t="s">
        <v>243</v>
      </c>
      <c r="BZ466" t="s">
        <v>243</v>
      </c>
      <c r="CA466" t="s">
        <v>243</v>
      </c>
      <c r="CB466" t="s">
        <v>2829</v>
      </c>
      <c r="CC466" t="s">
        <v>243</v>
      </c>
      <c r="CD466" t="s">
        <v>243</v>
      </c>
      <c r="CE466" t="s">
        <v>243</v>
      </c>
      <c r="CF466" t="s">
        <v>243</v>
      </c>
      <c r="CG466" t="s">
        <v>243</v>
      </c>
      <c r="CH466" t="s">
        <v>2829</v>
      </c>
      <c r="CI466" t="s">
        <v>243</v>
      </c>
      <c r="CJ466" t="s">
        <v>243</v>
      </c>
      <c r="CK466" t="s">
        <v>243</v>
      </c>
      <c r="CL466" t="s">
        <v>243</v>
      </c>
      <c r="CM466" t="s">
        <v>243</v>
      </c>
      <c r="CN466" t="s">
        <v>3008</v>
      </c>
      <c r="CO466" t="s">
        <v>2843</v>
      </c>
      <c r="CP466" t="s">
        <v>2844</v>
      </c>
      <c r="CQ466" t="s">
        <v>430</v>
      </c>
      <c r="CR466" t="s">
        <v>2984</v>
      </c>
      <c r="CS466" t="s">
        <v>431</v>
      </c>
      <c r="CT466" t="s">
        <v>430</v>
      </c>
      <c r="CU466" t="s">
        <v>2985</v>
      </c>
      <c r="CV466" t="s">
        <v>2986</v>
      </c>
      <c r="CW466" t="s">
        <v>2984</v>
      </c>
      <c r="CX466" t="s">
        <v>2848</v>
      </c>
      <c r="CY466" t="s">
        <v>3122</v>
      </c>
    </row>
    <row r="467" spans="1:103" ht="11.25" customHeight="1">
      <c r="A467" t="s">
        <v>243</v>
      </c>
      <c r="B467" t="s">
        <v>243</v>
      </c>
      <c r="C467" t="s">
        <v>243</v>
      </c>
      <c r="D467" t="s">
        <v>243</v>
      </c>
      <c r="E467" t="s">
        <v>243</v>
      </c>
      <c r="F467" t="s">
        <v>2816</v>
      </c>
      <c r="G467" t="s">
        <v>243</v>
      </c>
      <c r="H467" t="s">
        <v>243</v>
      </c>
      <c r="I467" t="s">
        <v>460</v>
      </c>
      <c r="J467" t="s">
        <v>243</v>
      </c>
      <c r="K467" t="s">
        <v>3497</v>
      </c>
      <c r="L467" t="s">
        <v>243</v>
      </c>
      <c r="M467" t="s">
        <v>114</v>
      </c>
      <c r="N467" t="s">
        <v>243</v>
      </c>
      <c r="O467" t="s">
        <v>2819</v>
      </c>
      <c r="P467" t="s">
        <v>4448</v>
      </c>
      <c r="Q467" t="s">
        <v>2821</v>
      </c>
      <c r="R467" t="s">
        <v>200</v>
      </c>
      <c r="S467" t="s">
        <v>200</v>
      </c>
      <c r="T467" t="s">
        <v>2822</v>
      </c>
      <c r="U467" t="s">
        <v>2822</v>
      </c>
      <c r="V467" t="s">
        <v>2823</v>
      </c>
      <c r="W467" t="s">
        <v>2952</v>
      </c>
      <c r="X467" t="s">
        <v>2953</v>
      </c>
      <c r="Y467" t="s">
        <v>3498</v>
      </c>
      <c r="Z467" t="s">
        <v>2880</v>
      </c>
      <c r="AA467" t="s">
        <v>3499</v>
      </c>
      <c r="AB467" t="s">
        <v>3500</v>
      </c>
      <c r="AC467" t="s">
        <v>2829</v>
      </c>
      <c r="AD467" t="s">
        <v>2830</v>
      </c>
      <c r="AE467" t="s">
        <v>2831</v>
      </c>
      <c r="AF467" t="s">
        <v>3501</v>
      </c>
      <c r="AG467" t="s">
        <v>3502</v>
      </c>
      <c r="AH467" t="s">
        <v>2834</v>
      </c>
      <c r="AI467" t="s">
        <v>2835</v>
      </c>
      <c r="AJ467" t="s">
        <v>2960</v>
      </c>
      <c r="AK467" t="s">
        <v>3264</v>
      </c>
      <c r="AL467" t="s">
        <v>3499</v>
      </c>
      <c r="AM467" t="s">
        <v>3385</v>
      </c>
      <c r="AN467" t="s">
        <v>2829</v>
      </c>
      <c r="AO467" t="s">
        <v>2839</v>
      </c>
      <c r="AP467" t="s">
        <v>2840</v>
      </c>
      <c r="AQ467" t="s">
        <v>2841</v>
      </c>
      <c r="AR467" t="s">
        <v>3503</v>
      </c>
      <c r="AS467" t="s">
        <v>3503</v>
      </c>
      <c r="AT467" t="s">
        <v>2829</v>
      </c>
      <c r="AU467" t="s">
        <v>2829</v>
      </c>
      <c r="AV467" t="s">
        <v>2829</v>
      </c>
      <c r="AW467" t="s">
        <v>2829</v>
      </c>
      <c r="AX467" t="s">
        <v>2829</v>
      </c>
      <c r="AY467" t="s">
        <v>2829</v>
      </c>
      <c r="AZ467" t="s">
        <v>2829</v>
      </c>
      <c r="BA467" t="s">
        <v>2829</v>
      </c>
      <c r="BB467" t="s">
        <v>2829</v>
      </c>
      <c r="BC467" t="s">
        <v>2829</v>
      </c>
      <c r="BD467" t="s">
        <v>2965</v>
      </c>
      <c r="BE467" t="s">
        <v>2965</v>
      </c>
      <c r="BF467" t="s">
        <v>243</v>
      </c>
      <c r="BG467" t="s">
        <v>243</v>
      </c>
      <c r="BH467" t="s">
        <v>243</v>
      </c>
      <c r="BI467" t="s">
        <v>243</v>
      </c>
      <c r="BJ467" t="s">
        <v>2829</v>
      </c>
      <c r="BK467" t="s">
        <v>243</v>
      </c>
      <c r="BL467" t="s">
        <v>243</v>
      </c>
      <c r="BM467" t="s">
        <v>243</v>
      </c>
      <c r="BN467" t="s">
        <v>243</v>
      </c>
      <c r="BO467" t="s">
        <v>243</v>
      </c>
      <c r="BP467" t="s">
        <v>3504</v>
      </c>
      <c r="BQ467" t="s">
        <v>3504</v>
      </c>
      <c r="BR467" t="s">
        <v>243</v>
      </c>
      <c r="BS467" t="s">
        <v>243</v>
      </c>
      <c r="BT467" t="s">
        <v>243</v>
      </c>
      <c r="BU467" t="s">
        <v>243</v>
      </c>
      <c r="BV467" t="s">
        <v>2829</v>
      </c>
      <c r="BW467" t="s">
        <v>243</v>
      </c>
      <c r="BX467" t="s">
        <v>243</v>
      </c>
      <c r="BY467" t="s">
        <v>243</v>
      </c>
      <c r="BZ467" t="s">
        <v>243</v>
      </c>
      <c r="CA467" t="s">
        <v>243</v>
      </c>
      <c r="CB467" t="s">
        <v>2829</v>
      </c>
      <c r="CC467" t="s">
        <v>243</v>
      </c>
      <c r="CD467" t="s">
        <v>243</v>
      </c>
      <c r="CE467" t="s">
        <v>243</v>
      </c>
      <c r="CF467" t="s">
        <v>243</v>
      </c>
      <c r="CG467" t="s">
        <v>243</v>
      </c>
      <c r="CH467" t="s">
        <v>2829</v>
      </c>
      <c r="CI467" t="s">
        <v>243</v>
      </c>
      <c r="CJ467" t="s">
        <v>243</v>
      </c>
      <c r="CK467" t="s">
        <v>243</v>
      </c>
      <c r="CL467" t="s">
        <v>243</v>
      </c>
      <c r="CM467" t="s">
        <v>243</v>
      </c>
      <c r="CN467" t="s">
        <v>2960</v>
      </c>
      <c r="CO467" t="s">
        <v>2843</v>
      </c>
      <c r="CP467" t="s">
        <v>2844</v>
      </c>
      <c r="CQ467" t="s">
        <v>430</v>
      </c>
      <c r="CR467" t="s">
        <v>2845</v>
      </c>
      <c r="CS467" t="s">
        <v>431</v>
      </c>
      <c r="CT467" t="s">
        <v>430</v>
      </c>
      <c r="CU467" t="s">
        <v>2846</v>
      </c>
      <c r="CV467" t="s">
        <v>2847</v>
      </c>
      <c r="CW467" t="s">
        <v>2845</v>
      </c>
      <c r="CX467" t="s">
        <v>2848</v>
      </c>
      <c r="CY467" t="s">
        <v>3505</v>
      </c>
    </row>
    <row r="468" spans="1:103" ht="11.25" customHeight="1">
      <c r="A468" t="s">
        <v>243</v>
      </c>
      <c r="B468" t="s">
        <v>243</v>
      </c>
      <c r="C468" t="s">
        <v>243</v>
      </c>
      <c r="D468" t="s">
        <v>243</v>
      </c>
      <c r="E468" t="s">
        <v>243</v>
      </c>
      <c r="F468" t="s">
        <v>2816</v>
      </c>
      <c r="G468" t="s">
        <v>243</v>
      </c>
      <c r="H468" t="s">
        <v>243</v>
      </c>
      <c r="I468" t="s">
        <v>466</v>
      </c>
      <c r="J468" t="s">
        <v>243</v>
      </c>
      <c r="K468" t="s">
        <v>3233</v>
      </c>
      <c r="L468" t="s">
        <v>243</v>
      </c>
      <c r="M468" t="s">
        <v>114</v>
      </c>
      <c r="N468" t="s">
        <v>243</v>
      </c>
      <c r="O468" t="s">
        <v>2819</v>
      </c>
      <c r="P468" t="s">
        <v>4448</v>
      </c>
      <c r="Q468" t="s">
        <v>2821</v>
      </c>
      <c r="R468" t="s">
        <v>200</v>
      </c>
      <c r="S468" t="s">
        <v>200</v>
      </c>
      <c r="T468" t="s">
        <v>2822</v>
      </c>
      <c r="U468" t="s">
        <v>2822</v>
      </c>
      <c r="V468" t="s">
        <v>2823</v>
      </c>
      <c r="W468" t="s">
        <v>2952</v>
      </c>
      <c r="X468" t="s">
        <v>2953</v>
      </c>
      <c r="Y468" t="s">
        <v>4270</v>
      </c>
      <c r="Z468" t="s">
        <v>4271</v>
      </c>
      <c r="AA468" t="s">
        <v>4272</v>
      </c>
      <c r="AB468" t="s">
        <v>4273</v>
      </c>
      <c r="AC468" t="s">
        <v>2829</v>
      </c>
      <c r="AD468" t="s">
        <v>2830</v>
      </c>
      <c r="AE468" t="s">
        <v>2831</v>
      </c>
      <c r="AF468" t="s">
        <v>4274</v>
      </c>
      <c r="AG468" t="s">
        <v>4275</v>
      </c>
      <c r="AH468" t="s">
        <v>2834</v>
      </c>
      <c r="AI468" t="s">
        <v>2835</v>
      </c>
      <c r="AJ468" t="s">
        <v>2960</v>
      </c>
      <c r="AK468" t="s">
        <v>3882</v>
      </c>
      <c r="AL468" t="s">
        <v>4276</v>
      </c>
      <c r="AM468" t="s">
        <v>3653</v>
      </c>
      <c r="AN468" t="s">
        <v>2829</v>
      </c>
      <c r="AO468" t="s">
        <v>2839</v>
      </c>
      <c r="AP468" t="s">
        <v>2840</v>
      </c>
      <c r="AQ468" t="s">
        <v>2841</v>
      </c>
      <c r="AR468" t="s">
        <v>4277</v>
      </c>
      <c r="AS468" t="s">
        <v>4277</v>
      </c>
      <c r="AT468" t="s">
        <v>2829</v>
      </c>
      <c r="AU468" t="s">
        <v>2829</v>
      </c>
      <c r="AV468" t="s">
        <v>2829</v>
      </c>
      <c r="AW468" t="s">
        <v>2829</v>
      </c>
      <c r="AX468" t="s">
        <v>2829</v>
      </c>
      <c r="AY468" t="s">
        <v>2829</v>
      </c>
      <c r="AZ468" t="s">
        <v>2829</v>
      </c>
      <c r="BA468" t="s">
        <v>2829</v>
      </c>
      <c r="BB468" t="s">
        <v>2829</v>
      </c>
      <c r="BC468" t="s">
        <v>2829</v>
      </c>
      <c r="BD468" t="s">
        <v>4277</v>
      </c>
      <c r="BE468" t="s">
        <v>4277</v>
      </c>
      <c r="BF468" t="s">
        <v>243</v>
      </c>
      <c r="BG468" t="s">
        <v>243</v>
      </c>
      <c r="BH468" t="s">
        <v>243</v>
      </c>
      <c r="BI468" t="s">
        <v>243</v>
      </c>
      <c r="BJ468" t="s">
        <v>2829</v>
      </c>
      <c r="BK468" t="s">
        <v>243</v>
      </c>
      <c r="BL468" t="s">
        <v>243</v>
      </c>
      <c r="BM468" t="s">
        <v>243</v>
      </c>
      <c r="BN468" t="s">
        <v>243</v>
      </c>
      <c r="BO468" t="s">
        <v>243</v>
      </c>
      <c r="BP468" t="s">
        <v>2829</v>
      </c>
      <c r="BQ468" t="s">
        <v>243</v>
      </c>
      <c r="BR468" t="s">
        <v>243</v>
      </c>
      <c r="BS468" t="s">
        <v>243</v>
      </c>
      <c r="BT468" t="s">
        <v>243</v>
      </c>
      <c r="BU468" t="s">
        <v>243</v>
      </c>
      <c r="BV468" t="s">
        <v>2829</v>
      </c>
      <c r="BW468" t="s">
        <v>243</v>
      </c>
      <c r="BX468" t="s">
        <v>243</v>
      </c>
      <c r="BY468" t="s">
        <v>243</v>
      </c>
      <c r="BZ468" t="s">
        <v>243</v>
      </c>
      <c r="CA468" t="s">
        <v>243</v>
      </c>
      <c r="CB468" t="s">
        <v>2829</v>
      </c>
      <c r="CC468" t="s">
        <v>243</v>
      </c>
      <c r="CD468" t="s">
        <v>243</v>
      </c>
      <c r="CE468" t="s">
        <v>243</v>
      </c>
      <c r="CF468" t="s">
        <v>243</v>
      </c>
      <c r="CG468" t="s">
        <v>243</v>
      </c>
      <c r="CH468" t="s">
        <v>2829</v>
      </c>
      <c r="CI468" t="s">
        <v>243</v>
      </c>
      <c r="CJ468" t="s">
        <v>243</v>
      </c>
      <c r="CK468" t="s">
        <v>243</v>
      </c>
      <c r="CL468" t="s">
        <v>243</v>
      </c>
      <c r="CM468" t="s">
        <v>243</v>
      </c>
      <c r="CN468" t="s">
        <v>2960</v>
      </c>
      <c r="CO468" t="s">
        <v>2843</v>
      </c>
      <c r="CP468" t="s">
        <v>2844</v>
      </c>
      <c r="CQ468" t="s">
        <v>430</v>
      </c>
      <c r="CR468" t="s">
        <v>2845</v>
      </c>
      <c r="CS468" t="s">
        <v>431</v>
      </c>
      <c r="CT468" t="s">
        <v>430</v>
      </c>
      <c r="CU468" t="s">
        <v>2846</v>
      </c>
      <c r="CV468" t="s">
        <v>2847</v>
      </c>
      <c r="CW468" t="s">
        <v>2845</v>
      </c>
      <c r="CX468" t="s">
        <v>2848</v>
      </c>
      <c r="CY468" t="s">
        <v>4278</v>
      </c>
    </row>
    <row r="469" spans="1:103" ht="11.25" customHeight="1">
      <c r="A469" t="s">
        <v>243</v>
      </c>
      <c r="B469" t="s">
        <v>243</v>
      </c>
      <c r="C469" t="s">
        <v>243</v>
      </c>
      <c r="D469" t="s">
        <v>243</v>
      </c>
      <c r="E469" t="s">
        <v>243</v>
      </c>
      <c r="F469" t="s">
        <v>2816</v>
      </c>
      <c r="G469" t="s">
        <v>243</v>
      </c>
      <c r="H469" t="s">
        <v>243</v>
      </c>
      <c r="I469" t="s">
        <v>4279</v>
      </c>
      <c r="J469" t="s">
        <v>243</v>
      </c>
      <c r="K469" t="s">
        <v>3507</v>
      </c>
      <c r="L469" t="s">
        <v>243</v>
      </c>
      <c r="M469" t="s">
        <v>114</v>
      </c>
      <c r="N469" t="s">
        <v>243</v>
      </c>
      <c r="O469" t="s">
        <v>2819</v>
      </c>
      <c r="P469" t="s">
        <v>4448</v>
      </c>
      <c r="Q469" t="s">
        <v>2821</v>
      </c>
      <c r="R469" t="s">
        <v>200</v>
      </c>
      <c r="S469" t="s">
        <v>200</v>
      </c>
      <c r="T469" t="s">
        <v>2968</v>
      </c>
      <c r="U469" t="s">
        <v>2968</v>
      </c>
      <c r="V469" t="s">
        <v>2969</v>
      </c>
      <c r="W469" t="s">
        <v>4280</v>
      </c>
      <c r="X469" t="s">
        <v>4281</v>
      </c>
      <c r="Y469" t="s">
        <v>3026</v>
      </c>
      <c r="Z469" t="s">
        <v>4282</v>
      </c>
      <c r="AA469" t="s">
        <v>2995</v>
      </c>
      <c r="AB469" t="s">
        <v>3511</v>
      </c>
      <c r="AC469" t="s">
        <v>2829</v>
      </c>
      <c r="AD469" t="s">
        <v>2883</v>
      </c>
      <c r="AE469" t="s">
        <v>2857</v>
      </c>
      <c r="AF469" t="s">
        <v>4283</v>
      </c>
      <c r="AG469" t="s">
        <v>4283</v>
      </c>
      <c r="AH469" t="s">
        <v>2834</v>
      </c>
      <c r="AI469" t="s">
        <v>2835</v>
      </c>
      <c r="AJ469" t="s">
        <v>3010</v>
      </c>
      <c r="AK469" t="s">
        <v>3587</v>
      </c>
      <c r="AL469" t="s">
        <v>2995</v>
      </c>
      <c r="AM469" t="s">
        <v>3511</v>
      </c>
      <c r="AN469" t="s">
        <v>2829</v>
      </c>
      <c r="AO469" t="s">
        <v>2839</v>
      </c>
      <c r="AP469" t="s">
        <v>2840</v>
      </c>
      <c r="AQ469" t="s">
        <v>2841</v>
      </c>
      <c r="AR469" t="s">
        <v>3350</v>
      </c>
      <c r="AS469" t="s">
        <v>3350</v>
      </c>
      <c r="AT469" t="s">
        <v>2829</v>
      </c>
      <c r="AU469" t="s">
        <v>2829</v>
      </c>
      <c r="AV469" t="s">
        <v>2829</v>
      </c>
      <c r="AW469" t="s">
        <v>2829</v>
      </c>
      <c r="AX469" t="s">
        <v>2829</v>
      </c>
      <c r="AY469" t="s">
        <v>2829</v>
      </c>
      <c r="AZ469" t="s">
        <v>2829</v>
      </c>
      <c r="BA469" t="s">
        <v>2829</v>
      </c>
      <c r="BB469" t="s">
        <v>2829</v>
      </c>
      <c r="BC469" t="s">
        <v>2829</v>
      </c>
      <c r="BD469" t="s">
        <v>2829</v>
      </c>
      <c r="BE469" t="s">
        <v>243</v>
      </c>
      <c r="BF469" t="s">
        <v>243</v>
      </c>
      <c r="BG469" t="s">
        <v>243</v>
      </c>
      <c r="BH469" t="s">
        <v>243</v>
      </c>
      <c r="BI469" t="s">
        <v>243</v>
      </c>
      <c r="BJ469" t="s">
        <v>2829</v>
      </c>
      <c r="BK469" t="s">
        <v>243</v>
      </c>
      <c r="BL469" t="s">
        <v>243</v>
      </c>
      <c r="BM469" t="s">
        <v>243</v>
      </c>
      <c r="BN469" t="s">
        <v>243</v>
      </c>
      <c r="BO469" t="s">
        <v>243</v>
      </c>
      <c r="BP469" t="s">
        <v>3350</v>
      </c>
      <c r="BQ469" t="s">
        <v>3350</v>
      </c>
      <c r="BR469" t="s">
        <v>243</v>
      </c>
      <c r="BS469" t="s">
        <v>243</v>
      </c>
      <c r="BT469" t="s">
        <v>243</v>
      </c>
      <c r="BU469" t="s">
        <v>243</v>
      </c>
      <c r="BV469" t="s">
        <v>2829</v>
      </c>
      <c r="BW469" t="s">
        <v>243</v>
      </c>
      <c r="BX469" t="s">
        <v>243</v>
      </c>
      <c r="BY469" t="s">
        <v>243</v>
      </c>
      <c r="BZ469" t="s">
        <v>243</v>
      </c>
      <c r="CA469" t="s">
        <v>243</v>
      </c>
      <c r="CB469" t="s">
        <v>2829</v>
      </c>
      <c r="CC469" t="s">
        <v>243</v>
      </c>
      <c r="CD469" t="s">
        <v>243</v>
      </c>
      <c r="CE469" t="s">
        <v>243</v>
      </c>
      <c r="CF469" t="s">
        <v>243</v>
      </c>
      <c r="CG469" t="s">
        <v>243</v>
      </c>
      <c r="CH469" t="s">
        <v>2829</v>
      </c>
      <c r="CI469" t="s">
        <v>243</v>
      </c>
      <c r="CJ469" t="s">
        <v>243</v>
      </c>
      <c r="CK469" t="s">
        <v>243</v>
      </c>
      <c r="CL469" t="s">
        <v>243</v>
      </c>
      <c r="CM469" t="s">
        <v>243</v>
      </c>
      <c r="CN469" t="s">
        <v>3010</v>
      </c>
      <c r="CO469" t="s">
        <v>2843</v>
      </c>
      <c r="CP469" t="s">
        <v>2844</v>
      </c>
      <c r="CQ469" t="s">
        <v>430</v>
      </c>
      <c r="CR469" t="s">
        <v>2984</v>
      </c>
      <c r="CS469" t="s">
        <v>431</v>
      </c>
      <c r="CT469" t="s">
        <v>430</v>
      </c>
      <c r="CU469" t="s">
        <v>2985</v>
      </c>
      <c r="CV469" t="s">
        <v>2986</v>
      </c>
      <c r="CW469" t="s">
        <v>2984</v>
      </c>
      <c r="CX469" t="s">
        <v>2848</v>
      </c>
      <c r="CY469" t="s">
        <v>4284</v>
      </c>
    </row>
    <row r="470" spans="1:103" ht="11.25" customHeight="1">
      <c r="A470" t="s">
        <v>243</v>
      </c>
      <c r="B470" t="s">
        <v>243</v>
      </c>
      <c r="C470" t="s">
        <v>243</v>
      </c>
      <c r="D470" t="s">
        <v>243</v>
      </c>
      <c r="E470" t="s">
        <v>243</v>
      </c>
      <c r="F470" t="s">
        <v>2816</v>
      </c>
      <c r="G470" t="s">
        <v>243</v>
      </c>
      <c r="H470" t="s">
        <v>243</v>
      </c>
      <c r="I470" t="s">
        <v>3666</v>
      </c>
      <c r="J470" t="s">
        <v>243</v>
      </c>
      <c r="K470" t="s">
        <v>3667</v>
      </c>
      <c r="L470" t="s">
        <v>243</v>
      </c>
      <c r="M470" t="s">
        <v>114</v>
      </c>
      <c r="N470" t="s">
        <v>243</v>
      </c>
      <c r="O470" t="s">
        <v>2819</v>
      </c>
      <c r="P470" t="s">
        <v>4448</v>
      </c>
      <c r="Q470" t="s">
        <v>2821</v>
      </c>
      <c r="R470" t="s">
        <v>200</v>
      </c>
      <c r="S470" t="s">
        <v>200</v>
      </c>
      <c r="T470" t="s">
        <v>3022</v>
      </c>
      <c r="U470" t="s">
        <v>3022</v>
      </c>
      <c r="V470" t="s">
        <v>3023</v>
      </c>
      <c r="W470" t="s">
        <v>3668</v>
      </c>
      <c r="X470" t="s">
        <v>3669</v>
      </c>
      <c r="Y470" t="s">
        <v>3584</v>
      </c>
      <c r="Z470" t="s">
        <v>3670</v>
      </c>
      <c r="AA470" t="s">
        <v>3671</v>
      </c>
      <c r="AB470" t="s">
        <v>3672</v>
      </c>
      <c r="AC470" t="s">
        <v>2829</v>
      </c>
      <c r="AD470" t="s">
        <v>2883</v>
      </c>
      <c r="AE470" t="s">
        <v>2831</v>
      </c>
      <c r="AF470" t="s">
        <v>3482</v>
      </c>
      <c r="AG470" t="s">
        <v>3482</v>
      </c>
      <c r="AH470" t="s">
        <v>2834</v>
      </c>
      <c r="AI470" t="s">
        <v>2835</v>
      </c>
      <c r="AJ470" t="s">
        <v>3030</v>
      </c>
      <c r="AK470" t="s">
        <v>3673</v>
      </c>
      <c r="AL470" t="s">
        <v>3671</v>
      </c>
      <c r="AM470" t="s">
        <v>3672</v>
      </c>
      <c r="AN470" t="s">
        <v>2829</v>
      </c>
      <c r="AO470" t="s">
        <v>2839</v>
      </c>
      <c r="AP470" t="s">
        <v>2840</v>
      </c>
      <c r="AQ470" t="s">
        <v>2841</v>
      </c>
      <c r="AR470" t="s">
        <v>3674</v>
      </c>
      <c r="AS470" t="s">
        <v>3674</v>
      </c>
      <c r="AT470" t="s">
        <v>2829</v>
      </c>
      <c r="AU470" t="s">
        <v>2829</v>
      </c>
      <c r="AV470" t="s">
        <v>2829</v>
      </c>
      <c r="AW470" t="s">
        <v>2829</v>
      </c>
      <c r="AX470" t="s">
        <v>2829</v>
      </c>
      <c r="AY470" t="s">
        <v>2829</v>
      </c>
      <c r="AZ470" t="s">
        <v>2829</v>
      </c>
      <c r="BA470" t="s">
        <v>2829</v>
      </c>
      <c r="BB470" t="s">
        <v>2829</v>
      </c>
      <c r="BC470" t="s">
        <v>2829</v>
      </c>
      <c r="BD470" t="s">
        <v>2829</v>
      </c>
      <c r="BE470" t="s">
        <v>243</v>
      </c>
      <c r="BF470" t="s">
        <v>243</v>
      </c>
      <c r="BG470" t="s">
        <v>243</v>
      </c>
      <c r="BH470" t="s">
        <v>243</v>
      </c>
      <c r="BI470" t="s">
        <v>243</v>
      </c>
      <c r="BJ470" t="s">
        <v>2829</v>
      </c>
      <c r="BK470" t="s">
        <v>243</v>
      </c>
      <c r="BL470" t="s">
        <v>243</v>
      </c>
      <c r="BM470" t="s">
        <v>243</v>
      </c>
      <c r="BN470" t="s">
        <v>243</v>
      </c>
      <c r="BO470" t="s">
        <v>243</v>
      </c>
      <c r="BP470" t="s">
        <v>3674</v>
      </c>
      <c r="BQ470" t="s">
        <v>3674</v>
      </c>
      <c r="BR470" t="s">
        <v>243</v>
      </c>
      <c r="BS470" t="s">
        <v>243</v>
      </c>
      <c r="BT470" t="s">
        <v>243</v>
      </c>
      <c r="BU470" t="s">
        <v>243</v>
      </c>
      <c r="BV470" t="s">
        <v>2829</v>
      </c>
      <c r="BW470" t="s">
        <v>243</v>
      </c>
      <c r="BX470" t="s">
        <v>243</v>
      </c>
      <c r="BY470" t="s">
        <v>243</v>
      </c>
      <c r="BZ470" t="s">
        <v>243</v>
      </c>
      <c r="CA470" t="s">
        <v>243</v>
      </c>
      <c r="CB470" t="s">
        <v>2829</v>
      </c>
      <c r="CC470" t="s">
        <v>243</v>
      </c>
      <c r="CD470" t="s">
        <v>243</v>
      </c>
      <c r="CE470" t="s">
        <v>243</v>
      </c>
      <c r="CF470" t="s">
        <v>243</v>
      </c>
      <c r="CG470" t="s">
        <v>243</v>
      </c>
      <c r="CH470" t="s">
        <v>2829</v>
      </c>
      <c r="CI470" t="s">
        <v>243</v>
      </c>
      <c r="CJ470" t="s">
        <v>243</v>
      </c>
      <c r="CK470" t="s">
        <v>243</v>
      </c>
      <c r="CL470" t="s">
        <v>243</v>
      </c>
      <c r="CM470" t="s">
        <v>243</v>
      </c>
      <c r="CN470" t="s">
        <v>3030</v>
      </c>
      <c r="CO470" t="s">
        <v>2843</v>
      </c>
      <c r="CP470" t="s">
        <v>2844</v>
      </c>
      <c r="CQ470" t="s">
        <v>430</v>
      </c>
      <c r="CR470" t="s">
        <v>3033</v>
      </c>
      <c r="CS470" t="s">
        <v>431</v>
      </c>
      <c r="CT470" t="s">
        <v>430</v>
      </c>
      <c r="CU470" t="s">
        <v>3034</v>
      </c>
      <c r="CV470" t="s">
        <v>432</v>
      </c>
      <c r="CW470" t="s">
        <v>3033</v>
      </c>
      <c r="CX470" t="s">
        <v>2848</v>
      </c>
      <c r="CY470" t="s">
        <v>3675</v>
      </c>
    </row>
    <row r="471" spans="1:103" ht="11.25" customHeight="1">
      <c r="A471" t="s">
        <v>243</v>
      </c>
      <c r="B471" t="s">
        <v>243</v>
      </c>
      <c r="C471" t="s">
        <v>243</v>
      </c>
      <c r="D471" t="s">
        <v>243</v>
      </c>
      <c r="E471" t="s">
        <v>243</v>
      </c>
      <c r="F471" t="s">
        <v>2816</v>
      </c>
      <c r="G471" t="s">
        <v>243</v>
      </c>
      <c r="H471" t="s">
        <v>243</v>
      </c>
      <c r="I471" t="s">
        <v>3676</v>
      </c>
      <c r="J471" t="s">
        <v>243</v>
      </c>
      <c r="K471" t="s">
        <v>3677</v>
      </c>
      <c r="L471" t="s">
        <v>243</v>
      </c>
      <c r="M471" t="s">
        <v>114</v>
      </c>
      <c r="N471" t="s">
        <v>243</v>
      </c>
      <c r="O471" t="s">
        <v>2819</v>
      </c>
      <c r="P471" t="s">
        <v>4448</v>
      </c>
      <c r="Q471" t="s">
        <v>2821</v>
      </c>
      <c r="R471" t="s">
        <v>200</v>
      </c>
      <c r="S471" t="s">
        <v>200</v>
      </c>
      <c r="T471" t="s">
        <v>3022</v>
      </c>
      <c r="U471" t="s">
        <v>3022</v>
      </c>
      <c r="V471" t="s">
        <v>3023</v>
      </c>
      <c r="W471" t="s">
        <v>3678</v>
      </c>
      <c r="X471" t="s">
        <v>3679</v>
      </c>
      <c r="Y471" t="s">
        <v>3680</v>
      </c>
      <c r="Z471" t="s">
        <v>3681</v>
      </c>
      <c r="AA471" t="s">
        <v>3095</v>
      </c>
      <c r="AB471" t="s">
        <v>3631</v>
      </c>
      <c r="AC471" t="s">
        <v>2829</v>
      </c>
      <c r="AD471" t="s">
        <v>2883</v>
      </c>
      <c r="AE471" t="s">
        <v>2831</v>
      </c>
      <c r="AF471" t="s">
        <v>3682</v>
      </c>
      <c r="AG471" t="s">
        <v>3682</v>
      </c>
      <c r="AH471" t="s">
        <v>2834</v>
      </c>
      <c r="AI471" t="s">
        <v>2835</v>
      </c>
      <c r="AJ471" t="s">
        <v>3030</v>
      </c>
      <c r="AK471" t="s">
        <v>3131</v>
      </c>
      <c r="AL471" t="s">
        <v>3095</v>
      </c>
      <c r="AM471" t="s">
        <v>3631</v>
      </c>
      <c r="AN471" t="s">
        <v>2829</v>
      </c>
      <c r="AO471" t="s">
        <v>2839</v>
      </c>
      <c r="AP471" t="s">
        <v>2840</v>
      </c>
      <c r="AQ471" t="s">
        <v>2841</v>
      </c>
      <c r="AR471" t="s">
        <v>3683</v>
      </c>
      <c r="AS471" t="s">
        <v>3683</v>
      </c>
      <c r="AT471" t="s">
        <v>2829</v>
      </c>
      <c r="AU471" t="s">
        <v>2829</v>
      </c>
      <c r="AV471" t="s">
        <v>2829</v>
      </c>
      <c r="AW471" t="s">
        <v>2829</v>
      </c>
      <c r="AX471" t="s">
        <v>2829</v>
      </c>
      <c r="AY471" t="s">
        <v>2829</v>
      </c>
      <c r="AZ471" t="s">
        <v>2829</v>
      </c>
      <c r="BA471" t="s">
        <v>2829</v>
      </c>
      <c r="BB471" t="s">
        <v>2829</v>
      </c>
      <c r="BC471" t="s">
        <v>2829</v>
      </c>
      <c r="BD471" t="s">
        <v>2829</v>
      </c>
      <c r="BE471" t="s">
        <v>243</v>
      </c>
      <c r="BF471" t="s">
        <v>243</v>
      </c>
      <c r="BG471" t="s">
        <v>243</v>
      </c>
      <c r="BH471" t="s">
        <v>243</v>
      </c>
      <c r="BI471" t="s">
        <v>243</v>
      </c>
      <c r="BJ471" t="s">
        <v>2829</v>
      </c>
      <c r="BK471" t="s">
        <v>243</v>
      </c>
      <c r="BL471" t="s">
        <v>243</v>
      </c>
      <c r="BM471" t="s">
        <v>243</v>
      </c>
      <c r="BN471" t="s">
        <v>243</v>
      </c>
      <c r="BO471" t="s">
        <v>243</v>
      </c>
      <c r="BP471" t="s">
        <v>3683</v>
      </c>
      <c r="BQ471" t="s">
        <v>3683</v>
      </c>
      <c r="BR471" t="s">
        <v>243</v>
      </c>
      <c r="BS471" t="s">
        <v>243</v>
      </c>
      <c r="BT471" t="s">
        <v>243</v>
      </c>
      <c r="BU471" t="s">
        <v>243</v>
      </c>
      <c r="BV471" t="s">
        <v>2829</v>
      </c>
      <c r="BW471" t="s">
        <v>243</v>
      </c>
      <c r="BX471" t="s">
        <v>243</v>
      </c>
      <c r="BY471" t="s">
        <v>243</v>
      </c>
      <c r="BZ471" t="s">
        <v>243</v>
      </c>
      <c r="CA471" t="s">
        <v>243</v>
      </c>
      <c r="CB471" t="s">
        <v>2829</v>
      </c>
      <c r="CC471" t="s">
        <v>243</v>
      </c>
      <c r="CD471" t="s">
        <v>243</v>
      </c>
      <c r="CE471" t="s">
        <v>243</v>
      </c>
      <c r="CF471" t="s">
        <v>243</v>
      </c>
      <c r="CG471" t="s">
        <v>243</v>
      </c>
      <c r="CH471" t="s">
        <v>2829</v>
      </c>
      <c r="CI471" t="s">
        <v>243</v>
      </c>
      <c r="CJ471" t="s">
        <v>243</v>
      </c>
      <c r="CK471" t="s">
        <v>243</v>
      </c>
      <c r="CL471" t="s">
        <v>243</v>
      </c>
      <c r="CM471" t="s">
        <v>243</v>
      </c>
      <c r="CN471" t="s">
        <v>3044</v>
      </c>
      <c r="CO471" t="s">
        <v>2843</v>
      </c>
      <c r="CP471" t="s">
        <v>2844</v>
      </c>
      <c r="CQ471" t="s">
        <v>430</v>
      </c>
      <c r="CR471" t="s">
        <v>3033</v>
      </c>
      <c r="CS471" t="s">
        <v>431</v>
      </c>
      <c r="CT471" t="s">
        <v>430</v>
      </c>
      <c r="CU471" t="s">
        <v>3034</v>
      </c>
      <c r="CV471" t="s">
        <v>432</v>
      </c>
      <c r="CW471" t="s">
        <v>3033</v>
      </c>
      <c r="CX471" t="s">
        <v>2848</v>
      </c>
      <c r="CY471" t="s">
        <v>3684</v>
      </c>
    </row>
    <row r="472" spans="1:103" ht="11.25" customHeight="1">
      <c r="A472" t="s">
        <v>243</v>
      </c>
      <c r="B472" t="s">
        <v>243</v>
      </c>
      <c r="C472" t="s">
        <v>243</v>
      </c>
      <c r="D472" t="s">
        <v>243</v>
      </c>
      <c r="E472" t="s">
        <v>243</v>
      </c>
      <c r="F472" t="s">
        <v>2816</v>
      </c>
      <c r="G472" t="s">
        <v>243</v>
      </c>
      <c r="H472" t="s">
        <v>243</v>
      </c>
      <c r="I472" t="s">
        <v>3879</v>
      </c>
      <c r="J472" t="s">
        <v>243</v>
      </c>
      <c r="K472" t="s">
        <v>452</v>
      </c>
      <c r="L472" t="s">
        <v>243</v>
      </c>
      <c r="M472" t="s">
        <v>114</v>
      </c>
      <c r="N472" t="s">
        <v>243</v>
      </c>
      <c r="O472" t="s">
        <v>2819</v>
      </c>
      <c r="P472" t="s">
        <v>4448</v>
      </c>
      <c r="Q472" t="s">
        <v>2821</v>
      </c>
      <c r="R472" t="s">
        <v>200</v>
      </c>
      <c r="S472" t="s">
        <v>200</v>
      </c>
      <c r="T472" t="s">
        <v>3048</v>
      </c>
      <c r="U472" t="s">
        <v>3048</v>
      </c>
      <c r="V472" t="s">
        <v>3049</v>
      </c>
      <c r="W472" t="s">
        <v>3050</v>
      </c>
      <c r="X472" t="s">
        <v>3051</v>
      </c>
      <c r="Y472" t="s">
        <v>3880</v>
      </c>
      <c r="Z472" t="s">
        <v>3202</v>
      </c>
      <c r="AA472" t="s">
        <v>3313</v>
      </c>
      <c r="AB472" t="s">
        <v>3881</v>
      </c>
      <c r="AC472" t="s">
        <v>2829</v>
      </c>
      <c r="AD472" t="s">
        <v>2883</v>
      </c>
      <c r="AE472" t="s">
        <v>2831</v>
      </c>
      <c r="AF472" t="s">
        <v>3055</v>
      </c>
      <c r="AG472" t="s">
        <v>3055</v>
      </c>
      <c r="AH472" t="s">
        <v>2834</v>
      </c>
      <c r="AI472" t="s">
        <v>2835</v>
      </c>
      <c r="AJ472" t="s">
        <v>3314</v>
      </c>
      <c r="AK472" t="s">
        <v>3882</v>
      </c>
      <c r="AL472" t="s">
        <v>3313</v>
      </c>
      <c r="AM472" t="s">
        <v>3881</v>
      </c>
      <c r="AN472" t="s">
        <v>2829</v>
      </c>
      <c r="AO472" t="s">
        <v>2839</v>
      </c>
      <c r="AP472" t="s">
        <v>2840</v>
      </c>
      <c r="AQ472" t="s">
        <v>2841</v>
      </c>
      <c r="AR472" t="s">
        <v>3883</v>
      </c>
      <c r="AS472" t="s">
        <v>3883</v>
      </c>
      <c r="AT472" t="s">
        <v>2829</v>
      </c>
      <c r="AU472" t="s">
        <v>2829</v>
      </c>
      <c r="AV472" t="s">
        <v>2829</v>
      </c>
      <c r="AW472" t="s">
        <v>2829</v>
      </c>
      <c r="AX472" t="s">
        <v>2829</v>
      </c>
      <c r="AY472" t="s">
        <v>2829</v>
      </c>
      <c r="AZ472" t="s">
        <v>2829</v>
      </c>
      <c r="BA472" t="s">
        <v>2829</v>
      </c>
      <c r="BB472" t="s">
        <v>2829</v>
      </c>
      <c r="BC472" t="s">
        <v>2829</v>
      </c>
      <c r="BD472" t="s">
        <v>3883</v>
      </c>
      <c r="BE472" t="s">
        <v>3883</v>
      </c>
      <c r="BF472" t="s">
        <v>243</v>
      </c>
      <c r="BG472" t="s">
        <v>243</v>
      </c>
      <c r="BH472" t="s">
        <v>243</v>
      </c>
      <c r="BI472" t="s">
        <v>243</v>
      </c>
      <c r="BJ472" t="s">
        <v>2829</v>
      </c>
      <c r="BK472" t="s">
        <v>243</v>
      </c>
      <c r="BL472" t="s">
        <v>243</v>
      </c>
      <c r="BM472" t="s">
        <v>243</v>
      </c>
      <c r="BN472" t="s">
        <v>243</v>
      </c>
      <c r="BO472" t="s">
        <v>243</v>
      </c>
      <c r="BP472" t="s">
        <v>2829</v>
      </c>
      <c r="BQ472" t="s">
        <v>243</v>
      </c>
      <c r="BR472" t="s">
        <v>243</v>
      </c>
      <c r="BS472" t="s">
        <v>243</v>
      </c>
      <c r="BT472" t="s">
        <v>243</v>
      </c>
      <c r="BU472" t="s">
        <v>243</v>
      </c>
      <c r="BV472" t="s">
        <v>2829</v>
      </c>
      <c r="BW472" t="s">
        <v>243</v>
      </c>
      <c r="BX472" t="s">
        <v>243</v>
      </c>
      <c r="BY472" t="s">
        <v>243</v>
      </c>
      <c r="BZ472" t="s">
        <v>243</v>
      </c>
      <c r="CA472" t="s">
        <v>243</v>
      </c>
      <c r="CB472" t="s">
        <v>2829</v>
      </c>
      <c r="CC472" t="s">
        <v>243</v>
      </c>
      <c r="CD472" t="s">
        <v>243</v>
      </c>
      <c r="CE472" t="s">
        <v>243</v>
      </c>
      <c r="CF472" t="s">
        <v>243</v>
      </c>
      <c r="CG472" t="s">
        <v>243</v>
      </c>
      <c r="CH472" t="s">
        <v>2829</v>
      </c>
      <c r="CI472" t="s">
        <v>243</v>
      </c>
      <c r="CJ472" t="s">
        <v>243</v>
      </c>
      <c r="CK472" t="s">
        <v>243</v>
      </c>
      <c r="CL472" t="s">
        <v>243</v>
      </c>
      <c r="CM472" t="s">
        <v>243</v>
      </c>
      <c r="CN472" t="s">
        <v>3884</v>
      </c>
      <c r="CO472" t="s">
        <v>2843</v>
      </c>
      <c r="CP472" t="s">
        <v>2844</v>
      </c>
      <c r="CQ472" t="s">
        <v>470</v>
      </c>
      <c r="CR472" t="s">
        <v>2872</v>
      </c>
      <c r="CS472" t="s">
        <v>431</v>
      </c>
      <c r="CT472" t="s">
        <v>470</v>
      </c>
      <c r="CU472" t="s">
        <v>3061</v>
      </c>
      <c r="CV472" t="s">
        <v>3062</v>
      </c>
      <c r="CW472" t="s">
        <v>2872</v>
      </c>
      <c r="CX472" t="s">
        <v>2848</v>
      </c>
      <c r="CY472" t="s">
        <v>3885</v>
      </c>
    </row>
    <row r="473" spans="1:103" ht="11.25" customHeight="1">
      <c r="A473" t="s">
        <v>243</v>
      </c>
      <c r="B473" t="s">
        <v>243</v>
      </c>
      <c r="C473" t="s">
        <v>243</v>
      </c>
      <c r="D473" t="s">
        <v>243</v>
      </c>
      <c r="E473" t="s">
        <v>243</v>
      </c>
      <c r="F473" t="s">
        <v>2816</v>
      </c>
      <c r="G473" t="s">
        <v>243</v>
      </c>
      <c r="H473" t="s">
        <v>243</v>
      </c>
      <c r="I473" t="s">
        <v>4254</v>
      </c>
      <c r="J473" t="s">
        <v>243</v>
      </c>
      <c r="K473" t="s">
        <v>4166</v>
      </c>
      <c r="L473" t="s">
        <v>243</v>
      </c>
      <c r="M473" t="s">
        <v>114</v>
      </c>
      <c r="N473" t="s">
        <v>243</v>
      </c>
      <c r="O473" t="s">
        <v>2819</v>
      </c>
      <c r="P473" t="s">
        <v>4448</v>
      </c>
      <c r="Q473" t="s">
        <v>2821</v>
      </c>
      <c r="R473" t="s">
        <v>200</v>
      </c>
      <c r="S473" t="s">
        <v>200</v>
      </c>
      <c r="T473" t="s">
        <v>3048</v>
      </c>
      <c r="U473" t="s">
        <v>3048</v>
      </c>
      <c r="V473" t="s">
        <v>3049</v>
      </c>
      <c r="W473" t="s">
        <v>3050</v>
      </c>
      <c r="X473" t="s">
        <v>3051</v>
      </c>
      <c r="Y473" t="s">
        <v>3026</v>
      </c>
      <c r="Z473" t="s">
        <v>4255</v>
      </c>
      <c r="AA473" t="s">
        <v>4256</v>
      </c>
      <c r="AB473" t="s">
        <v>4257</v>
      </c>
      <c r="AC473" t="s">
        <v>2829</v>
      </c>
      <c r="AD473" t="s">
        <v>2883</v>
      </c>
      <c r="AE473" t="s">
        <v>2831</v>
      </c>
      <c r="AF473" t="s">
        <v>3055</v>
      </c>
      <c r="AG473" t="s">
        <v>3055</v>
      </c>
      <c r="AH473" t="s">
        <v>2834</v>
      </c>
      <c r="AI473" t="s">
        <v>2835</v>
      </c>
      <c r="AJ473" t="s">
        <v>3176</v>
      </c>
      <c r="AK473" t="s">
        <v>3070</v>
      </c>
      <c r="AL473" t="s">
        <v>4256</v>
      </c>
      <c r="AM473" t="s">
        <v>2995</v>
      </c>
      <c r="AN473" t="s">
        <v>2829</v>
      </c>
      <c r="AO473" t="s">
        <v>2839</v>
      </c>
      <c r="AP473" t="s">
        <v>2840</v>
      </c>
      <c r="AQ473" t="s">
        <v>2841</v>
      </c>
      <c r="AR473" t="s">
        <v>3278</v>
      </c>
      <c r="AS473" t="s">
        <v>3278</v>
      </c>
      <c r="AT473" t="s">
        <v>2829</v>
      </c>
      <c r="AU473" t="s">
        <v>2829</v>
      </c>
      <c r="AV473" t="s">
        <v>2829</v>
      </c>
      <c r="AW473" t="s">
        <v>2829</v>
      </c>
      <c r="AX473" t="s">
        <v>2829</v>
      </c>
      <c r="AY473" t="s">
        <v>2829</v>
      </c>
      <c r="AZ473" t="s">
        <v>2829</v>
      </c>
      <c r="BA473" t="s">
        <v>2829</v>
      </c>
      <c r="BB473" t="s">
        <v>2829</v>
      </c>
      <c r="BC473" t="s">
        <v>2829</v>
      </c>
      <c r="BD473" t="s">
        <v>3278</v>
      </c>
      <c r="BE473" t="s">
        <v>3278</v>
      </c>
      <c r="BF473" t="s">
        <v>243</v>
      </c>
      <c r="BG473" t="s">
        <v>243</v>
      </c>
      <c r="BH473" t="s">
        <v>243</v>
      </c>
      <c r="BI473" t="s">
        <v>243</v>
      </c>
      <c r="BJ473" t="s">
        <v>2829</v>
      </c>
      <c r="BK473" t="s">
        <v>243</v>
      </c>
      <c r="BL473" t="s">
        <v>243</v>
      </c>
      <c r="BM473" t="s">
        <v>243</v>
      </c>
      <c r="BN473" t="s">
        <v>243</v>
      </c>
      <c r="BO473" t="s">
        <v>243</v>
      </c>
      <c r="BP473" t="s">
        <v>2829</v>
      </c>
      <c r="BQ473" t="s">
        <v>243</v>
      </c>
      <c r="BR473" t="s">
        <v>243</v>
      </c>
      <c r="BS473" t="s">
        <v>243</v>
      </c>
      <c r="BT473" t="s">
        <v>243</v>
      </c>
      <c r="BU473" t="s">
        <v>243</v>
      </c>
      <c r="BV473" t="s">
        <v>2829</v>
      </c>
      <c r="BW473" t="s">
        <v>243</v>
      </c>
      <c r="BX473" t="s">
        <v>243</v>
      </c>
      <c r="BY473" t="s">
        <v>243</v>
      </c>
      <c r="BZ473" t="s">
        <v>243</v>
      </c>
      <c r="CA473" t="s">
        <v>243</v>
      </c>
      <c r="CB473" t="s">
        <v>2829</v>
      </c>
      <c r="CC473" t="s">
        <v>243</v>
      </c>
      <c r="CD473" t="s">
        <v>243</v>
      </c>
      <c r="CE473" t="s">
        <v>243</v>
      </c>
      <c r="CF473" t="s">
        <v>243</v>
      </c>
      <c r="CG473" t="s">
        <v>243</v>
      </c>
      <c r="CH473" t="s">
        <v>2829</v>
      </c>
      <c r="CI473" t="s">
        <v>243</v>
      </c>
      <c r="CJ473" t="s">
        <v>243</v>
      </c>
      <c r="CK473" t="s">
        <v>243</v>
      </c>
      <c r="CL473" t="s">
        <v>243</v>
      </c>
      <c r="CM473" t="s">
        <v>243</v>
      </c>
      <c r="CN473" t="s">
        <v>2942</v>
      </c>
      <c r="CO473" t="s">
        <v>2843</v>
      </c>
      <c r="CP473" t="s">
        <v>2844</v>
      </c>
      <c r="CQ473" t="s">
        <v>470</v>
      </c>
      <c r="CR473" t="s">
        <v>2872</v>
      </c>
      <c r="CS473" t="s">
        <v>431</v>
      </c>
      <c r="CT473" t="s">
        <v>470</v>
      </c>
      <c r="CU473" t="s">
        <v>3061</v>
      </c>
      <c r="CV473" t="s">
        <v>3062</v>
      </c>
      <c r="CW473" t="s">
        <v>2872</v>
      </c>
      <c r="CX473" t="s">
        <v>2848</v>
      </c>
      <c r="CY473" t="s">
        <v>4258</v>
      </c>
    </row>
    <row r="474" spans="1:103" ht="11.25" customHeight="1">
      <c r="A474" t="s">
        <v>243</v>
      </c>
      <c r="B474" t="s">
        <v>243</v>
      </c>
      <c r="C474" t="s">
        <v>243</v>
      </c>
      <c r="D474" t="s">
        <v>243</v>
      </c>
      <c r="E474" t="s">
        <v>243</v>
      </c>
      <c r="F474" t="s">
        <v>2816</v>
      </c>
      <c r="G474" t="s">
        <v>243</v>
      </c>
      <c r="H474" t="s">
        <v>243</v>
      </c>
      <c r="I474" t="s">
        <v>1847</v>
      </c>
      <c r="J474" t="s">
        <v>243</v>
      </c>
      <c r="K474" t="s">
        <v>3091</v>
      </c>
      <c r="L474" t="s">
        <v>243</v>
      </c>
      <c r="M474" t="s">
        <v>114</v>
      </c>
      <c r="N474" t="s">
        <v>243</v>
      </c>
      <c r="O474" t="s">
        <v>2819</v>
      </c>
      <c r="P474" t="s">
        <v>4448</v>
      </c>
      <c r="Q474" t="s">
        <v>2821</v>
      </c>
      <c r="R474" t="s">
        <v>200</v>
      </c>
      <c r="S474" t="s">
        <v>200</v>
      </c>
      <c r="T474" t="s">
        <v>2822</v>
      </c>
      <c r="U474" t="s">
        <v>2822</v>
      </c>
      <c r="V474" t="s">
        <v>2823</v>
      </c>
      <c r="W474" t="s">
        <v>3763</v>
      </c>
      <c r="X474" t="s">
        <v>3764</v>
      </c>
      <c r="Y474" t="s">
        <v>3610</v>
      </c>
      <c r="Z474" t="s">
        <v>2955</v>
      </c>
      <c r="AA474" t="s">
        <v>3078</v>
      </c>
      <c r="AB474" t="s">
        <v>3765</v>
      </c>
      <c r="AC474" t="s">
        <v>2829</v>
      </c>
      <c r="AD474" t="s">
        <v>2830</v>
      </c>
      <c r="AE474" t="s">
        <v>2831</v>
      </c>
      <c r="AF474" t="s">
        <v>3766</v>
      </c>
      <c r="AG474" t="s">
        <v>3767</v>
      </c>
      <c r="AH474" t="s">
        <v>2834</v>
      </c>
      <c r="AI474" t="s">
        <v>2835</v>
      </c>
      <c r="AJ474" t="s">
        <v>2960</v>
      </c>
      <c r="AK474" t="s">
        <v>3057</v>
      </c>
      <c r="AL474" t="s">
        <v>3078</v>
      </c>
      <c r="AM474" t="s">
        <v>3332</v>
      </c>
      <c r="AN474" t="s">
        <v>2829</v>
      </c>
      <c r="AO474" t="s">
        <v>2839</v>
      </c>
      <c r="AP474" t="s">
        <v>2840</v>
      </c>
      <c r="AQ474" t="s">
        <v>2841</v>
      </c>
      <c r="AR474" t="s">
        <v>3768</v>
      </c>
      <c r="AS474" t="s">
        <v>3768</v>
      </c>
      <c r="AT474" t="s">
        <v>2829</v>
      </c>
      <c r="AU474" t="s">
        <v>2829</v>
      </c>
      <c r="AV474" t="s">
        <v>2829</v>
      </c>
      <c r="AW474" t="s">
        <v>2829</v>
      </c>
      <c r="AX474" t="s">
        <v>2829</v>
      </c>
      <c r="AY474" t="s">
        <v>2829</v>
      </c>
      <c r="AZ474" t="s">
        <v>2829</v>
      </c>
      <c r="BA474" t="s">
        <v>2829</v>
      </c>
      <c r="BB474" t="s">
        <v>2829</v>
      </c>
      <c r="BC474" t="s">
        <v>2829</v>
      </c>
      <c r="BD474" t="s">
        <v>2829</v>
      </c>
      <c r="BE474" t="s">
        <v>243</v>
      </c>
      <c r="BF474" t="s">
        <v>243</v>
      </c>
      <c r="BG474" t="s">
        <v>243</v>
      </c>
      <c r="BH474" t="s">
        <v>243</v>
      </c>
      <c r="BI474" t="s">
        <v>243</v>
      </c>
      <c r="BJ474" t="s">
        <v>2829</v>
      </c>
      <c r="BK474" t="s">
        <v>243</v>
      </c>
      <c r="BL474" t="s">
        <v>243</v>
      </c>
      <c r="BM474" t="s">
        <v>243</v>
      </c>
      <c r="BN474" t="s">
        <v>243</v>
      </c>
      <c r="BO474" t="s">
        <v>243</v>
      </c>
      <c r="BP474" t="s">
        <v>2829</v>
      </c>
      <c r="BQ474" t="s">
        <v>243</v>
      </c>
      <c r="BR474" t="s">
        <v>243</v>
      </c>
      <c r="BS474" t="s">
        <v>243</v>
      </c>
      <c r="BT474" t="s">
        <v>243</v>
      </c>
      <c r="BU474" t="s">
        <v>243</v>
      </c>
      <c r="BV474" t="s">
        <v>2829</v>
      </c>
      <c r="BW474" t="s">
        <v>243</v>
      </c>
      <c r="BX474" t="s">
        <v>243</v>
      </c>
      <c r="BY474" t="s">
        <v>243</v>
      </c>
      <c r="BZ474" t="s">
        <v>243</v>
      </c>
      <c r="CA474" t="s">
        <v>243</v>
      </c>
      <c r="CB474" t="s">
        <v>3768</v>
      </c>
      <c r="CC474" t="s">
        <v>3768</v>
      </c>
      <c r="CD474" t="s">
        <v>243</v>
      </c>
      <c r="CE474" t="s">
        <v>243</v>
      </c>
      <c r="CF474" t="s">
        <v>243</v>
      </c>
      <c r="CG474" t="s">
        <v>243</v>
      </c>
      <c r="CH474" t="s">
        <v>2829</v>
      </c>
      <c r="CI474" t="s">
        <v>243</v>
      </c>
      <c r="CJ474" t="s">
        <v>243</v>
      </c>
      <c r="CK474" t="s">
        <v>243</v>
      </c>
      <c r="CL474" t="s">
        <v>243</v>
      </c>
      <c r="CM474" t="s">
        <v>243</v>
      </c>
      <c r="CN474" t="s">
        <v>2960</v>
      </c>
      <c r="CO474" t="s">
        <v>2843</v>
      </c>
      <c r="CP474" t="s">
        <v>2844</v>
      </c>
      <c r="CQ474" t="s">
        <v>430</v>
      </c>
      <c r="CR474" t="s">
        <v>2845</v>
      </c>
      <c r="CS474" t="s">
        <v>431</v>
      </c>
      <c r="CT474" t="s">
        <v>430</v>
      </c>
      <c r="CU474" t="s">
        <v>2846</v>
      </c>
      <c r="CV474" t="s">
        <v>2847</v>
      </c>
      <c r="CW474" t="s">
        <v>2845</v>
      </c>
      <c r="CX474" t="s">
        <v>2848</v>
      </c>
      <c r="CY474" t="s">
        <v>3769</v>
      </c>
    </row>
    <row r="475" spans="1:103" ht="11.25" customHeight="1">
      <c r="A475" t="s">
        <v>243</v>
      </c>
      <c r="B475" t="s">
        <v>243</v>
      </c>
      <c r="C475" t="s">
        <v>243</v>
      </c>
      <c r="D475" t="s">
        <v>243</v>
      </c>
      <c r="E475" t="s">
        <v>243</v>
      </c>
      <c r="F475" t="s">
        <v>2816</v>
      </c>
      <c r="G475" t="s">
        <v>243</v>
      </c>
      <c r="H475" t="s">
        <v>243</v>
      </c>
      <c r="I475" t="s">
        <v>3222</v>
      </c>
      <c r="J475" t="s">
        <v>243</v>
      </c>
      <c r="K475" t="s">
        <v>3770</v>
      </c>
      <c r="L475" t="s">
        <v>243</v>
      </c>
      <c r="M475" t="s">
        <v>114</v>
      </c>
      <c r="N475" t="s">
        <v>243</v>
      </c>
      <c r="O475" t="s">
        <v>2819</v>
      </c>
      <c r="P475" t="s">
        <v>4448</v>
      </c>
      <c r="Q475" t="s">
        <v>2821</v>
      </c>
      <c r="R475" t="s">
        <v>200</v>
      </c>
      <c r="S475" t="s">
        <v>200</v>
      </c>
      <c r="T475" t="s">
        <v>2822</v>
      </c>
      <c r="U475" t="s">
        <v>2822</v>
      </c>
      <c r="V475" t="s">
        <v>2823</v>
      </c>
      <c r="W475" t="s">
        <v>3771</v>
      </c>
      <c r="X475" t="s">
        <v>3772</v>
      </c>
      <c r="Y475" t="s">
        <v>3610</v>
      </c>
      <c r="Z475" t="s">
        <v>2955</v>
      </c>
      <c r="AA475" t="s">
        <v>3078</v>
      </c>
      <c r="AB475" t="s">
        <v>3773</v>
      </c>
      <c r="AC475" t="s">
        <v>2829</v>
      </c>
      <c r="AD475" t="s">
        <v>2830</v>
      </c>
      <c r="AE475" t="s">
        <v>2831</v>
      </c>
      <c r="AF475" t="s">
        <v>3774</v>
      </c>
      <c r="AG475" t="s">
        <v>3775</v>
      </c>
      <c r="AH475" t="s">
        <v>2834</v>
      </c>
      <c r="AI475" t="s">
        <v>2835</v>
      </c>
      <c r="AJ475" t="s">
        <v>2960</v>
      </c>
      <c r="AK475" t="s">
        <v>3057</v>
      </c>
      <c r="AL475" t="s">
        <v>3078</v>
      </c>
      <c r="AM475" t="s">
        <v>3217</v>
      </c>
      <c r="AN475" t="s">
        <v>2829</v>
      </c>
      <c r="AO475" t="s">
        <v>2839</v>
      </c>
      <c r="AP475" t="s">
        <v>2840</v>
      </c>
      <c r="AQ475" t="s">
        <v>2841</v>
      </c>
      <c r="AR475" t="s">
        <v>3182</v>
      </c>
      <c r="AS475" t="s">
        <v>3182</v>
      </c>
      <c r="AT475" t="s">
        <v>2829</v>
      </c>
      <c r="AU475" t="s">
        <v>2829</v>
      </c>
      <c r="AV475" t="s">
        <v>2829</v>
      </c>
      <c r="AW475" t="s">
        <v>2829</v>
      </c>
      <c r="AX475" t="s">
        <v>2829</v>
      </c>
      <c r="AY475" t="s">
        <v>2829</v>
      </c>
      <c r="AZ475" t="s">
        <v>2829</v>
      </c>
      <c r="BA475" t="s">
        <v>2829</v>
      </c>
      <c r="BB475" t="s">
        <v>2829</v>
      </c>
      <c r="BC475" t="s">
        <v>2829</v>
      </c>
      <c r="BD475" t="s">
        <v>2829</v>
      </c>
      <c r="BE475" t="s">
        <v>243</v>
      </c>
      <c r="BF475" t="s">
        <v>243</v>
      </c>
      <c r="BG475" t="s">
        <v>243</v>
      </c>
      <c r="BH475" t="s">
        <v>243</v>
      </c>
      <c r="BI475" t="s">
        <v>243</v>
      </c>
      <c r="BJ475" t="s">
        <v>2829</v>
      </c>
      <c r="BK475" t="s">
        <v>243</v>
      </c>
      <c r="BL475" t="s">
        <v>243</v>
      </c>
      <c r="BM475" t="s">
        <v>243</v>
      </c>
      <c r="BN475" t="s">
        <v>243</v>
      </c>
      <c r="BO475" t="s">
        <v>243</v>
      </c>
      <c r="BP475" t="s">
        <v>2829</v>
      </c>
      <c r="BQ475" t="s">
        <v>243</v>
      </c>
      <c r="BR475" t="s">
        <v>243</v>
      </c>
      <c r="BS475" t="s">
        <v>243</v>
      </c>
      <c r="BT475" t="s">
        <v>243</v>
      </c>
      <c r="BU475" t="s">
        <v>243</v>
      </c>
      <c r="BV475" t="s">
        <v>2829</v>
      </c>
      <c r="BW475" t="s">
        <v>243</v>
      </c>
      <c r="BX475" t="s">
        <v>243</v>
      </c>
      <c r="BY475" t="s">
        <v>243</v>
      </c>
      <c r="BZ475" t="s">
        <v>243</v>
      </c>
      <c r="CA475" t="s">
        <v>243</v>
      </c>
      <c r="CB475" t="s">
        <v>3182</v>
      </c>
      <c r="CC475" t="s">
        <v>3182</v>
      </c>
      <c r="CD475" t="s">
        <v>243</v>
      </c>
      <c r="CE475" t="s">
        <v>243</v>
      </c>
      <c r="CF475" t="s">
        <v>243</v>
      </c>
      <c r="CG475" t="s">
        <v>243</v>
      </c>
      <c r="CH475" t="s">
        <v>2829</v>
      </c>
      <c r="CI475" t="s">
        <v>243</v>
      </c>
      <c r="CJ475" t="s">
        <v>243</v>
      </c>
      <c r="CK475" t="s">
        <v>243</v>
      </c>
      <c r="CL475" t="s">
        <v>243</v>
      </c>
      <c r="CM475" t="s">
        <v>243</v>
      </c>
      <c r="CN475" t="s">
        <v>2960</v>
      </c>
      <c r="CO475" t="s">
        <v>2843</v>
      </c>
      <c r="CP475" t="s">
        <v>2844</v>
      </c>
      <c r="CQ475" t="s">
        <v>430</v>
      </c>
      <c r="CR475" t="s">
        <v>2845</v>
      </c>
      <c r="CS475" t="s">
        <v>431</v>
      </c>
      <c r="CT475" t="s">
        <v>430</v>
      </c>
      <c r="CU475" t="s">
        <v>2846</v>
      </c>
      <c r="CV475" t="s">
        <v>2847</v>
      </c>
      <c r="CW475" t="s">
        <v>2845</v>
      </c>
      <c r="CX475" t="s">
        <v>2848</v>
      </c>
      <c r="CY475" t="s">
        <v>3776</v>
      </c>
    </row>
    <row r="476" spans="1:103" ht="11.25" customHeight="1">
      <c r="A476" t="s">
        <v>243</v>
      </c>
      <c r="B476" t="s">
        <v>243</v>
      </c>
      <c r="C476" t="s">
        <v>243</v>
      </c>
      <c r="D476" t="s">
        <v>243</v>
      </c>
      <c r="E476" t="s">
        <v>243</v>
      </c>
      <c r="F476" t="s">
        <v>2816</v>
      </c>
      <c r="G476" t="s">
        <v>243</v>
      </c>
      <c r="H476" t="s">
        <v>243</v>
      </c>
      <c r="I476" t="s">
        <v>917</v>
      </c>
      <c r="J476" t="s">
        <v>243</v>
      </c>
      <c r="K476" t="s">
        <v>2818</v>
      </c>
      <c r="L476" t="s">
        <v>243</v>
      </c>
      <c r="M476" t="s">
        <v>114</v>
      </c>
      <c r="N476" t="s">
        <v>243</v>
      </c>
      <c r="O476" t="s">
        <v>2819</v>
      </c>
      <c r="P476" t="s">
        <v>4448</v>
      </c>
      <c r="Q476" t="s">
        <v>2821</v>
      </c>
      <c r="R476" t="s">
        <v>200</v>
      </c>
      <c r="S476" t="s">
        <v>200</v>
      </c>
      <c r="T476" t="s">
        <v>2822</v>
      </c>
      <c r="U476" t="s">
        <v>2822</v>
      </c>
      <c r="V476" t="s">
        <v>2823</v>
      </c>
      <c r="W476" t="s">
        <v>3190</v>
      </c>
      <c r="X476" t="s">
        <v>3191</v>
      </c>
      <c r="Y476" t="s">
        <v>3610</v>
      </c>
      <c r="Z476" t="s">
        <v>3874</v>
      </c>
      <c r="AA476" t="s">
        <v>3875</v>
      </c>
      <c r="AB476" t="s">
        <v>3876</v>
      </c>
      <c r="AC476" t="s">
        <v>2829</v>
      </c>
      <c r="AD476" t="s">
        <v>2830</v>
      </c>
      <c r="AE476" t="s">
        <v>2831</v>
      </c>
      <c r="AF476" t="s">
        <v>3877</v>
      </c>
      <c r="AG476" t="s">
        <v>2833</v>
      </c>
      <c r="AH476" t="s">
        <v>2834</v>
      </c>
      <c r="AI476" t="s">
        <v>2835</v>
      </c>
      <c r="AJ476" t="s">
        <v>2836</v>
      </c>
      <c r="AK476" t="s">
        <v>2837</v>
      </c>
      <c r="AL476" t="s">
        <v>3875</v>
      </c>
      <c r="AM476" t="s">
        <v>3217</v>
      </c>
      <c r="AN476" t="s">
        <v>2829</v>
      </c>
      <c r="AO476" t="s">
        <v>2839</v>
      </c>
      <c r="AP476" t="s">
        <v>2840</v>
      </c>
      <c r="AQ476" t="s">
        <v>2841</v>
      </c>
      <c r="AR476" t="s">
        <v>2842</v>
      </c>
      <c r="AS476" t="s">
        <v>2842</v>
      </c>
      <c r="AT476" t="s">
        <v>2829</v>
      </c>
      <c r="AU476" t="s">
        <v>2829</v>
      </c>
      <c r="AV476" t="s">
        <v>2829</v>
      </c>
      <c r="AW476" t="s">
        <v>2829</v>
      </c>
      <c r="AX476" t="s">
        <v>2829</v>
      </c>
      <c r="AY476" t="s">
        <v>2829</v>
      </c>
      <c r="AZ476" t="s">
        <v>2829</v>
      </c>
      <c r="BA476" t="s">
        <v>2829</v>
      </c>
      <c r="BB476" t="s">
        <v>2829</v>
      </c>
      <c r="BC476" t="s">
        <v>2829</v>
      </c>
      <c r="BD476" t="s">
        <v>2842</v>
      </c>
      <c r="BE476" t="s">
        <v>2842</v>
      </c>
      <c r="BF476" t="s">
        <v>243</v>
      </c>
      <c r="BG476" t="s">
        <v>243</v>
      </c>
      <c r="BH476" t="s">
        <v>243</v>
      </c>
      <c r="BI476" t="s">
        <v>243</v>
      </c>
      <c r="BJ476" t="s">
        <v>2829</v>
      </c>
      <c r="BK476" t="s">
        <v>243</v>
      </c>
      <c r="BL476" t="s">
        <v>243</v>
      </c>
      <c r="BM476" t="s">
        <v>243</v>
      </c>
      <c r="BN476" t="s">
        <v>243</v>
      </c>
      <c r="BO476" t="s">
        <v>243</v>
      </c>
      <c r="BP476" t="s">
        <v>2829</v>
      </c>
      <c r="BQ476" t="s">
        <v>243</v>
      </c>
      <c r="BR476" t="s">
        <v>243</v>
      </c>
      <c r="BS476" t="s">
        <v>243</v>
      </c>
      <c r="BT476" t="s">
        <v>243</v>
      </c>
      <c r="BU476" t="s">
        <v>243</v>
      </c>
      <c r="BV476" t="s">
        <v>2829</v>
      </c>
      <c r="BW476" t="s">
        <v>243</v>
      </c>
      <c r="BX476" t="s">
        <v>243</v>
      </c>
      <c r="BY476" t="s">
        <v>243</v>
      </c>
      <c r="BZ476" t="s">
        <v>243</v>
      </c>
      <c r="CA476" t="s">
        <v>243</v>
      </c>
      <c r="CB476" t="s">
        <v>2829</v>
      </c>
      <c r="CC476" t="s">
        <v>243</v>
      </c>
      <c r="CD476" t="s">
        <v>243</v>
      </c>
      <c r="CE476" t="s">
        <v>243</v>
      </c>
      <c r="CF476" t="s">
        <v>243</v>
      </c>
      <c r="CG476" t="s">
        <v>243</v>
      </c>
      <c r="CH476" t="s">
        <v>2829</v>
      </c>
      <c r="CI476" t="s">
        <v>243</v>
      </c>
      <c r="CJ476" t="s">
        <v>243</v>
      </c>
      <c r="CK476" t="s">
        <v>243</v>
      </c>
      <c r="CL476" t="s">
        <v>243</v>
      </c>
      <c r="CM476" t="s">
        <v>243</v>
      </c>
      <c r="CN476" t="s">
        <v>2836</v>
      </c>
      <c r="CO476" t="s">
        <v>2843</v>
      </c>
      <c r="CP476" t="s">
        <v>2844</v>
      </c>
      <c r="CQ476" t="s">
        <v>430</v>
      </c>
      <c r="CR476" t="s">
        <v>2845</v>
      </c>
      <c r="CS476" t="s">
        <v>431</v>
      </c>
      <c r="CT476" t="s">
        <v>430</v>
      </c>
      <c r="CU476" t="s">
        <v>2846</v>
      </c>
      <c r="CV476" t="s">
        <v>2847</v>
      </c>
      <c r="CW476" t="s">
        <v>2845</v>
      </c>
      <c r="CX476" t="s">
        <v>2848</v>
      </c>
      <c r="CY476" t="s">
        <v>3878</v>
      </c>
    </row>
    <row r="477" spans="1:103" ht="11.25" customHeight="1">
      <c r="A477" t="s">
        <v>243</v>
      </c>
      <c r="B477" t="s">
        <v>243</v>
      </c>
      <c r="C477" t="s">
        <v>243</v>
      </c>
      <c r="D477" t="s">
        <v>243</v>
      </c>
      <c r="E477" t="s">
        <v>243</v>
      </c>
      <c r="F477" t="s">
        <v>2816</v>
      </c>
      <c r="G477" t="s">
        <v>243</v>
      </c>
      <c r="H477" t="s">
        <v>243</v>
      </c>
      <c r="I477" t="s">
        <v>4207</v>
      </c>
      <c r="J477" t="s">
        <v>243</v>
      </c>
      <c r="K477" t="s">
        <v>2818</v>
      </c>
      <c r="L477" t="s">
        <v>243</v>
      </c>
      <c r="M477" t="s">
        <v>114</v>
      </c>
      <c r="N477" t="s">
        <v>243</v>
      </c>
      <c r="O477" t="s">
        <v>2819</v>
      </c>
      <c r="P477" t="s">
        <v>4448</v>
      </c>
      <c r="Q477" t="s">
        <v>2821</v>
      </c>
      <c r="R477" t="s">
        <v>200</v>
      </c>
      <c r="S477" t="s">
        <v>200</v>
      </c>
      <c r="T477" t="s">
        <v>2822</v>
      </c>
      <c r="U477" t="s">
        <v>2822</v>
      </c>
      <c r="V477" t="s">
        <v>2823</v>
      </c>
      <c r="W477" t="s">
        <v>2952</v>
      </c>
      <c r="X477" t="s">
        <v>2953</v>
      </c>
      <c r="Y477" t="s">
        <v>4208</v>
      </c>
      <c r="Z477" t="s">
        <v>457</v>
      </c>
      <c r="AA477" t="s">
        <v>2855</v>
      </c>
      <c r="AB477" t="s">
        <v>4209</v>
      </c>
      <c r="AC477" t="s">
        <v>2829</v>
      </c>
      <c r="AD477" t="s">
        <v>2830</v>
      </c>
      <c r="AE477" t="s">
        <v>2831</v>
      </c>
      <c r="AF477" t="s">
        <v>4210</v>
      </c>
      <c r="AG477" t="s">
        <v>2833</v>
      </c>
      <c r="AH477" t="s">
        <v>2834</v>
      </c>
      <c r="AI477" t="s">
        <v>2835</v>
      </c>
      <c r="AJ477" t="s">
        <v>2829</v>
      </c>
      <c r="AK477" t="s">
        <v>2868</v>
      </c>
      <c r="AL477" t="s">
        <v>2855</v>
      </c>
      <c r="AM477" t="s">
        <v>3324</v>
      </c>
      <c r="AN477" t="s">
        <v>2829</v>
      </c>
      <c r="AO477" t="s">
        <v>2839</v>
      </c>
      <c r="AP477" t="s">
        <v>2840</v>
      </c>
      <c r="AQ477" t="s">
        <v>2841</v>
      </c>
      <c r="AR477" t="s">
        <v>4211</v>
      </c>
      <c r="AS477" t="s">
        <v>4211</v>
      </c>
      <c r="AT477" t="s">
        <v>2829</v>
      </c>
      <c r="AU477" t="s">
        <v>2829</v>
      </c>
      <c r="AV477" t="s">
        <v>2829</v>
      </c>
      <c r="AW477" t="s">
        <v>2829</v>
      </c>
      <c r="AX477" t="s">
        <v>2829</v>
      </c>
      <c r="AY477" t="s">
        <v>2829</v>
      </c>
      <c r="AZ477" t="s">
        <v>2829</v>
      </c>
      <c r="BA477" t="s">
        <v>2829</v>
      </c>
      <c r="BB477" t="s">
        <v>2829</v>
      </c>
      <c r="BC477" t="s">
        <v>2829</v>
      </c>
      <c r="BD477" t="s">
        <v>4211</v>
      </c>
      <c r="BE477" t="s">
        <v>4211</v>
      </c>
      <c r="BF477" t="s">
        <v>243</v>
      </c>
      <c r="BG477" t="s">
        <v>243</v>
      </c>
      <c r="BH477" t="s">
        <v>243</v>
      </c>
      <c r="BI477" t="s">
        <v>243</v>
      </c>
      <c r="BJ477" t="s">
        <v>2829</v>
      </c>
      <c r="BK477" t="s">
        <v>243</v>
      </c>
      <c r="BL477" t="s">
        <v>243</v>
      </c>
      <c r="BM477" t="s">
        <v>243</v>
      </c>
      <c r="BN477" t="s">
        <v>243</v>
      </c>
      <c r="BO477" t="s">
        <v>243</v>
      </c>
      <c r="BP477" t="s">
        <v>2829</v>
      </c>
      <c r="BQ477" t="s">
        <v>243</v>
      </c>
      <c r="BR477" t="s">
        <v>243</v>
      </c>
      <c r="BS477" t="s">
        <v>243</v>
      </c>
      <c r="BT477" t="s">
        <v>243</v>
      </c>
      <c r="BU477" t="s">
        <v>243</v>
      </c>
      <c r="BV477" t="s">
        <v>2829</v>
      </c>
      <c r="BW477" t="s">
        <v>243</v>
      </c>
      <c r="BX477" t="s">
        <v>243</v>
      </c>
      <c r="BY477" t="s">
        <v>243</v>
      </c>
      <c r="BZ477" t="s">
        <v>243</v>
      </c>
      <c r="CA477" t="s">
        <v>243</v>
      </c>
      <c r="CB477" t="s">
        <v>2829</v>
      </c>
      <c r="CC477" t="s">
        <v>243</v>
      </c>
      <c r="CD477" t="s">
        <v>243</v>
      </c>
      <c r="CE477" t="s">
        <v>243</v>
      </c>
      <c r="CF477" t="s">
        <v>243</v>
      </c>
      <c r="CG477" t="s">
        <v>243</v>
      </c>
      <c r="CH477" t="s">
        <v>2829</v>
      </c>
      <c r="CI477" t="s">
        <v>243</v>
      </c>
      <c r="CJ477" t="s">
        <v>243</v>
      </c>
      <c r="CK477" t="s">
        <v>243</v>
      </c>
      <c r="CL477" t="s">
        <v>243</v>
      </c>
      <c r="CM477" t="s">
        <v>243</v>
      </c>
      <c r="CN477" t="s">
        <v>2829</v>
      </c>
      <c r="CO477" t="s">
        <v>2843</v>
      </c>
      <c r="CP477" t="s">
        <v>2844</v>
      </c>
      <c r="CQ477" t="s">
        <v>430</v>
      </c>
      <c r="CR477" t="s">
        <v>2872</v>
      </c>
      <c r="CS477" t="s">
        <v>431</v>
      </c>
      <c r="CT477" t="s">
        <v>430</v>
      </c>
      <c r="CU477" t="s">
        <v>2846</v>
      </c>
      <c r="CV477" t="s">
        <v>2873</v>
      </c>
      <c r="CW477" t="s">
        <v>2872</v>
      </c>
      <c r="CX477" t="s">
        <v>2848</v>
      </c>
      <c r="CY477" t="s">
        <v>4212</v>
      </c>
    </row>
    <row r="478" spans="1:103" ht="11.25" customHeight="1">
      <c r="A478" t="s">
        <v>243</v>
      </c>
      <c r="B478" t="s">
        <v>243</v>
      </c>
      <c r="C478" t="s">
        <v>243</v>
      </c>
      <c r="D478" t="s">
        <v>243</v>
      </c>
      <c r="E478" t="s">
        <v>243</v>
      </c>
      <c r="F478" t="s">
        <v>2816</v>
      </c>
      <c r="G478" t="s">
        <v>243</v>
      </c>
      <c r="H478" t="s">
        <v>243</v>
      </c>
      <c r="I478" t="s">
        <v>4402</v>
      </c>
      <c r="J478" t="s">
        <v>243</v>
      </c>
      <c r="K478" t="s">
        <v>4403</v>
      </c>
      <c r="L478" t="s">
        <v>243</v>
      </c>
      <c r="M478" t="s">
        <v>114</v>
      </c>
      <c r="N478" t="s">
        <v>243</v>
      </c>
      <c r="O478" t="s">
        <v>2819</v>
      </c>
      <c r="P478" t="s">
        <v>4448</v>
      </c>
      <c r="Q478" t="s">
        <v>2821</v>
      </c>
      <c r="R478" t="s">
        <v>200</v>
      </c>
      <c r="S478" t="s">
        <v>200</v>
      </c>
      <c r="T478" t="s">
        <v>2933</v>
      </c>
      <c r="U478" t="s">
        <v>2933</v>
      </c>
      <c r="V478" t="s">
        <v>2934</v>
      </c>
      <c r="W478" t="s">
        <v>2935</v>
      </c>
      <c r="X478" t="s">
        <v>2936</v>
      </c>
      <c r="Y478" t="s">
        <v>4404</v>
      </c>
      <c r="Z478" t="s">
        <v>2972</v>
      </c>
      <c r="AA478" t="s">
        <v>2942</v>
      </c>
      <c r="AB478" t="s">
        <v>4405</v>
      </c>
      <c r="AC478" t="s">
        <v>3385</v>
      </c>
      <c r="AD478" t="s">
        <v>2883</v>
      </c>
      <c r="AE478" t="s">
        <v>2831</v>
      </c>
      <c r="AF478" t="s">
        <v>4406</v>
      </c>
      <c r="AG478" t="s">
        <v>4406</v>
      </c>
      <c r="AH478" t="s">
        <v>2834</v>
      </c>
      <c r="AI478" t="s">
        <v>2887</v>
      </c>
      <c r="AJ478" t="s">
        <v>2942</v>
      </c>
      <c r="AK478" t="s">
        <v>3556</v>
      </c>
      <c r="AL478" t="s">
        <v>2942</v>
      </c>
      <c r="AM478" t="s">
        <v>4405</v>
      </c>
      <c r="AN478" t="s">
        <v>3385</v>
      </c>
      <c r="AO478" t="s">
        <v>2839</v>
      </c>
      <c r="AP478" t="s">
        <v>2840</v>
      </c>
      <c r="AQ478" t="s">
        <v>2841</v>
      </c>
      <c r="AR478" t="s">
        <v>4407</v>
      </c>
      <c r="AS478" t="s">
        <v>4408</v>
      </c>
      <c r="AT478" t="s">
        <v>4409</v>
      </c>
      <c r="AU478" t="s">
        <v>2829</v>
      </c>
      <c r="AV478" t="s">
        <v>2829</v>
      </c>
      <c r="AW478" t="s">
        <v>2829</v>
      </c>
      <c r="AX478" t="s">
        <v>2829</v>
      </c>
      <c r="AY478" t="s">
        <v>2829</v>
      </c>
      <c r="AZ478" t="s">
        <v>2829</v>
      </c>
      <c r="BA478" t="s">
        <v>2829</v>
      </c>
      <c r="BB478" t="s">
        <v>2829</v>
      </c>
      <c r="BC478" t="s">
        <v>2829</v>
      </c>
      <c r="BD478" t="s">
        <v>4410</v>
      </c>
      <c r="BE478" t="s">
        <v>4411</v>
      </c>
      <c r="BF478" t="s">
        <v>4412</v>
      </c>
      <c r="BG478" t="s">
        <v>243</v>
      </c>
      <c r="BH478" t="s">
        <v>243</v>
      </c>
      <c r="BI478" t="s">
        <v>243</v>
      </c>
      <c r="BJ478" t="s">
        <v>2829</v>
      </c>
      <c r="BK478" t="s">
        <v>243</v>
      </c>
      <c r="BL478" t="s">
        <v>243</v>
      </c>
      <c r="BM478" t="s">
        <v>243</v>
      </c>
      <c r="BN478" t="s">
        <v>243</v>
      </c>
      <c r="BO478" t="s">
        <v>243</v>
      </c>
      <c r="BP478" t="s">
        <v>4413</v>
      </c>
      <c r="BQ478" t="s">
        <v>4414</v>
      </c>
      <c r="BR478" t="s">
        <v>4415</v>
      </c>
      <c r="BS478" t="s">
        <v>243</v>
      </c>
      <c r="BT478" t="s">
        <v>243</v>
      </c>
      <c r="BU478" t="s">
        <v>243</v>
      </c>
      <c r="BV478" t="s">
        <v>2829</v>
      </c>
      <c r="BW478" t="s">
        <v>243</v>
      </c>
      <c r="BX478" t="s">
        <v>243</v>
      </c>
      <c r="BY478" t="s">
        <v>243</v>
      </c>
      <c r="BZ478" t="s">
        <v>243</v>
      </c>
      <c r="CA478" t="s">
        <v>243</v>
      </c>
      <c r="CB478" t="s">
        <v>2829</v>
      </c>
      <c r="CC478" t="s">
        <v>243</v>
      </c>
      <c r="CD478" t="s">
        <v>243</v>
      </c>
      <c r="CE478" t="s">
        <v>243</v>
      </c>
      <c r="CF478" t="s">
        <v>243</v>
      </c>
      <c r="CG478" t="s">
        <v>243</v>
      </c>
      <c r="CH478" t="s">
        <v>2829</v>
      </c>
      <c r="CI478" t="s">
        <v>243</v>
      </c>
      <c r="CJ478" t="s">
        <v>243</v>
      </c>
      <c r="CK478" t="s">
        <v>243</v>
      </c>
      <c r="CL478" t="s">
        <v>243</v>
      </c>
      <c r="CM478" t="s">
        <v>243</v>
      </c>
      <c r="CN478" t="s">
        <v>2942</v>
      </c>
      <c r="CO478" t="s">
        <v>2843</v>
      </c>
      <c r="CP478" t="s">
        <v>2844</v>
      </c>
      <c r="CQ478" t="s">
        <v>430</v>
      </c>
      <c r="CR478" t="s">
        <v>2947</v>
      </c>
      <c r="CS478" t="s">
        <v>431</v>
      </c>
      <c r="CT478" t="s">
        <v>430</v>
      </c>
      <c r="CU478" t="s">
        <v>2948</v>
      </c>
      <c r="CV478" t="s">
        <v>2949</v>
      </c>
      <c r="CW478" t="s">
        <v>2947</v>
      </c>
      <c r="CX478" t="s">
        <v>2848</v>
      </c>
      <c r="CY478" t="s">
        <v>4416</v>
      </c>
    </row>
    <row r="479" spans="1:103" ht="11.25" customHeight="1">
      <c r="A479" t="s">
        <v>243</v>
      </c>
      <c r="B479" t="s">
        <v>243</v>
      </c>
      <c r="C479" t="s">
        <v>243</v>
      </c>
      <c r="D479" t="s">
        <v>243</v>
      </c>
      <c r="E479" t="s">
        <v>243</v>
      </c>
      <c r="F479" t="s">
        <v>2816</v>
      </c>
      <c r="G479" t="s">
        <v>243</v>
      </c>
      <c r="H479" t="s">
        <v>243</v>
      </c>
      <c r="I479" t="s">
        <v>3404</v>
      </c>
      <c r="J479" t="s">
        <v>243</v>
      </c>
      <c r="K479" t="s">
        <v>433</v>
      </c>
      <c r="L479" t="s">
        <v>243</v>
      </c>
      <c r="M479" t="s">
        <v>114</v>
      </c>
      <c r="N479" t="s">
        <v>243</v>
      </c>
      <c r="O479" t="s">
        <v>2819</v>
      </c>
      <c r="P479" t="s">
        <v>4448</v>
      </c>
      <c r="Q479" t="s">
        <v>2821</v>
      </c>
      <c r="R479" t="s">
        <v>200</v>
      </c>
      <c r="S479" t="s">
        <v>200</v>
      </c>
      <c r="T479" t="s">
        <v>2933</v>
      </c>
      <c r="U479" t="s">
        <v>2933</v>
      </c>
      <c r="V479" t="s">
        <v>2934</v>
      </c>
      <c r="W479" t="s">
        <v>2935</v>
      </c>
      <c r="X479" t="s">
        <v>2936</v>
      </c>
      <c r="Y479" t="s">
        <v>3405</v>
      </c>
      <c r="Z479" t="s">
        <v>3406</v>
      </c>
      <c r="AA479" t="s">
        <v>3010</v>
      </c>
      <c r="AB479" t="s">
        <v>3407</v>
      </c>
      <c r="AC479" t="s">
        <v>2829</v>
      </c>
      <c r="AD479" t="s">
        <v>2883</v>
      </c>
      <c r="AE479" t="s">
        <v>2831</v>
      </c>
      <c r="AF479" t="s">
        <v>3408</v>
      </c>
      <c r="AG479" t="s">
        <v>3408</v>
      </c>
      <c r="AH479" t="s">
        <v>2834</v>
      </c>
      <c r="AI479" t="s">
        <v>2887</v>
      </c>
      <c r="AJ479" t="s">
        <v>2942</v>
      </c>
      <c r="AK479" t="s">
        <v>3409</v>
      </c>
      <c r="AL479" t="s">
        <v>2983</v>
      </c>
      <c r="AM479" t="s">
        <v>3407</v>
      </c>
      <c r="AN479" t="s">
        <v>243</v>
      </c>
      <c r="AO479" t="s">
        <v>2839</v>
      </c>
      <c r="AP479" t="s">
        <v>2840</v>
      </c>
      <c r="AQ479" t="s">
        <v>2841</v>
      </c>
      <c r="AR479" t="s">
        <v>3410</v>
      </c>
      <c r="AS479" t="s">
        <v>3411</v>
      </c>
      <c r="AT479" t="s">
        <v>3412</v>
      </c>
      <c r="AU479" t="s">
        <v>2829</v>
      </c>
      <c r="AV479" t="s">
        <v>2829</v>
      </c>
      <c r="AW479" t="s">
        <v>2829</v>
      </c>
      <c r="AX479" t="s">
        <v>2829</v>
      </c>
      <c r="AY479" t="s">
        <v>2829</v>
      </c>
      <c r="AZ479" t="s">
        <v>2829</v>
      </c>
      <c r="BA479" t="s">
        <v>2829</v>
      </c>
      <c r="BB479" t="s">
        <v>2829</v>
      </c>
      <c r="BC479" t="s">
        <v>2829</v>
      </c>
      <c r="BD479" t="s">
        <v>3413</v>
      </c>
      <c r="BE479" t="s">
        <v>3414</v>
      </c>
      <c r="BF479" t="s">
        <v>3415</v>
      </c>
      <c r="BG479" t="s">
        <v>243</v>
      </c>
      <c r="BH479" t="s">
        <v>243</v>
      </c>
      <c r="BI479" t="s">
        <v>243</v>
      </c>
      <c r="BJ479" t="s">
        <v>2829</v>
      </c>
      <c r="BK479" t="s">
        <v>243</v>
      </c>
      <c r="BL479" t="s">
        <v>243</v>
      </c>
      <c r="BM479" t="s">
        <v>243</v>
      </c>
      <c r="BN479" t="s">
        <v>243</v>
      </c>
      <c r="BO479" t="s">
        <v>243</v>
      </c>
      <c r="BP479" t="s">
        <v>3416</v>
      </c>
      <c r="BQ479" t="s">
        <v>3417</v>
      </c>
      <c r="BR479" t="s">
        <v>3418</v>
      </c>
      <c r="BS479" t="s">
        <v>243</v>
      </c>
      <c r="BT479" t="s">
        <v>243</v>
      </c>
      <c r="BU479" t="s">
        <v>243</v>
      </c>
      <c r="BV479" t="s">
        <v>2829</v>
      </c>
      <c r="BW479" t="s">
        <v>243</v>
      </c>
      <c r="BX479" t="s">
        <v>243</v>
      </c>
      <c r="BY479" t="s">
        <v>243</v>
      </c>
      <c r="BZ479" t="s">
        <v>243</v>
      </c>
      <c r="CA479" t="s">
        <v>243</v>
      </c>
      <c r="CB479" t="s">
        <v>2829</v>
      </c>
      <c r="CC479" t="s">
        <v>243</v>
      </c>
      <c r="CD479" t="s">
        <v>243</v>
      </c>
      <c r="CE479" t="s">
        <v>243</v>
      </c>
      <c r="CF479" t="s">
        <v>243</v>
      </c>
      <c r="CG479" t="s">
        <v>243</v>
      </c>
      <c r="CH479" t="s">
        <v>2829</v>
      </c>
      <c r="CI479" t="s">
        <v>243</v>
      </c>
      <c r="CJ479" t="s">
        <v>243</v>
      </c>
      <c r="CK479" t="s">
        <v>243</v>
      </c>
      <c r="CL479" t="s">
        <v>243</v>
      </c>
      <c r="CM479" t="s">
        <v>243</v>
      </c>
      <c r="CN479" t="s">
        <v>2942</v>
      </c>
      <c r="CO479" t="s">
        <v>2843</v>
      </c>
      <c r="CP479" t="s">
        <v>2844</v>
      </c>
      <c r="CQ479" t="s">
        <v>430</v>
      </c>
      <c r="CR479" t="s">
        <v>2947</v>
      </c>
      <c r="CS479" t="s">
        <v>431</v>
      </c>
      <c r="CT479" t="s">
        <v>430</v>
      </c>
      <c r="CU479" t="s">
        <v>2948</v>
      </c>
      <c r="CV479" t="s">
        <v>2949</v>
      </c>
      <c r="CW479" t="s">
        <v>2947</v>
      </c>
      <c r="CX479" t="s">
        <v>2848</v>
      </c>
      <c r="CY479" t="s">
        <v>3419</v>
      </c>
    </row>
    <row r="480" spans="1:103" ht="11.25" customHeight="1">
      <c r="A480" t="s">
        <v>243</v>
      </c>
      <c r="B480" t="s">
        <v>243</v>
      </c>
      <c r="C480" t="s">
        <v>243</v>
      </c>
      <c r="D480" t="s">
        <v>243</v>
      </c>
      <c r="E480" t="s">
        <v>243</v>
      </c>
      <c r="F480" t="s">
        <v>2816</v>
      </c>
      <c r="G480" t="s">
        <v>243</v>
      </c>
      <c r="H480" t="s">
        <v>243</v>
      </c>
      <c r="I480" t="s">
        <v>3627</v>
      </c>
      <c r="J480" t="s">
        <v>243</v>
      </c>
      <c r="K480" t="s">
        <v>3115</v>
      </c>
      <c r="L480" t="s">
        <v>243</v>
      </c>
      <c r="M480" t="s">
        <v>114</v>
      </c>
      <c r="N480" t="s">
        <v>243</v>
      </c>
      <c r="O480" t="s">
        <v>2819</v>
      </c>
      <c r="P480" t="s">
        <v>4448</v>
      </c>
      <c r="Q480" t="s">
        <v>2821</v>
      </c>
      <c r="R480" t="s">
        <v>200</v>
      </c>
      <c r="S480" t="s">
        <v>200</v>
      </c>
      <c r="T480" t="s">
        <v>2968</v>
      </c>
      <c r="U480" t="s">
        <v>2968</v>
      </c>
      <c r="V480" t="s">
        <v>2969</v>
      </c>
      <c r="W480" t="s">
        <v>3628</v>
      </c>
      <c r="X480" t="s">
        <v>3629</v>
      </c>
      <c r="Y480" t="s">
        <v>2913</v>
      </c>
      <c r="Z480" t="s">
        <v>3630</v>
      </c>
      <c r="AA480" t="s">
        <v>3631</v>
      </c>
      <c r="AB480" t="s">
        <v>3632</v>
      </c>
      <c r="AC480" t="s">
        <v>2829</v>
      </c>
      <c r="AD480" t="s">
        <v>2883</v>
      </c>
      <c r="AE480" t="s">
        <v>2857</v>
      </c>
      <c r="AF480" t="s">
        <v>3633</v>
      </c>
      <c r="AG480" t="s">
        <v>3633</v>
      </c>
      <c r="AH480" t="s">
        <v>2834</v>
      </c>
      <c r="AI480" t="s">
        <v>2835</v>
      </c>
      <c r="AJ480" t="s">
        <v>3044</v>
      </c>
      <c r="AK480" t="s">
        <v>3556</v>
      </c>
      <c r="AL480" t="s">
        <v>3631</v>
      </c>
      <c r="AM480" t="s">
        <v>3634</v>
      </c>
      <c r="AN480" t="s">
        <v>2829</v>
      </c>
      <c r="AO480" t="s">
        <v>2839</v>
      </c>
      <c r="AP480" t="s">
        <v>2840</v>
      </c>
      <c r="AQ480" t="s">
        <v>2841</v>
      </c>
      <c r="AR480" t="s">
        <v>3635</v>
      </c>
      <c r="AS480" t="s">
        <v>3635</v>
      </c>
      <c r="AT480" t="s">
        <v>2829</v>
      </c>
      <c r="AU480" t="s">
        <v>2829</v>
      </c>
      <c r="AV480" t="s">
        <v>2829</v>
      </c>
      <c r="AW480" t="s">
        <v>2829</v>
      </c>
      <c r="AX480" t="s">
        <v>2829</v>
      </c>
      <c r="AY480" t="s">
        <v>2829</v>
      </c>
      <c r="AZ480" t="s">
        <v>2829</v>
      </c>
      <c r="BA480" t="s">
        <v>2829</v>
      </c>
      <c r="BB480" t="s">
        <v>2829</v>
      </c>
      <c r="BC480" t="s">
        <v>2829</v>
      </c>
      <c r="BD480" t="s">
        <v>2829</v>
      </c>
      <c r="BE480" t="s">
        <v>243</v>
      </c>
      <c r="BF480" t="s">
        <v>243</v>
      </c>
      <c r="BG480" t="s">
        <v>243</v>
      </c>
      <c r="BH480" t="s">
        <v>243</v>
      </c>
      <c r="BI480" t="s">
        <v>243</v>
      </c>
      <c r="BJ480" t="s">
        <v>2829</v>
      </c>
      <c r="BK480" t="s">
        <v>243</v>
      </c>
      <c r="BL480" t="s">
        <v>243</v>
      </c>
      <c r="BM480" t="s">
        <v>243</v>
      </c>
      <c r="BN480" t="s">
        <v>243</v>
      </c>
      <c r="BO480" t="s">
        <v>243</v>
      </c>
      <c r="BP480" t="s">
        <v>3635</v>
      </c>
      <c r="BQ480" t="s">
        <v>3635</v>
      </c>
      <c r="BR480" t="s">
        <v>243</v>
      </c>
      <c r="BS480" t="s">
        <v>243</v>
      </c>
      <c r="BT480" t="s">
        <v>243</v>
      </c>
      <c r="BU480" t="s">
        <v>243</v>
      </c>
      <c r="BV480" t="s">
        <v>2829</v>
      </c>
      <c r="BW480" t="s">
        <v>243</v>
      </c>
      <c r="BX480" t="s">
        <v>243</v>
      </c>
      <c r="BY480" t="s">
        <v>243</v>
      </c>
      <c r="BZ480" t="s">
        <v>243</v>
      </c>
      <c r="CA480" t="s">
        <v>243</v>
      </c>
      <c r="CB480" t="s">
        <v>2829</v>
      </c>
      <c r="CC480" t="s">
        <v>243</v>
      </c>
      <c r="CD480" t="s">
        <v>243</v>
      </c>
      <c r="CE480" t="s">
        <v>243</v>
      </c>
      <c r="CF480" t="s">
        <v>243</v>
      </c>
      <c r="CG480" t="s">
        <v>243</v>
      </c>
      <c r="CH480" t="s">
        <v>2829</v>
      </c>
      <c r="CI480" t="s">
        <v>243</v>
      </c>
      <c r="CJ480" t="s">
        <v>243</v>
      </c>
      <c r="CK480" t="s">
        <v>243</v>
      </c>
      <c r="CL480" t="s">
        <v>243</v>
      </c>
      <c r="CM480" t="s">
        <v>243</v>
      </c>
      <c r="CN480" t="s">
        <v>3010</v>
      </c>
      <c r="CO480" t="s">
        <v>2843</v>
      </c>
      <c r="CP480" t="s">
        <v>2844</v>
      </c>
      <c r="CQ480" t="s">
        <v>430</v>
      </c>
      <c r="CR480" t="s">
        <v>2984</v>
      </c>
      <c r="CS480" t="s">
        <v>431</v>
      </c>
      <c r="CT480" t="s">
        <v>430</v>
      </c>
      <c r="CU480" t="s">
        <v>2985</v>
      </c>
      <c r="CV480" t="s">
        <v>2986</v>
      </c>
      <c r="CW480" t="s">
        <v>2984</v>
      </c>
      <c r="CX480" t="s">
        <v>2848</v>
      </c>
      <c r="CY480" t="s">
        <v>3636</v>
      </c>
    </row>
    <row r="481" spans="1:103" ht="11.25" customHeight="1">
      <c r="A481" t="s">
        <v>243</v>
      </c>
      <c r="B481" t="s">
        <v>243</v>
      </c>
      <c r="C481" t="s">
        <v>243</v>
      </c>
      <c r="D481" t="s">
        <v>243</v>
      </c>
      <c r="E481" t="s">
        <v>243</v>
      </c>
      <c r="F481" t="s">
        <v>2816</v>
      </c>
      <c r="G481" t="s">
        <v>243</v>
      </c>
      <c r="H481" t="s">
        <v>243</v>
      </c>
      <c r="I481" t="s">
        <v>3637</v>
      </c>
      <c r="J481" t="s">
        <v>243</v>
      </c>
      <c r="K481" t="s">
        <v>433</v>
      </c>
      <c r="L481" t="s">
        <v>243</v>
      </c>
      <c r="M481" t="s">
        <v>114</v>
      </c>
      <c r="N481" t="s">
        <v>243</v>
      </c>
      <c r="O481" t="s">
        <v>2819</v>
      </c>
      <c r="P481" t="s">
        <v>4448</v>
      </c>
      <c r="Q481" t="s">
        <v>2821</v>
      </c>
      <c r="R481" t="s">
        <v>200</v>
      </c>
      <c r="S481" t="s">
        <v>200</v>
      </c>
      <c r="T481" t="s">
        <v>2968</v>
      </c>
      <c r="U481" t="s">
        <v>2968</v>
      </c>
      <c r="V481" t="s">
        <v>2969</v>
      </c>
      <c r="W481" t="s">
        <v>3638</v>
      </c>
      <c r="X481" t="s">
        <v>3639</v>
      </c>
      <c r="Y481" t="s">
        <v>2918</v>
      </c>
      <c r="Z481" t="s">
        <v>3259</v>
      </c>
      <c r="AA481" t="s">
        <v>3640</v>
      </c>
      <c r="AB481" t="s">
        <v>2995</v>
      </c>
      <c r="AC481" t="s">
        <v>2829</v>
      </c>
      <c r="AD481" t="s">
        <v>2883</v>
      </c>
      <c r="AE481" t="s">
        <v>2857</v>
      </c>
      <c r="AF481" t="s">
        <v>3641</v>
      </c>
      <c r="AG481" t="s">
        <v>3641</v>
      </c>
      <c r="AH481" t="s">
        <v>2834</v>
      </c>
      <c r="AI481" t="s">
        <v>2835</v>
      </c>
      <c r="AJ481" t="s">
        <v>3030</v>
      </c>
      <c r="AK481" t="s">
        <v>3642</v>
      </c>
      <c r="AL481" t="s">
        <v>3640</v>
      </c>
      <c r="AM481" t="s">
        <v>2995</v>
      </c>
      <c r="AN481" t="s">
        <v>2829</v>
      </c>
      <c r="AO481" t="s">
        <v>2839</v>
      </c>
      <c r="AP481" t="s">
        <v>2840</v>
      </c>
      <c r="AQ481" t="s">
        <v>2841</v>
      </c>
      <c r="AR481" t="s">
        <v>3643</v>
      </c>
      <c r="AS481" t="s">
        <v>3643</v>
      </c>
      <c r="AT481" t="s">
        <v>2829</v>
      </c>
      <c r="AU481" t="s">
        <v>2829</v>
      </c>
      <c r="AV481" t="s">
        <v>2829</v>
      </c>
      <c r="AW481" t="s">
        <v>2829</v>
      </c>
      <c r="AX481" t="s">
        <v>2829</v>
      </c>
      <c r="AY481" t="s">
        <v>2829</v>
      </c>
      <c r="AZ481" t="s">
        <v>2829</v>
      </c>
      <c r="BA481" t="s">
        <v>2829</v>
      </c>
      <c r="BB481" t="s">
        <v>2829</v>
      </c>
      <c r="BC481" t="s">
        <v>2829</v>
      </c>
      <c r="BD481" t="s">
        <v>3169</v>
      </c>
      <c r="BE481" t="s">
        <v>3169</v>
      </c>
      <c r="BF481" t="s">
        <v>243</v>
      </c>
      <c r="BG481" t="s">
        <v>243</v>
      </c>
      <c r="BH481" t="s">
        <v>243</v>
      </c>
      <c r="BI481" t="s">
        <v>243</v>
      </c>
      <c r="BJ481" t="s">
        <v>2829</v>
      </c>
      <c r="BK481" t="s">
        <v>243</v>
      </c>
      <c r="BL481" t="s">
        <v>243</v>
      </c>
      <c r="BM481" t="s">
        <v>243</v>
      </c>
      <c r="BN481" t="s">
        <v>243</v>
      </c>
      <c r="BO481" t="s">
        <v>243</v>
      </c>
      <c r="BP481" t="s">
        <v>3644</v>
      </c>
      <c r="BQ481" t="s">
        <v>3644</v>
      </c>
      <c r="BR481" t="s">
        <v>243</v>
      </c>
      <c r="BS481" t="s">
        <v>243</v>
      </c>
      <c r="BT481" t="s">
        <v>243</v>
      </c>
      <c r="BU481" t="s">
        <v>243</v>
      </c>
      <c r="BV481" t="s">
        <v>2829</v>
      </c>
      <c r="BW481" t="s">
        <v>243</v>
      </c>
      <c r="BX481" t="s">
        <v>243</v>
      </c>
      <c r="BY481" t="s">
        <v>243</v>
      </c>
      <c r="BZ481" t="s">
        <v>243</v>
      </c>
      <c r="CA481" t="s">
        <v>243</v>
      </c>
      <c r="CB481" t="s">
        <v>2829</v>
      </c>
      <c r="CC481" t="s">
        <v>243</v>
      </c>
      <c r="CD481" t="s">
        <v>243</v>
      </c>
      <c r="CE481" t="s">
        <v>243</v>
      </c>
      <c r="CF481" t="s">
        <v>243</v>
      </c>
      <c r="CG481" t="s">
        <v>243</v>
      </c>
      <c r="CH481" t="s">
        <v>2829</v>
      </c>
      <c r="CI481" t="s">
        <v>243</v>
      </c>
      <c r="CJ481" t="s">
        <v>243</v>
      </c>
      <c r="CK481" t="s">
        <v>243</v>
      </c>
      <c r="CL481" t="s">
        <v>243</v>
      </c>
      <c r="CM481" t="s">
        <v>243</v>
      </c>
      <c r="CN481" t="s">
        <v>2942</v>
      </c>
      <c r="CO481" t="s">
        <v>2843</v>
      </c>
      <c r="CP481" t="s">
        <v>2844</v>
      </c>
      <c r="CQ481" t="s">
        <v>430</v>
      </c>
      <c r="CR481" t="s">
        <v>2984</v>
      </c>
      <c r="CS481" t="s">
        <v>431</v>
      </c>
      <c r="CT481" t="s">
        <v>430</v>
      </c>
      <c r="CU481" t="s">
        <v>2985</v>
      </c>
      <c r="CV481" t="s">
        <v>2986</v>
      </c>
      <c r="CW481" t="s">
        <v>2984</v>
      </c>
      <c r="CX481" t="s">
        <v>2848</v>
      </c>
      <c r="CY481" t="s">
        <v>3645</v>
      </c>
    </row>
    <row r="482" spans="1:103" ht="11.25" customHeight="1">
      <c r="A482" t="s">
        <v>243</v>
      </c>
      <c r="B482" t="s">
        <v>243</v>
      </c>
      <c r="C482" t="s">
        <v>243</v>
      </c>
      <c r="D482" t="s">
        <v>243</v>
      </c>
      <c r="E482" t="s">
        <v>243</v>
      </c>
      <c r="F482" t="s">
        <v>2816</v>
      </c>
      <c r="G482" t="s">
        <v>243</v>
      </c>
      <c r="H482" t="s">
        <v>243</v>
      </c>
      <c r="I482" t="s">
        <v>4354</v>
      </c>
      <c r="J482" t="s">
        <v>243</v>
      </c>
      <c r="K482" t="s">
        <v>3178</v>
      </c>
      <c r="L482" t="s">
        <v>243</v>
      </c>
      <c r="M482" t="s">
        <v>114</v>
      </c>
      <c r="N482" t="s">
        <v>243</v>
      </c>
      <c r="O482" t="s">
        <v>3356</v>
      </c>
      <c r="P482" t="s">
        <v>4448</v>
      </c>
      <c r="Q482" t="s">
        <v>2821</v>
      </c>
      <c r="R482" t="s">
        <v>190</v>
      </c>
      <c r="S482" t="s">
        <v>190</v>
      </c>
      <c r="T482" t="s">
        <v>2968</v>
      </c>
      <c r="U482" t="s">
        <v>2968</v>
      </c>
      <c r="V482" t="s">
        <v>2969</v>
      </c>
      <c r="W482" t="s">
        <v>4355</v>
      </c>
      <c r="X482" t="s">
        <v>4356</v>
      </c>
      <c r="Y482" t="s">
        <v>3610</v>
      </c>
      <c r="Z482" t="s">
        <v>927</v>
      </c>
      <c r="AA482" t="s">
        <v>3058</v>
      </c>
      <c r="AB482" t="s">
        <v>3703</v>
      </c>
      <c r="AC482" t="s">
        <v>2829</v>
      </c>
      <c r="AD482" t="s">
        <v>2883</v>
      </c>
      <c r="AE482" t="s">
        <v>2857</v>
      </c>
      <c r="AF482" t="s">
        <v>4357</v>
      </c>
      <c r="AG482" t="s">
        <v>4357</v>
      </c>
      <c r="AH482" t="s">
        <v>2834</v>
      </c>
      <c r="AI482" t="s">
        <v>2835</v>
      </c>
      <c r="AJ482" t="s">
        <v>3041</v>
      </c>
      <c r="AK482" t="s">
        <v>4044</v>
      </c>
      <c r="AL482" t="s">
        <v>243</v>
      </c>
      <c r="AM482" t="s">
        <v>243</v>
      </c>
      <c r="AN482" t="s">
        <v>243</v>
      </c>
      <c r="AR482" t="s">
        <v>243</v>
      </c>
      <c r="AS482" t="s">
        <v>243</v>
      </c>
      <c r="AT482" t="s">
        <v>243</v>
      </c>
      <c r="AU482" t="s">
        <v>243</v>
      </c>
      <c r="AV482" t="s">
        <v>243</v>
      </c>
      <c r="AW482" t="s">
        <v>243</v>
      </c>
      <c r="AX482" t="s">
        <v>243</v>
      </c>
      <c r="AY482" t="s">
        <v>243</v>
      </c>
      <c r="AZ482" t="s">
        <v>243</v>
      </c>
      <c r="BA482" t="s">
        <v>243</v>
      </c>
      <c r="BB482" t="s">
        <v>243</v>
      </c>
      <c r="BC482" t="s">
        <v>243</v>
      </c>
      <c r="BD482" t="s">
        <v>243</v>
      </c>
      <c r="BE482" t="s">
        <v>243</v>
      </c>
      <c r="BF482" t="s">
        <v>243</v>
      </c>
      <c r="BG482" t="s">
        <v>243</v>
      </c>
      <c r="BH482" t="s">
        <v>243</v>
      </c>
      <c r="BI482" t="s">
        <v>243</v>
      </c>
      <c r="BJ482" t="s">
        <v>243</v>
      </c>
      <c r="BK482" t="s">
        <v>243</v>
      </c>
      <c r="BL482" t="s">
        <v>243</v>
      </c>
      <c r="BM482" t="s">
        <v>243</v>
      </c>
      <c r="BN482" t="s">
        <v>243</v>
      </c>
      <c r="BO482" t="s">
        <v>243</v>
      </c>
      <c r="BP482" t="s">
        <v>243</v>
      </c>
      <c r="BQ482" t="s">
        <v>243</v>
      </c>
      <c r="BR482" t="s">
        <v>243</v>
      </c>
      <c r="BS482" t="s">
        <v>243</v>
      </c>
      <c r="BT482" t="s">
        <v>243</v>
      </c>
      <c r="BU482" t="s">
        <v>243</v>
      </c>
      <c r="BV482" t="s">
        <v>243</v>
      </c>
      <c r="BW482" t="s">
        <v>243</v>
      </c>
      <c r="BX482" t="s">
        <v>243</v>
      </c>
      <c r="BY482" t="s">
        <v>243</v>
      </c>
      <c r="BZ482" t="s">
        <v>243</v>
      </c>
      <c r="CA482" t="s">
        <v>243</v>
      </c>
      <c r="CB482" t="s">
        <v>243</v>
      </c>
      <c r="CC482" t="s">
        <v>243</v>
      </c>
      <c r="CD482" t="s">
        <v>243</v>
      </c>
      <c r="CE482" t="s">
        <v>243</v>
      </c>
      <c r="CF482" t="s">
        <v>243</v>
      </c>
      <c r="CG482" t="s">
        <v>243</v>
      </c>
      <c r="CH482" t="s">
        <v>243</v>
      </c>
      <c r="CI482" t="s">
        <v>243</v>
      </c>
      <c r="CJ482" t="s">
        <v>243</v>
      </c>
      <c r="CK482" t="s">
        <v>243</v>
      </c>
      <c r="CL482" t="s">
        <v>243</v>
      </c>
      <c r="CM482" t="s">
        <v>243</v>
      </c>
      <c r="CN482" t="s">
        <v>243</v>
      </c>
      <c r="CO482" t="s">
        <v>2843</v>
      </c>
      <c r="CP482" t="s">
        <v>2844</v>
      </c>
      <c r="CQ482" t="s">
        <v>430</v>
      </c>
      <c r="CR482" t="s">
        <v>2984</v>
      </c>
      <c r="CS482" t="s">
        <v>431</v>
      </c>
      <c r="CT482" t="s">
        <v>430</v>
      </c>
      <c r="CU482" t="s">
        <v>2985</v>
      </c>
      <c r="CV482" t="s">
        <v>2986</v>
      </c>
      <c r="CW482" t="s">
        <v>2984</v>
      </c>
      <c r="CX482" t="s">
        <v>2848</v>
      </c>
      <c r="CY482" t="s">
        <v>4358</v>
      </c>
    </row>
    <row r="483" spans="1:103" ht="11.25" customHeight="1">
      <c r="A483" t="s">
        <v>243</v>
      </c>
      <c r="B483" t="s">
        <v>243</v>
      </c>
      <c r="C483" t="s">
        <v>243</v>
      </c>
      <c r="D483" t="s">
        <v>243</v>
      </c>
      <c r="E483" t="s">
        <v>243</v>
      </c>
      <c r="F483" t="s">
        <v>2816</v>
      </c>
      <c r="G483" t="s">
        <v>243</v>
      </c>
      <c r="H483" t="s">
        <v>243</v>
      </c>
      <c r="I483" t="s">
        <v>4429</v>
      </c>
      <c r="J483" t="s">
        <v>243</v>
      </c>
      <c r="K483" t="s">
        <v>428</v>
      </c>
      <c r="L483" t="s">
        <v>243</v>
      </c>
      <c r="M483" t="s">
        <v>114</v>
      </c>
      <c r="N483" t="s">
        <v>243</v>
      </c>
      <c r="O483" t="s">
        <v>2819</v>
      </c>
      <c r="P483" t="s">
        <v>4448</v>
      </c>
      <c r="Q483" t="s">
        <v>2821</v>
      </c>
      <c r="R483" t="s">
        <v>200</v>
      </c>
      <c r="S483" t="s">
        <v>200</v>
      </c>
      <c r="T483" t="s">
        <v>3022</v>
      </c>
      <c r="U483" t="s">
        <v>3022</v>
      </c>
      <c r="V483" t="s">
        <v>3023</v>
      </c>
      <c r="W483" t="s">
        <v>3431</v>
      </c>
      <c r="X483" t="s">
        <v>3432</v>
      </c>
      <c r="Y483" t="s">
        <v>4430</v>
      </c>
      <c r="Z483" t="s">
        <v>4431</v>
      </c>
      <c r="AA483" t="s">
        <v>4432</v>
      </c>
      <c r="AB483" t="s">
        <v>4433</v>
      </c>
      <c r="AC483" t="s">
        <v>2829</v>
      </c>
      <c r="AD483" t="s">
        <v>2883</v>
      </c>
      <c r="AE483" t="s">
        <v>2831</v>
      </c>
      <c r="AF483" t="s">
        <v>4434</v>
      </c>
      <c r="AG483" t="s">
        <v>4434</v>
      </c>
      <c r="AH483" t="s">
        <v>2834</v>
      </c>
      <c r="AI483" t="s">
        <v>2835</v>
      </c>
      <c r="AJ483" t="s">
        <v>2997</v>
      </c>
      <c r="AK483" t="s">
        <v>4435</v>
      </c>
      <c r="AL483" t="s">
        <v>4432</v>
      </c>
      <c r="AM483" t="s">
        <v>4433</v>
      </c>
      <c r="AN483" t="s">
        <v>2829</v>
      </c>
      <c r="AO483" t="s">
        <v>2839</v>
      </c>
      <c r="AP483" t="s">
        <v>2840</v>
      </c>
      <c r="AQ483" t="s">
        <v>2841</v>
      </c>
      <c r="AR483" t="s">
        <v>4436</v>
      </c>
      <c r="AS483" t="s">
        <v>4437</v>
      </c>
      <c r="AT483" t="s">
        <v>3659</v>
      </c>
      <c r="AU483" t="s">
        <v>2829</v>
      </c>
      <c r="AV483" t="s">
        <v>2829</v>
      </c>
      <c r="AW483" t="s">
        <v>2829</v>
      </c>
      <c r="AX483" t="s">
        <v>2829</v>
      </c>
      <c r="AY483" t="s">
        <v>2829</v>
      </c>
      <c r="AZ483" t="s">
        <v>2829</v>
      </c>
      <c r="BA483" t="s">
        <v>2829</v>
      </c>
      <c r="BB483" t="s">
        <v>2829</v>
      </c>
      <c r="BC483" t="s">
        <v>2829</v>
      </c>
      <c r="BD483" t="s">
        <v>4438</v>
      </c>
      <c r="BE483" t="s">
        <v>4439</v>
      </c>
      <c r="BF483" t="s">
        <v>3142</v>
      </c>
      <c r="BG483" t="s">
        <v>243</v>
      </c>
      <c r="BH483" t="s">
        <v>243</v>
      </c>
      <c r="BI483" t="s">
        <v>243</v>
      </c>
      <c r="BJ483" t="s">
        <v>2829</v>
      </c>
      <c r="BK483" t="s">
        <v>243</v>
      </c>
      <c r="BL483" t="s">
        <v>243</v>
      </c>
      <c r="BM483" t="s">
        <v>243</v>
      </c>
      <c r="BN483" t="s">
        <v>243</v>
      </c>
      <c r="BO483" t="s">
        <v>243</v>
      </c>
      <c r="BP483" t="s">
        <v>4440</v>
      </c>
      <c r="BQ483" t="s">
        <v>2939</v>
      </c>
      <c r="BR483" t="s">
        <v>3332</v>
      </c>
      <c r="BS483" t="s">
        <v>243</v>
      </c>
      <c r="BT483" t="s">
        <v>243</v>
      </c>
      <c r="BU483" t="s">
        <v>243</v>
      </c>
      <c r="BV483" t="s">
        <v>2829</v>
      </c>
      <c r="BW483" t="s">
        <v>243</v>
      </c>
      <c r="BX483" t="s">
        <v>243</v>
      </c>
      <c r="BY483" t="s">
        <v>243</v>
      </c>
      <c r="BZ483" t="s">
        <v>243</v>
      </c>
      <c r="CA483" t="s">
        <v>243</v>
      </c>
      <c r="CB483" t="s">
        <v>4441</v>
      </c>
      <c r="CC483" t="s">
        <v>4441</v>
      </c>
      <c r="CD483" t="s">
        <v>243</v>
      </c>
      <c r="CE483" t="s">
        <v>243</v>
      </c>
      <c r="CF483" t="s">
        <v>243</v>
      </c>
      <c r="CG483" t="s">
        <v>243</v>
      </c>
      <c r="CH483" t="s">
        <v>2829</v>
      </c>
      <c r="CI483" t="s">
        <v>243</v>
      </c>
      <c r="CJ483" t="s">
        <v>243</v>
      </c>
      <c r="CK483" t="s">
        <v>243</v>
      </c>
      <c r="CL483" t="s">
        <v>243</v>
      </c>
      <c r="CM483" t="s">
        <v>243</v>
      </c>
      <c r="CN483" t="s">
        <v>3030</v>
      </c>
      <c r="CO483" t="s">
        <v>2843</v>
      </c>
      <c r="CP483" t="s">
        <v>2844</v>
      </c>
      <c r="CQ483" t="s">
        <v>430</v>
      </c>
      <c r="CR483" t="s">
        <v>3033</v>
      </c>
      <c r="CS483" t="s">
        <v>431</v>
      </c>
      <c r="CT483" t="s">
        <v>430</v>
      </c>
      <c r="CU483" t="s">
        <v>3034</v>
      </c>
      <c r="CV483" t="s">
        <v>432</v>
      </c>
      <c r="CW483" t="s">
        <v>3033</v>
      </c>
      <c r="CX483" t="s">
        <v>2848</v>
      </c>
      <c r="CY483" t="s">
        <v>4442</v>
      </c>
    </row>
    <row r="484" spans="1:103" ht="11.25" customHeight="1">
      <c r="A484" t="s">
        <v>243</v>
      </c>
      <c r="B484" t="s">
        <v>243</v>
      </c>
      <c r="C484" t="s">
        <v>243</v>
      </c>
      <c r="D484" t="s">
        <v>243</v>
      </c>
      <c r="E484" t="s">
        <v>243</v>
      </c>
      <c r="F484" t="s">
        <v>2816</v>
      </c>
      <c r="G484" t="s">
        <v>243</v>
      </c>
      <c r="H484" t="s">
        <v>243</v>
      </c>
      <c r="I484" t="s">
        <v>3691</v>
      </c>
      <c r="J484" t="s">
        <v>243</v>
      </c>
      <c r="K484" t="s">
        <v>3692</v>
      </c>
      <c r="L484" t="s">
        <v>243</v>
      </c>
      <c r="M484" t="s">
        <v>114</v>
      </c>
      <c r="N484" t="s">
        <v>243</v>
      </c>
      <c r="O484" t="s">
        <v>2819</v>
      </c>
      <c r="P484" t="s">
        <v>4448</v>
      </c>
      <c r="Q484" t="s">
        <v>2821</v>
      </c>
      <c r="R484" t="s">
        <v>200</v>
      </c>
      <c r="S484" t="s">
        <v>200</v>
      </c>
      <c r="T484" t="s">
        <v>2933</v>
      </c>
      <c r="U484" t="s">
        <v>2933</v>
      </c>
      <c r="V484" t="s">
        <v>2934</v>
      </c>
      <c r="W484" t="s">
        <v>3138</v>
      </c>
      <c r="X484" t="s">
        <v>3139</v>
      </c>
      <c r="Y484" t="s">
        <v>3693</v>
      </c>
      <c r="Z484" t="s">
        <v>3477</v>
      </c>
      <c r="AA484" t="s">
        <v>3694</v>
      </c>
      <c r="AB484" t="s">
        <v>3695</v>
      </c>
      <c r="AC484" t="s">
        <v>3260</v>
      </c>
      <c r="AD484" t="s">
        <v>2883</v>
      </c>
      <c r="AE484" t="s">
        <v>2831</v>
      </c>
      <c r="AF484" t="s">
        <v>3144</v>
      </c>
      <c r="AG484" t="s">
        <v>3696</v>
      </c>
      <c r="AH484" t="s">
        <v>2834</v>
      </c>
      <c r="AI484" t="s">
        <v>2887</v>
      </c>
      <c r="AJ484" t="s">
        <v>3146</v>
      </c>
      <c r="AK484" t="s">
        <v>3697</v>
      </c>
      <c r="AL484" t="s">
        <v>3694</v>
      </c>
      <c r="AM484" t="s">
        <v>3698</v>
      </c>
      <c r="AN484" t="s">
        <v>3260</v>
      </c>
      <c r="AO484" t="s">
        <v>2839</v>
      </c>
      <c r="AP484" t="s">
        <v>2840</v>
      </c>
      <c r="AQ484" t="s">
        <v>2841</v>
      </c>
      <c r="AR484" t="s">
        <v>3699</v>
      </c>
      <c r="AS484" t="s">
        <v>3700</v>
      </c>
      <c r="AT484" t="s">
        <v>3701</v>
      </c>
      <c r="AU484" t="s">
        <v>3702</v>
      </c>
      <c r="AV484" t="s">
        <v>3703</v>
      </c>
      <c r="AW484" t="s">
        <v>2829</v>
      </c>
      <c r="AX484" t="s">
        <v>2829</v>
      </c>
      <c r="AY484" t="s">
        <v>2829</v>
      </c>
      <c r="AZ484" t="s">
        <v>2829</v>
      </c>
      <c r="BA484" t="s">
        <v>2829</v>
      </c>
      <c r="BB484" t="s">
        <v>2829</v>
      </c>
      <c r="BC484" t="s">
        <v>2829</v>
      </c>
      <c r="BD484" t="s">
        <v>3704</v>
      </c>
      <c r="BE484" t="s">
        <v>3705</v>
      </c>
      <c r="BF484" t="s">
        <v>3706</v>
      </c>
      <c r="BG484" t="s">
        <v>3107</v>
      </c>
      <c r="BH484" t="s">
        <v>3703</v>
      </c>
      <c r="BI484" t="s">
        <v>243</v>
      </c>
      <c r="BJ484" t="s">
        <v>2829</v>
      </c>
      <c r="BK484" t="s">
        <v>243</v>
      </c>
      <c r="BL484" t="s">
        <v>243</v>
      </c>
      <c r="BM484" t="s">
        <v>243</v>
      </c>
      <c r="BN484" t="s">
        <v>243</v>
      </c>
      <c r="BO484" t="s">
        <v>243</v>
      </c>
      <c r="BP484" t="s">
        <v>3707</v>
      </c>
      <c r="BQ484" t="s">
        <v>3708</v>
      </c>
      <c r="BR484" t="s">
        <v>3709</v>
      </c>
      <c r="BS484" t="s">
        <v>2859</v>
      </c>
      <c r="BT484" t="s">
        <v>243</v>
      </c>
      <c r="BU484" t="s">
        <v>243</v>
      </c>
      <c r="BV484" t="s">
        <v>2829</v>
      </c>
      <c r="BW484" t="s">
        <v>243</v>
      </c>
      <c r="BX484" t="s">
        <v>243</v>
      </c>
      <c r="BY484" t="s">
        <v>243</v>
      </c>
      <c r="BZ484" t="s">
        <v>243</v>
      </c>
      <c r="CA484" t="s">
        <v>243</v>
      </c>
      <c r="CB484" t="s">
        <v>2829</v>
      </c>
      <c r="CC484" t="s">
        <v>243</v>
      </c>
      <c r="CD484" t="s">
        <v>243</v>
      </c>
      <c r="CE484" t="s">
        <v>243</v>
      </c>
      <c r="CF484" t="s">
        <v>243</v>
      </c>
      <c r="CG484" t="s">
        <v>243</v>
      </c>
      <c r="CH484" t="s">
        <v>2829</v>
      </c>
      <c r="CI484" t="s">
        <v>243</v>
      </c>
      <c r="CJ484" t="s">
        <v>243</v>
      </c>
      <c r="CK484" t="s">
        <v>243</v>
      </c>
      <c r="CL484" t="s">
        <v>243</v>
      </c>
      <c r="CM484" t="s">
        <v>243</v>
      </c>
      <c r="CN484" t="s">
        <v>3150</v>
      </c>
      <c r="CO484" t="s">
        <v>2843</v>
      </c>
      <c r="CP484" t="s">
        <v>2844</v>
      </c>
      <c r="CQ484" t="s">
        <v>430</v>
      </c>
      <c r="CR484" t="s">
        <v>3151</v>
      </c>
      <c r="CS484" t="s">
        <v>266</v>
      </c>
      <c r="CT484" t="s">
        <v>430</v>
      </c>
      <c r="CU484" t="s">
        <v>440</v>
      </c>
      <c r="CV484" t="s">
        <v>3152</v>
      </c>
      <c r="CW484" t="s">
        <v>3151</v>
      </c>
      <c r="CX484" t="s">
        <v>2848</v>
      </c>
      <c r="CY484" t="s">
        <v>3710</v>
      </c>
    </row>
    <row r="485" spans="1:103" ht="11.25" customHeight="1">
      <c r="A485" t="s">
        <v>243</v>
      </c>
      <c r="B485" t="s">
        <v>243</v>
      </c>
      <c r="C485" t="s">
        <v>243</v>
      </c>
      <c r="D485" t="s">
        <v>243</v>
      </c>
      <c r="E485" t="s">
        <v>243</v>
      </c>
      <c r="F485" t="s">
        <v>2816</v>
      </c>
      <c r="G485" t="s">
        <v>243</v>
      </c>
      <c r="H485" t="s">
        <v>243</v>
      </c>
      <c r="I485" t="s">
        <v>3299</v>
      </c>
      <c r="J485" t="s">
        <v>243</v>
      </c>
      <c r="K485" t="s">
        <v>428</v>
      </c>
      <c r="L485" t="s">
        <v>243</v>
      </c>
      <c r="M485" t="s">
        <v>114</v>
      </c>
      <c r="N485" t="s">
        <v>243</v>
      </c>
      <c r="O485" t="s">
        <v>2819</v>
      </c>
      <c r="P485" t="s">
        <v>4448</v>
      </c>
      <c r="Q485" t="s">
        <v>2821</v>
      </c>
      <c r="R485" t="s">
        <v>200</v>
      </c>
      <c r="S485" t="s">
        <v>200</v>
      </c>
      <c r="T485" t="s">
        <v>3048</v>
      </c>
      <c r="U485" t="s">
        <v>3048</v>
      </c>
      <c r="V485" t="s">
        <v>3049</v>
      </c>
      <c r="W485" t="s">
        <v>3050</v>
      </c>
      <c r="X485" t="s">
        <v>3051</v>
      </c>
      <c r="Y485" t="s">
        <v>3300</v>
      </c>
      <c r="Z485" t="s">
        <v>1763</v>
      </c>
      <c r="AA485" t="s">
        <v>3301</v>
      </c>
      <c r="AB485" t="s">
        <v>3302</v>
      </c>
      <c r="AC485" t="s">
        <v>2829</v>
      </c>
      <c r="AD485" t="s">
        <v>2883</v>
      </c>
      <c r="AE485" t="s">
        <v>2831</v>
      </c>
      <c r="AF485" t="s">
        <v>3055</v>
      </c>
      <c r="AG485" t="s">
        <v>3055</v>
      </c>
      <c r="AH485" t="s">
        <v>2834</v>
      </c>
      <c r="AI485" t="s">
        <v>2835</v>
      </c>
      <c r="AJ485" t="s">
        <v>3060</v>
      </c>
      <c r="AK485" t="s">
        <v>2961</v>
      </c>
      <c r="AL485" t="s">
        <v>3301</v>
      </c>
      <c r="AM485" t="s">
        <v>3303</v>
      </c>
      <c r="AN485" t="s">
        <v>2829</v>
      </c>
      <c r="AO485" t="s">
        <v>2839</v>
      </c>
      <c r="AP485" t="s">
        <v>2840</v>
      </c>
      <c r="AQ485" t="s">
        <v>2841</v>
      </c>
      <c r="AR485" t="s">
        <v>3005</v>
      </c>
      <c r="AS485" t="s">
        <v>3005</v>
      </c>
      <c r="AT485" t="s">
        <v>2829</v>
      </c>
      <c r="AU485" t="s">
        <v>2829</v>
      </c>
      <c r="AV485" t="s">
        <v>2829</v>
      </c>
      <c r="AW485" t="s">
        <v>2829</v>
      </c>
      <c r="AX485" t="s">
        <v>2829</v>
      </c>
      <c r="AY485" t="s">
        <v>2829</v>
      </c>
      <c r="AZ485" t="s">
        <v>2829</v>
      </c>
      <c r="BA485" t="s">
        <v>2829</v>
      </c>
      <c r="BB485" t="s">
        <v>2829</v>
      </c>
      <c r="BC485" t="s">
        <v>2829</v>
      </c>
      <c r="BD485" t="s">
        <v>3005</v>
      </c>
      <c r="BE485" t="s">
        <v>3005</v>
      </c>
      <c r="BF485" t="s">
        <v>243</v>
      </c>
      <c r="BG485" t="s">
        <v>243</v>
      </c>
      <c r="BH485" t="s">
        <v>243</v>
      </c>
      <c r="BI485" t="s">
        <v>243</v>
      </c>
      <c r="BJ485" t="s">
        <v>2829</v>
      </c>
      <c r="BK485" t="s">
        <v>243</v>
      </c>
      <c r="BL485" t="s">
        <v>243</v>
      </c>
      <c r="BM485" t="s">
        <v>243</v>
      </c>
      <c r="BN485" t="s">
        <v>243</v>
      </c>
      <c r="BO485" t="s">
        <v>243</v>
      </c>
      <c r="BP485" t="s">
        <v>2829</v>
      </c>
      <c r="BQ485" t="s">
        <v>243</v>
      </c>
      <c r="BR485" t="s">
        <v>243</v>
      </c>
      <c r="BS485" t="s">
        <v>243</v>
      </c>
      <c r="BT485" t="s">
        <v>243</v>
      </c>
      <c r="BU485" t="s">
        <v>243</v>
      </c>
      <c r="BV485" t="s">
        <v>2829</v>
      </c>
      <c r="BW485" t="s">
        <v>243</v>
      </c>
      <c r="BX485" t="s">
        <v>243</v>
      </c>
      <c r="BY485" t="s">
        <v>243</v>
      </c>
      <c r="BZ485" t="s">
        <v>243</v>
      </c>
      <c r="CA485" t="s">
        <v>243</v>
      </c>
      <c r="CB485" t="s">
        <v>2829</v>
      </c>
      <c r="CC485" t="s">
        <v>243</v>
      </c>
      <c r="CD485" t="s">
        <v>243</v>
      </c>
      <c r="CE485" t="s">
        <v>243</v>
      </c>
      <c r="CF485" t="s">
        <v>243</v>
      </c>
      <c r="CG485" t="s">
        <v>243</v>
      </c>
      <c r="CH485" t="s">
        <v>2829</v>
      </c>
      <c r="CI485" t="s">
        <v>243</v>
      </c>
      <c r="CJ485" t="s">
        <v>243</v>
      </c>
      <c r="CK485" t="s">
        <v>243</v>
      </c>
      <c r="CL485" t="s">
        <v>243</v>
      </c>
      <c r="CM485" t="s">
        <v>243</v>
      </c>
      <c r="CN485" t="s">
        <v>3187</v>
      </c>
      <c r="CO485" t="s">
        <v>2843</v>
      </c>
      <c r="CP485" t="s">
        <v>2844</v>
      </c>
      <c r="CQ485" t="s">
        <v>470</v>
      </c>
      <c r="CR485" t="s">
        <v>2872</v>
      </c>
      <c r="CS485" t="s">
        <v>431</v>
      </c>
      <c r="CT485" t="s">
        <v>470</v>
      </c>
      <c r="CU485" t="s">
        <v>3061</v>
      </c>
      <c r="CV485" t="s">
        <v>3062</v>
      </c>
      <c r="CW485" t="s">
        <v>2872</v>
      </c>
      <c r="CX485" t="s">
        <v>2848</v>
      </c>
      <c r="CY485" t="s">
        <v>3304</v>
      </c>
    </row>
    <row r="486" spans="1:103" ht="11.25" customHeight="1">
      <c r="A486" t="s">
        <v>243</v>
      </c>
      <c r="B486" t="s">
        <v>243</v>
      </c>
      <c r="C486" t="s">
        <v>243</v>
      </c>
      <c r="D486" t="s">
        <v>243</v>
      </c>
      <c r="E486" t="s">
        <v>243</v>
      </c>
      <c r="F486" t="s">
        <v>2816</v>
      </c>
      <c r="G486" t="s">
        <v>243</v>
      </c>
      <c r="H486" t="s">
        <v>243</v>
      </c>
      <c r="I486" t="s">
        <v>3958</v>
      </c>
      <c r="J486" t="s">
        <v>243</v>
      </c>
      <c r="K486" t="s">
        <v>3908</v>
      </c>
      <c r="L486" t="s">
        <v>243</v>
      </c>
      <c r="M486" t="s">
        <v>114</v>
      </c>
      <c r="N486" t="s">
        <v>243</v>
      </c>
      <c r="O486" t="s">
        <v>2819</v>
      </c>
      <c r="P486" t="s">
        <v>4448</v>
      </c>
      <c r="Q486" t="s">
        <v>2821</v>
      </c>
      <c r="R486" t="s">
        <v>200</v>
      </c>
      <c r="S486" t="s">
        <v>200</v>
      </c>
      <c r="T486" t="s">
        <v>2822</v>
      </c>
      <c r="U486" t="s">
        <v>2822</v>
      </c>
      <c r="V486" t="s">
        <v>2823</v>
      </c>
      <c r="W486" t="s">
        <v>3959</v>
      </c>
      <c r="X486" t="s">
        <v>3960</v>
      </c>
      <c r="Y486" t="s">
        <v>3610</v>
      </c>
      <c r="Z486" t="s">
        <v>3961</v>
      </c>
      <c r="AA486" t="s">
        <v>3962</v>
      </c>
      <c r="AB486" t="s">
        <v>3371</v>
      </c>
      <c r="AC486" t="s">
        <v>2829</v>
      </c>
      <c r="AD486" t="s">
        <v>2830</v>
      </c>
      <c r="AE486" t="s">
        <v>2831</v>
      </c>
      <c r="AF486" t="s">
        <v>3963</v>
      </c>
      <c r="AG486" t="s">
        <v>3964</v>
      </c>
      <c r="AH486" t="s">
        <v>2834</v>
      </c>
      <c r="AI486" t="s">
        <v>2835</v>
      </c>
      <c r="AJ486" t="s">
        <v>2960</v>
      </c>
      <c r="AK486" t="s">
        <v>3965</v>
      </c>
      <c r="AL486" t="s">
        <v>3078</v>
      </c>
      <c r="AM486" t="s">
        <v>3371</v>
      </c>
      <c r="AN486" t="s">
        <v>2829</v>
      </c>
      <c r="AO486" t="s">
        <v>2839</v>
      </c>
      <c r="AP486" t="s">
        <v>2840</v>
      </c>
      <c r="AQ486" t="s">
        <v>2841</v>
      </c>
      <c r="AR486" t="s">
        <v>3217</v>
      </c>
      <c r="AS486" t="s">
        <v>3217</v>
      </c>
      <c r="AT486" t="s">
        <v>2829</v>
      </c>
      <c r="AU486" t="s">
        <v>2829</v>
      </c>
      <c r="AV486" t="s">
        <v>2829</v>
      </c>
      <c r="AW486" t="s">
        <v>2829</v>
      </c>
      <c r="AX486" t="s">
        <v>2829</v>
      </c>
      <c r="AY486" t="s">
        <v>2829</v>
      </c>
      <c r="AZ486" t="s">
        <v>2829</v>
      </c>
      <c r="BA486" t="s">
        <v>2829</v>
      </c>
      <c r="BB486" t="s">
        <v>2829</v>
      </c>
      <c r="BC486" t="s">
        <v>2829</v>
      </c>
      <c r="BD486" t="s">
        <v>2829</v>
      </c>
      <c r="BE486" t="s">
        <v>243</v>
      </c>
      <c r="BF486" t="s">
        <v>243</v>
      </c>
      <c r="BG486" t="s">
        <v>243</v>
      </c>
      <c r="BH486" t="s">
        <v>243</v>
      </c>
      <c r="BI486" t="s">
        <v>243</v>
      </c>
      <c r="BJ486" t="s">
        <v>2829</v>
      </c>
      <c r="BK486" t="s">
        <v>243</v>
      </c>
      <c r="BL486" t="s">
        <v>243</v>
      </c>
      <c r="BM486" t="s">
        <v>243</v>
      </c>
      <c r="BN486" t="s">
        <v>243</v>
      </c>
      <c r="BO486" t="s">
        <v>243</v>
      </c>
      <c r="BP486" t="s">
        <v>2829</v>
      </c>
      <c r="BQ486" t="s">
        <v>243</v>
      </c>
      <c r="BR486" t="s">
        <v>243</v>
      </c>
      <c r="BS486" t="s">
        <v>243</v>
      </c>
      <c r="BT486" t="s">
        <v>243</v>
      </c>
      <c r="BU486" t="s">
        <v>243</v>
      </c>
      <c r="BV486" t="s">
        <v>2829</v>
      </c>
      <c r="BW486" t="s">
        <v>243</v>
      </c>
      <c r="BX486" t="s">
        <v>243</v>
      </c>
      <c r="BY486" t="s">
        <v>243</v>
      </c>
      <c r="BZ486" t="s">
        <v>243</v>
      </c>
      <c r="CA486" t="s">
        <v>243</v>
      </c>
      <c r="CB486" t="s">
        <v>3217</v>
      </c>
      <c r="CC486" t="s">
        <v>3217</v>
      </c>
      <c r="CD486" t="s">
        <v>243</v>
      </c>
      <c r="CE486" t="s">
        <v>243</v>
      </c>
      <c r="CF486" t="s">
        <v>243</v>
      </c>
      <c r="CG486" t="s">
        <v>243</v>
      </c>
      <c r="CH486" t="s">
        <v>2829</v>
      </c>
      <c r="CI486" t="s">
        <v>243</v>
      </c>
      <c r="CJ486" t="s">
        <v>243</v>
      </c>
      <c r="CK486" t="s">
        <v>243</v>
      </c>
      <c r="CL486" t="s">
        <v>243</v>
      </c>
      <c r="CM486" t="s">
        <v>243</v>
      </c>
      <c r="CN486" t="s">
        <v>2960</v>
      </c>
      <c r="CO486" t="s">
        <v>2843</v>
      </c>
      <c r="CP486" t="s">
        <v>2844</v>
      </c>
      <c r="CQ486" t="s">
        <v>430</v>
      </c>
      <c r="CR486" t="s">
        <v>2845</v>
      </c>
      <c r="CS486" t="s">
        <v>431</v>
      </c>
      <c r="CT486" t="s">
        <v>430</v>
      </c>
      <c r="CU486" t="s">
        <v>2846</v>
      </c>
      <c r="CV486" t="s">
        <v>2847</v>
      </c>
      <c r="CW486" t="s">
        <v>2845</v>
      </c>
      <c r="CX486" t="s">
        <v>2848</v>
      </c>
      <c r="CY486" t="s">
        <v>3966</v>
      </c>
    </row>
    <row r="487" spans="1:103" ht="11.25" customHeight="1">
      <c r="A487" t="s">
        <v>243</v>
      </c>
      <c r="B487" t="s">
        <v>243</v>
      </c>
      <c r="C487" t="s">
        <v>243</v>
      </c>
      <c r="D487" t="s">
        <v>243</v>
      </c>
      <c r="E487" t="s">
        <v>243</v>
      </c>
      <c r="F487" t="s">
        <v>2816</v>
      </c>
      <c r="G487" t="s">
        <v>243</v>
      </c>
      <c r="H487" t="s">
        <v>243</v>
      </c>
      <c r="I487" t="s">
        <v>923</v>
      </c>
      <c r="J487" t="s">
        <v>243</v>
      </c>
      <c r="K487" t="s">
        <v>2818</v>
      </c>
      <c r="L487" t="s">
        <v>243</v>
      </c>
      <c r="M487" t="s">
        <v>114</v>
      </c>
      <c r="N487" t="s">
        <v>243</v>
      </c>
      <c r="O487" t="s">
        <v>2819</v>
      </c>
      <c r="P487" t="s">
        <v>4448</v>
      </c>
      <c r="Q487" t="s">
        <v>2821</v>
      </c>
      <c r="R487" t="s">
        <v>200</v>
      </c>
      <c r="S487" t="s">
        <v>200</v>
      </c>
      <c r="T487" t="s">
        <v>2822</v>
      </c>
      <c r="U487" t="s">
        <v>2822</v>
      </c>
      <c r="V487" t="s">
        <v>2823</v>
      </c>
      <c r="W487" t="s">
        <v>4080</v>
      </c>
      <c r="X487" t="s">
        <v>4081</v>
      </c>
      <c r="Y487" t="s">
        <v>2913</v>
      </c>
      <c r="Z487" t="s">
        <v>4191</v>
      </c>
      <c r="AA487" t="s">
        <v>2855</v>
      </c>
      <c r="AB487" t="s">
        <v>3876</v>
      </c>
      <c r="AC487" t="s">
        <v>2829</v>
      </c>
      <c r="AD487" t="s">
        <v>2830</v>
      </c>
      <c r="AE487" t="s">
        <v>2831</v>
      </c>
      <c r="AF487" t="s">
        <v>4192</v>
      </c>
      <c r="AG487" t="s">
        <v>2833</v>
      </c>
      <c r="AH487" t="s">
        <v>2834</v>
      </c>
      <c r="AI487" t="s">
        <v>2835</v>
      </c>
      <c r="AJ487" t="s">
        <v>2836</v>
      </c>
      <c r="AK487" t="s">
        <v>2837</v>
      </c>
      <c r="AL487" t="s">
        <v>2855</v>
      </c>
      <c r="AM487" t="s">
        <v>2838</v>
      </c>
      <c r="AN487" t="s">
        <v>2829</v>
      </c>
      <c r="AO487" t="s">
        <v>2839</v>
      </c>
      <c r="AP487" t="s">
        <v>2840</v>
      </c>
      <c r="AQ487" t="s">
        <v>2841</v>
      </c>
      <c r="AR487" t="s">
        <v>2842</v>
      </c>
      <c r="AS487" t="s">
        <v>2842</v>
      </c>
      <c r="AT487" t="s">
        <v>2829</v>
      </c>
      <c r="AU487" t="s">
        <v>2829</v>
      </c>
      <c r="AV487" t="s">
        <v>2829</v>
      </c>
      <c r="AW487" t="s">
        <v>2829</v>
      </c>
      <c r="AX487" t="s">
        <v>2829</v>
      </c>
      <c r="AY487" t="s">
        <v>2829</v>
      </c>
      <c r="AZ487" t="s">
        <v>2829</v>
      </c>
      <c r="BA487" t="s">
        <v>2829</v>
      </c>
      <c r="BB487" t="s">
        <v>2829</v>
      </c>
      <c r="BC487" t="s">
        <v>2829</v>
      </c>
      <c r="BD487" t="s">
        <v>2842</v>
      </c>
      <c r="BE487" t="s">
        <v>2842</v>
      </c>
      <c r="BF487" t="s">
        <v>243</v>
      </c>
      <c r="BG487" t="s">
        <v>243</v>
      </c>
      <c r="BH487" t="s">
        <v>243</v>
      </c>
      <c r="BI487" t="s">
        <v>243</v>
      </c>
      <c r="BJ487" t="s">
        <v>2829</v>
      </c>
      <c r="BK487" t="s">
        <v>243</v>
      </c>
      <c r="BL487" t="s">
        <v>243</v>
      </c>
      <c r="BM487" t="s">
        <v>243</v>
      </c>
      <c r="BN487" t="s">
        <v>243</v>
      </c>
      <c r="BO487" t="s">
        <v>243</v>
      </c>
      <c r="BP487" t="s">
        <v>2829</v>
      </c>
      <c r="BQ487" t="s">
        <v>243</v>
      </c>
      <c r="BR487" t="s">
        <v>243</v>
      </c>
      <c r="BS487" t="s">
        <v>243</v>
      </c>
      <c r="BT487" t="s">
        <v>243</v>
      </c>
      <c r="BU487" t="s">
        <v>243</v>
      </c>
      <c r="BV487" t="s">
        <v>2829</v>
      </c>
      <c r="BW487" t="s">
        <v>243</v>
      </c>
      <c r="BX487" t="s">
        <v>243</v>
      </c>
      <c r="BY487" t="s">
        <v>243</v>
      </c>
      <c r="BZ487" t="s">
        <v>243</v>
      </c>
      <c r="CA487" t="s">
        <v>243</v>
      </c>
      <c r="CB487" t="s">
        <v>2829</v>
      </c>
      <c r="CC487" t="s">
        <v>243</v>
      </c>
      <c r="CD487" t="s">
        <v>243</v>
      </c>
      <c r="CE487" t="s">
        <v>243</v>
      </c>
      <c r="CF487" t="s">
        <v>243</v>
      </c>
      <c r="CG487" t="s">
        <v>243</v>
      </c>
      <c r="CH487" t="s">
        <v>2829</v>
      </c>
      <c r="CI487" t="s">
        <v>243</v>
      </c>
      <c r="CJ487" t="s">
        <v>243</v>
      </c>
      <c r="CK487" t="s">
        <v>243</v>
      </c>
      <c r="CL487" t="s">
        <v>243</v>
      </c>
      <c r="CM487" t="s">
        <v>243</v>
      </c>
      <c r="CN487" t="s">
        <v>2836</v>
      </c>
      <c r="CO487" t="s">
        <v>2843</v>
      </c>
      <c r="CP487" t="s">
        <v>2844</v>
      </c>
      <c r="CQ487" t="s">
        <v>430</v>
      </c>
      <c r="CR487" t="s">
        <v>2845</v>
      </c>
      <c r="CS487" t="s">
        <v>431</v>
      </c>
      <c r="CT487" t="s">
        <v>430</v>
      </c>
      <c r="CU487" t="s">
        <v>2846</v>
      </c>
      <c r="CV487" t="s">
        <v>2847</v>
      </c>
      <c r="CW487" t="s">
        <v>2845</v>
      </c>
      <c r="CX487" t="s">
        <v>2848</v>
      </c>
      <c r="CY487" t="s">
        <v>4193</v>
      </c>
    </row>
    <row r="488" spans="1:103" ht="11.25" customHeight="1">
      <c r="A488" t="s">
        <v>243</v>
      </c>
      <c r="B488" t="s">
        <v>243</v>
      </c>
      <c r="C488" t="s">
        <v>243</v>
      </c>
      <c r="D488" t="s">
        <v>243</v>
      </c>
      <c r="E488" t="s">
        <v>243</v>
      </c>
      <c r="F488" t="s">
        <v>2816</v>
      </c>
      <c r="G488" t="s">
        <v>243</v>
      </c>
      <c r="H488" t="s">
        <v>243</v>
      </c>
      <c r="I488" t="s">
        <v>927</v>
      </c>
      <c r="J488" t="s">
        <v>243</v>
      </c>
      <c r="K488" t="s">
        <v>2818</v>
      </c>
      <c r="L488" t="s">
        <v>243</v>
      </c>
      <c r="M488" t="s">
        <v>114</v>
      </c>
      <c r="N488" t="s">
        <v>243</v>
      </c>
      <c r="O488" t="s">
        <v>2819</v>
      </c>
      <c r="P488" t="s">
        <v>4448</v>
      </c>
      <c r="Q488" t="s">
        <v>2821</v>
      </c>
      <c r="R488" t="s">
        <v>200</v>
      </c>
      <c r="S488" t="s">
        <v>200</v>
      </c>
      <c r="T488" t="s">
        <v>2822</v>
      </c>
      <c r="U488" t="s">
        <v>2822</v>
      </c>
      <c r="V488" t="s">
        <v>2823</v>
      </c>
      <c r="W488" t="s">
        <v>4080</v>
      </c>
      <c r="X488" t="s">
        <v>4081</v>
      </c>
      <c r="Y488" t="s">
        <v>3610</v>
      </c>
      <c r="Z488" t="s">
        <v>463</v>
      </c>
      <c r="AA488" t="s">
        <v>2904</v>
      </c>
      <c r="AB488" t="s">
        <v>4082</v>
      </c>
      <c r="AC488" t="s">
        <v>2829</v>
      </c>
      <c r="AD488" t="s">
        <v>2830</v>
      </c>
      <c r="AE488" t="s">
        <v>2831</v>
      </c>
      <c r="AF488" t="s">
        <v>4083</v>
      </c>
      <c r="AG488" t="s">
        <v>2833</v>
      </c>
      <c r="AH488" t="s">
        <v>2834</v>
      </c>
      <c r="AI488" t="s">
        <v>2835</v>
      </c>
      <c r="AJ488" t="s">
        <v>2836</v>
      </c>
      <c r="AK488" t="s">
        <v>2837</v>
      </c>
      <c r="AL488" t="s">
        <v>2904</v>
      </c>
      <c r="AM488" t="s">
        <v>2842</v>
      </c>
      <c r="AN488" t="s">
        <v>2829</v>
      </c>
      <c r="AO488" t="s">
        <v>2839</v>
      </c>
      <c r="AP488" t="s">
        <v>2840</v>
      </c>
      <c r="AQ488" t="s">
        <v>2841</v>
      </c>
      <c r="AR488" t="s">
        <v>2842</v>
      </c>
      <c r="AS488" t="s">
        <v>2842</v>
      </c>
      <c r="AT488" t="s">
        <v>2829</v>
      </c>
      <c r="AU488" t="s">
        <v>2829</v>
      </c>
      <c r="AV488" t="s">
        <v>2829</v>
      </c>
      <c r="AW488" t="s">
        <v>2829</v>
      </c>
      <c r="AX488" t="s">
        <v>2829</v>
      </c>
      <c r="AY488" t="s">
        <v>2829</v>
      </c>
      <c r="AZ488" t="s">
        <v>2829</v>
      </c>
      <c r="BA488" t="s">
        <v>2829</v>
      </c>
      <c r="BB488" t="s">
        <v>2829</v>
      </c>
      <c r="BC488" t="s">
        <v>2829</v>
      </c>
      <c r="BD488" t="s">
        <v>2842</v>
      </c>
      <c r="BE488" t="s">
        <v>2842</v>
      </c>
      <c r="BF488" t="s">
        <v>243</v>
      </c>
      <c r="BG488" t="s">
        <v>243</v>
      </c>
      <c r="BH488" t="s">
        <v>243</v>
      </c>
      <c r="BI488" t="s">
        <v>243</v>
      </c>
      <c r="BJ488" t="s">
        <v>2829</v>
      </c>
      <c r="BK488" t="s">
        <v>243</v>
      </c>
      <c r="BL488" t="s">
        <v>243</v>
      </c>
      <c r="BM488" t="s">
        <v>243</v>
      </c>
      <c r="BN488" t="s">
        <v>243</v>
      </c>
      <c r="BO488" t="s">
        <v>243</v>
      </c>
      <c r="BP488" t="s">
        <v>2829</v>
      </c>
      <c r="BQ488" t="s">
        <v>243</v>
      </c>
      <c r="BR488" t="s">
        <v>243</v>
      </c>
      <c r="BS488" t="s">
        <v>243</v>
      </c>
      <c r="BT488" t="s">
        <v>243</v>
      </c>
      <c r="BU488" t="s">
        <v>243</v>
      </c>
      <c r="BV488" t="s">
        <v>2829</v>
      </c>
      <c r="BW488" t="s">
        <v>243</v>
      </c>
      <c r="BX488" t="s">
        <v>243</v>
      </c>
      <c r="BY488" t="s">
        <v>243</v>
      </c>
      <c r="BZ488" t="s">
        <v>243</v>
      </c>
      <c r="CA488" t="s">
        <v>243</v>
      </c>
      <c r="CB488" t="s">
        <v>2829</v>
      </c>
      <c r="CC488" t="s">
        <v>243</v>
      </c>
      <c r="CD488" t="s">
        <v>243</v>
      </c>
      <c r="CE488" t="s">
        <v>243</v>
      </c>
      <c r="CF488" t="s">
        <v>243</v>
      </c>
      <c r="CG488" t="s">
        <v>243</v>
      </c>
      <c r="CH488" t="s">
        <v>2829</v>
      </c>
      <c r="CI488" t="s">
        <v>243</v>
      </c>
      <c r="CJ488" t="s">
        <v>243</v>
      </c>
      <c r="CK488" t="s">
        <v>243</v>
      </c>
      <c r="CL488" t="s">
        <v>243</v>
      </c>
      <c r="CM488" t="s">
        <v>243</v>
      </c>
      <c r="CN488" t="s">
        <v>2836</v>
      </c>
      <c r="CO488" t="s">
        <v>2843</v>
      </c>
      <c r="CP488" t="s">
        <v>2844</v>
      </c>
      <c r="CQ488" t="s">
        <v>430</v>
      </c>
      <c r="CR488" t="s">
        <v>2845</v>
      </c>
      <c r="CS488" t="s">
        <v>431</v>
      </c>
      <c r="CT488" t="s">
        <v>430</v>
      </c>
      <c r="CU488" t="s">
        <v>2846</v>
      </c>
      <c r="CV488" t="s">
        <v>2847</v>
      </c>
      <c r="CW488" t="s">
        <v>2845</v>
      </c>
      <c r="CX488" t="s">
        <v>2848</v>
      </c>
      <c r="CY488" t="s">
        <v>4084</v>
      </c>
    </row>
    <row r="489" spans="1:103" ht="11.25" customHeight="1">
      <c r="A489" t="s">
        <v>243</v>
      </c>
      <c r="B489" t="s">
        <v>243</v>
      </c>
      <c r="C489" t="s">
        <v>243</v>
      </c>
      <c r="D489" t="s">
        <v>243</v>
      </c>
      <c r="E489" t="s">
        <v>243</v>
      </c>
      <c r="F489" t="s">
        <v>2816</v>
      </c>
      <c r="G489" t="s">
        <v>243</v>
      </c>
      <c r="H489" t="s">
        <v>243</v>
      </c>
      <c r="I489" t="s">
        <v>3830</v>
      </c>
      <c r="J489" t="s">
        <v>243</v>
      </c>
      <c r="K489" t="s">
        <v>2818</v>
      </c>
      <c r="L489" t="s">
        <v>243</v>
      </c>
      <c r="M489" t="s">
        <v>114</v>
      </c>
      <c r="N489" t="s">
        <v>243</v>
      </c>
      <c r="O489" t="s">
        <v>2819</v>
      </c>
      <c r="P489" t="s">
        <v>4448</v>
      </c>
      <c r="Q489" t="s">
        <v>2821</v>
      </c>
      <c r="R489" t="s">
        <v>200</v>
      </c>
      <c r="S489" t="s">
        <v>200</v>
      </c>
      <c r="T489" t="s">
        <v>2822</v>
      </c>
      <c r="U489" t="s">
        <v>2822</v>
      </c>
      <c r="V489" t="s">
        <v>2823</v>
      </c>
      <c r="W489" t="s">
        <v>2952</v>
      </c>
      <c r="X489" t="s">
        <v>2953</v>
      </c>
      <c r="Y489" t="s">
        <v>4304</v>
      </c>
      <c r="Z489" t="s">
        <v>341</v>
      </c>
      <c r="AA489" t="s">
        <v>2855</v>
      </c>
      <c r="AB489" t="s">
        <v>3688</v>
      </c>
      <c r="AC489" t="s">
        <v>2829</v>
      </c>
      <c r="AD489" t="s">
        <v>2830</v>
      </c>
      <c r="AE489" t="s">
        <v>2831</v>
      </c>
      <c r="AF489" t="s">
        <v>4305</v>
      </c>
      <c r="AG489" t="s">
        <v>2833</v>
      </c>
      <c r="AH489" t="s">
        <v>2834</v>
      </c>
      <c r="AI489" t="s">
        <v>2835</v>
      </c>
      <c r="AJ489" t="s">
        <v>2829</v>
      </c>
      <c r="AK489" t="s">
        <v>2868</v>
      </c>
      <c r="AL489" t="s">
        <v>2855</v>
      </c>
      <c r="AM489" t="s">
        <v>3688</v>
      </c>
      <c r="AN489" t="s">
        <v>2829</v>
      </c>
      <c r="AO489" t="s">
        <v>2839</v>
      </c>
      <c r="AP489" t="s">
        <v>2840</v>
      </c>
      <c r="AQ489" t="s">
        <v>2841</v>
      </c>
      <c r="AR489" t="s">
        <v>4306</v>
      </c>
      <c r="AS489" t="s">
        <v>4306</v>
      </c>
      <c r="AT489" t="s">
        <v>2829</v>
      </c>
      <c r="AU489" t="s">
        <v>2829</v>
      </c>
      <c r="AV489" t="s">
        <v>2829</v>
      </c>
      <c r="AW489" t="s">
        <v>2829</v>
      </c>
      <c r="AX489" t="s">
        <v>2829</v>
      </c>
      <c r="AY489" t="s">
        <v>2829</v>
      </c>
      <c r="AZ489" t="s">
        <v>2829</v>
      </c>
      <c r="BA489" t="s">
        <v>2829</v>
      </c>
      <c r="BB489" t="s">
        <v>2829</v>
      </c>
      <c r="BC489" t="s">
        <v>2829</v>
      </c>
      <c r="BD489" t="s">
        <v>4306</v>
      </c>
      <c r="BE489" t="s">
        <v>4306</v>
      </c>
      <c r="BF489" t="s">
        <v>243</v>
      </c>
      <c r="BG489" t="s">
        <v>243</v>
      </c>
      <c r="BH489" t="s">
        <v>243</v>
      </c>
      <c r="BI489" t="s">
        <v>243</v>
      </c>
      <c r="BJ489" t="s">
        <v>2829</v>
      </c>
      <c r="BK489" t="s">
        <v>243</v>
      </c>
      <c r="BL489" t="s">
        <v>243</v>
      </c>
      <c r="BM489" t="s">
        <v>243</v>
      </c>
      <c r="BN489" t="s">
        <v>243</v>
      </c>
      <c r="BO489" t="s">
        <v>243</v>
      </c>
      <c r="BP489" t="s">
        <v>2829</v>
      </c>
      <c r="BQ489" t="s">
        <v>243</v>
      </c>
      <c r="BR489" t="s">
        <v>243</v>
      </c>
      <c r="BS489" t="s">
        <v>243</v>
      </c>
      <c r="BT489" t="s">
        <v>243</v>
      </c>
      <c r="BU489" t="s">
        <v>243</v>
      </c>
      <c r="BV489" t="s">
        <v>2829</v>
      </c>
      <c r="BW489" t="s">
        <v>243</v>
      </c>
      <c r="BX489" t="s">
        <v>243</v>
      </c>
      <c r="BY489" t="s">
        <v>243</v>
      </c>
      <c r="BZ489" t="s">
        <v>243</v>
      </c>
      <c r="CA489" t="s">
        <v>243</v>
      </c>
      <c r="CB489" t="s">
        <v>2829</v>
      </c>
      <c r="CC489" t="s">
        <v>243</v>
      </c>
      <c r="CD489" t="s">
        <v>243</v>
      </c>
      <c r="CE489" t="s">
        <v>243</v>
      </c>
      <c r="CF489" t="s">
        <v>243</v>
      </c>
      <c r="CG489" t="s">
        <v>243</v>
      </c>
      <c r="CH489" t="s">
        <v>2829</v>
      </c>
      <c r="CI489" t="s">
        <v>243</v>
      </c>
      <c r="CJ489" t="s">
        <v>243</v>
      </c>
      <c r="CK489" t="s">
        <v>243</v>
      </c>
      <c r="CL489" t="s">
        <v>243</v>
      </c>
      <c r="CM489" t="s">
        <v>243</v>
      </c>
      <c r="CN489" t="s">
        <v>2829</v>
      </c>
      <c r="CO489" t="s">
        <v>2843</v>
      </c>
      <c r="CP489" t="s">
        <v>2844</v>
      </c>
      <c r="CQ489" t="s">
        <v>430</v>
      </c>
      <c r="CR489" t="s">
        <v>2872</v>
      </c>
      <c r="CS489" t="s">
        <v>431</v>
      </c>
      <c r="CT489" t="s">
        <v>430</v>
      </c>
      <c r="CU489" t="s">
        <v>2846</v>
      </c>
      <c r="CV489" t="s">
        <v>2873</v>
      </c>
      <c r="CW489" t="s">
        <v>2872</v>
      </c>
      <c r="CX489" t="s">
        <v>2848</v>
      </c>
      <c r="CY489" t="s">
        <v>4307</v>
      </c>
    </row>
    <row r="490" spans="1:103" ht="11.25" customHeight="1">
      <c r="A490" t="s">
        <v>243</v>
      </c>
      <c r="B490" t="s">
        <v>243</v>
      </c>
      <c r="C490" t="s">
        <v>243</v>
      </c>
      <c r="D490" t="s">
        <v>243</v>
      </c>
      <c r="E490" t="s">
        <v>243</v>
      </c>
      <c r="F490" t="s">
        <v>2816</v>
      </c>
      <c r="G490" t="s">
        <v>243</v>
      </c>
      <c r="H490" t="s">
        <v>243</v>
      </c>
      <c r="I490" t="s">
        <v>4314</v>
      </c>
      <c r="J490" t="s">
        <v>243</v>
      </c>
      <c r="K490" t="s">
        <v>2818</v>
      </c>
      <c r="L490" t="s">
        <v>243</v>
      </c>
      <c r="M490" t="s">
        <v>114</v>
      </c>
      <c r="N490" t="s">
        <v>243</v>
      </c>
      <c r="O490" t="s">
        <v>2819</v>
      </c>
      <c r="P490" t="s">
        <v>4448</v>
      </c>
      <c r="Q490" t="s">
        <v>2821</v>
      </c>
      <c r="R490" t="s">
        <v>200</v>
      </c>
      <c r="S490" t="s">
        <v>200</v>
      </c>
      <c r="T490" t="s">
        <v>2822</v>
      </c>
      <c r="U490" t="s">
        <v>2822</v>
      </c>
      <c r="V490" t="s">
        <v>2823</v>
      </c>
      <c r="W490" t="s">
        <v>2851</v>
      </c>
      <c r="X490" t="s">
        <v>2852</v>
      </c>
      <c r="Y490" t="s">
        <v>4315</v>
      </c>
      <c r="Z490" t="s">
        <v>3477</v>
      </c>
      <c r="AA490" t="s">
        <v>2865</v>
      </c>
      <c r="AB490" t="s">
        <v>4316</v>
      </c>
      <c r="AC490" t="s">
        <v>2829</v>
      </c>
      <c r="AD490" t="s">
        <v>2830</v>
      </c>
      <c r="AE490" t="s">
        <v>2857</v>
      </c>
      <c r="AF490" t="s">
        <v>2867</v>
      </c>
      <c r="AG490" t="s">
        <v>2867</v>
      </c>
      <c r="AH490" t="s">
        <v>2834</v>
      </c>
      <c r="AI490" t="s">
        <v>2835</v>
      </c>
      <c r="AJ490" t="s">
        <v>2829</v>
      </c>
      <c r="AK490" t="s">
        <v>2868</v>
      </c>
      <c r="AL490" t="s">
        <v>2865</v>
      </c>
      <c r="AM490" t="s">
        <v>2920</v>
      </c>
      <c r="AN490" t="s">
        <v>2829</v>
      </c>
      <c r="AO490" t="s">
        <v>2839</v>
      </c>
      <c r="AP490" t="s">
        <v>2840</v>
      </c>
      <c r="AQ490" t="s">
        <v>2841</v>
      </c>
      <c r="AR490" t="s">
        <v>4317</v>
      </c>
      <c r="AS490" t="s">
        <v>4317</v>
      </c>
      <c r="AT490" t="s">
        <v>2829</v>
      </c>
      <c r="AU490" t="s">
        <v>2829</v>
      </c>
      <c r="AV490" t="s">
        <v>2829</v>
      </c>
      <c r="AW490" t="s">
        <v>2829</v>
      </c>
      <c r="AX490" t="s">
        <v>2829</v>
      </c>
      <c r="AY490" t="s">
        <v>2829</v>
      </c>
      <c r="AZ490" t="s">
        <v>2829</v>
      </c>
      <c r="BA490" t="s">
        <v>2829</v>
      </c>
      <c r="BB490" t="s">
        <v>2829</v>
      </c>
      <c r="BC490" t="s">
        <v>2829</v>
      </c>
      <c r="BD490" t="s">
        <v>4317</v>
      </c>
      <c r="BE490" t="s">
        <v>4317</v>
      </c>
      <c r="BF490" t="s">
        <v>243</v>
      </c>
      <c r="BG490" t="s">
        <v>243</v>
      </c>
      <c r="BH490" t="s">
        <v>243</v>
      </c>
      <c r="BI490" t="s">
        <v>243</v>
      </c>
      <c r="BJ490" t="s">
        <v>2829</v>
      </c>
      <c r="BK490" t="s">
        <v>243</v>
      </c>
      <c r="BL490" t="s">
        <v>243</v>
      </c>
      <c r="BM490" t="s">
        <v>243</v>
      </c>
      <c r="BN490" t="s">
        <v>243</v>
      </c>
      <c r="BO490" t="s">
        <v>243</v>
      </c>
      <c r="BP490" t="s">
        <v>2829</v>
      </c>
      <c r="BQ490" t="s">
        <v>243</v>
      </c>
      <c r="BR490" t="s">
        <v>243</v>
      </c>
      <c r="BS490" t="s">
        <v>243</v>
      </c>
      <c r="BT490" t="s">
        <v>243</v>
      </c>
      <c r="BU490" t="s">
        <v>243</v>
      </c>
      <c r="BV490" t="s">
        <v>2829</v>
      </c>
      <c r="BW490" t="s">
        <v>243</v>
      </c>
      <c r="BX490" t="s">
        <v>243</v>
      </c>
      <c r="BY490" t="s">
        <v>243</v>
      </c>
      <c r="BZ490" t="s">
        <v>243</v>
      </c>
      <c r="CA490" t="s">
        <v>243</v>
      </c>
      <c r="CB490" t="s">
        <v>2829</v>
      </c>
      <c r="CC490" t="s">
        <v>243</v>
      </c>
      <c r="CD490" t="s">
        <v>243</v>
      </c>
      <c r="CE490" t="s">
        <v>243</v>
      </c>
      <c r="CF490" t="s">
        <v>243</v>
      </c>
      <c r="CG490" t="s">
        <v>243</v>
      </c>
      <c r="CH490" t="s">
        <v>2829</v>
      </c>
      <c r="CI490" t="s">
        <v>243</v>
      </c>
      <c r="CJ490" t="s">
        <v>243</v>
      </c>
      <c r="CK490" t="s">
        <v>243</v>
      </c>
      <c r="CL490" t="s">
        <v>243</v>
      </c>
      <c r="CM490" t="s">
        <v>243</v>
      </c>
      <c r="CN490" t="s">
        <v>2829</v>
      </c>
      <c r="CO490" t="s">
        <v>2843</v>
      </c>
      <c r="CP490" t="s">
        <v>2844</v>
      </c>
      <c r="CQ490" t="s">
        <v>430</v>
      </c>
      <c r="CR490" t="s">
        <v>2872</v>
      </c>
      <c r="CS490" t="s">
        <v>431</v>
      </c>
      <c r="CT490" t="s">
        <v>430</v>
      </c>
      <c r="CU490" t="s">
        <v>2846</v>
      </c>
      <c r="CV490" t="s">
        <v>2873</v>
      </c>
      <c r="CW490" t="s">
        <v>2872</v>
      </c>
      <c r="CX490" t="s">
        <v>2848</v>
      </c>
      <c r="CY490" t="s">
        <v>4318</v>
      </c>
    </row>
    <row r="491" spans="1:103" ht="11.25" customHeight="1">
      <c r="A491" t="s">
        <v>243</v>
      </c>
      <c r="B491" t="s">
        <v>243</v>
      </c>
      <c r="C491" t="s">
        <v>243</v>
      </c>
      <c r="D491" t="s">
        <v>243</v>
      </c>
      <c r="E491" t="s">
        <v>243</v>
      </c>
      <c r="F491" t="s">
        <v>2816</v>
      </c>
      <c r="G491" t="s">
        <v>243</v>
      </c>
      <c r="H491" t="s">
        <v>243</v>
      </c>
      <c r="I491" t="s">
        <v>3539</v>
      </c>
      <c r="J491" t="s">
        <v>243</v>
      </c>
      <c r="K491" t="s">
        <v>3487</v>
      </c>
      <c r="L491" t="s">
        <v>243</v>
      </c>
      <c r="M491" t="s">
        <v>114</v>
      </c>
      <c r="N491" t="s">
        <v>243</v>
      </c>
      <c r="O491" t="s">
        <v>2819</v>
      </c>
      <c r="P491" t="s">
        <v>4448</v>
      </c>
      <c r="Q491" t="s">
        <v>2821</v>
      </c>
      <c r="R491" t="s">
        <v>200</v>
      </c>
      <c r="S491" t="s">
        <v>200</v>
      </c>
      <c r="T491" t="s">
        <v>2933</v>
      </c>
      <c r="U491" t="s">
        <v>2933</v>
      </c>
      <c r="V491" t="s">
        <v>2934</v>
      </c>
      <c r="W491" t="s">
        <v>2935</v>
      </c>
      <c r="X491" t="s">
        <v>2936</v>
      </c>
      <c r="Y491" t="s">
        <v>3540</v>
      </c>
      <c r="Z491" t="s">
        <v>2817</v>
      </c>
      <c r="AA491" t="s">
        <v>2836</v>
      </c>
      <c r="AB491" t="s">
        <v>3541</v>
      </c>
      <c r="AC491" t="s">
        <v>2829</v>
      </c>
      <c r="AD491" t="s">
        <v>2830</v>
      </c>
      <c r="AE491" t="s">
        <v>2831</v>
      </c>
      <c r="AF491" t="s">
        <v>3542</v>
      </c>
      <c r="AG491" t="s">
        <v>3542</v>
      </c>
      <c r="AH491" t="s">
        <v>2834</v>
      </c>
      <c r="AI491" t="s">
        <v>2887</v>
      </c>
      <c r="AJ491" t="s">
        <v>2942</v>
      </c>
      <c r="AK491" t="s">
        <v>3543</v>
      </c>
      <c r="AL491" t="s">
        <v>2836</v>
      </c>
      <c r="AM491" t="s">
        <v>3541</v>
      </c>
      <c r="AN491" t="s">
        <v>243</v>
      </c>
      <c r="AO491" t="s">
        <v>2839</v>
      </c>
      <c r="AP491" t="s">
        <v>3544</v>
      </c>
      <c r="AQ491" t="s">
        <v>2841</v>
      </c>
      <c r="AR491" t="s">
        <v>3545</v>
      </c>
      <c r="AS491" t="s">
        <v>3545</v>
      </c>
      <c r="AT491" t="s">
        <v>2829</v>
      </c>
      <c r="AU491" t="s">
        <v>2829</v>
      </c>
      <c r="AV491" t="s">
        <v>2829</v>
      </c>
      <c r="AW491" t="s">
        <v>2829</v>
      </c>
      <c r="AX491" t="s">
        <v>3546</v>
      </c>
      <c r="AY491" t="s">
        <v>3546</v>
      </c>
      <c r="AZ491" t="s">
        <v>2829</v>
      </c>
      <c r="BA491" t="s">
        <v>2829</v>
      </c>
      <c r="BB491" t="s">
        <v>2829</v>
      </c>
      <c r="BC491" t="s">
        <v>2829</v>
      </c>
      <c r="BD491" t="s">
        <v>3547</v>
      </c>
      <c r="BE491" t="s">
        <v>3547</v>
      </c>
      <c r="BF491" t="s">
        <v>243</v>
      </c>
      <c r="BG491" t="s">
        <v>243</v>
      </c>
      <c r="BH491" t="s">
        <v>243</v>
      </c>
      <c r="BI491" t="s">
        <v>243</v>
      </c>
      <c r="BJ491" t="s">
        <v>3548</v>
      </c>
      <c r="BK491" t="s">
        <v>3548</v>
      </c>
      <c r="BL491" t="s">
        <v>243</v>
      </c>
      <c r="BM491" t="s">
        <v>243</v>
      </c>
      <c r="BN491" t="s">
        <v>243</v>
      </c>
      <c r="BO491" t="s">
        <v>243</v>
      </c>
      <c r="BP491" t="s">
        <v>3054</v>
      </c>
      <c r="BQ491" t="s">
        <v>3054</v>
      </c>
      <c r="BR491" t="s">
        <v>243</v>
      </c>
      <c r="BS491" t="s">
        <v>243</v>
      </c>
      <c r="BT491" t="s">
        <v>243</v>
      </c>
      <c r="BU491" t="s">
        <v>243</v>
      </c>
      <c r="BV491" t="s">
        <v>3054</v>
      </c>
      <c r="BW491" t="s">
        <v>3054</v>
      </c>
      <c r="BX491" t="s">
        <v>243</v>
      </c>
      <c r="BY491" t="s">
        <v>243</v>
      </c>
      <c r="BZ491" t="s">
        <v>243</v>
      </c>
      <c r="CA491" t="s">
        <v>243</v>
      </c>
      <c r="CB491" t="s">
        <v>2829</v>
      </c>
      <c r="CC491" t="s">
        <v>243</v>
      </c>
      <c r="CD491" t="s">
        <v>243</v>
      </c>
      <c r="CE491" t="s">
        <v>243</v>
      </c>
      <c r="CF491" t="s">
        <v>243</v>
      </c>
      <c r="CG491" t="s">
        <v>243</v>
      </c>
      <c r="CH491" t="s">
        <v>2829</v>
      </c>
      <c r="CI491" t="s">
        <v>243</v>
      </c>
      <c r="CJ491" t="s">
        <v>243</v>
      </c>
      <c r="CK491" t="s">
        <v>243</v>
      </c>
      <c r="CL491" t="s">
        <v>243</v>
      </c>
      <c r="CM491" t="s">
        <v>243</v>
      </c>
      <c r="CN491" t="s">
        <v>2942</v>
      </c>
      <c r="CO491" t="s">
        <v>2843</v>
      </c>
      <c r="CP491" t="s">
        <v>2844</v>
      </c>
      <c r="CQ491" t="s">
        <v>430</v>
      </c>
      <c r="CR491" t="s">
        <v>2947</v>
      </c>
      <c r="CS491" t="s">
        <v>431</v>
      </c>
      <c r="CT491" t="s">
        <v>430</v>
      </c>
      <c r="CU491" t="s">
        <v>2948</v>
      </c>
      <c r="CV491" t="s">
        <v>2949</v>
      </c>
      <c r="CW491" t="s">
        <v>2947</v>
      </c>
      <c r="CX491" t="s">
        <v>2848</v>
      </c>
      <c r="CY491" t="s">
        <v>3549</v>
      </c>
    </row>
    <row r="492" spans="1:103" ht="11.25" customHeight="1">
      <c r="A492" t="s">
        <v>243</v>
      </c>
      <c r="B492" t="s">
        <v>243</v>
      </c>
      <c r="C492" t="s">
        <v>243</v>
      </c>
      <c r="D492" t="s">
        <v>243</v>
      </c>
      <c r="E492" t="s">
        <v>243</v>
      </c>
      <c r="F492" t="s">
        <v>2816</v>
      </c>
      <c r="G492" t="s">
        <v>243</v>
      </c>
      <c r="H492" t="s">
        <v>243</v>
      </c>
      <c r="I492" t="s">
        <v>3924</v>
      </c>
      <c r="J492" t="s">
        <v>243</v>
      </c>
      <c r="K492" t="s">
        <v>3925</v>
      </c>
      <c r="L492" t="s">
        <v>243</v>
      </c>
      <c r="M492" t="s">
        <v>114</v>
      </c>
      <c r="N492" t="s">
        <v>243</v>
      </c>
      <c r="O492" t="s">
        <v>2819</v>
      </c>
      <c r="P492" t="s">
        <v>4448</v>
      </c>
      <c r="Q492" t="s">
        <v>2821</v>
      </c>
      <c r="R492" t="s">
        <v>200</v>
      </c>
      <c r="S492" t="s">
        <v>200</v>
      </c>
      <c r="T492" t="s">
        <v>2968</v>
      </c>
      <c r="U492" t="s">
        <v>2968</v>
      </c>
      <c r="V492" t="s">
        <v>2969</v>
      </c>
      <c r="W492" t="s">
        <v>3638</v>
      </c>
      <c r="X492" t="s">
        <v>3639</v>
      </c>
      <c r="Y492" t="s">
        <v>3926</v>
      </c>
      <c r="Z492" t="s">
        <v>3585</v>
      </c>
      <c r="AA492" t="s">
        <v>3631</v>
      </c>
      <c r="AB492" t="s">
        <v>2995</v>
      </c>
      <c r="AC492" t="s">
        <v>2829</v>
      </c>
      <c r="AD492" t="s">
        <v>2883</v>
      </c>
      <c r="AE492" t="s">
        <v>2857</v>
      </c>
      <c r="AF492" t="s">
        <v>3927</v>
      </c>
      <c r="AG492" t="s">
        <v>3927</v>
      </c>
      <c r="AH492" t="s">
        <v>2834</v>
      </c>
      <c r="AI492" t="s">
        <v>2835</v>
      </c>
      <c r="AJ492" t="s">
        <v>3030</v>
      </c>
      <c r="AK492" t="s">
        <v>3928</v>
      </c>
      <c r="AL492" t="s">
        <v>3631</v>
      </c>
      <c r="AM492" t="s">
        <v>2995</v>
      </c>
      <c r="AN492" t="s">
        <v>2829</v>
      </c>
      <c r="AO492" t="s">
        <v>2839</v>
      </c>
      <c r="AP492" t="s">
        <v>2840</v>
      </c>
      <c r="AQ492" t="s">
        <v>2841</v>
      </c>
      <c r="AR492" t="s">
        <v>3929</v>
      </c>
      <c r="AS492" t="s">
        <v>3929</v>
      </c>
      <c r="AT492" t="s">
        <v>2829</v>
      </c>
      <c r="AU492" t="s">
        <v>2829</v>
      </c>
      <c r="AV492" t="s">
        <v>2829</v>
      </c>
      <c r="AW492" t="s">
        <v>2829</v>
      </c>
      <c r="AX492" t="s">
        <v>2829</v>
      </c>
      <c r="AY492" t="s">
        <v>2829</v>
      </c>
      <c r="AZ492" t="s">
        <v>2829</v>
      </c>
      <c r="BA492" t="s">
        <v>2829</v>
      </c>
      <c r="BB492" t="s">
        <v>2829</v>
      </c>
      <c r="BC492" t="s">
        <v>2829</v>
      </c>
      <c r="BD492" t="s">
        <v>2829</v>
      </c>
      <c r="BE492" t="s">
        <v>243</v>
      </c>
      <c r="BF492" t="s">
        <v>243</v>
      </c>
      <c r="BG492" t="s">
        <v>243</v>
      </c>
      <c r="BH492" t="s">
        <v>243</v>
      </c>
      <c r="BI492" t="s">
        <v>243</v>
      </c>
      <c r="BJ492" t="s">
        <v>2829</v>
      </c>
      <c r="BK492" t="s">
        <v>243</v>
      </c>
      <c r="BL492" t="s">
        <v>243</v>
      </c>
      <c r="BM492" t="s">
        <v>243</v>
      </c>
      <c r="BN492" t="s">
        <v>243</v>
      </c>
      <c r="BO492" t="s">
        <v>243</v>
      </c>
      <c r="BP492" t="s">
        <v>3929</v>
      </c>
      <c r="BQ492" t="s">
        <v>3929</v>
      </c>
      <c r="BR492" t="s">
        <v>243</v>
      </c>
      <c r="BS492" t="s">
        <v>243</v>
      </c>
      <c r="BT492" t="s">
        <v>243</v>
      </c>
      <c r="BU492" t="s">
        <v>243</v>
      </c>
      <c r="BV492" t="s">
        <v>2829</v>
      </c>
      <c r="BW492" t="s">
        <v>243</v>
      </c>
      <c r="BX492" t="s">
        <v>243</v>
      </c>
      <c r="BY492" t="s">
        <v>243</v>
      </c>
      <c r="BZ492" t="s">
        <v>243</v>
      </c>
      <c r="CA492" t="s">
        <v>243</v>
      </c>
      <c r="CB492" t="s">
        <v>2829</v>
      </c>
      <c r="CC492" t="s">
        <v>243</v>
      </c>
      <c r="CD492" t="s">
        <v>243</v>
      </c>
      <c r="CE492" t="s">
        <v>243</v>
      </c>
      <c r="CF492" t="s">
        <v>243</v>
      </c>
      <c r="CG492" t="s">
        <v>243</v>
      </c>
      <c r="CH492" t="s">
        <v>2829</v>
      </c>
      <c r="CI492" t="s">
        <v>243</v>
      </c>
      <c r="CJ492" t="s">
        <v>243</v>
      </c>
      <c r="CK492" t="s">
        <v>243</v>
      </c>
      <c r="CL492" t="s">
        <v>243</v>
      </c>
      <c r="CM492" t="s">
        <v>243</v>
      </c>
      <c r="CN492" t="s">
        <v>2942</v>
      </c>
      <c r="CO492" t="s">
        <v>2843</v>
      </c>
      <c r="CP492" t="s">
        <v>2844</v>
      </c>
      <c r="CQ492" t="s">
        <v>430</v>
      </c>
      <c r="CR492" t="s">
        <v>2984</v>
      </c>
      <c r="CS492" t="s">
        <v>431</v>
      </c>
      <c r="CT492" t="s">
        <v>430</v>
      </c>
      <c r="CU492" t="s">
        <v>2985</v>
      </c>
      <c r="CV492" t="s">
        <v>2986</v>
      </c>
      <c r="CW492" t="s">
        <v>2984</v>
      </c>
      <c r="CX492" t="s">
        <v>2848</v>
      </c>
      <c r="CY492" t="s">
        <v>3930</v>
      </c>
    </row>
    <row r="493" spans="1:103" ht="11.25" customHeight="1">
      <c r="A493" t="s">
        <v>243</v>
      </c>
      <c r="B493" t="s">
        <v>243</v>
      </c>
      <c r="C493" t="s">
        <v>243</v>
      </c>
      <c r="D493" t="s">
        <v>243</v>
      </c>
      <c r="E493" t="s">
        <v>243</v>
      </c>
      <c r="F493" t="s">
        <v>2816</v>
      </c>
      <c r="G493" t="s">
        <v>243</v>
      </c>
      <c r="H493" t="s">
        <v>243</v>
      </c>
      <c r="I493" t="s">
        <v>4096</v>
      </c>
      <c r="J493" t="s">
        <v>243</v>
      </c>
      <c r="K493" t="s">
        <v>433</v>
      </c>
      <c r="L493" t="s">
        <v>243</v>
      </c>
      <c r="M493" t="s">
        <v>114</v>
      </c>
      <c r="N493" t="s">
        <v>243</v>
      </c>
      <c r="O493" t="s">
        <v>2819</v>
      </c>
      <c r="P493" t="s">
        <v>4448</v>
      </c>
      <c r="Q493" t="s">
        <v>2821</v>
      </c>
      <c r="R493" t="s">
        <v>200</v>
      </c>
      <c r="S493" t="s">
        <v>200</v>
      </c>
      <c r="T493" t="s">
        <v>2968</v>
      </c>
      <c r="U493" t="s">
        <v>2968</v>
      </c>
      <c r="V493" t="s">
        <v>2969</v>
      </c>
      <c r="W493" t="s">
        <v>4097</v>
      </c>
      <c r="X493" t="s">
        <v>4098</v>
      </c>
      <c r="Y493" t="s">
        <v>3321</v>
      </c>
      <c r="Z493" t="s">
        <v>4099</v>
      </c>
      <c r="AA493" t="s">
        <v>3323</v>
      </c>
      <c r="AB493" t="s">
        <v>4100</v>
      </c>
      <c r="AC493" t="s">
        <v>2829</v>
      </c>
      <c r="AD493" t="s">
        <v>2883</v>
      </c>
      <c r="AE493" t="s">
        <v>2857</v>
      </c>
      <c r="AF493" t="s">
        <v>4101</v>
      </c>
      <c r="AG493" t="s">
        <v>4101</v>
      </c>
      <c r="AH493" t="s">
        <v>2834</v>
      </c>
      <c r="AI493" t="s">
        <v>2835</v>
      </c>
      <c r="AJ493" t="s">
        <v>3446</v>
      </c>
      <c r="AK493" t="s">
        <v>4102</v>
      </c>
      <c r="AL493" t="s">
        <v>4103</v>
      </c>
      <c r="AM493" t="s">
        <v>3059</v>
      </c>
      <c r="AN493" t="s">
        <v>2829</v>
      </c>
      <c r="AO493" t="s">
        <v>2839</v>
      </c>
      <c r="AP493" t="s">
        <v>2840</v>
      </c>
      <c r="AQ493" t="s">
        <v>2841</v>
      </c>
      <c r="AR493" t="s">
        <v>4104</v>
      </c>
      <c r="AS493" t="s">
        <v>4104</v>
      </c>
      <c r="AT493" t="s">
        <v>2829</v>
      </c>
      <c r="AU493" t="s">
        <v>2829</v>
      </c>
      <c r="AV493" t="s">
        <v>2829</v>
      </c>
      <c r="AW493" t="s">
        <v>2829</v>
      </c>
      <c r="AX493" t="s">
        <v>2829</v>
      </c>
      <c r="AY493" t="s">
        <v>2829</v>
      </c>
      <c r="AZ493" t="s">
        <v>2829</v>
      </c>
      <c r="BA493" t="s">
        <v>2829</v>
      </c>
      <c r="BB493" t="s">
        <v>2829</v>
      </c>
      <c r="BC493" t="s">
        <v>2829</v>
      </c>
      <c r="BD493" t="s">
        <v>4105</v>
      </c>
      <c r="BE493" t="s">
        <v>4105</v>
      </c>
      <c r="BF493" t="s">
        <v>243</v>
      </c>
      <c r="BG493" t="s">
        <v>243</v>
      </c>
      <c r="BH493" t="s">
        <v>243</v>
      </c>
      <c r="BI493" t="s">
        <v>243</v>
      </c>
      <c r="BJ493" t="s">
        <v>2829</v>
      </c>
      <c r="BK493" t="s">
        <v>243</v>
      </c>
      <c r="BL493" t="s">
        <v>243</v>
      </c>
      <c r="BM493" t="s">
        <v>243</v>
      </c>
      <c r="BN493" t="s">
        <v>243</v>
      </c>
      <c r="BO493" t="s">
        <v>243</v>
      </c>
      <c r="BP493" t="s">
        <v>4106</v>
      </c>
      <c r="BQ493" t="s">
        <v>4106</v>
      </c>
      <c r="BR493" t="s">
        <v>243</v>
      </c>
      <c r="BS493" t="s">
        <v>243</v>
      </c>
      <c r="BT493" t="s">
        <v>243</v>
      </c>
      <c r="BU493" t="s">
        <v>243</v>
      </c>
      <c r="BV493" t="s">
        <v>2829</v>
      </c>
      <c r="BW493" t="s">
        <v>243</v>
      </c>
      <c r="BX493" t="s">
        <v>243</v>
      </c>
      <c r="BY493" t="s">
        <v>243</v>
      </c>
      <c r="BZ493" t="s">
        <v>243</v>
      </c>
      <c r="CA493" t="s">
        <v>243</v>
      </c>
      <c r="CB493" t="s">
        <v>2829</v>
      </c>
      <c r="CC493" t="s">
        <v>243</v>
      </c>
      <c r="CD493" t="s">
        <v>243</v>
      </c>
      <c r="CE493" t="s">
        <v>243</v>
      </c>
      <c r="CF493" t="s">
        <v>243</v>
      </c>
      <c r="CG493" t="s">
        <v>243</v>
      </c>
      <c r="CH493" t="s">
        <v>2829</v>
      </c>
      <c r="CI493" t="s">
        <v>243</v>
      </c>
      <c r="CJ493" t="s">
        <v>243</v>
      </c>
      <c r="CK493" t="s">
        <v>243</v>
      </c>
      <c r="CL493" t="s">
        <v>243</v>
      </c>
      <c r="CM493" t="s">
        <v>243</v>
      </c>
      <c r="CN493" t="s">
        <v>3010</v>
      </c>
      <c r="CO493" t="s">
        <v>2843</v>
      </c>
      <c r="CP493" t="s">
        <v>2844</v>
      </c>
      <c r="CQ493" t="s">
        <v>430</v>
      </c>
      <c r="CR493" t="s">
        <v>2984</v>
      </c>
      <c r="CS493" t="s">
        <v>431</v>
      </c>
      <c r="CT493" t="s">
        <v>430</v>
      </c>
      <c r="CU493" t="s">
        <v>2985</v>
      </c>
      <c r="CV493" t="s">
        <v>2986</v>
      </c>
      <c r="CW493" t="s">
        <v>2984</v>
      </c>
      <c r="CX493" t="s">
        <v>2848</v>
      </c>
      <c r="CY493" t="s">
        <v>4107</v>
      </c>
    </row>
    <row r="494" spans="1:103" ht="11.25" customHeight="1">
      <c r="A494" t="s">
        <v>243</v>
      </c>
      <c r="B494" t="s">
        <v>243</v>
      </c>
      <c r="C494" t="s">
        <v>243</v>
      </c>
      <c r="D494" t="s">
        <v>243</v>
      </c>
      <c r="E494" t="s">
        <v>243</v>
      </c>
      <c r="F494" t="s">
        <v>2816</v>
      </c>
      <c r="G494" t="s">
        <v>243</v>
      </c>
      <c r="H494" t="s">
        <v>243</v>
      </c>
      <c r="I494" t="s">
        <v>4443</v>
      </c>
      <c r="J494" t="s">
        <v>243</v>
      </c>
      <c r="K494" t="s">
        <v>452</v>
      </c>
      <c r="L494" t="s">
        <v>243</v>
      </c>
      <c r="M494" t="s">
        <v>114</v>
      </c>
      <c r="N494" t="s">
        <v>243</v>
      </c>
      <c r="O494" t="s">
        <v>2819</v>
      </c>
      <c r="P494" t="s">
        <v>4448</v>
      </c>
      <c r="Q494" t="s">
        <v>2821</v>
      </c>
      <c r="R494" t="s">
        <v>200</v>
      </c>
      <c r="S494" t="s">
        <v>200</v>
      </c>
      <c r="T494" t="s">
        <v>3022</v>
      </c>
      <c r="U494" t="s">
        <v>3022</v>
      </c>
      <c r="V494" t="s">
        <v>3023</v>
      </c>
      <c r="W494" t="s">
        <v>3431</v>
      </c>
      <c r="X494" t="s">
        <v>3432</v>
      </c>
      <c r="Y494" t="s">
        <v>4430</v>
      </c>
      <c r="Z494" t="s">
        <v>4207</v>
      </c>
      <c r="AA494" t="s">
        <v>4444</v>
      </c>
      <c r="AB494" t="s">
        <v>3490</v>
      </c>
      <c r="AC494" t="s">
        <v>2829</v>
      </c>
      <c r="AD494" t="s">
        <v>2883</v>
      </c>
      <c r="AE494" t="s">
        <v>2831</v>
      </c>
      <c r="AF494" t="s">
        <v>4445</v>
      </c>
      <c r="AG494" t="s">
        <v>4445</v>
      </c>
      <c r="AH494" t="s">
        <v>2834</v>
      </c>
      <c r="AI494" t="s">
        <v>2835</v>
      </c>
      <c r="AJ494" t="s">
        <v>3661</v>
      </c>
      <c r="AK494" t="s">
        <v>3751</v>
      </c>
      <c r="AL494" t="s">
        <v>4444</v>
      </c>
      <c r="AM494" t="s">
        <v>3490</v>
      </c>
      <c r="AN494" t="s">
        <v>2829</v>
      </c>
      <c r="AO494" t="s">
        <v>2839</v>
      </c>
      <c r="AP494" t="s">
        <v>2840</v>
      </c>
      <c r="AQ494" t="s">
        <v>2841</v>
      </c>
      <c r="AR494" t="s">
        <v>4446</v>
      </c>
      <c r="AS494" t="s">
        <v>4446</v>
      </c>
      <c r="AT494" t="s">
        <v>2829</v>
      </c>
      <c r="AU494" t="s">
        <v>2829</v>
      </c>
      <c r="AV494" t="s">
        <v>2829</v>
      </c>
      <c r="AW494" t="s">
        <v>2829</v>
      </c>
      <c r="AX494" t="s">
        <v>2829</v>
      </c>
      <c r="AY494" t="s">
        <v>2829</v>
      </c>
      <c r="AZ494" t="s">
        <v>2829</v>
      </c>
      <c r="BA494" t="s">
        <v>2829</v>
      </c>
      <c r="BB494" t="s">
        <v>2829</v>
      </c>
      <c r="BC494" t="s">
        <v>2829</v>
      </c>
      <c r="BD494" t="s">
        <v>4446</v>
      </c>
      <c r="BE494" t="s">
        <v>4446</v>
      </c>
      <c r="BF494" t="s">
        <v>243</v>
      </c>
      <c r="BG494" t="s">
        <v>243</v>
      </c>
      <c r="BH494" t="s">
        <v>243</v>
      </c>
      <c r="BI494" t="s">
        <v>243</v>
      </c>
      <c r="BJ494" t="s">
        <v>2829</v>
      </c>
      <c r="BK494" t="s">
        <v>243</v>
      </c>
      <c r="BL494" t="s">
        <v>243</v>
      </c>
      <c r="BM494" t="s">
        <v>243</v>
      </c>
      <c r="BN494" t="s">
        <v>243</v>
      </c>
      <c r="BO494" t="s">
        <v>243</v>
      </c>
      <c r="BP494" t="s">
        <v>2829</v>
      </c>
      <c r="BQ494" t="s">
        <v>243</v>
      </c>
      <c r="BR494" t="s">
        <v>243</v>
      </c>
      <c r="BS494" t="s">
        <v>243</v>
      </c>
      <c r="BT494" t="s">
        <v>243</v>
      </c>
      <c r="BU494" t="s">
        <v>243</v>
      </c>
      <c r="BV494" t="s">
        <v>2829</v>
      </c>
      <c r="BW494" t="s">
        <v>243</v>
      </c>
      <c r="BX494" t="s">
        <v>243</v>
      </c>
      <c r="BY494" t="s">
        <v>243</v>
      </c>
      <c r="BZ494" t="s">
        <v>243</v>
      </c>
      <c r="CA494" t="s">
        <v>243</v>
      </c>
      <c r="CB494" t="s">
        <v>2829</v>
      </c>
      <c r="CC494" t="s">
        <v>243</v>
      </c>
      <c r="CD494" t="s">
        <v>243</v>
      </c>
      <c r="CE494" t="s">
        <v>243</v>
      </c>
      <c r="CF494" t="s">
        <v>243</v>
      </c>
      <c r="CG494" t="s">
        <v>243</v>
      </c>
      <c r="CH494" t="s">
        <v>2829</v>
      </c>
      <c r="CI494" t="s">
        <v>243</v>
      </c>
      <c r="CJ494" t="s">
        <v>243</v>
      </c>
      <c r="CK494" t="s">
        <v>243</v>
      </c>
      <c r="CL494" t="s">
        <v>243</v>
      </c>
      <c r="CM494" t="s">
        <v>243</v>
      </c>
      <c r="CN494" t="s">
        <v>3041</v>
      </c>
      <c r="CO494" t="s">
        <v>2843</v>
      </c>
      <c r="CP494" t="s">
        <v>2844</v>
      </c>
      <c r="CQ494" t="s">
        <v>430</v>
      </c>
      <c r="CR494" t="s">
        <v>3033</v>
      </c>
      <c r="CS494" t="s">
        <v>431</v>
      </c>
      <c r="CT494" t="s">
        <v>430</v>
      </c>
      <c r="CU494" t="s">
        <v>3034</v>
      </c>
      <c r="CV494" t="s">
        <v>432</v>
      </c>
      <c r="CW494" t="s">
        <v>3033</v>
      </c>
      <c r="CX494" t="s">
        <v>2848</v>
      </c>
      <c r="CY494" t="s">
        <v>4447</v>
      </c>
    </row>
    <row r="495" spans="1:103" ht="11.25" customHeight="1">
      <c r="A495" t="s">
        <v>243</v>
      </c>
      <c r="B495" t="s">
        <v>243</v>
      </c>
      <c r="C495" t="s">
        <v>243</v>
      </c>
      <c r="D495" t="s">
        <v>243</v>
      </c>
      <c r="E495" t="s">
        <v>243</v>
      </c>
      <c r="F495" t="s">
        <v>2816</v>
      </c>
      <c r="G495" t="s">
        <v>243</v>
      </c>
      <c r="H495" t="s">
        <v>243</v>
      </c>
      <c r="I495" t="s">
        <v>4155</v>
      </c>
      <c r="J495" t="s">
        <v>243</v>
      </c>
      <c r="K495" t="s">
        <v>4156</v>
      </c>
      <c r="L495" t="s">
        <v>243</v>
      </c>
      <c r="M495" t="s">
        <v>114</v>
      </c>
      <c r="N495" t="s">
        <v>243</v>
      </c>
      <c r="O495" t="s">
        <v>2819</v>
      </c>
      <c r="P495" t="s">
        <v>4448</v>
      </c>
      <c r="Q495" t="s">
        <v>2821</v>
      </c>
      <c r="R495" t="s">
        <v>200</v>
      </c>
      <c r="S495" t="s">
        <v>200</v>
      </c>
      <c r="T495" t="s">
        <v>2933</v>
      </c>
      <c r="U495" t="s">
        <v>2933</v>
      </c>
      <c r="V495" t="s">
        <v>2934</v>
      </c>
      <c r="W495" t="s">
        <v>3138</v>
      </c>
      <c r="X495" t="s">
        <v>3139</v>
      </c>
      <c r="Y495" t="s">
        <v>3271</v>
      </c>
      <c r="Z495" t="s">
        <v>4157</v>
      </c>
      <c r="AA495" t="s">
        <v>4158</v>
      </c>
      <c r="AB495" t="s">
        <v>4159</v>
      </c>
      <c r="AC495" t="s">
        <v>2829</v>
      </c>
      <c r="AD495" t="s">
        <v>2883</v>
      </c>
      <c r="AE495" t="s">
        <v>2831</v>
      </c>
      <c r="AF495" t="s">
        <v>3144</v>
      </c>
      <c r="AG495" t="s">
        <v>4160</v>
      </c>
      <c r="AH495" t="s">
        <v>2834</v>
      </c>
      <c r="AI495" t="s">
        <v>2835</v>
      </c>
      <c r="AJ495" t="s">
        <v>3146</v>
      </c>
      <c r="AK495" t="s">
        <v>4161</v>
      </c>
      <c r="AL495" t="s">
        <v>4158</v>
      </c>
      <c r="AM495" t="s">
        <v>4162</v>
      </c>
      <c r="AN495" t="s">
        <v>2829</v>
      </c>
      <c r="AO495" t="s">
        <v>2839</v>
      </c>
      <c r="AP495" t="s">
        <v>2840</v>
      </c>
      <c r="AQ495" t="s">
        <v>2841</v>
      </c>
      <c r="AR495" t="s">
        <v>4163</v>
      </c>
      <c r="AS495" t="s">
        <v>4163</v>
      </c>
      <c r="AT495" t="s">
        <v>2829</v>
      </c>
      <c r="AU495" t="s">
        <v>2829</v>
      </c>
      <c r="AV495" t="s">
        <v>2829</v>
      </c>
      <c r="AW495" t="s">
        <v>2829</v>
      </c>
      <c r="AX495" t="s">
        <v>2829</v>
      </c>
      <c r="AY495" t="s">
        <v>2829</v>
      </c>
      <c r="AZ495" t="s">
        <v>2829</v>
      </c>
      <c r="BA495" t="s">
        <v>2829</v>
      </c>
      <c r="BB495" t="s">
        <v>2829</v>
      </c>
      <c r="BC495" t="s">
        <v>2829</v>
      </c>
      <c r="BD495" t="s">
        <v>3107</v>
      </c>
      <c r="BE495" t="s">
        <v>3107</v>
      </c>
      <c r="BF495" t="s">
        <v>243</v>
      </c>
      <c r="BG495" t="s">
        <v>243</v>
      </c>
      <c r="BH495" t="s">
        <v>243</v>
      </c>
      <c r="BI495" t="s">
        <v>243</v>
      </c>
      <c r="BJ495" t="s">
        <v>2829</v>
      </c>
      <c r="BK495" t="s">
        <v>243</v>
      </c>
      <c r="BL495" t="s">
        <v>243</v>
      </c>
      <c r="BM495" t="s">
        <v>243</v>
      </c>
      <c r="BN495" t="s">
        <v>243</v>
      </c>
      <c r="BO495" t="s">
        <v>243</v>
      </c>
      <c r="BP495" t="s">
        <v>3528</v>
      </c>
      <c r="BQ495" t="s">
        <v>3528</v>
      </c>
      <c r="BR495" t="s">
        <v>243</v>
      </c>
      <c r="BS495" t="s">
        <v>243</v>
      </c>
      <c r="BT495" t="s">
        <v>243</v>
      </c>
      <c r="BU495" t="s">
        <v>243</v>
      </c>
      <c r="BV495" t="s">
        <v>2829</v>
      </c>
      <c r="BW495" t="s">
        <v>243</v>
      </c>
      <c r="BX495" t="s">
        <v>243</v>
      </c>
      <c r="BY495" t="s">
        <v>243</v>
      </c>
      <c r="BZ495" t="s">
        <v>243</v>
      </c>
      <c r="CA495" t="s">
        <v>243</v>
      </c>
      <c r="CB495" t="s">
        <v>2829</v>
      </c>
      <c r="CC495" t="s">
        <v>243</v>
      </c>
      <c r="CD495" t="s">
        <v>243</v>
      </c>
      <c r="CE495" t="s">
        <v>243</v>
      </c>
      <c r="CF495" t="s">
        <v>243</v>
      </c>
      <c r="CG495" t="s">
        <v>243</v>
      </c>
      <c r="CH495" t="s">
        <v>2829</v>
      </c>
      <c r="CI495" t="s">
        <v>243</v>
      </c>
      <c r="CJ495" t="s">
        <v>243</v>
      </c>
      <c r="CK495" t="s">
        <v>243</v>
      </c>
      <c r="CL495" t="s">
        <v>243</v>
      </c>
      <c r="CM495" t="s">
        <v>243</v>
      </c>
      <c r="CN495" t="s">
        <v>3150</v>
      </c>
      <c r="CO495" t="s">
        <v>2843</v>
      </c>
      <c r="CP495" t="s">
        <v>2844</v>
      </c>
      <c r="CQ495" t="s">
        <v>430</v>
      </c>
      <c r="CR495" t="s">
        <v>3151</v>
      </c>
      <c r="CS495" t="s">
        <v>266</v>
      </c>
      <c r="CT495" t="s">
        <v>430</v>
      </c>
      <c r="CU495" t="s">
        <v>440</v>
      </c>
      <c r="CV495" t="s">
        <v>3152</v>
      </c>
      <c r="CW495" t="s">
        <v>3151</v>
      </c>
      <c r="CX495" t="s">
        <v>2848</v>
      </c>
      <c r="CY495" t="s">
        <v>4164</v>
      </c>
    </row>
    <row r="496" spans="1:103" ht="11.25" customHeight="1">
      <c r="A496" t="s">
        <v>243</v>
      </c>
      <c r="B496" t="s">
        <v>243</v>
      </c>
      <c r="C496" t="s">
        <v>243</v>
      </c>
      <c r="D496" t="s">
        <v>243</v>
      </c>
      <c r="E496" t="s">
        <v>243</v>
      </c>
      <c r="F496" t="s">
        <v>2816</v>
      </c>
      <c r="G496" t="s">
        <v>243</v>
      </c>
      <c r="H496" t="s">
        <v>243</v>
      </c>
      <c r="I496" t="s">
        <v>3269</v>
      </c>
      <c r="J496" t="s">
        <v>243</v>
      </c>
      <c r="K496" t="s">
        <v>3270</v>
      </c>
      <c r="L496" t="s">
        <v>243</v>
      </c>
      <c r="M496" t="s">
        <v>114</v>
      </c>
      <c r="N496" t="s">
        <v>243</v>
      </c>
      <c r="O496" t="s">
        <v>2819</v>
      </c>
      <c r="P496" t="s">
        <v>4448</v>
      </c>
      <c r="Q496" t="s">
        <v>2821</v>
      </c>
      <c r="R496" t="s">
        <v>200</v>
      </c>
      <c r="S496" t="s">
        <v>200</v>
      </c>
      <c r="T496" t="s">
        <v>2933</v>
      </c>
      <c r="U496" t="s">
        <v>2933</v>
      </c>
      <c r="V496" t="s">
        <v>2934</v>
      </c>
      <c r="W496" t="s">
        <v>3138</v>
      </c>
      <c r="X496" t="s">
        <v>3139</v>
      </c>
      <c r="Y496" t="s">
        <v>3271</v>
      </c>
      <c r="Z496" t="s">
        <v>2880</v>
      </c>
      <c r="AA496" t="s">
        <v>3272</v>
      </c>
      <c r="AB496" t="s">
        <v>3273</v>
      </c>
      <c r="AC496" t="s">
        <v>2829</v>
      </c>
      <c r="AD496" t="s">
        <v>2883</v>
      </c>
      <c r="AE496" t="s">
        <v>2831</v>
      </c>
      <c r="AF496" t="s">
        <v>3144</v>
      </c>
      <c r="AG496" t="s">
        <v>3274</v>
      </c>
      <c r="AH496" t="s">
        <v>2834</v>
      </c>
      <c r="AI496" t="s">
        <v>2835</v>
      </c>
      <c r="AJ496" t="s">
        <v>3146</v>
      </c>
      <c r="AK496" t="s">
        <v>3275</v>
      </c>
      <c r="AL496" t="s">
        <v>3272</v>
      </c>
      <c r="AM496" t="s">
        <v>3276</v>
      </c>
      <c r="AN496" t="s">
        <v>2829</v>
      </c>
      <c r="AO496" t="s">
        <v>2839</v>
      </c>
      <c r="AP496" t="s">
        <v>2840</v>
      </c>
      <c r="AQ496" t="s">
        <v>2841</v>
      </c>
      <c r="AR496" t="s">
        <v>3277</v>
      </c>
      <c r="AS496" t="s">
        <v>3277</v>
      </c>
      <c r="AT496" t="s">
        <v>2829</v>
      </c>
      <c r="AU496" t="s">
        <v>2829</v>
      </c>
      <c r="AV496" t="s">
        <v>2829</v>
      </c>
      <c r="AW496" t="s">
        <v>2829</v>
      </c>
      <c r="AX496" t="s">
        <v>2829</v>
      </c>
      <c r="AY496" t="s">
        <v>2829</v>
      </c>
      <c r="AZ496" t="s">
        <v>2829</v>
      </c>
      <c r="BA496" t="s">
        <v>2829</v>
      </c>
      <c r="BB496" t="s">
        <v>2829</v>
      </c>
      <c r="BC496" t="s">
        <v>2829</v>
      </c>
      <c r="BD496" t="s">
        <v>3278</v>
      </c>
      <c r="BE496" t="s">
        <v>3278</v>
      </c>
      <c r="BF496" t="s">
        <v>243</v>
      </c>
      <c r="BG496" t="s">
        <v>243</v>
      </c>
      <c r="BH496" t="s">
        <v>243</v>
      </c>
      <c r="BI496" t="s">
        <v>243</v>
      </c>
      <c r="BJ496" t="s">
        <v>2829</v>
      </c>
      <c r="BK496" t="s">
        <v>243</v>
      </c>
      <c r="BL496" t="s">
        <v>243</v>
      </c>
      <c r="BM496" t="s">
        <v>243</v>
      </c>
      <c r="BN496" t="s">
        <v>243</v>
      </c>
      <c r="BO496" t="s">
        <v>243</v>
      </c>
      <c r="BP496" t="s">
        <v>3279</v>
      </c>
      <c r="BQ496" t="s">
        <v>3279</v>
      </c>
      <c r="BR496" t="s">
        <v>243</v>
      </c>
      <c r="BS496" t="s">
        <v>243</v>
      </c>
      <c r="BT496" t="s">
        <v>243</v>
      </c>
      <c r="BU496" t="s">
        <v>243</v>
      </c>
      <c r="BV496" t="s">
        <v>2829</v>
      </c>
      <c r="BW496" t="s">
        <v>243</v>
      </c>
      <c r="BX496" t="s">
        <v>243</v>
      </c>
      <c r="BY496" t="s">
        <v>243</v>
      </c>
      <c r="BZ496" t="s">
        <v>243</v>
      </c>
      <c r="CA496" t="s">
        <v>243</v>
      </c>
      <c r="CB496" t="s">
        <v>2829</v>
      </c>
      <c r="CC496" t="s">
        <v>243</v>
      </c>
      <c r="CD496" t="s">
        <v>243</v>
      </c>
      <c r="CE496" t="s">
        <v>243</v>
      </c>
      <c r="CF496" t="s">
        <v>243</v>
      </c>
      <c r="CG496" t="s">
        <v>243</v>
      </c>
      <c r="CH496" t="s">
        <v>2829</v>
      </c>
      <c r="CI496" t="s">
        <v>243</v>
      </c>
      <c r="CJ496" t="s">
        <v>243</v>
      </c>
      <c r="CK496" t="s">
        <v>243</v>
      </c>
      <c r="CL496" t="s">
        <v>243</v>
      </c>
      <c r="CM496" t="s">
        <v>243</v>
      </c>
      <c r="CN496" t="s">
        <v>3150</v>
      </c>
      <c r="CO496" t="s">
        <v>2843</v>
      </c>
      <c r="CP496" t="s">
        <v>2844</v>
      </c>
      <c r="CQ496" t="s">
        <v>430</v>
      </c>
      <c r="CR496" t="s">
        <v>3151</v>
      </c>
      <c r="CS496" t="s">
        <v>266</v>
      </c>
      <c r="CT496" t="s">
        <v>430</v>
      </c>
      <c r="CU496" t="s">
        <v>440</v>
      </c>
      <c r="CV496" t="s">
        <v>3152</v>
      </c>
      <c r="CW496" t="s">
        <v>3151</v>
      </c>
      <c r="CX496" t="s">
        <v>2848</v>
      </c>
      <c r="CY496" t="s">
        <v>3280</v>
      </c>
    </row>
    <row r="497" spans="1:103" ht="11.25" customHeight="1">
      <c r="A497" t="s">
        <v>243</v>
      </c>
      <c r="B497" t="s">
        <v>243</v>
      </c>
      <c r="C497" t="s">
        <v>243</v>
      </c>
      <c r="D497" t="s">
        <v>243</v>
      </c>
      <c r="E497" t="s">
        <v>243</v>
      </c>
      <c r="F497" t="s">
        <v>2816</v>
      </c>
      <c r="G497" t="s">
        <v>243</v>
      </c>
      <c r="H497" t="s">
        <v>243</v>
      </c>
      <c r="I497" t="s">
        <v>3305</v>
      </c>
      <c r="J497" t="s">
        <v>243</v>
      </c>
      <c r="K497" t="s">
        <v>455</v>
      </c>
      <c r="L497" t="s">
        <v>243</v>
      </c>
      <c r="M497" t="s">
        <v>114</v>
      </c>
      <c r="N497" t="s">
        <v>243</v>
      </c>
      <c r="O497" t="s">
        <v>2819</v>
      </c>
      <c r="P497" t="s">
        <v>4448</v>
      </c>
      <c r="Q497" t="s">
        <v>2821</v>
      </c>
      <c r="R497" t="s">
        <v>200</v>
      </c>
      <c r="S497" t="s">
        <v>200</v>
      </c>
      <c r="T497" t="s">
        <v>3048</v>
      </c>
      <c r="U497" t="s">
        <v>3048</v>
      </c>
      <c r="V497" t="s">
        <v>3049</v>
      </c>
      <c r="W497" t="s">
        <v>3050</v>
      </c>
      <c r="X497" t="s">
        <v>3051</v>
      </c>
      <c r="Y497" t="s">
        <v>3306</v>
      </c>
      <c r="Z497" t="s">
        <v>3307</v>
      </c>
      <c r="AA497" t="s">
        <v>3128</v>
      </c>
      <c r="AB497" t="s">
        <v>3193</v>
      </c>
      <c r="AC497" t="s">
        <v>2829</v>
      </c>
      <c r="AD497" t="s">
        <v>2883</v>
      </c>
      <c r="AE497" t="s">
        <v>2831</v>
      </c>
      <c r="AF497" t="s">
        <v>3055</v>
      </c>
      <c r="AG497" t="s">
        <v>3055</v>
      </c>
      <c r="AH497" t="s">
        <v>2834</v>
      </c>
      <c r="AI497" t="s">
        <v>2835</v>
      </c>
      <c r="AJ497" t="s">
        <v>3184</v>
      </c>
      <c r="AK497" t="s">
        <v>3308</v>
      </c>
      <c r="AL497" t="s">
        <v>3128</v>
      </c>
      <c r="AM497" t="s">
        <v>3193</v>
      </c>
      <c r="AN497" t="s">
        <v>2829</v>
      </c>
      <c r="AO497" t="s">
        <v>2839</v>
      </c>
      <c r="AP497" t="s">
        <v>2840</v>
      </c>
      <c r="AQ497" t="s">
        <v>2841</v>
      </c>
      <c r="AR497" t="s">
        <v>3005</v>
      </c>
      <c r="AS497" t="s">
        <v>3005</v>
      </c>
      <c r="AT497" t="s">
        <v>2829</v>
      </c>
      <c r="AU497" t="s">
        <v>2829</v>
      </c>
      <c r="AV497" t="s">
        <v>2829</v>
      </c>
      <c r="AW497" t="s">
        <v>2829</v>
      </c>
      <c r="AX497" t="s">
        <v>2829</v>
      </c>
      <c r="AY497" t="s">
        <v>2829</v>
      </c>
      <c r="AZ497" t="s">
        <v>2829</v>
      </c>
      <c r="BA497" t="s">
        <v>2829</v>
      </c>
      <c r="BB497" t="s">
        <v>2829</v>
      </c>
      <c r="BC497" t="s">
        <v>2829</v>
      </c>
      <c r="BD497" t="s">
        <v>3005</v>
      </c>
      <c r="BE497" t="s">
        <v>3005</v>
      </c>
      <c r="BF497" t="s">
        <v>243</v>
      </c>
      <c r="BG497" t="s">
        <v>243</v>
      </c>
      <c r="BH497" t="s">
        <v>243</v>
      </c>
      <c r="BI497" t="s">
        <v>243</v>
      </c>
      <c r="BJ497" t="s">
        <v>2829</v>
      </c>
      <c r="BK497" t="s">
        <v>243</v>
      </c>
      <c r="BL497" t="s">
        <v>243</v>
      </c>
      <c r="BM497" t="s">
        <v>243</v>
      </c>
      <c r="BN497" t="s">
        <v>243</v>
      </c>
      <c r="BO497" t="s">
        <v>243</v>
      </c>
      <c r="BP497" t="s">
        <v>2829</v>
      </c>
      <c r="BQ497" t="s">
        <v>243</v>
      </c>
      <c r="BR497" t="s">
        <v>243</v>
      </c>
      <c r="BS497" t="s">
        <v>243</v>
      </c>
      <c r="BT497" t="s">
        <v>243</v>
      </c>
      <c r="BU497" t="s">
        <v>243</v>
      </c>
      <c r="BV497" t="s">
        <v>2829</v>
      </c>
      <c r="BW497" t="s">
        <v>243</v>
      </c>
      <c r="BX497" t="s">
        <v>243</v>
      </c>
      <c r="BY497" t="s">
        <v>243</v>
      </c>
      <c r="BZ497" t="s">
        <v>243</v>
      </c>
      <c r="CA497" t="s">
        <v>243</v>
      </c>
      <c r="CB497" t="s">
        <v>2829</v>
      </c>
      <c r="CC497" t="s">
        <v>243</v>
      </c>
      <c r="CD497" t="s">
        <v>243</v>
      </c>
      <c r="CE497" t="s">
        <v>243</v>
      </c>
      <c r="CF497" t="s">
        <v>243</v>
      </c>
      <c r="CG497" t="s">
        <v>243</v>
      </c>
      <c r="CH497" t="s">
        <v>2829</v>
      </c>
      <c r="CI497" t="s">
        <v>243</v>
      </c>
      <c r="CJ497" t="s">
        <v>243</v>
      </c>
      <c r="CK497" t="s">
        <v>243</v>
      </c>
      <c r="CL497" t="s">
        <v>243</v>
      </c>
      <c r="CM497" t="s">
        <v>243</v>
      </c>
      <c r="CN497" t="s">
        <v>2942</v>
      </c>
      <c r="CO497" t="s">
        <v>2843</v>
      </c>
      <c r="CP497" t="s">
        <v>2844</v>
      </c>
      <c r="CQ497" t="s">
        <v>470</v>
      </c>
      <c r="CR497" t="s">
        <v>2872</v>
      </c>
      <c r="CS497" t="s">
        <v>431</v>
      </c>
      <c r="CT497" t="s">
        <v>470</v>
      </c>
      <c r="CU497" t="s">
        <v>3061</v>
      </c>
      <c r="CV497" t="s">
        <v>3062</v>
      </c>
      <c r="CW497" t="s">
        <v>2872</v>
      </c>
      <c r="CX497" t="s">
        <v>2848</v>
      </c>
      <c r="CY497" t="s">
        <v>3309</v>
      </c>
    </row>
    <row r="498" spans="1:103" ht="11.25" customHeight="1">
      <c r="A498" t="s">
        <v>243</v>
      </c>
      <c r="B498" t="s">
        <v>243</v>
      </c>
      <c r="C498" t="s">
        <v>243</v>
      </c>
      <c r="D498" t="s">
        <v>243</v>
      </c>
      <c r="E498" t="s">
        <v>243</v>
      </c>
      <c r="F498" t="s">
        <v>2816</v>
      </c>
      <c r="G498" t="s">
        <v>243</v>
      </c>
      <c r="H498" t="s">
        <v>243</v>
      </c>
      <c r="I498" t="s">
        <v>3310</v>
      </c>
      <c r="J498" t="s">
        <v>243</v>
      </c>
      <c r="K498" t="s">
        <v>3311</v>
      </c>
      <c r="L498" t="s">
        <v>243</v>
      </c>
      <c r="M498" t="s">
        <v>114</v>
      </c>
      <c r="N498" t="s">
        <v>243</v>
      </c>
      <c r="O498" t="s">
        <v>2819</v>
      </c>
      <c r="P498" t="s">
        <v>4448</v>
      </c>
      <c r="Q498" t="s">
        <v>2821</v>
      </c>
      <c r="R498" t="s">
        <v>200</v>
      </c>
      <c r="S498" t="s">
        <v>200</v>
      </c>
      <c r="T498" t="s">
        <v>3048</v>
      </c>
      <c r="U498" t="s">
        <v>3048</v>
      </c>
      <c r="V498" t="s">
        <v>3049</v>
      </c>
      <c r="W498" t="s">
        <v>3050</v>
      </c>
      <c r="X498" t="s">
        <v>3051</v>
      </c>
      <c r="Y498" t="s">
        <v>3312</v>
      </c>
      <c r="Z498" t="s">
        <v>3202</v>
      </c>
      <c r="AA498" t="s">
        <v>3313</v>
      </c>
      <c r="AB498" t="s">
        <v>3095</v>
      </c>
      <c r="AC498" t="s">
        <v>2829</v>
      </c>
      <c r="AD498" t="s">
        <v>2883</v>
      </c>
      <c r="AE498" t="s">
        <v>2831</v>
      </c>
      <c r="AF498" t="s">
        <v>3055</v>
      </c>
      <c r="AG498" t="s">
        <v>3055</v>
      </c>
      <c r="AH498" t="s">
        <v>2834</v>
      </c>
      <c r="AI498" t="s">
        <v>2835</v>
      </c>
      <c r="AJ498" t="s">
        <v>3314</v>
      </c>
      <c r="AK498" t="s">
        <v>3315</v>
      </c>
      <c r="AL498" t="s">
        <v>3313</v>
      </c>
      <c r="AM498" t="s">
        <v>3095</v>
      </c>
      <c r="AN498" t="s">
        <v>2829</v>
      </c>
      <c r="AO498" t="s">
        <v>2839</v>
      </c>
      <c r="AP498" t="s">
        <v>2840</v>
      </c>
      <c r="AQ498" t="s">
        <v>2841</v>
      </c>
      <c r="AR498" t="s">
        <v>3316</v>
      </c>
      <c r="AS498" t="s">
        <v>3316</v>
      </c>
      <c r="AT498" t="s">
        <v>2829</v>
      </c>
      <c r="AU498" t="s">
        <v>2829</v>
      </c>
      <c r="AV498" t="s">
        <v>2829</v>
      </c>
      <c r="AW498" t="s">
        <v>2829</v>
      </c>
      <c r="AX498" t="s">
        <v>2829</v>
      </c>
      <c r="AY498" t="s">
        <v>2829</v>
      </c>
      <c r="AZ498" t="s">
        <v>2829</v>
      </c>
      <c r="BA498" t="s">
        <v>2829</v>
      </c>
      <c r="BB498" t="s">
        <v>2829</v>
      </c>
      <c r="BC498" t="s">
        <v>2829</v>
      </c>
      <c r="BD498" t="s">
        <v>3316</v>
      </c>
      <c r="BE498" t="s">
        <v>3316</v>
      </c>
      <c r="BF498" t="s">
        <v>243</v>
      </c>
      <c r="BG498" t="s">
        <v>243</v>
      </c>
      <c r="BH498" t="s">
        <v>243</v>
      </c>
      <c r="BI498" t="s">
        <v>243</v>
      </c>
      <c r="BJ498" t="s">
        <v>2829</v>
      </c>
      <c r="BK498" t="s">
        <v>243</v>
      </c>
      <c r="BL498" t="s">
        <v>243</v>
      </c>
      <c r="BM498" t="s">
        <v>243</v>
      </c>
      <c r="BN498" t="s">
        <v>243</v>
      </c>
      <c r="BO498" t="s">
        <v>243</v>
      </c>
      <c r="BP498" t="s">
        <v>2829</v>
      </c>
      <c r="BQ498" t="s">
        <v>243</v>
      </c>
      <c r="BR498" t="s">
        <v>243</v>
      </c>
      <c r="BS498" t="s">
        <v>243</v>
      </c>
      <c r="BT498" t="s">
        <v>243</v>
      </c>
      <c r="BU498" t="s">
        <v>243</v>
      </c>
      <c r="BV498" t="s">
        <v>2829</v>
      </c>
      <c r="BW498" t="s">
        <v>243</v>
      </c>
      <c r="BX498" t="s">
        <v>243</v>
      </c>
      <c r="BY498" t="s">
        <v>243</v>
      </c>
      <c r="BZ498" t="s">
        <v>243</v>
      </c>
      <c r="CA498" t="s">
        <v>243</v>
      </c>
      <c r="CB498" t="s">
        <v>2829</v>
      </c>
      <c r="CC498" t="s">
        <v>243</v>
      </c>
      <c r="CD498" t="s">
        <v>243</v>
      </c>
      <c r="CE498" t="s">
        <v>243</v>
      </c>
      <c r="CF498" t="s">
        <v>243</v>
      </c>
      <c r="CG498" t="s">
        <v>243</v>
      </c>
      <c r="CH498" t="s">
        <v>2829</v>
      </c>
      <c r="CI498" t="s">
        <v>243</v>
      </c>
      <c r="CJ498" t="s">
        <v>243</v>
      </c>
      <c r="CK498" t="s">
        <v>243</v>
      </c>
      <c r="CL498" t="s">
        <v>243</v>
      </c>
      <c r="CM498" t="s">
        <v>243</v>
      </c>
      <c r="CN498" t="s">
        <v>3317</v>
      </c>
      <c r="CO498" t="s">
        <v>2843</v>
      </c>
      <c r="CP498" t="s">
        <v>2844</v>
      </c>
      <c r="CQ498" t="s">
        <v>470</v>
      </c>
      <c r="CR498" t="s">
        <v>2872</v>
      </c>
      <c r="CS498" t="s">
        <v>431</v>
      </c>
      <c r="CT498" t="s">
        <v>470</v>
      </c>
      <c r="CU498" t="s">
        <v>3061</v>
      </c>
      <c r="CV498" t="s">
        <v>3062</v>
      </c>
      <c r="CW498" t="s">
        <v>2872</v>
      </c>
      <c r="CX498" t="s">
        <v>2848</v>
      </c>
      <c r="CY498" t="s">
        <v>3318</v>
      </c>
    </row>
    <row r="499" spans="1:103" ht="11.25" customHeight="1">
      <c r="A499" t="s">
        <v>243</v>
      </c>
      <c r="B499" t="s">
        <v>243</v>
      </c>
      <c r="C499" t="s">
        <v>243</v>
      </c>
      <c r="D499" t="s">
        <v>243</v>
      </c>
      <c r="E499" t="s">
        <v>243</v>
      </c>
      <c r="F499" t="s">
        <v>2816</v>
      </c>
      <c r="G499" t="s">
        <v>243</v>
      </c>
      <c r="H499" t="s">
        <v>243</v>
      </c>
      <c r="I499" t="s">
        <v>4165</v>
      </c>
      <c r="J499" t="s">
        <v>243</v>
      </c>
      <c r="K499" t="s">
        <v>4166</v>
      </c>
      <c r="L499" t="s">
        <v>243</v>
      </c>
      <c r="M499" t="s">
        <v>114</v>
      </c>
      <c r="N499" t="s">
        <v>243</v>
      </c>
      <c r="O499" t="s">
        <v>2819</v>
      </c>
      <c r="P499" t="s">
        <v>4448</v>
      </c>
      <c r="Q499" t="s">
        <v>2821</v>
      </c>
      <c r="R499" t="s">
        <v>200</v>
      </c>
      <c r="S499" t="s">
        <v>200</v>
      </c>
      <c r="T499" t="s">
        <v>2822</v>
      </c>
      <c r="U499" t="s">
        <v>2822</v>
      </c>
      <c r="V499" t="s">
        <v>2823</v>
      </c>
      <c r="W499" t="s">
        <v>4167</v>
      </c>
      <c r="X499" t="s">
        <v>4168</v>
      </c>
      <c r="Y499" t="s">
        <v>4169</v>
      </c>
      <c r="Z499" t="s">
        <v>907</v>
      </c>
      <c r="AA499" t="s">
        <v>3066</v>
      </c>
      <c r="AB499" t="s">
        <v>2898</v>
      </c>
      <c r="AC499" t="s">
        <v>2829</v>
      </c>
      <c r="AD499" t="s">
        <v>2830</v>
      </c>
      <c r="AE499" t="s">
        <v>2831</v>
      </c>
      <c r="AF499" t="s">
        <v>4170</v>
      </c>
      <c r="AG499" t="s">
        <v>2833</v>
      </c>
      <c r="AH499" t="s">
        <v>2834</v>
      </c>
      <c r="AI499" t="s">
        <v>2835</v>
      </c>
      <c r="AJ499" t="s">
        <v>2829</v>
      </c>
      <c r="AK499" t="s">
        <v>4171</v>
      </c>
      <c r="AL499" t="s">
        <v>3228</v>
      </c>
      <c r="AM499" t="s">
        <v>2898</v>
      </c>
      <c r="AN499" t="s">
        <v>2829</v>
      </c>
      <c r="AO499" t="s">
        <v>2839</v>
      </c>
      <c r="AP499" t="s">
        <v>2840</v>
      </c>
      <c r="AQ499" t="s">
        <v>2841</v>
      </c>
      <c r="AR499" t="s">
        <v>4172</v>
      </c>
      <c r="AS499" t="s">
        <v>4172</v>
      </c>
      <c r="AT499" t="s">
        <v>2829</v>
      </c>
      <c r="AU499" t="s">
        <v>2829</v>
      </c>
      <c r="AV499" t="s">
        <v>2829</v>
      </c>
      <c r="AW499" t="s">
        <v>2829</v>
      </c>
      <c r="AX499" t="s">
        <v>2829</v>
      </c>
      <c r="AY499" t="s">
        <v>2829</v>
      </c>
      <c r="AZ499" t="s">
        <v>2829</v>
      </c>
      <c r="BA499" t="s">
        <v>2829</v>
      </c>
      <c r="BB499" t="s">
        <v>2829</v>
      </c>
      <c r="BC499" t="s">
        <v>2829</v>
      </c>
      <c r="BD499" t="s">
        <v>4172</v>
      </c>
      <c r="BE499" t="s">
        <v>4172</v>
      </c>
      <c r="BF499" t="s">
        <v>243</v>
      </c>
      <c r="BG499" t="s">
        <v>243</v>
      </c>
      <c r="BH499" t="s">
        <v>243</v>
      </c>
      <c r="BI499" t="s">
        <v>243</v>
      </c>
      <c r="BJ499" t="s">
        <v>2829</v>
      </c>
      <c r="BK499" t="s">
        <v>243</v>
      </c>
      <c r="BL499" t="s">
        <v>243</v>
      </c>
      <c r="BM499" t="s">
        <v>243</v>
      </c>
      <c r="BN499" t="s">
        <v>243</v>
      </c>
      <c r="BO499" t="s">
        <v>243</v>
      </c>
      <c r="BP499" t="s">
        <v>2829</v>
      </c>
      <c r="BQ499" t="s">
        <v>243</v>
      </c>
      <c r="BR499" t="s">
        <v>243</v>
      </c>
      <c r="BS499" t="s">
        <v>243</v>
      </c>
      <c r="BT499" t="s">
        <v>243</v>
      </c>
      <c r="BU499" t="s">
        <v>243</v>
      </c>
      <c r="BV499" t="s">
        <v>2829</v>
      </c>
      <c r="BW499" t="s">
        <v>243</v>
      </c>
      <c r="BX499" t="s">
        <v>243</v>
      </c>
      <c r="BY499" t="s">
        <v>243</v>
      </c>
      <c r="BZ499" t="s">
        <v>243</v>
      </c>
      <c r="CA499" t="s">
        <v>243</v>
      </c>
      <c r="CB499" t="s">
        <v>2829</v>
      </c>
      <c r="CC499" t="s">
        <v>243</v>
      </c>
      <c r="CD499" t="s">
        <v>243</v>
      </c>
      <c r="CE499" t="s">
        <v>243</v>
      </c>
      <c r="CF499" t="s">
        <v>243</v>
      </c>
      <c r="CG499" t="s">
        <v>243</v>
      </c>
      <c r="CH499" t="s">
        <v>2829</v>
      </c>
      <c r="CI499" t="s">
        <v>243</v>
      </c>
      <c r="CJ499" t="s">
        <v>243</v>
      </c>
      <c r="CK499" t="s">
        <v>243</v>
      </c>
      <c r="CL499" t="s">
        <v>243</v>
      </c>
      <c r="CM499" t="s">
        <v>243</v>
      </c>
      <c r="CN499" t="s">
        <v>2829</v>
      </c>
      <c r="CO499" t="s">
        <v>2843</v>
      </c>
      <c r="CP499" t="s">
        <v>2844</v>
      </c>
      <c r="CQ499" t="s">
        <v>430</v>
      </c>
      <c r="CR499" t="s">
        <v>2845</v>
      </c>
      <c r="CS499" t="s">
        <v>431</v>
      </c>
      <c r="CT499" t="s">
        <v>430</v>
      </c>
      <c r="CU499" t="s">
        <v>2846</v>
      </c>
      <c r="CV499" t="s">
        <v>2847</v>
      </c>
      <c r="CW499" t="s">
        <v>2845</v>
      </c>
      <c r="CX499" t="s">
        <v>2848</v>
      </c>
      <c r="CY499" t="s">
        <v>4173</v>
      </c>
    </row>
    <row r="500" spans="1:103" ht="11.25" customHeight="1">
      <c r="A500" t="s">
        <v>243</v>
      </c>
      <c r="B500" t="s">
        <v>243</v>
      </c>
      <c r="C500" t="s">
        <v>243</v>
      </c>
      <c r="D500" t="s">
        <v>243</v>
      </c>
      <c r="E500" t="s">
        <v>243</v>
      </c>
      <c r="F500" t="s">
        <v>2816</v>
      </c>
      <c r="G500" t="s">
        <v>243</v>
      </c>
      <c r="H500" t="s">
        <v>243</v>
      </c>
      <c r="I500" t="s">
        <v>3777</v>
      </c>
      <c r="J500" t="s">
        <v>243</v>
      </c>
      <c r="K500" t="s">
        <v>3615</v>
      </c>
      <c r="L500" t="s">
        <v>243</v>
      </c>
      <c r="M500" t="s">
        <v>114</v>
      </c>
      <c r="N500" t="s">
        <v>243</v>
      </c>
      <c r="O500" t="s">
        <v>2819</v>
      </c>
      <c r="P500" t="s">
        <v>4448</v>
      </c>
      <c r="Q500" t="s">
        <v>2821</v>
      </c>
      <c r="R500" t="s">
        <v>200</v>
      </c>
      <c r="S500" t="s">
        <v>200</v>
      </c>
      <c r="T500" t="s">
        <v>2822</v>
      </c>
      <c r="U500" t="s">
        <v>2822</v>
      </c>
      <c r="V500" t="s">
        <v>2823</v>
      </c>
      <c r="W500" t="s">
        <v>2927</v>
      </c>
      <c r="X500" t="s">
        <v>2928</v>
      </c>
      <c r="Y500" t="s">
        <v>2826</v>
      </c>
      <c r="Z500" t="s">
        <v>437</v>
      </c>
      <c r="AA500" t="s">
        <v>3778</v>
      </c>
      <c r="AB500" t="s">
        <v>3779</v>
      </c>
      <c r="AC500" t="s">
        <v>2829</v>
      </c>
      <c r="AD500" t="s">
        <v>2830</v>
      </c>
      <c r="AE500" t="s">
        <v>2831</v>
      </c>
      <c r="AF500" t="s">
        <v>3780</v>
      </c>
      <c r="AG500" t="s">
        <v>3781</v>
      </c>
      <c r="AH500" t="s">
        <v>2834</v>
      </c>
      <c r="AI500" t="s">
        <v>2835</v>
      </c>
      <c r="AJ500" t="s">
        <v>2960</v>
      </c>
      <c r="AK500" t="s">
        <v>3325</v>
      </c>
      <c r="AL500" t="s">
        <v>3778</v>
      </c>
      <c r="AM500" t="s">
        <v>3464</v>
      </c>
      <c r="AN500" t="s">
        <v>2829</v>
      </c>
      <c r="AO500" t="s">
        <v>2839</v>
      </c>
      <c r="AP500" t="s">
        <v>2840</v>
      </c>
      <c r="AQ500" t="s">
        <v>2841</v>
      </c>
      <c r="AR500" t="s">
        <v>3782</v>
      </c>
      <c r="AS500" t="s">
        <v>3782</v>
      </c>
      <c r="AT500" t="s">
        <v>2829</v>
      </c>
      <c r="AU500" t="s">
        <v>2829</v>
      </c>
      <c r="AV500" t="s">
        <v>2829</v>
      </c>
      <c r="AW500" t="s">
        <v>2829</v>
      </c>
      <c r="AX500" t="s">
        <v>2829</v>
      </c>
      <c r="AY500" t="s">
        <v>2829</v>
      </c>
      <c r="AZ500" t="s">
        <v>2829</v>
      </c>
      <c r="BA500" t="s">
        <v>2829</v>
      </c>
      <c r="BB500" t="s">
        <v>2829</v>
      </c>
      <c r="BC500" t="s">
        <v>2829</v>
      </c>
      <c r="BD500" t="s">
        <v>2829</v>
      </c>
      <c r="BE500" t="s">
        <v>243</v>
      </c>
      <c r="BF500" t="s">
        <v>243</v>
      </c>
      <c r="BG500" t="s">
        <v>243</v>
      </c>
      <c r="BH500" t="s">
        <v>243</v>
      </c>
      <c r="BI500" t="s">
        <v>243</v>
      </c>
      <c r="BJ500" t="s">
        <v>2829</v>
      </c>
      <c r="BK500" t="s">
        <v>243</v>
      </c>
      <c r="BL500" t="s">
        <v>243</v>
      </c>
      <c r="BM500" t="s">
        <v>243</v>
      </c>
      <c r="BN500" t="s">
        <v>243</v>
      </c>
      <c r="BO500" t="s">
        <v>243</v>
      </c>
      <c r="BP500" t="s">
        <v>2829</v>
      </c>
      <c r="BQ500" t="s">
        <v>243</v>
      </c>
      <c r="BR500" t="s">
        <v>243</v>
      </c>
      <c r="BS500" t="s">
        <v>243</v>
      </c>
      <c r="BT500" t="s">
        <v>243</v>
      </c>
      <c r="BU500" t="s">
        <v>243</v>
      </c>
      <c r="BV500" t="s">
        <v>2829</v>
      </c>
      <c r="BW500" t="s">
        <v>243</v>
      </c>
      <c r="BX500" t="s">
        <v>243</v>
      </c>
      <c r="BY500" t="s">
        <v>243</v>
      </c>
      <c r="BZ500" t="s">
        <v>243</v>
      </c>
      <c r="CA500" t="s">
        <v>243</v>
      </c>
      <c r="CB500" t="s">
        <v>3782</v>
      </c>
      <c r="CC500" t="s">
        <v>3782</v>
      </c>
      <c r="CD500" t="s">
        <v>243</v>
      </c>
      <c r="CE500" t="s">
        <v>243</v>
      </c>
      <c r="CF500" t="s">
        <v>243</v>
      </c>
      <c r="CG500" t="s">
        <v>243</v>
      </c>
      <c r="CH500" t="s">
        <v>2829</v>
      </c>
      <c r="CI500" t="s">
        <v>243</v>
      </c>
      <c r="CJ500" t="s">
        <v>243</v>
      </c>
      <c r="CK500" t="s">
        <v>243</v>
      </c>
      <c r="CL500" t="s">
        <v>243</v>
      </c>
      <c r="CM500" t="s">
        <v>243</v>
      </c>
      <c r="CN500" t="s">
        <v>2960</v>
      </c>
      <c r="CO500" t="s">
        <v>2843</v>
      </c>
      <c r="CP500" t="s">
        <v>2844</v>
      </c>
      <c r="CQ500" t="s">
        <v>430</v>
      </c>
      <c r="CR500" t="s">
        <v>2845</v>
      </c>
      <c r="CS500" t="s">
        <v>431</v>
      </c>
      <c r="CT500" t="s">
        <v>430</v>
      </c>
      <c r="CU500" t="s">
        <v>2846</v>
      </c>
      <c r="CV500" t="s">
        <v>2847</v>
      </c>
      <c r="CW500" t="s">
        <v>2845</v>
      </c>
      <c r="CX500" t="s">
        <v>2848</v>
      </c>
      <c r="CY500" t="s">
        <v>3783</v>
      </c>
    </row>
    <row r="501" spans="1:103" ht="11.25" customHeight="1">
      <c r="A501" t="s">
        <v>243</v>
      </c>
      <c r="B501" t="s">
        <v>243</v>
      </c>
      <c r="C501" t="s">
        <v>243</v>
      </c>
      <c r="D501" t="s">
        <v>243</v>
      </c>
      <c r="E501" t="s">
        <v>243</v>
      </c>
      <c r="F501" t="s">
        <v>2816</v>
      </c>
      <c r="G501" t="s">
        <v>243</v>
      </c>
      <c r="H501" t="s">
        <v>243</v>
      </c>
      <c r="I501" t="s">
        <v>4085</v>
      </c>
      <c r="J501" t="s">
        <v>243</v>
      </c>
      <c r="K501" t="s">
        <v>2818</v>
      </c>
      <c r="L501" t="s">
        <v>243</v>
      </c>
      <c r="M501" t="s">
        <v>114</v>
      </c>
      <c r="N501" t="s">
        <v>243</v>
      </c>
      <c r="O501" t="s">
        <v>2819</v>
      </c>
      <c r="P501" t="s">
        <v>4448</v>
      </c>
      <c r="Q501" t="s">
        <v>2821</v>
      </c>
      <c r="R501" t="s">
        <v>200</v>
      </c>
      <c r="S501" t="s">
        <v>200</v>
      </c>
      <c r="T501" t="s">
        <v>2822</v>
      </c>
      <c r="U501" t="s">
        <v>2822</v>
      </c>
      <c r="V501" t="s">
        <v>2823</v>
      </c>
      <c r="W501" t="s">
        <v>4080</v>
      </c>
      <c r="X501" t="s">
        <v>4081</v>
      </c>
      <c r="Y501" t="s">
        <v>4086</v>
      </c>
      <c r="Z501" t="s">
        <v>3585</v>
      </c>
      <c r="AA501" t="s">
        <v>4087</v>
      </c>
      <c r="AB501" t="s">
        <v>4088</v>
      </c>
      <c r="AC501" t="s">
        <v>2829</v>
      </c>
      <c r="AD501" t="s">
        <v>2830</v>
      </c>
      <c r="AE501" t="s">
        <v>2831</v>
      </c>
      <c r="AF501" t="s">
        <v>4089</v>
      </c>
      <c r="AG501" t="s">
        <v>2833</v>
      </c>
      <c r="AH501" t="s">
        <v>2834</v>
      </c>
      <c r="AI501" t="s">
        <v>2835</v>
      </c>
      <c r="AJ501" t="s">
        <v>2836</v>
      </c>
      <c r="AK501" t="s">
        <v>2837</v>
      </c>
      <c r="AL501" t="s">
        <v>4087</v>
      </c>
      <c r="AM501" t="s">
        <v>2842</v>
      </c>
      <c r="AN501" t="s">
        <v>2829</v>
      </c>
      <c r="AO501" t="s">
        <v>2839</v>
      </c>
      <c r="AP501" t="s">
        <v>2840</v>
      </c>
      <c r="AQ501" t="s">
        <v>2841</v>
      </c>
      <c r="AR501" t="s">
        <v>2842</v>
      </c>
      <c r="AS501" t="s">
        <v>2842</v>
      </c>
      <c r="AT501" t="s">
        <v>2829</v>
      </c>
      <c r="AU501" t="s">
        <v>2829</v>
      </c>
      <c r="AV501" t="s">
        <v>2829</v>
      </c>
      <c r="AW501" t="s">
        <v>2829</v>
      </c>
      <c r="AX501" t="s">
        <v>2829</v>
      </c>
      <c r="AY501" t="s">
        <v>2829</v>
      </c>
      <c r="AZ501" t="s">
        <v>2829</v>
      </c>
      <c r="BA501" t="s">
        <v>2829</v>
      </c>
      <c r="BB501" t="s">
        <v>2829</v>
      </c>
      <c r="BC501" t="s">
        <v>2829</v>
      </c>
      <c r="BD501" t="s">
        <v>2842</v>
      </c>
      <c r="BE501" t="s">
        <v>2842</v>
      </c>
      <c r="BF501" t="s">
        <v>243</v>
      </c>
      <c r="BG501" t="s">
        <v>243</v>
      </c>
      <c r="BH501" t="s">
        <v>243</v>
      </c>
      <c r="BI501" t="s">
        <v>243</v>
      </c>
      <c r="BJ501" t="s">
        <v>2829</v>
      </c>
      <c r="BK501" t="s">
        <v>243</v>
      </c>
      <c r="BL501" t="s">
        <v>243</v>
      </c>
      <c r="BM501" t="s">
        <v>243</v>
      </c>
      <c r="BN501" t="s">
        <v>243</v>
      </c>
      <c r="BO501" t="s">
        <v>243</v>
      </c>
      <c r="BP501" t="s">
        <v>2829</v>
      </c>
      <c r="BQ501" t="s">
        <v>243</v>
      </c>
      <c r="BR501" t="s">
        <v>243</v>
      </c>
      <c r="BS501" t="s">
        <v>243</v>
      </c>
      <c r="BT501" t="s">
        <v>243</v>
      </c>
      <c r="BU501" t="s">
        <v>243</v>
      </c>
      <c r="BV501" t="s">
        <v>2829</v>
      </c>
      <c r="BW501" t="s">
        <v>243</v>
      </c>
      <c r="BX501" t="s">
        <v>243</v>
      </c>
      <c r="BY501" t="s">
        <v>243</v>
      </c>
      <c r="BZ501" t="s">
        <v>243</v>
      </c>
      <c r="CA501" t="s">
        <v>243</v>
      </c>
      <c r="CB501" t="s">
        <v>2829</v>
      </c>
      <c r="CC501" t="s">
        <v>243</v>
      </c>
      <c r="CD501" t="s">
        <v>243</v>
      </c>
      <c r="CE501" t="s">
        <v>243</v>
      </c>
      <c r="CF501" t="s">
        <v>243</v>
      </c>
      <c r="CG501" t="s">
        <v>243</v>
      </c>
      <c r="CH501" t="s">
        <v>2829</v>
      </c>
      <c r="CI501" t="s">
        <v>243</v>
      </c>
      <c r="CJ501" t="s">
        <v>243</v>
      </c>
      <c r="CK501" t="s">
        <v>243</v>
      </c>
      <c r="CL501" t="s">
        <v>243</v>
      </c>
      <c r="CM501" t="s">
        <v>243</v>
      </c>
      <c r="CN501" t="s">
        <v>2836</v>
      </c>
      <c r="CO501" t="s">
        <v>2843</v>
      </c>
      <c r="CP501" t="s">
        <v>2844</v>
      </c>
      <c r="CQ501" t="s">
        <v>430</v>
      </c>
      <c r="CR501" t="s">
        <v>2845</v>
      </c>
      <c r="CS501" t="s">
        <v>431</v>
      </c>
      <c r="CT501" t="s">
        <v>430</v>
      </c>
      <c r="CU501" t="s">
        <v>2846</v>
      </c>
      <c r="CV501" t="s">
        <v>2847</v>
      </c>
      <c r="CW501" t="s">
        <v>2845</v>
      </c>
      <c r="CX501" t="s">
        <v>2848</v>
      </c>
      <c r="CY501" t="s">
        <v>4090</v>
      </c>
    </row>
    <row r="502" spans="1:103" ht="11.25" customHeight="1">
      <c r="A502" t="s">
        <v>243</v>
      </c>
      <c r="B502" t="s">
        <v>243</v>
      </c>
      <c r="C502" t="s">
        <v>243</v>
      </c>
      <c r="D502" t="s">
        <v>243</v>
      </c>
      <c r="E502" t="s">
        <v>243</v>
      </c>
      <c r="F502" t="s">
        <v>2816</v>
      </c>
      <c r="G502" t="s">
        <v>243</v>
      </c>
      <c r="H502" t="s">
        <v>243</v>
      </c>
      <c r="I502" t="s">
        <v>2861</v>
      </c>
      <c r="J502" t="s">
        <v>243</v>
      </c>
      <c r="K502" t="s">
        <v>2818</v>
      </c>
      <c r="L502" t="s">
        <v>243</v>
      </c>
      <c r="M502" t="s">
        <v>114</v>
      </c>
      <c r="N502" t="s">
        <v>243</v>
      </c>
      <c r="O502" t="s">
        <v>2819</v>
      </c>
      <c r="P502" t="s">
        <v>4448</v>
      </c>
      <c r="Q502" t="s">
        <v>2821</v>
      </c>
      <c r="R502" t="s">
        <v>200</v>
      </c>
      <c r="S502" t="s">
        <v>200</v>
      </c>
      <c r="T502" t="s">
        <v>2822</v>
      </c>
      <c r="U502" t="s">
        <v>2822</v>
      </c>
      <c r="V502" t="s">
        <v>2823</v>
      </c>
      <c r="W502" t="s">
        <v>2862</v>
      </c>
      <c r="X502" t="s">
        <v>2863</v>
      </c>
      <c r="Y502" t="s">
        <v>2864</v>
      </c>
      <c r="Z502" t="s">
        <v>460</v>
      </c>
      <c r="AA502" t="s">
        <v>2865</v>
      </c>
      <c r="AB502" t="s">
        <v>2866</v>
      </c>
      <c r="AC502" t="s">
        <v>2829</v>
      </c>
      <c r="AD502" t="s">
        <v>2830</v>
      </c>
      <c r="AE502" t="s">
        <v>2857</v>
      </c>
      <c r="AF502" t="s">
        <v>2867</v>
      </c>
      <c r="AG502" t="s">
        <v>2867</v>
      </c>
      <c r="AH502" t="s">
        <v>2834</v>
      </c>
      <c r="AI502" t="s">
        <v>2835</v>
      </c>
      <c r="AJ502" t="s">
        <v>2829</v>
      </c>
      <c r="AK502" t="s">
        <v>2868</v>
      </c>
      <c r="AL502" t="s">
        <v>2865</v>
      </c>
      <c r="AM502" t="s">
        <v>2838</v>
      </c>
      <c r="AN502" t="s">
        <v>2829</v>
      </c>
      <c r="AO502" t="s">
        <v>2839</v>
      </c>
      <c r="AP502" t="s">
        <v>2840</v>
      </c>
      <c r="AQ502" t="s">
        <v>2841</v>
      </c>
      <c r="AR502" t="s">
        <v>2869</v>
      </c>
      <c r="AS502" t="s">
        <v>2869</v>
      </c>
      <c r="AT502" t="s">
        <v>2829</v>
      </c>
      <c r="AU502" t="s">
        <v>2829</v>
      </c>
      <c r="AV502" t="s">
        <v>2829</v>
      </c>
      <c r="AW502" t="s">
        <v>2829</v>
      </c>
      <c r="AX502" t="s">
        <v>2829</v>
      </c>
      <c r="AY502" t="s">
        <v>2829</v>
      </c>
      <c r="AZ502" t="s">
        <v>2829</v>
      </c>
      <c r="BA502" t="s">
        <v>2829</v>
      </c>
      <c r="BB502" t="s">
        <v>2829</v>
      </c>
      <c r="BC502" t="s">
        <v>2829</v>
      </c>
      <c r="BD502" t="s">
        <v>2870</v>
      </c>
      <c r="BE502" t="s">
        <v>2870</v>
      </c>
      <c r="BF502" t="s">
        <v>243</v>
      </c>
      <c r="BG502" t="s">
        <v>243</v>
      </c>
      <c r="BH502" t="s">
        <v>243</v>
      </c>
      <c r="BI502" t="s">
        <v>243</v>
      </c>
      <c r="BJ502" t="s">
        <v>2829</v>
      </c>
      <c r="BK502" t="s">
        <v>243</v>
      </c>
      <c r="BL502" t="s">
        <v>243</v>
      </c>
      <c r="BM502" t="s">
        <v>243</v>
      </c>
      <c r="BN502" t="s">
        <v>243</v>
      </c>
      <c r="BO502" t="s">
        <v>243</v>
      </c>
      <c r="BP502" t="s">
        <v>2871</v>
      </c>
      <c r="BQ502" t="s">
        <v>2871</v>
      </c>
      <c r="BR502" t="s">
        <v>243</v>
      </c>
      <c r="BS502" t="s">
        <v>243</v>
      </c>
      <c r="BT502" t="s">
        <v>243</v>
      </c>
      <c r="BU502" t="s">
        <v>243</v>
      </c>
      <c r="BV502" t="s">
        <v>2829</v>
      </c>
      <c r="BW502" t="s">
        <v>243</v>
      </c>
      <c r="BX502" t="s">
        <v>243</v>
      </c>
      <c r="BY502" t="s">
        <v>243</v>
      </c>
      <c r="BZ502" t="s">
        <v>243</v>
      </c>
      <c r="CA502" t="s">
        <v>243</v>
      </c>
      <c r="CB502" t="s">
        <v>2829</v>
      </c>
      <c r="CC502" t="s">
        <v>243</v>
      </c>
      <c r="CD502" t="s">
        <v>243</v>
      </c>
      <c r="CE502" t="s">
        <v>243</v>
      </c>
      <c r="CF502" t="s">
        <v>243</v>
      </c>
      <c r="CG502" t="s">
        <v>243</v>
      </c>
      <c r="CH502" t="s">
        <v>2829</v>
      </c>
      <c r="CI502" t="s">
        <v>243</v>
      </c>
      <c r="CJ502" t="s">
        <v>243</v>
      </c>
      <c r="CK502" t="s">
        <v>243</v>
      </c>
      <c r="CL502" t="s">
        <v>243</v>
      </c>
      <c r="CM502" t="s">
        <v>243</v>
      </c>
      <c r="CN502" t="s">
        <v>2829</v>
      </c>
      <c r="CO502" t="s">
        <v>2843</v>
      </c>
      <c r="CP502" t="s">
        <v>2844</v>
      </c>
      <c r="CQ502" t="s">
        <v>430</v>
      </c>
      <c r="CR502" t="s">
        <v>2872</v>
      </c>
      <c r="CS502" t="s">
        <v>431</v>
      </c>
      <c r="CT502" t="s">
        <v>430</v>
      </c>
      <c r="CU502" t="s">
        <v>2846</v>
      </c>
      <c r="CV502" t="s">
        <v>2873</v>
      </c>
      <c r="CW502" t="s">
        <v>2872</v>
      </c>
      <c r="CX502" t="s">
        <v>2848</v>
      </c>
      <c r="CY502" t="s">
        <v>2874</v>
      </c>
    </row>
    <row r="503" spans="1:103" ht="11.25" customHeight="1">
      <c r="A503" t="s">
        <v>243</v>
      </c>
      <c r="B503" t="s">
        <v>243</v>
      </c>
      <c r="C503" t="s">
        <v>243</v>
      </c>
      <c r="D503" t="s">
        <v>243</v>
      </c>
      <c r="E503" t="s">
        <v>243</v>
      </c>
      <c r="F503" t="s">
        <v>2816</v>
      </c>
      <c r="G503" t="s">
        <v>243</v>
      </c>
      <c r="H503" t="s">
        <v>243</v>
      </c>
      <c r="I503" t="s">
        <v>3550</v>
      </c>
      <c r="J503" t="s">
        <v>243</v>
      </c>
      <c r="K503" t="s">
        <v>3551</v>
      </c>
      <c r="L503" t="s">
        <v>243</v>
      </c>
      <c r="M503" t="s">
        <v>114</v>
      </c>
      <c r="N503" t="s">
        <v>243</v>
      </c>
      <c r="O503" t="s">
        <v>2819</v>
      </c>
      <c r="P503" t="s">
        <v>4448</v>
      </c>
      <c r="Q503" t="s">
        <v>2821</v>
      </c>
      <c r="R503" t="s">
        <v>200</v>
      </c>
      <c r="S503" t="s">
        <v>200</v>
      </c>
      <c r="T503" t="s">
        <v>2933</v>
      </c>
      <c r="U503" t="s">
        <v>2933</v>
      </c>
      <c r="V503" t="s">
        <v>2934</v>
      </c>
      <c r="W503" t="s">
        <v>2935</v>
      </c>
      <c r="X503" t="s">
        <v>2936</v>
      </c>
      <c r="Y503" t="s">
        <v>3552</v>
      </c>
      <c r="Z503" t="s">
        <v>3553</v>
      </c>
      <c r="AA503" t="s">
        <v>2942</v>
      </c>
      <c r="AB503" t="s">
        <v>3554</v>
      </c>
      <c r="AC503" t="s">
        <v>2829</v>
      </c>
      <c r="AD503" t="s">
        <v>2883</v>
      </c>
      <c r="AE503" t="s">
        <v>2831</v>
      </c>
      <c r="AF503" t="s">
        <v>3555</v>
      </c>
      <c r="AG503" t="s">
        <v>3555</v>
      </c>
      <c r="AH503" t="s">
        <v>2834</v>
      </c>
      <c r="AI503" t="s">
        <v>2835</v>
      </c>
      <c r="AJ503" t="s">
        <v>2942</v>
      </c>
      <c r="AK503" t="s">
        <v>3556</v>
      </c>
      <c r="AL503" t="s">
        <v>2942</v>
      </c>
      <c r="AM503" t="s">
        <v>3557</v>
      </c>
      <c r="AN503" t="s">
        <v>243</v>
      </c>
      <c r="AO503" t="s">
        <v>2839</v>
      </c>
      <c r="AP503" t="s">
        <v>2840</v>
      </c>
      <c r="AQ503" t="s">
        <v>2841</v>
      </c>
      <c r="AR503" t="s">
        <v>3558</v>
      </c>
      <c r="AS503" t="s">
        <v>3559</v>
      </c>
      <c r="AT503" t="s">
        <v>3560</v>
      </c>
      <c r="AU503" t="s">
        <v>2829</v>
      </c>
      <c r="AV503" t="s">
        <v>2829</v>
      </c>
      <c r="AW503" t="s">
        <v>2829</v>
      </c>
      <c r="AX503" t="s">
        <v>2829</v>
      </c>
      <c r="AY503" t="s">
        <v>2829</v>
      </c>
      <c r="AZ503" t="s">
        <v>2829</v>
      </c>
      <c r="BA503" t="s">
        <v>2829</v>
      </c>
      <c r="BB503" t="s">
        <v>2829</v>
      </c>
      <c r="BC503" t="s">
        <v>2829</v>
      </c>
      <c r="BD503" t="s">
        <v>3561</v>
      </c>
      <c r="BE503" t="s">
        <v>3562</v>
      </c>
      <c r="BF503" t="s">
        <v>3277</v>
      </c>
      <c r="BG503" t="s">
        <v>243</v>
      </c>
      <c r="BH503" t="s">
        <v>243</v>
      </c>
      <c r="BI503" t="s">
        <v>243</v>
      </c>
      <c r="BJ503" t="s">
        <v>2829</v>
      </c>
      <c r="BK503" t="s">
        <v>243</v>
      </c>
      <c r="BL503" t="s">
        <v>243</v>
      </c>
      <c r="BM503" t="s">
        <v>243</v>
      </c>
      <c r="BN503" t="s">
        <v>243</v>
      </c>
      <c r="BO503" t="s">
        <v>243</v>
      </c>
      <c r="BP503" t="s">
        <v>3563</v>
      </c>
      <c r="BQ503" t="s">
        <v>3564</v>
      </c>
      <c r="BR503" t="s">
        <v>3203</v>
      </c>
      <c r="BS503" t="s">
        <v>243</v>
      </c>
      <c r="BT503" t="s">
        <v>243</v>
      </c>
      <c r="BU503" t="s">
        <v>243</v>
      </c>
      <c r="BV503" t="s">
        <v>2829</v>
      </c>
      <c r="BW503" t="s">
        <v>243</v>
      </c>
      <c r="BX503" t="s">
        <v>243</v>
      </c>
      <c r="BY503" t="s">
        <v>243</v>
      </c>
      <c r="BZ503" t="s">
        <v>243</v>
      </c>
      <c r="CA503" t="s">
        <v>243</v>
      </c>
      <c r="CB503" t="s">
        <v>2829</v>
      </c>
      <c r="CC503" t="s">
        <v>243</v>
      </c>
      <c r="CD503" t="s">
        <v>243</v>
      </c>
      <c r="CE503" t="s">
        <v>243</v>
      </c>
      <c r="CF503" t="s">
        <v>243</v>
      </c>
      <c r="CG503" t="s">
        <v>243</v>
      </c>
      <c r="CH503" t="s">
        <v>2829</v>
      </c>
      <c r="CI503" t="s">
        <v>243</v>
      </c>
      <c r="CJ503" t="s">
        <v>243</v>
      </c>
      <c r="CK503" t="s">
        <v>243</v>
      </c>
      <c r="CL503" t="s">
        <v>243</v>
      </c>
      <c r="CM503" t="s">
        <v>243</v>
      </c>
      <c r="CN503" t="s">
        <v>2942</v>
      </c>
      <c r="CO503" t="s">
        <v>2843</v>
      </c>
      <c r="CP503" t="s">
        <v>2844</v>
      </c>
      <c r="CQ503" t="s">
        <v>430</v>
      </c>
      <c r="CR503" t="s">
        <v>2947</v>
      </c>
      <c r="CS503" t="s">
        <v>431</v>
      </c>
      <c r="CT503" t="s">
        <v>430</v>
      </c>
      <c r="CU503" t="s">
        <v>2948</v>
      </c>
      <c r="CV503" t="s">
        <v>2949</v>
      </c>
      <c r="CW503" t="s">
        <v>2947</v>
      </c>
      <c r="CX503" t="s">
        <v>2848</v>
      </c>
      <c r="CY503" t="s">
        <v>3565</v>
      </c>
    </row>
    <row r="504" spans="1:103" ht="11.25" customHeight="1">
      <c r="A504" t="s">
        <v>243</v>
      </c>
      <c r="B504" t="s">
        <v>243</v>
      </c>
      <c r="C504" t="s">
        <v>243</v>
      </c>
      <c r="D504" t="s">
        <v>243</v>
      </c>
      <c r="E504" t="s">
        <v>243</v>
      </c>
      <c r="F504" t="s">
        <v>2816</v>
      </c>
      <c r="G504" t="s">
        <v>243</v>
      </c>
      <c r="H504" t="s">
        <v>243</v>
      </c>
      <c r="I504" t="s">
        <v>2932</v>
      </c>
      <c r="J504" t="s">
        <v>243</v>
      </c>
      <c r="K504" t="s">
        <v>428</v>
      </c>
      <c r="L504" t="s">
        <v>243</v>
      </c>
      <c r="M504" t="s">
        <v>114</v>
      </c>
      <c r="N504" t="s">
        <v>243</v>
      </c>
      <c r="O504" t="s">
        <v>2819</v>
      </c>
      <c r="P504" t="s">
        <v>4448</v>
      </c>
      <c r="Q504" t="s">
        <v>2821</v>
      </c>
      <c r="R504" t="s">
        <v>200</v>
      </c>
      <c r="S504" t="s">
        <v>200</v>
      </c>
      <c r="T504" t="s">
        <v>2933</v>
      </c>
      <c r="U504" t="s">
        <v>2933</v>
      </c>
      <c r="V504" t="s">
        <v>2934</v>
      </c>
      <c r="W504" t="s">
        <v>2935</v>
      </c>
      <c r="X504" t="s">
        <v>2936</v>
      </c>
      <c r="Y504" t="s">
        <v>2937</v>
      </c>
      <c r="Z504" t="s">
        <v>2938</v>
      </c>
      <c r="AA504" t="s">
        <v>2939</v>
      </c>
      <c r="AB504" t="s">
        <v>2940</v>
      </c>
      <c r="AC504" t="s">
        <v>2829</v>
      </c>
      <c r="AD504" t="s">
        <v>2883</v>
      </c>
      <c r="AE504" t="s">
        <v>2831</v>
      </c>
      <c r="AF504" t="s">
        <v>2941</v>
      </c>
      <c r="AG504" t="s">
        <v>2941</v>
      </c>
      <c r="AH504" t="s">
        <v>2834</v>
      </c>
      <c r="AI504" t="s">
        <v>2835</v>
      </c>
      <c r="AJ504" t="s">
        <v>2942</v>
      </c>
      <c r="AK504" t="s">
        <v>2943</v>
      </c>
      <c r="AL504" t="s">
        <v>2939</v>
      </c>
      <c r="AM504" t="s">
        <v>2940</v>
      </c>
      <c r="AN504" t="s">
        <v>243</v>
      </c>
      <c r="AO504" t="s">
        <v>2839</v>
      </c>
      <c r="AP504" t="s">
        <v>2840</v>
      </c>
      <c r="AQ504" t="s">
        <v>2841</v>
      </c>
      <c r="AR504" t="s">
        <v>2944</v>
      </c>
      <c r="AS504" t="s">
        <v>2944</v>
      </c>
      <c r="AT504" t="s">
        <v>2829</v>
      </c>
      <c r="AU504" t="s">
        <v>2829</v>
      </c>
      <c r="AV504" t="s">
        <v>2829</v>
      </c>
      <c r="AW504" t="s">
        <v>2829</v>
      </c>
      <c r="AX504" t="s">
        <v>2829</v>
      </c>
      <c r="AY504" t="s">
        <v>2829</v>
      </c>
      <c r="AZ504" t="s">
        <v>2829</v>
      </c>
      <c r="BA504" t="s">
        <v>2829</v>
      </c>
      <c r="BB504" t="s">
        <v>2829</v>
      </c>
      <c r="BC504" t="s">
        <v>2829</v>
      </c>
      <c r="BD504" t="s">
        <v>2945</v>
      </c>
      <c r="BE504" t="s">
        <v>2945</v>
      </c>
      <c r="BF504" t="s">
        <v>243</v>
      </c>
      <c r="BG504" t="s">
        <v>243</v>
      </c>
      <c r="BH504" t="s">
        <v>243</v>
      </c>
      <c r="BI504" t="s">
        <v>243</v>
      </c>
      <c r="BJ504" t="s">
        <v>2829</v>
      </c>
      <c r="BK504" t="s">
        <v>243</v>
      </c>
      <c r="BL504" t="s">
        <v>243</v>
      </c>
      <c r="BM504" t="s">
        <v>243</v>
      </c>
      <c r="BN504" t="s">
        <v>243</v>
      </c>
      <c r="BO504" t="s">
        <v>243</v>
      </c>
      <c r="BP504" t="s">
        <v>2946</v>
      </c>
      <c r="BQ504" t="s">
        <v>2946</v>
      </c>
      <c r="BR504" t="s">
        <v>243</v>
      </c>
      <c r="BS504" t="s">
        <v>243</v>
      </c>
      <c r="BT504" t="s">
        <v>243</v>
      </c>
      <c r="BU504" t="s">
        <v>243</v>
      </c>
      <c r="BV504" t="s">
        <v>2829</v>
      </c>
      <c r="BW504" t="s">
        <v>243</v>
      </c>
      <c r="BX504" t="s">
        <v>243</v>
      </c>
      <c r="BY504" t="s">
        <v>243</v>
      </c>
      <c r="BZ504" t="s">
        <v>243</v>
      </c>
      <c r="CA504" t="s">
        <v>243</v>
      </c>
      <c r="CB504" t="s">
        <v>2829</v>
      </c>
      <c r="CC504" t="s">
        <v>243</v>
      </c>
      <c r="CD504" t="s">
        <v>243</v>
      </c>
      <c r="CE504" t="s">
        <v>243</v>
      </c>
      <c r="CF504" t="s">
        <v>243</v>
      </c>
      <c r="CG504" t="s">
        <v>243</v>
      </c>
      <c r="CH504" t="s">
        <v>2829</v>
      </c>
      <c r="CI504" t="s">
        <v>243</v>
      </c>
      <c r="CJ504" t="s">
        <v>243</v>
      </c>
      <c r="CK504" t="s">
        <v>243</v>
      </c>
      <c r="CL504" t="s">
        <v>243</v>
      </c>
      <c r="CM504" t="s">
        <v>243</v>
      </c>
      <c r="CN504" t="s">
        <v>2942</v>
      </c>
      <c r="CO504" t="s">
        <v>2843</v>
      </c>
      <c r="CP504" t="s">
        <v>2844</v>
      </c>
      <c r="CQ504" t="s">
        <v>430</v>
      </c>
      <c r="CR504" t="s">
        <v>2947</v>
      </c>
      <c r="CS504" t="s">
        <v>431</v>
      </c>
      <c r="CT504" t="s">
        <v>430</v>
      </c>
      <c r="CU504" t="s">
        <v>2948</v>
      </c>
      <c r="CV504" t="s">
        <v>2949</v>
      </c>
      <c r="CW504" t="s">
        <v>2947</v>
      </c>
      <c r="CX504" t="s">
        <v>2848</v>
      </c>
      <c r="CY504" t="s">
        <v>2950</v>
      </c>
    </row>
    <row r="505" spans="1:103" ht="11.25" customHeight="1">
      <c r="A505" t="s">
        <v>243</v>
      </c>
      <c r="B505" t="s">
        <v>243</v>
      </c>
      <c r="C505" t="s">
        <v>243</v>
      </c>
      <c r="D505" t="s">
        <v>243</v>
      </c>
      <c r="E505" t="s">
        <v>243</v>
      </c>
      <c r="F505" t="s">
        <v>2816</v>
      </c>
      <c r="G505" t="s">
        <v>243</v>
      </c>
      <c r="H505" t="s">
        <v>243</v>
      </c>
      <c r="I505" t="s">
        <v>4228</v>
      </c>
      <c r="J505" t="s">
        <v>243</v>
      </c>
      <c r="K505" t="s">
        <v>3115</v>
      </c>
      <c r="L505" t="s">
        <v>243</v>
      </c>
      <c r="M505" t="s">
        <v>114</v>
      </c>
      <c r="N505" t="s">
        <v>243</v>
      </c>
      <c r="O505" t="s">
        <v>2819</v>
      </c>
      <c r="P505" t="s">
        <v>4448</v>
      </c>
      <c r="Q505" t="s">
        <v>2821</v>
      </c>
      <c r="R505" t="s">
        <v>200</v>
      </c>
      <c r="S505" t="s">
        <v>200</v>
      </c>
      <c r="T505" t="s">
        <v>2968</v>
      </c>
      <c r="U505" t="s">
        <v>2968</v>
      </c>
      <c r="V505" t="s">
        <v>2969</v>
      </c>
      <c r="W505" t="s">
        <v>4097</v>
      </c>
      <c r="X505" t="s">
        <v>4098</v>
      </c>
      <c r="Y505" t="s">
        <v>2918</v>
      </c>
      <c r="Z505" t="s">
        <v>3681</v>
      </c>
      <c r="AA505" t="s">
        <v>3058</v>
      </c>
      <c r="AB505" t="s">
        <v>4229</v>
      </c>
      <c r="AC505" t="s">
        <v>2829</v>
      </c>
      <c r="AD505" t="s">
        <v>2883</v>
      </c>
      <c r="AE505" t="s">
        <v>2857</v>
      </c>
      <c r="AF505" t="s">
        <v>4230</v>
      </c>
      <c r="AG505" t="s">
        <v>4230</v>
      </c>
      <c r="AH505" t="s">
        <v>2834</v>
      </c>
      <c r="AI505" t="s">
        <v>2835</v>
      </c>
      <c r="AJ505" t="s">
        <v>3030</v>
      </c>
      <c r="AK505" t="s">
        <v>4102</v>
      </c>
      <c r="AL505" t="s">
        <v>3058</v>
      </c>
      <c r="AM505" t="s">
        <v>4229</v>
      </c>
      <c r="AN505" t="s">
        <v>2829</v>
      </c>
      <c r="AO505" t="s">
        <v>2839</v>
      </c>
      <c r="AP505" t="s">
        <v>2840</v>
      </c>
      <c r="AQ505" t="s">
        <v>2841</v>
      </c>
      <c r="AR505" t="s">
        <v>4231</v>
      </c>
      <c r="AS505" t="s">
        <v>4231</v>
      </c>
      <c r="AT505" t="s">
        <v>2829</v>
      </c>
      <c r="AU505" t="s">
        <v>2829</v>
      </c>
      <c r="AV505" t="s">
        <v>2829</v>
      </c>
      <c r="AW505" t="s">
        <v>2829</v>
      </c>
      <c r="AX505" t="s">
        <v>2829</v>
      </c>
      <c r="AY505" t="s">
        <v>2829</v>
      </c>
      <c r="AZ505" t="s">
        <v>2829</v>
      </c>
      <c r="BA505" t="s">
        <v>2829</v>
      </c>
      <c r="BB505" t="s">
        <v>2829</v>
      </c>
      <c r="BC505" t="s">
        <v>2829</v>
      </c>
      <c r="BD505" t="s">
        <v>2829</v>
      </c>
      <c r="BE505" t="s">
        <v>243</v>
      </c>
      <c r="BF505" t="s">
        <v>243</v>
      </c>
      <c r="BG505" t="s">
        <v>243</v>
      </c>
      <c r="BH505" t="s">
        <v>243</v>
      </c>
      <c r="BI505" t="s">
        <v>243</v>
      </c>
      <c r="BJ505" t="s">
        <v>2829</v>
      </c>
      <c r="BK505" t="s">
        <v>243</v>
      </c>
      <c r="BL505" t="s">
        <v>243</v>
      </c>
      <c r="BM505" t="s">
        <v>243</v>
      </c>
      <c r="BN505" t="s">
        <v>243</v>
      </c>
      <c r="BO505" t="s">
        <v>243</v>
      </c>
      <c r="BP505" t="s">
        <v>4231</v>
      </c>
      <c r="BQ505" t="s">
        <v>4231</v>
      </c>
      <c r="BR505" t="s">
        <v>243</v>
      </c>
      <c r="BS505" t="s">
        <v>243</v>
      </c>
      <c r="BT505" t="s">
        <v>243</v>
      </c>
      <c r="BU505" t="s">
        <v>243</v>
      </c>
      <c r="BV505" t="s">
        <v>2829</v>
      </c>
      <c r="BW505" t="s">
        <v>243</v>
      </c>
      <c r="BX505" t="s">
        <v>243</v>
      </c>
      <c r="BY505" t="s">
        <v>243</v>
      </c>
      <c r="BZ505" t="s">
        <v>243</v>
      </c>
      <c r="CA505" t="s">
        <v>243</v>
      </c>
      <c r="CB505" t="s">
        <v>2829</v>
      </c>
      <c r="CC505" t="s">
        <v>243</v>
      </c>
      <c r="CD505" t="s">
        <v>243</v>
      </c>
      <c r="CE505" t="s">
        <v>243</v>
      </c>
      <c r="CF505" t="s">
        <v>243</v>
      </c>
      <c r="CG505" t="s">
        <v>243</v>
      </c>
      <c r="CH505" t="s">
        <v>2829</v>
      </c>
      <c r="CI505" t="s">
        <v>243</v>
      </c>
      <c r="CJ505" t="s">
        <v>243</v>
      </c>
      <c r="CK505" t="s">
        <v>243</v>
      </c>
      <c r="CL505" t="s">
        <v>243</v>
      </c>
      <c r="CM505" t="s">
        <v>243</v>
      </c>
      <c r="CN505" t="s">
        <v>3010</v>
      </c>
      <c r="CO505" t="s">
        <v>2843</v>
      </c>
      <c r="CP505" t="s">
        <v>2844</v>
      </c>
      <c r="CQ505" t="s">
        <v>430</v>
      </c>
      <c r="CR505" t="s">
        <v>2984</v>
      </c>
      <c r="CS505" t="s">
        <v>431</v>
      </c>
      <c r="CT505" t="s">
        <v>430</v>
      </c>
      <c r="CU505" t="s">
        <v>2985</v>
      </c>
      <c r="CV505" t="s">
        <v>2986</v>
      </c>
      <c r="CW505" t="s">
        <v>2984</v>
      </c>
      <c r="CX505" t="s">
        <v>2848</v>
      </c>
      <c r="CY505" t="s">
        <v>4232</v>
      </c>
    </row>
    <row r="506" spans="1:103" ht="11.25" customHeight="1">
      <c r="A506" t="s">
        <v>243</v>
      </c>
      <c r="B506" t="s">
        <v>243</v>
      </c>
      <c r="C506" t="s">
        <v>243</v>
      </c>
      <c r="D506" t="s">
        <v>243</v>
      </c>
      <c r="E506" t="s">
        <v>243</v>
      </c>
      <c r="F506" t="s">
        <v>2816</v>
      </c>
      <c r="G506" t="s">
        <v>243</v>
      </c>
      <c r="H506" t="s">
        <v>243</v>
      </c>
      <c r="I506" t="s">
        <v>3430</v>
      </c>
      <c r="J506" t="s">
        <v>243</v>
      </c>
      <c r="K506" t="s">
        <v>455</v>
      </c>
      <c r="L506" t="s">
        <v>243</v>
      </c>
      <c r="M506" t="s">
        <v>114</v>
      </c>
      <c r="N506" t="s">
        <v>243</v>
      </c>
      <c r="O506" t="s">
        <v>2819</v>
      </c>
      <c r="P506" t="s">
        <v>4448</v>
      </c>
      <c r="Q506" t="s">
        <v>2821</v>
      </c>
      <c r="R506" t="s">
        <v>200</v>
      </c>
      <c r="S506" t="s">
        <v>200</v>
      </c>
      <c r="T506" t="s">
        <v>3022</v>
      </c>
      <c r="U506" t="s">
        <v>3022</v>
      </c>
      <c r="V506" t="s">
        <v>3023</v>
      </c>
      <c r="W506" t="s">
        <v>3431</v>
      </c>
      <c r="X506" t="s">
        <v>3432</v>
      </c>
      <c r="Y506" t="s">
        <v>3433</v>
      </c>
      <c r="Z506" t="s">
        <v>3434</v>
      </c>
      <c r="AA506" t="s">
        <v>2966</v>
      </c>
      <c r="AB506" t="s">
        <v>3435</v>
      </c>
      <c r="AC506" t="s">
        <v>2829</v>
      </c>
      <c r="AD506" t="s">
        <v>2883</v>
      </c>
      <c r="AE506" t="s">
        <v>2831</v>
      </c>
      <c r="AF506" t="s">
        <v>3436</v>
      </c>
      <c r="AG506" t="s">
        <v>3436</v>
      </c>
      <c r="AH506" t="s">
        <v>2834</v>
      </c>
      <c r="AI506" t="s">
        <v>2835</v>
      </c>
      <c r="AJ506" t="s">
        <v>3030</v>
      </c>
      <c r="AK506" t="s">
        <v>3437</v>
      </c>
      <c r="AL506" t="s">
        <v>2966</v>
      </c>
      <c r="AM506" t="s">
        <v>3435</v>
      </c>
      <c r="AN506" t="s">
        <v>2829</v>
      </c>
      <c r="AO506" t="s">
        <v>2839</v>
      </c>
      <c r="AP506" t="s">
        <v>2840</v>
      </c>
      <c r="AQ506" t="s">
        <v>2841</v>
      </c>
      <c r="AR506" t="s">
        <v>3382</v>
      </c>
      <c r="AS506" t="s">
        <v>3382</v>
      </c>
      <c r="AT506" t="s">
        <v>2829</v>
      </c>
      <c r="AU506" t="s">
        <v>2829</v>
      </c>
      <c r="AV506" t="s">
        <v>2829</v>
      </c>
      <c r="AW506" t="s">
        <v>2829</v>
      </c>
      <c r="AX506" t="s">
        <v>2829</v>
      </c>
      <c r="AY506" t="s">
        <v>2829</v>
      </c>
      <c r="AZ506" t="s">
        <v>2829</v>
      </c>
      <c r="BA506" t="s">
        <v>2829</v>
      </c>
      <c r="BB506" t="s">
        <v>2829</v>
      </c>
      <c r="BC506" t="s">
        <v>2829</v>
      </c>
      <c r="BD506" t="s">
        <v>3438</v>
      </c>
      <c r="BE506" t="s">
        <v>3438</v>
      </c>
      <c r="BF506" t="s">
        <v>243</v>
      </c>
      <c r="BG506" t="s">
        <v>243</v>
      </c>
      <c r="BH506" t="s">
        <v>243</v>
      </c>
      <c r="BI506" t="s">
        <v>243</v>
      </c>
      <c r="BJ506" t="s">
        <v>2829</v>
      </c>
      <c r="BK506" t="s">
        <v>243</v>
      </c>
      <c r="BL506" t="s">
        <v>243</v>
      </c>
      <c r="BM506" t="s">
        <v>243</v>
      </c>
      <c r="BN506" t="s">
        <v>243</v>
      </c>
      <c r="BO506" t="s">
        <v>243</v>
      </c>
      <c r="BP506" t="s">
        <v>2829</v>
      </c>
      <c r="BQ506" t="s">
        <v>243</v>
      </c>
      <c r="BR506" t="s">
        <v>243</v>
      </c>
      <c r="BS506" t="s">
        <v>243</v>
      </c>
      <c r="BT506" t="s">
        <v>243</v>
      </c>
      <c r="BU506" t="s">
        <v>243</v>
      </c>
      <c r="BV506" t="s">
        <v>2829</v>
      </c>
      <c r="BW506" t="s">
        <v>243</v>
      </c>
      <c r="BX506" t="s">
        <v>243</v>
      </c>
      <c r="BY506" t="s">
        <v>243</v>
      </c>
      <c r="BZ506" t="s">
        <v>243</v>
      </c>
      <c r="CA506" t="s">
        <v>243</v>
      </c>
      <c r="CB506" t="s">
        <v>3439</v>
      </c>
      <c r="CC506" t="s">
        <v>3439</v>
      </c>
      <c r="CD506" t="s">
        <v>243</v>
      </c>
      <c r="CE506" t="s">
        <v>243</v>
      </c>
      <c r="CF506" t="s">
        <v>243</v>
      </c>
      <c r="CG506" t="s">
        <v>243</v>
      </c>
      <c r="CH506" t="s">
        <v>2829</v>
      </c>
      <c r="CI506" t="s">
        <v>243</v>
      </c>
      <c r="CJ506" t="s">
        <v>243</v>
      </c>
      <c r="CK506" t="s">
        <v>243</v>
      </c>
      <c r="CL506" t="s">
        <v>243</v>
      </c>
      <c r="CM506" t="s">
        <v>243</v>
      </c>
      <c r="CN506" t="s">
        <v>3044</v>
      </c>
      <c r="CO506" t="s">
        <v>2843</v>
      </c>
      <c r="CP506" t="s">
        <v>2844</v>
      </c>
      <c r="CQ506" t="s">
        <v>430</v>
      </c>
      <c r="CR506" t="s">
        <v>3033</v>
      </c>
      <c r="CS506" t="s">
        <v>431</v>
      </c>
      <c r="CT506" t="s">
        <v>430</v>
      </c>
      <c r="CU506" t="s">
        <v>3034</v>
      </c>
      <c r="CV506" t="s">
        <v>432</v>
      </c>
      <c r="CW506" t="s">
        <v>3033</v>
      </c>
      <c r="CX506" t="s">
        <v>2848</v>
      </c>
      <c r="CY506" t="s">
        <v>3440</v>
      </c>
    </row>
    <row r="507" spans="1:103" ht="11.25" customHeight="1">
      <c r="A507" t="s">
        <v>243</v>
      </c>
      <c r="B507" t="s">
        <v>243</v>
      </c>
      <c r="C507" t="s">
        <v>243</v>
      </c>
      <c r="D507" t="s">
        <v>243</v>
      </c>
      <c r="E507" t="s">
        <v>243</v>
      </c>
      <c r="F507" t="s">
        <v>2816</v>
      </c>
      <c r="G507" t="s">
        <v>243</v>
      </c>
      <c r="H507" t="s">
        <v>243</v>
      </c>
      <c r="I507" t="s">
        <v>3441</v>
      </c>
      <c r="J507" t="s">
        <v>243</v>
      </c>
      <c r="K507" t="s">
        <v>441</v>
      </c>
      <c r="L507" t="s">
        <v>243</v>
      </c>
      <c r="M507" t="s">
        <v>114</v>
      </c>
      <c r="N507" t="s">
        <v>243</v>
      </c>
      <c r="O507" t="s">
        <v>2819</v>
      </c>
      <c r="P507" t="s">
        <v>4448</v>
      </c>
      <c r="Q507" t="s">
        <v>2821</v>
      </c>
      <c r="R507" t="s">
        <v>200</v>
      </c>
      <c r="S507" t="s">
        <v>200</v>
      </c>
      <c r="T507" t="s">
        <v>3022</v>
      </c>
      <c r="U507" t="s">
        <v>3022</v>
      </c>
      <c r="V507" t="s">
        <v>3023</v>
      </c>
      <c r="W507" t="s">
        <v>3431</v>
      </c>
      <c r="X507" t="s">
        <v>3432</v>
      </c>
      <c r="Y507" t="s">
        <v>3442</v>
      </c>
      <c r="Z507" t="s">
        <v>457</v>
      </c>
      <c r="AA507" t="s">
        <v>3193</v>
      </c>
      <c r="AB507" t="s">
        <v>3443</v>
      </c>
      <c r="AC507" t="s">
        <v>2829</v>
      </c>
      <c r="AD507" t="s">
        <v>2883</v>
      </c>
      <c r="AE507" t="s">
        <v>2831</v>
      </c>
      <c r="AF507" t="s">
        <v>3444</v>
      </c>
      <c r="AG507" t="s">
        <v>3444</v>
      </c>
      <c r="AH507" t="s">
        <v>2834</v>
      </c>
      <c r="AI507" t="s">
        <v>2835</v>
      </c>
      <c r="AJ507" t="s">
        <v>3041</v>
      </c>
      <c r="AK507" t="s">
        <v>3445</v>
      </c>
      <c r="AL507" t="s">
        <v>3193</v>
      </c>
      <c r="AM507" t="s">
        <v>3443</v>
      </c>
      <c r="AN507" t="s">
        <v>2829</v>
      </c>
      <c r="AO507" t="s">
        <v>2839</v>
      </c>
      <c r="AP507" t="s">
        <v>2840</v>
      </c>
      <c r="AQ507" t="s">
        <v>2841</v>
      </c>
      <c r="AR507" t="s">
        <v>3439</v>
      </c>
      <c r="AS507" t="s">
        <v>3439</v>
      </c>
      <c r="AT507" t="s">
        <v>2829</v>
      </c>
      <c r="AU507" t="s">
        <v>2829</v>
      </c>
      <c r="AV507" t="s">
        <v>2829</v>
      </c>
      <c r="AW507" t="s">
        <v>2829</v>
      </c>
      <c r="AX507" t="s">
        <v>2829</v>
      </c>
      <c r="AY507" t="s">
        <v>2829</v>
      </c>
      <c r="AZ507" t="s">
        <v>2829</v>
      </c>
      <c r="BA507" t="s">
        <v>2829</v>
      </c>
      <c r="BB507" t="s">
        <v>2829</v>
      </c>
      <c r="BC507" t="s">
        <v>2829</v>
      </c>
      <c r="BD507" t="s">
        <v>3439</v>
      </c>
      <c r="BE507" t="s">
        <v>3439</v>
      </c>
      <c r="BF507" t="s">
        <v>243</v>
      </c>
      <c r="BG507" t="s">
        <v>243</v>
      </c>
      <c r="BH507" t="s">
        <v>243</v>
      </c>
      <c r="BI507" t="s">
        <v>243</v>
      </c>
      <c r="BJ507" t="s">
        <v>2829</v>
      </c>
      <c r="BK507" t="s">
        <v>243</v>
      </c>
      <c r="BL507" t="s">
        <v>243</v>
      </c>
      <c r="BM507" t="s">
        <v>243</v>
      </c>
      <c r="BN507" t="s">
        <v>243</v>
      </c>
      <c r="BO507" t="s">
        <v>243</v>
      </c>
      <c r="BP507" t="s">
        <v>2829</v>
      </c>
      <c r="BQ507" t="s">
        <v>243</v>
      </c>
      <c r="BR507" t="s">
        <v>243</v>
      </c>
      <c r="BS507" t="s">
        <v>243</v>
      </c>
      <c r="BT507" t="s">
        <v>243</v>
      </c>
      <c r="BU507" t="s">
        <v>243</v>
      </c>
      <c r="BV507" t="s">
        <v>2829</v>
      </c>
      <c r="BW507" t="s">
        <v>243</v>
      </c>
      <c r="BX507" t="s">
        <v>243</v>
      </c>
      <c r="BY507" t="s">
        <v>243</v>
      </c>
      <c r="BZ507" t="s">
        <v>243</v>
      </c>
      <c r="CA507" t="s">
        <v>243</v>
      </c>
      <c r="CB507" t="s">
        <v>2829</v>
      </c>
      <c r="CC507" t="s">
        <v>243</v>
      </c>
      <c r="CD507" t="s">
        <v>243</v>
      </c>
      <c r="CE507" t="s">
        <v>243</v>
      </c>
      <c r="CF507" t="s">
        <v>243</v>
      </c>
      <c r="CG507" t="s">
        <v>243</v>
      </c>
      <c r="CH507" t="s">
        <v>2829</v>
      </c>
      <c r="CI507" t="s">
        <v>243</v>
      </c>
      <c r="CJ507" t="s">
        <v>243</v>
      </c>
      <c r="CK507" t="s">
        <v>243</v>
      </c>
      <c r="CL507" t="s">
        <v>243</v>
      </c>
      <c r="CM507" t="s">
        <v>243</v>
      </c>
      <c r="CN507" t="s">
        <v>3446</v>
      </c>
      <c r="CO507" t="s">
        <v>2843</v>
      </c>
      <c r="CP507" t="s">
        <v>2844</v>
      </c>
      <c r="CQ507" t="s">
        <v>430</v>
      </c>
      <c r="CR507" t="s">
        <v>3033</v>
      </c>
      <c r="CS507" t="s">
        <v>431</v>
      </c>
      <c r="CT507" t="s">
        <v>430</v>
      </c>
      <c r="CU507" t="s">
        <v>3034</v>
      </c>
      <c r="CV507" t="s">
        <v>432</v>
      </c>
      <c r="CW507" t="s">
        <v>3033</v>
      </c>
      <c r="CX507" t="s">
        <v>2848</v>
      </c>
      <c r="CY507" t="s">
        <v>3447</v>
      </c>
    </row>
    <row r="508" spans="1:103" ht="11.25" customHeight="1">
      <c r="A508" t="s">
        <v>243</v>
      </c>
      <c r="B508" t="s">
        <v>243</v>
      </c>
      <c r="C508" t="s">
        <v>243</v>
      </c>
      <c r="D508" t="s">
        <v>243</v>
      </c>
      <c r="E508" t="s">
        <v>243</v>
      </c>
      <c r="F508" t="s">
        <v>2816</v>
      </c>
      <c r="G508" t="s">
        <v>243</v>
      </c>
      <c r="H508" t="s">
        <v>243</v>
      </c>
      <c r="I508" t="s">
        <v>3136</v>
      </c>
      <c r="J508" t="s">
        <v>243</v>
      </c>
      <c r="K508" t="s">
        <v>3137</v>
      </c>
      <c r="L508" t="s">
        <v>243</v>
      </c>
      <c r="M508" t="s">
        <v>114</v>
      </c>
      <c r="N508" t="s">
        <v>243</v>
      </c>
      <c r="O508" t="s">
        <v>2819</v>
      </c>
      <c r="P508" t="s">
        <v>4448</v>
      </c>
      <c r="Q508" t="s">
        <v>2821</v>
      </c>
      <c r="R508" t="s">
        <v>200</v>
      </c>
      <c r="S508" t="s">
        <v>200</v>
      </c>
      <c r="T508" t="s">
        <v>2933</v>
      </c>
      <c r="U508" t="s">
        <v>2933</v>
      </c>
      <c r="V508" t="s">
        <v>2934</v>
      </c>
      <c r="W508" t="s">
        <v>3138</v>
      </c>
      <c r="X508" t="s">
        <v>3139</v>
      </c>
      <c r="Y508" t="s">
        <v>3140</v>
      </c>
      <c r="Z508" t="s">
        <v>3141</v>
      </c>
      <c r="AA508" t="s">
        <v>3142</v>
      </c>
      <c r="AB508" t="s">
        <v>3143</v>
      </c>
      <c r="AC508" t="s">
        <v>2829</v>
      </c>
      <c r="AD508" t="s">
        <v>2883</v>
      </c>
      <c r="AE508" t="s">
        <v>2831</v>
      </c>
      <c r="AF508" t="s">
        <v>3144</v>
      </c>
      <c r="AG508" t="s">
        <v>3145</v>
      </c>
      <c r="AH508" t="s">
        <v>2834</v>
      </c>
      <c r="AI508" t="s">
        <v>2835</v>
      </c>
      <c r="AJ508" t="s">
        <v>3146</v>
      </c>
      <c r="AK508" t="s">
        <v>3147</v>
      </c>
      <c r="AL508" t="s">
        <v>3005</v>
      </c>
      <c r="AM508" t="s">
        <v>3148</v>
      </c>
      <c r="AN508" t="s">
        <v>2829</v>
      </c>
      <c r="AO508" t="s">
        <v>2839</v>
      </c>
      <c r="AP508" t="s">
        <v>2840</v>
      </c>
      <c r="AQ508" t="s">
        <v>2841</v>
      </c>
      <c r="AR508" t="s">
        <v>3149</v>
      </c>
      <c r="AS508" t="s">
        <v>3149</v>
      </c>
      <c r="AT508" t="s">
        <v>2829</v>
      </c>
      <c r="AU508" t="s">
        <v>2829</v>
      </c>
      <c r="AV508" t="s">
        <v>2829</v>
      </c>
      <c r="AW508" t="s">
        <v>2829</v>
      </c>
      <c r="AX508" t="s">
        <v>2829</v>
      </c>
      <c r="AY508" t="s">
        <v>2829</v>
      </c>
      <c r="AZ508" t="s">
        <v>2829</v>
      </c>
      <c r="BA508" t="s">
        <v>2829</v>
      </c>
      <c r="BB508" t="s">
        <v>2829</v>
      </c>
      <c r="BC508" t="s">
        <v>2829</v>
      </c>
      <c r="BD508" t="s">
        <v>3066</v>
      </c>
      <c r="BE508" t="s">
        <v>3066</v>
      </c>
      <c r="BF508" t="s">
        <v>243</v>
      </c>
      <c r="BG508" t="s">
        <v>243</v>
      </c>
      <c r="BH508" t="s">
        <v>243</v>
      </c>
      <c r="BI508" t="s">
        <v>243</v>
      </c>
      <c r="BJ508" t="s">
        <v>2829</v>
      </c>
      <c r="BK508" t="s">
        <v>243</v>
      </c>
      <c r="BL508" t="s">
        <v>243</v>
      </c>
      <c r="BM508" t="s">
        <v>243</v>
      </c>
      <c r="BN508" t="s">
        <v>243</v>
      </c>
      <c r="BO508" t="s">
        <v>243</v>
      </c>
      <c r="BP508" t="s">
        <v>3058</v>
      </c>
      <c r="BQ508" t="s">
        <v>3058</v>
      </c>
      <c r="BR508" t="s">
        <v>243</v>
      </c>
      <c r="BS508" t="s">
        <v>243</v>
      </c>
      <c r="BT508" t="s">
        <v>243</v>
      </c>
      <c r="BU508" t="s">
        <v>243</v>
      </c>
      <c r="BV508" t="s">
        <v>2829</v>
      </c>
      <c r="BW508" t="s">
        <v>243</v>
      </c>
      <c r="BX508" t="s">
        <v>243</v>
      </c>
      <c r="BY508" t="s">
        <v>243</v>
      </c>
      <c r="BZ508" t="s">
        <v>243</v>
      </c>
      <c r="CA508" t="s">
        <v>243</v>
      </c>
      <c r="CB508" t="s">
        <v>2829</v>
      </c>
      <c r="CC508" t="s">
        <v>243</v>
      </c>
      <c r="CD508" t="s">
        <v>243</v>
      </c>
      <c r="CE508" t="s">
        <v>243</v>
      </c>
      <c r="CF508" t="s">
        <v>243</v>
      </c>
      <c r="CG508" t="s">
        <v>243</v>
      </c>
      <c r="CH508" t="s">
        <v>2829</v>
      </c>
      <c r="CI508" t="s">
        <v>243</v>
      </c>
      <c r="CJ508" t="s">
        <v>243</v>
      </c>
      <c r="CK508" t="s">
        <v>243</v>
      </c>
      <c r="CL508" t="s">
        <v>243</v>
      </c>
      <c r="CM508" t="s">
        <v>243</v>
      </c>
      <c r="CN508" t="s">
        <v>3150</v>
      </c>
      <c r="CO508" t="s">
        <v>2843</v>
      </c>
      <c r="CP508" t="s">
        <v>2844</v>
      </c>
      <c r="CQ508" t="s">
        <v>430</v>
      </c>
      <c r="CR508" t="s">
        <v>3151</v>
      </c>
      <c r="CS508" t="s">
        <v>266</v>
      </c>
      <c r="CT508" t="s">
        <v>430</v>
      </c>
      <c r="CU508" t="s">
        <v>440</v>
      </c>
      <c r="CV508" t="s">
        <v>3152</v>
      </c>
      <c r="CW508" t="s">
        <v>3151</v>
      </c>
      <c r="CX508" t="s">
        <v>2848</v>
      </c>
      <c r="CY508" t="s">
        <v>3153</v>
      </c>
    </row>
    <row r="509" spans="1:103" ht="11.25" customHeight="1">
      <c r="A509" t="s">
        <v>243</v>
      </c>
      <c r="B509" t="s">
        <v>243</v>
      </c>
      <c r="C509" t="s">
        <v>243</v>
      </c>
      <c r="D509" t="s">
        <v>243</v>
      </c>
      <c r="E509" t="s">
        <v>243</v>
      </c>
      <c r="F509" t="s">
        <v>2816</v>
      </c>
      <c r="G509" t="s">
        <v>243</v>
      </c>
      <c r="H509" t="s">
        <v>243</v>
      </c>
      <c r="I509" t="s">
        <v>3319</v>
      </c>
      <c r="J509" t="s">
        <v>243</v>
      </c>
      <c r="K509" t="s">
        <v>3320</v>
      </c>
      <c r="L509" t="s">
        <v>243</v>
      </c>
      <c r="M509" t="s">
        <v>114</v>
      </c>
      <c r="N509" t="s">
        <v>243</v>
      </c>
      <c r="O509" t="s">
        <v>2819</v>
      </c>
      <c r="P509" t="s">
        <v>4448</v>
      </c>
      <c r="Q509" t="s">
        <v>2821</v>
      </c>
      <c r="R509" t="s">
        <v>200</v>
      </c>
      <c r="S509" t="s">
        <v>200</v>
      </c>
      <c r="T509" t="s">
        <v>3048</v>
      </c>
      <c r="U509" t="s">
        <v>3048</v>
      </c>
      <c r="V509" t="s">
        <v>3049</v>
      </c>
      <c r="W509" t="s">
        <v>3050</v>
      </c>
      <c r="X509" t="s">
        <v>3051</v>
      </c>
      <c r="Y509" t="s">
        <v>3321</v>
      </c>
      <c r="Z509" t="s">
        <v>3322</v>
      </c>
      <c r="AA509" t="s">
        <v>3323</v>
      </c>
      <c r="AB509" t="s">
        <v>3324</v>
      </c>
      <c r="AC509" t="s">
        <v>2829</v>
      </c>
      <c r="AD509" t="s">
        <v>2883</v>
      </c>
      <c r="AE509" t="s">
        <v>2831</v>
      </c>
      <c r="AF509" t="s">
        <v>3055</v>
      </c>
      <c r="AG509" t="s">
        <v>3055</v>
      </c>
      <c r="AH509" t="s">
        <v>2834</v>
      </c>
      <c r="AI509" t="s">
        <v>2835</v>
      </c>
      <c r="AJ509" t="s">
        <v>3030</v>
      </c>
      <c r="AK509" t="s">
        <v>3325</v>
      </c>
      <c r="AL509" t="s">
        <v>3323</v>
      </c>
      <c r="AM509" t="s">
        <v>3324</v>
      </c>
      <c r="AN509" t="s">
        <v>2829</v>
      </c>
      <c r="AO509" t="s">
        <v>2839</v>
      </c>
      <c r="AP509" t="s">
        <v>2840</v>
      </c>
      <c r="AQ509" t="s">
        <v>2841</v>
      </c>
      <c r="AR509" t="s">
        <v>3326</v>
      </c>
      <c r="AS509" t="s">
        <v>3326</v>
      </c>
      <c r="AT509" t="s">
        <v>2829</v>
      </c>
      <c r="AU509" t="s">
        <v>2829</v>
      </c>
      <c r="AV509" t="s">
        <v>2829</v>
      </c>
      <c r="AW509" t="s">
        <v>2829</v>
      </c>
      <c r="AX509" t="s">
        <v>2829</v>
      </c>
      <c r="AY509" t="s">
        <v>2829</v>
      </c>
      <c r="AZ509" t="s">
        <v>2829</v>
      </c>
      <c r="BA509" t="s">
        <v>2829</v>
      </c>
      <c r="BB509" t="s">
        <v>2829</v>
      </c>
      <c r="BC509" t="s">
        <v>2829</v>
      </c>
      <c r="BD509" t="s">
        <v>3326</v>
      </c>
      <c r="BE509" t="s">
        <v>3326</v>
      </c>
      <c r="BF509" t="s">
        <v>243</v>
      </c>
      <c r="BG509" t="s">
        <v>243</v>
      </c>
      <c r="BH509" t="s">
        <v>243</v>
      </c>
      <c r="BI509" t="s">
        <v>243</v>
      </c>
      <c r="BJ509" t="s">
        <v>2829</v>
      </c>
      <c r="BK509" t="s">
        <v>243</v>
      </c>
      <c r="BL509" t="s">
        <v>243</v>
      </c>
      <c r="BM509" t="s">
        <v>243</v>
      </c>
      <c r="BN509" t="s">
        <v>243</v>
      </c>
      <c r="BO509" t="s">
        <v>243</v>
      </c>
      <c r="BP509" t="s">
        <v>2829</v>
      </c>
      <c r="BQ509" t="s">
        <v>243</v>
      </c>
      <c r="BR509" t="s">
        <v>243</v>
      </c>
      <c r="BS509" t="s">
        <v>243</v>
      </c>
      <c r="BT509" t="s">
        <v>243</v>
      </c>
      <c r="BU509" t="s">
        <v>243</v>
      </c>
      <c r="BV509" t="s">
        <v>2829</v>
      </c>
      <c r="BW509" t="s">
        <v>243</v>
      </c>
      <c r="BX509" t="s">
        <v>243</v>
      </c>
      <c r="BY509" t="s">
        <v>243</v>
      </c>
      <c r="BZ509" t="s">
        <v>243</v>
      </c>
      <c r="CA509" t="s">
        <v>243</v>
      </c>
      <c r="CB509" t="s">
        <v>2829</v>
      </c>
      <c r="CC509" t="s">
        <v>243</v>
      </c>
      <c r="CD509" t="s">
        <v>243</v>
      </c>
      <c r="CE509" t="s">
        <v>243</v>
      </c>
      <c r="CF509" t="s">
        <v>243</v>
      </c>
      <c r="CG509" t="s">
        <v>243</v>
      </c>
      <c r="CH509" t="s">
        <v>2829</v>
      </c>
      <c r="CI509" t="s">
        <v>243</v>
      </c>
      <c r="CJ509" t="s">
        <v>243</v>
      </c>
      <c r="CK509" t="s">
        <v>243</v>
      </c>
      <c r="CL509" t="s">
        <v>243</v>
      </c>
      <c r="CM509" t="s">
        <v>243</v>
      </c>
      <c r="CN509" t="s">
        <v>3150</v>
      </c>
      <c r="CO509" t="s">
        <v>2843</v>
      </c>
      <c r="CP509" t="s">
        <v>2844</v>
      </c>
      <c r="CQ509" t="s">
        <v>470</v>
      </c>
      <c r="CR509" t="s">
        <v>2872</v>
      </c>
      <c r="CS509" t="s">
        <v>431</v>
      </c>
      <c r="CT509" t="s">
        <v>470</v>
      </c>
      <c r="CU509" t="s">
        <v>3061</v>
      </c>
      <c r="CV509" t="s">
        <v>3062</v>
      </c>
      <c r="CW509" t="s">
        <v>2872</v>
      </c>
      <c r="CX509" t="s">
        <v>2848</v>
      </c>
      <c r="CY509" t="s">
        <v>3327</v>
      </c>
    </row>
    <row r="510" spans="1:103" ht="11.25" customHeight="1">
      <c r="A510" t="s">
        <v>243</v>
      </c>
      <c r="B510" t="s">
        <v>243</v>
      </c>
      <c r="C510" t="s">
        <v>243</v>
      </c>
      <c r="D510" t="s">
        <v>243</v>
      </c>
      <c r="E510" t="s">
        <v>243</v>
      </c>
      <c r="F510" t="s">
        <v>2816</v>
      </c>
      <c r="G510" t="s">
        <v>243</v>
      </c>
      <c r="H510" t="s">
        <v>243</v>
      </c>
      <c r="I510" t="s">
        <v>3784</v>
      </c>
      <c r="J510" t="s">
        <v>243</v>
      </c>
      <c r="K510" t="s">
        <v>3320</v>
      </c>
      <c r="L510" t="s">
        <v>243</v>
      </c>
      <c r="M510" t="s">
        <v>114</v>
      </c>
      <c r="N510" t="s">
        <v>243</v>
      </c>
      <c r="O510" t="s">
        <v>2819</v>
      </c>
      <c r="P510" t="s">
        <v>4448</v>
      </c>
      <c r="Q510" t="s">
        <v>2821</v>
      </c>
      <c r="R510" t="s">
        <v>200</v>
      </c>
      <c r="S510" t="s">
        <v>200</v>
      </c>
      <c r="T510" t="s">
        <v>2822</v>
      </c>
      <c r="U510" t="s">
        <v>2822</v>
      </c>
      <c r="V510" t="s">
        <v>2823</v>
      </c>
      <c r="W510" t="s">
        <v>3785</v>
      </c>
      <c r="X510" t="s">
        <v>3786</v>
      </c>
      <c r="Y510" t="s">
        <v>3610</v>
      </c>
      <c r="Z510" t="s">
        <v>897</v>
      </c>
      <c r="AA510" t="s">
        <v>3005</v>
      </c>
      <c r="AB510" t="s">
        <v>3787</v>
      </c>
      <c r="AC510" t="s">
        <v>2829</v>
      </c>
      <c r="AD510" t="s">
        <v>2830</v>
      </c>
      <c r="AE510" t="s">
        <v>2831</v>
      </c>
      <c r="AF510" t="s">
        <v>3788</v>
      </c>
      <c r="AG510" t="s">
        <v>3789</v>
      </c>
      <c r="AH510" t="s">
        <v>2834</v>
      </c>
      <c r="AI510" t="s">
        <v>2835</v>
      </c>
      <c r="AJ510" t="s">
        <v>2960</v>
      </c>
      <c r="AK510" t="s">
        <v>3325</v>
      </c>
      <c r="AL510" t="s">
        <v>3005</v>
      </c>
      <c r="AM510" t="s">
        <v>3039</v>
      </c>
      <c r="AN510" t="s">
        <v>2829</v>
      </c>
      <c r="AO510" t="s">
        <v>2839</v>
      </c>
      <c r="AP510" t="s">
        <v>2840</v>
      </c>
      <c r="AQ510" t="s">
        <v>2841</v>
      </c>
      <c r="AR510" t="s">
        <v>3790</v>
      </c>
      <c r="AS510" t="s">
        <v>3790</v>
      </c>
      <c r="AT510" t="s">
        <v>2829</v>
      </c>
      <c r="AU510" t="s">
        <v>2829</v>
      </c>
      <c r="AV510" t="s">
        <v>2829</v>
      </c>
      <c r="AW510" t="s">
        <v>2829</v>
      </c>
      <c r="AX510" t="s">
        <v>2829</v>
      </c>
      <c r="AY510" t="s">
        <v>2829</v>
      </c>
      <c r="AZ510" t="s">
        <v>2829</v>
      </c>
      <c r="BA510" t="s">
        <v>2829</v>
      </c>
      <c r="BB510" t="s">
        <v>2829</v>
      </c>
      <c r="BC510" t="s">
        <v>2829</v>
      </c>
      <c r="BD510" t="s">
        <v>3790</v>
      </c>
      <c r="BE510" t="s">
        <v>3790</v>
      </c>
      <c r="BF510" t="s">
        <v>243</v>
      </c>
      <c r="BG510" t="s">
        <v>243</v>
      </c>
      <c r="BH510" t="s">
        <v>243</v>
      </c>
      <c r="BI510" t="s">
        <v>243</v>
      </c>
      <c r="BJ510" t="s">
        <v>2829</v>
      </c>
      <c r="BK510" t="s">
        <v>243</v>
      </c>
      <c r="BL510" t="s">
        <v>243</v>
      </c>
      <c r="BM510" t="s">
        <v>243</v>
      </c>
      <c r="BN510" t="s">
        <v>243</v>
      </c>
      <c r="BO510" t="s">
        <v>243</v>
      </c>
      <c r="BP510" t="s">
        <v>2829</v>
      </c>
      <c r="BQ510" t="s">
        <v>243</v>
      </c>
      <c r="BR510" t="s">
        <v>243</v>
      </c>
      <c r="BS510" t="s">
        <v>243</v>
      </c>
      <c r="BT510" t="s">
        <v>243</v>
      </c>
      <c r="BU510" t="s">
        <v>243</v>
      </c>
      <c r="BV510" t="s">
        <v>2829</v>
      </c>
      <c r="BW510" t="s">
        <v>243</v>
      </c>
      <c r="BX510" t="s">
        <v>243</v>
      </c>
      <c r="BY510" t="s">
        <v>243</v>
      </c>
      <c r="BZ510" t="s">
        <v>243</v>
      </c>
      <c r="CA510" t="s">
        <v>243</v>
      </c>
      <c r="CB510" t="s">
        <v>2829</v>
      </c>
      <c r="CC510" t="s">
        <v>243</v>
      </c>
      <c r="CD510" t="s">
        <v>243</v>
      </c>
      <c r="CE510" t="s">
        <v>243</v>
      </c>
      <c r="CF510" t="s">
        <v>243</v>
      </c>
      <c r="CG510" t="s">
        <v>243</v>
      </c>
      <c r="CH510" t="s">
        <v>2829</v>
      </c>
      <c r="CI510" t="s">
        <v>243</v>
      </c>
      <c r="CJ510" t="s">
        <v>243</v>
      </c>
      <c r="CK510" t="s">
        <v>243</v>
      </c>
      <c r="CL510" t="s">
        <v>243</v>
      </c>
      <c r="CM510" t="s">
        <v>243</v>
      </c>
      <c r="CN510" t="s">
        <v>2960</v>
      </c>
      <c r="CO510" t="s">
        <v>2843</v>
      </c>
      <c r="CP510" t="s">
        <v>2844</v>
      </c>
      <c r="CQ510" t="s">
        <v>430</v>
      </c>
      <c r="CR510" t="s">
        <v>2845</v>
      </c>
      <c r="CS510" t="s">
        <v>431</v>
      </c>
      <c r="CT510" t="s">
        <v>430</v>
      </c>
      <c r="CU510" t="s">
        <v>2846</v>
      </c>
      <c r="CV510" t="s">
        <v>2847</v>
      </c>
      <c r="CW510" t="s">
        <v>2845</v>
      </c>
      <c r="CX510" t="s">
        <v>2848</v>
      </c>
      <c r="CY510" t="s">
        <v>3791</v>
      </c>
    </row>
    <row r="511" spans="1:103" ht="11.25" customHeight="1">
      <c r="A511" t="s">
        <v>243</v>
      </c>
      <c r="B511" t="s">
        <v>243</v>
      </c>
      <c r="C511" t="s">
        <v>243</v>
      </c>
      <c r="D511" t="s">
        <v>243</v>
      </c>
      <c r="E511" t="s">
        <v>243</v>
      </c>
      <c r="F511" t="s">
        <v>2816</v>
      </c>
      <c r="G511" t="s">
        <v>243</v>
      </c>
      <c r="H511" t="s">
        <v>243</v>
      </c>
      <c r="I511" t="s">
        <v>4240</v>
      </c>
      <c r="J511" t="s">
        <v>243</v>
      </c>
      <c r="K511" t="s">
        <v>2818</v>
      </c>
      <c r="L511" t="s">
        <v>243</v>
      </c>
      <c r="M511" t="s">
        <v>114</v>
      </c>
      <c r="N511" t="s">
        <v>243</v>
      </c>
      <c r="O511" t="s">
        <v>2819</v>
      </c>
      <c r="P511" t="s">
        <v>4448</v>
      </c>
      <c r="Q511" t="s">
        <v>2821</v>
      </c>
      <c r="R511" t="s">
        <v>200</v>
      </c>
      <c r="S511" t="s">
        <v>200</v>
      </c>
      <c r="T511" t="s">
        <v>2822</v>
      </c>
      <c r="U511" t="s">
        <v>2822</v>
      </c>
      <c r="V511" t="s">
        <v>2823</v>
      </c>
      <c r="W511" t="s">
        <v>4241</v>
      </c>
      <c r="X511" t="s">
        <v>4242</v>
      </c>
      <c r="Y511" t="s">
        <v>4243</v>
      </c>
      <c r="Z511" t="s">
        <v>341</v>
      </c>
      <c r="AA511" t="s">
        <v>2904</v>
      </c>
      <c r="AB511" t="s">
        <v>4244</v>
      </c>
      <c r="AC511" t="s">
        <v>2829</v>
      </c>
      <c r="AD511" t="s">
        <v>2830</v>
      </c>
      <c r="AE511" t="s">
        <v>2857</v>
      </c>
      <c r="AF511" t="s">
        <v>4245</v>
      </c>
      <c r="AG511" t="s">
        <v>4245</v>
      </c>
      <c r="AH511" t="s">
        <v>2834</v>
      </c>
      <c r="AI511" t="s">
        <v>2835</v>
      </c>
      <c r="AJ511" t="s">
        <v>2836</v>
      </c>
      <c r="AK511" t="s">
        <v>2837</v>
      </c>
      <c r="AL511" t="s">
        <v>2904</v>
      </c>
      <c r="AM511" t="s">
        <v>2907</v>
      </c>
      <c r="AN511" t="s">
        <v>2829</v>
      </c>
      <c r="AO511" t="s">
        <v>2839</v>
      </c>
      <c r="AP511" t="s">
        <v>2840</v>
      </c>
      <c r="AQ511" t="s">
        <v>2841</v>
      </c>
      <c r="AR511" t="s">
        <v>2842</v>
      </c>
      <c r="AS511" t="s">
        <v>2842</v>
      </c>
      <c r="AT511" t="s">
        <v>2829</v>
      </c>
      <c r="AU511" t="s">
        <v>2829</v>
      </c>
      <c r="AV511" t="s">
        <v>2829</v>
      </c>
      <c r="AW511" t="s">
        <v>2829</v>
      </c>
      <c r="AX511" t="s">
        <v>2829</v>
      </c>
      <c r="AY511" t="s">
        <v>2829</v>
      </c>
      <c r="AZ511" t="s">
        <v>2829</v>
      </c>
      <c r="BA511" t="s">
        <v>2829</v>
      </c>
      <c r="BB511" t="s">
        <v>2829</v>
      </c>
      <c r="BC511" t="s">
        <v>2829</v>
      </c>
      <c r="BD511" t="s">
        <v>2842</v>
      </c>
      <c r="BE511" t="s">
        <v>2842</v>
      </c>
      <c r="BF511" t="s">
        <v>243</v>
      </c>
      <c r="BG511" t="s">
        <v>243</v>
      </c>
      <c r="BH511" t="s">
        <v>243</v>
      </c>
      <c r="BI511" t="s">
        <v>243</v>
      </c>
      <c r="BJ511" t="s">
        <v>2829</v>
      </c>
      <c r="BK511" t="s">
        <v>243</v>
      </c>
      <c r="BL511" t="s">
        <v>243</v>
      </c>
      <c r="BM511" t="s">
        <v>243</v>
      </c>
      <c r="BN511" t="s">
        <v>243</v>
      </c>
      <c r="BO511" t="s">
        <v>243</v>
      </c>
      <c r="BP511" t="s">
        <v>2829</v>
      </c>
      <c r="BQ511" t="s">
        <v>243</v>
      </c>
      <c r="BR511" t="s">
        <v>243</v>
      </c>
      <c r="BS511" t="s">
        <v>243</v>
      </c>
      <c r="BT511" t="s">
        <v>243</v>
      </c>
      <c r="BU511" t="s">
        <v>243</v>
      </c>
      <c r="BV511" t="s">
        <v>2829</v>
      </c>
      <c r="BW511" t="s">
        <v>243</v>
      </c>
      <c r="BX511" t="s">
        <v>243</v>
      </c>
      <c r="BY511" t="s">
        <v>243</v>
      </c>
      <c r="BZ511" t="s">
        <v>243</v>
      </c>
      <c r="CA511" t="s">
        <v>243</v>
      </c>
      <c r="CB511" t="s">
        <v>2829</v>
      </c>
      <c r="CC511" t="s">
        <v>243</v>
      </c>
      <c r="CD511" t="s">
        <v>243</v>
      </c>
      <c r="CE511" t="s">
        <v>243</v>
      </c>
      <c r="CF511" t="s">
        <v>243</v>
      </c>
      <c r="CG511" t="s">
        <v>243</v>
      </c>
      <c r="CH511" t="s">
        <v>2829</v>
      </c>
      <c r="CI511" t="s">
        <v>243</v>
      </c>
      <c r="CJ511" t="s">
        <v>243</v>
      </c>
      <c r="CK511" t="s">
        <v>243</v>
      </c>
      <c r="CL511" t="s">
        <v>243</v>
      </c>
      <c r="CM511" t="s">
        <v>243</v>
      </c>
      <c r="CN511" t="s">
        <v>2836</v>
      </c>
      <c r="CO511" t="s">
        <v>2843</v>
      </c>
      <c r="CP511" t="s">
        <v>2844</v>
      </c>
      <c r="CQ511" t="s">
        <v>430</v>
      </c>
      <c r="CR511" t="s">
        <v>2845</v>
      </c>
      <c r="CS511" t="s">
        <v>431</v>
      </c>
      <c r="CT511" t="s">
        <v>430</v>
      </c>
      <c r="CU511" t="s">
        <v>2846</v>
      </c>
      <c r="CV511" t="s">
        <v>2847</v>
      </c>
      <c r="CW511" t="s">
        <v>2845</v>
      </c>
      <c r="CX511" t="s">
        <v>2848</v>
      </c>
      <c r="CY511" t="s">
        <v>4246</v>
      </c>
    </row>
    <row r="512" spans="1:103" ht="11.25" customHeight="1">
      <c r="A512" t="s">
        <v>243</v>
      </c>
      <c r="B512" t="s">
        <v>243</v>
      </c>
      <c r="C512" t="s">
        <v>243</v>
      </c>
      <c r="D512" t="s">
        <v>243</v>
      </c>
      <c r="E512" t="s">
        <v>243</v>
      </c>
      <c r="F512" t="s">
        <v>2816</v>
      </c>
      <c r="G512" t="s">
        <v>243</v>
      </c>
      <c r="H512" t="s">
        <v>243</v>
      </c>
      <c r="I512" t="s">
        <v>4247</v>
      </c>
      <c r="J512" t="s">
        <v>243</v>
      </c>
      <c r="K512" t="s">
        <v>2818</v>
      </c>
      <c r="L512" t="s">
        <v>243</v>
      </c>
      <c r="M512" t="s">
        <v>114</v>
      </c>
      <c r="N512" t="s">
        <v>243</v>
      </c>
      <c r="O512" t="s">
        <v>2819</v>
      </c>
      <c r="P512" t="s">
        <v>4448</v>
      </c>
      <c r="Q512" t="s">
        <v>2821</v>
      </c>
      <c r="R512" t="s">
        <v>200</v>
      </c>
      <c r="S512" t="s">
        <v>200</v>
      </c>
      <c r="T512" t="s">
        <v>2822</v>
      </c>
      <c r="U512" t="s">
        <v>2822</v>
      </c>
      <c r="V512" t="s">
        <v>2823</v>
      </c>
      <c r="W512" t="s">
        <v>4248</v>
      </c>
      <c r="X512" t="s">
        <v>4249</v>
      </c>
      <c r="Y512" t="s">
        <v>4250</v>
      </c>
      <c r="Z512" t="s">
        <v>451</v>
      </c>
      <c r="AA512" t="s">
        <v>2904</v>
      </c>
      <c r="AB512" t="s">
        <v>4251</v>
      </c>
      <c r="AC512" t="s">
        <v>2829</v>
      </c>
      <c r="AD512" t="s">
        <v>2830</v>
      </c>
      <c r="AE512" t="s">
        <v>2857</v>
      </c>
      <c r="AF512" t="s">
        <v>4252</v>
      </c>
      <c r="AG512" t="s">
        <v>4252</v>
      </c>
      <c r="AH512" t="s">
        <v>2834</v>
      </c>
      <c r="AI512" t="s">
        <v>2835</v>
      </c>
      <c r="AJ512" t="s">
        <v>2836</v>
      </c>
      <c r="AK512" t="s">
        <v>2837</v>
      </c>
      <c r="AL512" t="s">
        <v>2904</v>
      </c>
      <c r="AM512" t="s">
        <v>3371</v>
      </c>
      <c r="AN512" t="s">
        <v>2829</v>
      </c>
      <c r="AO512" t="s">
        <v>2839</v>
      </c>
      <c r="AP512" t="s">
        <v>2840</v>
      </c>
      <c r="AQ512" t="s">
        <v>2841</v>
      </c>
      <c r="AR512" t="s">
        <v>2842</v>
      </c>
      <c r="AS512" t="s">
        <v>2842</v>
      </c>
      <c r="AT512" t="s">
        <v>2829</v>
      </c>
      <c r="AU512" t="s">
        <v>2829</v>
      </c>
      <c r="AV512" t="s">
        <v>2829</v>
      </c>
      <c r="AW512" t="s">
        <v>2829</v>
      </c>
      <c r="AX512" t="s">
        <v>2829</v>
      </c>
      <c r="AY512" t="s">
        <v>2829</v>
      </c>
      <c r="AZ512" t="s">
        <v>2829</v>
      </c>
      <c r="BA512" t="s">
        <v>2829</v>
      </c>
      <c r="BB512" t="s">
        <v>2829</v>
      </c>
      <c r="BC512" t="s">
        <v>2829</v>
      </c>
      <c r="BD512" t="s">
        <v>2842</v>
      </c>
      <c r="BE512" t="s">
        <v>2842</v>
      </c>
      <c r="BF512" t="s">
        <v>243</v>
      </c>
      <c r="BG512" t="s">
        <v>243</v>
      </c>
      <c r="BH512" t="s">
        <v>243</v>
      </c>
      <c r="BI512" t="s">
        <v>243</v>
      </c>
      <c r="BJ512" t="s">
        <v>2829</v>
      </c>
      <c r="BK512" t="s">
        <v>243</v>
      </c>
      <c r="BL512" t="s">
        <v>243</v>
      </c>
      <c r="BM512" t="s">
        <v>243</v>
      </c>
      <c r="BN512" t="s">
        <v>243</v>
      </c>
      <c r="BO512" t="s">
        <v>243</v>
      </c>
      <c r="BP512" t="s">
        <v>2829</v>
      </c>
      <c r="BQ512" t="s">
        <v>243</v>
      </c>
      <c r="BR512" t="s">
        <v>243</v>
      </c>
      <c r="BS512" t="s">
        <v>243</v>
      </c>
      <c r="BT512" t="s">
        <v>243</v>
      </c>
      <c r="BU512" t="s">
        <v>243</v>
      </c>
      <c r="BV512" t="s">
        <v>2829</v>
      </c>
      <c r="BW512" t="s">
        <v>243</v>
      </c>
      <c r="BX512" t="s">
        <v>243</v>
      </c>
      <c r="BY512" t="s">
        <v>243</v>
      </c>
      <c r="BZ512" t="s">
        <v>243</v>
      </c>
      <c r="CA512" t="s">
        <v>243</v>
      </c>
      <c r="CB512" t="s">
        <v>2829</v>
      </c>
      <c r="CC512" t="s">
        <v>243</v>
      </c>
      <c r="CD512" t="s">
        <v>243</v>
      </c>
      <c r="CE512" t="s">
        <v>243</v>
      </c>
      <c r="CF512" t="s">
        <v>243</v>
      </c>
      <c r="CG512" t="s">
        <v>243</v>
      </c>
      <c r="CH512" t="s">
        <v>2829</v>
      </c>
      <c r="CI512" t="s">
        <v>243</v>
      </c>
      <c r="CJ512" t="s">
        <v>243</v>
      </c>
      <c r="CK512" t="s">
        <v>243</v>
      </c>
      <c r="CL512" t="s">
        <v>243</v>
      </c>
      <c r="CM512" t="s">
        <v>243</v>
      </c>
      <c r="CN512" t="s">
        <v>2836</v>
      </c>
      <c r="CO512" t="s">
        <v>2843</v>
      </c>
      <c r="CP512" t="s">
        <v>2844</v>
      </c>
      <c r="CQ512" t="s">
        <v>430</v>
      </c>
      <c r="CR512" t="s">
        <v>2845</v>
      </c>
      <c r="CS512" t="s">
        <v>431</v>
      </c>
      <c r="CT512" t="s">
        <v>430</v>
      </c>
      <c r="CU512" t="s">
        <v>2846</v>
      </c>
      <c r="CV512" t="s">
        <v>2847</v>
      </c>
      <c r="CW512" t="s">
        <v>2845</v>
      </c>
      <c r="CX512" t="s">
        <v>2848</v>
      </c>
      <c r="CY512" t="s">
        <v>4253</v>
      </c>
    </row>
    <row r="513" spans="1:103" ht="11.25" customHeight="1">
      <c r="A513" t="s">
        <v>243</v>
      </c>
      <c r="B513" t="s">
        <v>243</v>
      </c>
      <c r="C513" t="s">
        <v>243</v>
      </c>
      <c r="D513" t="s">
        <v>243</v>
      </c>
      <c r="E513" t="s">
        <v>243</v>
      </c>
      <c r="F513" t="s">
        <v>2816</v>
      </c>
      <c r="G513" t="s">
        <v>243</v>
      </c>
      <c r="H513" t="s">
        <v>243</v>
      </c>
      <c r="I513" t="s">
        <v>2902</v>
      </c>
      <c r="J513" t="s">
        <v>243</v>
      </c>
      <c r="K513" t="s">
        <v>2818</v>
      </c>
      <c r="L513" t="s">
        <v>243</v>
      </c>
      <c r="M513" t="s">
        <v>114</v>
      </c>
      <c r="N513" t="s">
        <v>243</v>
      </c>
      <c r="O513" t="s">
        <v>2819</v>
      </c>
      <c r="P513" t="s">
        <v>4448</v>
      </c>
      <c r="Q513" t="s">
        <v>2821</v>
      </c>
      <c r="R513" t="s">
        <v>200</v>
      </c>
      <c r="S513" t="s">
        <v>200</v>
      </c>
      <c r="T513" t="s">
        <v>2822</v>
      </c>
      <c r="U513" t="s">
        <v>2822</v>
      </c>
      <c r="V513" t="s">
        <v>2823</v>
      </c>
      <c r="W513" t="s">
        <v>2862</v>
      </c>
      <c r="X513" t="s">
        <v>2863</v>
      </c>
      <c r="Y513" t="s">
        <v>2903</v>
      </c>
      <c r="Z513" t="s">
        <v>341</v>
      </c>
      <c r="AA513" t="s">
        <v>2904</v>
      </c>
      <c r="AB513" t="s">
        <v>2905</v>
      </c>
      <c r="AC513" t="s">
        <v>2829</v>
      </c>
      <c r="AD513" t="s">
        <v>2830</v>
      </c>
      <c r="AE513" t="s">
        <v>2857</v>
      </c>
      <c r="AF513" t="s">
        <v>2906</v>
      </c>
      <c r="AG513" t="s">
        <v>2906</v>
      </c>
      <c r="AH513" t="s">
        <v>2834</v>
      </c>
      <c r="AI513" t="s">
        <v>2835</v>
      </c>
      <c r="AJ513" t="s">
        <v>2829</v>
      </c>
      <c r="AK513" t="s">
        <v>2868</v>
      </c>
      <c r="AL513" t="s">
        <v>2904</v>
      </c>
      <c r="AM513" t="s">
        <v>2907</v>
      </c>
      <c r="AN513" t="s">
        <v>2829</v>
      </c>
      <c r="AO513" t="s">
        <v>2839</v>
      </c>
      <c r="AP513" t="s">
        <v>2840</v>
      </c>
      <c r="AQ513" t="s">
        <v>2841</v>
      </c>
      <c r="AR513" t="s">
        <v>2908</v>
      </c>
      <c r="AS513" t="s">
        <v>2908</v>
      </c>
      <c r="AT513" t="s">
        <v>2829</v>
      </c>
      <c r="AU513" t="s">
        <v>2829</v>
      </c>
      <c r="AV513" t="s">
        <v>2829</v>
      </c>
      <c r="AW513" t="s">
        <v>2829</v>
      </c>
      <c r="AX513" t="s">
        <v>2829</v>
      </c>
      <c r="AY513" t="s">
        <v>2829</v>
      </c>
      <c r="AZ513" t="s">
        <v>2829</v>
      </c>
      <c r="BA513" t="s">
        <v>2829</v>
      </c>
      <c r="BB513" t="s">
        <v>2829</v>
      </c>
      <c r="BC513" t="s">
        <v>2829</v>
      </c>
      <c r="BD513" t="s">
        <v>2908</v>
      </c>
      <c r="BE513" t="s">
        <v>2908</v>
      </c>
      <c r="BF513" t="s">
        <v>243</v>
      </c>
      <c r="BG513" t="s">
        <v>243</v>
      </c>
      <c r="BH513" t="s">
        <v>243</v>
      </c>
      <c r="BI513" t="s">
        <v>243</v>
      </c>
      <c r="BJ513" t="s">
        <v>2829</v>
      </c>
      <c r="BK513" t="s">
        <v>243</v>
      </c>
      <c r="BL513" t="s">
        <v>243</v>
      </c>
      <c r="BM513" t="s">
        <v>243</v>
      </c>
      <c r="BN513" t="s">
        <v>243</v>
      </c>
      <c r="BO513" t="s">
        <v>243</v>
      </c>
      <c r="BP513" t="s">
        <v>2829</v>
      </c>
      <c r="BQ513" t="s">
        <v>243</v>
      </c>
      <c r="BR513" t="s">
        <v>243</v>
      </c>
      <c r="BS513" t="s">
        <v>243</v>
      </c>
      <c r="BT513" t="s">
        <v>243</v>
      </c>
      <c r="BU513" t="s">
        <v>243</v>
      </c>
      <c r="BV513" t="s">
        <v>2829</v>
      </c>
      <c r="BW513" t="s">
        <v>243</v>
      </c>
      <c r="BX513" t="s">
        <v>243</v>
      </c>
      <c r="BY513" t="s">
        <v>243</v>
      </c>
      <c r="BZ513" t="s">
        <v>243</v>
      </c>
      <c r="CA513" t="s">
        <v>243</v>
      </c>
      <c r="CB513" t="s">
        <v>2829</v>
      </c>
      <c r="CC513" t="s">
        <v>243</v>
      </c>
      <c r="CD513" t="s">
        <v>243</v>
      </c>
      <c r="CE513" t="s">
        <v>243</v>
      </c>
      <c r="CF513" t="s">
        <v>243</v>
      </c>
      <c r="CG513" t="s">
        <v>243</v>
      </c>
      <c r="CH513" t="s">
        <v>2829</v>
      </c>
      <c r="CI513" t="s">
        <v>243</v>
      </c>
      <c r="CJ513" t="s">
        <v>243</v>
      </c>
      <c r="CK513" t="s">
        <v>243</v>
      </c>
      <c r="CL513" t="s">
        <v>243</v>
      </c>
      <c r="CM513" t="s">
        <v>243</v>
      </c>
      <c r="CN513" t="s">
        <v>2829</v>
      </c>
      <c r="CO513" t="s">
        <v>2843</v>
      </c>
      <c r="CP513" t="s">
        <v>2844</v>
      </c>
      <c r="CQ513" t="s">
        <v>430</v>
      </c>
      <c r="CR513" t="s">
        <v>2872</v>
      </c>
      <c r="CS513" t="s">
        <v>431</v>
      </c>
      <c r="CT513" t="s">
        <v>430</v>
      </c>
      <c r="CU513" t="s">
        <v>2846</v>
      </c>
      <c r="CV513" t="s">
        <v>2873</v>
      </c>
      <c r="CW513" t="s">
        <v>2872</v>
      </c>
      <c r="CX513" t="s">
        <v>2848</v>
      </c>
      <c r="CY513" t="s">
        <v>2909</v>
      </c>
    </row>
    <row r="514" spans="1:103" ht="11.25" customHeight="1">
      <c r="A514" t="s">
        <v>243</v>
      </c>
      <c r="B514" t="s">
        <v>243</v>
      </c>
      <c r="C514" t="s">
        <v>243</v>
      </c>
      <c r="D514" t="s">
        <v>243</v>
      </c>
      <c r="E514" t="s">
        <v>243</v>
      </c>
      <c r="F514" t="s">
        <v>2816</v>
      </c>
      <c r="G514" t="s">
        <v>243</v>
      </c>
      <c r="H514" t="s">
        <v>243</v>
      </c>
      <c r="I514" t="s">
        <v>2910</v>
      </c>
      <c r="J514" t="s">
        <v>243</v>
      </c>
      <c r="K514" t="s">
        <v>2818</v>
      </c>
      <c r="L514" t="s">
        <v>243</v>
      </c>
      <c r="M514" t="s">
        <v>114</v>
      </c>
      <c r="N514" t="s">
        <v>243</v>
      </c>
      <c r="O514" t="s">
        <v>2819</v>
      </c>
      <c r="P514" t="s">
        <v>4448</v>
      </c>
      <c r="Q514" t="s">
        <v>2821</v>
      </c>
      <c r="R514" t="s">
        <v>200</v>
      </c>
      <c r="S514" t="s">
        <v>200</v>
      </c>
      <c r="T514" t="s">
        <v>2822</v>
      </c>
      <c r="U514" t="s">
        <v>2822</v>
      </c>
      <c r="V514" t="s">
        <v>2823</v>
      </c>
      <c r="W514" t="s">
        <v>2911</v>
      </c>
      <c r="X514" t="s">
        <v>2912</v>
      </c>
      <c r="Y514" t="s">
        <v>2913</v>
      </c>
      <c r="Z514" t="s">
        <v>348</v>
      </c>
      <c r="AA514" t="s">
        <v>2865</v>
      </c>
      <c r="AB514" t="s">
        <v>2838</v>
      </c>
      <c r="AC514" t="s">
        <v>2829</v>
      </c>
      <c r="AD514" t="s">
        <v>2830</v>
      </c>
      <c r="AE514" t="s">
        <v>2857</v>
      </c>
      <c r="AF514" t="s">
        <v>2914</v>
      </c>
      <c r="AG514" t="s">
        <v>2914</v>
      </c>
      <c r="AH514" t="s">
        <v>2834</v>
      </c>
      <c r="AI514" t="s">
        <v>2835</v>
      </c>
      <c r="AJ514" t="s">
        <v>2829</v>
      </c>
      <c r="AK514" t="s">
        <v>2868</v>
      </c>
      <c r="AL514" t="s">
        <v>2865</v>
      </c>
      <c r="AM514" t="s">
        <v>2838</v>
      </c>
      <c r="AN514" t="s">
        <v>2829</v>
      </c>
      <c r="AO514" t="s">
        <v>2839</v>
      </c>
      <c r="AP514" t="s">
        <v>2840</v>
      </c>
      <c r="AQ514" t="s">
        <v>2841</v>
      </c>
      <c r="AR514" t="s">
        <v>2915</v>
      </c>
      <c r="AS514" t="s">
        <v>2915</v>
      </c>
      <c r="AT514" t="s">
        <v>2829</v>
      </c>
      <c r="AU514" t="s">
        <v>2829</v>
      </c>
      <c r="AV514" t="s">
        <v>2829</v>
      </c>
      <c r="AW514" t="s">
        <v>2829</v>
      </c>
      <c r="AX514" t="s">
        <v>2829</v>
      </c>
      <c r="AY514" t="s">
        <v>2829</v>
      </c>
      <c r="AZ514" t="s">
        <v>2829</v>
      </c>
      <c r="BA514" t="s">
        <v>2829</v>
      </c>
      <c r="BB514" t="s">
        <v>2829</v>
      </c>
      <c r="BC514" t="s">
        <v>2829</v>
      </c>
      <c r="BD514" t="s">
        <v>2915</v>
      </c>
      <c r="BE514" t="s">
        <v>2915</v>
      </c>
      <c r="BF514" t="s">
        <v>243</v>
      </c>
      <c r="BG514" t="s">
        <v>243</v>
      </c>
      <c r="BH514" t="s">
        <v>243</v>
      </c>
      <c r="BI514" t="s">
        <v>243</v>
      </c>
      <c r="BJ514" t="s">
        <v>2829</v>
      </c>
      <c r="BK514" t="s">
        <v>243</v>
      </c>
      <c r="BL514" t="s">
        <v>243</v>
      </c>
      <c r="BM514" t="s">
        <v>243</v>
      </c>
      <c r="BN514" t="s">
        <v>243</v>
      </c>
      <c r="BO514" t="s">
        <v>243</v>
      </c>
      <c r="BP514" t="s">
        <v>2829</v>
      </c>
      <c r="BQ514" t="s">
        <v>243</v>
      </c>
      <c r="BR514" t="s">
        <v>243</v>
      </c>
      <c r="BS514" t="s">
        <v>243</v>
      </c>
      <c r="BT514" t="s">
        <v>243</v>
      </c>
      <c r="BU514" t="s">
        <v>243</v>
      </c>
      <c r="BV514" t="s">
        <v>2829</v>
      </c>
      <c r="BW514" t="s">
        <v>243</v>
      </c>
      <c r="BX514" t="s">
        <v>243</v>
      </c>
      <c r="BY514" t="s">
        <v>243</v>
      </c>
      <c r="BZ514" t="s">
        <v>243</v>
      </c>
      <c r="CA514" t="s">
        <v>243</v>
      </c>
      <c r="CB514" t="s">
        <v>2829</v>
      </c>
      <c r="CC514" t="s">
        <v>243</v>
      </c>
      <c r="CD514" t="s">
        <v>243</v>
      </c>
      <c r="CE514" t="s">
        <v>243</v>
      </c>
      <c r="CF514" t="s">
        <v>243</v>
      </c>
      <c r="CG514" t="s">
        <v>243</v>
      </c>
      <c r="CH514" t="s">
        <v>2829</v>
      </c>
      <c r="CI514" t="s">
        <v>243</v>
      </c>
      <c r="CJ514" t="s">
        <v>243</v>
      </c>
      <c r="CK514" t="s">
        <v>243</v>
      </c>
      <c r="CL514" t="s">
        <v>243</v>
      </c>
      <c r="CM514" t="s">
        <v>243</v>
      </c>
      <c r="CN514" t="s">
        <v>2829</v>
      </c>
      <c r="CO514" t="s">
        <v>2843</v>
      </c>
      <c r="CP514" t="s">
        <v>2844</v>
      </c>
      <c r="CQ514" t="s">
        <v>430</v>
      </c>
      <c r="CR514" t="s">
        <v>2872</v>
      </c>
      <c r="CS514" t="s">
        <v>431</v>
      </c>
      <c r="CT514" t="s">
        <v>430</v>
      </c>
      <c r="CU514" t="s">
        <v>2846</v>
      </c>
      <c r="CV514" t="s">
        <v>2873</v>
      </c>
      <c r="CW514" t="s">
        <v>2872</v>
      </c>
      <c r="CX514" t="s">
        <v>2848</v>
      </c>
      <c r="CY514" t="s">
        <v>2916</v>
      </c>
    </row>
    <row r="515" spans="1:103" ht="11.25" customHeight="1">
      <c r="A515" t="s">
        <v>243</v>
      </c>
      <c r="B515" t="s">
        <v>243</v>
      </c>
      <c r="C515" t="s">
        <v>243</v>
      </c>
      <c r="D515" t="s">
        <v>243</v>
      </c>
      <c r="E515" t="s">
        <v>243</v>
      </c>
      <c r="F515" t="s">
        <v>2816</v>
      </c>
      <c r="G515" t="s">
        <v>243</v>
      </c>
      <c r="H515" t="s">
        <v>243</v>
      </c>
      <c r="I515" t="s">
        <v>3232</v>
      </c>
      <c r="J515" t="s">
        <v>243</v>
      </c>
      <c r="K515" t="s">
        <v>3233</v>
      </c>
      <c r="L515" t="s">
        <v>243</v>
      </c>
      <c r="M515" t="s">
        <v>114</v>
      </c>
      <c r="N515" t="s">
        <v>243</v>
      </c>
      <c r="O515" t="s">
        <v>2819</v>
      </c>
      <c r="P515" t="s">
        <v>4448</v>
      </c>
      <c r="Q515" t="s">
        <v>2821</v>
      </c>
      <c r="R515" t="s">
        <v>200</v>
      </c>
      <c r="S515" t="s">
        <v>200</v>
      </c>
      <c r="T515" t="s">
        <v>2933</v>
      </c>
      <c r="U515" t="s">
        <v>2933</v>
      </c>
      <c r="V515" t="s">
        <v>2934</v>
      </c>
      <c r="W515" t="s">
        <v>2935</v>
      </c>
      <c r="X515" t="s">
        <v>2936</v>
      </c>
      <c r="Y515" t="s">
        <v>3234</v>
      </c>
      <c r="Z515" t="s">
        <v>3235</v>
      </c>
      <c r="AA515" t="s">
        <v>3236</v>
      </c>
      <c r="AB515" t="s">
        <v>3237</v>
      </c>
      <c r="AC515" t="s">
        <v>2829</v>
      </c>
      <c r="AD515" t="s">
        <v>2883</v>
      </c>
      <c r="AE515" t="s">
        <v>2831</v>
      </c>
      <c r="AF515" t="s">
        <v>3238</v>
      </c>
      <c r="AG515" t="s">
        <v>3238</v>
      </c>
      <c r="AH515" t="s">
        <v>2834</v>
      </c>
      <c r="AI515" t="s">
        <v>2835</v>
      </c>
      <c r="AJ515" t="s">
        <v>2942</v>
      </c>
      <c r="AK515" t="s">
        <v>3239</v>
      </c>
      <c r="AL515" t="s">
        <v>3236</v>
      </c>
      <c r="AM515" t="s">
        <v>3237</v>
      </c>
      <c r="AN515" t="s">
        <v>243</v>
      </c>
      <c r="AO515" t="s">
        <v>2839</v>
      </c>
      <c r="AP515" t="s">
        <v>2840</v>
      </c>
      <c r="AQ515" t="s">
        <v>2841</v>
      </c>
      <c r="AR515" t="s">
        <v>3240</v>
      </c>
      <c r="AS515" t="s">
        <v>3240</v>
      </c>
      <c r="AT515" t="s">
        <v>2829</v>
      </c>
      <c r="AU515" t="s">
        <v>2829</v>
      </c>
      <c r="AV515" t="s">
        <v>2829</v>
      </c>
      <c r="AW515" t="s">
        <v>2829</v>
      </c>
      <c r="AX515" t="s">
        <v>2829</v>
      </c>
      <c r="AY515" t="s">
        <v>2829</v>
      </c>
      <c r="AZ515" t="s">
        <v>2829</v>
      </c>
      <c r="BA515" t="s">
        <v>2829</v>
      </c>
      <c r="BB515" t="s">
        <v>2829</v>
      </c>
      <c r="BC515" t="s">
        <v>2829</v>
      </c>
      <c r="BD515" t="s">
        <v>3241</v>
      </c>
      <c r="BE515" t="s">
        <v>3241</v>
      </c>
      <c r="BF515" t="s">
        <v>243</v>
      </c>
      <c r="BG515" t="s">
        <v>243</v>
      </c>
      <c r="BH515" t="s">
        <v>243</v>
      </c>
      <c r="BI515" t="s">
        <v>243</v>
      </c>
      <c r="BJ515" t="s">
        <v>2829</v>
      </c>
      <c r="BK515" t="s">
        <v>243</v>
      </c>
      <c r="BL515" t="s">
        <v>243</v>
      </c>
      <c r="BM515" t="s">
        <v>243</v>
      </c>
      <c r="BN515" t="s">
        <v>243</v>
      </c>
      <c r="BO515" t="s">
        <v>243</v>
      </c>
      <c r="BP515" t="s">
        <v>3242</v>
      </c>
      <c r="BQ515" t="s">
        <v>3242</v>
      </c>
      <c r="BR515" t="s">
        <v>243</v>
      </c>
      <c r="BS515" t="s">
        <v>243</v>
      </c>
      <c r="BT515" t="s">
        <v>243</v>
      </c>
      <c r="BU515" t="s">
        <v>243</v>
      </c>
      <c r="BV515" t="s">
        <v>2829</v>
      </c>
      <c r="BW515" t="s">
        <v>243</v>
      </c>
      <c r="BX515" t="s">
        <v>243</v>
      </c>
      <c r="BY515" t="s">
        <v>243</v>
      </c>
      <c r="BZ515" t="s">
        <v>243</v>
      </c>
      <c r="CA515" t="s">
        <v>243</v>
      </c>
      <c r="CB515" t="s">
        <v>2829</v>
      </c>
      <c r="CC515" t="s">
        <v>243</v>
      </c>
      <c r="CD515" t="s">
        <v>243</v>
      </c>
      <c r="CE515" t="s">
        <v>243</v>
      </c>
      <c r="CF515" t="s">
        <v>243</v>
      </c>
      <c r="CG515" t="s">
        <v>243</v>
      </c>
      <c r="CH515" t="s">
        <v>2829</v>
      </c>
      <c r="CI515" t="s">
        <v>243</v>
      </c>
      <c r="CJ515" t="s">
        <v>243</v>
      </c>
      <c r="CK515" t="s">
        <v>243</v>
      </c>
      <c r="CL515" t="s">
        <v>243</v>
      </c>
      <c r="CM515" t="s">
        <v>243</v>
      </c>
      <c r="CN515" t="s">
        <v>2942</v>
      </c>
      <c r="CO515" t="s">
        <v>2843</v>
      </c>
      <c r="CP515" t="s">
        <v>2844</v>
      </c>
      <c r="CQ515" t="s">
        <v>430</v>
      </c>
      <c r="CR515" t="s">
        <v>2947</v>
      </c>
      <c r="CS515" t="s">
        <v>431</v>
      </c>
      <c r="CT515" t="s">
        <v>430</v>
      </c>
      <c r="CU515" t="s">
        <v>2948</v>
      </c>
      <c r="CV515" t="s">
        <v>2949</v>
      </c>
      <c r="CW515" t="s">
        <v>2947</v>
      </c>
      <c r="CX515" t="s">
        <v>2848</v>
      </c>
      <c r="CY515" t="s">
        <v>3243</v>
      </c>
    </row>
    <row r="516" spans="1:103" ht="11.25" customHeight="1">
      <c r="A516" t="s">
        <v>243</v>
      </c>
      <c r="B516" t="s">
        <v>243</v>
      </c>
      <c r="C516" t="s">
        <v>243</v>
      </c>
      <c r="D516" t="s">
        <v>243</v>
      </c>
      <c r="E516" t="s">
        <v>243</v>
      </c>
      <c r="F516" t="s">
        <v>2816</v>
      </c>
      <c r="G516" t="s">
        <v>243</v>
      </c>
      <c r="H516" t="s">
        <v>243</v>
      </c>
      <c r="I516" t="s">
        <v>4233</v>
      </c>
      <c r="J516" t="s">
        <v>243</v>
      </c>
      <c r="K516" t="s">
        <v>3115</v>
      </c>
      <c r="L516" t="s">
        <v>243</v>
      </c>
      <c r="M516" t="s">
        <v>114</v>
      </c>
      <c r="N516" t="s">
        <v>243</v>
      </c>
      <c r="O516" t="s">
        <v>2819</v>
      </c>
      <c r="P516" t="s">
        <v>4448</v>
      </c>
      <c r="Q516" t="s">
        <v>2821</v>
      </c>
      <c r="R516" t="s">
        <v>200</v>
      </c>
      <c r="S516" t="s">
        <v>200</v>
      </c>
      <c r="T516" t="s">
        <v>2968</v>
      </c>
      <c r="U516" t="s">
        <v>2968</v>
      </c>
      <c r="V516" t="s">
        <v>2969</v>
      </c>
      <c r="W516" t="s">
        <v>4234</v>
      </c>
      <c r="X516" t="s">
        <v>4235</v>
      </c>
      <c r="Y516" t="s">
        <v>2918</v>
      </c>
      <c r="Z516" t="s">
        <v>3065</v>
      </c>
      <c r="AA516" t="s">
        <v>3058</v>
      </c>
      <c r="AB516" t="s">
        <v>4229</v>
      </c>
      <c r="AC516" t="s">
        <v>2829</v>
      </c>
      <c r="AD516" t="s">
        <v>2883</v>
      </c>
      <c r="AE516" t="s">
        <v>2857</v>
      </c>
      <c r="AF516" t="s">
        <v>4236</v>
      </c>
      <c r="AG516" t="s">
        <v>4236</v>
      </c>
      <c r="AH516" t="s">
        <v>2834</v>
      </c>
      <c r="AI516" t="s">
        <v>2835</v>
      </c>
      <c r="AJ516" t="s">
        <v>4237</v>
      </c>
      <c r="AK516" t="s">
        <v>3483</v>
      </c>
      <c r="AL516" t="s">
        <v>3058</v>
      </c>
      <c r="AM516" t="s">
        <v>4229</v>
      </c>
      <c r="AN516" t="s">
        <v>2829</v>
      </c>
      <c r="AO516" t="s">
        <v>2839</v>
      </c>
      <c r="AP516" t="s">
        <v>2840</v>
      </c>
      <c r="AQ516" t="s">
        <v>2841</v>
      </c>
      <c r="AR516" t="s">
        <v>4238</v>
      </c>
      <c r="AS516" t="s">
        <v>4238</v>
      </c>
      <c r="AT516" t="s">
        <v>2829</v>
      </c>
      <c r="AU516" t="s">
        <v>2829</v>
      </c>
      <c r="AV516" t="s">
        <v>2829</v>
      </c>
      <c r="AW516" t="s">
        <v>2829</v>
      </c>
      <c r="AX516" t="s">
        <v>2829</v>
      </c>
      <c r="AY516" t="s">
        <v>2829</v>
      </c>
      <c r="AZ516" t="s">
        <v>2829</v>
      </c>
      <c r="BA516" t="s">
        <v>2829</v>
      </c>
      <c r="BB516" t="s">
        <v>2829</v>
      </c>
      <c r="BC516" t="s">
        <v>2829</v>
      </c>
      <c r="BD516" t="s">
        <v>2829</v>
      </c>
      <c r="BE516" t="s">
        <v>243</v>
      </c>
      <c r="BF516" t="s">
        <v>243</v>
      </c>
      <c r="BG516" t="s">
        <v>243</v>
      </c>
      <c r="BH516" t="s">
        <v>243</v>
      </c>
      <c r="BI516" t="s">
        <v>243</v>
      </c>
      <c r="BJ516" t="s">
        <v>2829</v>
      </c>
      <c r="BK516" t="s">
        <v>243</v>
      </c>
      <c r="BL516" t="s">
        <v>243</v>
      </c>
      <c r="BM516" t="s">
        <v>243</v>
      </c>
      <c r="BN516" t="s">
        <v>243</v>
      </c>
      <c r="BO516" t="s">
        <v>243</v>
      </c>
      <c r="BP516" t="s">
        <v>4238</v>
      </c>
      <c r="BQ516" t="s">
        <v>4238</v>
      </c>
      <c r="BR516" t="s">
        <v>243</v>
      </c>
      <c r="BS516" t="s">
        <v>243</v>
      </c>
      <c r="BT516" t="s">
        <v>243</v>
      </c>
      <c r="BU516" t="s">
        <v>243</v>
      </c>
      <c r="BV516" t="s">
        <v>2829</v>
      </c>
      <c r="BW516" t="s">
        <v>243</v>
      </c>
      <c r="BX516" t="s">
        <v>243</v>
      </c>
      <c r="BY516" t="s">
        <v>243</v>
      </c>
      <c r="BZ516" t="s">
        <v>243</v>
      </c>
      <c r="CA516" t="s">
        <v>243</v>
      </c>
      <c r="CB516" t="s">
        <v>2829</v>
      </c>
      <c r="CC516" t="s">
        <v>243</v>
      </c>
      <c r="CD516" t="s">
        <v>243</v>
      </c>
      <c r="CE516" t="s">
        <v>243</v>
      </c>
      <c r="CF516" t="s">
        <v>243</v>
      </c>
      <c r="CG516" t="s">
        <v>243</v>
      </c>
      <c r="CH516" t="s">
        <v>2829</v>
      </c>
      <c r="CI516" t="s">
        <v>243</v>
      </c>
      <c r="CJ516" t="s">
        <v>243</v>
      </c>
      <c r="CK516" t="s">
        <v>243</v>
      </c>
      <c r="CL516" t="s">
        <v>243</v>
      </c>
      <c r="CM516" t="s">
        <v>243</v>
      </c>
      <c r="CN516" t="s">
        <v>3010</v>
      </c>
      <c r="CO516" t="s">
        <v>2843</v>
      </c>
      <c r="CP516" t="s">
        <v>2844</v>
      </c>
      <c r="CQ516" t="s">
        <v>430</v>
      </c>
      <c r="CR516" t="s">
        <v>2984</v>
      </c>
      <c r="CS516" t="s">
        <v>431</v>
      </c>
      <c r="CT516" t="s">
        <v>430</v>
      </c>
      <c r="CU516" t="s">
        <v>2985</v>
      </c>
      <c r="CV516" t="s">
        <v>2986</v>
      </c>
      <c r="CW516" t="s">
        <v>2984</v>
      </c>
      <c r="CX516" t="s">
        <v>2848</v>
      </c>
      <c r="CY516" t="s">
        <v>4239</v>
      </c>
    </row>
    <row r="517" spans="1:103" ht="11.25" customHeight="1">
      <c r="A517" t="s">
        <v>243</v>
      </c>
      <c r="B517" t="s">
        <v>243</v>
      </c>
      <c r="C517" t="s">
        <v>243</v>
      </c>
      <c r="D517" t="s">
        <v>243</v>
      </c>
      <c r="E517" t="s">
        <v>243</v>
      </c>
      <c r="F517" t="s">
        <v>2816</v>
      </c>
      <c r="G517" t="s">
        <v>243</v>
      </c>
      <c r="H517" t="s">
        <v>243</v>
      </c>
      <c r="I517" t="s">
        <v>4259</v>
      </c>
      <c r="J517" t="s">
        <v>243</v>
      </c>
      <c r="K517" t="s">
        <v>4260</v>
      </c>
      <c r="L517" t="s">
        <v>243</v>
      </c>
      <c r="M517" t="s">
        <v>114</v>
      </c>
      <c r="N517" t="s">
        <v>243</v>
      </c>
      <c r="O517" t="s">
        <v>2819</v>
      </c>
      <c r="P517" t="s">
        <v>4448</v>
      </c>
      <c r="Q517" t="s">
        <v>2821</v>
      </c>
      <c r="R517" t="s">
        <v>200</v>
      </c>
      <c r="S517" t="s">
        <v>200</v>
      </c>
      <c r="T517" t="s">
        <v>2968</v>
      </c>
      <c r="U517" t="s">
        <v>2968</v>
      </c>
      <c r="V517" t="s">
        <v>2969</v>
      </c>
      <c r="W517" t="s">
        <v>4261</v>
      </c>
      <c r="X517" t="s">
        <v>4262</v>
      </c>
      <c r="Y517" t="s">
        <v>2929</v>
      </c>
      <c r="Z517" t="s">
        <v>4263</v>
      </c>
      <c r="AA517" t="s">
        <v>4264</v>
      </c>
      <c r="AB517" t="s">
        <v>4265</v>
      </c>
      <c r="AC517" t="s">
        <v>2829</v>
      </c>
      <c r="AD517" t="s">
        <v>2883</v>
      </c>
      <c r="AE517" t="s">
        <v>2975</v>
      </c>
      <c r="AF517" t="s">
        <v>4266</v>
      </c>
      <c r="AG517" t="s">
        <v>4266</v>
      </c>
      <c r="AH517" t="s">
        <v>2834</v>
      </c>
      <c r="AI517" t="s">
        <v>2835</v>
      </c>
      <c r="AJ517" t="s">
        <v>3572</v>
      </c>
      <c r="AK517" t="s">
        <v>4267</v>
      </c>
      <c r="AL517" t="s">
        <v>4264</v>
      </c>
      <c r="AM517" t="s">
        <v>4265</v>
      </c>
      <c r="AN517" t="s">
        <v>2829</v>
      </c>
      <c r="AO517" t="s">
        <v>2839</v>
      </c>
      <c r="AP517" t="s">
        <v>2840</v>
      </c>
      <c r="AQ517" t="s">
        <v>2841</v>
      </c>
      <c r="AR517" t="s">
        <v>4268</v>
      </c>
      <c r="AS517" t="s">
        <v>4268</v>
      </c>
      <c r="AT517" t="s">
        <v>2829</v>
      </c>
      <c r="AU517" t="s">
        <v>2829</v>
      </c>
      <c r="AV517" t="s">
        <v>2829</v>
      </c>
      <c r="AW517" t="s">
        <v>2829</v>
      </c>
      <c r="AX517" t="s">
        <v>2829</v>
      </c>
      <c r="AY517" t="s">
        <v>2829</v>
      </c>
      <c r="AZ517" t="s">
        <v>2829</v>
      </c>
      <c r="BA517" t="s">
        <v>2829</v>
      </c>
      <c r="BB517" t="s">
        <v>2829</v>
      </c>
      <c r="BC517" t="s">
        <v>2829</v>
      </c>
      <c r="BD517" t="s">
        <v>2829</v>
      </c>
      <c r="BE517" t="s">
        <v>243</v>
      </c>
      <c r="BF517" t="s">
        <v>243</v>
      </c>
      <c r="BG517" t="s">
        <v>243</v>
      </c>
      <c r="BH517" t="s">
        <v>243</v>
      </c>
      <c r="BI517" t="s">
        <v>243</v>
      </c>
      <c r="BJ517" t="s">
        <v>2829</v>
      </c>
      <c r="BK517" t="s">
        <v>243</v>
      </c>
      <c r="BL517" t="s">
        <v>243</v>
      </c>
      <c r="BM517" t="s">
        <v>243</v>
      </c>
      <c r="BN517" t="s">
        <v>243</v>
      </c>
      <c r="BO517" t="s">
        <v>243</v>
      </c>
      <c r="BP517" t="s">
        <v>4268</v>
      </c>
      <c r="BQ517" t="s">
        <v>4268</v>
      </c>
      <c r="BR517" t="s">
        <v>243</v>
      </c>
      <c r="BS517" t="s">
        <v>243</v>
      </c>
      <c r="BT517" t="s">
        <v>243</v>
      </c>
      <c r="BU517" t="s">
        <v>243</v>
      </c>
      <c r="BV517" t="s">
        <v>2829</v>
      </c>
      <c r="BW517" t="s">
        <v>243</v>
      </c>
      <c r="BX517" t="s">
        <v>243</v>
      </c>
      <c r="BY517" t="s">
        <v>243</v>
      </c>
      <c r="BZ517" t="s">
        <v>243</v>
      </c>
      <c r="CA517" t="s">
        <v>243</v>
      </c>
      <c r="CB517" t="s">
        <v>2829</v>
      </c>
      <c r="CC517" t="s">
        <v>243</v>
      </c>
      <c r="CD517" t="s">
        <v>243</v>
      </c>
      <c r="CE517" t="s">
        <v>243</v>
      </c>
      <c r="CF517" t="s">
        <v>243</v>
      </c>
      <c r="CG517" t="s">
        <v>243</v>
      </c>
      <c r="CH517" t="s">
        <v>2829</v>
      </c>
      <c r="CI517" t="s">
        <v>243</v>
      </c>
      <c r="CJ517" t="s">
        <v>243</v>
      </c>
      <c r="CK517" t="s">
        <v>243</v>
      </c>
      <c r="CL517" t="s">
        <v>243</v>
      </c>
      <c r="CM517" t="s">
        <v>243</v>
      </c>
      <c r="CN517" t="s">
        <v>3010</v>
      </c>
      <c r="CO517" t="s">
        <v>2843</v>
      </c>
      <c r="CP517" t="s">
        <v>2844</v>
      </c>
      <c r="CQ517" t="s">
        <v>430</v>
      </c>
      <c r="CR517" t="s">
        <v>2984</v>
      </c>
      <c r="CS517" t="s">
        <v>431</v>
      </c>
      <c r="CT517" t="s">
        <v>430</v>
      </c>
      <c r="CU517" t="s">
        <v>2985</v>
      </c>
      <c r="CV517" t="s">
        <v>2986</v>
      </c>
      <c r="CW517" t="s">
        <v>2984</v>
      </c>
      <c r="CX517" t="s">
        <v>2848</v>
      </c>
      <c r="CY517" t="s">
        <v>4269</v>
      </c>
    </row>
    <row r="518" spans="1:103" ht="11.25" customHeight="1">
      <c r="A518" t="s">
        <v>243</v>
      </c>
      <c r="B518" t="s">
        <v>243</v>
      </c>
      <c r="C518" t="s">
        <v>243</v>
      </c>
      <c r="D518" t="s">
        <v>243</v>
      </c>
      <c r="E518" t="s">
        <v>243</v>
      </c>
      <c r="F518" t="s">
        <v>2816</v>
      </c>
      <c r="G518" t="s">
        <v>243</v>
      </c>
      <c r="H518" t="s">
        <v>243</v>
      </c>
      <c r="I518" t="s">
        <v>3592</v>
      </c>
      <c r="J518" t="s">
        <v>243</v>
      </c>
      <c r="K518" t="s">
        <v>3487</v>
      </c>
      <c r="L518" t="s">
        <v>243</v>
      </c>
      <c r="M518" t="s">
        <v>114</v>
      </c>
      <c r="N518" t="s">
        <v>243</v>
      </c>
      <c r="O518" t="s">
        <v>2819</v>
      </c>
      <c r="P518" t="s">
        <v>4448</v>
      </c>
      <c r="Q518" t="s">
        <v>2821</v>
      </c>
      <c r="R518" t="s">
        <v>200</v>
      </c>
      <c r="S518" t="s">
        <v>200</v>
      </c>
      <c r="T518" t="s">
        <v>3022</v>
      </c>
      <c r="U518" t="s">
        <v>3022</v>
      </c>
      <c r="V518" t="s">
        <v>3023</v>
      </c>
      <c r="W518" t="s">
        <v>3431</v>
      </c>
      <c r="X518" t="s">
        <v>3432</v>
      </c>
      <c r="Y518" t="s">
        <v>3593</v>
      </c>
      <c r="Z518" t="s">
        <v>1807</v>
      </c>
      <c r="AA518" t="s">
        <v>3594</v>
      </c>
      <c r="AB518" t="s">
        <v>3595</v>
      </c>
      <c r="AC518" t="s">
        <v>2829</v>
      </c>
      <c r="AD518" t="s">
        <v>2883</v>
      </c>
      <c r="AE518" t="s">
        <v>2831</v>
      </c>
      <c r="AF518" t="s">
        <v>3596</v>
      </c>
      <c r="AG518" t="s">
        <v>3596</v>
      </c>
      <c r="AH518" t="s">
        <v>2834</v>
      </c>
      <c r="AI518" t="s">
        <v>2835</v>
      </c>
      <c r="AJ518" t="s">
        <v>3187</v>
      </c>
      <c r="AK518" t="s">
        <v>3466</v>
      </c>
      <c r="AL518" t="s">
        <v>3594</v>
      </c>
      <c r="AM518" t="s">
        <v>3595</v>
      </c>
      <c r="AN518" t="s">
        <v>2829</v>
      </c>
      <c r="AO518" t="s">
        <v>2839</v>
      </c>
      <c r="AP518" t="s">
        <v>2840</v>
      </c>
      <c r="AQ518" t="s">
        <v>2841</v>
      </c>
      <c r="AR518" t="s">
        <v>2842</v>
      </c>
      <c r="AS518" t="s">
        <v>2842</v>
      </c>
      <c r="AT518" t="s">
        <v>2829</v>
      </c>
      <c r="AU518" t="s">
        <v>2829</v>
      </c>
      <c r="AV518" t="s">
        <v>2829</v>
      </c>
      <c r="AW518" t="s">
        <v>2829</v>
      </c>
      <c r="AX518" t="s">
        <v>2829</v>
      </c>
      <c r="AY518" t="s">
        <v>2829</v>
      </c>
      <c r="AZ518" t="s">
        <v>2829</v>
      </c>
      <c r="BA518" t="s">
        <v>2829</v>
      </c>
      <c r="BB518" t="s">
        <v>2829</v>
      </c>
      <c r="BC518" t="s">
        <v>2829</v>
      </c>
      <c r="BD518" t="s">
        <v>2838</v>
      </c>
      <c r="BE518" t="s">
        <v>2838</v>
      </c>
      <c r="BF518" t="s">
        <v>243</v>
      </c>
      <c r="BG518" t="s">
        <v>243</v>
      </c>
      <c r="BH518" t="s">
        <v>243</v>
      </c>
      <c r="BI518" t="s">
        <v>243</v>
      </c>
      <c r="BJ518" t="s">
        <v>2829</v>
      </c>
      <c r="BK518" t="s">
        <v>243</v>
      </c>
      <c r="BL518" t="s">
        <v>243</v>
      </c>
      <c r="BM518" t="s">
        <v>243</v>
      </c>
      <c r="BN518" t="s">
        <v>243</v>
      </c>
      <c r="BO518" t="s">
        <v>243</v>
      </c>
      <c r="BP518" t="s">
        <v>3350</v>
      </c>
      <c r="BQ518" t="s">
        <v>3350</v>
      </c>
      <c r="BR518" t="s">
        <v>243</v>
      </c>
      <c r="BS518" t="s">
        <v>243</v>
      </c>
      <c r="BT518" t="s">
        <v>243</v>
      </c>
      <c r="BU518" t="s">
        <v>243</v>
      </c>
      <c r="BV518" t="s">
        <v>2829</v>
      </c>
      <c r="BW518" t="s">
        <v>243</v>
      </c>
      <c r="BX518" t="s">
        <v>243</v>
      </c>
      <c r="BY518" t="s">
        <v>243</v>
      </c>
      <c r="BZ518" t="s">
        <v>243</v>
      </c>
      <c r="CA518" t="s">
        <v>243</v>
      </c>
      <c r="CB518" t="s">
        <v>2829</v>
      </c>
      <c r="CC518" t="s">
        <v>243</v>
      </c>
      <c r="CD518" t="s">
        <v>243</v>
      </c>
      <c r="CE518" t="s">
        <v>243</v>
      </c>
      <c r="CF518" t="s">
        <v>243</v>
      </c>
      <c r="CG518" t="s">
        <v>243</v>
      </c>
      <c r="CH518" t="s">
        <v>2829</v>
      </c>
      <c r="CI518" t="s">
        <v>243</v>
      </c>
      <c r="CJ518" t="s">
        <v>243</v>
      </c>
      <c r="CK518" t="s">
        <v>243</v>
      </c>
      <c r="CL518" t="s">
        <v>243</v>
      </c>
      <c r="CM518" t="s">
        <v>243</v>
      </c>
      <c r="CN518" t="s">
        <v>3130</v>
      </c>
      <c r="CO518" t="s">
        <v>2843</v>
      </c>
      <c r="CP518" t="s">
        <v>2844</v>
      </c>
      <c r="CQ518" t="s">
        <v>430</v>
      </c>
      <c r="CR518" t="s">
        <v>3033</v>
      </c>
      <c r="CS518" t="s">
        <v>431</v>
      </c>
      <c r="CT518" t="s">
        <v>430</v>
      </c>
      <c r="CU518" t="s">
        <v>3034</v>
      </c>
      <c r="CV518" t="s">
        <v>432</v>
      </c>
      <c r="CW518" t="s">
        <v>3033</v>
      </c>
      <c r="CX518" t="s">
        <v>2848</v>
      </c>
      <c r="CY518" t="s">
        <v>3597</v>
      </c>
    </row>
    <row r="519" spans="1:103" ht="11.25" customHeight="1">
      <c r="A519" t="s">
        <v>243</v>
      </c>
      <c r="B519" t="s">
        <v>243</v>
      </c>
      <c r="C519" t="s">
        <v>243</v>
      </c>
      <c r="D519" t="s">
        <v>243</v>
      </c>
      <c r="E519" t="s">
        <v>243</v>
      </c>
      <c r="F519" t="s">
        <v>2816</v>
      </c>
      <c r="G519" t="s">
        <v>243</v>
      </c>
      <c r="H519" t="s">
        <v>243</v>
      </c>
      <c r="I519" t="s">
        <v>3154</v>
      </c>
      <c r="J519" t="s">
        <v>243</v>
      </c>
      <c r="K519" t="s">
        <v>433</v>
      </c>
      <c r="L519" t="s">
        <v>243</v>
      </c>
      <c r="M519" t="s">
        <v>114</v>
      </c>
      <c r="N519" t="s">
        <v>243</v>
      </c>
      <c r="O519" t="s">
        <v>2819</v>
      </c>
      <c r="P519" t="s">
        <v>4448</v>
      </c>
      <c r="Q519" t="s">
        <v>2821</v>
      </c>
      <c r="R519" t="s">
        <v>200</v>
      </c>
      <c r="S519" t="s">
        <v>200</v>
      </c>
      <c r="T519" t="s">
        <v>405</v>
      </c>
      <c r="U519" t="s">
        <v>405</v>
      </c>
      <c r="V519" t="s">
        <v>406</v>
      </c>
      <c r="W519" t="s">
        <v>3155</v>
      </c>
      <c r="X519" t="s">
        <v>3156</v>
      </c>
      <c r="Y519" t="s">
        <v>3157</v>
      </c>
      <c r="Z519" t="s">
        <v>463</v>
      </c>
      <c r="AA519" t="s">
        <v>3158</v>
      </c>
      <c r="AB519" t="s">
        <v>3159</v>
      </c>
      <c r="AC519" t="s">
        <v>3160</v>
      </c>
      <c r="AD519" t="s">
        <v>2830</v>
      </c>
      <c r="AE519" t="s">
        <v>2831</v>
      </c>
      <c r="AF519" t="s">
        <v>3161</v>
      </c>
      <c r="AG519" t="s">
        <v>3162</v>
      </c>
      <c r="AH519" t="s">
        <v>2834</v>
      </c>
      <c r="AI519" t="s">
        <v>2887</v>
      </c>
      <c r="AJ519" t="s">
        <v>3163</v>
      </c>
      <c r="AK519" t="s">
        <v>3164</v>
      </c>
      <c r="AL519" t="s">
        <v>3165</v>
      </c>
      <c r="AM519" t="s">
        <v>3159</v>
      </c>
      <c r="AN519" t="s">
        <v>3160</v>
      </c>
      <c r="AO519" t="s">
        <v>2839</v>
      </c>
      <c r="AP519" t="s">
        <v>3166</v>
      </c>
      <c r="AQ519" t="s">
        <v>2841</v>
      </c>
      <c r="AR519" t="s">
        <v>3167</v>
      </c>
      <c r="AS519" t="s">
        <v>3168</v>
      </c>
      <c r="AT519" t="s">
        <v>3169</v>
      </c>
      <c r="AU519" t="s">
        <v>2829</v>
      </c>
      <c r="AV519" t="s">
        <v>2829</v>
      </c>
      <c r="AW519" t="s">
        <v>2829</v>
      </c>
      <c r="AX519" t="s">
        <v>3170</v>
      </c>
      <c r="AY519" t="s">
        <v>3170</v>
      </c>
      <c r="AZ519" t="s">
        <v>2829</v>
      </c>
      <c r="BA519" t="s">
        <v>2829</v>
      </c>
      <c r="BB519" t="s">
        <v>2829</v>
      </c>
      <c r="BC519" t="s">
        <v>2829</v>
      </c>
      <c r="BD519" t="s">
        <v>3171</v>
      </c>
      <c r="BE519" t="s">
        <v>3172</v>
      </c>
      <c r="BF519" t="s">
        <v>3169</v>
      </c>
      <c r="BG519" t="s">
        <v>2829</v>
      </c>
      <c r="BH519" t="s">
        <v>2829</v>
      </c>
      <c r="BI519" t="s">
        <v>2829</v>
      </c>
      <c r="BJ519" t="s">
        <v>3173</v>
      </c>
      <c r="BK519" t="s">
        <v>3173</v>
      </c>
      <c r="BL519" t="s">
        <v>2829</v>
      </c>
      <c r="BM519" t="s">
        <v>2829</v>
      </c>
      <c r="BN519" t="s">
        <v>2829</v>
      </c>
      <c r="BO519" t="s">
        <v>2829</v>
      </c>
      <c r="BP519" t="s">
        <v>3174</v>
      </c>
      <c r="BQ519" t="s">
        <v>3174</v>
      </c>
      <c r="BR519" t="s">
        <v>2829</v>
      </c>
      <c r="BS519" t="s">
        <v>2829</v>
      </c>
      <c r="BT519" t="s">
        <v>2829</v>
      </c>
      <c r="BU519" t="s">
        <v>2829</v>
      </c>
      <c r="BV519" t="s">
        <v>3175</v>
      </c>
      <c r="BW519" t="s">
        <v>3175</v>
      </c>
      <c r="BX519" t="s">
        <v>2829</v>
      </c>
      <c r="BY519" t="s">
        <v>2829</v>
      </c>
      <c r="BZ519" t="s">
        <v>2829</v>
      </c>
      <c r="CA519" t="s">
        <v>2829</v>
      </c>
      <c r="CB519" t="s">
        <v>2829</v>
      </c>
      <c r="CC519" t="s">
        <v>243</v>
      </c>
      <c r="CD519" t="s">
        <v>243</v>
      </c>
      <c r="CE519" t="s">
        <v>243</v>
      </c>
      <c r="CF519" t="s">
        <v>243</v>
      </c>
      <c r="CG519" t="s">
        <v>243</v>
      </c>
      <c r="CH519" t="s">
        <v>2829</v>
      </c>
      <c r="CI519" t="s">
        <v>243</v>
      </c>
      <c r="CJ519" t="s">
        <v>243</v>
      </c>
      <c r="CK519" t="s">
        <v>243</v>
      </c>
      <c r="CL519" t="s">
        <v>243</v>
      </c>
      <c r="CM519" t="s">
        <v>243</v>
      </c>
      <c r="CN519" t="s">
        <v>3176</v>
      </c>
      <c r="CO519" t="s">
        <v>2843</v>
      </c>
      <c r="CP519" t="s">
        <v>2844</v>
      </c>
      <c r="CQ519" t="s">
        <v>430</v>
      </c>
      <c r="CR519" t="s">
        <v>3151</v>
      </c>
      <c r="CS519" t="s">
        <v>431</v>
      </c>
      <c r="CT519" t="s">
        <v>430</v>
      </c>
      <c r="CU519" t="s">
        <v>268</v>
      </c>
      <c r="CV519" t="s">
        <v>432</v>
      </c>
      <c r="CW519" t="s">
        <v>3151</v>
      </c>
      <c r="CX519" t="s">
        <v>2848</v>
      </c>
      <c r="CY519" t="s">
        <v>434</v>
      </c>
    </row>
    <row r="520" spans="1:103" ht="11.25" customHeight="1">
      <c r="A520" t="s">
        <v>243</v>
      </c>
      <c r="B520" t="s">
        <v>243</v>
      </c>
      <c r="C520" t="s">
        <v>243</v>
      </c>
      <c r="D520" t="s">
        <v>243</v>
      </c>
      <c r="E520" t="s">
        <v>243</v>
      </c>
      <c r="F520" t="s">
        <v>2816</v>
      </c>
      <c r="G520" t="s">
        <v>243</v>
      </c>
      <c r="H520" t="s">
        <v>243</v>
      </c>
      <c r="I520" t="s">
        <v>3328</v>
      </c>
      <c r="J520" t="s">
        <v>243</v>
      </c>
      <c r="K520" t="s">
        <v>3329</v>
      </c>
      <c r="L520" t="s">
        <v>243</v>
      </c>
      <c r="M520" t="s">
        <v>114</v>
      </c>
      <c r="N520" t="s">
        <v>243</v>
      </c>
      <c r="O520" t="s">
        <v>2819</v>
      </c>
      <c r="P520" t="s">
        <v>4448</v>
      </c>
      <c r="Q520" t="s">
        <v>2821</v>
      </c>
      <c r="R520" t="s">
        <v>200</v>
      </c>
      <c r="S520" t="s">
        <v>200</v>
      </c>
      <c r="T520" t="s">
        <v>3048</v>
      </c>
      <c r="U520" t="s">
        <v>3048</v>
      </c>
      <c r="V520" t="s">
        <v>3049</v>
      </c>
      <c r="W520" t="s">
        <v>3050</v>
      </c>
      <c r="X520" t="s">
        <v>3051</v>
      </c>
      <c r="Y520" t="s">
        <v>3330</v>
      </c>
      <c r="Z520" t="s">
        <v>1776</v>
      </c>
      <c r="AA520" t="s">
        <v>3331</v>
      </c>
      <c r="AB520" t="s">
        <v>3332</v>
      </c>
      <c r="AC520" t="s">
        <v>2829</v>
      </c>
      <c r="AD520" t="s">
        <v>2883</v>
      </c>
      <c r="AE520" t="s">
        <v>2831</v>
      </c>
      <c r="AF520" t="s">
        <v>3055</v>
      </c>
      <c r="AG520" t="s">
        <v>3055</v>
      </c>
      <c r="AH520" t="s">
        <v>2834</v>
      </c>
      <c r="AI520" t="s">
        <v>2835</v>
      </c>
      <c r="AJ520" t="s">
        <v>3184</v>
      </c>
      <c r="AK520" t="s">
        <v>3325</v>
      </c>
      <c r="AL520" t="s">
        <v>3331</v>
      </c>
      <c r="AM520" t="s">
        <v>3332</v>
      </c>
      <c r="AN520" t="s">
        <v>2829</v>
      </c>
      <c r="AO520" t="s">
        <v>2839</v>
      </c>
      <c r="AP520" t="s">
        <v>2840</v>
      </c>
      <c r="AQ520" t="s">
        <v>2841</v>
      </c>
      <c r="AR520" t="s">
        <v>3333</v>
      </c>
      <c r="AS520" t="s">
        <v>3333</v>
      </c>
      <c r="AT520" t="s">
        <v>2829</v>
      </c>
      <c r="AU520" t="s">
        <v>2829</v>
      </c>
      <c r="AV520" t="s">
        <v>2829</v>
      </c>
      <c r="AW520" t="s">
        <v>2829</v>
      </c>
      <c r="AX520" t="s">
        <v>2829</v>
      </c>
      <c r="AY520" t="s">
        <v>2829</v>
      </c>
      <c r="AZ520" t="s">
        <v>2829</v>
      </c>
      <c r="BA520" t="s">
        <v>2829</v>
      </c>
      <c r="BB520" t="s">
        <v>2829</v>
      </c>
      <c r="BC520" t="s">
        <v>2829</v>
      </c>
      <c r="BD520" t="s">
        <v>3333</v>
      </c>
      <c r="BE520" t="s">
        <v>3333</v>
      </c>
      <c r="BF520" t="s">
        <v>243</v>
      </c>
      <c r="BG520" t="s">
        <v>243</v>
      </c>
      <c r="BH520" t="s">
        <v>243</v>
      </c>
      <c r="BI520" t="s">
        <v>243</v>
      </c>
      <c r="BJ520" t="s">
        <v>2829</v>
      </c>
      <c r="BK520" t="s">
        <v>243</v>
      </c>
      <c r="BL520" t="s">
        <v>243</v>
      </c>
      <c r="BM520" t="s">
        <v>243</v>
      </c>
      <c r="BN520" t="s">
        <v>243</v>
      </c>
      <c r="BO520" t="s">
        <v>243</v>
      </c>
      <c r="BP520" t="s">
        <v>2829</v>
      </c>
      <c r="BQ520" t="s">
        <v>243</v>
      </c>
      <c r="BR520" t="s">
        <v>243</v>
      </c>
      <c r="BS520" t="s">
        <v>243</v>
      </c>
      <c r="BT520" t="s">
        <v>243</v>
      </c>
      <c r="BU520" t="s">
        <v>243</v>
      </c>
      <c r="BV520" t="s">
        <v>2829</v>
      </c>
      <c r="BW520" t="s">
        <v>243</v>
      </c>
      <c r="BX520" t="s">
        <v>243</v>
      </c>
      <c r="BY520" t="s">
        <v>243</v>
      </c>
      <c r="BZ520" t="s">
        <v>243</v>
      </c>
      <c r="CA520" t="s">
        <v>243</v>
      </c>
      <c r="CB520" t="s">
        <v>2829</v>
      </c>
      <c r="CC520" t="s">
        <v>243</v>
      </c>
      <c r="CD520" t="s">
        <v>243</v>
      </c>
      <c r="CE520" t="s">
        <v>243</v>
      </c>
      <c r="CF520" t="s">
        <v>243</v>
      </c>
      <c r="CG520" t="s">
        <v>243</v>
      </c>
      <c r="CH520" t="s">
        <v>2829</v>
      </c>
      <c r="CI520" t="s">
        <v>243</v>
      </c>
      <c r="CJ520" t="s">
        <v>243</v>
      </c>
      <c r="CK520" t="s">
        <v>243</v>
      </c>
      <c r="CL520" t="s">
        <v>243</v>
      </c>
      <c r="CM520" t="s">
        <v>243</v>
      </c>
      <c r="CN520" t="s">
        <v>3334</v>
      </c>
      <c r="CO520" t="s">
        <v>2843</v>
      </c>
      <c r="CP520" t="s">
        <v>2844</v>
      </c>
      <c r="CQ520" t="s">
        <v>470</v>
      </c>
      <c r="CR520" t="s">
        <v>2872</v>
      </c>
      <c r="CS520" t="s">
        <v>431</v>
      </c>
      <c r="CT520" t="s">
        <v>470</v>
      </c>
      <c r="CU520" t="s">
        <v>3061</v>
      </c>
      <c r="CV520" t="s">
        <v>3062</v>
      </c>
      <c r="CW520" t="s">
        <v>2872</v>
      </c>
      <c r="CX520" t="s">
        <v>2848</v>
      </c>
      <c r="CY520" t="s">
        <v>3335</v>
      </c>
    </row>
    <row r="521" spans="1:103" ht="11.25" customHeight="1">
      <c r="A521" t="s">
        <v>243</v>
      </c>
      <c r="B521" t="s">
        <v>243</v>
      </c>
      <c r="C521" t="s">
        <v>243</v>
      </c>
      <c r="D521" t="s">
        <v>243</v>
      </c>
      <c r="E521" t="s">
        <v>243</v>
      </c>
      <c r="F521" t="s">
        <v>2816</v>
      </c>
      <c r="G521" t="s">
        <v>243</v>
      </c>
      <c r="H521" t="s">
        <v>243</v>
      </c>
      <c r="I521" t="s">
        <v>3046</v>
      </c>
      <c r="J521" t="s">
        <v>243</v>
      </c>
      <c r="K521" t="s">
        <v>3047</v>
      </c>
      <c r="L521" t="s">
        <v>243</v>
      </c>
      <c r="M521" t="s">
        <v>114</v>
      </c>
      <c r="N521" t="s">
        <v>243</v>
      </c>
      <c r="O521" t="s">
        <v>2819</v>
      </c>
      <c r="P521" t="s">
        <v>4448</v>
      </c>
      <c r="Q521" t="s">
        <v>2821</v>
      </c>
      <c r="R521" t="s">
        <v>200</v>
      </c>
      <c r="S521" t="s">
        <v>200</v>
      </c>
      <c r="T521" t="s">
        <v>3048</v>
      </c>
      <c r="U521" t="s">
        <v>3048</v>
      </c>
      <c r="V521" t="s">
        <v>3049</v>
      </c>
      <c r="W521" t="s">
        <v>3050</v>
      </c>
      <c r="X521" t="s">
        <v>3051</v>
      </c>
      <c r="Y521" t="s">
        <v>3052</v>
      </c>
      <c r="Z521" t="s">
        <v>3053</v>
      </c>
      <c r="AA521" t="s">
        <v>2966</v>
      </c>
      <c r="AB521" t="s">
        <v>3054</v>
      </c>
      <c r="AC521" t="s">
        <v>2829</v>
      </c>
      <c r="AD521" t="s">
        <v>2883</v>
      </c>
      <c r="AE521" t="s">
        <v>2831</v>
      </c>
      <c r="AF521" t="s">
        <v>3055</v>
      </c>
      <c r="AG521" t="s">
        <v>3055</v>
      </c>
      <c r="AH521" t="s">
        <v>2834</v>
      </c>
      <c r="AI521" t="s">
        <v>2835</v>
      </c>
      <c r="AJ521" t="s">
        <v>3056</v>
      </c>
      <c r="AK521" t="s">
        <v>3057</v>
      </c>
      <c r="AL521" t="s">
        <v>2966</v>
      </c>
      <c r="AM521" t="s">
        <v>3058</v>
      </c>
      <c r="AN521" t="s">
        <v>2829</v>
      </c>
      <c r="AO521" t="s">
        <v>2839</v>
      </c>
      <c r="AP521" t="s">
        <v>2840</v>
      </c>
      <c r="AQ521" t="s">
        <v>2841</v>
      </c>
      <c r="AR521" t="s">
        <v>3059</v>
      </c>
      <c r="AS521" t="s">
        <v>3059</v>
      </c>
      <c r="AT521" t="s">
        <v>2829</v>
      </c>
      <c r="AU521" t="s">
        <v>2829</v>
      </c>
      <c r="AV521" t="s">
        <v>2829</v>
      </c>
      <c r="AW521" t="s">
        <v>2829</v>
      </c>
      <c r="AX521" t="s">
        <v>2829</v>
      </c>
      <c r="AY521" t="s">
        <v>2829</v>
      </c>
      <c r="AZ521" t="s">
        <v>2829</v>
      </c>
      <c r="BA521" t="s">
        <v>2829</v>
      </c>
      <c r="BB521" t="s">
        <v>2829</v>
      </c>
      <c r="BC521" t="s">
        <v>2829</v>
      </c>
      <c r="BD521" t="s">
        <v>3059</v>
      </c>
      <c r="BE521" t="s">
        <v>3059</v>
      </c>
      <c r="BF521" t="s">
        <v>243</v>
      </c>
      <c r="BG521" t="s">
        <v>243</v>
      </c>
      <c r="BH521" t="s">
        <v>243</v>
      </c>
      <c r="BI521" t="s">
        <v>243</v>
      </c>
      <c r="BJ521" t="s">
        <v>2829</v>
      </c>
      <c r="BK521" t="s">
        <v>243</v>
      </c>
      <c r="BL521" t="s">
        <v>243</v>
      </c>
      <c r="BM521" t="s">
        <v>243</v>
      </c>
      <c r="BN521" t="s">
        <v>243</v>
      </c>
      <c r="BO521" t="s">
        <v>243</v>
      </c>
      <c r="BP521" t="s">
        <v>2829</v>
      </c>
      <c r="BQ521" t="s">
        <v>243</v>
      </c>
      <c r="BR521" t="s">
        <v>243</v>
      </c>
      <c r="BS521" t="s">
        <v>243</v>
      </c>
      <c r="BT521" t="s">
        <v>243</v>
      </c>
      <c r="BU521" t="s">
        <v>243</v>
      </c>
      <c r="BV521" t="s">
        <v>2829</v>
      </c>
      <c r="BW521" t="s">
        <v>243</v>
      </c>
      <c r="BX521" t="s">
        <v>243</v>
      </c>
      <c r="BY521" t="s">
        <v>243</v>
      </c>
      <c r="BZ521" t="s">
        <v>243</v>
      </c>
      <c r="CA521" t="s">
        <v>243</v>
      </c>
      <c r="CB521" t="s">
        <v>2829</v>
      </c>
      <c r="CC521" t="s">
        <v>243</v>
      </c>
      <c r="CD521" t="s">
        <v>243</v>
      </c>
      <c r="CE521" t="s">
        <v>243</v>
      </c>
      <c r="CF521" t="s">
        <v>243</v>
      </c>
      <c r="CG521" t="s">
        <v>243</v>
      </c>
      <c r="CH521" t="s">
        <v>2829</v>
      </c>
      <c r="CI521" t="s">
        <v>243</v>
      </c>
      <c r="CJ521" t="s">
        <v>243</v>
      </c>
      <c r="CK521" t="s">
        <v>243</v>
      </c>
      <c r="CL521" t="s">
        <v>243</v>
      </c>
      <c r="CM521" t="s">
        <v>243</v>
      </c>
      <c r="CN521" t="s">
        <v>3060</v>
      </c>
      <c r="CO521" t="s">
        <v>2843</v>
      </c>
      <c r="CP521" t="s">
        <v>2844</v>
      </c>
      <c r="CQ521" t="s">
        <v>470</v>
      </c>
      <c r="CR521" t="s">
        <v>2872</v>
      </c>
      <c r="CS521" t="s">
        <v>431</v>
      </c>
      <c r="CT521" t="s">
        <v>470</v>
      </c>
      <c r="CU521" t="s">
        <v>3061</v>
      </c>
      <c r="CV521" t="s">
        <v>3062</v>
      </c>
      <c r="CW521" t="s">
        <v>2872</v>
      </c>
      <c r="CX521" t="s">
        <v>2848</v>
      </c>
      <c r="CY521" t="s">
        <v>3063</v>
      </c>
    </row>
    <row r="522" spans="1:103" ht="11.25" customHeight="1">
      <c r="A522" t="s">
        <v>243</v>
      </c>
      <c r="B522" t="s">
        <v>243</v>
      </c>
      <c r="C522" t="s">
        <v>243</v>
      </c>
      <c r="D522" t="s">
        <v>243</v>
      </c>
      <c r="E522" t="s">
        <v>243</v>
      </c>
      <c r="F522" t="s">
        <v>2816</v>
      </c>
      <c r="G522" t="s">
        <v>243</v>
      </c>
      <c r="H522" t="s">
        <v>243</v>
      </c>
      <c r="I522" t="s">
        <v>3967</v>
      </c>
      <c r="J522" t="s">
        <v>243</v>
      </c>
      <c r="K522" t="s">
        <v>428</v>
      </c>
      <c r="L522" t="s">
        <v>243</v>
      </c>
      <c r="M522" t="s">
        <v>114</v>
      </c>
      <c r="N522" t="s">
        <v>243</v>
      </c>
      <c r="O522" t="s">
        <v>2819</v>
      </c>
      <c r="P522" t="s">
        <v>4448</v>
      </c>
      <c r="Q522" t="s">
        <v>2821</v>
      </c>
      <c r="R522" t="s">
        <v>200</v>
      </c>
      <c r="S522" t="s">
        <v>200</v>
      </c>
      <c r="T522" t="s">
        <v>2822</v>
      </c>
      <c r="U522" t="s">
        <v>2822</v>
      </c>
      <c r="V522" t="s">
        <v>2823</v>
      </c>
      <c r="W522" t="s">
        <v>3968</v>
      </c>
      <c r="X522" t="s">
        <v>3969</v>
      </c>
      <c r="Y522" t="s">
        <v>3970</v>
      </c>
      <c r="Z522" t="s">
        <v>3202</v>
      </c>
      <c r="AA522" t="s">
        <v>3971</v>
      </c>
      <c r="AB522" t="s">
        <v>3972</v>
      </c>
      <c r="AC522" t="s">
        <v>2829</v>
      </c>
      <c r="AD522" t="s">
        <v>2830</v>
      </c>
      <c r="AE522" t="s">
        <v>2831</v>
      </c>
      <c r="AF522" t="s">
        <v>3973</v>
      </c>
      <c r="AG522" t="s">
        <v>3974</v>
      </c>
      <c r="AH522" t="s">
        <v>2834</v>
      </c>
      <c r="AI522" t="s">
        <v>2887</v>
      </c>
      <c r="AJ522" t="s">
        <v>2960</v>
      </c>
      <c r="AK522" t="s">
        <v>3975</v>
      </c>
      <c r="AL522" t="s">
        <v>3971</v>
      </c>
      <c r="AM522" t="s">
        <v>3976</v>
      </c>
      <c r="AN522" t="s">
        <v>2829</v>
      </c>
      <c r="AO522" t="s">
        <v>2839</v>
      </c>
      <c r="AP522" t="s">
        <v>2840</v>
      </c>
      <c r="AQ522" t="s">
        <v>2841</v>
      </c>
      <c r="AR522" t="s">
        <v>3977</v>
      </c>
      <c r="AS522" t="s">
        <v>3978</v>
      </c>
      <c r="AT522" t="s">
        <v>3393</v>
      </c>
      <c r="AU522" t="s">
        <v>2829</v>
      </c>
      <c r="AV522" t="s">
        <v>2829</v>
      </c>
      <c r="AW522" t="s">
        <v>2829</v>
      </c>
      <c r="AX522" t="s">
        <v>2829</v>
      </c>
      <c r="AY522" t="s">
        <v>2829</v>
      </c>
      <c r="AZ522" t="s">
        <v>2829</v>
      </c>
      <c r="BA522" t="s">
        <v>2829</v>
      </c>
      <c r="BB522" t="s">
        <v>2829</v>
      </c>
      <c r="BC522" t="s">
        <v>2829</v>
      </c>
      <c r="BD522" t="s">
        <v>3979</v>
      </c>
      <c r="BE522" t="s">
        <v>3980</v>
      </c>
      <c r="BF522" t="s">
        <v>3393</v>
      </c>
      <c r="BG522" t="s">
        <v>243</v>
      </c>
      <c r="BH522" t="s">
        <v>243</v>
      </c>
      <c r="BI522" t="s">
        <v>243</v>
      </c>
      <c r="BJ522" t="s">
        <v>2829</v>
      </c>
      <c r="BK522" t="s">
        <v>243</v>
      </c>
      <c r="BL522" t="s">
        <v>243</v>
      </c>
      <c r="BM522" t="s">
        <v>243</v>
      </c>
      <c r="BN522" t="s">
        <v>243</v>
      </c>
      <c r="BO522" t="s">
        <v>243</v>
      </c>
      <c r="BP522" t="s">
        <v>3981</v>
      </c>
      <c r="BQ522" t="s">
        <v>3981</v>
      </c>
      <c r="BR522" t="s">
        <v>243</v>
      </c>
      <c r="BS522" t="s">
        <v>243</v>
      </c>
      <c r="BT522" t="s">
        <v>243</v>
      </c>
      <c r="BU522" t="s">
        <v>243</v>
      </c>
      <c r="BV522" t="s">
        <v>2829</v>
      </c>
      <c r="BW522" t="s">
        <v>243</v>
      </c>
      <c r="BX522" t="s">
        <v>243</v>
      </c>
      <c r="BY522" t="s">
        <v>243</v>
      </c>
      <c r="BZ522" t="s">
        <v>243</v>
      </c>
      <c r="CA522" t="s">
        <v>243</v>
      </c>
      <c r="CB522" t="s">
        <v>2829</v>
      </c>
      <c r="CC522" t="s">
        <v>243</v>
      </c>
      <c r="CD522" t="s">
        <v>243</v>
      </c>
      <c r="CE522" t="s">
        <v>243</v>
      </c>
      <c r="CF522" t="s">
        <v>243</v>
      </c>
      <c r="CG522" t="s">
        <v>243</v>
      </c>
      <c r="CH522" t="s">
        <v>2829</v>
      </c>
      <c r="CI522" t="s">
        <v>243</v>
      </c>
      <c r="CJ522" t="s">
        <v>243</v>
      </c>
      <c r="CK522" t="s">
        <v>243</v>
      </c>
      <c r="CL522" t="s">
        <v>243</v>
      </c>
      <c r="CM522" t="s">
        <v>243</v>
      </c>
      <c r="CN522" t="s">
        <v>2960</v>
      </c>
      <c r="CO522" t="s">
        <v>2843</v>
      </c>
      <c r="CP522" t="s">
        <v>2844</v>
      </c>
      <c r="CQ522" t="s">
        <v>430</v>
      </c>
      <c r="CR522" t="s">
        <v>2845</v>
      </c>
      <c r="CS522" t="s">
        <v>431</v>
      </c>
      <c r="CT522" t="s">
        <v>430</v>
      </c>
      <c r="CU522" t="s">
        <v>2846</v>
      </c>
      <c r="CV522" t="s">
        <v>2847</v>
      </c>
      <c r="CW522" t="s">
        <v>2845</v>
      </c>
      <c r="CX522" t="s">
        <v>2848</v>
      </c>
      <c r="CY522" t="s">
        <v>3982</v>
      </c>
    </row>
    <row r="523" spans="1:103" ht="11.25" customHeight="1">
      <c r="A523" t="s">
        <v>243</v>
      </c>
      <c r="B523" t="s">
        <v>243</v>
      </c>
      <c r="C523" t="s">
        <v>243</v>
      </c>
      <c r="D523" t="s">
        <v>243</v>
      </c>
      <c r="E523" t="s">
        <v>243</v>
      </c>
      <c r="F523" t="s">
        <v>2816</v>
      </c>
      <c r="G523" t="s">
        <v>243</v>
      </c>
      <c r="H523" t="s">
        <v>243</v>
      </c>
      <c r="I523" t="s">
        <v>3983</v>
      </c>
      <c r="J523" t="s">
        <v>243</v>
      </c>
      <c r="K523" t="s">
        <v>452</v>
      </c>
      <c r="L523" t="s">
        <v>243</v>
      </c>
      <c r="M523" t="s">
        <v>114</v>
      </c>
      <c r="N523" t="s">
        <v>243</v>
      </c>
      <c r="O523" t="s">
        <v>2819</v>
      </c>
      <c r="P523" t="s">
        <v>4448</v>
      </c>
      <c r="Q523" t="s">
        <v>2821</v>
      </c>
      <c r="R523" t="s">
        <v>200</v>
      </c>
      <c r="S523" t="s">
        <v>200</v>
      </c>
      <c r="T523" t="s">
        <v>2822</v>
      </c>
      <c r="U523" t="s">
        <v>2822</v>
      </c>
      <c r="V523" t="s">
        <v>2823</v>
      </c>
      <c r="W523" t="s">
        <v>3968</v>
      </c>
      <c r="X523" t="s">
        <v>3969</v>
      </c>
      <c r="Y523" t="s">
        <v>3984</v>
      </c>
      <c r="Z523" t="s">
        <v>2972</v>
      </c>
      <c r="AA523" t="s">
        <v>3798</v>
      </c>
      <c r="AB523" t="s">
        <v>3985</v>
      </c>
      <c r="AC523" t="s">
        <v>2829</v>
      </c>
      <c r="AD523" t="s">
        <v>2830</v>
      </c>
      <c r="AE523" t="s">
        <v>2831</v>
      </c>
      <c r="AF523" t="s">
        <v>3986</v>
      </c>
      <c r="AG523" t="s">
        <v>3987</v>
      </c>
      <c r="AH523" t="s">
        <v>2834</v>
      </c>
      <c r="AI523" t="s">
        <v>2835</v>
      </c>
      <c r="AJ523" t="s">
        <v>2960</v>
      </c>
      <c r="AK523" t="s">
        <v>3673</v>
      </c>
      <c r="AL523" t="s">
        <v>3798</v>
      </c>
      <c r="AM523" t="s">
        <v>3988</v>
      </c>
      <c r="AN523" t="s">
        <v>2829</v>
      </c>
      <c r="AO523" t="s">
        <v>2839</v>
      </c>
      <c r="AP523" t="s">
        <v>2840</v>
      </c>
      <c r="AQ523" t="s">
        <v>2841</v>
      </c>
      <c r="AR523" t="s">
        <v>3989</v>
      </c>
      <c r="AS523" t="s">
        <v>3989</v>
      </c>
      <c r="AT523" t="s">
        <v>2829</v>
      </c>
      <c r="AU523" t="s">
        <v>2829</v>
      </c>
      <c r="AV523" t="s">
        <v>2829</v>
      </c>
      <c r="AW523" t="s">
        <v>2829</v>
      </c>
      <c r="AX523" t="s">
        <v>2829</v>
      </c>
      <c r="AY523" t="s">
        <v>2829</v>
      </c>
      <c r="AZ523" t="s">
        <v>2829</v>
      </c>
      <c r="BA523" t="s">
        <v>2829</v>
      </c>
      <c r="BB523" t="s">
        <v>2829</v>
      </c>
      <c r="BC523" t="s">
        <v>2829</v>
      </c>
      <c r="BD523" t="s">
        <v>3989</v>
      </c>
      <c r="BE523" t="s">
        <v>3989</v>
      </c>
      <c r="BF523" t="s">
        <v>243</v>
      </c>
      <c r="BG523" t="s">
        <v>243</v>
      </c>
      <c r="BH523" t="s">
        <v>243</v>
      </c>
      <c r="BI523" t="s">
        <v>243</v>
      </c>
      <c r="BJ523" t="s">
        <v>2829</v>
      </c>
      <c r="BK523" t="s">
        <v>243</v>
      </c>
      <c r="BL523" t="s">
        <v>243</v>
      </c>
      <c r="BM523" t="s">
        <v>243</v>
      </c>
      <c r="BN523" t="s">
        <v>243</v>
      </c>
      <c r="BO523" t="s">
        <v>243</v>
      </c>
      <c r="BP523" t="s">
        <v>2829</v>
      </c>
      <c r="BQ523" t="s">
        <v>243</v>
      </c>
      <c r="BR523" t="s">
        <v>243</v>
      </c>
      <c r="BS523" t="s">
        <v>243</v>
      </c>
      <c r="BT523" t="s">
        <v>243</v>
      </c>
      <c r="BU523" t="s">
        <v>243</v>
      </c>
      <c r="BV523" t="s">
        <v>2829</v>
      </c>
      <c r="BW523" t="s">
        <v>243</v>
      </c>
      <c r="BX523" t="s">
        <v>243</v>
      </c>
      <c r="BY523" t="s">
        <v>243</v>
      </c>
      <c r="BZ523" t="s">
        <v>243</v>
      </c>
      <c r="CA523" t="s">
        <v>243</v>
      </c>
      <c r="CB523" t="s">
        <v>2829</v>
      </c>
      <c r="CC523" t="s">
        <v>243</v>
      </c>
      <c r="CD523" t="s">
        <v>243</v>
      </c>
      <c r="CE523" t="s">
        <v>243</v>
      </c>
      <c r="CF523" t="s">
        <v>243</v>
      </c>
      <c r="CG523" t="s">
        <v>243</v>
      </c>
      <c r="CH523" t="s">
        <v>2829</v>
      </c>
      <c r="CI523" t="s">
        <v>243</v>
      </c>
      <c r="CJ523" t="s">
        <v>243</v>
      </c>
      <c r="CK523" t="s">
        <v>243</v>
      </c>
      <c r="CL523" t="s">
        <v>243</v>
      </c>
      <c r="CM523" t="s">
        <v>243</v>
      </c>
      <c r="CN523" t="s">
        <v>2960</v>
      </c>
      <c r="CO523" t="s">
        <v>2843</v>
      </c>
      <c r="CP523" t="s">
        <v>2844</v>
      </c>
      <c r="CQ523" t="s">
        <v>430</v>
      </c>
      <c r="CR523" t="s">
        <v>2845</v>
      </c>
      <c r="CS523" t="s">
        <v>431</v>
      </c>
      <c r="CT523" t="s">
        <v>430</v>
      </c>
      <c r="CU523" t="s">
        <v>2846</v>
      </c>
      <c r="CV523" t="s">
        <v>2847</v>
      </c>
      <c r="CW523" t="s">
        <v>2845</v>
      </c>
      <c r="CX523" t="s">
        <v>2848</v>
      </c>
      <c r="CY523" t="s">
        <v>3990</v>
      </c>
    </row>
    <row r="524" spans="1:103" ht="11.25" customHeight="1">
      <c r="A524" t="s">
        <v>243</v>
      </c>
      <c r="B524" t="s">
        <v>243</v>
      </c>
      <c r="C524" t="s">
        <v>243</v>
      </c>
      <c r="D524" t="s">
        <v>243</v>
      </c>
      <c r="E524" t="s">
        <v>243</v>
      </c>
      <c r="F524" t="s">
        <v>2816</v>
      </c>
      <c r="G524" t="s">
        <v>243</v>
      </c>
      <c r="H524" t="s">
        <v>243</v>
      </c>
      <c r="I524" t="s">
        <v>3199</v>
      </c>
      <c r="J524" t="s">
        <v>243</v>
      </c>
      <c r="K524" t="s">
        <v>2818</v>
      </c>
      <c r="L524" t="s">
        <v>243</v>
      </c>
      <c r="M524" t="s">
        <v>114</v>
      </c>
      <c r="N524" t="s">
        <v>243</v>
      </c>
      <c r="O524" t="s">
        <v>2819</v>
      </c>
      <c r="P524" t="s">
        <v>4448</v>
      </c>
      <c r="Q524" t="s">
        <v>2821</v>
      </c>
      <c r="R524" t="s">
        <v>200</v>
      </c>
      <c r="S524" t="s">
        <v>200</v>
      </c>
      <c r="T524" t="s">
        <v>2822</v>
      </c>
      <c r="U524" t="s">
        <v>2822</v>
      </c>
      <c r="V524" t="s">
        <v>2823</v>
      </c>
      <c r="W524" t="s">
        <v>3200</v>
      </c>
      <c r="X524" t="s">
        <v>3201</v>
      </c>
      <c r="Y524" t="s">
        <v>2929</v>
      </c>
      <c r="Z524" t="s">
        <v>3202</v>
      </c>
      <c r="AA524" t="s">
        <v>2865</v>
      </c>
      <c r="AB524" t="s">
        <v>3203</v>
      </c>
      <c r="AC524" t="s">
        <v>2829</v>
      </c>
      <c r="AD524" t="s">
        <v>2830</v>
      </c>
      <c r="AE524" t="s">
        <v>2857</v>
      </c>
      <c r="AF524" t="s">
        <v>2867</v>
      </c>
      <c r="AG524" t="s">
        <v>2867</v>
      </c>
      <c r="AH524" t="s">
        <v>2834</v>
      </c>
      <c r="AI524" t="s">
        <v>2835</v>
      </c>
      <c r="AJ524" t="s">
        <v>2829</v>
      </c>
      <c r="AK524" t="s">
        <v>2868</v>
      </c>
      <c r="AL524" t="s">
        <v>2865</v>
      </c>
      <c r="AM524" t="s">
        <v>2923</v>
      </c>
      <c r="AN524" t="s">
        <v>2829</v>
      </c>
      <c r="AO524" t="s">
        <v>2839</v>
      </c>
      <c r="AP524" t="s">
        <v>2840</v>
      </c>
      <c r="AQ524" t="s">
        <v>2841</v>
      </c>
      <c r="AR524" t="s">
        <v>3204</v>
      </c>
      <c r="AS524" t="s">
        <v>3204</v>
      </c>
      <c r="AT524" t="s">
        <v>2829</v>
      </c>
      <c r="AU524" t="s">
        <v>2829</v>
      </c>
      <c r="AV524" t="s">
        <v>2829</v>
      </c>
      <c r="AW524" t="s">
        <v>2829</v>
      </c>
      <c r="AX524" t="s">
        <v>3205</v>
      </c>
      <c r="AY524" t="s">
        <v>3205</v>
      </c>
      <c r="AZ524" t="s">
        <v>2829</v>
      </c>
      <c r="BA524" t="s">
        <v>2829</v>
      </c>
      <c r="BB524" t="s">
        <v>2829</v>
      </c>
      <c r="BC524" t="s">
        <v>2829</v>
      </c>
      <c r="BD524" t="s">
        <v>3206</v>
      </c>
      <c r="BE524" t="s">
        <v>3206</v>
      </c>
      <c r="BF524" t="s">
        <v>243</v>
      </c>
      <c r="BG524" t="s">
        <v>243</v>
      </c>
      <c r="BH524" t="s">
        <v>243</v>
      </c>
      <c r="BI524" t="s">
        <v>243</v>
      </c>
      <c r="BJ524" t="s">
        <v>3206</v>
      </c>
      <c r="BK524" t="s">
        <v>3206</v>
      </c>
      <c r="BL524" t="s">
        <v>243</v>
      </c>
      <c r="BM524" t="s">
        <v>243</v>
      </c>
      <c r="BN524" t="s">
        <v>243</v>
      </c>
      <c r="BO524" t="s">
        <v>243</v>
      </c>
      <c r="BP524" t="s">
        <v>3207</v>
      </c>
      <c r="BQ524" t="s">
        <v>3207</v>
      </c>
      <c r="BR524" t="s">
        <v>243</v>
      </c>
      <c r="BS524" t="s">
        <v>243</v>
      </c>
      <c r="BT524" t="s">
        <v>243</v>
      </c>
      <c r="BU524" t="s">
        <v>243</v>
      </c>
      <c r="BV524" t="s">
        <v>3208</v>
      </c>
      <c r="BW524" t="s">
        <v>3208</v>
      </c>
      <c r="BX524" t="s">
        <v>243</v>
      </c>
      <c r="BY524" t="s">
        <v>243</v>
      </c>
      <c r="BZ524" t="s">
        <v>243</v>
      </c>
      <c r="CA524" t="s">
        <v>243</v>
      </c>
      <c r="CB524" t="s">
        <v>2829</v>
      </c>
      <c r="CC524" t="s">
        <v>243</v>
      </c>
      <c r="CD524" t="s">
        <v>243</v>
      </c>
      <c r="CE524" t="s">
        <v>243</v>
      </c>
      <c r="CF524" t="s">
        <v>243</v>
      </c>
      <c r="CG524" t="s">
        <v>243</v>
      </c>
      <c r="CH524" t="s">
        <v>2829</v>
      </c>
      <c r="CI524" t="s">
        <v>243</v>
      </c>
      <c r="CJ524" t="s">
        <v>243</v>
      </c>
      <c r="CK524" t="s">
        <v>243</v>
      </c>
      <c r="CL524" t="s">
        <v>243</v>
      </c>
      <c r="CM524" t="s">
        <v>243</v>
      </c>
      <c r="CN524" t="s">
        <v>2829</v>
      </c>
      <c r="CO524" t="s">
        <v>2843</v>
      </c>
      <c r="CP524" t="s">
        <v>2844</v>
      </c>
      <c r="CQ524" t="s">
        <v>430</v>
      </c>
      <c r="CR524" t="s">
        <v>2872</v>
      </c>
      <c r="CS524" t="s">
        <v>431</v>
      </c>
      <c r="CT524" t="s">
        <v>430</v>
      </c>
      <c r="CU524" t="s">
        <v>2846</v>
      </c>
      <c r="CV524" t="s">
        <v>2873</v>
      </c>
      <c r="CW524" t="s">
        <v>2872</v>
      </c>
      <c r="CX524" t="s">
        <v>2848</v>
      </c>
      <c r="CY524" t="s">
        <v>3209</v>
      </c>
    </row>
    <row r="525" spans="1:103" ht="11.25" customHeight="1">
      <c r="A525" t="s">
        <v>243</v>
      </c>
      <c r="B525" t="s">
        <v>243</v>
      </c>
      <c r="C525" t="s">
        <v>243</v>
      </c>
      <c r="D525" t="s">
        <v>243</v>
      </c>
      <c r="E525" t="s">
        <v>243</v>
      </c>
      <c r="F525" t="s">
        <v>2816</v>
      </c>
      <c r="G525" t="s">
        <v>243</v>
      </c>
      <c r="H525" t="s">
        <v>243</v>
      </c>
      <c r="I525" t="s">
        <v>3345</v>
      </c>
      <c r="J525" t="s">
        <v>243</v>
      </c>
      <c r="K525" t="s">
        <v>2818</v>
      </c>
      <c r="L525" t="s">
        <v>243</v>
      </c>
      <c r="M525" t="s">
        <v>114</v>
      </c>
      <c r="N525" t="s">
        <v>243</v>
      </c>
      <c r="O525" t="s">
        <v>2819</v>
      </c>
      <c r="P525" t="s">
        <v>4448</v>
      </c>
      <c r="Q525" t="s">
        <v>2821</v>
      </c>
      <c r="R525" t="s">
        <v>200</v>
      </c>
      <c r="S525" t="s">
        <v>200</v>
      </c>
      <c r="T525" t="s">
        <v>2822</v>
      </c>
      <c r="U525" t="s">
        <v>2822</v>
      </c>
      <c r="V525" t="s">
        <v>2823</v>
      </c>
      <c r="W525" t="s">
        <v>3346</v>
      </c>
      <c r="X525" t="s">
        <v>3347</v>
      </c>
      <c r="Y525" t="s">
        <v>3348</v>
      </c>
      <c r="Z525" t="s">
        <v>3189</v>
      </c>
      <c r="AA525" t="s">
        <v>3228</v>
      </c>
      <c r="AB525" t="s">
        <v>3016</v>
      </c>
      <c r="AC525" t="s">
        <v>2829</v>
      </c>
      <c r="AD525" t="s">
        <v>2830</v>
      </c>
      <c r="AE525" t="s">
        <v>2857</v>
      </c>
      <c r="AF525" t="s">
        <v>3349</v>
      </c>
      <c r="AG525" t="s">
        <v>3349</v>
      </c>
      <c r="AH525" t="s">
        <v>2834</v>
      </c>
      <c r="AI525" t="s">
        <v>2835</v>
      </c>
      <c r="AJ525" t="s">
        <v>2829</v>
      </c>
      <c r="AK525" t="s">
        <v>2868</v>
      </c>
      <c r="AL525" t="s">
        <v>3228</v>
      </c>
      <c r="AM525" t="s">
        <v>3350</v>
      </c>
      <c r="AN525" t="s">
        <v>2829</v>
      </c>
      <c r="AO525" t="s">
        <v>2839</v>
      </c>
      <c r="AP525" t="s">
        <v>2840</v>
      </c>
      <c r="AQ525" t="s">
        <v>2841</v>
      </c>
      <c r="AR525" t="s">
        <v>3351</v>
      </c>
      <c r="AS525" t="s">
        <v>3351</v>
      </c>
      <c r="AT525" t="s">
        <v>2829</v>
      </c>
      <c r="AU525" t="s">
        <v>2829</v>
      </c>
      <c r="AV525" t="s">
        <v>2829</v>
      </c>
      <c r="AW525" t="s">
        <v>2829</v>
      </c>
      <c r="AX525" t="s">
        <v>2829</v>
      </c>
      <c r="AY525" t="s">
        <v>2829</v>
      </c>
      <c r="AZ525" t="s">
        <v>2829</v>
      </c>
      <c r="BA525" t="s">
        <v>2829</v>
      </c>
      <c r="BB525" t="s">
        <v>2829</v>
      </c>
      <c r="BC525" t="s">
        <v>2829</v>
      </c>
      <c r="BD525" t="s">
        <v>3352</v>
      </c>
      <c r="BE525" t="s">
        <v>3352</v>
      </c>
      <c r="BF525" t="s">
        <v>243</v>
      </c>
      <c r="BG525" t="s">
        <v>243</v>
      </c>
      <c r="BH525" t="s">
        <v>243</v>
      </c>
      <c r="BI525" t="s">
        <v>243</v>
      </c>
      <c r="BJ525" t="s">
        <v>2829</v>
      </c>
      <c r="BK525" t="s">
        <v>243</v>
      </c>
      <c r="BL525" t="s">
        <v>243</v>
      </c>
      <c r="BM525" t="s">
        <v>243</v>
      </c>
      <c r="BN525" t="s">
        <v>243</v>
      </c>
      <c r="BO525" t="s">
        <v>243</v>
      </c>
      <c r="BP525" t="s">
        <v>3353</v>
      </c>
      <c r="BQ525" t="s">
        <v>3353</v>
      </c>
      <c r="BR525" t="s">
        <v>243</v>
      </c>
      <c r="BS525" t="s">
        <v>243</v>
      </c>
      <c r="BT525" t="s">
        <v>243</v>
      </c>
      <c r="BU525" t="s">
        <v>243</v>
      </c>
      <c r="BV525" t="s">
        <v>2829</v>
      </c>
      <c r="BW525" t="s">
        <v>243</v>
      </c>
      <c r="BX525" t="s">
        <v>243</v>
      </c>
      <c r="BY525" t="s">
        <v>243</v>
      </c>
      <c r="BZ525" t="s">
        <v>243</v>
      </c>
      <c r="CA525" t="s">
        <v>243</v>
      </c>
      <c r="CB525" t="s">
        <v>2829</v>
      </c>
      <c r="CC525" t="s">
        <v>243</v>
      </c>
      <c r="CD525" t="s">
        <v>243</v>
      </c>
      <c r="CE525" t="s">
        <v>243</v>
      </c>
      <c r="CF525" t="s">
        <v>243</v>
      </c>
      <c r="CG525" t="s">
        <v>243</v>
      </c>
      <c r="CH525" t="s">
        <v>2829</v>
      </c>
      <c r="CI525" t="s">
        <v>243</v>
      </c>
      <c r="CJ525" t="s">
        <v>243</v>
      </c>
      <c r="CK525" t="s">
        <v>243</v>
      </c>
      <c r="CL525" t="s">
        <v>243</v>
      </c>
      <c r="CM525" t="s">
        <v>243</v>
      </c>
      <c r="CN525" t="s">
        <v>2829</v>
      </c>
      <c r="CO525" t="s">
        <v>2843</v>
      </c>
      <c r="CP525" t="s">
        <v>2844</v>
      </c>
      <c r="CQ525" t="s">
        <v>430</v>
      </c>
      <c r="CR525" t="s">
        <v>2872</v>
      </c>
      <c r="CS525" t="s">
        <v>431</v>
      </c>
      <c r="CT525" t="s">
        <v>430</v>
      </c>
      <c r="CU525" t="s">
        <v>2846</v>
      </c>
      <c r="CV525" t="s">
        <v>2873</v>
      </c>
      <c r="CW525" t="s">
        <v>2872</v>
      </c>
      <c r="CX525" t="s">
        <v>2848</v>
      </c>
      <c r="CY525" t="s">
        <v>3354</v>
      </c>
    </row>
    <row r="526" spans="1:103" ht="11.25" customHeight="1">
      <c r="A526" t="s">
        <v>243</v>
      </c>
      <c r="B526" t="s">
        <v>243</v>
      </c>
      <c r="C526" t="s">
        <v>243</v>
      </c>
      <c r="D526" t="s">
        <v>243</v>
      </c>
      <c r="E526" t="s">
        <v>243</v>
      </c>
      <c r="F526" t="s">
        <v>2816</v>
      </c>
      <c r="G526" t="s">
        <v>243</v>
      </c>
      <c r="H526" t="s">
        <v>243</v>
      </c>
      <c r="I526" t="s">
        <v>3090</v>
      </c>
      <c r="J526" t="s">
        <v>243</v>
      </c>
      <c r="K526" t="s">
        <v>3091</v>
      </c>
      <c r="L526" t="s">
        <v>243</v>
      </c>
      <c r="M526" t="s">
        <v>114</v>
      </c>
      <c r="N526" t="s">
        <v>243</v>
      </c>
      <c r="O526" t="s">
        <v>2819</v>
      </c>
      <c r="P526" t="s">
        <v>4448</v>
      </c>
      <c r="Q526" t="s">
        <v>2821</v>
      </c>
      <c r="R526" t="s">
        <v>200</v>
      </c>
      <c r="S526" t="s">
        <v>200</v>
      </c>
      <c r="T526" t="s">
        <v>2933</v>
      </c>
      <c r="U526" t="s">
        <v>2933</v>
      </c>
      <c r="V526" t="s">
        <v>2934</v>
      </c>
      <c r="W526" t="s">
        <v>2935</v>
      </c>
      <c r="X526" t="s">
        <v>2936</v>
      </c>
      <c r="Y526" t="s">
        <v>3092</v>
      </c>
      <c r="Z526" t="s">
        <v>3093</v>
      </c>
      <c r="AA526" t="s">
        <v>3094</v>
      </c>
      <c r="AB526" t="s">
        <v>3095</v>
      </c>
      <c r="AC526" t="s">
        <v>2829</v>
      </c>
      <c r="AD526" t="s">
        <v>2883</v>
      </c>
      <c r="AE526" t="s">
        <v>2831</v>
      </c>
      <c r="AF526" t="s">
        <v>3096</v>
      </c>
      <c r="AG526" t="s">
        <v>3096</v>
      </c>
      <c r="AH526" t="s">
        <v>2834</v>
      </c>
      <c r="AI526" t="s">
        <v>2835</v>
      </c>
      <c r="AJ526" t="s">
        <v>2942</v>
      </c>
      <c r="AK526" t="s">
        <v>3097</v>
      </c>
      <c r="AL526" t="s">
        <v>3094</v>
      </c>
      <c r="AM526" t="s">
        <v>3095</v>
      </c>
      <c r="AN526" t="s">
        <v>243</v>
      </c>
      <c r="AO526" t="s">
        <v>2839</v>
      </c>
      <c r="AP526" t="s">
        <v>2840</v>
      </c>
      <c r="AQ526" t="s">
        <v>2841</v>
      </c>
      <c r="AR526" t="s">
        <v>3098</v>
      </c>
      <c r="AS526" t="s">
        <v>3098</v>
      </c>
      <c r="AT526" t="s">
        <v>2829</v>
      </c>
      <c r="AU526" t="s">
        <v>2829</v>
      </c>
      <c r="AV526" t="s">
        <v>2829</v>
      </c>
      <c r="AW526" t="s">
        <v>2829</v>
      </c>
      <c r="AX526" t="s">
        <v>2829</v>
      </c>
      <c r="AY526" t="s">
        <v>2829</v>
      </c>
      <c r="AZ526" t="s">
        <v>2829</v>
      </c>
      <c r="BA526" t="s">
        <v>2829</v>
      </c>
      <c r="BB526" t="s">
        <v>2829</v>
      </c>
      <c r="BC526" t="s">
        <v>2829</v>
      </c>
      <c r="BD526" t="s">
        <v>3099</v>
      </c>
      <c r="BE526" t="s">
        <v>3099</v>
      </c>
      <c r="BF526" t="s">
        <v>243</v>
      </c>
      <c r="BG526" t="s">
        <v>243</v>
      </c>
      <c r="BH526" t="s">
        <v>243</v>
      </c>
      <c r="BI526" t="s">
        <v>243</v>
      </c>
      <c r="BJ526" t="s">
        <v>2829</v>
      </c>
      <c r="BK526" t="s">
        <v>243</v>
      </c>
      <c r="BL526" t="s">
        <v>243</v>
      </c>
      <c r="BM526" t="s">
        <v>243</v>
      </c>
      <c r="BN526" t="s">
        <v>243</v>
      </c>
      <c r="BO526" t="s">
        <v>243</v>
      </c>
      <c r="BP526" t="s">
        <v>3100</v>
      </c>
      <c r="BQ526" t="s">
        <v>3100</v>
      </c>
      <c r="BR526" t="s">
        <v>243</v>
      </c>
      <c r="BS526" t="s">
        <v>243</v>
      </c>
      <c r="BT526" t="s">
        <v>243</v>
      </c>
      <c r="BU526" t="s">
        <v>243</v>
      </c>
      <c r="BV526" t="s">
        <v>2829</v>
      </c>
      <c r="BW526" t="s">
        <v>243</v>
      </c>
      <c r="BX526" t="s">
        <v>243</v>
      </c>
      <c r="BY526" t="s">
        <v>243</v>
      </c>
      <c r="BZ526" t="s">
        <v>243</v>
      </c>
      <c r="CA526" t="s">
        <v>243</v>
      </c>
      <c r="CB526" t="s">
        <v>2829</v>
      </c>
      <c r="CC526" t="s">
        <v>243</v>
      </c>
      <c r="CD526" t="s">
        <v>243</v>
      </c>
      <c r="CE526" t="s">
        <v>243</v>
      </c>
      <c r="CF526" t="s">
        <v>243</v>
      </c>
      <c r="CG526" t="s">
        <v>243</v>
      </c>
      <c r="CH526" t="s">
        <v>2829</v>
      </c>
      <c r="CI526" t="s">
        <v>243</v>
      </c>
      <c r="CJ526" t="s">
        <v>243</v>
      </c>
      <c r="CK526" t="s">
        <v>243</v>
      </c>
      <c r="CL526" t="s">
        <v>243</v>
      </c>
      <c r="CM526" t="s">
        <v>243</v>
      </c>
      <c r="CN526" t="s">
        <v>2942</v>
      </c>
      <c r="CO526" t="s">
        <v>2843</v>
      </c>
      <c r="CP526" t="s">
        <v>2844</v>
      </c>
      <c r="CQ526" t="s">
        <v>430</v>
      </c>
      <c r="CR526" t="s">
        <v>2947</v>
      </c>
      <c r="CS526" t="s">
        <v>431</v>
      </c>
      <c r="CT526" t="s">
        <v>430</v>
      </c>
      <c r="CU526" t="s">
        <v>2948</v>
      </c>
      <c r="CV526" t="s">
        <v>2949</v>
      </c>
      <c r="CW526" t="s">
        <v>2947</v>
      </c>
      <c r="CX526" t="s">
        <v>2848</v>
      </c>
      <c r="CY526" t="s">
        <v>3101</v>
      </c>
    </row>
    <row r="527" spans="1:103" ht="11.25" customHeight="1">
      <c r="A527" t="s">
        <v>243</v>
      </c>
      <c r="B527" t="s">
        <v>243</v>
      </c>
      <c r="C527" t="s">
        <v>243</v>
      </c>
      <c r="D527" t="s">
        <v>243</v>
      </c>
      <c r="E527" t="s">
        <v>243</v>
      </c>
      <c r="F527" t="s">
        <v>2816</v>
      </c>
      <c r="G527" t="s">
        <v>243</v>
      </c>
      <c r="H527" t="s">
        <v>243</v>
      </c>
      <c r="I527" t="s">
        <v>3614</v>
      </c>
      <c r="J527" t="s">
        <v>243</v>
      </c>
      <c r="K527" t="s">
        <v>3615</v>
      </c>
      <c r="L527" t="s">
        <v>243</v>
      </c>
      <c r="M527" t="s">
        <v>114</v>
      </c>
      <c r="N527" t="s">
        <v>243</v>
      </c>
      <c r="O527" t="s">
        <v>2819</v>
      </c>
      <c r="P527" t="s">
        <v>4448</v>
      </c>
      <c r="Q527" t="s">
        <v>2821</v>
      </c>
      <c r="R527" t="s">
        <v>200</v>
      </c>
      <c r="S527" t="s">
        <v>200</v>
      </c>
      <c r="T527" t="s">
        <v>2933</v>
      </c>
      <c r="U527" t="s">
        <v>2933</v>
      </c>
      <c r="V527" t="s">
        <v>2934</v>
      </c>
      <c r="W527" t="s">
        <v>2935</v>
      </c>
      <c r="X527" t="s">
        <v>2936</v>
      </c>
      <c r="Y527" t="s">
        <v>3616</v>
      </c>
      <c r="Z527" t="s">
        <v>3235</v>
      </c>
      <c r="AA527" t="s">
        <v>3617</v>
      </c>
      <c r="AB527" t="s">
        <v>3618</v>
      </c>
      <c r="AC527" t="s">
        <v>2829</v>
      </c>
      <c r="AD527" t="s">
        <v>2883</v>
      </c>
      <c r="AE527" t="s">
        <v>3372</v>
      </c>
      <c r="AF527" t="s">
        <v>3619</v>
      </c>
      <c r="AG527" t="s">
        <v>3620</v>
      </c>
      <c r="AH527" t="s">
        <v>2834</v>
      </c>
      <c r="AI527" t="s">
        <v>2835</v>
      </c>
      <c r="AJ527" t="s">
        <v>2942</v>
      </c>
      <c r="AK527" t="s">
        <v>3621</v>
      </c>
      <c r="AL527" t="s">
        <v>3617</v>
      </c>
      <c r="AM527" t="s">
        <v>3622</v>
      </c>
      <c r="AN527" t="s">
        <v>243</v>
      </c>
      <c r="AO527" t="s">
        <v>2839</v>
      </c>
      <c r="AP527" t="s">
        <v>2840</v>
      </c>
      <c r="AQ527" t="s">
        <v>2841</v>
      </c>
      <c r="AR527" t="s">
        <v>3623</v>
      </c>
      <c r="AS527" t="s">
        <v>3623</v>
      </c>
      <c r="AT527" t="s">
        <v>2829</v>
      </c>
      <c r="AU527" t="s">
        <v>2829</v>
      </c>
      <c r="AV527" t="s">
        <v>2829</v>
      </c>
      <c r="AW527" t="s">
        <v>2829</v>
      </c>
      <c r="AX527" t="s">
        <v>2829</v>
      </c>
      <c r="AY527" t="s">
        <v>2829</v>
      </c>
      <c r="AZ527" t="s">
        <v>2829</v>
      </c>
      <c r="BA527" t="s">
        <v>2829</v>
      </c>
      <c r="BB527" t="s">
        <v>2829</v>
      </c>
      <c r="BC527" t="s">
        <v>2829</v>
      </c>
      <c r="BD527" t="s">
        <v>3624</v>
      </c>
      <c r="BE527" t="s">
        <v>3624</v>
      </c>
      <c r="BF527" t="s">
        <v>243</v>
      </c>
      <c r="BG527" t="s">
        <v>243</v>
      </c>
      <c r="BH527" t="s">
        <v>243</v>
      </c>
      <c r="BI527" t="s">
        <v>243</v>
      </c>
      <c r="BJ527" t="s">
        <v>2829</v>
      </c>
      <c r="BK527" t="s">
        <v>243</v>
      </c>
      <c r="BL527" t="s">
        <v>243</v>
      </c>
      <c r="BM527" t="s">
        <v>243</v>
      </c>
      <c r="BN527" t="s">
        <v>243</v>
      </c>
      <c r="BO527" t="s">
        <v>243</v>
      </c>
      <c r="BP527" t="s">
        <v>3625</v>
      </c>
      <c r="BQ527" t="s">
        <v>3625</v>
      </c>
      <c r="BR527" t="s">
        <v>243</v>
      </c>
      <c r="BS527" t="s">
        <v>243</v>
      </c>
      <c r="BT527" t="s">
        <v>243</v>
      </c>
      <c r="BU527" t="s">
        <v>243</v>
      </c>
      <c r="BV527" t="s">
        <v>2829</v>
      </c>
      <c r="BW527" t="s">
        <v>243</v>
      </c>
      <c r="BX527" t="s">
        <v>243</v>
      </c>
      <c r="BY527" t="s">
        <v>243</v>
      </c>
      <c r="BZ527" t="s">
        <v>243</v>
      </c>
      <c r="CA527" t="s">
        <v>243</v>
      </c>
      <c r="CB527" t="s">
        <v>2829</v>
      </c>
      <c r="CC527" t="s">
        <v>243</v>
      </c>
      <c r="CD527" t="s">
        <v>243</v>
      </c>
      <c r="CE527" t="s">
        <v>243</v>
      </c>
      <c r="CF527" t="s">
        <v>243</v>
      </c>
      <c r="CG527" t="s">
        <v>243</v>
      </c>
      <c r="CH527" t="s">
        <v>2829</v>
      </c>
      <c r="CI527" t="s">
        <v>243</v>
      </c>
      <c r="CJ527" t="s">
        <v>243</v>
      </c>
      <c r="CK527" t="s">
        <v>243</v>
      </c>
      <c r="CL527" t="s">
        <v>243</v>
      </c>
      <c r="CM527" t="s">
        <v>243</v>
      </c>
      <c r="CN527" t="s">
        <v>2942</v>
      </c>
      <c r="CO527" t="s">
        <v>2843</v>
      </c>
      <c r="CP527" t="s">
        <v>2844</v>
      </c>
      <c r="CQ527" t="s">
        <v>430</v>
      </c>
      <c r="CR527" t="s">
        <v>2947</v>
      </c>
      <c r="CS527" t="s">
        <v>431</v>
      </c>
      <c r="CT527" t="s">
        <v>430</v>
      </c>
      <c r="CU527" t="s">
        <v>2948</v>
      </c>
      <c r="CV527" t="s">
        <v>2949</v>
      </c>
      <c r="CW527" t="s">
        <v>2947</v>
      </c>
      <c r="CX527" t="s">
        <v>2848</v>
      </c>
      <c r="CY527" t="s">
        <v>3626</v>
      </c>
    </row>
    <row r="528" spans="1:103" ht="11.25" customHeight="1">
      <c r="A528" t="s">
        <v>243</v>
      </c>
      <c r="B528" t="s">
        <v>243</v>
      </c>
      <c r="C528" t="s">
        <v>243</v>
      </c>
      <c r="D528" t="s">
        <v>243</v>
      </c>
      <c r="E528" t="s">
        <v>243</v>
      </c>
      <c r="F528" t="s">
        <v>2816</v>
      </c>
      <c r="G528" t="s">
        <v>243</v>
      </c>
      <c r="H528" t="s">
        <v>243</v>
      </c>
      <c r="I528" t="s">
        <v>4417</v>
      </c>
      <c r="J528" t="s">
        <v>243</v>
      </c>
      <c r="K528" t="s">
        <v>4418</v>
      </c>
      <c r="L528" t="s">
        <v>243</v>
      </c>
      <c r="M528" t="s">
        <v>114</v>
      </c>
      <c r="N528" t="s">
        <v>243</v>
      </c>
      <c r="O528" t="s">
        <v>2819</v>
      </c>
      <c r="P528" t="s">
        <v>4448</v>
      </c>
      <c r="Q528" t="s">
        <v>2821</v>
      </c>
      <c r="R528" t="s">
        <v>200</v>
      </c>
      <c r="S528" t="s">
        <v>200</v>
      </c>
      <c r="T528" t="s">
        <v>2968</v>
      </c>
      <c r="U528" t="s">
        <v>2968</v>
      </c>
      <c r="V528" t="s">
        <v>2969</v>
      </c>
      <c r="W528" t="s">
        <v>4261</v>
      </c>
      <c r="X528" t="s">
        <v>4262</v>
      </c>
      <c r="Y528" t="s">
        <v>2929</v>
      </c>
      <c r="Z528" t="s">
        <v>3141</v>
      </c>
      <c r="AA528" t="s">
        <v>4419</v>
      </c>
      <c r="AB528" t="s">
        <v>3193</v>
      </c>
      <c r="AC528" t="s">
        <v>2829</v>
      </c>
      <c r="AD528" t="s">
        <v>2883</v>
      </c>
      <c r="AE528" t="s">
        <v>2857</v>
      </c>
      <c r="AF528" t="s">
        <v>4420</v>
      </c>
      <c r="AG528" t="s">
        <v>4420</v>
      </c>
      <c r="AH528" t="s">
        <v>2834</v>
      </c>
      <c r="AI528" t="s">
        <v>2835</v>
      </c>
      <c r="AJ528" t="s">
        <v>3572</v>
      </c>
      <c r="AK528" t="s">
        <v>2978</v>
      </c>
      <c r="AL528" t="s">
        <v>4419</v>
      </c>
      <c r="AM528" t="s">
        <v>3193</v>
      </c>
      <c r="AN528" t="s">
        <v>2829</v>
      </c>
      <c r="AO528" t="s">
        <v>2839</v>
      </c>
      <c r="AP528" t="s">
        <v>2840</v>
      </c>
      <c r="AQ528" t="s">
        <v>2841</v>
      </c>
      <c r="AR528" t="s">
        <v>4421</v>
      </c>
      <c r="AS528" t="s">
        <v>4421</v>
      </c>
      <c r="AT528" t="s">
        <v>2829</v>
      </c>
      <c r="AU528" t="s">
        <v>2829</v>
      </c>
      <c r="AV528" t="s">
        <v>2829</v>
      </c>
      <c r="AW528" t="s">
        <v>2829</v>
      </c>
      <c r="AX528" t="s">
        <v>2829</v>
      </c>
      <c r="AY528" t="s">
        <v>2829</v>
      </c>
      <c r="AZ528" t="s">
        <v>2829</v>
      </c>
      <c r="BA528" t="s">
        <v>2829</v>
      </c>
      <c r="BB528" t="s">
        <v>2829</v>
      </c>
      <c r="BC528" t="s">
        <v>2829</v>
      </c>
      <c r="BD528" t="s">
        <v>2829</v>
      </c>
      <c r="BE528" t="s">
        <v>243</v>
      </c>
      <c r="BF528" t="s">
        <v>243</v>
      </c>
      <c r="BG528" t="s">
        <v>243</v>
      </c>
      <c r="BH528" t="s">
        <v>243</v>
      </c>
      <c r="BI528" t="s">
        <v>243</v>
      </c>
      <c r="BJ528" t="s">
        <v>2829</v>
      </c>
      <c r="BK528" t="s">
        <v>243</v>
      </c>
      <c r="BL528" t="s">
        <v>243</v>
      </c>
      <c r="BM528" t="s">
        <v>243</v>
      </c>
      <c r="BN528" t="s">
        <v>243</v>
      </c>
      <c r="BO528" t="s">
        <v>243</v>
      </c>
      <c r="BP528" t="s">
        <v>4421</v>
      </c>
      <c r="BQ528" t="s">
        <v>4421</v>
      </c>
      <c r="BR528" t="s">
        <v>243</v>
      </c>
      <c r="BS528" t="s">
        <v>243</v>
      </c>
      <c r="BT528" t="s">
        <v>243</v>
      </c>
      <c r="BU528" t="s">
        <v>243</v>
      </c>
      <c r="BV528" t="s">
        <v>2829</v>
      </c>
      <c r="BW528" t="s">
        <v>243</v>
      </c>
      <c r="BX528" t="s">
        <v>243</v>
      </c>
      <c r="BY528" t="s">
        <v>243</v>
      </c>
      <c r="BZ528" t="s">
        <v>243</v>
      </c>
      <c r="CA528" t="s">
        <v>243</v>
      </c>
      <c r="CB528" t="s">
        <v>2829</v>
      </c>
      <c r="CC528" t="s">
        <v>243</v>
      </c>
      <c r="CD528" t="s">
        <v>243</v>
      </c>
      <c r="CE528" t="s">
        <v>243</v>
      </c>
      <c r="CF528" t="s">
        <v>243</v>
      </c>
      <c r="CG528" t="s">
        <v>243</v>
      </c>
      <c r="CH528" t="s">
        <v>2829</v>
      </c>
      <c r="CI528" t="s">
        <v>243</v>
      </c>
      <c r="CJ528" t="s">
        <v>243</v>
      </c>
      <c r="CK528" t="s">
        <v>243</v>
      </c>
      <c r="CL528" t="s">
        <v>243</v>
      </c>
      <c r="CM528" t="s">
        <v>243</v>
      </c>
      <c r="CN528" t="s">
        <v>3010</v>
      </c>
      <c r="CO528" t="s">
        <v>2843</v>
      </c>
      <c r="CP528" t="s">
        <v>2844</v>
      </c>
      <c r="CQ528" t="s">
        <v>430</v>
      </c>
      <c r="CR528" t="s">
        <v>2984</v>
      </c>
      <c r="CS528" t="s">
        <v>431</v>
      </c>
      <c r="CT528" t="s">
        <v>430</v>
      </c>
      <c r="CU528" t="s">
        <v>2985</v>
      </c>
      <c r="CV528" t="s">
        <v>2986</v>
      </c>
      <c r="CW528" t="s">
        <v>2984</v>
      </c>
      <c r="CX528" t="s">
        <v>2848</v>
      </c>
      <c r="CY528" t="s">
        <v>4422</v>
      </c>
    </row>
    <row r="529" spans="1:103" ht="11.25" customHeight="1">
      <c r="A529" t="s">
        <v>243</v>
      </c>
      <c r="B529" t="s">
        <v>243</v>
      </c>
      <c r="C529" t="s">
        <v>243</v>
      </c>
      <c r="D529" t="s">
        <v>243</v>
      </c>
      <c r="E529" t="s">
        <v>243</v>
      </c>
      <c r="F529" t="s">
        <v>2816</v>
      </c>
      <c r="G529" t="s">
        <v>243</v>
      </c>
      <c r="H529" t="s">
        <v>243</v>
      </c>
      <c r="I529" t="s">
        <v>3646</v>
      </c>
      <c r="J529" t="s">
        <v>243</v>
      </c>
      <c r="K529" t="s">
        <v>3281</v>
      </c>
      <c r="L529" t="s">
        <v>243</v>
      </c>
      <c r="M529" t="s">
        <v>114</v>
      </c>
      <c r="N529" t="s">
        <v>243</v>
      </c>
      <c r="O529" t="s">
        <v>2819</v>
      </c>
      <c r="P529" t="s">
        <v>4448</v>
      </c>
      <c r="Q529" t="s">
        <v>2821</v>
      </c>
      <c r="R529" t="s">
        <v>200</v>
      </c>
      <c r="S529" t="s">
        <v>200</v>
      </c>
      <c r="T529" t="s">
        <v>3022</v>
      </c>
      <c r="U529" t="s">
        <v>3022</v>
      </c>
      <c r="V529" t="s">
        <v>3023</v>
      </c>
      <c r="W529" t="s">
        <v>3647</v>
      </c>
      <c r="X529" t="s">
        <v>3648</v>
      </c>
      <c r="Y529" t="s">
        <v>3127</v>
      </c>
      <c r="Z529" t="s">
        <v>2972</v>
      </c>
      <c r="AA529" t="s">
        <v>3649</v>
      </c>
      <c r="AB529" t="s">
        <v>3242</v>
      </c>
      <c r="AC529" t="s">
        <v>2829</v>
      </c>
      <c r="AD529" t="s">
        <v>2883</v>
      </c>
      <c r="AE529" t="s">
        <v>2831</v>
      </c>
      <c r="AF529" t="s">
        <v>3650</v>
      </c>
      <c r="AG529" t="s">
        <v>3650</v>
      </c>
      <c r="AH529" t="s">
        <v>2834</v>
      </c>
      <c r="AI529" t="s">
        <v>2835</v>
      </c>
      <c r="AJ529" t="s">
        <v>3030</v>
      </c>
      <c r="AK529" t="s">
        <v>3651</v>
      </c>
      <c r="AL529" t="s">
        <v>3649</v>
      </c>
      <c r="AM529" t="s">
        <v>3242</v>
      </c>
      <c r="AN529" t="s">
        <v>2829</v>
      </c>
      <c r="AO529" t="s">
        <v>2839</v>
      </c>
      <c r="AP529" t="s">
        <v>2840</v>
      </c>
      <c r="AQ529" t="s">
        <v>2841</v>
      </c>
      <c r="AR529" t="s">
        <v>3652</v>
      </c>
      <c r="AS529" t="s">
        <v>3652</v>
      </c>
      <c r="AT529" t="s">
        <v>2829</v>
      </c>
      <c r="AU529" t="s">
        <v>2829</v>
      </c>
      <c r="AV529" t="s">
        <v>2829</v>
      </c>
      <c r="AW529" t="s">
        <v>2829</v>
      </c>
      <c r="AX529" t="s">
        <v>2829</v>
      </c>
      <c r="AY529" t="s">
        <v>2829</v>
      </c>
      <c r="AZ529" t="s">
        <v>2829</v>
      </c>
      <c r="BA529" t="s">
        <v>2829</v>
      </c>
      <c r="BB529" t="s">
        <v>2829</v>
      </c>
      <c r="BC529" t="s">
        <v>2829</v>
      </c>
      <c r="BD529" t="s">
        <v>3653</v>
      </c>
      <c r="BE529" t="s">
        <v>3653</v>
      </c>
      <c r="BF529" t="s">
        <v>243</v>
      </c>
      <c r="BG529" t="s">
        <v>243</v>
      </c>
      <c r="BH529" t="s">
        <v>243</v>
      </c>
      <c r="BI529" t="s">
        <v>243</v>
      </c>
      <c r="BJ529" t="s">
        <v>2829</v>
      </c>
      <c r="BK529" t="s">
        <v>243</v>
      </c>
      <c r="BL529" t="s">
        <v>243</v>
      </c>
      <c r="BM529" t="s">
        <v>243</v>
      </c>
      <c r="BN529" t="s">
        <v>243</v>
      </c>
      <c r="BO529" t="s">
        <v>243</v>
      </c>
      <c r="BP529" t="s">
        <v>3654</v>
      </c>
      <c r="BQ529" t="s">
        <v>3654</v>
      </c>
      <c r="BR529" t="s">
        <v>243</v>
      </c>
      <c r="BS529" t="s">
        <v>243</v>
      </c>
      <c r="BT529" t="s">
        <v>243</v>
      </c>
      <c r="BU529" t="s">
        <v>243</v>
      </c>
      <c r="BV529" t="s">
        <v>2829</v>
      </c>
      <c r="BW529" t="s">
        <v>243</v>
      </c>
      <c r="BX529" t="s">
        <v>243</v>
      </c>
      <c r="BY529" t="s">
        <v>243</v>
      </c>
      <c r="BZ529" t="s">
        <v>243</v>
      </c>
      <c r="CA529" t="s">
        <v>243</v>
      </c>
      <c r="CB529" t="s">
        <v>2829</v>
      </c>
      <c r="CC529" t="s">
        <v>243</v>
      </c>
      <c r="CD529" t="s">
        <v>243</v>
      </c>
      <c r="CE529" t="s">
        <v>243</v>
      </c>
      <c r="CF529" t="s">
        <v>243</v>
      </c>
      <c r="CG529" t="s">
        <v>243</v>
      </c>
      <c r="CH529" t="s">
        <v>2829</v>
      </c>
      <c r="CI529" t="s">
        <v>243</v>
      </c>
      <c r="CJ529" t="s">
        <v>243</v>
      </c>
      <c r="CK529" t="s">
        <v>243</v>
      </c>
      <c r="CL529" t="s">
        <v>243</v>
      </c>
      <c r="CM529" t="s">
        <v>243</v>
      </c>
      <c r="CN529" t="s">
        <v>3030</v>
      </c>
      <c r="CO529" t="s">
        <v>2843</v>
      </c>
      <c r="CP529" t="s">
        <v>2844</v>
      </c>
      <c r="CQ529" t="s">
        <v>430</v>
      </c>
      <c r="CR529" t="s">
        <v>3033</v>
      </c>
      <c r="CS529" t="s">
        <v>431</v>
      </c>
      <c r="CT529" t="s">
        <v>430</v>
      </c>
      <c r="CU529" t="s">
        <v>3034</v>
      </c>
      <c r="CV529" t="s">
        <v>432</v>
      </c>
      <c r="CW529" t="s">
        <v>3033</v>
      </c>
      <c r="CX529" t="s">
        <v>2848</v>
      </c>
      <c r="CY529" t="s">
        <v>3655</v>
      </c>
    </row>
    <row r="530" spans="1:103" ht="11.25" customHeight="1">
      <c r="A530" t="s">
        <v>243</v>
      </c>
      <c r="B530" t="s">
        <v>243</v>
      </c>
      <c r="C530" t="s">
        <v>243</v>
      </c>
      <c r="D530" t="s">
        <v>243</v>
      </c>
      <c r="E530" t="s">
        <v>243</v>
      </c>
      <c r="F530" t="s">
        <v>2816</v>
      </c>
      <c r="G530" t="s">
        <v>243</v>
      </c>
      <c r="H530" t="s">
        <v>243</v>
      </c>
      <c r="I530" t="s">
        <v>3656</v>
      </c>
      <c r="J530" t="s">
        <v>243</v>
      </c>
      <c r="K530" t="s">
        <v>461</v>
      </c>
      <c r="L530" t="s">
        <v>243</v>
      </c>
      <c r="M530" t="s">
        <v>114</v>
      </c>
      <c r="N530" t="s">
        <v>243</v>
      </c>
      <c r="O530" t="s">
        <v>2819</v>
      </c>
      <c r="P530" t="s">
        <v>4448</v>
      </c>
      <c r="Q530" t="s">
        <v>2821</v>
      </c>
      <c r="R530" t="s">
        <v>200</v>
      </c>
      <c r="S530" t="s">
        <v>200</v>
      </c>
      <c r="T530" t="s">
        <v>3022</v>
      </c>
      <c r="U530" t="s">
        <v>3022</v>
      </c>
      <c r="V530" t="s">
        <v>3023</v>
      </c>
      <c r="W530" t="s">
        <v>3647</v>
      </c>
      <c r="X530" t="s">
        <v>3648</v>
      </c>
      <c r="Y530" t="s">
        <v>3657</v>
      </c>
      <c r="Z530" t="s">
        <v>3658</v>
      </c>
      <c r="AA530" t="s">
        <v>3480</v>
      </c>
      <c r="AB530" t="s">
        <v>3659</v>
      </c>
      <c r="AC530" t="s">
        <v>2829</v>
      </c>
      <c r="AD530" t="s">
        <v>2883</v>
      </c>
      <c r="AE530" t="s">
        <v>2831</v>
      </c>
      <c r="AF530" t="s">
        <v>3660</v>
      </c>
      <c r="AG530" t="s">
        <v>3660</v>
      </c>
      <c r="AH530" t="s">
        <v>2834</v>
      </c>
      <c r="AI530" t="s">
        <v>2835</v>
      </c>
      <c r="AJ530" t="s">
        <v>3661</v>
      </c>
      <c r="AK530" t="s">
        <v>3662</v>
      </c>
      <c r="AL530" t="s">
        <v>3480</v>
      </c>
      <c r="AM530" t="s">
        <v>3659</v>
      </c>
      <c r="AN530" t="s">
        <v>2829</v>
      </c>
      <c r="AO530" t="s">
        <v>2839</v>
      </c>
      <c r="AP530" t="s">
        <v>2840</v>
      </c>
      <c r="AQ530" t="s">
        <v>2841</v>
      </c>
      <c r="AR530" t="s">
        <v>3541</v>
      </c>
      <c r="AS530" t="s">
        <v>3541</v>
      </c>
      <c r="AT530" t="s">
        <v>2829</v>
      </c>
      <c r="AU530" t="s">
        <v>2829</v>
      </c>
      <c r="AV530" t="s">
        <v>2829</v>
      </c>
      <c r="AW530" t="s">
        <v>2829</v>
      </c>
      <c r="AX530" t="s">
        <v>2829</v>
      </c>
      <c r="AY530" t="s">
        <v>2829</v>
      </c>
      <c r="AZ530" t="s">
        <v>2829</v>
      </c>
      <c r="BA530" t="s">
        <v>2829</v>
      </c>
      <c r="BB530" t="s">
        <v>2829</v>
      </c>
      <c r="BC530" t="s">
        <v>2829</v>
      </c>
      <c r="BD530" t="s">
        <v>3663</v>
      </c>
      <c r="BE530" t="s">
        <v>3663</v>
      </c>
      <c r="BF530" t="s">
        <v>243</v>
      </c>
      <c r="BG530" t="s">
        <v>243</v>
      </c>
      <c r="BH530" t="s">
        <v>243</v>
      </c>
      <c r="BI530" t="s">
        <v>243</v>
      </c>
      <c r="BJ530" t="s">
        <v>2829</v>
      </c>
      <c r="BK530" t="s">
        <v>243</v>
      </c>
      <c r="BL530" t="s">
        <v>243</v>
      </c>
      <c r="BM530" t="s">
        <v>243</v>
      </c>
      <c r="BN530" t="s">
        <v>243</v>
      </c>
      <c r="BO530" t="s">
        <v>243</v>
      </c>
      <c r="BP530" t="s">
        <v>3664</v>
      </c>
      <c r="BQ530" t="s">
        <v>3664</v>
      </c>
      <c r="BR530" t="s">
        <v>243</v>
      </c>
      <c r="BS530" t="s">
        <v>243</v>
      </c>
      <c r="BT530" t="s">
        <v>243</v>
      </c>
      <c r="BU530" t="s">
        <v>243</v>
      </c>
      <c r="BV530" t="s">
        <v>2829</v>
      </c>
      <c r="BW530" t="s">
        <v>243</v>
      </c>
      <c r="BX530" t="s">
        <v>243</v>
      </c>
      <c r="BY530" t="s">
        <v>243</v>
      </c>
      <c r="BZ530" t="s">
        <v>243</v>
      </c>
      <c r="CA530" t="s">
        <v>243</v>
      </c>
      <c r="CB530" t="s">
        <v>2829</v>
      </c>
      <c r="CC530" t="s">
        <v>243</v>
      </c>
      <c r="CD530" t="s">
        <v>243</v>
      </c>
      <c r="CE530" t="s">
        <v>243</v>
      </c>
      <c r="CF530" t="s">
        <v>243</v>
      </c>
      <c r="CG530" t="s">
        <v>243</v>
      </c>
      <c r="CH530" t="s">
        <v>2829</v>
      </c>
      <c r="CI530" t="s">
        <v>243</v>
      </c>
      <c r="CJ530" t="s">
        <v>243</v>
      </c>
      <c r="CK530" t="s">
        <v>243</v>
      </c>
      <c r="CL530" t="s">
        <v>243</v>
      </c>
      <c r="CM530" t="s">
        <v>243</v>
      </c>
      <c r="CN530" t="s">
        <v>3030</v>
      </c>
      <c r="CO530" t="s">
        <v>2843</v>
      </c>
      <c r="CP530" t="s">
        <v>2844</v>
      </c>
      <c r="CQ530" t="s">
        <v>430</v>
      </c>
      <c r="CR530" t="s">
        <v>3033</v>
      </c>
      <c r="CS530" t="s">
        <v>431</v>
      </c>
      <c r="CT530" t="s">
        <v>430</v>
      </c>
      <c r="CU530" t="s">
        <v>3034</v>
      </c>
      <c r="CV530" t="s">
        <v>432</v>
      </c>
      <c r="CW530" t="s">
        <v>3033</v>
      </c>
      <c r="CX530" t="s">
        <v>2848</v>
      </c>
      <c r="CY530" t="s">
        <v>3665</v>
      </c>
    </row>
    <row r="531" spans="1:103" ht="11.25" customHeight="1">
      <c r="A531" t="s">
        <v>243</v>
      </c>
      <c r="B531" t="s">
        <v>243</v>
      </c>
      <c r="C531" t="s">
        <v>243</v>
      </c>
      <c r="D531" t="s">
        <v>243</v>
      </c>
      <c r="E531" t="s">
        <v>243</v>
      </c>
      <c r="F531" t="s">
        <v>2816</v>
      </c>
      <c r="G531" t="s">
        <v>243</v>
      </c>
      <c r="H531" t="s">
        <v>243</v>
      </c>
      <c r="I531" t="s">
        <v>3355</v>
      </c>
      <c r="J531" t="s">
        <v>243</v>
      </c>
      <c r="K531" t="s">
        <v>428</v>
      </c>
      <c r="L531" t="s">
        <v>243</v>
      </c>
      <c r="M531" t="s">
        <v>114</v>
      </c>
      <c r="N531" t="s">
        <v>243</v>
      </c>
      <c r="O531" t="s">
        <v>3356</v>
      </c>
      <c r="P531" t="s">
        <v>4448</v>
      </c>
      <c r="Q531" t="s">
        <v>2821</v>
      </c>
      <c r="R531" t="s">
        <v>190</v>
      </c>
      <c r="S531" t="s">
        <v>190</v>
      </c>
      <c r="T531" t="s">
        <v>405</v>
      </c>
      <c r="U531" t="s">
        <v>405</v>
      </c>
      <c r="V531" t="s">
        <v>406</v>
      </c>
      <c r="W531" t="s">
        <v>3155</v>
      </c>
      <c r="X531" t="s">
        <v>3156</v>
      </c>
      <c r="Y531" t="s">
        <v>3357</v>
      </c>
      <c r="Z531" t="s">
        <v>3358</v>
      </c>
      <c r="AA531" t="s">
        <v>3359</v>
      </c>
      <c r="AB531" t="s">
        <v>3111</v>
      </c>
      <c r="AC531" t="s">
        <v>3160</v>
      </c>
      <c r="AD531" t="s">
        <v>2883</v>
      </c>
      <c r="AE531" t="s">
        <v>2831</v>
      </c>
      <c r="AF531" t="s">
        <v>3161</v>
      </c>
      <c r="AG531" t="s">
        <v>3162</v>
      </c>
      <c r="AH531" t="s">
        <v>2834</v>
      </c>
      <c r="AI531" t="s">
        <v>2835</v>
      </c>
      <c r="AJ531" t="s">
        <v>2829</v>
      </c>
      <c r="AK531" t="s">
        <v>3360</v>
      </c>
      <c r="AL531" t="s">
        <v>243</v>
      </c>
      <c r="AM531" t="s">
        <v>243</v>
      </c>
      <c r="AN531" t="s">
        <v>243</v>
      </c>
      <c r="AR531" t="s">
        <v>243</v>
      </c>
      <c r="AS531" t="s">
        <v>243</v>
      </c>
      <c r="AT531" t="s">
        <v>243</v>
      </c>
      <c r="AU531" t="s">
        <v>243</v>
      </c>
      <c r="AV531" t="s">
        <v>243</v>
      </c>
      <c r="AW531" t="s">
        <v>243</v>
      </c>
      <c r="AX531" t="s">
        <v>243</v>
      </c>
      <c r="AY531" t="s">
        <v>243</v>
      </c>
      <c r="AZ531" t="s">
        <v>243</v>
      </c>
      <c r="BA531" t="s">
        <v>243</v>
      </c>
      <c r="BB531" t="s">
        <v>243</v>
      </c>
      <c r="BC531" t="s">
        <v>243</v>
      </c>
      <c r="BD531" t="s">
        <v>243</v>
      </c>
      <c r="BE531" t="s">
        <v>243</v>
      </c>
      <c r="BF531" t="s">
        <v>243</v>
      </c>
      <c r="BG531" t="s">
        <v>243</v>
      </c>
      <c r="BH531" t="s">
        <v>243</v>
      </c>
      <c r="BI531" t="s">
        <v>243</v>
      </c>
      <c r="BJ531" t="s">
        <v>243</v>
      </c>
      <c r="BK531" t="s">
        <v>243</v>
      </c>
      <c r="BL531" t="s">
        <v>243</v>
      </c>
      <c r="BM531" t="s">
        <v>243</v>
      </c>
      <c r="BN531" t="s">
        <v>243</v>
      </c>
      <c r="BO531" t="s">
        <v>243</v>
      </c>
      <c r="BP531" t="s">
        <v>243</v>
      </c>
      <c r="BQ531" t="s">
        <v>243</v>
      </c>
      <c r="BR531" t="s">
        <v>243</v>
      </c>
      <c r="BS531" t="s">
        <v>243</v>
      </c>
      <c r="BT531" t="s">
        <v>243</v>
      </c>
      <c r="BU531" t="s">
        <v>243</v>
      </c>
      <c r="BV531" t="s">
        <v>243</v>
      </c>
      <c r="BW531" t="s">
        <v>243</v>
      </c>
      <c r="BX531" t="s">
        <v>243</v>
      </c>
      <c r="BY531" t="s">
        <v>243</v>
      </c>
      <c r="BZ531" t="s">
        <v>243</v>
      </c>
      <c r="CA531" t="s">
        <v>243</v>
      </c>
      <c r="CB531" t="s">
        <v>243</v>
      </c>
      <c r="CC531" t="s">
        <v>243</v>
      </c>
      <c r="CD531" t="s">
        <v>243</v>
      </c>
      <c r="CE531" t="s">
        <v>243</v>
      </c>
      <c r="CF531" t="s">
        <v>243</v>
      </c>
      <c r="CG531" t="s">
        <v>243</v>
      </c>
      <c r="CH531" t="s">
        <v>243</v>
      </c>
      <c r="CI531" t="s">
        <v>243</v>
      </c>
      <c r="CJ531" t="s">
        <v>243</v>
      </c>
      <c r="CK531" t="s">
        <v>243</v>
      </c>
      <c r="CL531" t="s">
        <v>243</v>
      </c>
      <c r="CM531" t="s">
        <v>243</v>
      </c>
      <c r="CN531" t="s">
        <v>243</v>
      </c>
      <c r="CO531" t="s">
        <v>2843</v>
      </c>
      <c r="CP531" t="s">
        <v>2844</v>
      </c>
      <c r="CQ531" t="s">
        <v>430</v>
      </c>
      <c r="CR531" t="s">
        <v>3361</v>
      </c>
      <c r="CS531" t="s">
        <v>431</v>
      </c>
      <c r="CT531" t="s">
        <v>430</v>
      </c>
      <c r="CU531" t="s">
        <v>268</v>
      </c>
      <c r="CV531" t="s">
        <v>432</v>
      </c>
      <c r="CW531" t="s">
        <v>3361</v>
      </c>
      <c r="CX531" t="s">
        <v>2848</v>
      </c>
      <c r="CY531" t="s">
        <v>429</v>
      </c>
    </row>
    <row r="532" spans="1:103" ht="11.25" customHeight="1">
      <c r="A532" t="s">
        <v>243</v>
      </c>
      <c r="B532" t="s">
        <v>243</v>
      </c>
      <c r="C532" t="s">
        <v>243</v>
      </c>
      <c r="D532" t="s">
        <v>243</v>
      </c>
      <c r="E532" t="s">
        <v>243</v>
      </c>
      <c r="F532" t="s">
        <v>2816</v>
      </c>
      <c r="G532" t="s">
        <v>243</v>
      </c>
      <c r="H532" t="s">
        <v>243</v>
      </c>
      <c r="I532" t="s">
        <v>3075</v>
      </c>
      <c r="J532" t="s">
        <v>243</v>
      </c>
      <c r="K532" t="s">
        <v>3076</v>
      </c>
      <c r="L532" t="s">
        <v>243</v>
      </c>
      <c r="M532" t="s">
        <v>114</v>
      </c>
      <c r="N532" t="s">
        <v>243</v>
      </c>
      <c r="O532" t="s">
        <v>2819</v>
      </c>
      <c r="P532" t="s">
        <v>4448</v>
      </c>
      <c r="Q532" t="s">
        <v>2821</v>
      </c>
      <c r="R532" t="s">
        <v>200</v>
      </c>
      <c r="S532" t="s">
        <v>200</v>
      </c>
      <c r="T532" t="s">
        <v>3048</v>
      </c>
      <c r="U532" t="s">
        <v>3048</v>
      </c>
      <c r="V532" t="s">
        <v>3049</v>
      </c>
      <c r="W532" t="s">
        <v>3050</v>
      </c>
      <c r="X532" t="s">
        <v>3051</v>
      </c>
      <c r="Y532" t="s">
        <v>3077</v>
      </c>
      <c r="Z532" t="s">
        <v>2848</v>
      </c>
      <c r="AA532" t="s">
        <v>3078</v>
      </c>
      <c r="AB532" t="s">
        <v>3079</v>
      </c>
      <c r="AC532" t="s">
        <v>2829</v>
      </c>
      <c r="AD532" t="s">
        <v>2883</v>
      </c>
      <c r="AE532" t="s">
        <v>2831</v>
      </c>
      <c r="AF532" t="s">
        <v>3055</v>
      </c>
      <c r="AG532" t="s">
        <v>3055</v>
      </c>
      <c r="AH532" t="s">
        <v>2834</v>
      </c>
      <c r="AI532" t="s">
        <v>2835</v>
      </c>
      <c r="AJ532" t="s">
        <v>2888</v>
      </c>
      <c r="AK532" t="s">
        <v>3080</v>
      </c>
      <c r="AL532" t="s">
        <v>3078</v>
      </c>
      <c r="AM532" t="s">
        <v>3079</v>
      </c>
      <c r="AN532" t="s">
        <v>243</v>
      </c>
      <c r="AO532" t="s">
        <v>3081</v>
      </c>
      <c r="AP532" t="s">
        <v>2840</v>
      </c>
      <c r="AQ532" t="s">
        <v>2841</v>
      </c>
      <c r="AR532" t="s">
        <v>3082</v>
      </c>
      <c r="AS532" t="s">
        <v>3082</v>
      </c>
      <c r="AT532" t="s">
        <v>2829</v>
      </c>
      <c r="AU532" t="s">
        <v>2829</v>
      </c>
      <c r="AV532" t="s">
        <v>2829</v>
      </c>
      <c r="AW532" t="s">
        <v>2829</v>
      </c>
      <c r="AX532" t="s">
        <v>2829</v>
      </c>
      <c r="AY532" t="s">
        <v>2829</v>
      </c>
      <c r="AZ532" t="s">
        <v>2829</v>
      </c>
      <c r="BA532" t="s">
        <v>2829</v>
      </c>
      <c r="BB532" t="s">
        <v>2829</v>
      </c>
      <c r="BC532" t="s">
        <v>2829</v>
      </c>
      <c r="BD532" t="s">
        <v>3082</v>
      </c>
      <c r="BE532" t="s">
        <v>3082</v>
      </c>
      <c r="BF532" t="s">
        <v>243</v>
      </c>
      <c r="BG532" t="s">
        <v>243</v>
      </c>
      <c r="BH532" t="s">
        <v>243</v>
      </c>
      <c r="BI532" t="s">
        <v>243</v>
      </c>
      <c r="BJ532" t="s">
        <v>2829</v>
      </c>
      <c r="BK532" t="s">
        <v>243</v>
      </c>
      <c r="BL532" t="s">
        <v>243</v>
      </c>
      <c r="BM532" t="s">
        <v>243</v>
      </c>
      <c r="BN532" t="s">
        <v>243</v>
      </c>
      <c r="BO532" t="s">
        <v>243</v>
      </c>
      <c r="BP532" t="s">
        <v>2829</v>
      </c>
      <c r="BQ532" t="s">
        <v>243</v>
      </c>
      <c r="BR532" t="s">
        <v>243</v>
      </c>
      <c r="BS532" t="s">
        <v>243</v>
      </c>
      <c r="BT532" t="s">
        <v>243</v>
      </c>
      <c r="BU532" t="s">
        <v>243</v>
      </c>
      <c r="BV532" t="s">
        <v>2829</v>
      </c>
      <c r="BW532" t="s">
        <v>243</v>
      </c>
      <c r="BX532" t="s">
        <v>243</v>
      </c>
      <c r="BY532" t="s">
        <v>243</v>
      </c>
      <c r="BZ532" t="s">
        <v>243</v>
      </c>
      <c r="CA532" t="s">
        <v>243</v>
      </c>
      <c r="CB532" t="s">
        <v>2829</v>
      </c>
      <c r="CC532" t="s">
        <v>243</v>
      </c>
      <c r="CD532" t="s">
        <v>243</v>
      </c>
      <c r="CE532" t="s">
        <v>243</v>
      </c>
      <c r="CF532" t="s">
        <v>243</v>
      </c>
      <c r="CG532" t="s">
        <v>243</v>
      </c>
      <c r="CH532" t="s">
        <v>2829</v>
      </c>
      <c r="CI532" t="s">
        <v>243</v>
      </c>
      <c r="CJ532" t="s">
        <v>243</v>
      </c>
      <c r="CK532" t="s">
        <v>243</v>
      </c>
      <c r="CL532" t="s">
        <v>243</v>
      </c>
      <c r="CM532" t="s">
        <v>243</v>
      </c>
      <c r="CN532" t="s">
        <v>2888</v>
      </c>
      <c r="CO532" t="s">
        <v>2843</v>
      </c>
      <c r="CP532" t="s">
        <v>2844</v>
      </c>
      <c r="CQ532" t="s">
        <v>470</v>
      </c>
      <c r="CR532" t="s">
        <v>2872</v>
      </c>
      <c r="CS532" t="s">
        <v>431</v>
      </c>
      <c r="CT532" t="s">
        <v>470</v>
      </c>
      <c r="CU532" t="s">
        <v>3061</v>
      </c>
      <c r="CV532" t="s">
        <v>3062</v>
      </c>
      <c r="CW532" t="s">
        <v>2872</v>
      </c>
      <c r="CX532" t="s">
        <v>2848</v>
      </c>
      <c r="CY532" t="s">
        <v>3083</v>
      </c>
    </row>
    <row r="533" spans="1:103" ht="11.25" customHeight="1">
      <c r="A533" t="s">
        <v>243</v>
      </c>
      <c r="B533" t="s">
        <v>243</v>
      </c>
      <c r="C533" t="s">
        <v>243</v>
      </c>
      <c r="D533" t="s">
        <v>243</v>
      </c>
      <c r="E533" t="s">
        <v>243</v>
      </c>
      <c r="F533" t="s">
        <v>2816</v>
      </c>
      <c r="G533" t="s">
        <v>243</v>
      </c>
      <c r="H533" t="s">
        <v>243</v>
      </c>
      <c r="I533" t="s">
        <v>4174</v>
      </c>
      <c r="J533" t="s">
        <v>243</v>
      </c>
      <c r="K533" t="s">
        <v>455</v>
      </c>
      <c r="L533" t="s">
        <v>243</v>
      </c>
      <c r="M533" t="s">
        <v>114</v>
      </c>
      <c r="N533" t="s">
        <v>243</v>
      </c>
      <c r="O533" t="s">
        <v>2819</v>
      </c>
      <c r="P533" t="s">
        <v>4448</v>
      </c>
      <c r="Q533" t="s">
        <v>2821</v>
      </c>
      <c r="R533" t="s">
        <v>200</v>
      </c>
      <c r="S533" t="s">
        <v>200</v>
      </c>
      <c r="T533" t="s">
        <v>2822</v>
      </c>
      <c r="U533" t="s">
        <v>2822</v>
      </c>
      <c r="V533" t="s">
        <v>2823</v>
      </c>
      <c r="W533" t="s">
        <v>4175</v>
      </c>
      <c r="X533" t="s">
        <v>4176</v>
      </c>
      <c r="Y533" t="s">
        <v>2864</v>
      </c>
      <c r="Z533" t="s">
        <v>4157</v>
      </c>
      <c r="AA533" t="s">
        <v>2965</v>
      </c>
      <c r="AB533" t="s">
        <v>4177</v>
      </c>
      <c r="AC533" t="s">
        <v>2829</v>
      </c>
      <c r="AD533" t="s">
        <v>2830</v>
      </c>
      <c r="AE533" t="s">
        <v>2831</v>
      </c>
      <c r="AF533" t="s">
        <v>4178</v>
      </c>
      <c r="AG533" t="s">
        <v>4179</v>
      </c>
      <c r="AH533" t="s">
        <v>2834</v>
      </c>
      <c r="AI533" t="s">
        <v>2835</v>
      </c>
      <c r="AJ533" t="s">
        <v>2960</v>
      </c>
      <c r="AK533" t="s">
        <v>3965</v>
      </c>
      <c r="AL533" t="s">
        <v>2965</v>
      </c>
      <c r="AM533" t="s">
        <v>4180</v>
      </c>
      <c r="AN533" t="s">
        <v>2829</v>
      </c>
      <c r="AO533" t="s">
        <v>2839</v>
      </c>
      <c r="AP533" t="s">
        <v>2840</v>
      </c>
      <c r="AQ533" t="s">
        <v>2841</v>
      </c>
      <c r="AR533" t="s">
        <v>4181</v>
      </c>
      <c r="AS533" t="s">
        <v>4181</v>
      </c>
      <c r="AT533" t="s">
        <v>2829</v>
      </c>
      <c r="AU533" t="s">
        <v>2829</v>
      </c>
      <c r="AV533" t="s">
        <v>2829</v>
      </c>
      <c r="AW533" t="s">
        <v>2829</v>
      </c>
      <c r="AX533" t="s">
        <v>2829</v>
      </c>
      <c r="AY533" t="s">
        <v>2829</v>
      </c>
      <c r="AZ533" t="s">
        <v>2829</v>
      </c>
      <c r="BA533" t="s">
        <v>2829</v>
      </c>
      <c r="BB533" t="s">
        <v>2829</v>
      </c>
      <c r="BC533" t="s">
        <v>2829</v>
      </c>
      <c r="BD533" t="s">
        <v>4181</v>
      </c>
      <c r="BE533" t="s">
        <v>4181</v>
      </c>
      <c r="BF533" t="s">
        <v>243</v>
      </c>
      <c r="BG533" t="s">
        <v>243</v>
      </c>
      <c r="BH533" t="s">
        <v>243</v>
      </c>
      <c r="BI533" t="s">
        <v>243</v>
      </c>
      <c r="BJ533" t="s">
        <v>2829</v>
      </c>
      <c r="BK533" t="s">
        <v>243</v>
      </c>
      <c r="BL533" t="s">
        <v>243</v>
      </c>
      <c r="BM533" t="s">
        <v>243</v>
      </c>
      <c r="BN533" t="s">
        <v>243</v>
      </c>
      <c r="BO533" t="s">
        <v>243</v>
      </c>
      <c r="BP533" t="s">
        <v>2829</v>
      </c>
      <c r="BQ533" t="s">
        <v>243</v>
      </c>
      <c r="BR533" t="s">
        <v>243</v>
      </c>
      <c r="BS533" t="s">
        <v>243</v>
      </c>
      <c r="BT533" t="s">
        <v>243</v>
      </c>
      <c r="BU533" t="s">
        <v>243</v>
      </c>
      <c r="BV533" t="s">
        <v>2829</v>
      </c>
      <c r="BW533" t="s">
        <v>243</v>
      </c>
      <c r="BX533" t="s">
        <v>243</v>
      </c>
      <c r="BY533" t="s">
        <v>243</v>
      </c>
      <c r="BZ533" t="s">
        <v>243</v>
      </c>
      <c r="CA533" t="s">
        <v>243</v>
      </c>
      <c r="CB533" t="s">
        <v>2829</v>
      </c>
      <c r="CC533" t="s">
        <v>243</v>
      </c>
      <c r="CD533" t="s">
        <v>243</v>
      </c>
      <c r="CE533" t="s">
        <v>243</v>
      </c>
      <c r="CF533" t="s">
        <v>243</v>
      </c>
      <c r="CG533" t="s">
        <v>243</v>
      </c>
      <c r="CH533" t="s">
        <v>2829</v>
      </c>
      <c r="CI533" t="s">
        <v>243</v>
      </c>
      <c r="CJ533" t="s">
        <v>243</v>
      </c>
      <c r="CK533" t="s">
        <v>243</v>
      </c>
      <c r="CL533" t="s">
        <v>243</v>
      </c>
      <c r="CM533" t="s">
        <v>243</v>
      </c>
      <c r="CN533" t="s">
        <v>2960</v>
      </c>
      <c r="CO533" t="s">
        <v>2843</v>
      </c>
      <c r="CP533" t="s">
        <v>2844</v>
      </c>
      <c r="CQ533" t="s">
        <v>430</v>
      </c>
      <c r="CR533" t="s">
        <v>2845</v>
      </c>
      <c r="CS533" t="s">
        <v>431</v>
      </c>
      <c r="CT533" t="s">
        <v>430</v>
      </c>
      <c r="CU533" t="s">
        <v>2846</v>
      </c>
      <c r="CV533" t="s">
        <v>2847</v>
      </c>
      <c r="CW533" t="s">
        <v>2845</v>
      </c>
      <c r="CX533" t="s">
        <v>2848</v>
      </c>
      <c r="CY533" t="s">
        <v>4182</v>
      </c>
    </row>
    <row r="534" spans="1:103" ht="11.25" customHeight="1">
      <c r="A534" t="s">
        <v>243</v>
      </c>
      <c r="B534" t="s">
        <v>243</v>
      </c>
      <c r="C534" t="s">
        <v>243</v>
      </c>
      <c r="D534" t="s">
        <v>243</v>
      </c>
      <c r="E534" t="s">
        <v>243</v>
      </c>
      <c r="F534" t="s">
        <v>2816</v>
      </c>
      <c r="G534" t="s">
        <v>243</v>
      </c>
      <c r="H534" t="s">
        <v>243</v>
      </c>
      <c r="I534" t="s">
        <v>3817</v>
      </c>
      <c r="J534" t="s">
        <v>243</v>
      </c>
      <c r="K534" t="s">
        <v>458</v>
      </c>
      <c r="L534" t="s">
        <v>243</v>
      </c>
      <c r="M534" t="s">
        <v>114</v>
      </c>
      <c r="N534" t="s">
        <v>243</v>
      </c>
      <c r="O534" t="s">
        <v>2819</v>
      </c>
      <c r="P534" t="s">
        <v>4448</v>
      </c>
      <c r="Q534" t="s">
        <v>2821</v>
      </c>
      <c r="R534" t="s">
        <v>200</v>
      </c>
      <c r="S534" t="s">
        <v>200</v>
      </c>
      <c r="T534" t="s">
        <v>2822</v>
      </c>
      <c r="U534" t="s">
        <v>2822</v>
      </c>
      <c r="V534" t="s">
        <v>2823</v>
      </c>
      <c r="W534" t="s">
        <v>3818</v>
      </c>
      <c r="X534" t="s">
        <v>3819</v>
      </c>
      <c r="Y534" t="s">
        <v>3610</v>
      </c>
      <c r="Z534" t="s">
        <v>3820</v>
      </c>
      <c r="AA534" t="s">
        <v>3484</v>
      </c>
      <c r="AB534" t="s">
        <v>2907</v>
      </c>
      <c r="AC534" t="s">
        <v>2829</v>
      </c>
      <c r="AD534" t="s">
        <v>2830</v>
      </c>
      <c r="AE534" t="s">
        <v>2831</v>
      </c>
      <c r="AF534" t="s">
        <v>3821</v>
      </c>
      <c r="AG534" t="s">
        <v>3822</v>
      </c>
      <c r="AH534" t="s">
        <v>2834</v>
      </c>
      <c r="AI534" t="s">
        <v>2835</v>
      </c>
      <c r="AJ534" t="s">
        <v>2960</v>
      </c>
      <c r="AK534" t="s">
        <v>3823</v>
      </c>
      <c r="AL534" t="s">
        <v>3484</v>
      </c>
      <c r="AM534" t="s">
        <v>2907</v>
      </c>
      <c r="AN534" t="s">
        <v>2829</v>
      </c>
      <c r="AO534" t="s">
        <v>2839</v>
      </c>
      <c r="AP534" t="s">
        <v>2840</v>
      </c>
      <c r="AQ534" t="s">
        <v>2841</v>
      </c>
      <c r="AR534" t="s">
        <v>3824</v>
      </c>
      <c r="AS534" t="s">
        <v>3824</v>
      </c>
      <c r="AT534" t="s">
        <v>2829</v>
      </c>
      <c r="AU534" t="s">
        <v>2829</v>
      </c>
      <c r="AV534" t="s">
        <v>2829</v>
      </c>
      <c r="AW534" t="s">
        <v>2829</v>
      </c>
      <c r="AX534" t="s">
        <v>2829</v>
      </c>
      <c r="AY534" t="s">
        <v>2829</v>
      </c>
      <c r="AZ534" t="s">
        <v>2829</v>
      </c>
      <c r="BA534" t="s">
        <v>2829</v>
      </c>
      <c r="BB534" t="s">
        <v>2829</v>
      </c>
      <c r="BC534" t="s">
        <v>2829</v>
      </c>
      <c r="BD534" t="s">
        <v>2842</v>
      </c>
      <c r="BE534" t="s">
        <v>2842</v>
      </c>
      <c r="BF534" t="s">
        <v>243</v>
      </c>
      <c r="BG534" t="s">
        <v>243</v>
      </c>
      <c r="BH534" t="s">
        <v>243</v>
      </c>
      <c r="BI534" t="s">
        <v>243</v>
      </c>
      <c r="BJ534" t="s">
        <v>2829</v>
      </c>
      <c r="BK534" t="s">
        <v>243</v>
      </c>
      <c r="BL534" t="s">
        <v>243</v>
      </c>
      <c r="BM534" t="s">
        <v>243</v>
      </c>
      <c r="BN534" t="s">
        <v>243</v>
      </c>
      <c r="BO534" t="s">
        <v>243</v>
      </c>
      <c r="BP534" t="s">
        <v>2829</v>
      </c>
      <c r="BQ534" t="s">
        <v>243</v>
      </c>
      <c r="BR534" t="s">
        <v>243</v>
      </c>
      <c r="BS534" t="s">
        <v>243</v>
      </c>
      <c r="BT534" t="s">
        <v>243</v>
      </c>
      <c r="BU534" t="s">
        <v>243</v>
      </c>
      <c r="BV534" t="s">
        <v>2829</v>
      </c>
      <c r="BW534" t="s">
        <v>243</v>
      </c>
      <c r="BX534" t="s">
        <v>243</v>
      </c>
      <c r="BY534" t="s">
        <v>243</v>
      </c>
      <c r="BZ534" t="s">
        <v>243</v>
      </c>
      <c r="CA534" t="s">
        <v>243</v>
      </c>
      <c r="CB534" t="s">
        <v>3825</v>
      </c>
      <c r="CC534" t="s">
        <v>3825</v>
      </c>
      <c r="CD534" t="s">
        <v>243</v>
      </c>
      <c r="CE534" t="s">
        <v>243</v>
      </c>
      <c r="CF534" t="s">
        <v>243</v>
      </c>
      <c r="CG534" t="s">
        <v>243</v>
      </c>
      <c r="CH534" t="s">
        <v>2829</v>
      </c>
      <c r="CI534" t="s">
        <v>243</v>
      </c>
      <c r="CJ534" t="s">
        <v>243</v>
      </c>
      <c r="CK534" t="s">
        <v>243</v>
      </c>
      <c r="CL534" t="s">
        <v>243</v>
      </c>
      <c r="CM534" t="s">
        <v>243</v>
      </c>
      <c r="CN534" t="s">
        <v>2960</v>
      </c>
      <c r="CO534" t="s">
        <v>2843</v>
      </c>
      <c r="CP534" t="s">
        <v>2844</v>
      </c>
      <c r="CQ534" t="s">
        <v>430</v>
      </c>
      <c r="CR534" t="s">
        <v>2845</v>
      </c>
      <c r="CS534" t="s">
        <v>431</v>
      </c>
      <c r="CT534" t="s">
        <v>430</v>
      </c>
      <c r="CU534" t="s">
        <v>2846</v>
      </c>
      <c r="CV534" t="s">
        <v>2847</v>
      </c>
      <c r="CW534" t="s">
        <v>2845</v>
      </c>
      <c r="CX534" t="s">
        <v>2848</v>
      </c>
      <c r="CY534" t="s">
        <v>3826</v>
      </c>
    </row>
    <row r="535" spans="1:103" ht="11.25" customHeight="1">
      <c r="A535" t="s">
        <v>243</v>
      </c>
      <c r="B535" t="s">
        <v>243</v>
      </c>
      <c r="C535" t="s">
        <v>243</v>
      </c>
      <c r="D535" t="s">
        <v>243</v>
      </c>
      <c r="E535" t="s">
        <v>243</v>
      </c>
      <c r="F535" t="s">
        <v>2816</v>
      </c>
      <c r="G535" t="s">
        <v>243</v>
      </c>
      <c r="H535" t="s">
        <v>243</v>
      </c>
      <c r="I535" t="s">
        <v>4319</v>
      </c>
      <c r="J535" t="s">
        <v>243</v>
      </c>
      <c r="K535" t="s">
        <v>2818</v>
      </c>
      <c r="L535" t="s">
        <v>243</v>
      </c>
      <c r="M535" t="s">
        <v>114</v>
      </c>
      <c r="N535" t="s">
        <v>243</v>
      </c>
      <c r="O535" t="s">
        <v>2819</v>
      </c>
      <c r="P535" t="s">
        <v>4448</v>
      </c>
      <c r="Q535" t="s">
        <v>2821</v>
      </c>
      <c r="R535" t="s">
        <v>200</v>
      </c>
      <c r="S535" t="s">
        <v>200</v>
      </c>
      <c r="T535" t="s">
        <v>2822</v>
      </c>
      <c r="U535" t="s">
        <v>2822</v>
      </c>
      <c r="V535" t="s">
        <v>2823</v>
      </c>
      <c r="W535" t="s">
        <v>4320</v>
      </c>
      <c r="X535" t="s">
        <v>4321</v>
      </c>
      <c r="Y535" t="s">
        <v>2826</v>
      </c>
      <c r="Z535" t="s">
        <v>440</v>
      </c>
      <c r="AA535" t="s">
        <v>4322</v>
      </c>
      <c r="AB535" t="s">
        <v>4323</v>
      </c>
      <c r="AC535" t="s">
        <v>2829</v>
      </c>
      <c r="AD535" t="s">
        <v>2830</v>
      </c>
      <c r="AE535" t="s">
        <v>2857</v>
      </c>
      <c r="AF535" t="s">
        <v>4324</v>
      </c>
      <c r="AG535" t="s">
        <v>4324</v>
      </c>
      <c r="AH535" t="s">
        <v>2834</v>
      </c>
      <c r="AI535" t="s">
        <v>2835</v>
      </c>
      <c r="AJ535" t="s">
        <v>2829</v>
      </c>
      <c r="AK535" t="s">
        <v>2868</v>
      </c>
      <c r="AL535" t="s">
        <v>4322</v>
      </c>
      <c r="AM535" t="s">
        <v>3183</v>
      </c>
      <c r="AN535" t="s">
        <v>2829</v>
      </c>
      <c r="AO535" t="s">
        <v>2839</v>
      </c>
      <c r="AP535" t="s">
        <v>2840</v>
      </c>
      <c r="AQ535" t="s">
        <v>2841</v>
      </c>
      <c r="AR535" t="s">
        <v>4325</v>
      </c>
      <c r="AS535" t="s">
        <v>4325</v>
      </c>
      <c r="AT535" t="s">
        <v>2829</v>
      </c>
      <c r="AU535" t="s">
        <v>2829</v>
      </c>
      <c r="AV535" t="s">
        <v>2829</v>
      </c>
      <c r="AW535" t="s">
        <v>2829</v>
      </c>
      <c r="AX535" t="s">
        <v>2829</v>
      </c>
      <c r="AY535" t="s">
        <v>2829</v>
      </c>
      <c r="AZ535" t="s">
        <v>2829</v>
      </c>
      <c r="BA535" t="s">
        <v>2829</v>
      </c>
      <c r="BB535" t="s">
        <v>2829</v>
      </c>
      <c r="BC535" t="s">
        <v>2829</v>
      </c>
      <c r="BD535" t="s">
        <v>4325</v>
      </c>
      <c r="BE535" t="s">
        <v>4325</v>
      </c>
      <c r="BF535" t="s">
        <v>243</v>
      </c>
      <c r="BG535" t="s">
        <v>243</v>
      </c>
      <c r="BH535" t="s">
        <v>243</v>
      </c>
      <c r="BI535" t="s">
        <v>243</v>
      </c>
      <c r="BJ535" t="s">
        <v>2829</v>
      </c>
      <c r="BK535" t="s">
        <v>243</v>
      </c>
      <c r="BL535" t="s">
        <v>243</v>
      </c>
      <c r="BM535" t="s">
        <v>243</v>
      </c>
      <c r="BN535" t="s">
        <v>243</v>
      </c>
      <c r="BO535" t="s">
        <v>243</v>
      </c>
      <c r="BP535" t="s">
        <v>2829</v>
      </c>
      <c r="BQ535" t="s">
        <v>243</v>
      </c>
      <c r="BR535" t="s">
        <v>243</v>
      </c>
      <c r="BS535" t="s">
        <v>243</v>
      </c>
      <c r="BT535" t="s">
        <v>243</v>
      </c>
      <c r="BU535" t="s">
        <v>243</v>
      </c>
      <c r="BV535" t="s">
        <v>2829</v>
      </c>
      <c r="BW535" t="s">
        <v>243</v>
      </c>
      <c r="BX535" t="s">
        <v>243</v>
      </c>
      <c r="BY535" t="s">
        <v>243</v>
      </c>
      <c r="BZ535" t="s">
        <v>243</v>
      </c>
      <c r="CA535" t="s">
        <v>243</v>
      </c>
      <c r="CB535" t="s">
        <v>2829</v>
      </c>
      <c r="CC535" t="s">
        <v>243</v>
      </c>
      <c r="CD535" t="s">
        <v>243</v>
      </c>
      <c r="CE535" t="s">
        <v>243</v>
      </c>
      <c r="CF535" t="s">
        <v>243</v>
      </c>
      <c r="CG535" t="s">
        <v>243</v>
      </c>
      <c r="CH535" t="s">
        <v>2829</v>
      </c>
      <c r="CI535" t="s">
        <v>243</v>
      </c>
      <c r="CJ535" t="s">
        <v>243</v>
      </c>
      <c r="CK535" t="s">
        <v>243</v>
      </c>
      <c r="CL535" t="s">
        <v>243</v>
      </c>
      <c r="CM535" t="s">
        <v>243</v>
      </c>
      <c r="CN535" t="s">
        <v>2829</v>
      </c>
      <c r="CO535" t="s">
        <v>2843</v>
      </c>
      <c r="CP535" t="s">
        <v>2844</v>
      </c>
      <c r="CQ535" t="s">
        <v>430</v>
      </c>
      <c r="CR535" t="s">
        <v>2872</v>
      </c>
      <c r="CS535" t="s">
        <v>431</v>
      </c>
      <c r="CT535" t="s">
        <v>430</v>
      </c>
      <c r="CU535" t="s">
        <v>2846</v>
      </c>
      <c r="CV535" t="s">
        <v>2873</v>
      </c>
      <c r="CW535" t="s">
        <v>2872</v>
      </c>
      <c r="CX535" t="s">
        <v>2848</v>
      </c>
      <c r="CY535" t="s">
        <v>4326</v>
      </c>
    </row>
    <row r="536" spans="1:103" ht="11.25" customHeight="1">
      <c r="A536" t="s">
        <v>243</v>
      </c>
      <c r="B536" t="s">
        <v>243</v>
      </c>
      <c r="C536" t="s">
        <v>243</v>
      </c>
      <c r="D536" t="s">
        <v>243</v>
      </c>
      <c r="E536" t="s">
        <v>243</v>
      </c>
      <c r="F536" t="s">
        <v>2816</v>
      </c>
      <c r="G536" t="s">
        <v>243</v>
      </c>
      <c r="H536" t="s">
        <v>243</v>
      </c>
      <c r="I536" t="s">
        <v>3891</v>
      </c>
      <c r="J536" t="s">
        <v>243</v>
      </c>
      <c r="K536" t="s">
        <v>3892</v>
      </c>
      <c r="L536" t="s">
        <v>243</v>
      </c>
      <c r="M536" t="s">
        <v>114</v>
      </c>
      <c r="N536" t="s">
        <v>243</v>
      </c>
      <c r="O536" t="s">
        <v>2819</v>
      </c>
      <c r="P536" t="s">
        <v>4448</v>
      </c>
      <c r="Q536" t="s">
        <v>2821</v>
      </c>
      <c r="R536" t="s">
        <v>200</v>
      </c>
      <c r="S536" t="s">
        <v>200</v>
      </c>
      <c r="T536" t="s">
        <v>2933</v>
      </c>
      <c r="U536" t="s">
        <v>2933</v>
      </c>
      <c r="V536" t="s">
        <v>2934</v>
      </c>
      <c r="W536" t="s">
        <v>2935</v>
      </c>
      <c r="X536" t="s">
        <v>2936</v>
      </c>
      <c r="Y536" t="s">
        <v>3893</v>
      </c>
      <c r="Z536" t="s">
        <v>3894</v>
      </c>
      <c r="AA536" t="s">
        <v>2904</v>
      </c>
      <c r="AB536" t="s">
        <v>3073</v>
      </c>
      <c r="AC536" t="s">
        <v>2829</v>
      </c>
      <c r="AD536" t="s">
        <v>2883</v>
      </c>
      <c r="AE536" t="s">
        <v>2831</v>
      </c>
      <c r="AF536" t="s">
        <v>3895</v>
      </c>
      <c r="AG536" t="s">
        <v>3895</v>
      </c>
      <c r="AH536" t="s">
        <v>2834</v>
      </c>
      <c r="AI536" t="s">
        <v>2835</v>
      </c>
      <c r="AJ536" t="s">
        <v>3030</v>
      </c>
      <c r="AK536" t="s">
        <v>3896</v>
      </c>
      <c r="AL536" t="s">
        <v>2904</v>
      </c>
      <c r="AM536" t="s">
        <v>3073</v>
      </c>
      <c r="AN536" t="s">
        <v>243</v>
      </c>
      <c r="AO536" t="s">
        <v>2839</v>
      </c>
      <c r="AP536" t="s">
        <v>2840</v>
      </c>
      <c r="AQ536" t="s">
        <v>2841</v>
      </c>
      <c r="AR536" t="s">
        <v>3897</v>
      </c>
      <c r="AS536" t="s">
        <v>3897</v>
      </c>
      <c r="AT536" t="s">
        <v>2829</v>
      </c>
      <c r="AU536" t="s">
        <v>2829</v>
      </c>
      <c r="AV536" t="s">
        <v>2829</v>
      </c>
      <c r="AW536" t="s">
        <v>2829</v>
      </c>
      <c r="AX536" t="s">
        <v>2829</v>
      </c>
      <c r="AY536" t="s">
        <v>2829</v>
      </c>
      <c r="AZ536" t="s">
        <v>2829</v>
      </c>
      <c r="BA536" t="s">
        <v>2829</v>
      </c>
      <c r="BB536" t="s">
        <v>2829</v>
      </c>
      <c r="BC536" t="s">
        <v>2829</v>
      </c>
      <c r="BD536" t="s">
        <v>3898</v>
      </c>
      <c r="BE536" t="s">
        <v>3898</v>
      </c>
      <c r="BF536" t="s">
        <v>243</v>
      </c>
      <c r="BG536" t="s">
        <v>243</v>
      </c>
      <c r="BH536" t="s">
        <v>243</v>
      </c>
      <c r="BI536" t="s">
        <v>243</v>
      </c>
      <c r="BJ536" t="s">
        <v>2829</v>
      </c>
      <c r="BK536" t="s">
        <v>243</v>
      </c>
      <c r="BL536" t="s">
        <v>243</v>
      </c>
      <c r="BM536" t="s">
        <v>243</v>
      </c>
      <c r="BN536" t="s">
        <v>243</v>
      </c>
      <c r="BO536" t="s">
        <v>243</v>
      </c>
      <c r="BP536" t="s">
        <v>2920</v>
      </c>
      <c r="BQ536" t="s">
        <v>2920</v>
      </c>
      <c r="BR536" t="s">
        <v>243</v>
      </c>
      <c r="BS536" t="s">
        <v>243</v>
      </c>
      <c r="BT536" t="s">
        <v>243</v>
      </c>
      <c r="BU536" t="s">
        <v>243</v>
      </c>
      <c r="BV536" t="s">
        <v>2829</v>
      </c>
      <c r="BW536" t="s">
        <v>243</v>
      </c>
      <c r="BX536" t="s">
        <v>243</v>
      </c>
      <c r="BY536" t="s">
        <v>243</v>
      </c>
      <c r="BZ536" t="s">
        <v>243</v>
      </c>
      <c r="CA536" t="s">
        <v>243</v>
      </c>
      <c r="CB536" t="s">
        <v>2829</v>
      </c>
      <c r="CC536" t="s">
        <v>243</v>
      </c>
      <c r="CD536" t="s">
        <v>243</v>
      </c>
      <c r="CE536" t="s">
        <v>243</v>
      </c>
      <c r="CF536" t="s">
        <v>243</v>
      </c>
      <c r="CG536" t="s">
        <v>243</v>
      </c>
      <c r="CH536" t="s">
        <v>2829</v>
      </c>
      <c r="CI536" t="s">
        <v>243</v>
      </c>
      <c r="CJ536" t="s">
        <v>243</v>
      </c>
      <c r="CK536" t="s">
        <v>243</v>
      </c>
      <c r="CL536" t="s">
        <v>243</v>
      </c>
      <c r="CM536" t="s">
        <v>243</v>
      </c>
      <c r="CN536" t="s">
        <v>3030</v>
      </c>
      <c r="CO536" t="s">
        <v>2843</v>
      </c>
      <c r="CP536" t="s">
        <v>2844</v>
      </c>
      <c r="CQ536" t="s">
        <v>430</v>
      </c>
      <c r="CR536" t="s">
        <v>2947</v>
      </c>
      <c r="CS536" t="s">
        <v>431</v>
      </c>
      <c r="CT536" t="s">
        <v>430</v>
      </c>
      <c r="CU536" t="s">
        <v>2948</v>
      </c>
      <c r="CV536" t="s">
        <v>2949</v>
      </c>
      <c r="CW536" t="s">
        <v>2947</v>
      </c>
      <c r="CX536" t="s">
        <v>2848</v>
      </c>
      <c r="CY536" t="s">
        <v>3899</v>
      </c>
    </row>
    <row r="537" spans="1:103" ht="11.25" customHeight="1">
      <c r="A537" t="s">
        <v>243</v>
      </c>
      <c r="B537" t="s">
        <v>243</v>
      </c>
      <c r="C537" t="s">
        <v>243</v>
      </c>
      <c r="D537" t="s">
        <v>243</v>
      </c>
      <c r="E537" t="s">
        <v>243</v>
      </c>
      <c r="F537" t="s">
        <v>2816</v>
      </c>
      <c r="G537" t="s">
        <v>243</v>
      </c>
      <c r="H537" t="s">
        <v>243</v>
      </c>
      <c r="I537" t="s">
        <v>4423</v>
      </c>
      <c r="J537" t="s">
        <v>243</v>
      </c>
      <c r="K537" t="s">
        <v>4424</v>
      </c>
      <c r="L537" t="s">
        <v>243</v>
      </c>
      <c r="M537" t="s">
        <v>114</v>
      </c>
      <c r="N537" t="s">
        <v>243</v>
      </c>
      <c r="O537" t="s">
        <v>2819</v>
      </c>
      <c r="P537" t="s">
        <v>4448</v>
      </c>
      <c r="Q537" t="s">
        <v>2821</v>
      </c>
      <c r="R537" t="s">
        <v>200</v>
      </c>
      <c r="S537" t="s">
        <v>200</v>
      </c>
      <c r="T537" t="s">
        <v>2968</v>
      </c>
      <c r="U537" t="s">
        <v>2968</v>
      </c>
      <c r="V537" t="s">
        <v>2969</v>
      </c>
      <c r="W537" t="s">
        <v>3508</v>
      </c>
      <c r="X537" t="s">
        <v>3509</v>
      </c>
      <c r="Y537" t="s">
        <v>3610</v>
      </c>
      <c r="Z537" t="s">
        <v>4425</v>
      </c>
      <c r="AA537" t="s">
        <v>3664</v>
      </c>
      <c r="AB537" t="s">
        <v>4426</v>
      </c>
      <c r="AC537" t="s">
        <v>2829</v>
      </c>
      <c r="AD537" t="s">
        <v>2883</v>
      </c>
      <c r="AE537" t="s">
        <v>2975</v>
      </c>
      <c r="AF537" t="s">
        <v>4427</v>
      </c>
      <c r="AG537" t="s">
        <v>4427</v>
      </c>
      <c r="AH537" t="s">
        <v>2834</v>
      </c>
      <c r="AI537" t="s">
        <v>2835</v>
      </c>
      <c r="AJ537" t="s">
        <v>2983</v>
      </c>
      <c r="AK537" t="s">
        <v>2978</v>
      </c>
      <c r="AL537" t="s">
        <v>3664</v>
      </c>
      <c r="AM537" t="s">
        <v>4426</v>
      </c>
      <c r="AN537" t="s">
        <v>2829</v>
      </c>
      <c r="AO537" t="s">
        <v>2839</v>
      </c>
      <c r="AP537" t="s">
        <v>2840</v>
      </c>
      <c r="AQ537" t="s">
        <v>2841</v>
      </c>
      <c r="AR537" t="s">
        <v>3260</v>
      </c>
      <c r="AS537" t="s">
        <v>3260</v>
      </c>
      <c r="AT537" t="s">
        <v>2829</v>
      </c>
      <c r="AU537" t="s">
        <v>2829</v>
      </c>
      <c r="AV537" t="s">
        <v>2829</v>
      </c>
      <c r="AW537" t="s">
        <v>2829</v>
      </c>
      <c r="AX537" t="s">
        <v>2829</v>
      </c>
      <c r="AY537" t="s">
        <v>2829</v>
      </c>
      <c r="AZ537" t="s">
        <v>2829</v>
      </c>
      <c r="BA537" t="s">
        <v>2829</v>
      </c>
      <c r="BB537" t="s">
        <v>2829</v>
      </c>
      <c r="BC537" t="s">
        <v>2829</v>
      </c>
      <c r="BD537" t="s">
        <v>2829</v>
      </c>
      <c r="BE537" t="s">
        <v>243</v>
      </c>
      <c r="BF537" t="s">
        <v>243</v>
      </c>
      <c r="BG537" t="s">
        <v>243</v>
      </c>
      <c r="BH537" t="s">
        <v>243</v>
      </c>
      <c r="BI537" t="s">
        <v>243</v>
      </c>
      <c r="BJ537" t="s">
        <v>2829</v>
      </c>
      <c r="BK537" t="s">
        <v>243</v>
      </c>
      <c r="BL537" t="s">
        <v>243</v>
      </c>
      <c r="BM537" t="s">
        <v>243</v>
      </c>
      <c r="BN537" t="s">
        <v>243</v>
      </c>
      <c r="BO537" t="s">
        <v>243</v>
      </c>
      <c r="BP537" t="s">
        <v>3260</v>
      </c>
      <c r="BQ537" t="s">
        <v>3260</v>
      </c>
      <c r="BR537" t="s">
        <v>243</v>
      </c>
      <c r="BS537" t="s">
        <v>243</v>
      </c>
      <c r="BT537" t="s">
        <v>243</v>
      </c>
      <c r="BU537" t="s">
        <v>243</v>
      </c>
      <c r="BV537" t="s">
        <v>2829</v>
      </c>
      <c r="BW537" t="s">
        <v>243</v>
      </c>
      <c r="BX537" t="s">
        <v>243</v>
      </c>
      <c r="BY537" t="s">
        <v>243</v>
      </c>
      <c r="BZ537" t="s">
        <v>243</v>
      </c>
      <c r="CA537" t="s">
        <v>243</v>
      </c>
      <c r="CB537" t="s">
        <v>2829</v>
      </c>
      <c r="CC537" t="s">
        <v>243</v>
      </c>
      <c r="CD537" t="s">
        <v>243</v>
      </c>
      <c r="CE537" t="s">
        <v>243</v>
      </c>
      <c r="CF537" t="s">
        <v>243</v>
      </c>
      <c r="CG537" t="s">
        <v>243</v>
      </c>
      <c r="CH537" t="s">
        <v>2829</v>
      </c>
      <c r="CI537" t="s">
        <v>243</v>
      </c>
      <c r="CJ537" t="s">
        <v>243</v>
      </c>
      <c r="CK537" t="s">
        <v>243</v>
      </c>
      <c r="CL537" t="s">
        <v>243</v>
      </c>
      <c r="CM537" t="s">
        <v>243</v>
      </c>
      <c r="CN537" t="s">
        <v>3010</v>
      </c>
      <c r="CO537" t="s">
        <v>2843</v>
      </c>
      <c r="CP537" t="s">
        <v>2844</v>
      </c>
      <c r="CQ537" t="s">
        <v>430</v>
      </c>
      <c r="CR537" t="s">
        <v>2984</v>
      </c>
      <c r="CS537" t="s">
        <v>431</v>
      </c>
      <c r="CT537" t="s">
        <v>430</v>
      </c>
      <c r="CU537" t="s">
        <v>2985</v>
      </c>
      <c r="CV537" t="s">
        <v>2986</v>
      </c>
      <c r="CW537" t="s">
        <v>2984</v>
      </c>
      <c r="CX537" t="s">
        <v>2848</v>
      </c>
      <c r="CY537" t="s">
        <v>4428</v>
      </c>
    </row>
    <row r="538" spans="1:103" ht="11.25" customHeight="1">
      <c r="A538" t="s">
        <v>243</v>
      </c>
      <c r="B538" t="s">
        <v>243</v>
      </c>
      <c r="C538" t="s">
        <v>243</v>
      </c>
      <c r="D538" t="s">
        <v>243</v>
      </c>
      <c r="E538" t="s">
        <v>243</v>
      </c>
      <c r="F538" t="s">
        <v>2816</v>
      </c>
      <c r="G538" t="s">
        <v>243</v>
      </c>
      <c r="H538" t="s">
        <v>243</v>
      </c>
      <c r="I538" t="s">
        <v>3506</v>
      </c>
      <c r="J538" t="s">
        <v>243</v>
      </c>
      <c r="K538" t="s">
        <v>3507</v>
      </c>
      <c r="L538" t="s">
        <v>243</v>
      </c>
      <c r="M538" t="s">
        <v>114</v>
      </c>
      <c r="N538" t="s">
        <v>243</v>
      </c>
      <c r="O538" t="s">
        <v>2819</v>
      </c>
      <c r="P538" t="s">
        <v>4448</v>
      </c>
      <c r="Q538" t="s">
        <v>2821</v>
      </c>
      <c r="R538" t="s">
        <v>200</v>
      </c>
      <c r="S538" t="s">
        <v>200</v>
      </c>
      <c r="T538" t="s">
        <v>2968</v>
      </c>
      <c r="U538" t="s">
        <v>2968</v>
      </c>
      <c r="V538" t="s">
        <v>2969</v>
      </c>
      <c r="W538" t="s">
        <v>3508</v>
      </c>
      <c r="X538" t="s">
        <v>3509</v>
      </c>
      <c r="Y538" t="s">
        <v>3510</v>
      </c>
      <c r="Z538" t="s">
        <v>437</v>
      </c>
      <c r="AA538" t="s">
        <v>3058</v>
      </c>
      <c r="AB538" t="s">
        <v>3511</v>
      </c>
      <c r="AC538" t="s">
        <v>2829</v>
      </c>
      <c r="AD538" t="s">
        <v>2883</v>
      </c>
      <c r="AE538" t="s">
        <v>2857</v>
      </c>
      <c r="AF538" t="s">
        <v>3512</v>
      </c>
      <c r="AG538" t="s">
        <v>3512</v>
      </c>
      <c r="AH538" t="s">
        <v>2834</v>
      </c>
      <c r="AI538" t="s">
        <v>2835</v>
      </c>
      <c r="AJ538" t="s">
        <v>2836</v>
      </c>
      <c r="AK538" t="s">
        <v>4471</v>
      </c>
      <c r="AL538" t="s">
        <v>3058</v>
      </c>
      <c r="AM538" t="s">
        <v>2923</v>
      </c>
      <c r="AN538" t="s">
        <v>2829</v>
      </c>
      <c r="AO538" t="s">
        <v>2839</v>
      </c>
      <c r="AP538" t="s">
        <v>2840</v>
      </c>
      <c r="AQ538" t="s">
        <v>2841</v>
      </c>
      <c r="AR538" t="s">
        <v>3514</v>
      </c>
      <c r="AS538" t="s">
        <v>3514</v>
      </c>
      <c r="AT538" t="s">
        <v>2829</v>
      </c>
      <c r="AU538" t="s">
        <v>2829</v>
      </c>
      <c r="AV538" t="s">
        <v>2829</v>
      </c>
      <c r="AW538" t="s">
        <v>2829</v>
      </c>
      <c r="AX538" t="s">
        <v>2829</v>
      </c>
      <c r="AY538" t="s">
        <v>2829</v>
      </c>
      <c r="AZ538" t="s">
        <v>2829</v>
      </c>
      <c r="BA538" t="s">
        <v>2829</v>
      </c>
      <c r="BB538" t="s">
        <v>2829</v>
      </c>
      <c r="BC538" t="s">
        <v>2829</v>
      </c>
      <c r="BD538" t="s">
        <v>3514</v>
      </c>
      <c r="BE538" t="s">
        <v>3514</v>
      </c>
      <c r="BF538" t="s">
        <v>243</v>
      </c>
      <c r="BG538" t="s">
        <v>243</v>
      </c>
      <c r="BH538" t="s">
        <v>243</v>
      </c>
      <c r="BI538" t="s">
        <v>243</v>
      </c>
      <c r="BJ538" t="s">
        <v>2829</v>
      </c>
      <c r="BK538" t="s">
        <v>243</v>
      </c>
      <c r="BL538" t="s">
        <v>243</v>
      </c>
      <c r="BM538" t="s">
        <v>243</v>
      </c>
      <c r="BN538" t="s">
        <v>243</v>
      </c>
      <c r="BO538" t="s">
        <v>243</v>
      </c>
      <c r="BP538" t="s">
        <v>2829</v>
      </c>
      <c r="BQ538" t="s">
        <v>243</v>
      </c>
      <c r="BR538" t="s">
        <v>243</v>
      </c>
      <c r="BS538" t="s">
        <v>243</v>
      </c>
      <c r="BT538" t="s">
        <v>243</v>
      </c>
      <c r="BU538" t="s">
        <v>243</v>
      </c>
      <c r="BV538" t="s">
        <v>2829</v>
      </c>
      <c r="BW538" t="s">
        <v>243</v>
      </c>
      <c r="BX538" t="s">
        <v>243</v>
      </c>
      <c r="BY538" t="s">
        <v>243</v>
      </c>
      <c r="BZ538" t="s">
        <v>243</v>
      </c>
      <c r="CA538" t="s">
        <v>243</v>
      </c>
      <c r="CB538" t="s">
        <v>2829</v>
      </c>
      <c r="CC538" t="s">
        <v>243</v>
      </c>
      <c r="CD538" t="s">
        <v>243</v>
      </c>
      <c r="CE538" t="s">
        <v>243</v>
      </c>
      <c r="CF538" t="s">
        <v>243</v>
      </c>
      <c r="CG538" t="s">
        <v>243</v>
      </c>
      <c r="CH538" t="s">
        <v>2829</v>
      </c>
      <c r="CI538" t="s">
        <v>243</v>
      </c>
      <c r="CJ538" t="s">
        <v>243</v>
      </c>
      <c r="CK538" t="s">
        <v>243</v>
      </c>
      <c r="CL538" t="s">
        <v>243</v>
      </c>
      <c r="CM538" t="s">
        <v>243</v>
      </c>
      <c r="CN538" t="s">
        <v>2836</v>
      </c>
      <c r="CO538" t="s">
        <v>2843</v>
      </c>
      <c r="CP538" t="s">
        <v>2844</v>
      </c>
      <c r="CQ538" t="s">
        <v>430</v>
      </c>
      <c r="CR538" t="s">
        <v>2984</v>
      </c>
      <c r="CS538" t="s">
        <v>431</v>
      </c>
      <c r="CT538" t="s">
        <v>430</v>
      </c>
      <c r="CU538" t="s">
        <v>2985</v>
      </c>
      <c r="CV538" t="s">
        <v>2986</v>
      </c>
      <c r="CW538" t="s">
        <v>2984</v>
      </c>
      <c r="CX538" t="s">
        <v>2848</v>
      </c>
      <c r="CY538" t="s">
        <v>3515</v>
      </c>
    </row>
    <row r="539" spans="1:103" ht="11.25" customHeight="1">
      <c r="A539" t="s">
        <v>243</v>
      </c>
      <c r="B539" t="s">
        <v>243</v>
      </c>
      <c r="C539" t="s">
        <v>243</v>
      </c>
      <c r="D539" t="s">
        <v>243</v>
      </c>
      <c r="E539" t="s">
        <v>243</v>
      </c>
      <c r="F539" t="s">
        <v>2816</v>
      </c>
      <c r="G539" t="s">
        <v>243</v>
      </c>
      <c r="H539" t="s">
        <v>243</v>
      </c>
      <c r="I539" t="s">
        <v>3020</v>
      </c>
      <c r="J539" t="s">
        <v>243</v>
      </c>
      <c r="K539" t="s">
        <v>3021</v>
      </c>
      <c r="L539" t="s">
        <v>243</v>
      </c>
      <c r="M539" t="s">
        <v>114</v>
      </c>
      <c r="N539" t="s">
        <v>243</v>
      </c>
      <c r="O539" t="s">
        <v>2819</v>
      </c>
      <c r="P539" t="s">
        <v>4448</v>
      </c>
      <c r="Q539" t="s">
        <v>2821</v>
      </c>
      <c r="R539" t="s">
        <v>200</v>
      </c>
      <c r="S539" t="s">
        <v>200</v>
      </c>
      <c r="T539" t="s">
        <v>3022</v>
      </c>
      <c r="U539" t="s">
        <v>3022</v>
      </c>
      <c r="V539" t="s">
        <v>3023</v>
      </c>
      <c r="W539" t="s">
        <v>3024</v>
      </c>
      <c r="X539" t="s">
        <v>3025</v>
      </c>
      <c r="Y539" t="s">
        <v>3026</v>
      </c>
      <c r="Z539" t="s">
        <v>2972</v>
      </c>
      <c r="AA539" t="s">
        <v>3027</v>
      </c>
      <c r="AB539" t="s">
        <v>3028</v>
      </c>
      <c r="AC539" t="s">
        <v>2829</v>
      </c>
      <c r="AD539" t="s">
        <v>2883</v>
      </c>
      <c r="AE539" t="s">
        <v>2831</v>
      </c>
      <c r="AF539" t="s">
        <v>3029</v>
      </c>
      <c r="AG539" t="s">
        <v>3029</v>
      </c>
      <c r="AH539" t="s">
        <v>2834</v>
      </c>
      <c r="AI539" t="s">
        <v>2835</v>
      </c>
      <c r="AJ539" t="s">
        <v>3030</v>
      </c>
      <c r="AK539" t="s">
        <v>3031</v>
      </c>
      <c r="AL539" t="s">
        <v>3027</v>
      </c>
      <c r="AM539" t="s">
        <v>3028</v>
      </c>
      <c r="AN539" t="s">
        <v>2829</v>
      </c>
      <c r="AO539" t="s">
        <v>2839</v>
      </c>
      <c r="AP539" t="s">
        <v>2840</v>
      </c>
      <c r="AQ539" t="s">
        <v>2841</v>
      </c>
      <c r="AR539" t="s">
        <v>3032</v>
      </c>
      <c r="AS539" t="s">
        <v>3032</v>
      </c>
      <c r="AT539" t="s">
        <v>2829</v>
      </c>
      <c r="AU539" t="s">
        <v>2829</v>
      </c>
      <c r="AV539" t="s">
        <v>2829</v>
      </c>
      <c r="AW539" t="s">
        <v>2829</v>
      </c>
      <c r="AX539" t="s">
        <v>2829</v>
      </c>
      <c r="AY539" t="s">
        <v>2829</v>
      </c>
      <c r="AZ539" t="s">
        <v>2829</v>
      </c>
      <c r="BA539" t="s">
        <v>2829</v>
      </c>
      <c r="BB539" t="s">
        <v>2829</v>
      </c>
      <c r="BC539" t="s">
        <v>2829</v>
      </c>
      <c r="BD539" t="s">
        <v>2829</v>
      </c>
      <c r="BE539" t="s">
        <v>243</v>
      </c>
      <c r="BF539" t="s">
        <v>243</v>
      </c>
      <c r="BG539" t="s">
        <v>243</v>
      </c>
      <c r="BH539" t="s">
        <v>243</v>
      </c>
      <c r="BI539" t="s">
        <v>243</v>
      </c>
      <c r="BJ539" t="s">
        <v>2829</v>
      </c>
      <c r="BK539" t="s">
        <v>243</v>
      </c>
      <c r="BL539" t="s">
        <v>243</v>
      </c>
      <c r="BM539" t="s">
        <v>243</v>
      </c>
      <c r="BN539" t="s">
        <v>243</v>
      </c>
      <c r="BO539" t="s">
        <v>243</v>
      </c>
      <c r="BP539" t="s">
        <v>3032</v>
      </c>
      <c r="BQ539" t="s">
        <v>3032</v>
      </c>
      <c r="BR539" t="s">
        <v>243</v>
      </c>
      <c r="BS539" t="s">
        <v>243</v>
      </c>
      <c r="BT539" t="s">
        <v>243</v>
      </c>
      <c r="BU539" t="s">
        <v>243</v>
      </c>
      <c r="BV539" t="s">
        <v>2829</v>
      </c>
      <c r="BW539" t="s">
        <v>243</v>
      </c>
      <c r="BX539" t="s">
        <v>243</v>
      </c>
      <c r="BY539" t="s">
        <v>243</v>
      </c>
      <c r="BZ539" t="s">
        <v>243</v>
      </c>
      <c r="CA539" t="s">
        <v>243</v>
      </c>
      <c r="CB539" t="s">
        <v>2829</v>
      </c>
      <c r="CC539" t="s">
        <v>243</v>
      </c>
      <c r="CD539" t="s">
        <v>243</v>
      </c>
      <c r="CE539" t="s">
        <v>243</v>
      </c>
      <c r="CF539" t="s">
        <v>243</v>
      </c>
      <c r="CG539" t="s">
        <v>243</v>
      </c>
      <c r="CH539" t="s">
        <v>2829</v>
      </c>
      <c r="CI539" t="s">
        <v>243</v>
      </c>
      <c r="CJ539" t="s">
        <v>243</v>
      </c>
      <c r="CK539" t="s">
        <v>243</v>
      </c>
      <c r="CL539" t="s">
        <v>243</v>
      </c>
      <c r="CM539" t="s">
        <v>243</v>
      </c>
      <c r="CN539" t="s">
        <v>2997</v>
      </c>
      <c r="CO539" t="s">
        <v>2843</v>
      </c>
      <c r="CP539" t="s">
        <v>2844</v>
      </c>
      <c r="CQ539" t="s">
        <v>430</v>
      </c>
      <c r="CR539" t="s">
        <v>3033</v>
      </c>
      <c r="CS539" t="s">
        <v>431</v>
      </c>
      <c r="CT539" t="s">
        <v>430</v>
      </c>
      <c r="CU539" t="s">
        <v>3034</v>
      </c>
      <c r="CV539" t="s">
        <v>432</v>
      </c>
      <c r="CW539" t="s">
        <v>3033</v>
      </c>
      <c r="CX539" t="s">
        <v>2848</v>
      </c>
      <c r="CY539" t="s">
        <v>3035</v>
      </c>
    </row>
    <row r="540" spans="1:103" ht="11.25" customHeight="1">
      <c r="A540" t="s">
        <v>243</v>
      </c>
      <c r="B540" t="s">
        <v>243</v>
      </c>
      <c r="C540" t="s">
        <v>243</v>
      </c>
      <c r="D540" t="s">
        <v>243</v>
      </c>
      <c r="E540" t="s">
        <v>243</v>
      </c>
      <c r="F540" t="s">
        <v>2816</v>
      </c>
      <c r="G540" t="s">
        <v>243</v>
      </c>
      <c r="H540" t="s">
        <v>243</v>
      </c>
      <c r="I540" t="s">
        <v>3366</v>
      </c>
      <c r="J540" t="s">
        <v>243</v>
      </c>
      <c r="K540" t="s">
        <v>449</v>
      </c>
      <c r="L540" t="s">
        <v>243</v>
      </c>
      <c r="M540" t="s">
        <v>114</v>
      </c>
      <c r="N540" t="s">
        <v>243</v>
      </c>
      <c r="O540" t="s">
        <v>3356</v>
      </c>
      <c r="P540" t="s">
        <v>4448</v>
      </c>
      <c r="Q540" t="s">
        <v>2821</v>
      </c>
      <c r="R540" t="s">
        <v>190</v>
      </c>
      <c r="S540" t="s">
        <v>190</v>
      </c>
      <c r="T540" t="s">
        <v>405</v>
      </c>
      <c r="U540" t="s">
        <v>405</v>
      </c>
      <c r="V540" t="s">
        <v>406</v>
      </c>
      <c r="W540" t="s">
        <v>3367</v>
      </c>
      <c r="X540" t="s">
        <v>3368</v>
      </c>
      <c r="Y540" t="s">
        <v>3369</v>
      </c>
      <c r="Z540" t="s">
        <v>3370</v>
      </c>
      <c r="AA540" t="s">
        <v>3078</v>
      </c>
      <c r="AB540" t="s">
        <v>3371</v>
      </c>
      <c r="AC540" t="s">
        <v>243</v>
      </c>
      <c r="AD540" t="s">
        <v>2883</v>
      </c>
      <c r="AE540" t="s">
        <v>3372</v>
      </c>
      <c r="AF540" t="s">
        <v>3373</v>
      </c>
      <c r="AG540" t="s">
        <v>3374</v>
      </c>
      <c r="AH540" t="s">
        <v>2834</v>
      </c>
      <c r="AI540" t="s">
        <v>2835</v>
      </c>
      <c r="AJ540" t="s">
        <v>3317</v>
      </c>
      <c r="AK540" t="s">
        <v>3375</v>
      </c>
      <c r="AL540" t="s">
        <v>243</v>
      </c>
      <c r="AM540" t="s">
        <v>243</v>
      </c>
      <c r="AN540" t="s">
        <v>243</v>
      </c>
      <c r="AR540" t="s">
        <v>243</v>
      </c>
      <c r="AS540" t="s">
        <v>243</v>
      </c>
      <c r="AT540" t="s">
        <v>243</v>
      </c>
      <c r="AU540" t="s">
        <v>243</v>
      </c>
      <c r="AV540" t="s">
        <v>243</v>
      </c>
      <c r="AW540" t="s">
        <v>243</v>
      </c>
      <c r="AX540" t="s">
        <v>243</v>
      </c>
      <c r="AY540" t="s">
        <v>243</v>
      </c>
      <c r="AZ540" t="s">
        <v>243</v>
      </c>
      <c r="BA540" t="s">
        <v>243</v>
      </c>
      <c r="BB540" t="s">
        <v>243</v>
      </c>
      <c r="BC540" t="s">
        <v>243</v>
      </c>
      <c r="BD540" t="s">
        <v>243</v>
      </c>
      <c r="BE540" t="s">
        <v>243</v>
      </c>
      <c r="BF540" t="s">
        <v>243</v>
      </c>
      <c r="BG540" t="s">
        <v>243</v>
      </c>
      <c r="BH540" t="s">
        <v>243</v>
      </c>
      <c r="BI540" t="s">
        <v>243</v>
      </c>
      <c r="BJ540" t="s">
        <v>243</v>
      </c>
      <c r="BK540" t="s">
        <v>243</v>
      </c>
      <c r="BL540" t="s">
        <v>243</v>
      </c>
      <c r="BM540" t="s">
        <v>243</v>
      </c>
      <c r="BN540" t="s">
        <v>243</v>
      </c>
      <c r="BO540" t="s">
        <v>243</v>
      </c>
      <c r="BP540" t="s">
        <v>243</v>
      </c>
      <c r="BQ540" t="s">
        <v>243</v>
      </c>
      <c r="BR540" t="s">
        <v>243</v>
      </c>
      <c r="BS540" t="s">
        <v>243</v>
      </c>
      <c r="BT540" t="s">
        <v>243</v>
      </c>
      <c r="BU540" t="s">
        <v>243</v>
      </c>
      <c r="BV540" t="s">
        <v>243</v>
      </c>
      <c r="BW540" t="s">
        <v>243</v>
      </c>
      <c r="BX540" t="s">
        <v>243</v>
      </c>
      <c r="BY540" t="s">
        <v>243</v>
      </c>
      <c r="BZ540" t="s">
        <v>243</v>
      </c>
      <c r="CA540" t="s">
        <v>243</v>
      </c>
      <c r="CB540" t="s">
        <v>243</v>
      </c>
      <c r="CC540" t="s">
        <v>243</v>
      </c>
      <c r="CD540" t="s">
        <v>243</v>
      </c>
      <c r="CE540" t="s">
        <v>243</v>
      </c>
      <c r="CF540" t="s">
        <v>243</v>
      </c>
      <c r="CG540" t="s">
        <v>243</v>
      </c>
      <c r="CH540" t="s">
        <v>243</v>
      </c>
      <c r="CI540" t="s">
        <v>243</v>
      </c>
      <c r="CJ540" t="s">
        <v>243</v>
      </c>
      <c r="CK540" t="s">
        <v>243</v>
      </c>
      <c r="CL540" t="s">
        <v>243</v>
      </c>
      <c r="CM540" t="s">
        <v>243</v>
      </c>
      <c r="CN540" t="s">
        <v>243</v>
      </c>
      <c r="CO540" t="s">
        <v>2843</v>
      </c>
      <c r="CP540" t="s">
        <v>2844</v>
      </c>
      <c r="CQ540" t="s">
        <v>430</v>
      </c>
      <c r="CR540" t="s">
        <v>3361</v>
      </c>
      <c r="CS540" t="s">
        <v>431</v>
      </c>
      <c r="CT540" t="s">
        <v>430</v>
      </c>
      <c r="CU540" t="s">
        <v>268</v>
      </c>
      <c r="CV540" t="s">
        <v>432</v>
      </c>
      <c r="CW540" t="s">
        <v>3361</v>
      </c>
      <c r="CX540" t="s">
        <v>2848</v>
      </c>
      <c r="CY540" t="s">
        <v>450</v>
      </c>
    </row>
    <row r="541" spans="1:103" ht="11.25" customHeight="1">
      <c r="A541" t="s">
        <v>243</v>
      </c>
      <c r="B541" t="s">
        <v>243</v>
      </c>
      <c r="C541" t="s">
        <v>243</v>
      </c>
      <c r="D541" t="s">
        <v>243</v>
      </c>
      <c r="E541" t="s">
        <v>243</v>
      </c>
      <c r="F541" t="s">
        <v>2816</v>
      </c>
      <c r="G541" t="s">
        <v>243</v>
      </c>
      <c r="H541" t="s">
        <v>243</v>
      </c>
      <c r="I541" t="s">
        <v>4194</v>
      </c>
      <c r="J541" t="s">
        <v>243</v>
      </c>
      <c r="K541" t="s">
        <v>446</v>
      </c>
      <c r="L541" t="s">
        <v>243</v>
      </c>
      <c r="M541" t="s">
        <v>114</v>
      </c>
      <c r="N541" t="s">
        <v>243</v>
      </c>
      <c r="O541" t="s">
        <v>3356</v>
      </c>
      <c r="P541" t="s">
        <v>4448</v>
      </c>
      <c r="Q541" t="s">
        <v>2821</v>
      </c>
      <c r="R541" t="s">
        <v>190</v>
      </c>
      <c r="S541" t="s">
        <v>190</v>
      </c>
      <c r="T541" t="s">
        <v>405</v>
      </c>
      <c r="U541" t="s">
        <v>405</v>
      </c>
      <c r="V541" t="s">
        <v>406</v>
      </c>
      <c r="W541" t="s">
        <v>4195</v>
      </c>
      <c r="X541" t="s">
        <v>4196</v>
      </c>
      <c r="Y541" t="s">
        <v>4197</v>
      </c>
      <c r="Z541" t="s">
        <v>341</v>
      </c>
      <c r="AA541" t="s">
        <v>3094</v>
      </c>
      <c r="AB541" t="s">
        <v>3059</v>
      </c>
      <c r="AC541" t="s">
        <v>243</v>
      </c>
      <c r="AD541" t="s">
        <v>2883</v>
      </c>
      <c r="AE541" t="s">
        <v>2831</v>
      </c>
      <c r="AF541" t="s">
        <v>3161</v>
      </c>
      <c r="AG541" t="s">
        <v>3162</v>
      </c>
      <c r="AH541" t="s">
        <v>2834</v>
      </c>
      <c r="AI541" t="s">
        <v>2835</v>
      </c>
      <c r="AJ541" t="s">
        <v>3030</v>
      </c>
      <c r="AK541" t="s">
        <v>4198</v>
      </c>
      <c r="AL541" t="s">
        <v>243</v>
      </c>
      <c r="AM541" t="s">
        <v>243</v>
      </c>
      <c r="AN541" t="s">
        <v>243</v>
      </c>
      <c r="AR541" t="s">
        <v>243</v>
      </c>
      <c r="AS541" t="s">
        <v>243</v>
      </c>
      <c r="AT541" t="s">
        <v>243</v>
      </c>
      <c r="AU541" t="s">
        <v>243</v>
      </c>
      <c r="AV541" t="s">
        <v>243</v>
      </c>
      <c r="AW541" t="s">
        <v>243</v>
      </c>
      <c r="AX541" t="s">
        <v>243</v>
      </c>
      <c r="AY541" t="s">
        <v>243</v>
      </c>
      <c r="AZ541" t="s">
        <v>243</v>
      </c>
      <c r="BA541" t="s">
        <v>243</v>
      </c>
      <c r="BB541" t="s">
        <v>243</v>
      </c>
      <c r="BC541" t="s">
        <v>243</v>
      </c>
      <c r="BD541" t="s">
        <v>243</v>
      </c>
      <c r="BE541" t="s">
        <v>243</v>
      </c>
      <c r="BF541" t="s">
        <v>243</v>
      </c>
      <c r="BG541" t="s">
        <v>243</v>
      </c>
      <c r="BH541" t="s">
        <v>243</v>
      </c>
      <c r="BI541" t="s">
        <v>243</v>
      </c>
      <c r="BJ541" t="s">
        <v>243</v>
      </c>
      <c r="BK541" t="s">
        <v>243</v>
      </c>
      <c r="BL541" t="s">
        <v>243</v>
      </c>
      <c r="BM541" t="s">
        <v>243</v>
      </c>
      <c r="BN541" t="s">
        <v>243</v>
      </c>
      <c r="BO541" t="s">
        <v>243</v>
      </c>
      <c r="BP541" t="s">
        <v>243</v>
      </c>
      <c r="BQ541" t="s">
        <v>243</v>
      </c>
      <c r="BR541" t="s">
        <v>243</v>
      </c>
      <c r="BS541" t="s">
        <v>243</v>
      </c>
      <c r="BT541" t="s">
        <v>243</v>
      </c>
      <c r="BU541" t="s">
        <v>243</v>
      </c>
      <c r="BV541" t="s">
        <v>243</v>
      </c>
      <c r="BW541" t="s">
        <v>243</v>
      </c>
      <c r="BX541" t="s">
        <v>243</v>
      </c>
      <c r="BY541" t="s">
        <v>243</v>
      </c>
      <c r="BZ541" t="s">
        <v>243</v>
      </c>
      <c r="CA541" t="s">
        <v>243</v>
      </c>
      <c r="CB541" t="s">
        <v>243</v>
      </c>
      <c r="CC541" t="s">
        <v>243</v>
      </c>
      <c r="CD541" t="s">
        <v>243</v>
      </c>
      <c r="CE541" t="s">
        <v>243</v>
      </c>
      <c r="CF541" t="s">
        <v>243</v>
      </c>
      <c r="CG541" t="s">
        <v>243</v>
      </c>
      <c r="CH541" t="s">
        <v>243</v>
      </c>
      <c r="CI541" t="s">
        <v>243</v>
      </c>
      <c r="CJ541" t="s">
        <v>243</v>
      </c>
      <c r="CK541" t="s">
        <v>243</v>
      </c>
      <c r="CL541" t="s">
        <v>243</v>
      </c>
      <c r="CM541" t="s">
        <v>243</v>
      </c>
      <c r="CN541" t="s">
        <v>243</v>
      </c>
      <c r="CO541" t="s">
        <v>2843</v>
      </c>
      <c r="CP541" t="s">
        <v>2844</v>
      </c>
      <c r="CQ541" t="s">
        <v>430</v>
      </c>
      <c r="CR541" t="s">
        <v>3361</v>
      </c>
      <c r="CS541" t="s">
        <v>431</v>
      </c>
      <c r="CT541" t="s">
        <v>430</v>
      </c>
      <c r="CU541" t="s">
        <v>268</v>
      </c>
      <c r="CV541" t="s">
        <v>432</v>
      </c>
      <c r="CW541" t="s">
        <v>3361</v>
      </c>
      <c r="CX541" t="s">
        <v>2848</v>
      </c>
      <c r="CY541" t="s">
        <v>447</v>
      </c>
    </row>
    <row r="542" spans="1:103" ht="11.25" customHeight="1">
      <c r="A542" t="s">
        <v>243</v>
      </c>
      <c r="B542" t="s">
        <v>243</v>
      </c>
      <c r="C542" t="s">
        <v>243</v>
      </c>
      <c r="D542" t="s">
        <v>243</v>
      </c>
      <c r="E542" t="s">
        <v>243</v>
      </c>
      <c r="F542" t="s">
        <v>2816</v>
      </c>
      <c r="G542" t="s">
        <v>243</v>
      </c>
      <c r="H542" t="s">
        <v>243</v>
      </c>
      <c r="I542" t="s">
        <v>4291</v>
      </c>
      <c r="J542" t="s">
        <v>243</v>
      </c>
      <c r="K542" t="s">
        <v>4073</v>
      </c>
      <c r="L542" t="s">
        <v>243</v>
      </c>
      <c r="M542" t="s">
        <v>114</v>
      </c>
      <c r="N542" t="s">
        <v>243</v>
      </c>
      <c r="O542" t="s">
        <v>2819</v>
      </c>
      <c r="P542" t="s">
        <v>4448</v>
      </c>
      <c r="Q542" t="s">
        <v>2821</v>
      </c>
      <c r="R542" t="s">
        <v>200</v>
      </c>
      <c r="S542" t="s">
        <v>200</v>
      </c>
      <c r="T542" t="s">
        <v>2822</v>
      </c>
      <c r="U542" t="s">
        <v>2822</v>
      </c>
      <c r="V542" t="s">
        <v>2823</v>
      </c>
      <c r="W542" t="s">
        <v>2952</v>
      </c>
      <c r="X542" t="s">
        <v>2953</v>
      </c>
      <c r="Y542" t="s">
        <v>4292</v>
      </c>
      <c r="Z542" t="s">
        <v>4293</v>
      </c>
      <c r="AA542" t="s">
        <v>3078</v>
      </c>
      <c r="AB542" t="s">
        <v>3464</v>
      </c>
      <c r="AC542" t="s">
        <v>2829</v>
      </c>
      <c r="AD542" t="s">
        <v>2830</v>
      </c>
      <c r="AE542" t="s">
        <v>2831</v>
      </c>
      <c r="AF542" t="s">
        <v>4294</v>
      </c>
      <c r="AG542" t="s">
        <v>4295</v>
      </c>
      <c r="AH542" t="s">
        <v>2834</v>
      </c>
      <c r="AI542" t="s">
        <v>2835</v>
      </c>
      <c r="AJ542" t="s">
        <v>2960</v>
      </c>
      <c r="AK542" t="s">
        <v>3882</v>
      </c>
      <c r="AL542" t="s">
        <v>3078</v>
      </c>
      <c r="AM542" t="s">
        <v>3464</v>
      </c>
      <c r="AN542" t="s">
        <v>2829</v>
      </c>
      <c r="AO542" t="s">
        <v>2839</v>
      </c>
      <c r="AP542" t="s">
        <v>2840</v>
      </c>
      <c r="AQ542" t="s">
        <v>2841</v>
      </c>
      <c r="AR542" t="s">
        <v>3962</v>
      </c>
      <c r="AS542" t="s">
        <v>3962</v>
      </c>
      <c r="AT542" t="s">
        <v>2829</v>
      </c>
      <c r="AU542" t="s">
        <v>2829</v>
      </c>
      <c r="AV542" t="s">
        <v>2829</v>
      </c>
      <c r="AW542" t="s">
        <v>2829</v>
      </c>
      <c r="AX542" t="s">
        <v>2829</v>
      </c>
      <c r="AY542" t="s">
        <v>2829</v>
      </c>
      <c r="AZ542" t="s">
        <v>2829</v>
      </c>
      <c r="BA542" t="s">
        <v>2829</v>
      </c>
      <c r="BB542" t="s">
        <v>2829</v>
      </c>
      <c r="BC542" t="s">
        <v>2829</v>
      </c>
      <c r="BD542" t="s">
        <v>2829</v>
      </c>
      <c r="BE542" t="s">
        <v>243</v>
      </c>
      <c r="BF542" t="s">
        <v>243</v>
      </c>
      <c r="BG542" t="s">
        <v>243</v>
      </c>
      <c r="BH542" t="s">
        <v>243</v>
      </c>
      <c r="BI542" t="s">
        <v>243</v>
      </c>
      <c r="BJ542" t="s">
        <v>2829</v>
      </c>
      <c r="BK542" t="s">
        <v>243</v>
      </c>
      <c r="BL542" t="s">
        <v>243</v>
      </c>
      <c r="BM542" t="s">
        <v>243</v>
      </c>
      <c r="BN542" t="s">
        <v>243</v>
      </c>
      <c r="BO542" t="s">
        <v>243</v>
      </c>
      <c r="BP542" t="s">
        <v>3962</v>
      </c>
      <c r="BQ542" t="s">
        <v>3962</v>
      </c>
      <c r="BR542" t="s">
        <v>243</v>
      </c>
      <c r="BS542" t="s">
        <v>243</v>
      </c>
      <c r="BT542" t="s">
        <v>243</v>
      </c>
      <c r="BU542" t="s">
        <v>243</v>
      </c>
      <c r="BV542" t="s">
        <v>2829</v>
      </c>
      <c r="BW542" t="s">
        <v>243</v>
      </c>
      <c r="BX542" t="s">
        <v>243</v>
      </c>
      <c r="BY542" t="s">
        <v>243</v>
      </c>
      <c r="BZ542" t="s">
        <v>243</v>
      </c>
      <c r="CA542" t="s">
        <v>243</v>
      </c>
      <c r="CB542" t="s">
        <v>2829</v>
      </c>
      <c r="CC542" t="s">
        <v>243</v>
      </c>
      <c r="CD542" t="s">
        <v>243</v>
      </c>
      <c r="CE542" t="s">
        <v>243</v>
      </c>
      <c r="CF542" t="s">
        <v>243</v>
      </c>
      <c r="CG542" t="s">
        <v>243</v>
      </c>
      <c r="CH542" t="s">
        <v>2829</v>
      </c>
      <c r="CI542" t="s">
        <v>243</v>
      </c>
      <c r="CJ542" t="s">
        <v>243</v>
      </c>
      <c r="CK542" t="s">
        <v>243</v>
      </c>
      <c r="CL542" t="s">
        <v>243</v>
      </c>
      <c r="CM542" t="s">
        <v>243</v>
      </c>
      <c r="CN542" t="s">
        <v>2960</v>
      </c>
      <c r="CO542" t="s">
        <v>2843</v>
      </c>
      <c r="CP542" t="s">
        <v>2844</v>
      </c>
      <c r="CQ542" t="s">
        <v>430</v>
      </c>
      <c r="CR542" t="s">
        <v>2845</v>
      </c>
      <c r="CS542" t="s">
        <v>431</v>
      </c>
      <c r="CT542" t="s">
        <v>430</v>
      </c>
      <c r="CU542" t="s">
        <v>2846</v>
      </c>
      <c r="CV542" t="s">
        <v>2847</v>
      </c>
      <c r="CW542" t="s">
        <v>2845</v>
      </c>
      <c r="CX542" t="s">
        <v>2848</v>
      </c>
      <c r="CY542" t="s">
        <v>4296</v>
      </c>
    </row>
    <row r="543" spans="1:103" ht="11.25" customHeight="1">
      <c r="A543" t="s">
        <v>243</v>
      </c>
      <c r="B543" t="s">
        <v>243</v>
      </c>
      <c r="C543" t="s">
        <v>243</v>
      </c>
      <c r="D543" t="s">
        <v>243</v>
      </c>
      <c r="E543" t="s">
        <v>243</v>
      </c>
      <c r="F543" t="s">
        <v>2816</v>
      </c>
      <c r="G543" t="s">
        <v>243</v>
      </c>
      <c r="H543" t="s">
        <v>243</v>
      </c>
      <c r="I543" t="s">
        <v>3336</v>
      </c>
      <c r="J543" t="s">
        <v>243</v>
      </c>
      <c r="K543" t="s">
        <v>3178</v>
      </c>
      <c r="L543" t="s">
        <v>243</v>
      </c>
      <c r="M543" t="s">
        <v>114</v>
      </c>
      <c r="N543" t="s">
        <v>243</v>
      </c>
      <c r="O543" t="s">
        <v>2819</v>
      </c>
      <c r="P543" t="s">
        <v>4448</v>
      </c>
      <c r="Q543" t="s">
        <v>2821</v>
      </c>
      <c r="R543" t="s">
        <v>200</v>
      </c>
      <c r="S543" t="s">
        <v>200</v>
      </c>
      <c r="T543" t="s">
        <v>3048</v>
      </c>
      <c r="U543" t="s">
        <v>3048</v>
      </c>
      <c r="V543" t="s">
        <v>3049</v>
      </c>
      <c r="W543" t="s">
        <v>3337</v>
      </c>
      <c r="X543" t="s">
        <v>3338</v>
      </c>
      <c r="Y543" t="s">
        <v>2913</v>
      </c>
      <c r="Z543" t="s">
        <v>454</v>
      </c>
      <c r="AA543" t="s">
        <v>3078</v>
      </c>
      <c r="AB543" t="s">
        <v>2907</v>
      </c>
      <c r="AC543" t="s">
        <v>2829</v>
      </c>
      <c r="AD543" t="s">
        <v>2883</v>
      </c>
      <c r="AE543" t="s">
        <v>2831</v>
      </c>
      <c r="AF543" t="s">
        <v>3055</v>
      </c>
      <c r="AG543" t="s">
        <v>3055</v>
      </c>
      <c r="AH543" t="s">
        <v>2834</v>
      </c>
      <c r="AI543" t="s">
        <v>2835</v>
      </c>
      <c r="AJ543" t="s">
        <v>3187</v>
      </c>
      <c r="AK543" t="s">
        <v>3325</v>
      </c>
      <c r="AL543" t="s">
        <v>3078</v>
      </c>
      <c r="AM543" t="s">
        <v>2907</v>
      </c>
      <c r="AN543" t="s">
        <v>2829</v>
      </c>
      <c r="AO543" t="s">
        <v>2839</v>
      </c>
      <c r="AP543" t="s">
        <v>2840</v>
      </c>
      <c r="AQ543" t="s">
        <v>2841</v>
      </c>
      <c r="AR543" t="s">
        <v>3005</v>
      </c>
      <c r="AS543" t="s">
        <v>3005</v>
      </c>
      <c r="AT543" t="s">
        <v>2829</v>
      </c>
      <c r="AU543" t="s">
        <v>2829</v>
      </c>
      <c r="AV543" t="s">
        <v>2829</v>
      </c>
      <c r="AW543" t="s">
        <v>2829</v>
      </c>
      <c r="AX543" t="s">
        <v>2829</v>
      </c>
      <c r="AY543" t="s">
        <v>2829</v>
      </c>
      <c r="AZ543" t="s">
        <v>2829</v>
      </c>
      <c r="BA543" t="s">
        <v>2829</v>
      </c>
      <c r="BB543" t="s">
        <v>2829</v>
      </c>
      <c r="BC543" t="s">
        <v>2829</v>
      </c>
      <c r="BD543" t="s">
        <v>3005</v>
      </c>
      <c r="BE543" t="s">
        <v>3005</v>
      </c>
      <c r="BF543" t="s">
        <v>243</v>
      </c>
      <c r="BG543" t="s">
        <v>243</v>
      </c>
      <c r="BH543" t="s">
        <v>243</v>
      </c>
      <c r="BI543" t="s">
        <v>243</v>
      </c>
      <c r="BJ543" t="s">
        <v>2829</v>
      </c>
      <c r="BK543" t="s">
        <v>243</v>
      </c>
      <c r="BL543" t="s">
        <v>243</v>
      </c>
      <c r="BM543" t="s">
        <v>243</v>
      </c>
      <c r="BN543" t="s">
        <v>243</v>
      </c>
      <c r="BO543" t="s">
        <v>243</v>
      </c>
      <c r="BP543" t="s">
        <v>2829</v>
      </c>
      <c r="BQ543" t="s">
        <v>243</v>
      </c>
      <c r="BR543" t="s">
        <v>243</v>
      </c>
      <c r="BS543" t="s">
        <v>243</v>
      </c>
      <c r="BT543" t="s">
        <v>243</v>
      </c>
      <c r="BU543" t="s">
        <v>243</v>
      </c>
      <c r="BV543" t="s">
        <v>2829</v>
      </c>
      <c r="BW543" t="s">
        <v>243</v>
      </c>
      <c r="BX543" t="s">
        <v>243</v>
      </c>
      <c r="BY543" t="s">
        <v>243</v>
      </c>
      <c r="BZ543" t="s">
        <v>243</v>
      </c>
      <c r="CA543" t="s">
        <v>243</v>
      </c>
      <c r="CB543" t="s">
        <v>2829</v>
      </c>
      <c r="CC543" t="s">
        <v>243</v>
      </c>
      <c r="CD543" t="s">
        <v>243</v>
      </c>
      <c r="CE543" t="s">
        <v>243</v>
      </c>
      <c r="CF543" t="s">
        <v>243</v>
      </c>
      <c r="CG543" t="s">
        <v>243</v>
      </c>
      <c r="CH543" t="s">
        <v>2829</v>
      </c>
      <c r="CI543" t="s">
        <v>243</v>
      </c>
      <c r="CJ543" t="s">
        <v>243</v>
      </c>
      <c r="CK543" t="s">
        <v>243</v>
      </c>
      <c r="CL543" t="s">
        <v>243</v>
      </c>
      <c r="CM543" t="s">
        <v>243</v>
      </c>
      <c r="CN543" t="s">
        <v>2888</v>
      </c>
      <c r="CO543" t="s">
        <v>2843</v>
      </c>
      <c r="CP543" t="s">
        <v>2844</v>
      </c>
      <c r="CQ543" t="s">
        <v>470</v>
      </c>
      <c r="CR543" t="s">
        <v>2872</v>
      </c>
      <c r="CS543" t="s">
        <v>431</v>
      </c>
      <c r="CT543" t="s">
        <v>470</v>
      </c>
      <c r="CU543" t="s">
        <v>3061</v>
      </c>
      <c r="CV543" t="s">
        <v>3062</v>
      </c>
      <c r="CW543" t="s">
        <v>2872</v>
      </c>
      <c r="CX543" t="s">
        <v>2848</v>
      </c>
      <c r="CY543" t="s">
        <v>3339</v>
      </c>
    </row>
    <row r="544" spans="1:103" ht="11.25" customHeight="1">
      <c r="A544" t="s">
        <v>243</v>
      </c>
      <c r="B544" t="s">
        <v>243</v>
      </c>
      <c r="C544" t="s">
        <v>243</v>
      </c>
      <c r="D544" t="s">
        <v>243</v>
      </c>
      <c r="E544" t="s">
        <v>243</v>
      </c>
      <c r="F544" t="s">
        <v>2816</v>
      </c>
      <c r="G544" t="s">
        <v>243</v>
      </c>
      <c r="H544" t="s">
        <v>243</v>
      </c>
      <c r="I544" t="s">
        <v>3340</v>
      </c>
      <c r="J544" t="s">
        <v>243</v>
      </c>
      <c r="K544" t="s">
        <v>3341</v>
      </c>
      <c r="L544" t="s">
        <v>243</v>
      </c>
      <c r="M544" t="s">
        <v>114</v>
      </c>
      <c r="N544" t="s">
        <v>243</v>
      </c>
      <c r="O544" t="s">
        <v>2819</v>
      </c>
      <c r="P544" t="s">
        <v>4448</v>
      </c>
      <c r="Q544" t="s">
        <v>2821</v>
      </c>
      <c r="R544" t="s">
        <v>200</v>
      </c>
      <c r="S544" t="s">
        <v>200</v>
      </c>
      <c r="T544" t="s">
        <v>3048</v>
      </c>
      <c r="U544" t="s">
        <v>3048</v>
      </c>
      <c r="V544" t="s">
        <v>3049</v>
      </c>
      <c r="W544" t="s">
        <v>3342</v>
      </c>
      <c r="X544" t="s">
        <v>3343</v>
      </c>
      <c r="Y544" t="s">
        <v>3088</v>
      </c>
      <c r="Z544" t="s">
        <v>2848</v>
      </c>
      <c r="AA544" t="s">
        <v>3078</v>
      </c>
      <c r="AB544" t="s">
        <v>3324</v>
      </c>
      <c r="AC544" t="s">
        <v>2829</v>
      </c>
      <c r="AD544" t="s">
        <v>2883</v>
      </c>
      <c r="AE544" t="s">
        <v>2831</v>
      </c>
      <c r="AF544" t="s">
        <v>3055</v>
      </c>
      <c r="AG544" t="s">
        <v>3055</v>
      </c>
      <c r="AH544" t="s">
        <v>2834</v>
      </c>
      <c r="AI544" t="s">
        <v>2835</v>
      </c>
      <c r="AJ544" t="s">
        <v>2888</v>
      </c>
      <c r="AK544" t="s">
        <v>3080</v>
      </c>
      <c r="AL544" t="s">
        <v>3078</v>
      </c>
      <c r="AM544" t="s">
        <v>3324</v>
      </c>
      <c r="AN544" t="s">
        <v>243</v>
      </c>
      <c r="AO544" t="s">
        <v>2839</v>
      </c>
      <c r="AP544" t="s">
        <v>2840</v>
      </c>
      <c r="AQ544" t="s">
        <v>2841</v>
      </c>
      <c r="AR544" t="s">
        <v>3324</v>
      </c>
      <c r="AS544" t="s">
        <v>3324</v>
      </c>
      <c r="AT544" t="s">
        <v>2829</v>
      </c>
      <c r="AU544" t="s">
        <v>2829</v>
      </c>
      <c r="AV544" t="s">
        <v>2829</v>
      </c>
      <c r="AW544" t="s">
        <v>2829</v>
      </c>
      <c r="AX544" t="s">
        <v>2829</v>
      </c>
      <c r="AY544" t="s">
        <v>2829</v>
      </c>
      <c r="AZ544" t="s">
        <v>2829</v>
      </c>
      <c r="BA544" t="s">
        <v>2829</v>
      </c>
      <c r="BB544" t="s">
        <v>2829</v>
      </c>
      <c r="BC544" t="s">
        <v>2829</v>
      </c>
      <c r="BD544" t="s">
        <v>3324</v>
      </c>
      <c r="BE544" t="s">
        <v>3324</v>
      </c>
      <c r="BF544" t="s">
        <v>243</v>
      </c>
      <c r="BG544" t="s">
        <v>243</v>
      </c>
      <c r="BH544" t="s">
        <v>243</v>
      </c>
      <c r="BI544" t="s">
        <v>243</v>
      </c>
      <c r="BJ544" t="s">
        <v>2829</v>
      </c>
      <c r="BK544" t="s">
        <v>243</v>
      </c>
      <c r="BL544" t="s">
        <v>243</v>
      </c>
      <c r="BM544" t="s">
        <v>243</v>
      </c>
      <c r="BN544" t="s">
        <v>243</v>
      </c>
      <c r="BO544" t="s">
        <v>243</v>
      </c>
      <c r="BP544" t="s">
        <v>2829</v>
      </c>
      <c r="BQ544" t="s">
        <v>243</v>
      </c>
      <c r="BR544" t="s">
        <v>243</v>
      </c>
      <c r="BS544" t="s">
        <v>243</v>
      </c>
      <c r="BT544" t="s">
        <v>243</v>
      </c>
      <c r="BU544" t="s">
        <v>243</v>
      </c>
      <c r="BV544" t="s">
        <v>2829</v>
      </c>
      <c r="BW544" t="s">
        <v>243</v>
      </c>
      <c r="BX544" t="s">
        <v>243</v>
      </c>
      <c r="BY544" t="s">
        <v>243</v>
      </c>
      <c r="BZ544" t="s">
        <v>243</v>
      </c>
      <c r="CA544" t="s">
        <v>243</v>
      </c>
      <c r="CB544" t="s">
        <v>2829</v>
      </c>
      <c r="CC544" t="s">
        <v>243</v>
      </c>
      <c r="CD544" t="s">
        <v>243</v>
      </c>
      <c r="CE544" t="s">
        <v>243</v>
      </c>
      <c r="CF544" t="s">
        <v>243</v>
      </c>
      <c r="CG544" t="s">
        <v>243</v>
      </c>
      <c r="CH544" t="s">
        <v>2829</v>
      </c>
      <c r="CI544" t="s">
        <v>243</v>
      </c>
      <c r="CJ544" t="s">
        <v>243</v>
      </c>
      <c r="CK544" t="s">
        <v>243</v>
      </c>
      <c r="CL544" t="s">
        <v>243</v>
      </c>
      <c r="CM544" t="s">
        <v>243</v>
      </c>
      <c r="CN544" t="s">
        <v>2888</v>
      </c>
      <c r="CO544" t="s">
        <v>2843</v>
      </c>
      <c r="CP544" t="s">
        <v>2844</v>
      </c>
      <c r="CQ544" t="s">
        <v>470</v>
      </c>
      <c r="CR544" t="s">
        <v>2872</v>
      </c>
      <c r="CS544" t="s">
        <v>431</v>
      </c>
      <c r="CT544" t="s">
        <v>470</v>
      </c>
      <c r="CU544" t="s">
        <v>3061</v>
      </c>
      <c r="CV544" t="s">
        <v>3062</v>
      </c>
      <c r="CW544" t="s">
        <v>2872</v>
      </c>
      <c r="CX544" t="s">
        <v>2848</v>
      </c>
      <c r="CY544" t="s">
        <v>3344</v>
      </c>
    </row>
    <row r="545" spans="1:103" ht="11.25" customHeight="1">
      <c r="A545" t="s">
        <v>243</v>
      </c>
      <c r="B545" t="s">
        <v>243</v>
      </c>
      <c r="C545" t="s">
        <v>243</v>
      </c>
      <c r="D545" t="s">
        <v>243</v>
      </c>
      <c r="E545" t="s">
        <v>243</v>
      </c>
      <c r="F545" t="s">
        <v>2816</v>
      </c>
      <c r="G545" t="s">
        <v>243</v>
      </c>
      <c r="H545" t="s">
        <v>243</v>
      </c>
      <c r="I545" t="s">
        <v>3833</v>
      </c>
      <c r="J545" t="s">
        <v>243</v>
      </c>
      <c r="K545" t="s">
        <v>3487</v>
      </c>
      <c r="L545" t="s">
        <v>243</v>
      </c>
      <c r="M545" t="s">
        <v>114</v>
      </c>
      <c r="N545" t="s">
        <v>243</v>
      </c>
      <c r="O545" t="s">
        <v>2819</v>
      </c>
      <c r="P545" t="s">
        <v>4448</v>
      </c>
      <c r="Q545" t="s">
        <v>2821</v>
      </c>
      <c r="R545" t="s">
        <v>200</v>
      </c>
      <c r="S545" t="s">
        <v>200</v>
      </c>
      <c r="T545" t="s">
        <v>2822</v>
      </c>
      <c r="U545" t="s">
        <v>2822</v>
      </c>
      <c r="V545" t="s">
        <v>2823</v>
      </c>
      <c r="W545" t="s">
        <v>3834</v>
      </c>
      <c r="X545" t="s">
        <v>3835</v>
      </c>
      <c r="Y545" t="s">
        <v>2918</v>
      </c>
      <c r="Z545" t="s">
        <v>861</v>
      </c>
      <c r="AA545" t="s">
        <v>3457</v>
      </c>
      <c r="AB545" t="s">
        <v>2859</v>
      </c>
      <c r="AC545" t="s">
        <v>2829</v>
      </c>
      <c r="AD545" t="s">
        <v>2830</v>
      </c>
      <c r="AE545" t="s">
        <v>2831</v>
      </c>
      <c r="AF545" t="s">
        <v>3836</v>
      </c>
      <c r="AG545" t="s">
        <v>3837</v>
      </c>
      <c r="AH545" t="s">
        <v>2834</v>
      </c>
      <c r="AI545" t="s">
        <v>2835</v>
      </c>
      <c r="AJ545" t="s">
        <v>2960</v>
      </c>
      <c r="AK545" t="s">
        <v>3838</v>
      </c>
      <c r="AL545" t="s">
        <v>3457</v>
      </c>
      <c r="AM545" t="s">
        <v>2859</v>
      </c>
      <c r="AN545" t="s">
        <v>2829</v>
      </c>
      <c r="AO545" t="s">
        <v>2839</v>
      </c>
      <c r="AP545" t="s">
        <v>2840</v>
      </c>
      <c r="AQ545" t="s">
        <v>2841</v>
      </c>
      <c r="AR545" t="s">
        <v>3839</v>
      </c>
      <c r="AS545" t="s">
        <v>3839</v>
      </c>
      <c r="AT545" t="s">
        <v>2829</v>
      </c>
      <c r="AU545" t="s">
        <v>2829</v>
      </c>
      <c r="AV545" t="s">
        <v>2829</v>
      </c>
      <c r="AW545" t="s">
        <v>2829</v>
      </c>
      <c r="AX545" t="s">
        <v>2829</v>
      </c>
      <c r="AY545" t="s">
        <v>2829</v>
      </c>
      <c r="AZ545" t="s">
        <v>2829</v>
      </c>
      <c r="BA545" t="s">
        <v>2829</v>
      </c>
      <c r="BB545" t="s">
        <v>2829</v>
      </c>
      <c r="BC545" t="s">
        <v>2829</v>
      </c>
      <c r="BD545" t="s">
        <v>3839</v>
      </c>
      <c r="BE545" t="s">
        <v>3839</v>
      </c>
      <c r="BF545" t="s">
        <v>243</v>
      </c>
      <c r="BG545" t="s">
        <v>243</v>
      </c>
      <c r="BH545" t="s">
        <v>243</v>
      </c>
      <c r="BI545" t="s">
        <v>243</v>
      </c>
      <c r="BJ545" t="s">
        <v>2829</v>
      </c>
      <c r="BK545" t="s">
        <v>243</v>
      </c>
      <c r="BL545" t="s">
        <v>243</v>
      </c>
      <c r="BM545" t="s">
        <v>243</v>
      </c>
      <c r="BN545" t="s">
        <v>243</v>
      </c>
      <c r="BO545" t="s">
        <v>243</v>
      </c>
      <c r="BP545" t="s">
        <v>2829</v>
      </c>
      <c r="BQ545" t="s">
        <v>243</v>
      </c>
      <c r="BR545" t="s">
        <v>243</v>
      </c>
      <c r="BS545" t="s">
        <v>243</v>
      </c>
      <c r="BT545" t="s">
        <v>243</v>
      </c>
      <c r="BU545" t="s">
        <v>243</v>
      </c>
      <c r="BV545" t="s">
        <v>2829</v>
      </c>
      <c r="BW545" t="s">
        <v>243</v>
      </c>
      <c r="BX545" t="s">
        <v>243</v>
      </c>
      <c r="BY545" t="s">
        <v>243</v>
      </c>
      <c r="BZ545" t="s">
        <v>243</v>
      </c>
      <c r="CA545" t="s">
        <v>243</v>
      </c>
      <c r="CB545" t="s">
        <v>2829</v>
      </c>
      <c r="CC545" t="s">
        <v>243</v>
      </c>
      <c r="CD545" t="s">
        <v>243</v>
      </c>
      <c r="CE545" t="s">
        <v>243</v>
      </c>
      <c r="CF545" t="s">
        <v>243</v>
      </c>
      <c r="CG545" t="s">
        <v>243</v>
      </c>
      <c r="CH545" t="s">
        <v>2829</v>
      </c>
      <c r="CI545" t="s">
        <v>243</v>
      </c>
      <c r="CJ545" t="s">
        <v>243</v>
      </c>
      <c r="CK545" t="s">
        <v>243</v>
      </c>
      <c r="CL545" t="s">
        <v>243</v>
      </c>
      <c r="CM545" t="s">
        <v>243</v>
      </c>
      <c r="CN545" t="s">
        <v>2960</v>
      </c>
      <c r="CO545" t="s">
        <v>2843</v>
      </c>
      <c r="CP545" t="s">
        <v>2844</v>
      </c>
      <c r="CQ545" t="s">
        <v>430</v>
      </c>
      <c r="CR545" t="s">
        <v>2845</v>
      </c>
      <c r="CS545" t="s">
        <v>431</v>
      </c>
      <c r="CT545" t="s">
        <v>430</v>
      </c>
      <c r="CU545" t="s">
        <v>2846</v>
      </c>
      <c r="CV545" t="s">
        <v>2847</v>
      </c>
      <c r="CW545" t="s">
        <v>2845</v>
      </c>
      <c r="CX545" t="s">
        <v>2848</v>
      </c>
      <c r="CY545" t="s">
        <v>3840</v>
      </c>
    </row>
    <row r="546" spans="1:103" ht="11.25" customHeight="1">
      <c r="A546" t="s">
        <v>243</v>
      </c>
      <c r="B546" t="s">
        <v>243</v>
      </c>
      <c r="C546" t="s">
        <v>243</v>
      </c>
      <c r="D546" t="s">
        <v>243</v>
      </c>
      <c r="E546" t="s">
        <v>243</v>
      </c>
      <c r="F546" t="s">
        <v>2816</v>
      </c>
      <c r="G546" t="s">
        <v>243</v>
      </c>
      <c r="H546" t="s">
        <v>243</v>
      </c>
      <c r="I546" t="s">
        <v>3611</v>
      </c>
      <c r="J546" t="s">
        <v>243</v>
      </c>
      <c r="K546" t="s">
        <v>2818</v>
      </c>
      <c r="L546" t="s">
        <v>243</v>
      </c>
      <c r="M546" t="s">
        <v>114</v>
      </c>
      <c r="N546" t="s">
        <v>243</v>
      </c>
      <c r="O546" t="s">
        <v>2819</v>
      </c>
      <c r="P546" t="s">
        <v>4448</v>
      </c>
      <c r="Q546" t="s">
        <v>2821</v>
      </c>
      <c r="R546" t="s">
        <v>200</v>
      </c>
      <c r="S546" t="s">
        <v>200</v>
      </c>
      <c r="T546" t="s">
        <v>2822</v>
      </c>
      <c r="U546" t="s">
        <v>2822</v>
      </c>
      <c r="V546" t="s">
        <v>2823</v>
      </c>
      <c r="W546" t="s">
        <v>2911</v>
      </c>
      <c r="X546" t="s">
        <v>2912</v>
      </c>
      <c r="Y546" t="s">
        <v>3380</v>
      </c>
      <c r="Z546" t="s">
        <v>4327</v>
      </c>
      <c r="AA546" t="s">
        <v>3228</v>
      </c>
      <c r="AB546" t="s">
        <v>4328</v>
      </c>
      <c r="AC546" t="s">
        <v>2829</v>
      </c>
      <c r="AD546" t="s">
        <v>2830</v>
      </c>
      <c r="AE546" t="s">
        <v>2857</v>
      </c>
      <c r="AF546" t="s">
        <v>4329</v>
      </c>
      <c r="AG546" t="s">
        <v>4329</v>
      </c>
      <c r="AH546" t="s">
        <v>2834</v>
      </c>
      <c r="AI546" t="s">
        <v>2835</v>
      </c>
      <c r="AJ546" t="s">
        <v>2829</v>
      </c>
      <c r="AK546" t="s">
        <v>2868</v>
      </c>
      <c r="AL546" t="s">
        <v>3228</v>
      </c>
      <c r="AM546" t="s">
        <v>2838</v>
      </c>
      <c r="AN546" t="s">
        <v>2829</v>
      </c>
      <c r="AO546" t="s">
        <v>2839</v>
      </c>
      <c r="AP546" t="s">
        <v>2840</v>
      </c>
      <c r="AQ546" t="s">
        <v>2841</v>
      </c>
      <c r="AR546" t="s">
        <v>4330</v>
      </c>
      <c r="AS546" t="s">
        <v>4330</v>
      </c>
      <c r="AT546" t="s">
        <v>2829</v>
      </c>
      <c r="AU546" t="s">
        <v>2829</v>
      </c>
      <c r="AV546" t="s">
        <v>2829</v>
      </c>
      <c r="AW546" t="s">
        <v>2829</v>
      </c>
      <c r="AX546" t="s">
        <v>2829</v>
      </c>
      <c r="AY546" t="s">
        <v>2829</v>
      </c>
      <c r="AZ546" t="s">
        <v>2829</v>
      </c>
      <c r="BA546" t="s">
        <v>2829</v>
      </c>
      <c r="BB546" t="s">
        <v>2829</v>
      </c>
      <c r="BC546" t="s">
        <v>2829</v>
      </c>
      <c r="BD546" t="s">
        <v>4330</v>
      </c>
      <c r="BE546" t="s">
        <v>4330</v>
      </c>
      <c r="BF546" t="s">
        <v>243</v>
      </c>
      <c r="BG546" t="s">
        <v>243</v>
      </c>
      <c r="BH546" t="s">
        <v>243</v>
      </c>
      <c r="BI546" t="s">
        <v>243</v>
      </c>
      <c r="BJ546" t="s">
        <v>2829</v>
      </c>
      <c r="BK546" t="s">
        <v>243</v>
      </c>
      <c r="BL546" t="s">
        <v>243</v>
      </c>
      <c r="BM546" t="s">
        <v>243</v>
      </c>
      <c r="BN546" t="s">
        <v>243</v>
      </c>
      <c r="BO546" t="s">
        <v>243</v>
      </c>
      <c r="BP546" t="s">
        <v>2829</v>
      </c>
      <c r="BQ546" t="s">
        <v>243</v>
      </c>
      <c r="BR546" t="s">
        <v>243</v>
      </c>
      <c r="BS546" t="s">
        <v>243</v>
      </c>
      <c r="BT546" t="s">
        <v>243</v>
      </c>
      <c r="BU546" t="s">
        <v>243</v>
      </c>
      <c r="BV546" t="s">
        <v>2829</v>
      </c>
      <c r="BW546" t="s">
        <v>243</v>
      </c>
      <c r="BX546" t="s">
        <v>243</v>
      </c>
      <c r="BY546" t="s">
        <v>243</v>
      </c>
      <c r="BZ546" t="s">
        <v>243</v>
      </c>
      <c r="CA546" t="s">
        <v>243</v>
      </c>
      <c r="CB546" t="s">
        <v>2829</v>
      </c>
      <c r="CC546" t="s">
        <v>243</v>
      </c>
      <c r="CD546" t="s">
        <v>243</v>
      </c>
      <c r="CE546" t="s">
        <v>243</v>
      </c>
      <c r="CF546" t="s">
        <v>243</v>
      </c>
      <c r="CG546" t="s">
        <v>243</v>
      </c>
      <c r="CH546" t="s">
        <v>2829</v>
      </c>
      <c r="CI546" t="s">
        <v>243</v>
      </c>
      <c r="CJ546" t="s">
        <v>243</v>
      </c>
      <c r="CK546" t="s">
        <v>243</v>
      </c>
      <c r="CL546" t="s">
        <v>243</v>
      </c>
      <c r="CM546" t="s">
        <v>243</v>
      </c>
      <c r="CN546" t="s">
        <v>2829</v>
      </c>
      <c r="CO546" t="s">
        <v>2843</v>
      </c>
      <c r="CP546" t="s">
        <v>2844</v>
      </c>
      <c r="CQ546" t="s">
        <v>430</v>
      </c>
      <c r="CR546" t="s">
        <v>2872</v>
      </c>
      <c r="CS546" t="s">
        <v>431</v>
      </c>
      <c r="CT546" t="s">
        <v>430</v>
      </c>
      <c r="CU546" t="s">
        <v>2846</v>
      </c>
      <c r="CV546" t="s">
        <v>2873</v>
      </c>
      <c r="CW546" t="s">
        <v>2872</v>
      </c>
      <c r="CX546" t="s">
        <v>2848</v>
      </c>
      <c r="CY546" t="s">
        <v>4331</v>
      </c>
    </row>
    <row r="547" spans="1:103" ht="11.25" customHeight="1">
      <c r="A547" t="s">
        <v>243</v>
      </c>
      <c r="B547" t="s">
        <v>243</v>
      </c>
      <c r="C547" t="s">
        <v>243</v>
      </c>
      <c r="D547" t="s">
        <v>243</v>
      </c>
      <c r="E547" t="s">
        <v>243</v>
      </c>
      <c r="F547" t="s">
        <v>2816</v>
      </c>
      <c r="G547" t="s">
        <v>243</v>
      </c>
      <c r="H547" t="s">
        <v>243</v>
      </c>
      <c r="I547" t="s">
        <v>3900</v>
      </c>
      <c r="J547" t="s">
        <v>243</v>
      </c>
      <c r="K547" t="s">
        <v>3901</v>
      </c>
      <c r="L547" t="s">
        <v>243</v>
      </c>
      <c r="M547" t="s">
        <v>114</v>
      </c>
      <c r="N547" t="s">
        <v>243</v>
      </c>
      <c r="O547" t="s">
        <v>2819</v>
      </c>
      <c r="P547" t="s">
        <v>4448</v>
      </c>
      <c r="Q547" t="s">
        <v>2821</v>
      </c>
      <c r="R547" t="s">
        <v>200</v>
      </c>
      <c r="S547" t="s">
        <v>200</v>
      </c>
      <c r="T547" t="s">
        <v>2933</v>
      </c>
      <c r="U547" t="s">
        <v>2933</v>
      </c>
      <c r="V547" t="s">
        <v>2934</v>
      </c>
      <c r="W547" t="s">
        <v>2935</v>
      </c>
      <c r="X547" t="s">
        <v>2936</v>
      </c>
      <c r="Y547" t="s">
        <v>3127</v>
      </c>
      <c r="Z547" t="s">
        <v>3902</v>
      </c>
      <c r="AA547" t="s">
        <v>3385</v>
      </c>
      <c r="AB547" t="s">
        <v>3038</v>
      </c>
      <c r="AC547" t="s">
        <v>2829</v>
      </c>
      <c r="AD547" t="s">
        <v>2883</v>
      </c>
      <c r="AE547" t="s">
        <v>2831</v>
      </c>
      <c r="AF547" t="s">
        <v>3903</v>
      </c>
      <c r="AG547" t="s">
        <v>3903</v>
      </c>
      <c r="AH547" t="s">
        <v>2834</v>
      </c>
      <c r="AI547" t="s">
        <v>2835</v>
      </c>
      <c r="AJ547" t="s">
        <v>2942</v>
      </c>
      <c r="AK547" t="s">
        <v>3239</v>
      </c>
      <c r="AL547" t="s">
        <v>3385</v>
      </c>
      <c r="AM547" t="s">
        <v>3038</v>
      </c>
      <c r="AN547" t="s">
        <v>243</v>
      </c>
      <c r="AO547" t="s">
        <v>2839</v>
      </c>
      <c r="AP547" t="s">
        <v>2840</v>
      </c>
      <c r="AQ547" t="s">
        <v>2841</v>
      </c>
      <c r="AR547" t="s">
        <v>3904</v>
      </c>
      <c r="AS547" t="s">
        <v>3904</v>
      </c>
      <c r="AT547" t="s">
        <v>2829</v>
      </c>
      <c r="AU547" t="s">
        <v>2829</v>
      </c>
      <c r="AV547" t="s">
        <v>2829</v>
      </c>
      <c r="AW547" t="s">
        <v>2829</v>
      </c>
      <c r="AX547" t="s">
        <v>2829</v>
      </c>
      <c r="AY547" t="s">
        <v>2829</v>
      </c>
      <c r="AZ547" t="s">
        <v>2829</v>
      </c>
      <c r="BA547" t="s">
        <v>2829</v>
      </c>
      <c r="BB547" t="s">
        <v>2829</v>
      </c>
      <c r="BC547" t="s">
        <v>2829</v>
      </c>
      <c r="BD547" t="s">
        <v>3905</v>
      </c>
      <c r="BE547" t="s">
        <v>3905</v>
      </c>
      <c r="BF547" t="s">
        <v>243</v>
      </c>
      <c r="BG547" t="s">
        <v>243</v>
      </c>
      <c r="BH547" t="s">
        <v>243</v>
      </c>
      <c r="BI547" t="s">
        <v>243</v>
      </c>
      <c r="BJ547" t="s">
        <v>2829</v>
      </c>
      <c r="BK547" t="s">
        <v>243</v>
      </c>
      <c r="BL547" t="s">
        <v>243</v>
      </c>
      <c r="BM547" t="s">
        <v>243</v>
      </c>
      <c r="BN547" t="s">
        <v>243</v>
      </c>
      <c r="BO547" t="s">
        <v>243</v>
      </c>
      <c r="BP547" t="s">
        <v>3906</v>
      </c>
      <c r="BQ547" t="s">
        <v>3906</v>
      </c>
      <c r="BR547" t="s">
        <v>243</v>
      </c>
      <c r="BS547" t="s">
        <v>243</v>
      </c>
      <c r="BT547" t="s">
        <v>243</v>
      </c>
      <c r="BU547" t="s">
        <v>243</v>
      </c>
      <c r="BV547" t="s">
        <v>2829</v>
      </c>
      <c r="BW547" t="s">
        <v>243</v>
      </c>
      <c r="BX547" t="s">
        <v>243</v>
      </c>
      <c r="BY547" t="s">
        <v>243</v>
      </c>
      <c r="BZ547" t="s">
        <v>243</v>
      </c>
      <c r="CA547" t="s">
        <v>243</v>
      </c>
      <c r="CB547" t="s">
        <v>2829</v>
      </c>
      <c r="CC547" t="s">
        <v>243</v>
      </c>
      <c r="CD547" t="s">
        <v>243</v>
      </c>
      <c r="CE547" t="s">
        <v>243</v>
      </c>
      <c r="CF547" t="s">
        <v>243</v>
      </c>
      <c r="CG547" t="s">
        <v>243</v>
      </c>
      <c r="CH547" t="s">
        <v>2829</v>
      </c>
      <c r="CI547" t="s">
        <v>243</v>
      </c>
      <c r="CJ547" t="s">
        <v>243</v>
      </c>
      <c r="CK547" t="s">
        <v>243</v>
      </c>
      <c r="CL547" t="s">
        <v>243</v>
      </c>
      <c r="CM547" t="s">
        <v>243</v>
      </c>
      <c r="CN547" t="s">
        <v>2942</v>
      </c>
      <c r="CO547" t="s">
        <v>2843</v>
      </c>
      <c r="CP547" t="s">
        <v>2844</v>
      </c>
      <c r="CQ547" t="s">
        <v>430</v>
      </c>
      <c r="CR547" t="s">
        <v>2947</v>
      </c>
      <c r="CS547" t="s">
        <v>431</v>
      </c>
      <c r="CT547" t="s">
        <v>430</v>
      </c>
      <c r="CU547" t="s">
        <v>2948</v>
      </c>
      <c r="CV547" t="s">
        <v>2949</v>
      </c>
      <c r="CW547" t="s">
        <v>2947</v>
      </c>
      <c r="CX547" t="s">
        <v>2848</v>
      </c>
      <c r="CY547" t="s">
        <v>3907</v>
      </c>
    </row>
    <row r="548" spans="1:103" ht="11.25" customHeight="1">
      <c r="A548" t="s">
        <v>243</v>
      </c>
      <c r="B548" t="s">
        <v>243</v>
      </c>
      <c r="C548" t="s">
        <v>243</v>
      </c>
      <c r="D548" t="s">
        <v>243</v>
      </c>
      <c r="E548" t="s">
        <v>243</v>
      </c>
      <c r="F548" t="s">
        <v>2816</v>
      </c>
      <c r="G548" t="s">
        <v>243</v>
      </c>
      <c r="H548" t="s">
        <v>243</v>
      </c>
      <c r="I548" t="s">
        <v>3036</v>
      </c>
      <c r="J548" t="s">
        <v>243</v>
      </c>
      <c r="K548" t="s">
        <v>3037</v>
      </c>
      <c r="L548" t="s">
        <v>243</v>
      </c>
      <c r="M548" t="s">
        <v>114</v>
      </c>
      <c r="N548" t="s">
        <v>243</v>
      </c>
      <c r="O548" t="s">
        <v>2819</v>
      </c>
      <c r="P548" t="s">
        <v>4448</v>
      </c>
      <c r="Q548" t="s">
        <v>2821</v>
      </c>
      <c r="R548" t="s">
        <v>200</v>
      </c>
      <c r="S548" t="s">
        <v>200</v>
      </c>
      <c r="T548" t="s">
        <v>3022</v>
      </c>
      <c r="U548" t="s">
        <v>3022</v>
      </c>
      <c r="V548" t="s">
        <v>3023</v>
      </c>
      <c r="W548" t="s">
        <v>3024</v>
      </c>
      <c r="X548" t="s">
        <v>3025</v>
      </c>
      <c r="Y548" t="s">
        <v>2918</v>
      </c>
      <c r="Z548" t="s">
        <v>469</v>
      </c>
      <c r="AA548" t="s">
        <v>3038</v>
      </c>
      <c r="AB548" t="s">
        <v>3039</v>
      </c>
      <c r="AC548" t="s">
        <v>2829</v>
      </c>
      <c r="AD548" t="s">
        <v>2883</v>
      </c>
      <c r="AE548" t="s">
        <v>2831</v>
      </c>
      <c r="AF548" t="s">
        <v>3040</v>
      </c>
      <c r="AG548" t="s">
        <v>3040</v>
      </c>
      <c r="AH548" t="s">
        <v>2834</v>
      </c>
      <c r="AI548" t="s">
        <v>2835</v>
      </c>
      <c r="AJ548" t="s">
        <v>3041</v>
      </c>
      <c r="AK548" t="s">
        <v>3042</v>
      </c>
      <c r="AL548" t="s">
        <v>3038</v>
      </c>
      <c r="AM548" t="s">
        <v>3039</v>
      </c>
      <c r="AN548" t="s">
        <v>2829</v>
      </c>
      <c r="AO548" t="s">
        <v>2839</v>
      </c>
      <c r="AP548" t="s">
        <v>2840</v>
      </c>
      <c r="AQ548" t="s">
        <v>2841</v>
      </c>
      <c r="AR548" t="s">
        <v>3043</v>
      </c>
      <c r="AS548" t="s">
        <v>3043</v>
      </c>
      <c r="AT548" t="s">
        <v>2829</v>
      </c>
      <c r="AU548" t="s">
        <v>2829</v>
      </c>
      <c r="AV548" t="s">
        <v>2829</v>
      </c>
      <c r="AW548" t="s">
        <v>2829</v>
      </c>
      <c r="AX548" t="s">
        <v>2829</v>
      </c>
      <c r="AY548" t="s">
        <v>2829</v>
      </c>
      <c r="AZ548" t="s">
        <v>2829</v>
      </c>
      <c r="BA548" t="s">
        <v>2829</v>
      </c>
      <c r="BB548" t="s">
        <v>2829</v>
      </c>
      <c r="BC548" t="s">
        <v>2829</v>
      </c>
      <c r="BD548" t="s">
        <v>2829</v>
      </c>
      <c r="BE548" t="s">
        <v>243</v>
      </c>
      <c r="BF548" t="s">
        <v>243</v>
      </c>
      <c r="BG548" t="s">
        <v>243</v>
      </c>
      <c r="BH548" t="s">
        <v>243</v>
      </c>
      <c r="BI548" t="s">
        <v>243</v>
      </c>
      <c r="BJ548" t="s">
        <v>2829</v>
      </c>
      <c r="BK548" t="s">
        <v>243</v>
      </c>
      <c r="BL548" t="s">
        <v>243</v>
      </c>
      <c r="BM548" t="s">
        <v>243</v>
      </c>
      <c r="BN548" t="s">
        <v>243</v>
      </c>
      <c r="BO548" t="s">
        <v>243</v>
      </c>
      <c r="BP548" t="s">
        <v>3043</v>
      </c>
      <c r="BQ548" t="s">
        <v>3043</v>
      </c>
      <c r="BR548" t="s">
        <v>243</v>
      </c>
      <c r="BS548" t="s">
        <v>243</v>
      </c>
      <c r="BT548" t="s">
        <v>243</v>
      </c>
      <c r="BU548" t="s">
        <v>243</v>
      </c>
      <c r="BV548" t="s">
        <v>2829</v>
      </c>
      <c r="BW548" t="s">
        <v>243</v>
      </c>
      <c r="BX548" t="s">
        <v>243</v>
      </c>
      <c r="BY548" t="s">
        <v>243</v>
      </c>
      <c r="BZ548" t="s">
        <v>243</v>
      </c>
      <c r="CA548" t="s">
        <v>243</v>
      </c>
      <c r="CB548" t="s">
        <v>2829</v>
      </c>
      <c r="CC548" t="s">
        <v>243</v>
      </c>
      <c r="CD548" t="s">
        <v>243</v>
      </c>
      <c r="CE548" t="s">
        <v>243</v>
      </c>
      <c r="CF548" t="s">
        <v>243</v>
      </c>
      <c r="CG548" t="s">
        <v>243</v>
      </c>
      <c r="CH548" t="s">
        <v>2829</v>
      </c>
      <c r="CI548" t="s">
        <v>243</v>
      </c>
      <c r="CJ548" t="s">
        <v>243</v>
      </c>
      <c r="CK548" t="s">
        <v>243</v>
      </c>
      <c r="CL548" t="s">
        <v>243</v>
      </c>
      <c r="CM548" t="s">
        <v>243</v>
      </c>
      <c r="CN548" t="s">
        <v>3044</v>
      </c>
      <c r="CO548" t="s">
        <v>2843</v>
      </c>
      <c r="CP548" t="s">
        <v>2844</v>
      </c>
      <c r="CQ548" t="s">
        <v>430</v>
      </c>
      <c r="CR548" t="s">
        <v>3033</v>
      </c>
      <c r="CS548" t="s">
        <v>431</v>
      </c>
      <c r="CT548" t="s">
        <v>430</v>
      </c>
      <c r="CU548" t="s">
        <v>3034</v>
      </c>
      <c r="CV548" t="s">
        <v>432</v>
      </c>
      <c r="CW548" t="s">
        <v>3033</v>
      </c>
      <c r="CX548" t="s">
        <v>2848</v>
      </c>
      <c r="CY548" t="s">
        <v>3045</v>
      </c>
    </row>
    <row r="549" spans="1:103" ht="11.25" customHeight="1">
      <c r="A549" t="s">
        <v>243</v>
      </c>
      <c r="B549" t="s">
        <v>243</v>
      </c>
      <c r="C549" t="s">
        <v>243</v>
      </c>
      <c r="D549" t="s">
        <v>243</v>
      </c>
      <c r="E549" t="s">
        <v>243</v>
      </c>
      <c r="F549" t="s">
        <v>2816</v>
      </c>
      <c r="G549" t="s">
        <v>243</v>
      </c>
      <c r="H549" t="s">
        <v>243</v>
      </c>
      <c r="I549" t="s">
        <v>861</v>
      </c>
      <c r="J549" t="s">
        <v>243</v>
      </c>
      <c r="K549" t="s">
        <v>3281</v>
      </c>
      <c r="L549" t="s">
        <v>243</v>
      </c>
      <c r="M549" t="s">
        <v>114</v>
      </c>
      <c r="N549" t="s">
        <v>243</v>
      </c>
      <c r="O549" t="s">
        <v>2819</v>
      </c>
      <c r="P549" t="s">
        <v>4448</v>
      </c>
      <c r="Q549" t="s">
        <v>2821</v>
      </c>
      <c r="R549" t="s">
        <v>200</v>
      </c>
      <c r="S549" t="s">
        <v>200</v>
      </c>
      <c r="T549" t="s">
        <v>2822</v>
      </c>
      <c r="U549" t="s">
        <v>2822</v>
      </c>
      <c r="V549" t="s">
        <v>2823</v>
      </c>
      <c r="W549" t="s">
        <v>3841</v>
      </c>
      <c r="X549" t="s">
        <v>3842</v>
      </c>
      <c r="Y549" t="s">
        <v>2913</v>
      </c>
      <c r="Z549" t="s">
        <v>3843</v>
      </c>
      <c r="AA549" t="s">
        <v>3094</v>
      </c>
      <c r="AB549" t="s">
        <v>3229</v>
      </c>
      <c r="AC549" t="s">
        <v>2829</v>
      </c>
      <c r="AD549" t="s">
        <v>2830</v>
      </c>
      <c r="AE549" t="s">
        <v>2831</v>
      </c>
      <c r="AF549" t="s">
        <v>3844</v>
      </c>
      <c r="AG549" t="s">
        <v>3845</v>
      </c>
      <c r="AH549" t="s">
        <v>2834</v>
      </c>
      <c r="AI549" t="s">
        <v>2835</v>
      </c>
      <c r="AJ549" t="s">
        <v>2960</v>
      </c>
      <c r="AK549" t="s">
        <v>2889</v>
      </c>
      <c r="AL549" t="s">
        <v>3094</v>
      </c>
      <c r="AM549" t="s">
        <v>3229</v>
      </c>
      <c r="AN549" t="s">
        <v>2829</v>
      </c>
      <c r="AO549" t="s">
        <v>2839</v>
      </c>
      <c r="AP549" t="s">
        <v>2840</v>
      </c>
      <c r="AQ549" t="s">
        <v>2841</v>
      </c>
      <c r="AR549" t="s">
        <v>3779</v>
      </c>
      <c r="AS549" t="s">
        <v>3779</v>
      </c>
      <c r="AT549" t="s">
        <v>2829</v>
      </c>
      <c r="AU549" t="s">
        <v>2829</v>
      </c>
      <c r="AV549" t="s">
        <v>2829</v>
      </c>
      <c r="AW549" t="s">
        <v>2829</v>
      </c>
      <c r="AX549" t="s">
        <v>2829</v>
      </c>
      <c r="AY549" t="s">
        <v>2829</v>
      </c>
      <c r="AZ549" t="s">
        <v>2829</v>
      </c>
      <c r="BA549" t="s">
        <v>2829</v>
      </c>
      <c r="BB549" t="s">
        <v>2829</v>
      </c>
      <c r="BC549" t="s">
        <v>2829</v>
      </c>
      <c r="BD549" t="s">
        <v>3846</v>
      </c>
      <c r="BE549" t="s">
        <v>3846</v>
      </c>
      <c r="BF549" t="s">
        <v>243</v>
      </c>
      <c r="BG549" t="s">
        <v>243</v>
      </c>
      <c r="BH549" t="s">
        <v>243</v>
      </c>
      <c r="BI549" t="s">
        <v>243</v>
      </c>
      <c r="BJ549" t="s">
        <v>2829</v>
      </c>
      <c r="BK549" t="s">
        <v>243</v>
      </c>
      <c r="BL549" t="s">
        <v>243</v>
      </c>
      <c r="BM549" t="s">
        <v>243</v>
      </c>
      <c r="BN549" t="s">
        <v>243</v>
      </c>
      <c r="BO549" t="s">
        <v>243</v>
      </c>
      <c r="BP549" t="s">
        <v>2829</v>
      </c>
      <c r="BQ549" t="s">
        <v>243</v>
      </c>
      <c r="BR549" t="s">
        <v>243</v>
      </c>
      <c r="BS549" t="s">
        <v>243</v>
      </c>
      <c r="BT549" t="s">
        <v>243</v>
      </c>
      <c r="BU549" t="s">
        <v>243</v>
      </c>
      <c r="BV549" t="s">
        <v>2829</v>
      </c>
      <c r="BW549" t="s">
        <v>243</v>
      </c>
      <c r="BX549" t="s">
        <v>243</v>
      </c>
      <c r="BY549" t="s">
        <v>243</v>
      </c>
      <c r="BZ549" t="s">
        <v>243</v>
      </c>
      <c r="CA549" t="s">
        <v>243</v>
      </c>
      <c r="CB549" t="s">
        <v>3846</v>
      </c>
      <c r="CC549" t="s">
        <v>3846</v>
      </c>
      <c r="CD549" t="s">
        <v>243</v>
      </c>
      <c r="CE549" t="s">
        <v>243</v>
      </c>
      <c r="CF549" t="s">
        <v>243</v>
      </c>
      <c r="CG549" t="s">
        <v>243</v>
      </c>
      <c r="CH549" t="s">
        <v>2829</v>
      </c>
      <c r="CI549" t="s">
        <v>243</v>
      </c>
      <c r="CJ549" t="s">
        <v>243</v>
      </c>
      <c r="CK549" t="s">
        <v>243</v>
      </c>
      <c r="CL549" t="s">
        <v>243</v>
      </c>
      <c r="CM549" t="s">
        <v>243</v>
      </c>
      <c r="CN549" t="s">
        <v>2960</v>
      </c>
      <c r="CO549" t="s">
        <v>2843</v>
      </c>
      <c r="CP549" t="s">
        <v>2844</v>
      </c>
      <c r="CQ549" t="s">
        <v>430</v>
      </c>
      <c r="CR549" t="s">
        <v>2845</v>
      </c>
      <c r="CS549" t="s">
        <v>431</v>
      </c>
      <c r="CT549" t="s">
        <v>430</v>
      </c>
      <c r="CU549" t="s">
        <v>2846</v>
      </c>
      <c r="CV549" t="s">
        <v>2847</v>
      </c>
      <c r="CW549" t="s">
        <v>2845</v>
      </c>
      <c r="CX549" t="s">
        <v>2848</v>
      </c>
      <c r="CY549" t="s">
        <v>3847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4D87B-7142-CEE8-D518-519CF7813DB8}">
  <sheetPr>
    <tabColor rgb="FFFFCC99"/>
  </sheetPr>
  <dimension ref="A1:C230"/>
  <sheetViews>
    <sheetView showGridLines="0" workbookViewId="0"/>
  </sheetViews>
  <sheetFormatPr defaultRowHeight="11.25" customHeight="1"/>
  <sheetData>
    <row r="1" spans="1:3" ht="11.25" customHeight="1">
      <c r="A1" t="s">
        <v>4472</v>
      </c>
      <c r="B1" t="s">
        <v>4473</v>
      </c>
      <c r="C1" t="s">
        <v>4474</v>
      </c>
    </row>
    <row r="2" spans="1:3" ht="11.25" customHeight="1">
      <c r="A2" t="s">
        <v>4475</v>
      </c>
      <c r="B2" t="s">
        <v>4475</v>
      </c>
      <c r="C2" t="s">
        <v>4476</v>
      </c>
    </row>
    <row r="3" spans="1:3" ht="11.25" customHeight="1">
      <c r="A3" t="s">
        <v>4477</v>
      </c>
      <c r="B3" t="s">
        <v>4477</v>
      </c>
      <c r="C3" t="s">
        <v>4478</v>
      </c>
    </row>
    <row r="4" spans="1:3" ht="11.25" customHeight="1">
      <c r="A4" t="s">
        <v>4479</v>
      </c>
      <c r="B4" t="s">
        <v>4479</v>
      </c>
      <c r="C4" t="s">
        <v>4480</v>
      </c>
    </row>
    <row r="5" spans="1:3" ht="11.25" customHeight="1">
      <c r="A5" t="s">
        <v>4481</v>
      </c>
      <c r="B5" t="s">
        <v>4481</v>
      </c>
      <c r="C5" t="s">
        <v>4482</v>
      </c>
    </row>
    <row r="6" spans="1:3" ht="11.25" customHeight="1">
      <c r="A6" t="s">
        <v>4483</v>
      </c>
      <c r="B6" t="s">
        <v>4483</v>
      </c>
      <c r="C6" t="s">
        <v>4484</v>
      </c>
    </row>
    <row r="7" spans="1:3" ht="11.25" customHeight="1">
      <c r="A7" t="s">
        <v>2933</v>
      </c>
      <c r="B7" t="s">
        <v>2933</v>
      </c>
      <c r="C7" t="s">
        <v>4456</v>
      </c>
    </row>
    <row r="8" spans="1:3" ht="11.25" customHeight="1">
      <c r="A8" t="s">
        <v>2933</v>
      </c>
      <c r="B8" t="s">
        <v>2933</v>
      </c>
      <c r="C8" t="s">
        <v>2934</v>
      </c>
    </row>
    <row r="9" spans="1:3" ht="11.25" customHeight="1">
      <c r="A9" t="s">
        <v>4485</v>
      </c>
      <c r="B9" t="s">
        <v>4485</v>
      </c>
      <c r="C9" t="s">
        <v>4486</v>
      </c>
    </row>
    <row r="10" spans="1:3" ht="11.25" customHeight="1">
      <c r="A10" t="s">
        <v>4487</v>
      </c>
      <c r="B10" t="s">
        <v>4487</v>
      </c>
      <c r="C10" t="s">
        <v>4488</v>
      </c>
    </row>
    <row r="11" spans="1:3" ht="11.25" customHeight="1">
      <c r="A11" t="s">
        <v>4489</v>
      </c>
      <c r="B11" t="s">
        <v>4489</v>
      </c>
      <c r="C11" t="s">
        <v>4490</v>
      </c>
    </row>
    <row r="12" spans="1:3" ht="11.25" customHeight="1">
      <c r="A12" t="s">
        <v>4491</v>
      </c>
      <c r="B12" t="s">
        <v>4491</v>
      </c>
      <c r="C12" t="s">
        <v>4492</v>
      </c>
    </row>
    <row r="13" spans="1:3" ht="11.25" customHeight="1">
      <c r="A13" t="s">
        <v>2822</v>
      </c>
      <c r="B13" t="s">
        <v>2822</v>
      </c>
      <c r="C13" t="s">
        <v>2823</v>
      </c>
    </row>
    <row r="14" spans="1:3" ht="11.25" customHeight="1">
      <c r="A14" t="s">
        <v>4493</v>
      </c>
      <c r="B14" t="s">
        <v>4493</v>
      </c>
      <c r="C14" t="s">
        <v>4494</v>
      </c>
    </row>
    <row r="15" spans="1:3" ht="11.25" customHeight="1">
      <c r="A15" t="s">
        <v>4495</v>
      </c>
      <c r="B15" t="s">
        <v>4495</v>
      </c>
      <c r="C15" t="s">
        <v>4496</v>
      </c>
    </row>
    <row r="16" spans="1:3" ht="11.25" customHeight="1">
      <c r="A16" t="s">
        <v>4497</v>
      </c>
      <c r="B16" t="s">
        <v>4497</v>
      </c>
      <c r="C16" t="s">
        <v>4498</v>
      </c>
    </row>
    <row r="17" spans="1:3" ht="11.25" customHeight="1">
      <c r="A17" t="s">
        <v>4499</v>
      </c>
      <c r="B17" t="s">
        <v>4499</v>
      </c>
      <c r="C17" t="s">
        <v>4500</v>
      </c>
    </row>
    <row r="18" spans="1:3" ht="11.25" customHeight="1">
      <c r="A18" t="s">
        <v>2968</v>
      </c>
      <c r="B18" t="s">
        <v>2968</v>
      </c>
      <c r="C18" t="s">
        <v>2969</v>
      </c>
    </row>
    <row r="19" spans="1:3" ht="11.25" customHeight="1">
      <c r="A19" t="s">
        <v>4501</v>
      </c>
      <c r="B19" t="s">
        <v>4501</v>
      </c>
      <c r="C19" t="s">
        <v>4502</v>
      </c>
    </row>
    <row r="20" spans="1:3" ht="11.25" customHeight="1">
      <c r="A20" t="s">
        <v>3048</v>
      </c>
      <c r="B20" t="s">
        <v>3048</v>
      </c>
      <c r="C20" t="s">
        <v>3049</v>
      </c>
    </row>
    <row r="21" spans="1:3" ht="11.25" customHeight="1">
      <c r="A21" t="s">
        <v>3022</v>
      </c>
      <c r="B21" t="s">
        <v>3022</v>
      </c>
      <c r="C21" t="s">
        <v>3023</v>
      </c>
    </row>
    <row r="22" spans="1:3" ht="11.25" customHeight="1">
      <c r="A22" t="s">
        <v>4503</v>
      </c>
      <c r="B22" t="s">
        <v>4504</v>
      </c>
      <c r="C22" t="s">
        <v>4505</v>
      </c>
    </row>
    <row r="23" spans="1:3" ht="11.25" customHeight="1">
      <c r="A23" t="s">
        <v>4503</v>
      </c>
      <c r="B23" t="s">
        <v>4506</v>
      </c>
      <c r="C23" t="s">
        <v>4507</v>
      </c>
    </row>
    <row r="24" spans="1:3" ht="11.25" customHeight="1">
      <c r="A24" t="s">
        <v>4503</v>
      </c>
      <c r="B24" t="s">
        <v>4508</v>
      </c>
      <c r="C24" t="s">
        <v>4509</v>
      </c>
    </row>
    <row r="25" spans="1:3" ht="11.25" customHeight="1">
      <c r="A25" t="s">
        <v>4503</v>
      </c>
      <c r="B25" t="s">
        <v>4510</v>
      </c>
      <c r="C25" t="s">
        <v>4511</v>
      </c>
    </row>
    <row r="26" spans="1:3" ht="11.25" customHeight="1">
      <c r="A26" t="s">
        <v>4503</v>
      </c>
      <c r="B26" t="s">
        <v>4512</v>
      </c>
      <c r="C26" t="s">
        <v>4513</v>
      </c>
    </row>
    <row r="27" spans="1:3" ht="11.25" customHeight="1">
      <c r="A27" t="s">
        <v>4503</v>
      </c>
      <c r="B27" t="s">
        <v>4514</v>
      </c>
      <c r="C27" t="s">
        <v>4515</v>
      </c>
    </row>
    <row r="28" spans="1:3" ht="11.25" customHeight="1">
      <c r="A28" t="s">
        <v>4503</v>
      </c>
      <c r="B28" t="s">
        <v>4516</v>
      </c>
      <c r="C28" t="s">
        <v>4517</v>
      </c>
    </row>
    <row r="29" spans="1:3" ht="11.25" customHeight="1">
      <c r="A29" t="s">
        <v>4503</v>
      </c>
      <c r="B29" t="s">
        <v>4518</v>
      </c>
      <c r="C29" t="s">
        <v>4519</v>
      </c>
    </row>
    <row r="30" spans="1:3" ht="11.25" customHeight="1">
      <c r="A30" t="s">
        <v>4520</v>
      </c>
      <c r="B30" t="s">
        <v>4521</v>
      </c>
      <c r="C30" t="s">
        <v>4522</v>
      </c>
    </row>
    <row r="31" spans="1:3" ht="11.25" customHeight="1">
      <c r="A31" t="s">
        <v>4520</v>
      </c>
      <c r="B31" t="s">
        <v>4523</v>
      </c>
      <c r="C31" t="s">
        <v>4524</v>
      </c>
    </row>
    <row r="32" spans="1:3" ht="11.25" customHeight="1">
      <c r="A32" t="s">
        <v>4520</v>
      </c>
      <c r="B32" t="s">
        <v>4525</v>
      </c>
      <c r="C32" t="s">
        <v>4526</v>
      </c>
    </row>
    <row r="33" spans="1:3" ht="11.25" customHeight="1">
      <c r="A33" t="s">
        <v>4520</v>
      </c>
      <c r="B33" t="s">
        <v>4527</v>
      </c>
      <c r="C33" t="s">
        <v>4528</v>
      </c>
    </row>
    <row r="34" spans="1:3" ht="11.25" customHeight="1">
      <c r="A34" t="s">
        <v>4520</v>
      </c>
      <c r="B34" t="s">
        <v>4529</v>
      </c>
      <c r="C34" t="s">
        <v>4530</v>
      </c>
    </row>
    <row r="35" spans="1:3" ht="11.25" customHeight="1">
      <c r="A35" t="s">
        <v>4520</v>
      </c>
      <c r="B35" t="s">
        <v>4531</v>
      </c>
      <c r="C35" t="s">
        <v>4532</v>
      </c>
    </row>
    <row r="36" spans="1:3" ht="11.25" customHeight="1">
      <c r="A36" t="s">
        <v>4520</v>
      </c>
      <c r="B36" t="s">
        <v>4533</v>
      </c>
      <c r="C36" t="s">
        <v>4534</v>
      </c>
    </row>
    <row r="37" spans="1:3" ht="11.25" customHeight="1">
      <c r="A37" t="s">
        <v>4520</v>
      </c>
      <c r="B37" t="s">
        <v>4535</v>
      </c>
      <c r="C37" t="s">
        <v>4536</v>
      </c>
    </row>
    <row r="38" spans="1:3" ht="11.25" customHeight="1">
      <c r="A38" t="s">
        <v>4520</v>
      </c>
      <c r="B38" t="s">
        <v>4537</v>
      </c>
      <c r="C38" t="s">
        <v>4538</v>
      </c>
    </row>
    <row r="39" spans="1:3" ht="11.25" customHeight="1">
      <c r="A39" t="s">
        <v>4539</v>
      </c>
      <c r="B39" t="s">
        <v>4540</v>
      </c>
      <c r="C39" t="s">
        <v>4541</v>
      </c>
    </row>
    <row r="40" spans="1:3" ht="11.25" customHeight="1">
      <c r="A40" t="s">
        <v>4539</v>
      </c>
      <c r="B40" t="s">
        <v>4542</v>
      </c>
      <c r="C40" t="s">
        <v>4543</v>
      </c>
    </row>
    <row r="41" spans="1:3" ht="11.25" customHeight="1">
      <c r="A41" t="s">
        <v>4539</v>
      </c>
      <c r="B41" t="s">
        <v>4544</v>
      </c>
      <c r="C41" t="s">
        <v>4545</v>
      </c>
    </row>
    <row r="42" spans="1:3" ht="11.25" customHeight="1">
      <c r="A42" t="s">
        <v>4539</v>
      </c>
      <c r="B42" t="s">
        <v>4546</v>
      </c>
      <c r="C42" t="s">
        <v>4547</v>
      </c>
    </row>
    <row r="43" spans="1:3" ht="11.25" customHeight="1">
      <c r="A43" t="s">
        <v>4539</v>
      </c>
      <c r="B43" t="s">
        <v>4548</v>
      </c>
      <c r="C43" t="s">
        <v>4549</v>
      </c>
    </row>
    <row r="44" spans="1:3" ht="11.25" customHeight="1">
      <c r="A44" t="s">
        <v>4539</v>
      </c>
      <c r="B44" t="s">
        <v>4550</v>
      </c>
      <c r="C44" t="s">
        <v>4551</v>
      </c>
    </row>
    <row r="45" spans="1:3" ht="11.25" customHeight="1">
      <c r="A45" t="s">
        <v>4539</v>
      </c>
      <c r="B45" t="s">
        <v>4552</v>
      </c>
      <c r="C45" t="s">
        <v>4553</v>
      </c>
    </row>
    <row r="46" spans="1:3" ht="11.25" customHeight="1">
      <c r="A46" t="s">
        <v>4554</v>
      </c>
      <c r="B46" t="s">
        <v>4555</v>
      </c>
      <c r="C46" t="s">
        <v>4556</v>
      </c>
    </row>
    <row r="47" spans="1:3" ht="11.25" customHeight="1">
      <c r="A47" t="s">
        <v>4554</v>
      </c>
      <c r="B47" t="s">
        <v>4557</v>
      </c>
      <c r="C47" t="s">
        <v>4558</v>
      </c>
    </row>
    <row r="48" spans="1:3" ht="11.25" customHeight="1">
      <c r="A48" t="s">
        <v>4554</v>
      </c>
      <c r="B48" t="s">
        <v>4559</v>
      </c>
      <c r="C48" t="s">
        <v>4560</v>
      </c>
    </row>
    <row r="49" spans="1:3" ht="11.25" customHeight="1">
      <c r="A49" t="s">
        <v>4554</v>
      </c>
      <c r="B49" t="s">
        <v>4561</v>
      </c>
      <c r="C49" t="s">
        <v>4562</v>
      </c>
    </row>
    <row r="50" spans="1:3" ht="11.25" customHeight="1">
      <c r="A50" t="s">
        <v>4554</v>
      </c>
      <c r="B50" t="s">
        <v>4563</v>
      </c>
      <c r="C50" t="s">
        <v>4564</v>
      </c>
    </row>
    <row r="51" spans="1:3" ht="11.25" customHeight="1">
      <c r="A51" t="s">
        <v>4554</v>
      </c>
      <c r="B51" t="s">
        <v>4565</v>
      </c>
      <c r="C51" t="s">
        <v>4566</v>
      </c>
    </row>
    <row r="52" spans="1:3" ht="11.25" customHeight="1">
      <c r="A52" t="s">
        <v>4554</v>
      </c>
      <c r="B52" t="s">
        <v>4567</v>
      </c>
      <c r="C52" t="s">
        <v>4568</v>
      </c>
    </row>
    <row r="53" spans="1:3" ht="11.25" customHeight="1">
      <c r="A53" t="s">
        <v>4554</v>
      </c>
      <c r="B53" t="s">
        <v>4569</v>
      </c>
      <c r="C53" t="s">
        <v>4570</v>
      </c>
    </row>
    <row r="54" spans="1:3" ht="11.25" customHeight="1">
      <c r="A54" t="s">
        <v>4554</v>
      </c>
      <c r="B54" t="s">
        <v>4571</v>
      </c>
      <c r="C54" t="s">
        <v>4572</v>
      </c>
    </row>
    <row r="55" spans="1:3" ht="11.25" customHeight="1">
      <c r="A55" t="s">
        <v>4573</v>
      </c>
      <c r="B55" t="s">
        <v>4573</v>
      </c>
      <c r="C55" t="s">
        <v>4574</v>
      </c>
    </row>
    <row r="56" spans="1:3" ht="11.25" customHeight="1">
      <c r="A56" t="s">
        <v>4573</v>
      </c>
      <c r="B56" t="s">
        <v>4575</v>
      </c>
      <c r="C56" t="s">
        <v>4576</v>
      </c>
    </row>
    <row r="57" spans="1:3" ht="11.25" customHeight="1">
      <c r="A57" t="s">
        <v>4573</v>
      </c>
      <c r="B57" t="s">
        <v>4577</v>
      </c>
      <c r="C57" t="s">
        <v>4578</v>
      </c>
    </row>
    <row r="58" spans="1:3" ht="11.25" customHeight="1">
      <c r="A58" t="s">
        <v>4573</v>
      </c>
      <c r="B58" t="s">
        <v>4579</v>
      </c>
      <c r="C58" t="s">
        <v>4580</v>
      </c>
    </row>
    <row r="59" spans="1:3" ht="11.25" customHeight="1">
      <c r="A59" t="s">
        <v>4573</v>
      </c>
      <c r="B59" t="s">
        <v>4581</v>
      </c>
      <c r="C59" t="s">
        <v>4582</v>
      </c>
    </row>
    <row r="60" spans="1:3" ht="11.25" customHeight="1">
      <c r="A60" t="s">
        <v>4573</v>
      </c>
      <c r="B60" t="s">
        <v>4583</v>
      </c>
      <c r="C60" t="s">
        <v>4584</v>
      </c>
    </row>
    <row r="61" spans="1:3" ht="11.25" customHeight="1">
      <c r="A61" t="s">
        <v>4573</v>
      </c>
      <c r="B61" t="s">
        <v>4585</v>
      </c>
      <c r="C61" t="s">
        <v>4586</v>
      </c>
    </row>
    <row r="62" spans="1:3" ht="11.25" customHeight="1">
      <c r="A62" t="s">
        <v>4573</v>
      </c>
      <c r="B62" t="s">
        <v>4587</v>
      </c>
      <c r="C62" t="s">
        <v>4588</v>
      </c>
    </row>
    <row r="63" spans="1:3" ht="11.25" customHeight="1">
      <c r="A63" t="s">
        <v>4573</v>
      </c>
      <c r="B63" t="s">
        <v>4589</v>
      </c>
      <c r="C63" t="s">
        <v>4590</v>
      </c>
    </row>
    <row r="64" spans="1:3" ht="11.25" customHeight="1">
      <c r="A64" t="s">
        <v>4573</v>
      </c>
      <c r="B64" t="s">
        <v>4591</v>
      </c>
      <c r="C64" t="s">
        <v>4592</v>
      </c>
    </row>
    <row r="65" spans="1:3" ht="11.25" customHeight="1">
      <c r="A65" t="s">
        <v>4573</v>
      </c>
      <c r="B65" t="s">
        <v>4593</v>
      </c>
      <c r="C65" t="s">
        <v>4594</v>
      </c>
    </row>
    <row r="66" spans="1:3" ht="11.25" customHeight="1">
      <c r="A66" t="s">
        <v>4573</v>
      </c>
      <c r="B66" t="s">
        <v>4595</v>
      </c>
      <c r="C66" t="s">
        <v>4596</v>
      </c>
    </row>
    <row r="67" spans="1:3" ht="11.25" customHeight="1">
      <c r="A67" t="s">
        <v>4597</v>
      </c>
      <c r="B67" t="s">
        <v>4597</v>
      </c>
      <c r="C67" t="s">
        <v>4598</v>
      </c>
    </row>
    <row r="68" spans="1:3" ht="11.25" customHeight="1">
      <c r="A68" t="s">
        <v>4597</v>
      </c>
      <c r="B68" t="s">
        <v>4599</v>
      </c>
      <c r="C68" t="s">
        <v>4600</v>
      </c>
    </row>
    <row r="69" spans="1:3" ht="11.25" customHeight="1">
      <c r="A69" t="s">
        <v>4597</v>
      </c>
      <c r="B69" t="s">
        <v>4601</v>
      </c>
      <c r="C69" t="s">
        <v>4602</v>
      </c>
    </row>
    <row r="70" spans="1:3" ht="11.25" customHeight="1">
      <c r="A70" t="s">
        <v>4597</v>
      </c>
      <c r="B70" t="s">
        <v>4603</v>
      </c>
      <c r="C70" t="s">
        <v>4604</v>
      </c>
    </row>
    <row r="71" spans="1:3" ht="11.25" customHeight="1">
      <c r="A71" t="s">
        <v>4597</v>
      </c>
      <c r="B71" t="s">
        <v>4605</v>
      </c>
      <c r="C71" t="s">
        <v>4606</v>
      </c>
    </row>
    <row r="72" spans="1:3" ht="11.25" customHeight="1">
      <c r="A72" t="s">
        <v>4597</v>
      </c>
      <c r="B72" t="s">
        <v>4607</v>
      </c>
      <c r="C72" t="s">
        <v>4608</v>
      </c>
    </row>
    <row r="73" spans="1:3" ht="11.25" customHeight="1">
      <c r="A73" t="s">
        <v>4597</v>
      </c>
      <c r="B73" t="s">
        <v>4609</v>
      </c>
      <c r="C73" t="s">
        <v>4610</v>
      </c>
    </row>
    <row r="74" spans="1:3" ht="11.25" customHeight="1">
      <c r="A74" t="s">
        <v>4597</v>
      </c>
      <c r="B74" t="s">
        <v>4611</v>
      </c>
      <c r="C74" t="s">
        <v>4612</v>
      </c>
    </row>
    <row r="75" spans="1:3" ht="11.25" customHeight="1">
      <c r="A75" t="s">
        <v>4597</v>
      </c>
      <c r="B75" t="s">
        <v>4613</v>
      </c>
      <c r="C75" t="s">
        <v>4614</v>
      </c>
    </row>
    <row r="76" spans="1:3" ht="11.25" customHeight="1">
      <c r="A76" t="s">
        <v>4615</v>
      </c>
      <c r="B76" t="s">
        <v>4616</v>
      </c>
      <c r="C76" t="s">
        <v>4617</v>
      </c>
    </row>
    <row r="77" spans="1:3" ht="11.25" customHeight="1">
      <c r="A77" t="s">
        <v>4615</v>
      </c>
      <c r="B77" t="s">
        <v>4618</v>
      </c>
      <c r="C77" t="s">
        <v>4619</v>
      </c>
    </row>
    <row r="78" spans="1:3" ht="11.25" customHeight="1">
      <c r="A78" t="s">
        <v>4615</v>
      </c>
      <c r="B78" t="s">
        <v>4620</v>
      </c>
      <c r="C78" t="s">
        <v>4621</v>
      </c>
    </row>
    <row r="79" spans="1:3" ht="11.25" customHeight="1">
      <c r="A79" t="s">
        <v>4615</v>
      </c>
      <c r="B79" t="s">
        <v>4622</v>
      </c>
      <c r="C79" t="s">
        <v>4623</v>
      </c>
    </row>
    <row r="80" spans="1:3" ht="11.25" customHeight="1">
      <c r="A80" t="s">
        <v>4615</v>
      </c>
      <c r="B80" t="s">
        <v>4624</v>
      </c>
      <c r="C80" t="s">
        <v>4625</v>
      </c>
    </row>
    <row r="81" spans="1:3" ht="11.25" customHeight="1">
      <c r="A81" t="s">
        <v>4615</v>
      </c>
      <c r="B81" t="s">
        <v>4626</v>
      </c>
      <c r="C81" t="s">
        <v>4627</v>
      </c>
    </row>
    <row r="82" spans="1:3" ht="11.25" customHeight="1">
      <c r="A82" t="s">
        <v>4615</v>
      </c>
      <c r="B82" t="s">
        <v>4628</v>
      </c>
      <c r="C82" t="s">
        <v>4629</v>
      </c>
    </row>
    <row r="83" spans="1:3" ht="11.25" customHeight="1">
      <c r="A83" t="s">
        <v>4615</v>
      </c>
      <c r="B83" t="s">
        <v>4630</v>
      </c>
      <c r="C83" t="s">
        <v>4631</v>
      </c>
    </row>
    <row r="84" spans="1:3" ht="11.25" customHeight="1">
      <c r="A84" t="s">
        <v>4615</v>
      </c>
      <c r="B84" t="s">
        <v>4632</v>
      </c>
      <c r="C84" t="s">
        <v>4633</v>
      </c>
    </row>
    <row r="85" spans="1:3" ht="11.25" customHeight="1">
      <c r="A85" t="s">
        <v>4615</v>
      </c>
      <c r="B85" t="s">
        <v>4634</v>
      </c>
      <c r="C85" t="s">
        <v>4635</v>
      </c>
    </row>
    <row r="86" spans="1:3" ht="11.25" customHeight="1">
      <c r="A86" t="s">
        <v>4615</v>
      </c>
      <c r="B86" t="s">
        <v>4636</v>
      </c>
      <c r="C86" t="s">
        <v>4637</v>
      </c>
    </row>
    <row r="87" spans="1:3" ht="11.25" customHeight="1">
      <c r="A87" t="s">
        <v>4615</v>
      </c>
      <c r="B87" t="s">
        <v>4638</v>
      </c>
      <c r="C87" t="s">
        <v>4639</v>
      </c>
    </row>
    <row r="88" spans="1:3" ht="11.25" customHeight="1">
      <c r="A88" t="s">
        <v>4615</v>
      </c>
      <c r="B88" t="s">
        <v>4640</v>
      </c>
      <c r="C88" t="s">
        <v>4641</v>
      </c>
    </row>
    <row r="89" spans="1:3" ht="11.25" customHeight="1">
      <c r="A89" t="s">
        <v>4642</v>
      </c>
      <c r="B89" t="s">
        <v>4642</v>
      </c>
      <c r="C89" t="s">
        <v>4643</v>
      </c>
    </row>
    <row r="90" spans="1:3" ht="11.25" customHeight="1">
      <c r="A90" t="s">
        <v>4642</v>
      </c>
      <c r="B90" t="s">
        <v>4644</v>
      </c>
      <c r="C90" t="s">
        <v>4645</v>
      </c>
    </row>
    <row r="91" spans="1:3" ht="11.25" customHeight="1">
      <c r="A91" t="s">
        <v>4642</v>
      </c>
      <c r="B91" t="s">
        <v>4646</v>
      </c>
      <c r="C91" t="s">
        <v>4647</v>
      </c>
    </row>
    <row r="92" spans="1:3" ht="11.25" customHeight="1">
      <c r="A92" t="s">
        <v>4642</v>
      </c>
      <c r="B92" t="s">
        <v>4648</v>
      </c>
      <c r="C92" t="s">
        <v>4649</v>
      </c>
    </row>
    <row r="93" spans="1:3" ht="11.25" customHeight="1">
      <c r="A93" t="s">
        <v>4642</v>
      </c>
      <c r="B93" t="s">
        <v>4650</v>
      </c>
      <c r="C93" t="s">
        <v>4651</v>
      </c>
    </row>
    <row r="94" spans="1:3" ht="11.25" customHeight="1">
      <c r="A94" t="s">
        <v>4642</v>
      </c>
      <c r="B94" t="s">
        <v>4652</v>
      </c>
      <c r="C94" t="s">
        <v>4653</v>
      </c>
    </row>
    <row r="95" spans="1:3" ht="11.25" customHeight="1">
      <c r="A95" t="s">
        <v>4642</v>
      </c>
      <c r="B95" t="s">
        <v>4654</v>
      </c>
      <c r="C95" t="s">
        <v>4655</v>
      </c>
    </row>
    <row r="96" spans="1:3" ht="11.25" customHeight="1">
      <c r="A96" t="s">
        <v>4642</v>
      </c>
      <c r="B96" t="s">
        <v>4652</v>
      </c>
      <c r="C96" t="s">
        <v>4656</v>
      </c>
    </row>
    <row r="97" spans="1:3" ht="11.25" customHeight="1">
      <c r="A97" t="s">
        <v>4642</v>
      </c>
      <c r="B97" t="s">
        <v>4657</v>
      </c>
      <c r="C97" t="s">
        <v>4658</v>
      </c>
    </row>
    <row r="98" spans="1:3" ht="11.25" customHeight="1">
      <c r="A98" t="s">
        <v>4642</v>
      </c>
      <c r="B98" t="s">
        <v>4659</v>
      </c>
      <c r="C98" t="s">
        <v>4660</v>
      </c>
    </row>
    <row r="99" spans="1:3" ht="11.25" customHeight="1">
      <c r="A99" t="s">
        <v>4642</v>
      </c>
      <c r="B99" t="s">
        <v>4661</v>
      </c>
      <c r="C99" t="s">
        <v>4662</v>
      </c>
    </row>
    <row r="100" spans="1:3" ht="11.25" customHeight="1">
      <c r="A100" t="s">
        <v>4642</v>
      </c>
      <c r="B100" t="s">
        <v>4663</v>
      </c>
      <c r="C100" t="s">
        <v>4664</v>
      </c>
    </row>
    <row r="101" spans="1:3" ht="11.25" customHeight="1">
      <c r="A101" t="s">
        <v>4642</v>
      </c>
      <c r="B101" t="s">
        <v>4665</v>
      </c>
      <c r="C101" t="s">
        <v>4666</v>
      </c>
    </row>
    <row r="102" spans="1:3" ht="11.25" customHeight="1">
      <c r="A102" t="s">
        <v>4642</v>
      </c>
      <c r="B102" t="s">
        <v>4667</v>
      </c>
      <c r="C102" t="s">
        <v>4668</v>
      </c>
    </row>
    <row r="103" spans="1:3" ht="11.25" customHeight="1">
      <c r="A103" t="s">
        <v>4642</v>
      </c>
      <c r="B103" t="s">
        <v>4669</v>
      </c>
      <c r="C103" t="s">
        <v>4670</v>
      </c>
    </row>
    <row r="104" spans="1:3" ht="11.25" customHeight="1">
      <c r="A104" t="s">
        <v>4642</v>
      </c>
      <c r="B104" t="s">
        <v>4671</v>
      </c>
      <c r="C104" t="s">
        <v>4672</v>
      </c>
    </row>
    <row r="105" spans="1:3" ht="11.25" customHeight="1">
      <c r="A105" t="s">
        <v>4642</v>
      </c>
      <c r="B105" t="s">
        <v>4673</v>
      </c>
      <c r="C105" t="s">
        <v>4674</v>
      </c>
    </row>
    <row r="106" spans="1:3" ht="11.25" customHeight="1">
      <c r="A106" t="s">
        <v>4642</v>
      </c>
      <c r="B106" t="s">
        <v>4673</v>
      </c>
      <c r="C106" t="s">
        <v>4675</v>
      </c>
    </row>
    <row r="107" spans="1:3" ht="11.25" customHeight="1">
      <c r="A107" t="s">
        <v>4642</v>
      </c>
      <c r="B107" t="s">
        <v>4644</v>
      </c>
      <c r="C107" t="s">
        <v>4676</v>
      </c>
    </row>
    <row r="108" spans="1:3" ht="11.25" customHeight="1">
      <c r="A108" t="s">
        <v>4677</v>
      </c>
      <c r="B108" t="s">
        <v>4678</v>
      </c>
      <c r="C108" t="s">
        <v>4679</v>
      </c>
    </row>
    <row r="109" spans="1:3" ht="11.25" customHeight="1">
      <c r="A109" t="s">
        <v>4677</v>
      </c>
      <c r="B109" t="s">
        <v>4680</v>
      </c>
      <c r="C109" t="s">
        <v>4681</v>
      </c>
    </row>
    <row r="110" spans="1:3" ht="11.25" customHeight="1">
      <c r="A110" t="s">
        <v>4677</v>
      </c>
      <c r="B110" t="s">
        <v>4682</v>
      </c>
      <c r="C110" t="s">
        <v>4683</v>
      </c>
    </row>
    <row r="111" spans="1:3" ht="11.25" customHeight="1">
      <c r="A111" t="s">
        <v>4677</v>
      </c>
      <c r="B111" t="s">
        <v>4684</v>
      </c>
      <c r="C111" t="s">
        <v>4685</v>
      </c>
    </row>
    <row r="112" spans="1:3" ht="11.25" customHeight="1">
      <c r="A112" t="s">
        <v>4677</v>
      </c>
      <c r="B112" t="s">
        <v>4686</v>
      </c>
      <c r="C112" t="s">
        <v>4687</v>
      </c>
    </row>
    <row r="113" spans="1:3" ht="11.25" customHeight="1">
      <c r="A113" t="s">
        <v>4677</v>
      </c>
      <c r="B113" t="s">
        <v>4688</v>
      </c>
      <c r="C113" t="s">
        <v>4689</v>
      </c>
    </row>
    <row r="114" spans="1:3" ht="11.25" customHeight="1">
      <c r="A114" t="s">
        <v>4677</v>
      </c>
      <c r="B114" t="s">
        <v>4690</v>
      </c>
      <c r="C114" t="s">
        <v>4691</v>
      </c>
    </row>
    <row r="115" spans="1:3" ht="11.25" customHeight="1">
      <c r="A115" t="s">
        <v>4677</v>
      </c>
      <c r="B115" t="s">
        <v>4692</v>
      </c>
      <c r="C115" t="s">
        <v>4693</v>
      </c>
    </row>
    <row r="116" spans="1:3" ht="11.25" customHeight="1">
      <c r="A116" t="s">
        <v>4677</v>
      </c>
      <c r="B116" t="s">
        <v>4694</v>
      </c>
      <c r="C116" t="s">
        <v>4695</v>
      </c>
    </row>
    <row r="117" spans="1:3" ht="11.25" customHeight="1">
      <c r="A117" t="s">
        <v>4677</v>
      </c>
      <c r="B117" t="s">
        <v>4696</v>
      </c>
      <c r="C117" t="s">
        <v>4697</v>
      </c>
    </row>
    <row r="118" spans="1:3" ht="11.25" customHeight="1">
      <c r="A118" t="s">
        <v>4698</v>
      </c>
      <c r="B118" t="s">
        <v>4698</v>
      </c>
      <c r="C118" t="s">
        <v>4699</v>
      </c>
    </row>
    <row r="119" spans="1:3" ht="11.25" customHeight="1">
      <c r="A119" t="s">
        <v>4698</v>
      </c>
      <c r="B119" t="s">
        <v>4700</v>
      </c>
      <c r="C119" t="s">
        <v>4701</v>
      </c>
    </row>
    <row r="120" spans="1:3" ht="11.25" customHeight="1">
      <c r="A120" t="s">
        <v>4698</v>
      </c>
      <c r="B120" t="s">
        <v>4702</v>
      </c>
      <c r="C120" t="s">
        <v>4703</v>
      </c>
    </row>
    <row r="121" spans="1:3" ht="11.25" customHeight="1">
      <c r="A121" t="s">
        <v>4698</v>
      </c>
      <c r="B121" t="s">
        <v>4704</v>
      </c>
      <c r="C121" t="s">
        <v>4705</v>
      </c>
    </row>
    <row r="122" spans="1:3" ht="11.25" customHeight="1">
      <c r="A122" t="s">
        <v>4698</v>
      </c>
      <c r="B122" t="s">
        <v>4706</v>
      </c>
      <c r="C122" t="s">
        <v>4707</v>
      </c>
    </row>
    <row r="123" spans="1:3" ht="11.25" customHeight="1">
      <c r="A123" t="s">
        <v>4698</v>
      </c>
      <c r="B123" t="s">
        <v>4708</v>
      </c>
      <c r="C123" t="s">
        <v>4709</v>
      </c>
    </row>
    <row r="124" spans="1:3" ht="11.25" customHeight="1">
      <c r="A124" t="s">
        <v>4698</v>
      </c>
      <c r="B124" t="s">
        <v>4710</v>
      </c>
      <c r="C124" t="s">
        <v>4711</v>
      </c>
    </row>
    <row r="125" spans="1:3" ht="11.25" customHeight="1">
      <c r="A125" t="s">
        <v>4698</v>
      </c>
      <c r="B125" t="s">
        <v>4712</v>
      </c>
      <c r="C125" t="s">
        <v>4713</v>
      </c>
    </row>
    <row r="126" spans="1:3" ht="11.25" customHeight="1">
      <c r="A126" t="s">
        <v>4698</v>
      </c>
      <c r="B126" t="s">
        <v>4714</v>
      </c>
      <c r="C126" t="s">
        <v>4715</v>
      </c>
    </row>
    <row r="127" spans="1:3" ht="11.25" customHeight="1">
      <c r="A127" t="s">
        <v>4698</v>
      </c>
      <c r="B127" t="s">
        <v>4716</v>
      </c>
      <c r="C127" t="s">
        <v>4717</v>
      </c>
    </row>
    <row r="128" spans="1:3" ht="11.25" customHeight="1">
      <c r="A128" t="s">
        <v>4698</v>
      </c>
      <c r="B128" t="s">
        <v>4718</v>
      </c>
      <c r="C128" t="s">
        <v>4719</v>
      </c>
    </row>
    <row r="129" spans="1:3" ht="11.25" customHeight="1">
      <c r="A129" t="s">
        <v>4698</v>
      </c>
      <c r="B129" t="s">
        <v>4720</v>
      </c>
      <c r="C129" t="s">
        <v>4721</v>
      </c>
    </row>
    <row r="130" spans="1:3" ht="11.25" customHeight="1">
      <c r="A130" t="s">
        <v>4722</v>
      </c>
      <c r="B130" t="s">
        <v>4723</v>
      </c>
      <c r="C130" t="s">
        <v>4724</v>
      </c>
    </row>
    <row r="131" spans="1:3" ht="11.25" customHeight="1">
      <c r="A131" t="s">
        <v>4722</v>
      </c>
      <c r="B131" t="s">
        <v>4725</v>
      </c>
      <c r="C131" t="s">
        <v>4726</v>
      </c>
    </row>
    <row r="132" spans="1:3" ht="11.25" customHeight="1">
      <c r="A132" t="s">
        <v>4722</v>
      </c>
      <c r="B132" t="s">
        <v>4727</v>
      </c>
      <c r="C132" t="s">
        <v>4728</v>
      </c>
    </row>
    <row r="133" spans="1:3" ht="11.25" customHeight="1">
      <c r="A133" t="s">
        <v>4722</v>
      </c>
      <c r="B133" t="s">
        <v>4729</v>
      </c>
      <c r="C133" t="s">
        <v>4730</v>
      </c>
    </row>
    <row r="134" spans="1:3" ht="11.25" customHeight="1">
      <c r="A134" t="s">
        <v>4722</v>
      </c>
      <c r="B134" t="s">
        <v>4731</v>
      </c>
      <c r="C134" t="s">
        <v>4732</v>
      </c>
    </row>
    <row r="135" spans="1:3" ht="11.25" customHeight="1">
      <c r="A135" t="s">
        <v>4722</v>
      </c>
      <c r="B135" t="s">
        <v>4733</v>
      </c>
      <c r="C135" t="s">
        <v>4734</v>
      </c>
    </row>
    <row r="136" spans="1:3" ht="11.25" customHeight="1">
      <c r="A136" t="s">
        <v>4722</v>
      </c>
      <c r="B136" t="s">
        <v>4735</v>
      </c>
      <c r="C136" t="s">
        <v>4736</v>
      </c>
    </row>
    <row r="137" spans="1:3" ht="11.25" customHeight="1">
      <c r="A137" t="s">
        <v>4722</v>
      </c>
      <c r="B137" t="s">
        <v>4737</v>
      </c>
      <c r="C137" t="s">
        <v>4738</v>
      </c>
    </row>
    <row r="138" spans="1:3" ht="11.25" customHeight="1">
      <c r="A138" t="s">
        <v>4722</v>
      </c>
      <c r="B138" t="s">
        <v>4739</v>
      </c>
      <c r="C138" t="s">
        <v>4740</v>
      </c>
    </row>
    <row r="139" spans="1:3" ht="11.25" customHeight="1">
      <c r="A139" t="s">
        <v>4722</v>
      </c>
      <c r="B139" t="s">
        <v>4741</v>
      </c>
      <c r="C139" t="s">
        <v>4742</v>
      </c>
    </row>
    <row r="140" spans="1:3" ht="11.25" customHeight="1">
      <c r="A140" t="s">
        <v>4743</v>
      </c>
      <c r="B140" t="s">
        <v>4743</v>
      </c>
      <c r="C140" t="s">
        <v>4744</v>
      </c>
    </row>
    <row r="141" spans="1:3" ht="11.25" customHeight="1">
      <c r="A141" t="s">
        <v>4743</v>
      </c>
      <c r="B141" t="s">
        <v>4745</v>
      </c>
      <c r="C141" t="s">
        <v>4746</v>
      </c>
    </row>
    <row r="142" spans="1:3" ht="11.25" customHeight="1">
      <c r="A142" t="s">
        <v>4743</v>
      </c>
      <c r="B142" t="s">
        <v>4747</v>
      </c>
      <c r="C142" t="s">
        <v>4748</v>
      </c>
    </row>
    <row r="143" spans="1:3" ht="11.25" customHeight="1">
      <c r="A143" t="s">
        <v>4743</v>
      </c>
      <c r="B143" t="s">
        <v>4749</v>
      </c>
      <c r="C143" t="s">
        <v>4750</v>
      </c>
    </row>
    <row r="144" spans="1:3" ht="11.25" customHeight="1">
      <c r="A144" t="s">
        <v>4743</v>
      </c>
      <c r="B144" t="s">
        <v>4751</v>
      </c>
      <c r="C144" t="s">
        <v>4752</v>
      </c>
    </row>
    <row r="145" spans="1:3" ht="11.25" customHeight="1">
      <c r="A145" t="s">
        <v>4743</v>
      </c>
      <c r="B145" t="s">
        <v>4753</v>
      </c>
      <c r="C145" t="s">
        <v>4754</v>
      </c>
    </row>
    <row r="146" spans="1:3" ht="11.25" customHeight="1">
      <c r="A146" t="s">
        <v>4743</v>
      </c>
      <c r="B146" t="s">
        <v>4755</v>
      </c>
      <c r="C146" t="s">
        <v>4756</v>
      </c>
    </row>
    <row r="147" spans="1:3" ht="11.25" customHeight="1">
      <c r="A147" t="s">
        <v>4743</v>
      </c>
      <c r="B147" t="s">
        <v>4757</v>
      </c>
      <c r="C147" t="s">
        <v>4758</v>
      </c>
    </row>
    <row r="148" spans="1:3" ht="11.25" customHeight="1">
      <c r="A148" t="s">
        <v>4743</v>
      </c>
      <c r="B148" t="s">
        <v>4759</v>
      </c>
      <c r="C148" t="s">
        <v>4760</v>
      </c>
    </row>
    <row r="149" spans="1:3" ht="11.25" customHeight="1">
      <c r="A149" t="s">
        <v>4743</v>
      </c>
      <c r="B149" t="s">
        <v>4761</v>
      </c>
      <c r="C149" t="s">
        <v>4762</v>
      </c>
    </row>
    <row r="150" spans="1:3" ht="11.25" customHeight="1">
      <c r="A150" t="s">
        <v>4743</v>
      </c>
      <c r="B150" t="s">
        <v>4763</v>
      </c>
      <c r="C150" t="s">
        <v>4764</v>
      </c>
    </row>
    <row r="151" spans="1:3" ht="11.25" customHeight="1">
      <c r="A151" t="s">
        <v>4743</v>
      </c>
      <c r="B151" t="s">
        <v>4765</v>
      </c>
      <c r="C151" t="s">
        <v>4766</v>
      </c>
    </row>
    <row r="152" spans="1:3" ht="11.25" customHeight="1">
      <c r="A152" t="s">
        <v>4743</v>
      </c>
      <c r="B152" t="s">
        <v>4767</v>
      </c>
      <c r="C152" t="s">
        <v>4768</v>
      </c>
    </row>
    <row r="153" spans="1:3" ht="11.25" customHeight="1">
      <c r="A153" t="s">
        <v>4743</v>
      </c>
      <c r="B153" t="s">
        <v>4769</v>
      </c>
      <c r="C153" t="s">
        <v>4770</v>
      </c>
    </row>
    <row r="154" spans="1:3" ht="11.25" customHeight="1">
      <c r="A154" t="s">
        <v>4771</v>
      </c>
      <c r="B154" t="s">
        <v>4772</v>
      </c>
      <c r="C154" t="s">
        <v>4773</v>
      </c>
    </row>
    <row r="155" spans="1:3" ht="11.25" customHeight="1">
      <c r="A155" t="s">
        <v>4771</v>
      </c>
      <c r="B155" t="s">
        <v>4774</v>
      </c>
      <c r="C155" t="s">
        <v>4775</v>
      </c>
    </row>
    <row r="156" spans="1:3" ht="11.25" customHeight="1">
      <c r="A156" t="s">
        <v>4771</v>
      </c>
      <c r="B156" t="s">
        <v>4776</v>
      </c>
      <c r="C156" t="s">
        <v>4777</v>
      </c>
    </row>
    <row r="157" spans="1:3" ht="11.25" customHeight="1">
      <c r="A157" t="s">
        <v>4771</v>
      </c>
      <c r="B157" t="s">
        <v>4778</v>
      </c>
      <c r="C157" t="s">
        <v>4779</v>
      </c>
    </row>
    <row r="158" spans="1:3" ht="11.25" customHeight="1">
      <c r="A158" t="s">
        <v>4771</v>
      </c>
      <c r="B158" t="s">
        <v>4780</v>
      </c>
      <c r="C158" t="s">
        <v>4781</v>
      </c>
    </row>
    <row r="159" spans="1:3" ht="11.25" customHeight="1">
      <c r="A159" t="s">
        <v>4771</v>
      </c>
      <c r="B159" t="s">
        <v>4782</v>
      </c>
      <c r="C159" t="s">
        <v>4783</v>
      </c>
    </row>
    <row r="160" spans="1:3" ht="11.25" customHeight="1">
      <c r="A160" t="s">
        <v>4771</v>
      </c>
      <c r="B160" t="s">
        <v>4784</v>
      </c>
      <c r="C160" t="s">
        <v>4785</v>
      </c>
    </row>
    <row r="161" spans="1:3" ht="11.25" customHeight="1">
      <c r="A161" t="s">
        <v>4771</v>
      </c>
      <c r="B161" t="s">
        <v>4786</v>
      </c>
      <c r="C161" t="s">
        <v>4787</v>
      </c>
    </row>
    <row r="162" spans="1:3" ht="11.25" customHeight="1">
      <c r="A162" t="s">
        <v>4771</v>
      </c>
      <c r="B162" t="s">
        <v>4788</v>
      </c>
      <c r="C162" t="s">
        <v>4789</v>
      </c>
    </row>
    <row r="163" spans="1:3" ht="11.25" customHeight="1">
      <c r="A163" t="s">
        <v>4771</v>
      </c>
      <c r="B163" t="s">
        <v>4790</v>
      </c>
      <c r="C163" t="s">
        <v>4791</v>
      </c>
    </row>
    <row r="164" spans="1:3" ht="11.25" customHeight="1">
      <c r="A164" t="s">
        <v>4771</v>
      </c>
      <c r="B164" t="s">
        <v>4792</v>
      </c>
      <c r="C164" t="s">
        <v>4793</v>
      </c>
    </row>
    <row r="165" spans="1:3" ht="11.25" customHeight="1">
      <c r="A165" t="s">
        <v>4771</v>
      </c>
      <c r="B165" t="s">
        <v>4794</v>
      </c>
      <c r="C165" t="s">
        <v>4795</v>
      </c>
    </row>
    <row r="166" spans="1:3" ht="11.25" customHeight="1">
      <c r="A166" t="s">
        <v>4796</v>
      </c>
      <c r="B166" t="s">
        <v>4797</v>
      </c>
      <c r="C166" t="s">
        <v>4798</v>
      </c>
    </row>
    <row r="167" spans="1:3" ht="11.25" customHeight="1">
      <c r="A167" t="s">
        <v>4796</v>
      </c>
      <c r="B167" t="s">
        <v>4799</v>
      </c>
      <c r="C167" t="s">
        <v>4800</v>
      </c>
    </row>
    <row r="168" spans="1:3" ht="11.25" customHeight="1">
      <c r="A168" t="s">
        <v>4796</v>
      </c>
      <c r="B168" t="s">
        <v>4801</v>
      </c>
      <c r="C168" t="s">
        <v>4802</v>
      </c>
    </row>
    <row r="169" spans="1:3" ht="11.25" customHeight="1">
      <c r="A169" t="s">
        <v>4796</v>
      </c>
      <c r="B169" t="s">
        <v>4803</v>
      </c>
      <c r="C169" t="s">
        <v>4804</v>
      </c>
    </row>
    <row r="170" spans="1:3" ht="11.25" customHeight="1">
      <c r="A170" t="s">
        <v>4796</v>
      </c>
      <c r="B170" t="s">
        <v>4805</v>
      </c>
      <c r="C170" t="s">
        <v>4806</v>
      </c>
    </row>
    <row r="171" spans="1:3" ht="11.25" customHeight="1">
      <c r="A171" t="s">
        <v>4796</v>
      </c>
      <c r="B171" t="s">
        <v>4807</v>
      </c>
      <c r="C171" t="s">
        <v>4808</v>
      </c>
    </row>
    <row r="172" spans="1:3" ht="11.25" customHeight="1">
      <c r="A172" t="s">
        <v>4796</v>
      </c>
      <c r="B172" t="s">
        <v>4809</v>
      </c>
      <c r="C172" t="s">
        <v>4810</v>
      </c>
    </row>
    <row r="173" spans="1:3" ht="11.25" customHeight="1">
      <c r="A173" t="s">
        <v>4796</v>
      </c>
      <c r="B173" t="s">
        <v>4811</v>
      </c>
      <c r="C173" t="s">
        <v>4812</v>
      </c>
    </row>
    <row r="174" spans="1:3" ht="11.25" customHeight="1">
      <c r="A174" t="s">
        <v>4796</v>
      </c>
      <c r="B174" t="s">
        <v>4813</v>
      </c>
      <c r="C174" t="s">
        <v>4814</v>
      </c>
    </row>
    <row r="175" spans="1:3" ht="11.25" customHeight="1">
      <c r="A175" t="s">
        <v>4796</v>
      </c>
      <c r="B175" t="s">
        <v>4815</v>
      </c>
      <c r="C175" t="s">
        <v>4816</v>
      </c>
    </row>
    <row r="176" spans="1:3" ht="11.25" customHeight="1">
      <c r="A176" t="s">
        <v>4796</v>
      </c>
      <c r="B176" t="s">
        <v>4817</v>
      </c>
      <c r="C176" t="s">
        <v>4818</v>
      </c>
    </row>
    <row r="177" spans="1:3" ht="11.25" customHeight="1">
      <c r="A177" t="s">
        <v>4796</v>
      </c>
      <c r="B177" t="s">
        <v>4819</v>
      </c>
      <c r="C177" t="s">
        <v>4820</v>
      </c>
    </row>
    <row r="178" spans="1:3" ht="11.25" customHeight="1">
      <c r="A178" t="s">
        <v>4821</v>
      </c>
      <c r="B178" t="s">
        <v>4822</v>
      </c>
      <c r="C178" t="s">
        <v>4823</v>
      </c>
    </row>
    <row r="179" spans="1:3" ht="11.25" customHeight="1">
      <c r="A179" t="s">
        <v>4821</v>
      </c>
      <c r="B179" t="s">
        <v>4824</v>
      </c>
      <c r="C179" t="s">
        <v>4825</v>
      </c>
    </row>
    <row r="180" spans="1:3" ht="11.25" customHeight="1">
      <c r="A180" t="s">
        <v>4821</v>
      </c>
      <c r="B180" t="s">
        <v>4826</v>
      </c>
      <c r="C180" t="s">
        <v>4827</v>
      </c>
    </row>
    <row r="181" spans="1:3" ht="11.25" customHeight="1">
      <c r="A181" t="s">
        <v>4821</v>
      </c>
      <c r="B181" t="s">
        <v>4828</v>
      </c>
      <c r="C181" t="s">
        <v>4829</v>
      </c>
    </row>
    <row r="182" spans="1:3" ht="11.25" customHeight="1">
      <c r="A182" t="s">
        <v>4821</v>
      </c>
      <c r="B182" t="s">
        <v>4830</v>
      </c>
      <c r="C182" t="s">
        <v>4831</v>
      </c>
    </row>
    <row r="183" spans="1:3" ht="11.25" customHeight="1">
      <c r="A183" t="s">
        <v>4821</v>
      </c>
      <c r="B183" t="s">
        <v>4832</v>
      </c>
      <c r="C183" t="s">
        <v>4833</v>
      </c>
    </row>
    <row r="184" spans="1:3" ht="11.25" customHeight="1">
      <c r="A184" t="s">
        <v>4821</v>
      </c>
      <c r="B184" t="s">
        <v>4834</v>
      </c>
      <c r="C184" t="s">
        <v>4835</v>
      </c>
    </row>
    <row r="185" spans="1:3" ht="11.25" customHeight="1">
      <c r="A185" t="s">
        <v>4836</v>
      </c>
      <c r="B185" t="s">
        <v>4837</v>
      </c>
      <c r="C185" t="s">
        <v>4838</v>
      </c>
    </row>
    <row r="186" spans="1:3" ht="11.25" customHeight="1">
      <c r="A186" t="s">
        <v>4836</v>
      </c>
      <c r="B186" t="s">
        <v>4839</v>
      </c>
      <c r="C186" t="s">
        <v>4840</v>
      </c>
    </row>
    <row r="187" spans="1:3" ht="11.25" customHeight="1">
      <c r="A187" t="s">
        <v>4836</v>
      </c>
      <c r="B187" t="s">
        <v>4841</v>
      </c>
      <c r="C187" t="s">
        <v>4842</v>
      </c>
    </row>
    <row r="188" spans="1:3" ht="11.25" customHeight="1">
      <c r="A188" t="s">
        <v>4836</v>
      </c>
      <c r="B188" t="s">
        <v>4843</v>
      </c>
      <c r="C188" t="s">
        <v>4844</v>
      </c>
    </row>
    <row r="189" spans="1:3" ht="11.25" customHeight="1">
      <c r="A189" t="s">
        <v>4836</v>
      </c>
      <c r="B189" t="s">
        <v>4845</v>
      </c>
      <c r="C189" t="s">
        <v>4846</v>
      </c>
    </row>
    <row r="190" spans="1:3" ht="11.25" customHeight="1">
      <c r="A190" t="s">
        <v>4836</v>
      </c>
      <c r="B190" t="s">
        <v>4847</v>
      </c>
      <c r="C190" t="s">
        <v>4848</v>
      </c>
    </row>
    <row r="191" spans="1:3" ht="11.25" customHeight="1">
      <c r="A191" t="s">
        <v>4836</v>
      </c>
      <c r="B191" t="s">
        <v>4849</v>
      </c>
      <c r="C191" t="s">
        <v>4850</v>
      </c>
    </row>
    <row r="192" spans="1:3" ht="11.25" customHeight="1">
      <c r="A192" t="s">
        <v>4836</v>
      </c>
      <c r="B192" t="s">
        <v>4851</v>
      </c>
      <c r="C192" t="s">
        <v>4852</v>
      </c>
    </row>
    <row r="193" spans="1:3" ht="11.25" customHeight="1">
      <c r="A193" t="s">
        <v>4836</v>
      </c>
      <c r="B193" t="s">
        <v>4853</v>
      </c>
      <c r="C193" t="s">
        <v>4854</v>
      </c>
    </row>
    <row r="194" spans="1:3" ht="11.25" customHeight="1">
      <c r="A194" t="s">
        <v>4855</v>
      </c>
      <c r="B194" t="s">
        <v>4856</v>
      </c>
      <c r="C194" t="s">
        <v>4857</v>
      </c>
    </row>
    <row r="195" spans="1:3" ht="11.25" customHeight="1">
      <c r="A195" t="s">
        <v>4855</v>
      </c>
      <c r="B195" t="s">
        <v>4858</v>
      </c>
      <c r="C195" t="s">
        <v>4859</v>
      </c>
    </row>
    <row r="196" spans="1:3" ht="11.25" customHeight="1">
      <c r="A196" t="s">
        <v>4855</v>
      </c>
      <c r="B196" t="s">
        <v>4860</v>
      </c>
      <c r="C196" t="s">
        <v>4861</v>
      </c>
    </row>
    <row r="197" spans="1:3" ht="11.25" customHeight="1">
      <c r="A197" t="s">
        <v>4855</v>
      </c>
      <c r="B197" t="s">
        <v>4862</v>
      </c>
      <c r="C197" t="s">
        <v>4863</v>
      </c>
    </row>
    <row r="198" spans="1:3" ht="11.25" customHeight="1">
      <c r="A198" t="s">
        <v>4855</v>
      </c>
      <c r="B198" t="s">
        <v>4864</v>
      </c>
      <c r="C198" t="s">
        <v>4865</v>
      </c>
    </row>
    <row r="199" spans="1:3" ht="11.25" customHeight="1">
      <c r="A199" t="s">
        <v>4855</v>
      </c>
      <c r="B199" t="s">
        <v>4866</v>
      </c>
      <c r="C199" t="s">
        <v>4867</v>
      </c>
    </row>
    <row r="200" spans="1:3" ht="11.25" customHeight="1">
      <c r="A200" t="s">
        <v>4855</v>
      </c>
      <c r="B200" t="s">
        <v>4868</v>
      </c>
      <c r="C200" t="s">
        <v>4869</v>
      </c>
    </row>
    <row r="201" spans="1:3" ht="11.25" customHeight="1">
      <c r="A201" t="s">
        <v>4855</v>
      </c>
      <c r="B201" t="s">
        <v>4870</v>
      </c>
      <c r="C201" t="s">
        <v>4871</v>
      </c>
    </row>
    <row r="202" spans="1:3" ht="11.25" customHeight="1">
      <c r="A202" t="s">
        <v>4855</v>
      </c>
      <c r="B202" t="s">
        <v>4872</v>
      </c>
      <c r="C202" t="s">
        <v>4873</v>
      </c>
    </row>
    <row r="203" spans="1:3" ht="11.25" customHeight="1">
      <c r="A203" t="s">
        <v>4855</v>
      </c>
      <c r="B203" t="s">
        <v>4874</v>
      </c>
      <c r="C203" t="s">
        <v>4875</v>
      </c>
    </row>
    <row r="204" spans="1:3" ht="11.25" customHeight="1">
      <c r="A204" t="s">
        <v>4876</v>
      </c>
      <c r="B204" t="s">
        <v>4877</v>
      </c>
      <c r="C204" t="s">
        <v>4878</v>
      </c>
    </row>
    <row r="205" spans="1:3" ht="11.25" customHeight="1">
      <c r="A205" t="s">
        <v>4876</v>
      </c>
      <c r="B205" t="s">
        <v>4879</v>
      </c>
      <c r="C205" t="s">
        <v>4880</v>
      </c>
    </row>
    <row r="206" spans="1:3" ht="11.25" customHeight="1">
      <c r="A206" t="s">
        <v>4876</v>
      </c>
      <c r="B206" t="s">
        <v>4881</v>
      </c>
      <c r="C206" t="s">
        <v>4882</v>
      </c>
    </row>
    <row r="207" spans="1:3" ht="11.25" customHeight="1">
      <c r="A207" t="s">
        <v>4876</v>
      </c>
      <c r="B207" t="s">
        <v>4883</v>
      </c>
      <c r="C207" t="s">
        <v>4884</v>
      </c>
    </row>
    <row r="208" spans="1:3" ht="11.25" customHeight="1">
      <c r="A208" t="s">
        <v>4876</v>
      </c>
      <c r="B208" t="s">
        <v>4885</v>
      </c>
      <c r="C208" t="s">
        <v>4886</v>
      </c>
    </row>
    <row r="209" spans="1:3" ht="11.25" customHeight="1">
      <c r="A209" t="s">
        <v>4876</v>
      </c>
      <c r="B209" t="s">
        <v>4887</v>
      </c>
      <c r="C209" t="s">
        <v>4888</v>
      </c>
    </row>
    <row r="210" spans="1:3" ht="11.25" customHeight="1">
      <c r="A210" t="s">
        <v>4876</v>
      </c>
      <c r="B210" t="s">
        <v>4889</v>
      </c>
      <c r="C210" t="s">
        <v>4890</v>
      </c>
    </row>
    <row r="211" spans="1:3" ht="11.25" customHeight="1">
      <c r="A211" t="s">
        <v>4876</v>
      </c>
      <c r="B211" t="s">
        <v>4891</v>
      </c>
      <c r="C211" t="s">
        <v>4892</v>
      </c>
    </row>
    <row r="212" spans="1:3" ht="11.25" customHeight="1">
      <c r="A212" t="s">
        <v>4876</v>
      </c>
      <c r="B212" t="s">
        <v>4893</v>
      </c>
      <c r="C212" t="s">
        <v>4894</v>
      </c>
    </row>
    <row r="213" spans="1:3" ht="11.25" customHeight="1">
      <c r="A213" t="s">
        <v>4876</v>
      </c>
      <c r="B213" t="s">
        <v>4895</v>
      </c>
      <c r="C213" t="s">
        <v>4896</v>
      </c>
    </row>
    <row r="214" spans="1:3" ht="11.25" customHeight="1">
      <c r="A214" t="s">
        <v>4876</v>
      </c>
      <c r="B214" t="s">
        <v>4897</v>
      </c>
      <c r="C214" t="s">
        <v>4898</v>
      </c>
    </row>
    <row r="215" spans="1:3" ht="11.25" customHeight="1">
      <c r="A215" t="s">
        <v>2875</v>
      </c>
      <c r="B215" t="s">
        <v>2875</v>
      </c>
      <c r="C215" t="s">
        <v>2876</v>
      </c>
    </row>
    <row r="216" spans="1:3" ht="11.25" customHeight="1">
      <c r="A216" t="s">
        <v>4899</v>
      </c>
      <c r="B216" t="s">
        <v>4899</v>
      </c>
      <c r="C216" t="s">
        <v>4900</v>
      </c>
    </row>
    <row r="217" spans="1:3" ht="11.25" customHeight="1">
      <c r="A217" t="s">
        <v>4901</v>
      </c>
      <c r="B217" t="s">
        <v>4901</v>
      </c>
      <c r="C217" t="s">
        <v>4902</v>
      </c>
    </row>
    <row r="218" spans="1:3" ht="11.25" customHeight="1">
      <c r="A218" t="s">
        <v>3282</v>
      </c>
      <c r="B218" t="s">
        <v>3282</v>
      </c>
      <c r="C218" t="s">
        <v>3283</v>
      </c>
    </row>
    <row r="219" spans="1:3" ht="11.25" customHeight="1">
      <c r="A219" t="s">
        <v>4903</v>
      </c>
      <c r="B219" t="s">
        <v>4903</v>
      </c>
      <c r="C219" t="s">
        <v>4904</v>
      </c>
    </row>
    <row r="220" spans="1:3" ht="11.25" customHeight="1">
      <c r="A220" t="s">
        <v>4905</v>
      </c>
      <c r="B220" t="s">
        <v>4905</v>
      </c>
      <c r="C220" t="s">
        <v>4906</v>
      </c>
    </row>
    <row r="221" spans="1:3" ht="11.25" customHeight="1">
      <c r="A221" t="s">
        <v>4451</v>
      </c>
      <c r="B221" t="s">
        <v>4451</v>
      </c>
      <c r="C221" t="s">
        <v>4452</v>
      </c>
    </row>
    <row r="222" spans="1:3" ht="11.25" customHeight="1">
      <c r="A222" t="s">
        <v>4907</v>
      </c>
      <c r="B222" t="s">
        <v>4907</v>
      </c>
      <c r="C222" t="s">
        <v>4908</v>
      </c>
    </row>
    <row r="223" spans="1:3" ht="11.25" customHeight="1">
      <c r="A223" t="s">
        <v>4909</v>
      </c>
      <c r="B223" t="s">
        <v>4909</v>
      </c>
      <c r="C223" t="s">
        <v>4910</v>
      </c>
    </row>
    <row r="224" spans="1:3" ht="11.25" customHeight="1">
      <c r="A224" t="s">
        <v>4911</v>
      </c>
      <c r="B224" t="s">
        <v>4911</v>
      </c>
      <c r="C224" t="s">
        <v>4912</v>
      </c>
    </row>
    <row r="225" spans="1:3" ht="11.25" customHeight="1">
      <c r="A225" t="s">
        <v>4463</v>
      </c>
      <c r="B225" t="s">
        <v>4463</v>
      </c>
      <c r="C225" t="s">
        <v>4464</v>
      </c>
    </row>
    <row r="226" spans="1:3" ht="11.25" customHeight="1">
      <c r="A226" t="s">
        <v>4913</v>
      </c>
      <c r="B226" t="s">
        <v>4913</v>
      </c>
      <c r="C226" t="s">
        <v>4914</v>
      </c>
    </row>
    <row r="227" spans="1:3" ht="11.25" customHeight="1">
      <c r="A227" t="s">
        <v>4915</v>
      </c>
      <c r="B227" t="s">
        <v>4915</v>
      </c>
      <c r="C227" t="s">
        <v>4916</v>
      </c>
    </row>
    <row r="228" spans="1:3" ht="11.25" customHeight="1">
      <c r="A228" t="s">
        <v>405</v>
      </c>
      <c r="B228" t="s">
        <v>405</v>
      </c>
      <c r="C228" t="s">
        <v>406</v>
      </c>
    </row>
    <row r="229" spans="1:3" ht="11.25" customHeight="1">
      <c r="A229" t="s">
        <v>4917</v>
      </c>
      <c r="B229" t="s">
        <v>4917</v>
      </c>
      <c r="C229" t="s">
        <v>4918</v>
      </c>
    </row>
    <row r="230" spans="1:3" ht="11.25" customHeight="1">
      <c r="A230" t="s">
        <v>4919</v>
      </c>
      <c r="B230" t="s">
        <v>4919</v>
      </c>
      <c r="C230" t="s">
        <v>4920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7058-3918-AF88-2D88-68A078043E28}">
  <sheetPr>
    <tabColor rgb="FFFFCC99"/>
  </sheetPr>
  <dimension ref="A1:S264"/>
  <sheetViews>
    <sheetView showGridLines="0" workbookViewId="0"/>
  </sheetViews>
  <sheetFormatPr defaultColWidth="9.140625" defaultRowHeight="11.25" customHeight="1"/>
  <sheetData>
    <row r="1" spans="1:19" ht="11.25" customHeight="1">
      <c r="A1" t="s">
        <v>4921</v>
      </c>
      <c r="B1" t="s">
        <v>4922</v>
      </c>
      <c r="C1" t="s">
        <v>4923</v>
      </c>
      <c r="D1" t="s">
        <v>4924</v>
      </c>
      <c r="E1" t="s">
        <v>4925</v>
      </c>
      <c r="F1" t="s">
        <v>4926</v>
      </c>
      <c r="G1" t="s">
        <v>4927</v>
      </c>
      <c r="H1" t="s">
        <v>4928</v>
      </c>
      <c r="I1" t="s">
        <v>4929</v>
      </c>
      <c r="J1" t="s">
        <v>4930</v>
      </c>
      <c r="K1" t="s">
        <v>4931</v>
      </c>
      <c r="L1" t="s">
        <v>4932</v>
      </c>
      <c r="M1" t="s">
        <v>4933</v>
      </c>
      <c r="N1" t="s">
        <v>4934</v>
      </c>
      <c r="O1" t="s">
        <v>4935</v>
      </c>
      <c r="P1" t="s">
        <v>4936</v>
      </c>
      <c r="Q1" t="s">
        <v>4937</v>
      </c>
      <c r="R1" t="s">
        <v>4938</v>
      </c>
      <c r="S1" t="s">
        <v>4939</v>
      </c>
    </row>
    <row r="2" spans="1:19" ht="11.25" customHeight="1">
      <c r="A2">
        <v>2655</v>
      </c>
      <c r="B2" t="s">
        <v>114</v>
      </c>
      <c r="C2">
        <v>28976938</v>
      </c>
      <c r="D2" t="s">
        <v>4940</v>
      </c>
      <c r="E2" t="s">
        <v>4941</v>
      </c>
      <c r="F2" t="s">
        <v>4942</v>
      </c>
      <c r="G2" t="s">
        <v>4943</v>
      </c>
      <c r="H2" t="s">
        <v>4944</v>
      </c>
      <c r="I2" t="s">
        <v>4945</v>
      </c>
      <c r="J2" t="s">
        <v>4946</v>
      </c>
      <c r="K2" t="s">
        <v>4947</v>
      </c>
      <c r="L2" t="s">
        <v>4948</v>
      </c>
      <c r="M2" t="s">
        <v>4949</v>
      </c>
      <c r="N2" t="s">
        <v>4950</v>
      </c>
      <c r="O2" t="s">
        <v>4951</v>
      </c>
      <c r="P2" t="s">
        <v>4952</v>
      </c>
      <c r="Q2" t="s">
        <v>4953</v>
      </c>
      <c r="R2" t="b">
        <v>0</v>
      </c>
      <c r="S2" t="s">
        <v>4954</v>
      </c>
    </row>
    <row r="3" spans="1:19" ht="11.25" customHeight="1">
      <c r="A3">
        <v>2655</v>
      </c>
      <c r="B3" t="s">
        <v>114</v>
      </c>
      <c r="C3">
        <v>27804990</v>
      </c>
      <c r="D3" t="s">
        <v>4955</v>
      </c>
      <c r="E3" t="s">
        <v>4956</v>
      </c>
      <c r="F3" t="s">
        <v>4957</v>
      </c>
      <c r="G3" t="s">
        <v>149</v>
      </c>
      <c r="H3" t="s">
        <v>4958</v>
      </c>
      <c r="I3" t="s">
        <v>4959</v>
      </c>
      <c r="J3" t="s">
        <v>4946</v>
      </c>
      <c r="K3" t="s">
        <v>4960</v>
      </c>
      <c r="L3" t="s">
        <v>4961</v>
      </c>
      <c r="M3" t="s">
        <v>4962</v>
      </c>
      <c r="N3" t="s">
        <v>4963</v>
      </c>
      <c r="O3" t="s">
        <v>4964</v>
      </c>
      <c r="P3" t="s">
        <v>4965</v>
      </c>
      <c r="Q3" t="s">
        <v>4966</v>
      </c>
      <c r="R3" t="b">
        <v>0</v>
      </c>
      <c r="S3" t="s">
        <v>4954</v>
      </c>
    </row>
    <row r="4" spans="1:19" ht="11.25" customHeight="1">
      <c r="A4">
        <v>2655</v>
      </c>
      <c r="B4" t="s">
        <v>114</v>
      </c>
      <c r="C4">
        <v>27804826</v>
      </c>
      <c r="D4" t="s">
        <v>4967</v>
      </c>
      <c r="E4" t="s">
        <v>4968</v>
      </c>
      <c r="F4" t="s">
        <v>4969</v>
      </c>
      <c r="G4" t="s">
        <v>4970</v>
      </c>
      <c r="H4" t="s">
        <v>4971</v>
      </c>
      <c r="I4" t="s">
        <v>4972</v>
      </c>
      <c r="J4" t="s">
        <v>4946</v>
      </c>
      <c r="K4" t="s">
        <v>4973</v>
      </c>
      <c r="L4" t="s">
        <v>4961</v>
      </c>
      <c r="M4" t="s">
        <v>243</v>
      </c>
      <c r="N4" t="s">
        <v>4974</v>
      </c>
      <c r="O4" t="s">
        <v>4975</v>
      </c>
      <c r="P4" t="s">
        <v>4965</v>
      </c>
      <c r="Q4" t="s">
        <v>4976</v>
      </c>
      <c r="R4" t="b">
        <v>0</v>
      </c>
      <c r="S4" t="s">
        <v>4954</v>
      </c>
    </row>
    <row r="5" spans="1:19" ht="11.25" customHeight="1">
      <c r="A5">
        <v>2655</v>
      </c>
      <c r="B5" t="s">
        <v>114</v>
      </c>
      <c r="C5">
        <v>26356963</v>
      </c>
      <c r="D5" t="s">
        <v>4977</v>
      </c>
      <c r="E5" t="s">
        <v>4978</v>
      </c>
      <c r="F5" t="s">
        <v>4979</v>
      </c>
      <c r="G5" t="s">
        <v>4980</v>
      </c>
      <c r="H5" t="s">
        <v>4981</v>
      </c>
      <c r="I5" t="s">
        <v>243</v>
      </c>
      <c r="J5" t="s">
        <v>4946</v>
      </c>
      <c r="K5" t="s">
        <v>4982</v>
      </c>
      <c r="L5" t="s">
        <v>4982</v>
      </c>
      <c r="M5" t="s">
        <v>4983</v>
      </c>
      <c r="N5" t="s">
        <v>4984</v>
      </c>
      <c r="O5" t="s">
        <v>4985</v>
      </c>
      <c r="P5" t="s">
        <v>179</v>
      </c>
      <c r="Q5" t="s">
        <v>243</v>
      </c>
      <c r="R5" t="b">
        <v>0</v>
      </c>
      <c r="S5" t="s">
        <v>4954</v>
      </c>
    </row>
    <row r="6" spans="1:19" ht="11.25" customHeight="1">
      <c r="A6">
        <v>2655</v>
      </c>
      <c r="B6" t="s">
        <v>114</v>
      </c>
      <c r="C6">
        <v>26322889</v>
      </c>
      <c r="D6" t="s">
        <v>4986</v>
      </c>
      <c r="E6" t="s">
        <v>4987</v>
      </c>
      <c r="F6" t="s">
        <v>4988</v>
      </c>
      <c r="G6" t="s">
        <v>4989</v>
      </c>
      <c r="H6" t="s">
        <v>4990</v>
      </c>
      <c r="I6" t="s">
        <v>4991</v>
      </c>
      <c r="J6" t="s">
        <v>4946</v>
      </c>
      <c r="K6" t="s">
        <v>4992</v>
      </c>
      <c r="L6" t="s">
        <v>4993</v>
      </c>
      <c r="M6" t="s">
        <v>4994</v>
      </c>
      <c r="N6" t="s">
        <v>4995</v>
      </c>
      <c r="O6" t="s">
        <v>4996</v>
      </c>
      <c r="P6" t="s">
        <v>4997</v>
      </c>
      <c r="Q6" t="s">
        <v>4998</v>
      </c>
      <c r="R6" t="b">
        <v>0</v>
      </c>
      <c r="S6" t="s">
        <v>4954</v>
      </c>
    </row>
    <row r="7" spans="1:19" ht="11.25" customHeight="1">
      <c r="A7">
        <v>2655</v>
      </c>
      <c r="B7" t="s">
        <v>114</v>
      </c>
      <c r="C7">
        <v>26356905</v>
      </c>
      <c r="D7" t="s">
        <v>4999</v>
      </c>
      <c r="E7" t="s">
        <v>5000</v>
      </c>
      <c r="F7" t="s">
        <v>5001</v>
      </c>
      <c r="G7" t="s">
        <v>149</v>
      </c>
      <c r="H7" t="s">
        <v>5002</v>
      </c>
      <c r="I7" t="s">
        <v>5003</v>
      </c>
      <c r="J7" t="s">
        <v>4946</v>
      </c>
      <c r="K7" t="s">
        <v>5004</v>
      </c>
      <c r="L7" t="s">
        <v>5004</v>
      </c>
      <c r="M7" t="s">
        <v>5005</v>
      </c>
      <c r="N7" t="s">
        <v>5006</v>
      </c>
      <c r="O7" t="s">
        <v>5007</v>
      </c>
      <c r="P7" t="s">
        <v>5008</v>
      </c>
      <c r="Q7" t="s">
        <v>5009</v>
      </c>
      <c r="R7" t="b">
        <v>0</v>
      </c>
      <c r="S7" t="s">
        <v>4954</v>
      </c>
    </row>
    <row r="8" spans="1:19" ht="11.25" customHeight="1">
      <c r="A8">
        <v>2655</v>
      </c>
      <c r="B8" t="s">
        <v>114</v>
      </c>
      <c r="C8">
        <v>26427149</v>
      </c>
      <c r="D8" t="s">
        <v>5010</v>
      </c>
      <c r="E8" t="s">
        <v>5011</v>
      </c>
      <c r="F8" t="s">
        <v>4942</v>
      </c>
      <c r="G8" t="s">
        <v>5012</v>
      </c>
      <c r="H8" t="s">
        <v>4944</v>
      </c>
      <c r="I8" t="s">
        <v>4945</v>
      </c>
      <c r="J8" t="s">
        <v>4946</v>
      </c>
      <c r="K8" t="s">
        <v>5013</v>
      </c>
      <c r="L8" t="s">
        <v>5014</v>
      </c>
      <c r="M8" t="s">
        <v>5015</v>
      </c>
      <c r="N8" t="s">
        <v>5016</v>
      </c>
      <c r="O8" t="s">
        <v>5017</v>
      </c>
      <c r="P8" t="s">
        <v>5018</v>
      </c>
      <c r="Q8" t="s">
        <v>5019</v>
      </c>
      <c r="R8" t="b">
        <v>0</v>
      </c>
      <c r="S8" t="s">
        <v>4954</v>
      </c>
    </row>
    <row r="9" spans="1:19" ht="11.25" customHeight="1">
      <c r="A9">
        <v>2655</v>
      </c>
      <c r="B9" t="s">
        <v>114</v>
      </c>
      <c r="C9">
        <v>27295125</v>
      </c>
      <c r="D9" t="s">
        <v>5020</v>
      </c>
      <c r="E9" t="s">
        <v>5021</v>
      </c>
      <c r="F9" t="s">
        <v>5022</v>
      </c>
      <c r="G9" t="s">
        <v>5023</v>
      </c>
      <c r="H9" t="s">
        <v>5024</v>
      </c>
      <c r="I9" t="s">
        <v>5025</v>
      </c>
      <c r="J9" t="s">
        <v>156</v>
      </c>
      <c r="K9" t="s">
        <v>5026</v>
      </c>
      <c r="L9" t="s">
        <v>5026</v>
      </c>
      <c r="M9" t="s">
        <v>5027</v>
      </c>
      <c r="N9" t="s">
        <v>5028</v>
      </c>
      <c r="O9" t="s">
        <v>5029</v>
      </c>
      <c r="P9" t="s">
        <v>5030</v>
      </c>
      <c r="Q9" t="s">
        <v>243</v>
      </c>
      <c r="R9" t="b">
        <v>0</v>
      </c>
      <c r="S9" t="s">
        <v>4954</v>
      </c>
    </row>
    <row r="10" spans="1:19" ht="11.25" customHeight="1">
      <c r="A10">
        <v>2655</v>
      </c>
      <c r="B10" t="s">
        <v>114</v>
      </c>
      <c r="C10">
        <v>26824672</v>
      </c>
      <c r="D10" t="s">
        <v>5031</v>
      </c>
      <c r="E10" t="s">
        <v>5032</v>
      </c>
      <c r="F10" t="s">
        <v>5033</v>
      </c>
      <c r="G10" t="s">
        <v>5034</v>
      </c>
      <c r="H10" t="s">
        <v>5035</v>
      </c>
      <c r="I10" t="s">
        <v>243</v>
      </c>
      <c r="J10" t="s">
        <v>156</v>
      </c>
      <c r="K10" t="s">
        <v>5036</v>
      </c>
      <c r="L10" t="s">
        <v>5037</v>
      </c>
      <c r="M10" t="s">
        <v>5038</v>
      </c>
      <c r="N10" t="s">
        <v>5039</v>
      </c>
      <c r="O10" t="s">
        <v>243</v>
      </c>
      <c r="P10" t="s">
        <v>5040</v>
      </c>
      <c r="Q10" t="s">
        <v>243</v>
      </c>
      <c r="R10" t="b">
        <v>0</v>
      </c>
      <c r="S10" t="s">
        <v>4954</v>
      </c>
    </row>
    <row r="11" spans="1:19" ht="11.25" customHeight="1">
      <c r="A11">
        <v>2655</v>
      </c>
      <c r="B11" t="s">
        <v>114</v>
      </c>
      <c r="C11">
        <v>31826293</v>
      </c>
      <c r="D11" t="s">
        <v>5041</v>
      </c>
      <c r="E11" t="s">
        <v>5042</v>
      </c>
      <c r="F11" t="s">
        <v>5043</v>
      </c>
      <c r="G11" t="s">
        <v>5044</v>
      </c>
      <c r="H11" t="s">
        <v>5045</v>
      </c>
      <c r="I11" t="s">
        <v>5046</v>
      </c>
      <c r="K11" t="s">
        <v>5047</v>
      </c>
      <c r="L11" t="s">
        <v>5048</v>
      </c>
      <c r="M11" t="s">
        <v>243</v>
      </c>
      <c r="N11" t="s">
        <v>5049</v>
      </c>
      <c r="O11" t="s">
        <v>5050</v>
      </c>
      <c r="P11" t="s">
        <v>5051</v>
      </c>
      <c r="Q11" t="s">
        <v>243</v>
      </c>
      <c r="R11" t="b">
        <v>0</v>
      </c>
      <c r="S11" t="s">
        <v>4954</v>
      </c>
    </row>
    <row r="12" spans="1:19" ht="11.25" customHeight="1">
      <c r="A12">
        <v>2655</v>
      </c>
      <c r="B12" t="s">
        <v>114</v>
      </c>
      <c r="C12">
        <v>26322867</v>
      </c>
      <c r="D12" t="s">
        <v>5052</v>
      </c>
      <c r="E12" t="s">
        <v>5053</v>
      </c>
      <c r="F12" t="s">
        <v>5054</v>
      </c>
      <c r="G12" t="s">
        <v>4989</v>
      </c>
      <c r="H12" t="s">
        <v>5055</v>
      </c>
      <c r="I12" t="s">
        <v>5056</v>
      </c>
      <c r="J12" t="s">
        <v>4946</v>
      </c>
      <c r="K12" t="s">
        <v>5057</v>
      </c>
      <c r="L12" t="s">
        <v>5057</v>
      </c>
      <c r="M12" t="s">
        <v>5058</v>
      </c>
      <c r="N12" t="s">
        <v>5059</v>
      </c>
      <c r="O12" t="s">
        <v>5060</v>
      </c>
      <c r="P12" t="s">
        <v>5030</v>
      </c>
      <c r="Q12" t="s">
        <v>5061</v>
      </c>
      <c r="R12" t="b">
        <v>0</v>
      </c>
      <c r="S12" t="s">
        <v>4954</v>
      </c>
    </row>
    <row r="13" spans="1:19" ht="11.25" customHeight="1">
      <c r="A13">
        <v>2655</v>
      </c>
      <c r="B13" t="s">
        <v>114</v>
      </c>
      <c r="C13">
        <v>26824651</v>
      </c>
      <c r="D13" t="s">
        <v>5062</v>
      </c>
      <c r="E13" t="s">
        <v>5063</v>
      </c>
      <c r="F13" t="s">
        <v>5033</v>
      </c>
      <c r="G13" t="s">
        <v>5064</v>
      </c>
      <c r="H13" t="s">
        <v>5035</v>
      </c>
      <c r="I13" t="s">
        <v>243</v>
      </c>
      <c r="J13" t="s">
        <v>4946</v>
      </c>
      <c r="K13" t="s">
        <v>5065</v>
      </c>
      <c r="L13" t="s">
        <v>5066</v>
      </c>
      <c r="M13" t="s">
        <v>5067</v>
      </c>
      <c r="N13" t="s">
        <v>5068</v>
      </c>
      <c r="O13" t="s">
        <v>5069</v>
      </c>
      <c r="P13" t="s">
        <v>5070</v>
      </c>
      <c r="Q13" t="s">
        <v>243</v>
      </c>
      <c r="R13" t="b">
        <v>0</v>
      </c>
      <c r="S13" t="s">
        <v>4954</v>
      </c>
    </row>
    <row r="14" spans="1:19" ht="11.25" customHeight="1">
      <c r="A14">
        <v>2655</v>
      </c>
      <c r="B14" t="s">
        <v>114</v>
      </c>
      <c r="C14">
        <v>26824396</v>
      </c>
      <c r="D14" t="s">
        <v>5071</v>
      </c>
      <c r="E14" t="s">
        <v>5072</v>
      </c>
      <c r="F14" t="s">
        <v>5033</v>
      </c>
      <c r="G14" t="s">
        <v>5073</v>
      </c>
      <c r="H14" t="s">
        <v>5035</v>
      </c>
      <c r="I14" t="s">
        <v>243</v>
      </c>
      <c r="J14" t="s">
        <v>156</v>
      </c>
      <c r="K14" t="s">
        <v>5074</v>
      </c>
      <c r="L14" t="s">
        <v>5074</v>
      </c>
      <c r="M14" t="s">
        <v>5075</v>
      </c>
      <c r="N14" t="s">
        <v>243</v>
      </c>
      <c r="O14" t="s">
        <v>5076</v>
      </c>
      <c r="P14" t="s">
        <v>5070</v>
      </c>
      <c r="Q14" t="s">
        <v>243</v>
      </c>
      <c r="R14" t="b">
        <v>0</v>
      </c>
      <c r="S14" t="s">
        <v>4954</v>
      </c>
    </row>
    <row r="15" spans="1:19" ht="11.25" customHeight="1">
      <c r="A15">
        <v>2655</v>
      </c>
      <c r="B15" t="s">
        <v>114</v>
      </c>
      <c r="C15">
        <v>31232672</v>
      </c>
      <c r="D15" t="s">
        <v>5077</v>
      </c>
      <c r="E15" t="s">
        <v>5078</v>
      </c>
      <c r="F15" t="s">
        <v>5079</v>
      </c>
      <c r="G15" t="s">
        <v>5080</v>
      </c>
      <c r="H15" t="s">
        <v>5081</v>
      </c>
      <c r="I15" t="s">
        <v>5082</v>
      </c>
      <c r="J15" t="s">
        <v>5083</v>
      </c>
      <c r="K15" t="s">
        <v>5084</v>
      </c>
      <c r="L15" t="s">
        <v>5084</v>
      </c>
      <c r="M15" t="s">
        <v>5085</v>
      </c>
      <c r="N15" t="s">
        <v>5086</v>
      </c>
      <c r="O15" t="s">
        <v>5087</v>
      </c>
      <c r="P15" t="s">
        <v>5088</v>
      </c>
      <c r="Q15" t="s">
        <v>243</v>
      </c>
      <c r="R15" t="b">
        <v>0</v>
      </c>
      <c r="S15" t="s">
        <v>4954</v>
      </c>
    </row>
    <row r="16" spans="1:19" ht="11.25" customHeight="1">
      <c r="A16">
        <v>2655</v>
      </c>
      <c r="B16" t="s">
        <v>114</v>
      </c>
      <c r="C16">
        <v>31387447</v>
      </c>
      <c r="D16" t="s">
        <v>5089</v>
      </c>
      <c r="E16" t="s">
        <v>5090</v>
      </c>
      <c r="F16" t="s">
        <v>5091</v>
      </c>
      <c r="G16" t="s">
        <v>5092</v>
      </c>
      <c r="H16" t="s">
        <v>5093</v>
      </c>
      <c r="I16" t="s">
        <v>5094</v>
      </c>
      <c r="J16" t="s">
        <v>5095</v>
      </c>
      <c r="K16" t="s">
        <v>5096</v>
      </c>
      <c r="L16" t="s">
        <v>5096</v>
      </c>
      <c r="M16" t="s">
        <v>5097</v>
      </c>
      <c r="N16" t="s">
        <v>5098</v>
      </c>
      <c r="O16" t="s">
        <v>5099</v>
      </c>
      <c r="P16" t="s">
        <v>5088</v>
      </c>
      <c r="Q16" t="s">
        <v>243</v>
      </c>
      <c r="R16" t="b">
        <v>0</v>
      </c>
      <c r="S16" t="s">
        <v>4954</v>
      </c>
    </row>
    <row r="17" spans="1:19" ht="11.25" customHeight="1">
      <c r="A17">
        <v>2655</v>
      </c>
      <c r="B17" t="s">
        <v>114</v>
      </c>
      <c r="C17">
        <v>30808700</v>
      </c>
      <c r="D17" t="s">
        <v>5100</v>
      </c>
      <c r="E17" t="s">
        <v>5101</v>
      </c>
      <c r="F17" t="s">
        <v>5102</v>
      </c>
      <c r="G17" t="s">
        <v>5034</v>
      </c>
      <c r="H17" t="s">
        <v>5103</v>
      </c>
      <c r="I17" t="s">
        <v>5104</v>
      </c>
      <c r="J17" t="s">
        <v>5095</v>
      </c>
      <c r="K17" t="s">
        <v>5105</v>
      </c>
      <c r="L17" t="s">
        <v>5106</v>
      </c>
      <c r="M17" t="s">
        <v>5107</v>
      </c>
      <c r="N17" t="s">
        <v>5108</v>
      </c>
      <c r="O17" t="s">
        <v>5109</v>
      </c>
      <c r="P17" t="s">
        <v>5051</v>
      </c>
      <c r="Q17" t="s">
        <v>243</v>
      </c>
      <c r="R17" t="b">
        <v>1</v>
      </c>
      <c r="S17" t="s">
        <v>4954</v>
      </c>
    </row>
    <row r="18" spans="1:19" ht="11.25" customHeight="1">
      <c r="A18">
        <v>2655</v>
      </c>
      <c r="B18" t="s">
        <v>114</v>
      </c>
      <c r="C18">
        <v>31319221</v>
      </c>
      <c r="D18" t="s">
        <v>5110</v>
      </c>
      <c r="E18" t="s">
        <v>5111</v>
      </c>
      <c r="F18" t="s">
        <v>5112</v>
      </c>
      <c r="G18" t="s">
        <v>5092</v>
      </c>
      <c r="H18" t="s">
        <v>5113</v>
      </c>
      <c r="I18" t="s">
        <v>5114</v>
      </c>
      <c r="J18" t="s">
        <v>5083</v>
      </c>
      <c r="K18" t="s">
        <v>5115</v>
      </c>
      <c r="L18" t="s">
        <v>5116</v>
      </c>
      <c r="M18" t="s">
        <v>5117</v>
      </c>
      <c r="N18" t="s">
        <v>5118</v>
      </c>
      <c r="O18" t="s">
        <v>5119</v>
      </c>
      <c r="P18" t="s">
        <v>5088</v>
      </c>
      <c r="Q18" t="s">
        <v>243</v>
      </c>
      <c r="R18" t="b">
        <v>0</v>
      </c>
      <c r="S18" t="s">
        <v>4954</v>
      </c>
    </row>
    <row r="19" spans="1:19" ht="11.25" customHeight="1">
      <c r="A19">
        <v>2655</v>
      </c>
      <c r="B19" t="s">
        <v>114</v>
      </c>
      <c r="C19">
        <v>31419990</v>
      </c>
      <c r="D19" t="s">
        <v>5120</v>
      </c>
      <c r="E19" t="s">
        <v>5121</v>
      </c>
      <c r="F19" t="s">
        <v>5122</v>
      </c>
      <c r="G19" t="s">
        <v>5123</v>
      </c>
      <c r="H19" t="s">
        <v>5124</v>
      </c>
      <c r="I19" t="s">
        <v>5125</v>
      </c>
      <c r="J19" t="s">
        <v>5083</v>
      </c>
      <c r="K19" t="s">
        <v>5126</v>
      </c>
      <c r="L19" t="s">
        <v>5126</v>
      </c>
      <c r="M19" t="s">
        <v>5127</v>
      </c>
      <c r="N19" t="s">
        <v>5128</v>
      </c>
      <c r="O19" t="s">
        <v>5129</v>
      </c>
      <c r="P19" t="s">
        <v>5088</v>
      </c>
      <c r="Q19" t="s">
        <v>5130</v>
      </c>
      <c r="R19" t="b">
        <v>0</v>
      </c>
      <c r="S19" t="s">
        <v>4954</v>
      </c>
    </row>
    <row r="20" spans="1:19" ht="11.25" customHeight="1">
      <c r="A20">
        <v>2655</v>
      </c>
      <c r="B20" t="s">
        <v>114</v>
      </c>
      <c r="C20">
        <v>31343443</v>
      </c>
      <c r="D20" t="s">
        <v>5131</v>
      </c>
      <c r="E20" t="s">
        <v>5132</v>
      </c>
      <c r="F20" t="s">
        <v>5133</v>
      </c>
      <c r="G20" t="s">
        <v>5034</v>
      </c>
      <c r="H20" t="s">
        <v>5134</v>
      </c>
      <c r="I20" t="s">
        <v>5135</v>
      </c>
      <c r="J20" t="s">
        <v>5083</v>
      </c>
      <c r="K20" t="s">
        <v>5136</v>
      </c>
      <c r="L20" t="s">
        <v>5136</v>
      </c>
      <c r="N20" t="s">
        <v>5137</v>
      </c>
      <c r="O20" t="s">
        <v>5138</v>
      </c>
      <c r="P20" t="s">
        <v>5051</v>
      </c>
      <c r="R20" t="b">
        <v>0</v>
      </c>
      <c r="S20" t="s">
        <v>4954</v>
      </c>
    </row>
    <row r="21" spans="1:19" ht="11.25" customHeight="1">
      <c r="A21">
        <v>2655</v>
      </c>
      <c r="B21" t="s">
        <v>114</v>
      </c>
      <c r="C21">
        <v>31367841</v>
      </c>
      <c r="D21" t="s">
        <v>5139</v>
      </c>
      <c r="E21" t="s">
        <v>5140</v>
      </c>
      <c r="F21" t="s">
        <v>5141</v>
      </c>
      <c r="G21" t="s">
        <v>5142</v>
      </c>
      <c r="H21" t="s">
        <v>5143</v>
      </c>
      <c r="I21" t="s">
        <v>5144</v>
      </c>
      <c r="J21" t="s">
        <v>5095</v>
      </c>
      <c r="K21" t="s">
        <v>5145</v>
      </c>
      <c r="L21" t="s">
        <v>5145</v>
      </c>
      <c r="M21" t="s">
        <v>243</v>
      </c>
      <c r="N21" t="s">
        <v>5146</v>
      </c>
      <c r="O21" t="s">
        <v>5147</v>
      </c>
      <c r="P21" t="s">
        <v>5088</v>
      </c>
      <c r="Q21" t="s">
        <v>243</v>
      </c>
      <c r="R21" t="b">
        <v>0</v>
      </c>
      <c r="S21" t="s">
        <v>4954</v>
      </c>
    </row>
    <row r="22" spans="1:19" ht="11.25" customHeight="1">
      <c r="A22">
        <v>2655</v>
      </c>
      <c r="B22" t="s">
        <v>114</v>
      </c>
      <c r="C22">
        <v>31087651</v>
      </c>
      <c r="D22" t="s">
        <v>5148</v>
      </c>
      <c r="E22" t="s">
        <v>5149</v>
      </c>
      <c r="F22" t="s">
        <v>5150</v>
      </c>
      <c r="G22" t="s">
        <v>5151</v>
      </c>
      <c r="H22" t="s">
        <v>5152</v>
      </c>
      <c r="I22" t="s">
        <v>5153</v>
      </c>
      <c r="J22" t="s">
        <v>5083</v>
      </c>
      <c r="K22" t="s">
        <v>5154</v>
      </c>
      <c r="L22" t="s">
        <v>5154</v>
      </c>
      <c r="M22" t="s">
        <v>5155</v>
      </c>
      <c r="N22" t="s">
        <v>5156</v>
      </c>
      <c r="O22" t="s">
        <v>5157</v>
      </c>
      <c r="R22" t="b">
        <v>0</v>
      </c>
      <c r="S22" t="s">
        <v>4954</v>
      </c>
    </row>
    <row r="23" spans="1:19" ht="11.25" customHeight="1">
      <c r="A23">
        <v>2655</v>
      </c>
      <c r="B23" t="s">
        <v>114</v>
      </c>
      <c r="C23">
        <v>31367862</v>
      </c>
      <c r="D23" t="s">
        <v>5158</v>
      </c>
      <c r="E23" t="s">
        <v>5159</v>
      </c>
      <c r="F23" t="s">
        <v>5160</v>
      </c>
      <c r="G23" t="s">
        <v>5142</v>
      </c>
      <c r="H23" t="s">
        <v>5161</v>
      </c>
      <c r="I23" t="s">
        <v>5162</v>
      </c>
      <c r="J23" t="s">
        <v>5083</v>
      </c>
      <c r="K23" t="s">
        <v>5163</v>
      </c>
      <c r="L23" t="s">
        <v>5163</v>
      </c>
      <c r="M23" t="s">
        <v>243</v>
      </c>
      <c r="N23" t="s">
        <v>5164</v>
      </c>
      <c r="O23" t="s">
        <v>5165</v>
      </c>
      <c r="P23" t="s">
        <v>5088</v>
      </c>
      <c r="Q23" t="s">
        <v>243</v>
      </c>
      <c r="R23" t="b">
        <v>0</v>
      </c>
      <c r="S23" t="s">
        <v>4954</v>
      </c>
    </row>
    <row r="24" spans="1:19" ht="11.25" customHeight="1">
      <c r="A24">
        <v>2655</v>
      </c>
      <c r="B24" t="s">
        <v>114</v>
      </c>
      <c r="C24">
        <v>26486390</v>
      </c>
      <c r="D24" t="s">
        <v>5166</v>
      </c>
      <c r="E24" t="s">
        <v>5167</v>
      </c>
      <c r="F24" t="s">
        <v>5168</v>
      </c>
      <c r="G24" t="s">
        <v>5169</v>
      </c>
      <c r="H24" t="s">
        <v>5170</v>
      </c>
      <c r="I24" t="s">
        <v>5171</v>
      </c>
      <c r="J24" t="s">
        <v>5095</v>
      </c>
      <c r="K24" t="s">
        <v>5172</v>
      </c>
      <c r="L24" t="s">
        <v>5172</v>
      </c>
      <c r="M24" t="s">
        <v>5173</v>
      </c>
      <c r="N24" t="s">
        <v>5174</v>
      </c>
      <c r="O24" t="s">
        <v>5175</v>
      </c>
      <c r="P24" t="s">
        <v>5176</v>
      </c>
      <c r="Q24" t="s">
        <v>243</v>
      </c>
      <c r="R24" t="b">
        <v>0</v>
      </c>
      <c r="S24" t="s">
        <v>4954</v>
      </c>
    </row>
    <row r="25" spans="1:19" ht="11.25" customHeight="1">
      <c r="A25">
        <v>2655</v>
      </c>
      <c r="B25" t="s">
        <v>114</v>
      </c>
      <c r="C25">
        <v>27977465</v>
      </c>
      <c r="D25" t="s">
        <v>5177</v>
      </c>
      <c r="E25" t="s">
        <v>5178</v>
      </c>
      <c r="F25" t="s">
        <v>5179</v>
      </c>
      <c r="G25" t="s">
        <v>5180</v>
      </c>
      <c r="H25" t="s">
        <v>5181</v>
      </c>
      <c r="I25" t="s">
        <v>243</v>
      </c>
      <c r="K25" t="s">
        <v>5182</v>
      </c>
      <c r="L25" t="s">
        <v>5182</v>
      </c>
      <c r="M25" t="s">
        <v>5183</v>
      </c>
      <c r="N25" t="s">
        <v>5184</v>
      </c>
      <c r="O25" t="s">
        <v>5185</v>
      </c>
      <c r="P25" t="s">
        <v>5051</v>
      </c>
      <c r="Q25" t="s">
        <v>243</v>
      </c>
      <c r="R25" t="b">
        <v>0</v>
      </c>
      <c r="S25" t="s">
        <v>4954</v>
      </c>
    </row>
    <row r="26" spans="1:19" ht="11.25" customHeight="1">
      <c r="A26">
        <v>2655</v>
      </c>
      <c r="B26" t="s">
        <v>114</v>
      </c>
      <c r="C26">
        <v>31003143</v>
      </c>
      <c r="D26" t="s">
        <v>5186</v>
      </c>
      <c r="E26" t="s">
        <v>5187</v>
      </c>
      <c r="F26" t="s">
        <v>5188</v>
      </c>
      <c r="G26" t="s">
        <v>5180</v>
      </c>
      <c r="H26" t="s">
        <v>5189</v>
      </c>
      <c r="I26" t="s">
        <v>5190</v>
      </c>
      <c r="J26" t="s">
        <v>5095</v>
      </c>
      <c r="K26" t="s">
        <v>5191</v>
      </c>
      <c r="L26" t="s">
        <v>5192</v>
      </c>
      <c r="M26" t="s">
        <v>5193</v>
      </c>
      <c r="N26" t="s">
        <v>5194</v>
      </c>
      <c r="O26" t="s">
        <v>5195</v>
      </c>
      <c r="P26" t="s">
        <v>5088</v>
      </c>
      <c r="Q26" t="s">
        <v>243</v>
      </c>
      <c r="R26" t="b">
        <v>1</v>
      </c>
      <c r="S26" t="s">
        <v>4954</v>
      </c>
    </row>
    <row r="27" spans="1:19" ht="11.25" customHeight="1">
      <c r="A27">
        <v>2655</v>
      </c>
      <c r="B27" t="s">
        <v>114</v>
      </c>
      <c r="C27">
        <v>31308226</v>
      </c>
      <c r="D27" t="s">
        <v>5196</v>
      </c>
      <c r="E27" t="s">
        <v>5197</v>
      </c>
      <c r="F27" t="s">
        <v>5198</v>
      </c>
      <c r="G27" t="s">
        <v>5199</v>
      </c>
      <c r="H27" t="s">
        <v>5200</v>
      </c>
      <c r="I27" t="s">
        <v>5201</v>
      </c>
      <c r="J27" t="s">
        <v>5095</v>
      </c>
      <c r="K27" t="s">
        <v>5202</v>
      </c>
      <c r="L27" t="s">
        <v>5202</v>
      </c>
      <c r="M27" t="s">
        <v>5203</v>
      </c>
      <c r="N27" t="s">
        <v>5204</v>
      </c>
      <c r="O27" t="s">
        <v>5205</v>
      </c>
      <c r="P27" t="s">
        <v>5051</v>
      </c>
      <c r="Q27" t="s">
        <v>243</v>
      </c>
      <c r="R27" t="b">
        <v>1</v>
      </c>
      <c r="S27" t="s">
        <v>4954</v>
      </c>
    </row>
    <row r="28" spans="1:19" ht="11.25" customHeight="1">
      <c r="A28">
        <v>2655</v>
      </c>
      <c r="B28" t="s">
        <v>114</v>
      </c>
      <c r="C28">
        <v>31284269</v>
      </c>
      <c r="D28" t="s">
        <v>5206</v>
      </c>
      <c r="E28" t="s">
        <v>5207</v>
      </c>
      <c r="F28" t="s">
        <v>5208</v>
      </c>
      <c r="G28" t="s">
        <v>5151</v>
      </c>
      <c r="H28" t="s">
        <v>5209</v>
      </c>
      <c r="I28" t="s">
        <v>5210</v>
      </c>
      <c r="J28" t="s">
        <v>5095</v>
      </c>
      <c r="K28" t="s">
        <v>5211</v>
      </c>
      <c r="L28" t="s">
        <v>5212</v>
      </c>
      <c r="M28" t="s">
        <v>5213</v>
      </c>
      <c r="N28" t="s">
        <v>5214</v>
      </c>
      <c r="O28" t="s">
        <v>5215</v>
      </c>
      <c r="P28" t="s">
        <v>243</v>
      </c>
      <c r="Q28" t="s">
        <v>243</v>
      </c>
      <c r="R28" t="b">
        <v>0</v>
      </c>
      <c r="S28" t="s">
        <v>4954</v>
      </c>
    </row>
    <row r="29" spans="1:19" ht="11.25" customHeight="1">
      <c r="A29">
        <v>2655</v>
      </c>
      <c r="B29" t="s">
        <v>114</v>
      </c>
      <c r="C29">
        <v>31241680</v>
      </c>
      <c r="D29" t="s">
        <v>5216</v>
      </c>
      <c r="E29" t="s">
        <v>5217</v>
      </c>
      <c r="F29" t="s">
        <v>5218</v>
      </c>
      <c r="G29" t="s">
        <v>5123</v>
      </c>
      <c r="H29" t="s">
        <v>5219</v>
      </c>
      <c r="I29" t="s">
        <v>5220</v>
      </c>
      <c r="J29" t="s">
        <v>5095</v>
      </c>
      <c r="K29" t="s">
        <v>5221</v>
      </c>
      <c r="L29" t="s">
        <v>5221</v>
      </c>
      <c r="M29" t="s">
        <v>5222</v>
      </c>
      <c r="N29" t="s">
        <v>5223</v>
      </c>
      <c r="O29" t="s">
        <v>5224</v>
      </c>
      <c r="P29" t="s">
        <v>5051</v>
      </c>
      <c r="Q29" t="s">
        <v>5225</v>
      </c>
      <c r="R29" t="b">
        <v>0</v>
      </c>
      <c r="S29" t="s">
        <v>4954</v>
      </c>
    </row>
    <row r="30" spans="1:19" ht="11.25" customHeight="1">
      <c r="A30">
        <v>2655</v>
      </c>
      <c r="B30" t="s">
        <v>114</v>
      </c>
      <c r="C30">
        <v>31579664</v>
      </c>
      <c r="D30" t="s">
        <v>5226</v>
      </c>
      <c r="E30" t="s">
        <v>5227</v>
      </c>
      <c r="F30" t="s">
        <v>5228</v>
      </c>
      <c r="G30" t="s">
        <v>5034</v>
      </c>
      <c r="H30" t="s">
        <v>5229</v>
      </c>
      <c r="I30" t="s">
        <v>5230</v>
      </c>
      <c r="K30" t="s">
        <v>5231</v>
      </c>
      <c r="L30" t="s">
        <v>5232</v>
      </c>
      <c r="M30" t="s">
        <v>5233</v>
      </c>
      <c r="N30" t="s">
        <v>243</v>
      </c>
      <c r="O30" t="s">
        <v>5234</v>
      </c>
      <c r="P30" t="s">
        <v>5088</v>
      </c>
      <c r="Q30" t="s">
        <v>5235</v>
      </c>
      <c r="R30" t="b">
        <v>1</v>
      </c>
      <c r="S30" t="s">
        <v>4954</v>
      </c>
    </row>
    <row r="31" spans="1:19" ht="11.25" customHeight="1">
      <c r="A31">
        <v>2655</v>
      </c>
      <c r="B31" t="s">
        <v>114</v>
      </c>
      <c r="C31">
        <v>26322895</v>
      </c>
      <c r="D31" t="s">
        <v>133</v>
      </c>
      <c r="E31" t="s">
        <v>136</v>
      </c>
      <c r="F31" t="s">
        <v>146</v>
      </c>
      <c r="G31" t="s">
        <v>149</v>
      </c>
      <c r="H31" t="s">
        <v>143</v>
      </c>
      <c r="I31" t="s">
        <v>152</v>
      </c>
      <c r="J31" t="s">
        <v>156</v>
      </c>
      <c r="K31" t="s">
        <v>160</v>
      </c>
      <c r="L31" t="s">
        <v>160</v>
      </c>
      <c r="M31" t="s">
        <v>5236</v>
      </c>
      <c r="N31" t="s">
        <v>171</v>
      </c>
      <c r="O31" t="s">
        <v>5237</v>
      </c>
      <c r="P31" t="s">
        <v>5030</v>
      </c>
      <c r="Q31" t="s">
        <v>183</v>
      </c>
      <c r="R31" t="b">
        <v>0</v>
      </c>
      <c r="S31" t="s">
        <v>4954</v>
      </c>
    </row>
    <row r="32" spans="1:19" ht="11.25" customHeight="1">
      <c r="A32">
        <v>2655</v>
      </c>
      <c r="B32" t="s">
        <v>114</v>
      </c>
      <c r="C32">
        <v>28119331</v>
      </c>
      <c r="D32" t="s">
        <v>5238</v>
      </c>
      <c r="E32" t="s">
        <v>5239</v>
      </c>
      <c r="F32" t="s">
        <v>5240</v>
      </c>
      <c r="G32" t="s">
        <v>149</v>
      </c>
      <c r="H32" t="s">
        <v>5241</v>
      </c>
      <c r="I32" t="s">
        <v>243</v>
      </c>
      <c r="J32" t="s">
        <v>5242</v>
      </c>
      <c r="K32" t="s">
        <v>5243</v>
      </c>
      <c r="L32" t="s">
        <v>5243</v>
      </c>
      <c r="M32" t="s">
        <v>5244</v>
      </c>
      <c r="N32" t="s">
        <v>243</v>
      </c>
      <c r="O32" t="s">
        <v>5245</v>
      </c>
      <c r="P32" t="s">
        <v>5051</v>
      </c>
      <c r="Q32" t="s">
        <v>243</v>
      </c>
      <c r="R32" t="b">
        <v>1</v>
      </c>
      <c r="S32" t="s">
        <v>4954</v>
      </c>
    </row>
    <row r="33" spans="1:19" ht="11.25" customHeight="1">
      <c r="A33">
        <v>2655</v>
      </c>
      <c r="B33" t="s">
        <v>114</v>
      </c>
      <c r="C33">
        <v>31775146</v>
      </c>
      <c r="D33" t="s">
        <v>5246</v>
      </c>
      <c r="E33" t="s">
        <v>5247</v>
      </c>
      <c r="F33" t="s">
        <v>5248</v>
      </c>
      <c r="G33" t="s">
        <v>5249</v>
      </c>
      <c r="H33" t="s">
        <v>5250</v>
      </c>
      <c r="I33" t="s">
        <v>5251</v>
      </c>
      <c r="K33" t="s">
        <v>5252</v>
      </c>
      <c r="L33" t="s">
        <v>5252</v>
      </c>
      <c r="M33" t="s">
        <v>5253</v>
      </c>
      <c r="N33" t="s">
        <v>5254</v>
      </c>
      <c r="O33" t="s">
        <v>5255</v>
      </c>
      <c r="P33" t="s">
        <v>5051</v>
      </c>
      <c r="Q33" t="s">
        <v>243</v>
      </c>
      <c r="R33" t="b">
        <v>1</v>
      </c>
      <c r="S33" t="s">
        <v>4954</v>
      </c>
    </row>
    <row r="34" spans="1:19" ht="11.25" customHeight="1">
      <c r="A34">
        <v>2655</v>
      </c>
      <c r="B34" t="s">
        <v>114</v>
      </c>
      <c r="C34">
        <v>28869965</v>
      </c>
      <c r="D34" t="s">
        <v>5256</v>
      </c>
      <c r="E34" t="s">
        <v>5257</v>
      </c>
      <c r="F34" t="s">
        <v>5258</v>
      </c>
      <c r="G34" t="s">
        <v>5080</v>
      </c>
      <c r="H34" t="s">
        <v>5259</v>
      </c>
      <c r="I34" t="s">
        <v>243</v>
      </c>
      <c r="J34" t="s">
        <v>5242</v>
      </c>
      <c r="K34" t="s">
        <v>5260</v>
      </c>
      <c r="L34" t="s">
        <v>5260</v>
      </c>
      <c r="M34" t="s">
        <v>5261</v>
      </c>
      <c r="N34" t="s">
        <v>5262</v>
      </c>
      <c r="O34" t="s">
        <v>5263</v>
      </c>
      <c r="P34" t="s">
        <v>5030</v>
      </c>
      <c r="Q34" t="s">
        <v>5264</v>
      </c>
      <c r="R34" t="b">
        <v>0</v>
      </c>
      <c r="S34" t="s">
        <v>4954</v>
      </c>
    </row>
    <row r="35" spans="1:19" ht="11.25" customHeight="1">
      <c r="A35">
        <v>2655</v>
      </c>
      <c r="B35" t="s">
        <v>114</v>
      </c>
      <c r="C35">
        <v>31356597</v>
      </c>
      <c r="D35" t="s">
        <v>5265</v>
      </c>
      <c r="E35" t="s">
        <v>5266</v>
      </c>
      <c r="F35" t="s">
        <v>5267</v>
      </c>
      <c r="G35" t="s">
        <v>5151</v>
      </c>
      <c r="H35" t="s">
        <v>5268</v>
      </c>
      <c r="I35" t="s">
        <v>5269</v>
      </c>
      <c r="J35" t="s">
        <v>5242</v>
      </c>
      <c r="K35" t="s">
        <v>5270</v>
      </c>
      <c r="L35" t="s">
        <v>5270</v>
      </c>
      <c r="M35" t="s">
        <v>5271</v>
      </c>
      <c r="N35" t="s">
        <v>5272</v>
      </c>
      <c r="O35" t="s">
        <v>5273</v>
      </c>
      <c r="P35" t="s">
        <v>5030</v>
      </c>
      <c r="Q35" t="s">
        <v>243</v>
      </c>
      <c r="R35" t="b">
        <v>0</v>
      </c>
      <c r="S35" t="s">
        <v>4954</v>
      </c>
    </row>
    <row r="36" spans="1:19" ht="11.25" customHeight="1">
      <c r="A36">
        <v>2655</v>
      </c>
      <c r="B36" t="s">
        <v>114</v>
      </c>
      <c r="C36">
        <v>28136671</v>
      </c>
      <c r="D36" t="s">
        <v>5274</v>
      </c>
      <c r="E36" t="s">
        <v>5275</v>
      </c>
      <c r="F36" t="s">
        <v>5276</v>
      </c>
      <c r="G36" t="s">
        <v>5277</v>
      </c>
      <c r="H36" t="s">
        <v>5278</v>
      </c>
      <c r="I36" t="s">
        <v>5279</v>
      </c>
      <c r="J36" t="s">
        <v>5242</v>
      </c>
      <c r="K36" t="s">
        <v>5280</v>
      </c>
      <c r="L36" t="s">
        <v>5281</v>
      </c>
      <c r="M36" t="s">
        <v>5282</v>
      </c>
      <c r="N36" t="s">
        <v>5283</v>
      </c>
      <c r="O36" t="s">
        <v>5284</v>
      </c>
      <c r="P36" t="s">
        <v>4965</v>
      </c>
      <c r="Q36" t="s">
        <v>243</v>
      </c>
      <c r="R36" t="b">
        <v>1</v>
      </c>
      <c r="S36" t="s">
        <v>4954</v>
      </c>
    </row>
    <row r="37" spans="1:19" ht="11.25" customHeight="1">
      <c r="A37">
        <v>2655</v>
      </c>
      <c r="B37" t="s">
        <v>114</v>
      </c>
      <c r="C37">
        <v>30854705</v>
      </c>
      <c r="D37" t="s">
        <v>5285</v>
      </c>
      <c r="E37" t="s">
        <v>5286</v>
      </c>
      <c r="F37" t="s">
        <v>5287</v>
      </c>
      <c r="G37" t="s">
        <v>4980</v>
      </c>
      <c r="H37" t="s">
        <v>5288</v>
      </c>
      <c r="I37" t="s">
        <v>5289</v>
      </c>
      <c r="J37" t="s">
        <v>5242</v>
      </c>
      <c r="K37" t="s">
        <v>5290</v>
      </c>
      <c r="L37" t="s">
        <v>5290</v>
      </c>
      <c r="M37" t="s">
        <v>5291</v>
      </c>
      <c r="N37" t="s">
        <v>5292</v>
      </c>
      <c r="O37" t="s">
        <v>5293</v>
      </c>
      <c r="P37" t="s">
        <v>5030</v>
      </c>
      <c r="Q37" t="s">
        <v>190</v>
      </c>
      <c r="R37" t="b">
        <v>0</v>
      </c>
      <c r="S37" t="s">
        <v>4954</v>
      </c>
    </row>
    <row r="38" spans="1:19" ht="11.25" customHeight="1">
      <c r="A38">
        <v>2655</v>
      </c>
      <c r="B38" t="s">
        <v>114</v>
      </c>
      <c r="C38">
        <v>31656254</v>
      </c>
      <c r="D38" t="s">
        <v>5294</v>
      </c>
      <c r="E38" t="s">
        <v>5295</v>
      </c>
      <c r="F38" t="s">
        <v>5296</v>
      </c>
      <c r="G38" t="s">
        <v>5297</v>
      </c>
      <c r="H38" t="s">
        <v>5298</v>
      </c>
      <c r="I38" t="s">
        <v>5299</v>
      </c>
      <c r="K38" t="s">
        <v>5300</v>
      </c>
      <c r="L38" t="s">
        <v>5301</v>
      </c>
      <c r="M38" t="s">
        <v>5302</v>
      </c>
      <c r="N38" t="s">
        <v>5303</v>
      </c>
      <c r="O38" t="s">
        <v>5304</v>
      </c>
      <c r="P38" t="s">
        <v>5088</v>
      </c>
      <c r="Q38" t="s">
        <v>5305</v>
      </c>
      <c r="R38" t="b">
        <v>0</v>
      </c>
      <c r="S38" t="s">
        <v>4954</v>
      </c>
    </row>
    <row r="39" spans="1:19" ht="11.25" customHeight="1">
      <c r="A39">
        <v>2655</v>
      </c>
      <c r="B39" t="s">
        <v>114</v>
      </c>
      <c r="C39">
        <v>31424033</v>
      </c>
      <c r="D39" t="s">
        <v>5306</v>
      </c>
      <c r="E39" t="s">
        <v>5307</v>
      </c>
      <c r="F39" t="s">
        <v>5308</v>
      </c>
      <c r="G39" t="s">
        <v>5309</v>
      </c>
      <c r="H39" t="s">
        <v>5310</v>
      </c>
      <c r="I39" t="s">
        <v>243</v>
      </c>
      <c r="J39" t="s">
        <v>5242</v>
      </c>
      <c r="K39" t="s">
        <v>243</v>
      </c>
      <c r="L39" t="s">
        <v>243</v>
      </c>
      <c r="M39" t="s">
        <v>243</v>
      </c>
      <c r="N39" t="s">
        <v>243</v>
      </c>
      <c r="O39" t="s">
        <v>243</v>
      </c>
      <c r="P39" t="s">
        <v>243</v>
      </c>
      <c r="Q39" t="s">
        <v>243</v>
      </c>
      <c r="R39" t="b">
        <v>0</v>
      </c>
      <c r="S39" t="s">
        <v>4954</v>
      </c>
    </row>
    <row r="40" spans="1:19" ht="11.25" customHeight="1">
      <c r="A40">
        <v>2655</v>
      </c>
      <c r="B40" t="s">
        <v>114</v>
      </c>
      <c r="C40">
        <v>26428026</v>
      </c>
      <c r="D40" t="s">
        <v>5311</v>
      </c>
      <c r="E40" t="s">
        <v>5312</v>
      </c>
      <c r="F40" t="s">
        <v>5313</v>
      </c>
      <c r="G40" t="s">
        <v>5314</v>
      </c>
      <c r="H40" t="s">
        <v>5315</v>
      </c>
      <c r="I40" t="s">
        <v>243</v>
      </c>
      <c r="K40" t="s">
        <v>5316</v>
      </c>
      <c r="L40" t="s">
        <v>5316</v>
      </c>
      <c r="M40" t="s">
        <v>5317</v>
      </c>
      <c r="N40" t="s">
        <v>5318</v>
      </c>
      <c r="O40" t="s">
        <v>5319</v>
      </c>
      <c r="P40" t="s">
        <v>5088</v>
      </c>
      <c r="Q40" t="s">
        <v>243</v>
      </c>
      <c r="R40" t="b">
        <v>1</v>
      </c>
      <c r="S40" t="s">
        <v>4954</v>
      </c>
    </row>
    <row r="41" spans="1:19" ht="11.25" customHeight="1">
      <c r="A41">
        <v>2655</v>
      </c>
      <c r="B41" t="s">
        <v>114</v>
      </c>
      <c r="C41">
        <v>28151808</v>
      </c>
      <c r="D41" t="s">
        <v>5320</v>
      </c>
      <c r="E41" t="s">
        <v>5321</v>
      </c>
      <c r="F41" t="s">
        <v>5322</v>
      </c>
      <c r="G41" t="s">
        <v>5034</v>
      </c>
      <c r="H41" t="s">
        <v>5323</v>
      </c>
      <c r="I41" t="s">
        <v>5324</v>
      </c>
      <c r="J41" t="s">
        <v>5242</v>
      </c>
      <c r="K41" t="s">
        <v>5325</v>
      </c>
      <c r="L41" t="s">
        <v>5326</v>
      </c>
      <c r="M41" t="s">
        <v>5327</v>
      </c>
      <c r="N41" t="s">
        <v>5328</v>
      </c>
      <c r="O41" t="s">
        <v>5329</v>
      </c>
      <c r="P41" t="s">
        <v>5030</v>
      </c>
      <c r="Q41" t="s">
        <v>243</v>
      </c>
      <c r="R41" t="b">
        <v>1</v>
      </c>
      <c r="S41" t="s">
        <v>4954</v>
      </c>
    </row>
    <row r="42" spans="1:19" ht="11.25" customHeight="1">
      <c r="A42">
        <v>2655</v>
      </c>
      <c r="B42" t="s">
        <v>114</v>
      </c>
      <c r="C42">
        <v>31739633</v>
      </c>
      <c r="D42" t="s">
        <v>5330</v>
      </c>
      <c r="E42" t="s">
        <v>5331</v>
      </c>
      <c r="F42" t="s">
        <v>5332</v>
      </c>
      <c r="G42" t="s">
        <v>5333</v>
      </c>
      <c r="H42" t="s">
        <v>5334</v>
      </c>
      <c r="I42" t="s">
        <v>5335</v>
      </c>
      <c r="K42" t="s">
        <v>5336</v>
      </c>
      <c r="L42" t="s">
        <v>5336</v>
      </c>
      <c r="M42" t="s">
        <v>5337</v>
      </c>
      <c r="N42" t="s">
        <v>5338</v>
      </c>
      <c r="O42" t="s">
        <v>5339</v>
      </c>
      <c r="P42" t="s">
        <v>5051</v>
      </c>
      <c r="Q42" t="s">
        <v>243</v>
      </c>
      <c r="R42" t="b">
        <v>0</v>
      </c>
      <c r="S42" t="s">
        <v>4954</v>
      </c>
    </row>
    <row r="43" spans="1:19" ht="11.25" customHeight="1">
      <c r="A43">
        <v>2655</v>
      </c>
      <c r="B43" t="s">
        <v>114</v>
      </c>
      <c r="C43">
        <v>31541617</v>
      </c>
      <c r="D43" t="s">
        <v>5340</v>
      </c>
      <c r="E43" t="s">
        <v>5341</v>
      </c>
      <c r="F43" t="s">
        <v>5342</v>
      </c>
      <c r="G43" t="s">
        <v>5343</v>
      </c>
      <c r="H43" t="s">
        <v>5344</v>
      </c>
      <c r="I43" t="s">
        <v>5345</v>
      </c>
      <c r="K43" t="s">
        <v>5346</v>
      </c>
      <c r="L43" t="s">
        <v>5346</v>
      </c>
      <c r="M43" t="s">
        <v>5347</v>
      </c>
      <c r="N43" t="s">
        <v>5348</v>
      </c>
      <c r="O43" t="s">
        <v>5349</v>
      </c>
      <c r="P43" t="s">
        <v>5051</v>
      </c>
      <c r="Q43" t="s">
        <v>243</v>
      </c>
      <c r="R43" t="b">
        <v>1</v>
      </c>
      <c r="S43" t="s">
        <v>4954</v>
      </c>
    </row>
    <row r="44" spans="1:19" ht="11.25" customHeight="1">
      <c r="A44">
        <v>2655</v>
      </c>
      <c r="B44" t="s">
        <v>114</v>
      </c>
      <c r="C44">
        <v>26356987</v>
      </c>
      <c r="D44" t="s">
        <v>5350</v>
      </c>
      <c r="E44" t="s">
        <v>5351</v>
      </c>
      <c r="F44" t="s">
        <v>5352</v>
      </c>
      <c r="G44" t="s">
        <v>5353</v>
      </c>
      <c r="H44" t="s">
        <v>5354</v>
      </c>
      <c r="I44" t="s">
        <v>5355</v>
      </c>
      <c r="J44" t="s">
        <v>5242</v>
      </c>
      <c r="K44" t="s">
        <v>5356</v>
      </c>
      <c r="L44" t="s">
        <v>5356</v>
      </c>
      <c r="M44" t="s">
        <v>5357</v>
      </c>
      <c r="N44" t="s">
        <v>5358</v>
      </c>
      <c r="O44" t="s">
        <v>5359</v>
      </c>
      <c r="P44" t="s">
        <v>5051</v>
      </c>
      <c r="Q44" t="s">
        <v>5360</v>
      </c>
      <c r="R44" t="b">
        <v>0</v>
      </c>
      <c r="S44" t="s">
        <v>4954</v>
      </c>
    </row>
    <row r="45" spans="1:19" ht="11.25" customHeight="1">
      <c r="A45">
        <v>2655</v>
      </c>
      <c r="B45" t="s">
        <v>114</v>
      </c>
      <c r="C45">
        <v>26356891</v>
      </c>
      <c r="D45" t="s">
        <v>5361</v>
      </c>
      <c r="E45" t="s">
        <v>5362</v>
      </c>
      <c r="F45" t="s">
        <v>5363</v>
      </c>
      <c r="G45" t="s">
        <v>5180</v>
      </c>
      <c r="H45" t="s">
        <v>5364</v>
      </c>
      <c r="I45" t="s">
        <v>5365</v>
      </c>
      <c r="J45" t="s">
        <v>5242</v>
      </c>
      <c r="K45" t="s">
        <v>5366</v>
      </c>
      <c r="L45" t="s">
        <v>5366</v>
      </c>
      <c r="M45" t="s">
        <v>5367</v>
      </c>
      <c r="N45" t="s">
        <v>5368</v>
      </c>
      <c r="O45" t="s">
        <v>5369</v>
      </c>
      <c r="P45" t="s">
        <v>5088</v>
      </c>
      <c r="Q45" t="s">
        <v>243</v>
      </c>
      <c r="R45" t="b">
        <v>0</v>
      </c>
      <c r="S45" t="s">
        <v>4954</v>
      </c>
    </row>
    <row r="46" spans="1:19" ht="11.25" customHeight="1">
      <c r="A46">
        <v>2655</v>
      </c>
      <c r="B46" t="s">
        <v>114</v>
      </c>
      <c r="C46">
        <v>31241637</v>
      </c>
      <c r="D46" t="s">
        <v>5370</v>
      </c>
      <c r="E46" t="s">
        <v>5371</v>
      </c>
      <c r="F46" t="s">
        <v>5372</v>
      </c>
      <c r="G46" t="s">
        <v>5199</v>
      </c>
      <c r="H46" t="s">
        <v>5373</v>
      </c>
      <c r="I46" t="s">
        <v>5374</v>
      </c>
      <c r="J46" t="s">
        <v>5242</v>
      </c>
      <c r="K46" t="s">
        <v>5375</v>
      </c>
      <c r="L46" t="s">
        <v>5375</v>
      </c>
      <c r="M46" t="s">
        <v>5376</v>
      </c>
      <c r="N46" t="s">
        <v>243</v>
      </c>
      <c r="O46" t="s">
        <v>5377</v>
      </c>
      <c r="P46" t="s">
        <v>5051</v>
      </c>
      <c r="Q46" t="s">
        <v>243</v>
      </c>
      <c r="R46" t="b">
        <v>0</v>
      </c>
      <c r="S46" t="s">
        <v>4954</v>
      </c>
    </row>
    <row r="47" spans="1:19" ht="11.25" customHeight="1">
      <c r="A47">
        <v>2655</v>
      </c>
      <c r="B47" t="s">
        <v>114</v>
      </c>
      <c r="C47">
        <v>26356937</v>
      </c>
      <c r="D47" t="s">
        <v>5378</v>
      </c>
      <c r="E47" t="s">
        <v>5379</v>
      </c>
      <c r="F47" t="s">
        <v>5380</v>
      </c>
      <c r="G47" t="s">
        <v>5249</v>
      </c>
      <c r="H47" t="s">
        <v>5381</v>
      </c>
      <c r="I47" t="s">
        <v>5382</v>
      </c>
      <c r="J47" t="s">
        <v>5242</v>
      </c>
      <c r="K47" t="s">
        <v>5383</v>
      </c>
      <c r="L47" t="s">
        <v>5383</v>
      </c>
      <c r="M47" t="s">
        <v>5384</v>
      </c>
      <c r="N47" t="s">
        <v>5385</v>
      </c>
      <c r="O47" t="s">
        <v>5386</v>
      </c>
      <c r="P47" t="s">
        <v>5051</v>
      </c>
      <c r="Q47" t="s">
        <v>5387</v>
      </c>
      <c r="R47" t="b">
        <v>0</v>
      </c>
      <c r="S47" t="s">
        <v>4954</v>
      </c>
    </row>
    <row r="48" spans="1:19" ht="11.25" customHeight="1">
      <c r="A48">
        <v>2655</v>
      </c>
      <c r="B48" t="s">
        <v>114</v>
      </c>
      <c r="C48">
        <v>31770754</v>
      </c>
      <c r="D48" t="s">
        <v>5388</v>
      </c>
      <c r="E48" t="s">
        <v>5389</v>
      </c>
      <c r="F48" t="s">
        <v>5390</v>
      </c>
      <c r="G48" t="s">
        <v>5333</v>
      </c>
      <c r="H48" t="s">
        <v>5391</v>
      </c>
      <c r="I48" t="s">
        <v>5392</v>
      </c>
      <c r="K48" t="s">
        <v>5393</v>
      </c>
      <c r="L48" t="s">
        <v>5394</v>
      </c>
      <c r="M48" t="s">
        <v>5395</v>
      </c>
      <c r="N48" t="s">
        <v>5396</v>
      </c>
      <c r="O48" t="s">
        <v>5397</v>
      </c>
      <c r="P48" t="s">
        <v>5088</v>
      </c>
      <c r="Q48" t="s">
        <v>243</v>
      </c>
      <c r="R48" t="b">
        <v>1</v>
      </c>
      <c r="S48" t="s">
        <v>4954</v>
      </c>
    </row>
    <row r="49" spans="1:19" ht="11.25" customHeight="1">
      <c r="A49">
        <v>2655</v>
      </c>
      <c r="B49" t="s">
        <v>114</v>
      </c>
      <c r="C49">
        <v>31528492</v>
      </c>
      <c r="D49" t="s">
        <v>5398</v>
      </c>
      <c r="E49" t="s">
        <v>5399</v>
      </c>
      <c r="F49" t="s">
        <v>5400</v>
      </c>
      <c r="G49" t="s">
        <v>5199</v>
      </c>
      <c r="H49" t="s">
        <v>5401</v>
      </c>
      <c r="I49" t="s">
        <v>5402</v>
      </c>
      <c r="K49" t="s">
        <v>5403</v>
      </c>
      <c r="L49" t="s">
        <v>5403</v>
      </c>
      <c r="M49" t="s">
        <v>5404</v>
      </c>
      <c r="N49" t="s">
        <v>5405</v>
      </c>
      <c r="O49" t="s">
        <v>5406</v>
      </c>
      <c r="P49" t="s">
        <v>4965</v>
      </c>
      <c r="Q49" t="s">
        <v>243</v>
      </c>
      <c r="R49" t="b">
        <v>0</v>
      </c>
      <c r="S49" t="s">
        <v>4954</v>
      </c>
    </row>
    <row r="50" spans="1:19" ht="11.25" customHeight="1">
      <c r="A50">
        <v>2655</v>
      </c>
      <c r="B50" t="s">
        <v>114</v>
      </c>
      <c r="C50">
        <v>28270293</v>
      </c>
      <c r="D50" t="s">
        <v>5407</v>
      </c>
      <c r="E50" t="s">
        <v>5408</v>
      </c>
      <c r="F50" t="s">
        <v>5409</v>
      </c>
      <c r="G50" t="s">
        <v>5180</v>
      </c>
      <c r="H50" t="s">
        <v>5410</v>
      </c>
      <c r="I50" t="s">
        <v>5411</v>
      </c>
      <c r="J50" t="s">
        <v>5242</v>
      </c>
      <c r="K50" t="s">
        <v>5412</v>
      </c>
      <c r="L50" t="s">
        <v>5412</v>
      </c>
      <c r="M50" t="s">
        <v>5413</v>
      </c>
      <c r="N50" t="s">
        <v>5414</v>
      </c>
      <c r="O50" t="s">
        <v>5415</v>
      </c>
      <c r="P50" t="s">
        <v>5030</v>
      </c>
      <c r="Q50" t="s">
        <v>243</v>
      </c>
      <c r="R50" t="b">
        <v>0</v>
      </c>
      <c r="S50" t="s">
        <v>4954</v>
      </c>
    </row>
    <row r="51" spans="1:19" ht="11.25" customHeight="1">
      <c r="A51">
        <v>2655</v>
      </c>
      <c r="B51" t="s">
        <v>114</v>
      </c>
      <c r="C51">
        <v>28873362</v>
      </c>
      <c r="D51" t="s">
        <v>5416</v>
      </c>
      <c r="E51" t="s">
        <v>5417</v>
      </c>
      <c r="F51" t="s">
        <v>5418</v>
      </c>
      <c r="G51" t="s">
        <v>149</v>
      </c>
      <c r="H51" t="s">
        <v>5419</v>
      </c>
      <c r="I51" t="s">
        <v>5420</v>
      </c>
      <c r="J51" t="s">
        <v>5242</v>
      </c>
      <c r="K51" t="s">
        <v>5421</v>
      </c>
      <c r="L51" t="s">
        <v>5421</v>
      </c>
      <c r="M51" t="s">
        <v>5422</v>
      </c>
      <c r="N51" t="s">
        <v>5423</v>
      </c>
      <c r="O51" t="s">
        <v>5424</v>
      </c>
      <c r="P51" t="s">
        <v>5088</v>
      </c>
      <c r="Q51" t="s">
        <v>5425</v>
      </c>
      <c r="R51" t="b">
        <v>0</v>
      </c>
      <c r="S51" t="s">
        <v>4954</v>
      </c>
    </row>
    <row r="52" spans="1:19" ht="11.25" customHeight="1">
      <c r="A52">
        <v>2655</v>
      </c>
      <c r="B52" t="s">
        <v>114</v>
      </c>
      <c r="C52">
        <v>28976681</v>
      </c>
      <c r="D52" t="s">
        <v>5426</v>
      </c>
      <c r="E52" t="s">
        <v>5427</v>
      </c>
      <c r="F52" t="s">
        <v>5428</v>
      </c>
      <c r="G52" t="s">
        <v>5180</v>
      </c>
      <c r="H52" t="s">
        <v>5429</v>
      </c>
      <c r="I52" t="s">
        <v>5430</v>
      </c>
      <c r="J52" t="s">
        <v>5242</v>
      </c>
      <c r="K52" t="s">
        <v>5431</v>
      </c>
      <c r="L52" t="s">
        <v>5431</v>
      </c>
      <c r="M52" t="s">
        <v>5432</v>
      </c>
      <c r="N52" t="s">
        <v>243</v>
      </c>
      <c r="O52" t="s">
        <v>5433</v>
      </c>
      <c r="P52" t="s">
        <v>5088</v>
      </c>
      <c r="Q52" t="s">
        <v>243</v>
      </c>
      <c r="R52" t="b">
        <v>1</v>
      </c>
      <c r="S52" t="s">
        <v>4954</v>
      </c>
    </row>
    <row r="53" spans="1:19" ht="11.25" customHeight="1">
      <c r="A53">
        <v>2655</v>
      </c>
      <c r="B53" t="s">
        <v>114</v>
      </c>
      <c r="C53">
        <v>30992391</v>
      </c>
      <c r="D53" t="s">
        <v>5434</v>
      </c>
      <c r="E53" t="s">
        <v>5435</v>
      </c>
      <c r="F53" t="s">
        <v>5436</v>
      </c>
      <c r="G53" t="s">
        <v>5080</v>
      </c>
      <c r="H53" t="s">
        <v>5437</v>
      </c>
      <c r="I53" t="s">
        <v>5438</v>
      </c>
      <c r="J53" t="s">
        <v>5242</v>
      </c>
      <c r="K53" t="s">
        <v>5439</v>
      </c>
      <c r="L53" t="s">
        <v>5440</v>
      </c>
      <c r="M53" t="s">
        <v>5441</v>
      </c>
      <c r="N53" t="s">
        <v>5442</v>
      </c>
      <c r="O53" t="s">
        <v>5443</v>
      </c>
      <c r="P53" t="s">
        <v>5088</v>
      </c>
      <c r="Q53" t="s">
        <v>5444</v>
      </c>
      <c r="R53" t="b">
        <v>0</v>
      </c>
      <c r="S53" t="s">
        <v>4954</v>
      </c>
    </row>
    <row r="54" spans="1:19" ht="11.25" customHeight="1">
      <c r="A54">
        <v>2655</v>
      </c>
      <c r="B54" t="s">
        <v>114</v>
      </c>
      <c r="C54">
        <v>30808511</v>
      </c>
      <c r="D54" t="s">
        <v>5445</v>
      </c>
      <c r="E54" t="s">
        <v>5445</v>
      </c>
      <c r="F54" t="s">
        <v>5446</v>
      </c>
      <c r="G54" t="s">
        <v>5447</v>
      </c>
      <c r="H54" t="s">
        <v>5448</v>
      </c>
      <c r="I54" t="s">
        <v>5449</v>
      </c>
      <c r="J54" t="s">
        <v>5450</v>
      </c>
      <c r="K54" t="s">
        <v>5451</v>
      </c>
      <c r="L54" t="s">
        <v>5452</v>
      </c>
      <c r="M54" t="s">
        <v>5453</v>
      </c>
      <c r="N54" t="s">
        <v>243</v>
      </c>
      <c r="O54" t="s">
        <v>5454</v>
      </c>
      <c r="P54" t="s">
        <v>5088</v>
      </c>
      <c r="Q54" t="s">
        <v>5455</v>
      </c>
      <c r="R54" t="b">
        <v>0</v>
      </c>
      <c r="S54" t="s">
        <v>4954</v>
      </c>
    </row>
    <row r="55" spans="1:19" ht="11.25" customHeight="1">
      <c r="A55">
        <v>2655</v>
      </c>
      <c r="B55" t="s">
        <v>114</v>
      </c>
      <c r="C55">
        <v>26987067</v>
      </c>
      <c r="D55" t="s">
        <v>5456</v>
      </c>
      <c r="E55" t="s">
        <v>243</v>
      </c>
      <c r="F55" t="s">
        <v>5446</v>
      </c>
      <c r="G55" t="s">
        <v>5457</v>
      </c>
      <c r="H55" t="s">
        <v>5448</v>
      </c>
      <c r="I55" t="s">
        <v>243</v>
      </c>
      <c r="J55" t="s">
        <v>156</v>
      </c>
      <c r="K55" t="s">
        <v>5458</v>
      </c>
      <c r="L55" t="s">
        <v>5459</v>
      </c>
      <c r="M55" t="s">
        <v>243</v>
      </c>
      <c r="N55" t="s">
        <v>243</v>
      </c>
      <c r="O55" t="s">
        <v>243</v>
      </c>
      <c r="P55" t="s">
        <v>243</v>
      </c>
      <c r="Q55" t="s">
        <v>243</v>
      </c>
      <c r="R55" t="b">
        <v>0</v>
      </c>
      <c r="S55" t="s">
        <v>4954</v>
      </c>
    </row>
    <row r="56" spans="1:19" ht="11.25" customHeight="1">
      <c r="A56">
        <v>2655</v>
      </c>
      <c r="B56" t="s">
        <v>114</v>
      </c>
      <c r="C56">
        <v>26520873</v>
      </c>
      <c r="D56" t="s">
        <v>5460</v>
      </c>
      <c r="E56" t="s">
        <v>5461</v>
      </c>
      <c r="F56" t="s">
        <v>5446</v>
      </c>
      <c r="G56" t="s">
        <v>5462</v>
      </c>
      <c r="H56" t="s">
        <v>5448</v>
      </c>
      <c r="I56" t="s">
        <v>5463</v>
      </c>
      <c r="J56" t="s">
        <v>5450</v>
      </c>
      <c r="K56" t="s">
        <v>5464</v>
      </c>
      <c r="L56" t="s">
        <v>5465</v>
      </c>
      <c r="M56" t="s">
        <v>5466</v>
      </c>
      <c r="N56" t="s">
        <v>5467</v>
      </c>
      <c r="O56" t="s">
        <v>5468</v>
      </c>
      <c r="P56" t="s">
        <v>5088</v>
      </c>
      <c r="Q56" t="s">
        <v>5469</v>
      </c>
      <c r="R56" t="b">
        <v>0</v>
      </c>
      <c r="S56" t="s">
        <v>4954</v>
      </c>
    </row>
    <row r="57" spans="1:19" ht="11.25" customHeight="1">
      <c r="A57">
        <v>2655</v>
      </c>
      <c r="B57" t="s">
        <v>114</v>
      </c>
      <c r="C57">
        <v>30984255</v>
      </c>
      <c r="D57" t="s">
        <v>5470</v>
      </c>
      <c r="E57" t="s">
        <v>5471</v>
      </c>
      <c r="F57" t="s">
        <v>5472</v>
      </c>
      <c r="G57" t="s">
        <v>5034</v>
      </c>
      <c r="H57" t="s">
        <v>5473</v>
      </c>
      <c r="I57" t="s">
        <v>5474</v>
      </c>
      <c r="J57" t="s">
        <v>5475</v>
      </c>
      <c r="K57" t="s">
        <v>5476</v>
      </c>
      <c r="L57" t="s">
        <v>5476</v>
      </c>
      <c r="M57" t="s">
        <v>5477</v>
      </c>
      <c r="N57" t="s">
        <v>5478</v>
      </c>
      <c r="O57" t="s">
        <v>5479</v>
      </c>
      <c r="P57" t="s">
        <v>5480</v>
      </c>
      <c r="Q57" t="s">
        <v>243</v>
      </c>
      <c r="R57" t="b">
        <v>0</v>
      </c>
      <c r="S57" t="s">
        <v>4954</v>
      </c>
    </row>
    <row r="58" spans="1:19" ht="11.25" customHeight="1">
      <c r="A58">
        <v>2655</v>
      </c>
      <c r="B58" t="s">
        <v>114</v>
      </c>
      <c r="C58">
        <v>28976938</v>
      </c>
      <c r="D58" t="s">
        <v>4940</v>
      </c>
      <c r="E58" t="s">
        <v>4941</v>
      </c>
      <c r="F58" t="s">
        <v>4942</v>
      </c>
      <c r="G58" t="s">
        <v>4943</v>
      </c>
      <c r="H58" t="s">
        <v>4944</v>
      </c>
      <c r="I58" t="s">
        <v>4945</v>
      </c>
      <c r="J58" t="s">
        <v>4946</v>
      </c>
      <c r="K58" t="s">
        <v>4947</v>
      </c>
      <c r="L58" t="s">
        <v>4948</v>
      </c>
      <c r="M58" t="s">
        <v>4949</v>
      </c>
      <c r="N58" t="s">
        <v>4950</v>
      </c>
      <c r="O58" t="s">
        <v>4951</v>
      </c>
      <c r="P58" t="s">
        <v>4952</v>
      </c>
      <c r="Q58" t="s">
        <v>4953</v>
      </c>
      <c r="R58" t="b">
        <v>0</v>
      </c>
      <c r="S58" t="s">
        <v>5481</v>
      </c>
    </row>
    <row r="59" spans="1:19" ht="11.25" customHeight="1">
      <c r="A59">
        <v>2655</v>
      </c>
      <c r="B59" t="s">
        <v>114</v>
      </c>
      <c r="C59">
        <v>26356915</v>
      </c>
      <c r="D59" t="s">
        <v>5482</v>
      </c>
      <c r="E59" t="s">
        <v>5483</v>
      </c>
      <c r="F59" t="s">
        <v>5484</v>
      </c>
      <c r="G59" t="s">
        <v>5169</v>
      </c>
      <c r="H59" t="s">
        <v>5485</v>
      </c>
      <c r="I59" t="s">
        <v>5486</v>
      </c>
      <c r="J59" t="s">
        <v>4946</v>
      </c>
      <c r="K59" t="s">
        <v>5487</v>
      </c>
      <c r="L59" t="s">
        <v>5487</v>
      </c>
      <c r="M59" t="s">
        <v>5488</v>
      </c>
      <c r="N59" t="s">
        <v>5489</v>
      </c>
      <c r="O59" t="s">
        <v>5490</v>
      </c>
      <c r="P59" t="s">
        <v>5030</v>
      </c>
      <c r="Q59" t="s">
        <v>190</v>
      </c>
      <c r="R59" t="b">
        <v>0</v>
      </c>
      <c r="S59" t="s">
        <v>5481</v>
      </c>
    </row>
    <row r="60" spans="1:19" ht="11.25" customHeight="1">
      <c r="A60">
        <v>2655</v>
      </c>
      <c r="B60" t="s">
        <v>114</v>
      </c>
      <c r="C60">
        <v>27857950</v>
      </c>
      <c r="D60" t="s">
        <v>5491</v>
      </c>
      <c r="E60" t="s">
        <v>5492</v>
      </c>
      <c r="F60" t="s">
        <v>5493</v>
      </c>
      <c r="G60" t="s">
        <v>5353</v>
      </c>
      <c r="H60" t="s">
        <v>5494</v>
      </c>
      <c r="I60" t="s">
        <v>243</v>
      </c>
      <c r="J60" t="s">
        <v>4946</v>
      </c>
      <c r="K60" t="s">
        <v>5495</v>
      </c>
      <c r="L60" t="s">
        <v>5495</v>
      </c>
      <c r="M60" t="s">
        <v>5496</v>
      </c>
      <c r="N60" t="s">
        <v>5497</v>
      </c>
      <c r="O60" t="s">
        <v>5498</v>
      </c>
      <c r="P60" t="s">
        <v>5051</v>
      </c>
      <c r="Q60" t="s">
        <v>243</v>
      </c>
      <c r="R60" t="b">
        <v>1</v>
      </c>
      <c r="S60" t="s">
        <v>5481</v>
      </c>
    </row>
    <row r="61" spans="1:19" ht="11.25" customHeight="1">
      <c r="A61">
        <v>2655</v>
      </c>
      <c r="B61" t="s">
        <v>114</v>
      </c>
      <c r="C61">
        <v>26356963</v>
      </c>
      <c r="D61" t="s">
        <v>4977</v>
      </c>
      <c r="E61" t="s">
        <v>4978</v>
      </c>
      <c r="F61" t="s">
        <v>4979</v>
      </c>
      <c r="G61" t="s">
        <v>4980</v>
      </c>
      <c r="H61" t="s">
        <v>4981</v>
      </c>
      <c r="I61" t="s">
        <v>243</v>
      </c>
      <c r="J61" t="s">
        <v>4946</v>
      </c>
      <c r="K61" t="s">
        <v>4982</v>
      </c>
      <c r="L61" t="s">
        <v>4982</v>
      </c>
      <c r="M61" t="s">
        <v>4983</v>
      </c>
      <c r="N61" t="s">
        <v>4984</v>
      </c>
      <c r="O61" t="s">
        <v>4985</v>
      </c>
      <c r="P61" t="s">
        <v>179</v>
      </c>
      <c r="Q61" t="s">
        <v>243</v>
      </c>
      <c r="R61" t="b">
        <v>0</v>
      </c>
      <c r="S61" t="s">
        <v>5481</v>
      </c>
    </row>
    <row r="62" spans="1:19" ht="11.25" customHeight="1">
      <c r="A62">
        <v>2655</v>
      </c>
      <c r="B62" t="s">
        <v>114</v>
      </c>
      <c r="C62">
        <v>26322889</v>
      </c>
      <c r="D62" t="s">
        <v>4986</v>
      </c>
      <c r="E62" t="s">
        <v>4987</v>
      </c>
      <c r="F62" t="s">
        <v>4988</v>
      </c>
      <c r="G62" t="s">
        <v>4989</v>
      </c>
      <c r="H62" t="s">
        <v>4990</v>
      </c>
      <c r="I62" t="s">
        <v>4991</v>
      </c>
      <c r="J62" t="s">
        <v>4946</v>
      </c>
      <c r="K62" t="s">
        <v>4992</v>
      </c>
      <c r="L62" t="s">
        <v>4993</v>
      </c>
      <c r="M62" t="s">
        <v>4994</v>
      </c>
      <c r="N62" t="s">
        <v>4995</v>
      </c>
      <c r="O62" t="s">
        <v>4996</v>
      </c>
      <c r="P62" t="s">
        <v>4997</v>
      </c>
      <c r="Q62" t="s">
        <v>4998</v>
      </c>
      <c r="R62" t="b">
        <v>0</v>
      </c>
      <c r="S62" t="s">
        <v>5481</v>
      </c>
    </row>
    <row r="63" spans="1:19" ht="11.25" customHeight="1">
      <c r="A63">
        <v>2655</v>
      </c>
      <c r="B63" t="s">
        <v>114</v>
      </c>
      <c r="C63">
        <v>31833446</v>
      </c>
      <c r="D63" t="s">
        <v>5499</v>
      </c>
      <c r="E63" t="s">
        <v>5500</v>
      </c>
      <c r="F63" t="s">
        <v>5501</v>
      </c>
      <c r="G63" t="s">
        <v>149</v>
      </c>
      <c r="H63" t="s">
        <v>5502</v>
      </c>
      <c r="I63" t="s">
        <v>243</v>
      </c>
      <c r="K63" t="s">
        <v>243</v>
      </c>
      <c r="L63" t="s">
        <v>5503</v>
      </c>
      <c r="M63" t="s">
        <v>243</v>
      </c>
      <c r="N63" t="s">
        <v>243</v>
      </c>
      <c r="O63" t="s">
        <v>5504</v>
      </c>
      <c r="P63" t="s">
        <v>4965</v>
      </c>
      <c r="Q63" t="s">
        <v>243</v>
      </c>
      <c r="R63" t="b">
        <v>0</v>
      </c>
      <c r="S63" t="s">
        <v>5481</v>
      </c>
    </row>
    <row r="64" spans="1:19" ht="11.25" customHeight="1">
      <c r="A64">
        <v>2655</v>
      </c>
      <c r="B64" t="s">
        <v>114</v>
      </c>
      <c r="C64">
        <v>27820148</v>
      </c>
      <c r="D64" t="s">
        <v>5505</v>
      </c>
      <c r="E64" t="s">
        <v>5506</v>
      </c>
      <c r="F64" t="s">
        <v>5507</v>
      </c>
      <c r="G64" t="s">
        <v>5249</v>
      </c>
      <c r="H64" t="s">
        <v>5508</v>
      </c>
      <c r="I64" t="s">
        <v>5509</v>
      </c>
      <c r="J64" t="s">
        <v>4946</v>
      </c>
      <c r="K64" t="s">
        <v>5510</v>
      </c>
      <c r="L64" t="s">
        <v>5510</v>
      </c>
      <c r="M64" t="s">
        <v>5511</v>
      </c>
      <c r="N64" t="s">
        <v>5512</v>
      </c>
      <c r="O64" t="s">
        <v>5513</v>
      </c>
      <c r="P64" t="s">
        <v>5514</v>
      </c>
      <c r="Q64" t="s">
        <v>5515</v>
      </c>
      <c r="R64" t="b">
        <v>0</v>
      </c>
      <c r="S64" t="s">
        <v>5481</v>
      </c>
    </row>
    <row r="65" spans="1:19" ht="11.25" customHeight="1">
      <c r="A65">
        <v>2655</v>
      </c>
      <c r="B65" t="s">
        <v>114</v>
      </c>
      <c r="C65">
        <v>26322867</v>
      </c>
      <c r="D65" t="s">
        <v>5052</v>
      </c>
      <c r="E65" t="s">
        <v>5053</v>
      </c>
      <c r="F65" t="s">
        <v>5054</v>
      </c>
      <c r="G65" t="s">
        <v>4989</v>
      </c>
      <c r="H65" t="s">
        <v>5055</v>
      </c>
      <c r="I65" t="s">
        <v>5056</v>
      </c>
      <c r="J65" t="s">
        <v>4946</v>
      </c>
      <c r="K65" t="s">
        <v>5057</v>
      </c>
      <c r="L65" t="s">
        <v>5057</v>
      </c>
      <c r="M65" t="s">
        <v>5058</v>
      </c>
      <c r="N65" t="s">
        <v>5059</v>
      </c>
      <c r="O65" t="s">
        <v>5060</v>
      </c>
      <c r="P65" t="s">
        <v>5030</v>
      </c>
      <c r="Q65" t="s">
        <v>5061</v>
      </c>
      <c r="R65" t="b">
        <v>0</v>
      </c>
      <c r="S65" t="s">
        <v>5481</v>
      </c>
    </row>
    <row r="66" spans="1:19" ht="11.25" customHeight="1">
      <c r="A66">
        <v>2655</v>
      </c>
      <c r="B66" t="s">
        <v>114</v>
      </c>
      <c r="C66">
        <v>26824396</v>
      </c>
      <c r="D66" t="s">
        <v>5071</v>
      </c>
      <c r="E66" t="s">
        <v>5072</v>
      </c>
      <c r="F66" t="s">
        <v>5033</v>
      </c>
      <c r="G66" t="s">
        <v>5073</v>
      </c>
      <c r="H66" t="s">
        <v>5035</v>
      </c>
      <c r="I66" t="s">
        <v>243</v>
      </c>
      <c r="J66" t="s">
        <v>156</v>
      </c>
      <c r="K66" t="s">
        <v>5074</v>
      </c>
      <c r="L66" t="s">
        <v>5074</v>
      </c>
      <c r="M66" t="s">
        <v>5075</v>
      </c>
      <c r="N66" t="s">
        <v>243</v>
      </c>
      <c r="O66" t="s">
        <v>5076</v>
      </c>
      <c r="P66" t="s">
        <v>5070</v>
      </c>
      <c r="Q66" t="s">
        <v>243</v>
      </c>
      <c r="R66" t="b">
        <v>0</v>
      </c>
      <c r="S66" t="s">
        <v>5481</v>
      </c>
    </row>
    <row r="67" spans="1:19" ht="11.25" customHeight="1">
      <c r="A67">
        <v>2655</v>
      </c>
      <c r="B67" t="s">
        <v>114</v>
      </c>
      <c r="C67">
        <v>30365193</v>
      </c>
      <c r="D67" t="s">
        <v>5516</v>
      </c>
      <c r="E67" t="s">
        <v>5517</v>
      </c>
      <c r="F67" t="s">
        <v>5518</v>
      </c>
      <c r="G67" t="s">
        <v>149</v>
      </c>
      <c r="H67" t="s">
        <v>5519</v>
      </c>
      <c r="I67" t="s">
        <v>243</v>
      </c>
      <c r="J67" t="s">
        <v>5520</v>
      </c>
      <c r="K67" t="s">
        <v>5521</v>
      </c>
      <c r="L67" t="s">
        <v>5521</v>
      </c>
      <c r="M67" t="s">
        <v>243</v>
      </c>
      <c r="N67" t="s">
        <v>243</v>
      </c>
      <c r="O67" t="s">
        <v>5522</v>
      </c>
      <c r="P67" t="s">
        <v>5523</v>
      </c>
      <c r="Q67" t="s">
        <v>243</v>
      </c>
      <c r="R67" t="b">
        <v>0</v>
      </c>
      <c r="S67" t="s">
        <v>5481</v>
      </c>
    </row>
    <row r="68" spans="1:19" ht="11.25" customHeight="1">
      <c r="A68">
        <v>2655</v>
      </c>
      <c r="B68" t="s">
        <v>114</v>
      </c>
      <c r="C68">
        <v>31232672</v>
      </c>
      <c r="D68" t="s">
        <v>5077</v>
      </c>
      <c r="E68" t="s">
        <v>5078</v>
      </c>
      <c r="F68" t="s">
        <v>5079</v>
      </c>
      <c r="G68" t="s">
        <v>5080</v>
      </c>
      <c r="H68" t="s">
        <v>5081</v>
      </c>
      <c r="I68" t="s">
        <v>5082</v>
      </c>
      <c r="J68" t="s">
        <v>5083</v>
      </c>
      <c r="K68" t="s">
        <v>5084</v>
      </c>
      <c r="L68" t="s">
        <v>5084</v>
      </c>
      <c r="M68" t="s">
        <v>5085</v>
      </c>
      <c r="N68" t="s">
        <v>5086</v>
      </c>
      <c r="O68" t="s">
        <v>5087</v>
      </c>
      <c r="P68" t="s">
        <v>5088</v>
      </c>
      <c r="Q68" t="s">
        <v>243</v>
      </c>
      <c r="R68" t="b">
        <v>0</v>
      </c>
      <c r="S68" t="s">
        <v>5481</v>
      </c>
    </row>
    <row r="69" spans="1:19" ht="11.25" customHeight="1">
      <c r="A69">
        <v>2655</v>
      </c>
      <c r="B69" t="s">
        <v>114</v>
      </c>
      <c r="C69">
        <v>27978231</v>
      </c>
      <c r="D69" t="s">
        <v>5524</v>
      </c>
      <c r="E69" t="s">
        <v>5525</v>
      </c>
      <c r="F69" t="s">
        <v>5526</v>
      </c>
      <c r="G69" t="s">
        <v>5151</v>
      </c>
      <c r="H69" t="s">
        <v>5527</v>
      </c>
      <c r="I69" t="s">
        <v>5528</v>
      </c>
      <c r="J69" t="s">
        <v>5083</v>
      </c>
      <c r="K69" t="s">
        <v>5529</v>
      </c>
      <c r="L69" t="s">
        <v>5530</v>
      </c>
      <c r="M69" t="s">
        <v>5531</v>
      </c>
      <c r="N69" t="s">
        <v>243</v>
      </c>
      <c r="O69" t="s">
        <v>5532</v>
      </c>
      <c r="P69" t="s">
        <v>5088</v>
      </c>
      <c r="Q69" t="s">
        <v>243</v>
      </c>
      <c r="R69" t="b">
        <v>0</v>
      </c>
      <c r="S69" t="s">
        <v>5481</v>
      </c>
    </row>
    <row r="70" spans="1:19" ht="11.25" customHeight="1">
      <c r="A70">
        <v>2655</v>
      </c>
      <c r="B70" t="s">
        <v>114</v>
      </c>
      <c r="C70">
        <v>30808700</v>
      </c>
      <c r="D70" t="s">
        <v>5100</v>
      </c>
      <c r="E70" t="s">
        <v>5101</v>
      </c>
      <c r="F70" t="s">
        <v>5102</v>
      </c>
      <c r="G70" t="s">
        <v>5034</v>
      </c>
      <c r="H70" t="s">
        <v>5103</v>
      </c>
      <c r="I70" t="s">
        <v>5104</v>
      </c>
      <c r="J70" t="s">
        <v>5095</v>
      </c>
      <c r="K70" t="s">
        <v>5105</v>
      </c>
      <c r="L70" t="s">
        <v>5106</v>
      </c>
      <c r="M70" t="s">
        <v>5107</v>
      </c>
      <c r="N70" t="s">
        <v>5108</v>
      </c>
      <c r="O70" t="s">
        <v>5109</v>
      </c>
      <c r="P70" t="s">
        <v>5051</v>
      </c>
      <c r="Q70" t="s">
        <v>243</v>
      </c>
      <c r="R70" t="b">
        <v>1</v>
      </c>
      <c r="S70" t="s">
        <v>5481</v>
      </c>
    </row>
    <row r="71" spans="1:19" ht="11.25" customHeight="1">
      <c r="A71">
        <v>2655</v>
      </c>
      <c r="B71" t="s">
        <v>114</v>
      </c>
      <c r="C71">
        <v>31319221</v>
      </c>
      <c r="D71" t="s">
        <v>5110</v>
      </c>
      <c r="E71" t="s">
        <v>5111</v>
      </c>
      <c r="F71" t="s">
        <v>5112</v>
      </c>
      <c r="G71" t="s">
        <v>5092</v>
      </c>
      <c r="H71" t="s">
        <v>5113</v>
      </c>
      <c r="I71" t="s">
        <v>5114</v>
      </c>
      <c r="J71" t="s">
        <v>5083</v>
      </c>
      <c r="K71" t="s">
        <v>5115</v>
      </c>
      <c r="L71" t="s">
        <v>5116</v>
      </c>
      <c r="M71" t="s">
        <v>5117</v>
      </c>
      <c r="N71" t="s">
        <v>5118</v>
      </c>
      <c r="O71" t="s">
        <v>5119</v>
      </c>
      <c r="P71" t="s">
        <v>5088</v>
      </c>
      <c r="Q71" t="s">
        <v>243</v>
      </c>
      <c r="R71" t="b">
        <v>0</v>
      </c>
      <c r="S71" t="s">
        <v>5481</v>
      </c>
    </row>
    <row r="72" spans="1:19" ht="11.25" customHeight="1">
      <c r="A72">
        <v>2655</v>
      </c>
      <c r="B72" t="s">
        <v>114</v>
      </c>
      <c r="C72">
        <v>31419990</v>
      </c>
      <c r="D72" t="s">
        <v>5120</v>
      </c>
      <c r="E72" t="s">
        <v>5121</v>
      </c>
      <c r="F72" t="s">
        <v>5122</v>
      </c>
      <c r="G72" t="s">
        <v>5123</v>
      </c>
      <c r="H72" t="s">
        <v>5124</v>
      </c>
      <c r="I72" t="s">
        <v>5125</v>
      </c>
      <c r="J72" t="s">
        <v>5083</v>
      </c>
      <c r="K72" t="s">
        <v>5126</v>
      </c>
      <c r="L72" t="s">
        <v>5126</v>
      </c>
      <c r="M72" t="s">
        <v>5127</v>
      </c>
      <c r="N72" t="s">
        <v>5128</v>
      </c>
      <c r="O72" t="s">
        <v>5129</v>
      </c>
      <c r="P72" t="s">
        <v>5088</v>
      </c>
      <c r="Q72" t="s">
        <v>5130</v>
      </c>
      <c r="R72" t="b">
        <v>0</v>
      </c>
      <c r="S72" t="s">
        <v>5481</v>
      </c>
    </row>
    <row r="73" spans="1:19" ht="11.25" customHeight="1">
      <c r="A73">
        <v>2655</v>
      </c>
      <c r="B73" t="s">
        <v>114</v>
      </c>
      <c r="C73">
        <v>31343443</v>
      </c>
      <c r="D73" t="s">
        <v>5131</v>
      </c>
      <c r="E73" t="s">
        <v>5132</v>
      </c>
      <c r="F73" t="s">
        <v>5133</v>
      </c>
      <c r="G73" t="s">
        <v>5034</v>
      </c>
      <c r="H73" t="s">
        <v>5134</v>
      </c>
      <c r="I73" t="s">
        <v>5135</v>
      </c>
      <c r="J73" t="s">
        <v>5083</v>
      </c>
      <c r="K73" t="s">
        <v>5136</v>
      </c>
      <c r="L73" t="s">
        <v>5136</v>
      </c>
      <c r="N73" t="s">
        <v>5137</v>
      </c>
      <c r="O73" t="s">
        <v>5138</v>
      </c>
      <c r="P73" t="s">
        <v>5051</v>
      </c>
      <c r="R73" t="b">
        <v>0</v>
      </c>
      <c r="S73" t="s">
        <v>5481</v>
      </c>
    </row>
    <row r="74" spans="1:19" ht="11.25" customHeight="1">
      <c r="A74">
        <v>2655</v>
      </c>
      <c r="B74" t="s">
        <v>114</v>
      </c>
      <c r="C74">
        <v>31367841</v>
      </c>
      <c r="D74" t="s">
        <v>5139</v>
      </c>
      <c r="E74" t="s">
        <v>5140</v>
      </c>
      <c r="F74" t="s">
        <v>5141</v>
      </c>
      <c r="G74" t="s">
        <v>5142</v>
      </c>
      <c r="H74" t="s">
        <v>5143</v>
      </c>
      <c r="I74" t="s">
        <v>5144</v>
      </c>
      <c r="J74" t="s">
        <v>5095</v>
      </c>
      <c r="K74" t="s">
        <v>5145</v>
      </c>
      <c r="L74" t="s">
        <v>5145</v>
      </c>
      <c r="M74" t="s">
        <v>243</v>
      </c>
      <c r="N74" t="s">
        <v>5146</v>
      </c>
      <c r="O74" t="s">
        <v>5147</v>
      </c>
      <c r="P74" t="s">
        <v>5088</v>
      </c>
      <c r="Q74" t="s">
        <v>243</v>
      </c>
      <c r="R74" t="b">
        <v>0</v>
      </c>
      <c r="S74" t="s">
        <v>5481</v>
      </c>
    </row>
    <row r="75" spans="1:19" ht="11.25" customHeight="1">
      <c r="A75">
        <v>2655</v>
      </c>
      <c r="B75" t="s">
        <v>114</v>
      </c>
      <c r="C75">
        <v>31087651</v>
      </c>
      <c r="D75" t="s">
        <v>5148</v>
      </c>
      <c r="E75" t="s">
        <v>5149</v>
      </c>
      <c r="F75" t="s">
        <v>5150</v>
      </c>
      <c r="G75" t="s">
        <v>5151</v>
      </c>
      <c r="H75" t="s">
        <v>5152</v>
      </c>
      <c r="I75" t="s">
        <v>5153</v>
      </c>
      <c r="J75" t="s">
        <v>5083</v>
      </c>
      <c r="K75" t="s">
        <v>5154</v>
      </c>
      <c r="L75" t="s">
        <v>5154</v>
      </c>
      <c r="M75" t="s">
        <v>5155</v>
      </c>
      <c r="N75" t="s">
        <v>5156</v>
      </c>
      <c r="O75" t="s">
        <v>5157</v>
      </c>
      <c r="R75" t="b">
        <v>0</v>
      </c>
      <c r="S75" t="s">
        <v>5481</v>
      </c>
    </row>
    <row r="76" spans="1:19" ht="11.25" customHeight="1">
      <c r="A76">
        <v>2655</v>
      </c>
      <c r="B76" t="s">
        <v>114</v>
      </c>
      <c r="C76">
        <v>31367862</v>
      </c>
      <c r="D76" t="s">
        <v>5158</v>
      </c>
      <c r="E76" t="s">
        <v>5159</v>
      </c>
      <c r="F76" t="s">
        <v>5160</v>
      </c>
      <c r="G76" t="s">
        <v>5142</v>
      </c>
      <c r="H76" t="s">
        <v>5161</v>
      </c>
      <c r="I76" t="s">
        <v>5162</v>
      </c>
      <c r="J76" t="s">
        <v>5083</v>
      </c>
      <c r="K76" t="s">
        <v>5163</v>
      </c>
      <c r="L76" t="s">
        <v>5163</v>
      </c>
      <c r="M76" t="s">
        <v>243</v>
      </c>
      <c r="N76" t="s">
        <v>5164</v>
      </c>
      <c r="O76" t="s">
        <v>5165</v>
      </c>
      <c r="P76" t="s">
        <v>5088</v>
      </c>
      <c r="Q76" t="s">
        <v>243</v>
      </c>
      <c r="R76" t="b">
        <v>0</v>
      </c>
      <c r="S76" t="s">
        <v>5481</v>
      </c>
    </row>
    <row r="77" spans="1:19" ht="11.25" customHeight="1">
      <c r="A77">
        <v>2655</v>
      </c>
      <c r="B77" t="s">
        <v>114</v>
      </c>
      <c r="C77">
        <v>31329806</v>
      </c>
      <c r="D77" t="s">
        <v>5533</v>
      </c>
      <c r="E77" t="s">
        <v>5534</v>
      </c>
      <c r="F77" t="s">
        <v>5535</v>
      </c>
      <c r="G77" t="s">
        <v>4980</v>
      </c>
      <c r="H77" t="s">
        <v>5536</v>
      </c>
      <c r="I77" t="s">
        <v>5537</v>
      </c>
      <c r="J77" t="s">
        <v>5095</v>
      </c>
      <c r="K77" t="s">
        <v>5538</v>
      </c>
      <c r="L77" t="s">
        <v>5538</v>
      </c>
      <c r="M77" t="s">
        <v>5539</v>
      </c>
      <c r="N77" t="s">
        <v>5540</v>
      </c>
      <c r="O77" t="s">
        <v>5541</v>
      </c>
      <c r="P77" t="s">
        <v>5088</v>
      </c>
      <c r="Q77" t="s">
        <v>243</v>
      </c>
      <c r="R77" t="b">
        <v>0</v>
      </c>
      <c r="S77" t="s">
        <v>5481</v>
      </c>
    </row>
    <row r="78" spans="1:19" ht="11.25" customHeight="1">
      <c r="A78">
        <v>2655</v>
      </c>
      <c r="B78" t="s">
        <v>114</v>
      </c>
      <c r="C78">
        <v>31003143</v>
      </c>
      <c r="D78" t="s">
        <v>5186</v>
      </c>
      <c r="E78" t="s">
        <v>5187</v>
      </c>
      <c r="F78" t="s">
        <v>5188</v>
      </c>
      <c r="G78" t="s">
        <v>5180</v>
      </c>
      <c r="H78" t="s">
        <v>5189</v>
      </c>
      <c r="I78" t="s">
        <v>5190</v>
      </c>
      <c r="J78" t="s">
        <v>5095</v>
      </c>
      <c r="K78" t="s">
        <v>5191</v>
      </c>
      <c r="L78" t="s">
        <v>5192</v>
      </c>
      <c r="M78" t="s">
        <v>5193</v>
      </c>
      <c r="N78" t="s">
        <v>5194</v>
      </c>
      <c r="O78" t="s">
        <v>5195</v>
      </c>
      <c r="P78" t="s">
        <v>5088</v>
      </c>
      <c r="Q78" t="s">
        <v>243</v>
      </c>
      <c r="R78" t="b">
        <v>1</v>
      </c>
      <c r="S78" t="s">
        <v>5481</v>
      </c>
    </row>
    <row r="79" spans="1:19" ht="11.25" customHeight="1">
      <c r="A79">
        <v>2655</v>
      </c>
      <c r="B79" t="s">
        <v>114</v>
      </c>
      <c r="C79">
        <v>31308226</v>
      </c>
      <c r="D79" t="s">
        <v>5196</v>
      </c>
      <c r="E79" t="s">
        <v>5197</v>
      </c>
      <c r="F79" t="s">
        <v>5198</v>
      </c>
      <c r="G79" t="s">
        <v>5199</v>
      </c>
      <c r="H79" t="s">
        <v>5200</v>
      </c>
      <c r="I79" t="s">
        <v>5201</v>
      </c>
      <c r="J79" t="s">
        <v>5095</v>
      </c>
      <c r="K79" t="s">
        <v>5202</v>
      </c>
      <c r="L79" t="s">
        <v>5202</v>
      </c>
      <c r="M79" t="s">
        <v>5203</v>
      </c>
      <c r="N79" t="s">
        <v>5204</v>
      </c>
      <c r="O79" t="s">
        <v>5205</v>
      </c>
      <c r="P79" t="s">
        <v>5051</v>
      </c>
      <c r="Q79" t="s">
        <v>243</v>
      </c>
      <c r="R79" t="b">
        <v>1</v>
      </c>
      <c r="S79" t="s">
        <v>5481</v>
      </c>
    </row>
    <row r="80" spans="1:19" ht="11.25" customHeight="1">
      <c r="A80">
        <v>2655</v>
      </c>
      <c r="B80" t="s">
        <v>114</v>
      </c>
      <c r="C80">
        <v>31284269</v>
      </c>
      <c r="D80" t="s">
        <v>5206</v>
      </c>
      <c r="E80" t="s">
        <v>5207</v>
      </c>
      <c r="F80" t="s">
        <v>5208</v>
      </c>
      <c r="G80" t="s">
        <v>5151</v>
      </c>
      <c r="H80" t="s">
        <v>5209</v>
      </c>
      <c r="I80" t="s">
        <v>5210</v>
      </c>
      <c r="J80" t="s">
        <v>5095</v>
      </c>
      <c r="K80" t="s">
        <v>5211</v>
      </c>
      <c r="L80" t="s">
        <v>5212</v>
      </c>
      <c r="M80" t="s">
        <v>5213</v>
      </c>
      <c r="N80" t="s">
        <v>5214</v>
      </c>
      <c r="O80" t="s">
        <v>5215</v>
      </c>
      <c r="P80" t="s">
        <v>243</v>
      </c>
      <c r="Q80" t="s">
        <v>243</v>
      </c>
      <c r="R80" t="b">
        <v>0</v>
      </c>
      <c r="S80" t="s">
        <v>5481</v>
      </c>
    </row>
    <row r="81" spans="1:19" ht="11.25" customHeight="1">
      <c r="A81">
        <v>2655</v>
      </c>
      <c r="B81" t="s">
        <v>114</v>
      </c>
      <c r="C81">
        <v>31241680</v>
      </c>
      <c r="D81" t="s">
        <v>5216</v>
      </c>
      <c r="E81" t="s">
        <v>5217</v>
      </c>
      <c r="F81" t="s">
        <v>5218</v>
      </c>
      <c r="G81" t="s">
        <v>5123</v>
      </c>
      <c r="H81" t="s">
        <v>5219</v>
      </c>
      <c r="I81" t="s">
        <v>5220</v>
      </c>
      <c r="J81" t="s">
        <v>5095</v>
      </c>
      <c r="K81" t="s">
        <v>5221</v>
      </c>
      <c r="L81" t="s">
        <v>5221</v>
      </c>
      <c r="M81" t="s">
        <v>5222</v>
      </c>
      <c r="N81" t="s">
        <v>5223</v>
      </c>
      <c r="O81" t="s">
        <v>5224</v>
      </c>
      <c r="P81" t="s">
        <v>5051</v>
      </c>
      <c r="Q81" t="s">
        <v>5225</v>
      </c>
      <c r="R81" t="b">
        <v>0</v>
      </c>
      <c r="S81" t="s">
        <v>5481</v>
      </c>
    </row>
    <row r="82" spans="1:19" ht="11.25" customHeight="1">
      <c r="A82">
        <v>2655</v>
      </c>
      <c r="B82" t="s">
        <v>114</v>
      </c>
      <c r="C82">
        <v>31579664</v>
      </c>
      <c r="D82" t="s">
        <v>5226</v>
      </c>
      <c r="E82" t="s">
        <v>5227</v>
      </c>
      <c r="F82" t="s">
        <v>5228</v>
      </c>
      <c r="G82" t="s">
        <v>5034</v>
      </c>
      <c r="H82" t="s">
        <v>5229</v>
      </c>
      <c r="I82" t="s">
        <v>5230</v>
      </c>
      <c r="K82" t="s">
        <v>5231</v>
      </c>
      <c r="L82" t="s">
        <v>5232</v>
      </c>
      <c r="M82" t="s">
        <v>5233</v>
      </c>
      <c r="N82" t="s">
        <v>243</v>
      </c>
      <c r="O82" t="s">
        <v>5234</v>
      </c>
      <c r="P82" t="s">
        <v>5088</v>
      </c>
      <c r="Q82" t="s">
        <v>5235</v>
      </c>
      <c r="R82" t="b">
        <v>1</v>
      </c>
      <c r="S82" t="s">
        <v>5481</v>
      </c>
    </row>
    <row r="83" spans="1:19" ht="11.25" customHeight="1">
      <c r="A83">
        <v>2655</v>
      </c>
      <c r="B83" t="s">
        <v>114</v>
      </c>
      <c r="C83">
        <v>26322895</v>
      </c>
      <c r="D83" t="s">
        <v>133</v>
      </c>
      <c r="E83" t="s">
        <v>136</v>
      </c>
      <c r="F83" t="s">
        <v>146</v>
      </c>
      <c r="G83" t="s">
        <v>149</v>
      </c>
      <c r="H83" t="s">
        <v>143</v>
      </c>
      <c r="I83" t="s">
        <v>152</v>
      </c>
      <c r="J83" t="s">
        <v>156</v>
      </c>
      <c r="K83" t="s">
        <v>160</v>
      </c>
      <c r="L83" t="s">
        <v>160</v>
      </c>
      <c r="M83" t="s">
        <v>5236</v>
      </c>
      <c r="N83" t="s">
        <v>171</v>
      </c>
      <c r="O83" t="s">
        <v>5237</v>
      </c>
      <c r="P83" t="s">
        <v>5030</v>
      </c>
      <c r="Q83" t="s">
        <v>183</v>
      </c>
      <c r="R83" t="b">
        <v>0</v>
      </c>
      <c r="S83" t="s">
        <v>5481</v>
      </c>
    </row>
    <row r="84" spans="1:19" ht="11.25" customHeight="1">
      <c r="A84">
        <v>2655</v>
      </c>
      <c r="B84" t="s">
        <v>114</v>
      </c>
      <c r="C84">
        <v>27784286</v>
      </c>
      <c r="D84" t="s">
        <v>5542</v>
      </c>
      <c r="E84" t="s">
        <v>5543</v>
      </c>
      <c r="F84" t="s">
        <v>5544</v>
      </c>
      <c r="G84" t="s">
        <v>5199</v>
      </c>
      <c r="H84" t="s">
        <v>5545</v>
      </c>
      <c r="I84" t="s">
        <v>5546</v>
      </c>
      <c r="K84" t="s">
        <v>5547</v>
      </c>
      <c r="L84" t="s">
        <v>5547</v>
      </c>
      <c r="M84" t="s">
        <v>5548</v>
      </c>
      <c r="N84" t="s">
        <v>5549</v>
      </c>
      <c r="O84" t="s">
        <v>5550</v>
      </c>
      <c r="P84" t="s">
        <v>5030</v>
      </c>
      <c r="Q84" t="s">
        <v>5551</v>
      </c>
      <c r="R84" t="b">
        <v>0</v>
      </c>
      <c r="S84" t="s">
        <v>5481</v>
      </c>
    </row>
    <row r="85" spans="1:19" ht="11.25" customHeight="1">
      <c r="A85">
        <v>2655</v>
      </c>
      <c r="B85" t="s">
        <v>114</v>
      </c>
      <c r="C85">
        <v>26428076</v>
      </c>
      <c r="D85" t="s">
        <v>5552</v>
      </c>
      <c r="E85" t="s">
        <v>5553</v>
      </c>
      <c r="F85" t="s">
        <v>5554</v>
      </c>
      <c r="G85" t="s">
        <v>5180</v>
      </c>
      <c r="H85" t="s">
        <v>5555</v>
      </c>
      <c r="I85" t="s">
        <v>243</v>
      </c>
      <c r="K85" t="s">
        <v>5556</v>
      </c>
      <c r="L85" t="s">
        <v>5556</v>
      </c>
      <c r="M85" t="s">
        <v>5557</v>
      </c>
      <c r="N85" t="s">
        <v>5558</v>
      </c>
      <c r="O85" t="s">
        <v>243</v>
      </c>
      <c r="P85" t="s">
        <v>243</v>
      </c>
      <c r="Q85" t="s">
        <v>243</v>
      </c>
      <c r="R85" t="b">
        <v>0</v>
      </c>
      <c r="S85" t="s">
        <v>5481</v>
      </c>
    </row>
    <row r="86" spans="1:19" ht="11.25" customHeight="1">
      <c r="A86">
        <v>2655</v>
      </c>
      <c r="B86" t="s">
        <v>114</v>
      </c>
      <c r="C86">
        <v>28954370</v>
      </c>
      <c r="D86" t="s">
        <v>5559</v>
      </c>
      <c r="E86" t="s">
        <v>5560</v>
      </c>
      <c r="F86" t="s">
        <v>5561</v>
      </c>
      <c r="G86" t="s">
        <v>5180</v>
      </c>
      <c r="H86" t="s">
        <v>5562</v>
      </c>
      <c r="I86" t="s">
        <v>5563</v>
      </c>
      <c r="J86" t="s">
        <v>5242</v>
      </c>
      <c r="K86" t="s">
        <v>5564</v>
      </c>
      <c r="L86" t="s">
        <v>5564</v>
      </c>
      <c r="M86" t="s">
        <v>5565</v>
      </c>
      <c r="N86" t="s">
        <v>5566</v>
      </c>
      <c r="O86" t="s">
        <v>5567</v>
      </c>
      <c r="P86" t="s">
        <v>5088</v>
      </c>
      <c r="Q86" t="s">
        <v>243</v>
      </c>
      <c r="R86" t="b">
        <v>1</v>
      </c>
      <c r="S86" t="s">
        <v>5481</v>
      </c>
    </row>
    <row r="87" spans="1:19" ht="11.25" customHeight="1">
      <c r="A87">
        <v>2655</v>
      </c>
      <c r="B87" t="s">
        <v>114</v>
      </c>
      <c r="C87">
        <v>31774016</v>
      </c>
      <c r="D87" t="s">
        <v>5568</v>
      </c>
      <c r="E87" t="s">
        <v>5569</v>
      </c>
      <c r="F87" t="s">
        <v>5570</v>
      </c>
      <c r="G87" t="s">
        <v>5199</v>
      </c>
      <c r="H87" t="s">
        <v>5571</v>
      </c>
      <c r="I87" t="s">
        <v>5572</v>
      </c>
      <c r="K87" t="s">
        <v>5573</v>
      </c>
      <c r="L87" t="s">
        <v>5574</v>
      </c>
      <c r="M87" t="s">
        <v>5575</v>
      </c>
      <c r="N87" t="s">
        <v>5576</v>
      </c>
      <c r="O87" t="s">
        <v>5577</v>
      </c>
      <c r="P87" t="s">
        <v>4965</v>
      </c>
      <c r="Q87" t="s">
        <v>243</v>
      </c>
      <c r="R87" t="b">
        <v>1</v>
      </c>
      <c r="S87" t="s">
        <v>5481</v>
      </c>
    </row>
    <row r="88" spans="1:19" ht="11.25" customHeight="1">
      <c r="A88">
        <v>2655</v>
      </c>
      <c r="B88" t="s">
        <v>114</v>
      </c>
      <c r="C88">
        <v>28869965</v>
      </c>
      <c r="D88" t="s">
        <v>5256</v>
      </c>
      <c r="E88" t="s">
        <v>5257</v>
      </c>
      <c r="F88" t="s">
        <v>5258</v>
      </c>
      <c r="G88" t="s">
        <v>5080</v>
      </c>
      <c r="H88" t="s">
        <v>5259</v>
      </c>
      <c r="I88" t="s">
        <v>243</v>
      </c>
      <c r="J88" t="s">
        <v>5242</v>
      </c>
      <c r="K88" t="s">
        <v>5260</v>
      </c>
      <c r="L88" t="s">
        <v>5260</v>
      </c>
      <c r="M88" t="s">
        <v>5261</v>
      </c>
      <c r="N88" t="s">
        <v>5262</v>
      </c>
      <c r="O88" t="s">
        <v>5263</v>
      </c>
      <c r="P88" t="s">
        <v>5030</v>
      </c>
      <c r="Q88" t="s">
        <v>5264</v>
      </c>
      <c r="R88" t="b">
        <v>0</v>
      </c>
      <c r="S88" t="s">
        <v>5481</v>
      </c>
    </row>
    <row r="89" spans="1:19" ht="11.25" customHeight="1">
      <c r="A89">
        <v>2655</v>
      </c>
      <c r="B89" t="s">
        <v>114</v>
      </c>
      <c r="C89">
        <v>28113313</v>
      </c>
      <c r="D89" t="s">
        <v>5578</v>
      </c>
      <c r="E89" t="s">
        <v>5579</v>
      </c>
      <c r="F89" t="s">
        <v>5580</v>
      </c>
      <c r="G89" t="s">
        <v>5277</v>
      </c>
      <c r="H89" t="s">
        <v>5581</v>
      </c>
      <c r="I89" t="s">
        <v>243</v>
      </c>
      <c r="J89" t="s">
        <v>5242</v>
      </c>
      <c r="K89" t="s">
        <v>5582</v>
      </c>
      <c r="L89" t="s">
        <v>5583</v>
      </c>
      <c r="M89" t="s">
        <v>243</v>
      </c>
      <c r="N89" t="s">
        <v>243</v>
      </c>
      <c r="O89" t="s">
        <v>5284</v>
      </c>
      <c r="P89" t="s">
        <v>4965</v>
      </c>
      <c r="Q89" t="s">
        <v>243</v>
      </c>
      <c r="R89" t="b">
        <v>1</v>
      </c>
      <c r="S89" t="s">
        <v>5481</v>
      </c>
    </row>
    <row r="90" spans="1:19" ht="11.25" customHeight="1">
      <c r="A90">
        <v>2655</v>
      </c>
      <c r="B90" t="s">
        <v>114</v>
      </c>
      <c r="C90">
        <v>26428030</v>
      </c>
      <c r="D90" t="s">
        <v>5584</v>
      </c>
      <c r="E90" t="s">
        <v>5585</v>
      </c>
      <c r="F90" t="s">
        <v>5586</v>
      </c>
      <c r="G90" t="s">
        <v>5180</v>
      </c>
      <c r="H90" t="s">
        <v>5587</v>
      </c>
      <c r="I90" t="s">
        <v>243</v>
      </c>
      <c r="K90" t="s">
        <v>5588</v>
      </c>
      <c r="L90" t="s">
        <v>5588</v>
      </c>
      <c r="M90" t="s">
        <v>5589</v>
      </c>
      <c r="N90" t="s">
        <v>5590</v>
      </c>
      <c r="O90" t="s">
        <v>243</v>
      </c>
      <c r="P90" t="s">
        <v>243</v>
      </c>
      <c r="Q90" t="s">
        <v>243</v>
      </c>
      <c r="R90" t="b">
        <v>0</v>
      </c>
      <c r="S90" t="s">
        <v>5481</v>
      </c>
    </row>
    <row r="91" spans="1:19" ht="11.25" customHeight="1">
      <c r="A91">
        <v>2655</v>
      </c>
      <c r="B91" t="s">
        <v>114</v>
      </c>
      <c r="C91">
        <v>31356597</v>
      </c>
      <c r="D91" t="s">
        <v>5265</v>
      </c>
      <c r="E91" t="s">
        <v>5266</v>
      </c>
      <c r="F91" t="s">
        <v>5267</v>
      </c>
      <c r="G91" t="s">
        <v>5151</v>
      </c>
      <c r="H91" t="s">
        <v>5268</v>
      </c>
      <c r="I91" t="s">
        <v>5269</v>
      </c>
      <c r="J91" t="s">
        <v>5242</v>
      </c>
      <c r="K91" t="s">
        <v>5270</v>
      </c>
      <c r="L91" t="s">
        <v>5270</v>
      </c>
      <c r="M91" t="s">
        <v>5271</v>
      </c>
      <c r="N91" t="s">
        <v>5272</v>
      </c>
      <c r="O91" t="s">
        <v>5273</v>
      </c>
      <c r="P91" t="s">
        <v>5030</v>
      </c>
      <c r="Q91" t="s">
        <v>243</v>
      </c>
      <c r="R91" t="b">
        <v>0</v>
      </c>
      <c r="S91" t="s">
        <v>5481</v>
      </c>
    </row>
    <row r="92" spans="1:19" ht="11.25" customHeight="1">
      <c r="A92">
        <v>2655</v>
      </c>
      <c r="B92" t="s">
        <v>114</v>
      </c>
      <c r="C92">
        <v>28136671</v>
      </c>
      <c r="D92" t="s">
        <v>5274</v>
      </c>
      <c r="E92" t="s">
        <v>5275</v>
      </c>
      <c r="F92" t="s">
        <v>5276</v>
      </c>
      <c r="G92" t="s">
        <v>5277</v>
      </c>
      <c r="H92" t="s">
        <v>5278</v>
      </c>
      <c r="I92" t="s">
        <v>5279</v>
      </c>
      <c r="J92" t="s">
        <v>5242</v>
      </c>
      <c r="K92" t="s">
        <v>5280</v>
      </c>
      <c r="L92" t="s">
        <v>5281</v>
      </c>
      <c r="M92" t="s">
        <v>5282</v>
      </c>
      <c r="N92" t="s">
        <v>5283</v>
      </c>
      <c r="O92" t="s">
        <v>5284</v>
      </c>
      <c r="P92" t="s">
        <v>4965</v>
      </c>
      <c r="Q92" t="s">
        <v>243</v>
      </c>
      <c r="R92" t="b">
        <v>1</v>
      </c>
      <c r="S92" t="s">
        <v>5481</v>
      </c>
    </row>
    <row r="93" spans="1:19" ht="11.25" customHeight="1">
      <c r="A93">
        <v>2655</v>
      </c>
      <c r="B93" t="s">
        <v>114</v>
      </c>
      <c r="C93">
        <v>27838991</v>
      </c>
      <c r="D93" t="s">
        <v>5591</v>
      </c>
      <c r="E93" t="s">
        <v>5592</v>
      </c>
      <c r="F93" t="s">
        <v>5593</v>
      </c>
      <c r="G93" t="s">
        <v>4980</v>
      </c>
      <c r="H93" t="s">
        <v>5594</v>
      </c>
      <c r="I93" t="s">
        <v>5595</v>
      </c>
      <c r="J93" t="s">
        <v>5242</v>
      </c>
      <c r="K93" t="s">
        <v>5596</v>
      </c>
      <c r="L93" t="s">
        <v>5597</v>
      </c>
      <c r="M93" t="s">
        <v>5598</v>
      </c>
      <c r="N93" t="s">
        <v>5599</v>
      </c>
      <c r="O93" t="s">
        <v>5600</v>
      </c>
      <c r="P93" t="s">
        <v>5030</v>
      </c>
      <c r="Q93" t="s">
        <v>243</v>
      </c>
      <c r="R93" t="b">
        <v>0</v>
      </c>
      <c r="S93" t="s">
        <v>5481</v>
      </c>
    </row>
    <row r="94" spans="1:19" ht="11.25" customHeight="1">
      <c r="A94">
        <v>2655</v>
      </c>
      <c r="B94" t="s">
        <v>114</v>
      </c>
      <c r="C94">
        <v>26428026</v>
      </c>
      <c r="D94" t="s">
        <v>5311</v>
      </c>
      <c r="E94" t="s">
        <v>5312</v>
      </c>
      <c r="F94" t="s">
        <v>5313</v>
      </c>
      <c r="G94" t="s">
        <v>5314</v>
      </c>
      <c r="H94" t="s">
        <v>5315</v>
      </c>
      <c r="I94" t="s">
        <v>243</v>
      </c>
      <c r="K94" t="s">
        <v>5316</v>
      </c>
      <c r="L94" t="s">
        <v>5316</v>
      </c>
      <c r="M94" t="s">
        <v>5317</v>
      </c>
      <c r="N94" t="s">
        <v>5318</v>
      </c>
      <c r="O94" t="s">
        <v>5319</v>
      </c>
      <c r="P94" t="s">
        <v>5088</v>
      </c>
      <c r="Q94" t="s">
        <v>243</v>
      </c>
      <c r="R94" t="b">
        <v>1</v>
      </c>
      <c r="S94" t="s">
        <v>5481</v>
      </c>
    </row>
    <row r="95" spans="1:19" ht="11.25" customHeight="1">
      <c r="A95">
        <v>2655</v>
      </c>
      <c r="B95" t="s">
        <v>114</v>
      </c>
      <c r="C95">
        <v>31739633</v>
      </c>
      <c r="D95" t="s">
        <v>5330</v>
      </c>
      <c r="E95" t="s">
        <v>5331</v>
      </c>
      <c r="F95" t="s">
        <v>5332</v>
      </c>
      <c r="G95" t="s">
        <v>5333</v>
      </c>
      <c r="H95" t="s">
        <v>5334</v>
      </c>
      <c r="I95" t="s">
        <v>5335</v>
      </c>
      <c r="K95" t="s">
        <v>5336</v>
      </c>
      <c r="L95" t="s">
        <v>5336</v>
      </c>
      <c r="M95" t="s">
        <v>5337</v>
      </c>
      <c r="N95" t="s">
        <v>5338</v>
      </c>
      <c r="O95" t="s">
        <v>5339</v>
      </c>
      <c r="P95" t="s">
        <v>5051</v>
      </c>
      <c r="Q95" t="s">
        <v>243</v>
      </c>
      <c r="R95" t="b">
        <v>0</v>
      </c>
      <c r="S95" t="s">
        <v>5481</v>
      </c>
    </row>
    <row r="96" spans="1:19" ht="11.25" customHeight="1">
      <c r="A96">
        <v>2655</v>
      </c>
      <c r="B96" t="s">
        <v>114</v>
      </c>
      <c r="C96">
        <v>31541617</v>
      </c>
      <c r="D96" t="s">
        <v>5340</v>
      </c>
      <c r="E96" t="s">
        <v>5341</v>
      </c>
      <c r="F96" t="s">
        <v>5342</v>
      </c>
      <c r="G96" t="s">
        <v>5343</v>
      </c>
      <c r="H96" t="s">
        <v>5344</v>
      </c>
      <c r="I96" t="s">
        <v>5345</v>
      </c>
      <c r="K96" t="s">
        <v>5346</v>
      </c>
      <c r="L96" t="s">
        <v>5346</v>
      </c>
      <c r="M96" t="s">
        <v>5347</v>
      </c>
      <c r="N96" t="s">
        <v>5348</v>
      </c>
      <c r="O96" t="s">
        <v>5349</v>
      </c>
      <c r="P96" t="s">
        <v>5051</v>
      </c>
      <c r="Q96" t="s">
        <v>243</v>
      </c>
      <c r="R96" t="b">
        <v>1</v>
      </c>
      <c r="S96" t="s">
        <v>5481</v>
      </c>
    </row>
    <row r="97" spans="1:19" ht="11.25" customHeight="1">
      <c r="A97">
        <v>2655</v>
      </c>
      <c r="B97" t="s">
        <v>114</v>
      </c>
      <c r="C97">
        <v>31834877</v>
      </c>
      <c r="D97" t="s">
        <v>5601</v>
      </c>
      <c r="E97" t="s">
        <v>5601</v>
      </c>
      <c r="F97" t="s">
        <v>5602</v>
      </c>
      <c r="G97" t="s">
        <v>4970</v>
      </c>
      <c r="H97" t="s">
        <v>5603</v>
      </c>
      <c r="I97" t="s">
        <v>5604</v>
      </c>
      <c r="K97" t="s">
        <v>5605</v>
      </c>
      <c r="L97" t="s">
        <v>5606</v>
      </c>
      <c r="M97" t="s">
        <v>243</v>
      </c>
      <c r="N97" t="s">
        <v>5607</v>
      </c>
      <c r="O97" t="s">
        <v>5608</v>
      </c>
      <c r="P97" t="s">
        <v>4965</v>
      </c>
      <c r="Q97" t="s">
        <v>5609</v>
      </c>
      <c r="R97" t="b">
        <v>0</v>
      </c>
      <c r="S97" t="s">
        <v>5481</v>
      </c>
    </row>
    <row r="98" spans="1:19" ht="11.25" customHeight="1">
      <c r="A98">
        <v>2655</v>
      </c>
      <c r="B98" t="s">
        <v>114</v>
      </c>
      <c r="C98">
        <v>26356891</v>
      </c>
      <c r="D98" t="s">
        <v>5361</v>
      </c>
      <c r="E98" t="s">
        <v>5362</v>
      </c>
      <c r="F98" t="s">
        <v>5363</v>
      </c>
      <c r="G98" t="s">
        <v>5180</v>
      </c>
      <c r="H98" t="s">
        <v>5364</v>
      </c>
      <c r="I98" t="s">
        <v>5365</v>
      </c>
      <c r="J98" t="s">
        <v>5242</v>
      </c>
      <c r="K98" t="s">
        <v>5366</v>
      </c>
      <c r="L98" t="s">
        <v>5366</v>
      </c>
      <c r="M98" t="s">
        <v>5367</v>
      </c>
      <c r="N98" t="s">
        <v>5368</v>
      </c>
      <c r="O98" t="s">
        <v>5369</v>
      </c>
      <c r="P98" t="s">
        <v>5088</v>
      </c>
      <c r="Q98" t="s">
        <v>243</v>
      </c>
      <c r="R98" t="b">
        <v>0</v>
      </c>
      <c r="S98" t="s">
        <v>5481</v>
      </c>
    </row>
    <row r="99" spans="1:19" ht="11.25" customHeight="1">
      <c r="A99">
        <v>2655</v>
      </c>
      <c r="B99" t="s">
        <v>114</v>
      </c>
      <c r="C99">
        <v>31241637</v>
      </c>
      <c r="D99" t="s">
        <v>5370</v>
      </c>
      <c r="E99" t="s">
        <v>5371</v>
      </c>
      <c r="F99" t="s">
        <v>5372</v>
      </c>
      <c r="G99" t="s">
        <v>5199</v>
      </c>
      <c r="H99" t="s">
        <v>5373</v>
      </c>
      <c r="I99" t="s">
        <v>5374</v>
      </c>
      <c r="J99" t="s">
        <v>5242</v>
      </c>
      <c r="K99" t="s">
        <v>5375</v>
      </c>
      <c r="L99" t="s">
        <v>5375</v>
      </c>
      <c r="M99" t="s">
        <v>5376</v>
      </c>
      <c r="N99" t="s">
        <v>243</v>
      </c>
      <c r="O99" t="s">
        <v>5377</v>
      </c>
      <c r="P99" t="s">
        <v>5051</v>
      </c>
      <c r="Q99" t="s">
        <v>243</v>
      </c>
      <c r="R99" t="b">
        <v>0</v>
      </c>
      <c r="S99" t="s">
        <v>5481</v>
      </c>
    </row>
    <row r="100" spans="1:19" ht="11.25" customHeight="1">
      <c r="A100">
        <v>2655</v>
      </c>
      <c r="B100" t="s">
        <v>114</v>
      </c>
      <c r="C100">
        <v>28819708</v>
      </c>
      <c r="D100" t="s">
        <v>5610</v>
      </c>
      <c r="E100" t="s">
        <v>5611</v>
      </c>
      <c r="F100" t="s">
        <v>5612</v>
      </c>
      <c r="G100" t="s">
        <v>5092</v>
      </c>
      <c r="H100" t="s">
        <v>5613</v>
      </c>
      <c r="I100" t="s">
        <v>5614</v>
      </c>
      <c r="J100" t="s">
        <v>5242</v>
      </c>
      <c r="K100" t="s">
        <v>5615</v>
      </c>
      <c r="L100" t="s">
        <v>5615</v>
      </c>
      <c r="M100" t="s">
        <v>243</v>
      </c>
      <c r="N100" t="s">
        <v>5616</v>
      </c>
      <c r="O100" t="s">
        <v>5617</v>
      </c>
      <c r="P100" t="s">
        <v>5088</v>
      </c>
      <c r="Q100" t="s">
        <v>243</v>
      </c>
      <c r="R100" t="b">
        <v>0</v>
      </c>
      <c r="S100" t="s">
        <v>5481</v>
      </c>
    </row>
    <row r="101" spans="1:19" ht="11.25" customHeight="1">
      <c r="A101">
        <v>2655</v>
      </c>
      <c r="B101" t="s">
        <v>114</v>
      </c>
      <c r="C101">
        <v>26356937</v>
      </c>
      <c r="D101" t="s">
        <v>5378</v>
      </c>
      <c r="E101" t="s">
        <v>5379</v>
      </c>
      <c r="F101" t="s">
        <v>5380</v>
      </c>
      <c r="G101" t="s">
        <v>5249</v>
      </c>
      <c r="H101" t="s">
        <v>5381</v>
      </c>
      <c r="I101" t="s">
        <v>5382</v>
      </c>
      <c r="J101" t="s">
        <v>5242</v>
      </c>
      <c r="K101" t="s">
        <v>5383</v>
      </c>
      <c r="L101" t="s">
        <v>5383</v>
      </c>
      <c r="M101" t="s">
        <v>5384</v>
      </c>
      <c r="N101" t="s">
        <v>5385</v>
      </c>
      <c r="O101" t="s">
        <v>5386</v>
      </c>
      <c r="P101" t="s">
        <v>5051</v>
      </c>
      <c r="Q101" t="s">
        <v>5387</v>
      </c>
      <c r="R101" t="b">
        <v>0</v>
      </c>
      <c r="S101" t="s">
        <v>5481</v>
      </c>
    </row>
    <row r="102" spans="1:19" ht="11.25" customHeight="1">
      <c r="A102">
        <v>2655</v>
      </c>
      <c r="B102" t="s">
        <v>114</v>
      </c>
      <c r="C102">
        <v>31770754</v>
      </c>
      <c r="D102" t="s">
        <v>5388</v>
      </c>
      <c r="E102" t="s">
        <v>5389</v>
      </c>
      <c r="F102" t="s">
        <v>5390</v>
      </c>
      <c r="G102" t="s">
        <v>5333</v>
      </c>
      <c r="H102" t="s">
        <v>5391</v>
      </c>
      <c r="I102" t="s">
        <v>5392</v>
      </c>
      <c r="K102" t="s">
        <v>5393</v>
      </c>
      <c r="L102" t="s">
        <v>5394</v>
      </c>
      <c r="M102" t="s">
        <v>5395</v>
      </c>
      <c r="N102" t="s">
        <v>5396</v>
      </c>
      <c r="O102" t="s">
        <v>5397</v>
      </c>
      <c r="P102" t="s">
        <v>5088</v>
      </c>
      <c r="Q102" t="s">
        <v>243</v>
      </c>
      <c r="R102" t="b">
        <v>1</v>
      </c>
      <c r="S102" t="s">
        <v>5481</v>
      </c>
    </row>
    <row r="103" spans="1:19" ht="11.25" customHeight="1">
      <c r="A103">
        <v>2655</v>
      </c>
      <c r="B103" t="s">
        <v>114</v>
      </c>
      <c r="C103">
        <v>31528492</v>
      </c>
      <c r="D103" t="s">
        <v>5398</v>
      </c>
      <c r="E103" t="s">
        <v>5399</v>
      </c>
      <c r="F103" t="s">
        <v>5400</v>
      </c>
      <c r="G103" t="s">
        <v>5199</v>
      </c>
      <c r="H103" t="s">
        <v>5401</v>
      </c>
      <c r="I103" t="s">
        <v>5402</v>
      </c>
      <c r="K103" t="s">
        <v>5403</v>
      </c>
      <c r="L103" t="s">
        <v>5403</v>
      </c>
      <c r="M103" t="s">
        <v>5404</v>
      </c>
      <c r="N103" t="s">
        <v>5405</v>
      </c>
      <c r="O103" t="s">
        <v>5406</v>
      </c>
      <c r="P103" t="s">
        <v>4965</v>
      </c>
      <c r="Q103" t="s">
        <v>243</v>
      </c>
      <c r="R103" t="b">
        <v>0</v>
      </c>
      <c r="S103" t="s">
        <v>5481</v>
      </c>
    </row>
    <row r="104" spans="1:19" ht="11.25" customHeight="1">
      <c r="A104">
        <v>2655</v>
      </c>
      <c r="B104" t="s">
        <v>114</v>
      </c>
      <c r="C104">
        <v>28270293</v>
      </c>
      <c r="D104" t="s">
        <v>5407</v>
      </c>
      <c r="E104" t="s">
        <v>5408</v>
      </c>
      <c r="F104" t="s">
        <v>5409</v>
      </c>
      <c r="G104" t="s">
        <v>5180</v>
      </c>
      <c r="H104" t="s">
        <v>5410</v>
      </c>
      <c r="I104" t="s">
        <v>5411</v>
      </c>
      <c r="J104" t="s">
        <v>5242</v>
      </c>
      <c r="K104" t="s">
        <v>5412</v>
      </c>
      <c r="L104" t="s">
        <v>5412</v>
      </c>
      <c r="M104" t="s">
        <v>5413</v>
      </c>
      <c r="N104" t="s">
        <v>5414</v>
      </c>
      <c r="O104" t="s">
        <v>5415</v>
      </c>
      <c r="P104" t="s">
        <v>5030</v>
      </c>
      <c r="Q104" t="s">
        <v>243</v>
      </c>
      <c r="R104" t="b">
        <v>0</v>
      </c>
      <c r="S104" t="s">
        <v>5481</v>
      </c>
    </row>
    <row r="105" spans="1:19" ht="11.25" customHeight="1">
      <c r="A105">
        <v>2655</v>
      </c>
      <c r="B105" t="s">
        <v>114</v>
      </c>
      <c r="C105">
        <v>28873362</v>
      </c>
      <c r="D105" t="s">
        <v>5416</v>
      </c>
      <c r="E105" t="s">
        <v>5417</v>
      </c>
      <c r="F105" t="s">
        <v>5418</v>
      </c>
      <c r="G105" t="s">
        <v>149</v>
      </c>
      <c r="H105" t="s">
        <v>5419</v>
      </c>
      <c r="I105" t="s">
        <v>5420</v>
      </c>
      <c r="J105" t="s">
        <v>5242</v>
      </c>
      <c r="K105" t="s">
        <v>5421</v>
      </c>
      <c r="L105" t="s">
        <v>5421</v>
      </c>
      <c r="M105" t="s">
        <v>5422</v>
      </c>
      <c r="N105" t="s">
        <v>5423</v>
      </c>
      <c r="O105" t="s">
        <v>5424</v>
      </c>
      <c r="P105" t="s">
        <v>5088</v>
      </c>
      <c r="Q105" t="s">
        <v>5425</v>
      </c>
      <c r="R105" t="b">
        <v>0</v>
      </c>
      <c r="S105" t="s">
        <v>5481</v>
      </c>
    </row>
    <row r="106" spans="1:19" ht="11.25" customHeight="1">
      <c r="A106">
        <v>2655</v>
      </c>
      <c r="B106" t="s">
        <v>114</v>
      </c>
      <c r="C106">
        <v>28976681</v>
      </c>
      <c r="D106" t="s">
        <v>5426</v>
      </c>
      <c r="E106" t="s">
        <v>5427</v>
      </c>
      <c r="F106" t="s">
        <v>5428</v>
      </c>
      <c r="G106" t="s">
        <v>5180</v>
      </c>
      <c r="H106" t="s">
        <v>5429</v>
      </c>
      <c r="I106" t="s">
        <v>5430</v>
      </c>
      <c r="J106" t="s">
        <v>5242</v>
      </c>
      <c r="K106" t="s">
        <v>5431</v>
      </c>
      <c r="L106" t="s">
        <v>5431</v>
      </c>
      <c r="M106" t="s">
        <v>5432</v>
      </c>
      <c r="N106" t="s">
        <v>243</v>
      </c>
      <c r="O106" t="s">
        <v>5433</v>
      </c>
      <c r="P106" t="s">
        <v>5088</v>
      </c>
      <c r="Q106" t="s">
        <v>243</v>
      </c>
      <c r="R106" t="b">
        <v>1</v>
      </c>
      <c r="S106" t="s">
        <v>5481</v>
      </c>
    </row>
    <row r="107" spans="1:19" ht="11.25" customHeight="1">
      <c r="A107">
        <v>2655</v>
      </c>
      <c r="B107" t="s">
        <v>114</v>
      </c>
      <c r="C107">
        <v>30808511</v>
      </c>
      <c r="D107" t="s">
        <v>5445</v>
      </c>
      <c r="E107" t="s">
        <v>5445</v>
      </c>
      <c r="F107" t="s">
        <v>5446</v>
      </c>
      <c r="G107" t="s">
        <v>5447</v>
      </c>
      <c r="H107" t="s">
        <v>5448</v>
      </c>
      <c r="I107" t="s">
        <v>5449</v>
      </c>
      <c r="J107" t="s">
        <v>5450</v>
      </c>
      <c r="K107" t="s">
        <v>5451</v>
      </c>
      <c r="L107" t="s">
        <v>5452</v>
      </c>
      <c r="M107" t="s">
        <v>5453</v>
      </c>
      <c r="N107" t="s">
        <v>243</v>
      </c>
      <c r="O107" t="s">
        <v>5454</v>
      </c>
      <c r="P107" t="s">
        <v>5088</v>
      </c>
      <c r="Q107" t="s">
        <v>5455</v>
      </c>
      <c r="R107" t="b">
        <v>0</v>
      </c>
      <c r="S107" t="s">
        <v>5481</v>
      </c>
    </row>
    <row r="108" spans="1:19" ht="11.25" customHeight="1">
      <c r="A108">
        <v>2655</v>
      </c>
      <c r="B108" t="s">
        <v>114</v>
      </c>
      <c r="C108">
        <v>26520873</v>
      </c>
      <c r="D108" t="s">
        <v>5460</v>
      </c>
      <c r="E108" t="s">
        <v>5461</v>
      </c>
      <c r="F108" t="s">
        <v>5446</v>
      </c>
      <c r="G108" t="s">
        <v>5462</v>
      </c>
      <c r="H108" t="s">
        <v>5448</v>
      </c>
      <c r="I108" t="s">
        <v>5463</v>
      </c>
      <c r="J108" t="s">
        <v>5450</v>
      </c>
      <c r="K108" t="s">
        <v>5464</v>
      </c>
      <c r="L108" t="s">
        <v>5465</v>
      </c>
      <c r="M108" t="s">
        <v>5466</v>
      </c>
      <c r="N108" t="s">
        <v>5467</v>
      </c>
      <c r="O108" t="s">
        <v>5468</v>
      </c>
      <c r="P108" t="s">
        <v>5088</v>
      </c>
      <c r="Q108" t="s">
        <v>5469</v>
      </c>
      <c r="R108" t="b">
        <v>0</v>
      </c>
      <c r="S108" t="s">
        <v>5481</v>
      </c>
    </row>
    <row r="109" spans="1:19" ht="11.25" customHeight="1">
      <c r="A109">
        <v>2655</v>
      </c>
      <c r="B109" t="s">
        <v>114</v>
      </c>
      <c r="C109">
        <v>28976938</v>
      </c>
      <c r="D109" t="s">
        <v>4940</v>
      </c>
      <c r="E109" t="s">
        <v>4941</v>
      </c>
      <c r="F109" t="s">
        <v>4942</v>
      </c>
      <c r="G109" t="s">
        <v>4943</v>
      </c>
      <c r="H109" t="s">
        <v>4944</v>
      </c>
      <c r="I109" t="s">
        <v>4945</v>
      </c>
      <c r="J109" t="s">
        <v>4946</v>
      </c>
      <c r="K109" t="s">
        <v>4947</v>
      </c>
      <c r="L109" t="s">
        <v>4948</v>
      </c>
      <c r="M109" t="s">
        <v>4949</v>
      </c>
      <c r="N109" t="s">
        <v>4950</v>
      </c>
      <c r="O109" t="s">
        <v>4951</v>
      </c>
      <c r="P109" t="s">
        <v>4952</v>
      </c>
      <c r="Q109" t="s">
        <v>4953</v>
      </c>
      <c r="R109" t="b">
        <v>0</v>
      </c>
      <c r="S109" t="s">
        <v>5618</v>
      </c>
    </row>
    <row r="110" spans="1:19" ht="11.25" customHeight="1">
      <c r="A110">
        <v>2655</v>
      </c>
      <c r="B110" t="s">
        <v>114</v>
      </c>
      <c r="C110">
        <v>26356915</v>
      </c>
      <c r="D110" t="s">
        <v>5482</v>
      </c>
      <c r="E110" t="s">
        <v>5483</v>
      </c>
      <c r="F110" t="s">
        <v>5484</v>
      </c>
      <c r="G110" t="s">
        <v>5169</v>
      </c>
      <c r="H110" t="s">
        <v>5485</v>
      </c>
      <c r="I110" t="s">
        <v>5486</v>
      </c>
      <c r="J110" t="s">
        <v>4946</v>
      </c>
      <c r="K110" t="s">
        <v>5487</v>
      </c>
      <c r="L110" t="s">
        <v>5487</v>
      </c>
      <c r="M110" t="s">
        <v>5488</v>
      </c>
      <c r="N110" t="s">
        <v>5489</v>
      </c>
      <c r="O110" t="s">
        <v>5490</v>
      </c>
      <c r="P110" t="s">
        <v>5030</v>
      </c>
      <c r="Q110" t="s">
        <v>190</v>
      </c>
      <c r="R110" t="b">
        <v>0</v>
      </c>
      <c r="S110" t="s">
        <v>5618</v>
      </c>
    </row>
    <row r="111" spans="1:19" ht="11.25" customHeight="1">
      <c r="A111">
        <v>2655</v>
      </c>
      <c r="B111" t="s">
        <v>114</v>
      </c>
      <c r="C111">
        <v>26357007</v>
      </c>
      <c r="D111" t="s">
        <v>5619</v>
      </c>
      <c r="E111" t="s">
        <v>5620</v>
      </c>
      <c r="F111" t="s">
        <v>5621</v>
      </c>
      <c r="G111" t="s">
        <v>5199</v>
      </c>
      <c r="H111" t="s">
        <v>5622</v>
      </c>
      <c r="I111" t="s">
        <v>5623</v>
      </c>
      <c r="J111" t="s">
        <v>4946</v>
      </c>
      <c r="K111" t="s">
        <v>5624</v>
      </c>
      <c r="L111" t="s">
        <v>5624</v>
      </c>
      <c r="M111" t="s">
        <v>5625</v>
      </c>
      <c r="N111" t="s">
        <v>5626</v>
      </c>
      <c r="O111" t="s">
        <v>5627</v>
      </c>
      <c r="P111" t="s">
        <v>5030</v>
      </c>
      <c r="Q111" t="s">
        <v>5628</v>
      </c>
      <c r="R111" t="b">
        <v>0</v>
      </c>
      <c r="S111" t="s">
        <v>5618</v>
      </c>
    </row>
    <row r="112" spans="1:19" ht="11.25" customHeight="1">
      <c r="A112">
        <v>2655</v>
      </c>
      <c r="B112" t="s">
        <v>114</v>
      </c>
      <c r="C112">
        <v>27804990</v>
      </c>
      <c r="D112" t="s">
        <v>4955</v>
      </c>
      <c r="E112" t="s">
        <v>4956</v>
      </c>
      <c r="F112" t="s">
        <v>4957</v>
      </c>
      <c r="G112" t="s">
        <v>149</v>
      </c>
      <c r="H112" t="s">
        <v>4958</v>
      </c>
      <c r="I112" t="s">
        <v>4959</v>
      </c>
      <c r="J112" t="s">
        <v>4946</v>
      </c>
      <c r="K112" t="s">
        <v>4960</v>
      </c>
      <c r="L112" t="s">
        <v>4961</v>
      </c>
      <c r="M112" t="s">
        <v>4962</v>
      </c>
      <c r="N112" t="s">
        <v>4963</v>
      </c>
      <c r="O112" t="s">
        <v>4964</v>
      </c>
      <c r="P112" t="s">
        <v>4965</v>
      </c>
      <c r="Q112" t="s">
        <v>4966</v>
      </c>
      <c r="R112" t="b">
        <v>0</v>
      </c>
      <c r="S112" t="s">
        <v>5618</v>
      </c>
    </row>
    <row r="113" spans="1:19" ht="11.25" customHeight="1">
      <c r="A113">
        <v>2655</v>
      </c>
      <c r="B113" t="s">
        <v>114</v>
      </c>
      <c r="C113">
        <v>28048296</v>
      </c>
      <c r="D113" t="s">
        <v>5629</v>
      </c>
      <c r="E113" t="s">
        <v>5630</v>
      </c>
      <c r="F113" t="s">
        <v>5631</v>
      </c>
      <c r="G113" t="s">
        <v>149</v>
      </c>
      <c r="H113" t="s">
        <v>5632</v>
      </c>
      <c r="I113" t="s">
        <v>5633</v>
      </c>
      <c r="J113" t="s">
        <v>4946</v>
      </c>
      <c r="K113" t="s">
        <v>5634</v>
      </c>
      <c r="L113" t="s">
        <v>4961</v>
      </c>
      <c r="M113" t="s">
        <v>5635</v>
      </c>
      <c r="N113" t="s">
        <v>5636</v>
      </c>
      <c r="O113" t="s">
        <v>5637</v>
      </c>
      <c r="P113" t="s">
        <v>4965</v>
      </c>
      <c r="Q113" t="s">
        <v>4966</v>
      </c>
      <c r="R113" t="b">
        <v>0</v>
      </c>
      <c r="S113" t="s">
        <v>5618</v>
      </c>
    </row>
    <row r="114" spans="1:19" ht="11.25" customHeight="1">
      <c r="A114">
        <v>2655</v>
      </c>
      <c r="B114" t="s">
        <v>114</v>
      </c>
      <c r="C114">
        <v>27804826</v>
      </c>
      <c r="D114" t="s">
        <v>4967</v>
      </c>
      <c r="E114" t="s">
        <v>4968</v>
      </c>
      <c r="F114" t="s">
        <v>4969</v>
      </c>
      <c r="G114" t="s">
        <v>4970</v>
      </c>
      <c r="H114" t="s">
        <v>4971</v>
      </c>
      <c r="I114" t="s">
        <v>4972</v>
      </c>
      <c r="J114" t="s">
        <v>4946</v>
      </c>
      <c r="K114" t="s">
        <v>4973</v>
      </c>
      <c r="L114" t="s">
        <v>4961</v>
      </c>
      <c r="M114" t="s">
        <v>243</v>
      </c>
      <c r="N114" t="s">
        <v>4974</v>
      </c>
      <c r="O114" t="s">
        <v>4975</v>
      </c>
      <c r="P114" t="s">
        <v>4965</v>
      </c>
      <c r="Q114" t="s">
        <v>4976</v>
      </c>
      <c r="R114" t="b">
        <v>0</v>
      </c>
      <c r="S114" t="s">
        <v>5618</v>
      </c>
    </row>
    <row r="115" spans="1:19" ht="11.25" customHeight="1">
      <c r="A115">
        <v>2655</v>
      </c>
      <c r="B115" t="s">
        <v>114</v>
      </c>
      <c r="C115">
        <v>27804896</v>
      </c>
      <c r="D115" t="s">
        <v>5638</v>
      </c>
      <c r="E115" t="s">
        <v>5639</v>
      </c>
      <c r="F115" t="s">
        <v>5640</v>
      </c>
      <c r="G115" t="s">
        <v>149</v>
      </c>
      <c r="H115" t="s">
        <v>5641</v>
      </c>
      <c r="I115" t="s">
        <v>5642</v>
      </c>
      <c r="J115" t="s">
        <v>4946</v>
      </c>
      <c r="K115" t="s">
        <v>5643</v>
      </c>
      <c r="L115" t="s">
        <v>4961</v>
      </c>
      <c r="M115" t="s">
        <v>5644</v>
      </c>
      <c r="N115" t="s">
        <v>5645</v>
      </c>
      <c r="O115" t="s">
        <v>5646</v>
      </c>
      <c r="P115" t="s">
        <v>4965</v>
      </c>
      <c r="Q115" t="s">
        <v>4966</v>
      </c>
      <c r="R115" t="b">
        <v>0</v>
      </c>
      <c r="S115" t="s">
        <v>5618</v>
      </c>
    </row>
    <row r="116" spans="1:19" ht="11.25" customHeight="1">
      <c r="A116">
        <v>2655</v>
      </c>
      <c r="B116" t="s">
        <v>114</v>
      </c>
      <c r="C116">
        <v>27820148</v>
      </c>
      <c r="D116" t="s">
        <v>5505</v>
      </c>
      <c r="E116" t="s">
        <v>5506</v>
      </c>
      <c r="F116" t="s">
        <v>5507</v>
      </c>
      <c r="G116" t="s">
        <v>5249</v>
      </c>
      <c r="H116" t="s">
        <v>5508</v>
      </c>
      <c r="I116" t="s">
        <v>5509</v>
      </c>
      <c r="J116" t="s">
        <v>4946</v>
      </c>
      <c r="K116" t="s">
        <v>5510</v>
      </c>
      <c r="L116" t="s">
        <v>5510</v>
      </c>
      <c r="M116" t="s">
        <v>5511</v>
      </c>
      <c r="N116" t="s">
        <v>5512</v>
      </c>
      <c r="O116" t="s">
        <v>5513</v>
      </c>
      <c r="P116" t="s">
        <v>5514</v>
      </c>
      <c r="Q116" t="s">
        <v>5515</v>
      </c>
      <c r="R116" t="b">
        <v>0</v>
      </c>
      <c r="S116" t="s">
        <v>5618</v>
      </c>
    </row>
    <row r="117" spans="1:19" ht="11.25" customHeight="1">
      <c r="A117">
        <v>2655</v>
      </c>
      <c r="B117" t="s">
        <v>114</v>
      </c>
      <c r="C117">
        <v>26356905</v>
      </c>
      <c r="D117" t="s">
        <v>4999</v>
      </c>
      <c r="E117" t="s">
        <v>5000</v>
      </c>
      <c r="F117" t="s">
        <v>5001</v>
      </c>
      <c r="G117" t="s">
        <v>149</v>
      </c>
      <c r="H117" t="s">
        <v>5002</v>
      </c>
      <c r="I117" t="s">
        <v>5003</v>
      </c>
      <c r="J117" t="s">
        <v>4946</v>
      </c>
      <c r="K117" t="s">
        <v>5004</v>
      </c>
      <c r="L117" t="s">
        <v>5004</v>
      </c>
      <c r="M117" t="s">
        <v>5005</v>
      </c>
      <c r="N117" t="s">
        <v>5006</v>
      </c>
      <c r="O117" t="s">
        <v>5007</v>
      </c>
      <c r="P117" t="s">
        <v>5008</v>
      </c>
      <c r="Q117" t="s">
        <v>5009</v>
      </c>
      <c r="R117" t="b">
        <v>0</v>
      </c>
      <c r="S117" t="s">
        <v>5618</v>
      </c>
    </row>
    <row r="118" spans="1:19" ht="11.25" customHeight="1">
      <c r="A118">
        <v>2655</v>
      </c>
      <c r="B118" t="s">
        <v>114</v>
      </c>
      <c r="C118">
        <v>26652554</v>
      </c>
      <c r="D118" t="s">
        <v>5647</v>
      </c>
      <c r="E118" t="s">
        <v>5648</v>
      </c>
      <c r="F118" t="s">
        <v>5649</v>
      </c>
      <c r="G118" t="s">
        <v>5333</v>
      </c>
      <c r="H118" t="s">
        <v>5650</v>
      </c>
      <c r="I118" t="s">
        <v>243</v>
      </c>
      <c r="J118" t="s">
        <v>4946</v>
      </c>
      <c r="K118" t="s">
        <v>5651</v>
      </c>
      <c r="L118" t="s">
        <v>5651</v>
      </c>
      <c r="M118" t="s">
        <v>5652</v>
      </c>
      <c r="N118" t="s">
        <v>5653</v>
      </c>
      <c r="O118" t="s">
        <v>5654</v>
      </c>
      <c r="P118" t="s">
        <v>5030</v>
      </c>
      <c r="Q118" t="s">
        <v>5655</v>
      </c>
      <c r="R118" t="b">
        <v>0</v>
      </c>
      <c r="S118" t="s">
        <v>5618</v>
      </c>
    </row>
    <row r="119" spans="1:19" ht="11.25" customHeight="1">
      <c r="A119">
        <v>2655</v>
      </c>
      <c r="B119" t="s">
        <v>114</v>
      </c>
      <c r="C119">
        <v>26356926</v>
      </c>
      <c r="D119" t="s">
        <v>5656</v>
      </c>
      <c r="E119" t="s">
        <v>5657</v>
      </c>
      <c r="F119" t="s">
        <v>5658</v>
      </c>
      <c r="G119" t="s">
        <v>5249</v>
      </c>
      <c r="H119" t="s">
        <v>5659</v>
      </c>
      <c r="I119" t="s">
        <v>5660</v>
      </c>
      <c r="J119" t="s">
        <v>5661</v>
      </c>
      <c r="K119" t="s">
        <v>5662</v>
      </c>
      <c r="L119" t="s">
        <v>5662</v>
      </c>
      <c r="M119" t="s">
        <v>5663</v>
      </c>
      <c r="N119" t="s">
        <v>5664</v>
      </c>
      <c r="O119" t="s">
        <v>5665</v>
      </c>
      <c r="P119" t="s">
        <v>5666</v>
      </c>
      <c r="Q119" t="s">
        <v>5667</v>
      </c>
      <c r="R119" t="b">
        <v>0</v>
      </c>
      <c r="S119" t="s">
        <v>5618</v>
      </c>
    </row>
    <row r="120" spans="1:19" ht="11.25" customHeight="1">
      <c r="A120">
        <v>2655</v>
      </c>
      <c r="B120" t="s">
        <v>114</v>
      </c>
      <c r="C120">
        <v>28875287</v>
      </c>
      <c r="D120" t="s">
        <v>5668</v>
      </c>
      <c r="E120" t="s">
        <v>5669</v>
      </c>
      <c r="F120" t="s">
        <v>5670</v>
      </c>
      <c r="G120" t="s">
        <v>5249</v>
      </c>
      <c r="H120" t="s">
        <v>5671</v>
      </c>
      <c r="I120" t="s">
        <v>5672</v>
      </c>
      <c r="J120" t="s">
        <v>5673</v>
      </c>
      <c r="K120" t="s">
        <v>5674</v>
      </c>
      <c r="L120" t="s">
        <v>5674</v>
      </c>
      <c r="M120" t="s">
        <v>5675</v>
      </c>
      <c r="N120" t="s">
        <v>5676</v>
      </c>
      <c r="O120" t="s">
        <v>5677</v>
      </c>
      <c r="P120" t="s">
        <v>5678</v>
      </c>
      <c r="Q120" t="s">
        <v>243</v>
      </c>
      <c r="R120" t="b">
        <v>0</v>
      </c>
      <c r="S120" t="s">
        <v>5618</v>
      </c>
    </row>
    <row r="121" spans="1:19" ht="11.25" customHeight="1">
      <c r="A121">
        <v>2655</v>
      </c>
      <c r="B121" t="s">
        <v>114</v>
      </c>
      <c r="C121">
        <v>31720063</v>
      </c>
      <c r="D121" t="s">
        <v>5679</v>
      </c>
      <c r="E121" t="s">
        <v>5680</v>
      </c>
      <c r="F121" t="s">
        <v>5681</v>
      </c>
      <c r="G121" t="s">
        <v>5142</v>
      </c>
      <c r="H121" t="s">
        <v>5682</v>
      </c>
      <c r="I121" t="s">
        <v>5683</v>
      </c>
      <c r="K121" t="s">
        <v>5684</v>
      </c>
      <c r="L121" t="s">
        <v>5684</v>
      </c>
      <c r="M121" t="s">
        <v>243</v>
      </c>
      <c r="N121" t="s">
        <v>5685</v>
      </c>
      <c r="O121" t="s">
        <v>5686</v>
      </c>
      <c r="P121" t="s">
        <v>5051</v>
      </c>
      <c r="Q121" t="s">
        <v>5687</v>
      </c>
      <c r="R121" t="b">
        <v>0</v>
      </c>
      <c r="S121" t="s">
        <v>5618</v>
      </c>
    </row>
    <row r="122" spans="1:19" ht="11.25" customHeight="1">
      <c r="A122">
        <v>2655</v>
      </c>
      <c r="B122" t="s">
        <v>114</v>
      </c>
      <c r="C122">
        <v>31826293</v>
      </c>
      <c r="D122" t="s">
        <v>5041</v>
      </c>
      <c r="E122" t="s">
        <v>5042</v>
      </c>
      <c r="F122" t="s">
        <v>5043</v>
      </c>
      <c r="G122" t="s">
        <v>5044</v>
      </c>
      <c r="H122" t="s">
        <v>5045</v>
      </c>
      <c r="I122" t="s">
        <v>5046</v>
      </c>
      <c r="K122" t="s">
        <v>5047</v>
      </c>
      <c r="L122" t="s">
        <v>5048</v>
      </c>
      <c r="M122" t="s">
        <v>243</v>
      </c>
      <c r="N122" t="s">
        <v>5049</v>
      </c>
      <c r="O122" t="s">
        <v>5050</v>
      </c>
      <c r="P122" t="s">
        <v>5051</v>
      </c>
      <c r="Q122" t="s">
        <v>243</v>
      </c>
      <c r="R122" t="b">
        <v>0</v>
      </c>
      <c r="S122" t="s">
        <v>5618</v>
      </c>
    </row>
    <row r="123" spans="1:19" ht="11.25" customHeight="1">
      <c r="A123">
        <v>2655</v>
      </c>
      <c r="B123" t="s">
        <v>114</v>
      </c>
      <c r="C123">
        <v>28262434</v>
      </c>
      <c r="D123" t="s">
        <v>5688</v>
      </c>
      <c r="E123" t="s">
        <v>5689</v>
      </c>
      <c r="F123" t="s">
        <v>5690</v>
      </c>
      <c r="G123" t="s">
        <v>5691</v>
      </c>
      <c r="H123" t="s">
        <v>5692</v>
      </c>
      <c r="I123" t="s">
        <v>5693</v>
      </c>
      <c r="J123" t="s">
        <v>4946</v>
      </c>
      <c r="K123" t="s">
        <v>5694</v>
      </c>
      <c r="L123" t="s">
        <v>5694</v>
      </c>
      <c r="M123" t="s">
        <v>5695</v>
      </c>
      <c r="N123" t="s">
        <v>5696</v>
      </c>
      <c r="O123" t="s">
        <v>5697</v>
      </c>
      <c r="P123" t="s">
        <v>5030</v>
      </c>
      <c r="Q123" t="s">
        <v>243</v>
      </c>
      <c r="R123" t="b">
        <v>0</v>
      </c>
      <c r="S123" t="s">
        <v>5618</v>
      </c>
    </row>
    <row r="124" spans="1:19" ht="11.25" customHeight="1">
      <c r="A124">
        <v>2655</v>
      </c>
      <c r="B124" t="s">
        <v>114</v>
      </c>
      <c r="C124">
        <v>31382238</v>
      </c>
      <c r="D124" t="s">
        <v>5698</v>
      </c>
      <c r="E124" t="s">
        <v>5699</v>
      </c>
      <c r="F124" t="s">
        <v>5700</v>
      </c>
      <c r="G124" t="s">
        <v>5701</v>
      </c>
      <c r="H124" t="s">
        <v>5702</v>
      </c>
      <c r="I124" t="s">
        <v>5703</v>
      </c>
      <c r="J124" t="s">
        <v>5704</v>
      </c>
      <c r="K124" t="s">
        <v>5705</v>
      </c>
      <c r="L124" t="s">
        <v>5705</v>
      </c>
      <c r="M124" t="s">
        <v>243</v>
      </c>
      <c r="N124" t="s">
        <v>243</v>
      </c>
      <c r="O124" t="s">
        <v>5706</v>
      </c>
      <c r="P124" t="s">
        <v>5707</v>
      </c>
      <c r="Q124" t="s">
        <v>243</v>
      </c>
      <c r="R124" t="b">
        <v>1</v>
      </c>
      <c r="S124" t="s">
        <v>5618</v>
      </c>
    </row>
    <row r="125" spans="1:19" ht="11.25" customHeight="1">
      <c r="A125">
        <v>2655</v>
      </c>
      <c r="B125" t="s">
        <v>114</v>
      </c>
      <c r="C125">
        <v>31763194</v>
      </c>
      <c r="D125" t="s">
        <v>5708</v>
      </c>
      <c r="E125" t="s">
        <v>5709</v>
      </c>
      <c r="F125" t="s">
        <v>5710</v>
      </c>
      <c r="G125" t="s">
        <v>5701</v>
      </c>
      <c r="H125" t="s">
        <v>5711</v>
      </c>
      <c r="I125" t="s">
        <v>5712</v>
      </c>
      <c r="K125" t="s">
        <v>5713</v>
      </c>
      <c r="L125" t="s">
        <v>5714</v>
      </c>
      <c r="M125" t="s">
        <v>243</v>
      </c>
      <c r="N125" t="s">
        <v>5715</v>
      </c>
      <c r="O125" t="s">
        <v>5716</v>
      </c>
      <c r="P125" t="s">
        <v>5717</v>
      </c>
      <c r="Q125" t="s">
        <v>5718</v>
      </c>
      <c r="R125" t="b">
        <v>1</v>
      </c>
      <c r="S125" t="s">
        <v>5618</v>
      </c>
    </row>
    <row r="126" spans="1:19" ht="11.25" customHeight="1">
      <c r="A126">
        <v>2655</v>
      </c>
      <c r="B126" t="s">
        <v>114</v>
      </c>
      <c r="C126">
        <v>26322867</v>
      </c>
      <c r="D126" t="s">
        <v>5052</v>
      </c>
      <c r="E126" t="s">
        <v>5053</v>
      </c>
      <c r="F126" t="s">
        <v>5054</v>
      </c>
      <c r="G126" t="s">
        <v>4989</v>
      </c>
      <c r="H126" t="s">
        <v>5055</v>
      </c>
      <c r="I126" t="s">
        <v>5056</v>
      </c>
      <c r="J126" t="s">
        <v>4946</v>
      </c>
      <c r="K126" t="s">
        <v>5057</v>
      </c>
      <c r="L126" t="s">
        <v>5057</v>
      </c>
      <c r="M126" t="s">
        <v>5058</v>
      </c>
      <c r="N126" t="s">
        <v>5059</v>
      </c>
      <c r="O126" t="s">
        <v>5060</v>
      </c>
      <c r="P126" t="s">
        <v>5030</v>
      </c>
      <c r="Q126" t="s">
        <v>5061</v>
      </c>
      <c r="R126" t="b">
        <v>0</v>
      </c>
      <c r="S126" t="s">
        <v>5618</v>
      </c>
    </row>
    <row r="127" spans="1:19" ht="11.25" customHeight="1">
      <c r="A127">
        <v>2655</v>
      </c>
      <c r="B127" t="s">
        <v>114</v>
      </c>
      <c r="C127">
        <v>26824396</v>
      </c>
      <c r="D127" t="s">
        <v>5071</v>
      </c>
      <c r="E127" t="s">
        <v>5072</v>
      </c>
      <c r="F127" t="s">
        <v>5033</v>
      </c>
      <c r="G127" t="s">
        <v>5073</v>
      </c>
      <c r="H127" t="s">
        <v>5035</v>
      </c>
      <c r="I127" t="s">
        <v>243</v>
      </c>
      <c r="J127" t="s">
        <v>156</v>
      </c>
      <c r="K127" t="s">
        <v>5074</v>
      </c>
      <c r="L127" t="s">
        <v>5074</v>
      </c>
      <c r="M127" t="s">
        <v>5075</v>
      </c>
      <c r="N127" t="s">
        <v>243</v>
      </c>
      <c r="O127" t="s">
        <v>5076</v>
      </c>
      <c r="P127" t="s">
        <v>5070</v>
      </c>
      <c r="Q127" t="s">
        <v>243</v>
      </c>
      <c r="R127" t="b">
        <v>0</v>
      </c>
      <c r="S127" t="s">
        <v>5618</v>
      </c>
    </row>
    <row r="128" spans="1:19" ht="11.25" customHeight="1">
      <c r="A128">
        <v>2655</v>
      </c>
      <c r="B128" t="s">
        <v>114</v>
      </c>
      <c r="C128">
        <v>30808700</v>
      </c>
      <c r="D128" t="s">
        <v>5100</v>
      </c>
      <c r="E128" t="s">
        <v>5101</v>
      </c>
      <c r="F128" t="s">
        <v>5102</v>
      </c>
      <c r="G128" t="s">
        <v>5034</v>
      </c>
      <c r="H128" t="s">
        <v>5103</v>
      </c>
      <c r="I128" t="s">
        <v>5104</v>
      </c>
      <c r="J128" t="s">
        <v>5095</v>
      </c>
      <c r="K128" t="s">
        <v>5105</v>
      </c>
      <c r="L128" t="s">
        <v>5106</v>
      </c>
      <c r="M128" t="s">
        <v>5107</v>
      </c>
      <c r="N128" t="s">
        <v>5108</v>
      </c>
      <c r="O128" t="s">
        <v>5109</v>
      </c>
      <c r="P128" t="s">
        <v>5051</v>
      </c>
      <c r="Q128" t="s">
        <v>243</v>
      </c>
      <c r="R128" t="b">
        <v>1</v>
      </c>
      <c r="S128" t="s">
        <v>5618</v>
      </c>
    </row>
    <row r="129" spans="1:19" ht="11.25" customHeight="1">
      <c r="A129">
        <v>2655</v>
      </c>
      <c r="B129" t="s">
        <v>114</v>
      </c>
      <c r="C129">
        <v>31319221</v>
      </c>
      <c r="D129" t="s">
        <v>5110</v>
      </c>
      <c r="E129" t="s">
        <v>5111</v>
      </c>
      <c r="F129" t="s">
        <v>5112</v>
      </c>
      <c r="G129" t="s">
        <v>5092</v>
      </c>
      <c r="H129" t="s">
        <v>5113</v>
      </c>
      <c r="I129" t="s">
        <v>5114</v>
      </c>
      <c r="J129" t="s">
        <v>5083</v>
      </c>
      <c r="K129" t="s">
        <v>5115</v>
      </c>
      <c r="L129" t="s">
        <v>5116</v>
      </c>
      <c r="M129" t="s">
        <v>5117</v>
      </c>
      <c r="N129" t="s">
        <v>5118</v>
      </c>
      <c r="O129" t="s">
        <v>5119</v>
      </c>
      <c r="P129" t="s">
        <v>5088</v>
      </c>
      <c r="Q129" t="s">
        <v>243</v>
      </c>
      <c r="R129" t="b">
        <v>0</v>
      </c>
      <c r="S129" t="s">
        <v>5618</v>
      </c>
    </row>
    <row r="130" spans="1:19" ht="11.25" customHeight="1">
      <c r="A130">
        <v>2655</v>
      </c>
      <c r="B130" t="s">
        <v>114</v>
      </c>
      <c r="C130">
        <v>31343443</v>
      </c>
      <c r="D130" t="s">
        <v>5131</v>
      </c>
      <c r="E130" t="s">
        <v>5132</v>
      </c>
      <c r="F130" t="s">
        <v>5133</v>
      </c>
      <c r="G130" t="s">
        <v>5034</v>
      </c>
      <c r="H130" t="s">
        <v>5134</v>
      </c>
      <c r="I130" t="s">
        <v>5135</v>
      </c>
      <c r="J130" t="s">
        <v>5083</v>
      </c>
      <c r="K130" t="s">
        <v>5136</v>
      </c>
      <c r="L130" t="s">
        <v>5136</v>
      </c>
      <c r="N130" t="s">
        <v>5137</v>
      </c>
      <c r="O130" t="s">
        <v>5138</v>
      </c>
      <c r="P130" t="s">
        <v>5051</v>
      </c>
      <c r="R130" t="b">
        <v>0</v>
      </c>
      <c r="S130" t="s">
        <v>5618</v>
      </c>
    </row>
    <row r="131" spans="1:19" ht="11.25" customHeight="1">
      <c r="A131">
        <v>2655</v>
      </c>
      <c r="B131" t="s">
        <v>114</v>
      </c>
      <c r="C131">
        <v>31367841</v>
      </c>
      <c r="D131" t="s">
        <v>5139</v>
      </c>
      <c r="E131" t="s">
        <v>5140</v>
      </c>
      <c r="F131" t="s">
        <v>5141</v>
      </c>
      <c r="G131" t="s">
        <v>5142</v>
      </c>
      <c r="H131" t="s">
        <v>5143</v>
      </c>
      <c r="I131" t="s">
        <v>5144</v>
      </c>
      <c r="J131" t="s">
        <v>5095</v>
      </c>
      <c r="K131" t="s">
        <v>5145</v>
      </c>
      <c r="L131" t="s">
        <v>5145</v>
      </c>
      <c r="M131" t="s">
        <v>243</v>
      </c>
      <c r="N131" t="s">
        <v>5146</v>
      </c>
      <c r="O131" t="s">
        <v>5147</v>
      </c>
      <c r="P131" t="s">
        <v>5088</v>
      </c>
      <c r="Q131" t="s">
        <v>243</v>
      </c>
      <c r="R131" t="b">
        <v>0</v>
      </c>
      <c r="S131" t="s">
        <v>5618</v>
      </c>
    </row>
    <row r="132" spans="1:19" ht="11.25" customHeight="1">
      <c r="A132">
        <v>2655</v>
      </c>
      <c r="B132" t="s">
        <v>114</v>
      </c>
      <c r="C132">
        <v>31087651</v>
      </c>
      <c r="D132" t="s">
        <v>5148</v>
      </c>
      <c r="E132" t="s">
        <v>5149</v>
      </c>
      <c r="F132" t="s">
        <v>5150</v>
      </c>
      <c r="G132" t="s">
        <v>5151</v>
      </c>
      <c r="H132" t="s">
        <v>5152</v>
      </c>
      <c r="I132" t="s">
        <v>5153</v>
      </c>
      <c r="J132" t="s">
        <v>5083</v>
      </c>
      <c r="K132" t="s">
        <v>5154</v>
      </c>
      <c r="L132" t="s">
        <v>5154</v>
      </c>
      <c r="M132" t="s">
        <v>5155</v>
      </c>
      <c r="N132" t="s">
        <v>5156</v>
      </c>
      <c r="O132" t="s">
        <v>5157</v>
      </c>
      <c r="R132" t="b">
        <v>0</v>
      </c>
      <c r="S132" t="s">
        <v>5618</v>
      </c>
    </row>
    <row r="133" spans="1:19" ht="11.25" customHeight="1">
      <c r="A133">
        <v>2655</v>
      </c>
      <c r="B133" t="s">
        <v>114</v>
      </c>
      <c r="C133">
        <v>31367862</v>
      </c>
      <c r="D133" t="s">
        <v>5158</v>
      </c>
      <c r="E133" t="s">
        <v>5159</v>
      </c>
      <c r="F133" t="s">
        <v>5160</v>
      </c>
      <c r="G133" t="s">
        <v>5142</v>
      </c>
      <c r="H133" t="s">
        <v>5161</v>
      </c>
      <c r="I133" t="s">
        <v>5162</v>
      </c>
      <c r="J133" t="s">
        <v>5083</v>
      </c>
      <c r="K133" t="s">
        <v>5163</v>
      </c>
      <c r="L133" t="s">
        <v>5163</v>
      </c>
      <c r="M133" t="s">
        <v>243</v>
      </c>
      <c r="N133" t="s">
        <v>5164</v>
      </c>
      <c r="O133" t="s">
        <v>5165</v>
      </c>
      <c r="P133" t="s">
        <v>5088</v>
      </c>
      <c r="Q133" t="s">
        <v>243</v>
      </c>
      <c r="R133" t="b">
        <v>0</v>
      </c>
      <c r="S133" t="s">
        <v>5618</v>
      </c>
    </row>
    <row r="134" spans="1:19" ht="11.25" customHeight="1">
      <c r="A134">
        <v>2655</v>
      </c>
      <c r="B134" t="s">
        <v>114</v>
      </c>
      <c r="C134">
        <v>31085797</v>
      </c>
      <c r="D134" t="s">
        <v>5719</v>
      </c>
      <c r="E134" t="s">
        <v>5720</v>
      </c>
      <c r="F134" t="s">
        <v>5721</v>
      </c>
      <c r="G134" t="s">
        <v>4970</v>
      </c>
      <c r="H134" t="s">
        <v>5722</v>
      </c>
      <c r="I134" t="s">
        <v>5723</v>
      </c>
      <c r="J134" t="s">
        <v>5095</v>
      </c>
      <c r="K134" t="s">
        <v>5724</v>
      </c>
      <c r="L134" t="s">
        <v>5725</v>
      </c>
      <c r="M134" t="s">
        <v>5726</v>
      </c>
      <c r="N134" t="s">
        <v>5727</v>
      </c>
      <c r="O134" t="s">
        <v>5728</v>
      </c>
      <c r="P134" t="s">
        <v>5088</v>
      </c>
      <c r="Q134" t="s">
        <v>243</v>
      </c>
      <c r="R134" t="b">
        <v>1</v>
      </c>
      <c r="S134" t="s">
        <v>5618</v>
      </c>
    </row>
    <row r="135" spans="1:19" ht="11.25" customHeight="1">
      <c r="A135">
        <v>2655</v>
      </c>
      <c r="B135" t="s">
        <v>114</v>
      </c>
      <c r="C135">
        <v>26486390</v>
      </c>
      <c r="D135" t="s">
        <v>5166</v>
      </c>
      <c r="E135" t="s">
        <v>5167</v>
      </c>
      <c r="F135" t="s">
        <v>5168</v>
      </c>
      <c r="G135" t="s">
        <v>5169</v>
      </c>
      <c r="H135" t="s">
        <v>5170</v>
      </c>
      <c r="I135" t="s">
        <v>5171</v>
      </c>
      <c r="J135" t="s">
        <v>5095</v>
      </c>
      <c r="K135" t="s">
        <v>5172</v>
      </c>
      <c r="L135" t="s">
        <v>5172</v>
      </c>
      <c r="M135" t="s">
        <v>5173</v>
      </c>
      <c r="N135" t="s">
        <v>5174</v>
      </c>
      <c r="O135" t="s">
        <v>5175</v>
      </c>
      <c r="P135" t="s">
        <v>5176</v>
      </c>
      <c r="Q135" t="s">
        <v>243</v>
      </c>
      <c r="R135" t="b">
        <v>0</v>
      </c>
      <c r="S135" t="s">
        <v>5618</v>
      </c>
    </row>
    <row r="136" spans="1:19" ht="11.25" customHeight="1">
      <c r="A136">
        <v>2655</v>
      </c>
      <c r="B136" t="s">
        <v>114</v>
      </c>
      <c r="C136">
        <v>31187282</v>
      </c>
      <c r="D136" t="s">
        <v>5729</v>
      </c>
      <c r="E136" t="s">
        <v>5730</v>
      </c>
      <c r="F136" t="s">
        <v>5731</v>
      </c>
      <c r="G136" t="s">
        <v>4980</v>
      </c>
      <c r="H136" t="s">
        <v>5732</v>
      </c>
      <c r="I136" t="s">
        <v>5733</v>
      </c>
      <c r="J136" t="s">
        <v>5095</v>
      </c>
      <c r="K136" t="s">
        <v>5734</v>
      </c>
      <c r="L136" t="s">
        <v>5734</v>
      </c>
      <c r="M136" t="s">
        <v>243</v>
      </c>
      <c r="N136" t="s">
        <v>5735</v>
      </c>
      <c r="O136" t="s">
        <v>5736</v>
      </c>
      <c r="P136" t="s">
        <v>5088</v>
      </c>
      <c r="Q136" t="s">
        <v>243</v>
      </c>
      <c r="R136" t="b">
        <v>0</v>
      </c>
      <c r="S136" t="s">
        <v>5618</v>
      </c>
    </row>
    <row r="137" spans="1:19" ht="11.25" customHeight="1">
      <c r="A137">
        <v>2655</v>
      </c>
      <c r="B137" t="s">
        <v>114</v>
      </c>
      <c r="C137">
        <v>31284269</v>
      </c>
      <c r="D137" t="s">
        <v>5206</v>
      </c>
      <c r="E137" t="s">
        <v>5207</v>
      </c>
      <c r="F137" t="s">
        <v>5208</v>
      </c>
      <c r="G137" t="s">
        <v>5151</v>
      </c>
      <c r="H137" t="s">
        <v>5209</v>
      </c>
      <c r="I137" t="s">
        <v>5210</v>
      </c>
      <c r="J137" t="s">
        <v>5095</v>
      </c>
      <c r="K137" t="s">
        <v>5211</v>
      </c>
      <c r="L137" t="s">
        <v>5212</v>
      </c>
      <c r="M137" t="s">
        <v>5213</v>
      </c>
      <c r="N137" t="s">
        <v>5214</v>
      </c>
      <c r="O137" t="s">
        <v>5215</v>
      </c>
      <c r="P137" t="s">
        <v>243</v>
      </c>
      <c r="Q137" t="s">
        <v>243</v>
      </c>
      <c r="R137" t="b">
        <v>0</v>
      </c>
      <c r="S137" t="s">
        <v>5618</v>
      </c>
    </row>
    <row r="138" spans="1:19" ht="11.25" customHeight="1">
      <c r="A138">
        <v>2655</v>
      </c>
      <c r="B138" t="s">
        <v>114</v>
      </c>
      <c r="C138">
        <v>31159389</v>
      </c>
      <c r="D138" t="s">
        <v>5737</v>
      </c>
      <c r="E138" t="s">
        <v>5738</v>
      </c>
      <c r="F138" t="s">
        <v>5739</v>
      </c>
      <c r="G138" t="s">
        <v>5123</v>
      </c>
      <c r="H138" t="s">
        <v>5740</v>
      </c>
      <c r="I138" t="s">
        <v>5741</v>
      </c>
      <c r="J138" t="s">
        <v>5095</v>
      </c>
      <c r="K138" t="s">
        <v>5742</v>
      </c>
      <c r="L138" t="s">
        <v>5743</v>
      </c>
      <c r="M138" t="s">
        <v>5744</v>
      </c>
      <c r="N138" t="s">
        <v>5745</v>
      </c>
      <c r="O138" t="s">
        <v>5746</v>
      </c>
      <c r="P138" t="s">
        <v>5088</v>
      </c>
      <c r="Q138" t="s">
        <v>243</v>
      </c>
      <c r="R138" t="b">
        <v>0</v>
      </c>
      <c r="S138" t="s">
        <v>5618</v>
      </c>
    </row>
    <row r="139" spans="1:19" ht="11.25" customHeight="1">
      <c r="A139">
        <v>2655</v>
      </c>
      <c r="B139" t="s">
        <v>114</v>
      </c>
      <c r="C139">
        <v>26322895</v>
      </c>
      <c r="D139" t="s">
        <v>133</v>
      </c>
      <c r="E139" t="s">
        <v>136</v>
      </c>
      <c r="F139" t="s">
        <v>146</v>
      </c>
      <c r="G139" t="s">
        <v>149</v>
      </c>
      <c r="H139" t="s">
        <v>143</v>
      </c>
      <c r="I139" t="s">
        <v>152</v>
      </c>
      <c r="J139" t="s">
        <v>156</v>
      </c>
      <c r="K139" t="s">
        <v>160</v>
      </c>
      <c r="L139" t="s">
        <v>160</v>
      </c>
      <c r="M139" t="s">
        <v>5236</v>
      </c>
      <c r="N139" t="s">
        <v>171</v>
      </c>
      <c r="O139" t="s">
        <v>5237</v>
      </c>
      <c r="P139" t="s">
        <v>5030</v>
      </c>
      <c r="Q139" t="s">
        <v>183</v>
      </c>
      <c r="R139" t="b">
        <v>0</v>
      </c>
      <c r="S139" t="s">
        <v>5618</v>
      </c>
    </row>
    <row r="140" spans="1:19" ht="11.25" customHeight="1">
      <c r="A140">
        <v>2655</v>
      </c>
      <c r="B140" t="s">
        <v>114</v>
      </c>
      <c r="C140">
        <v>26356930</v>
      </c>
      <c r="D140" t="s">
        <v>5747</v>
      </c>
      <c r="E140" t="s">
        <v>5748</v>
      </c>
      <c r="F140" t="s">
        <v>5749</v>
      </c>
      <c r="G140" t="s">
        <v>5249</v>
      </c>
      <c r="H140" t="s">
        <v>5750</v>
      </c>
      <c r="I140" t="s">
        <v>5751</v>
      </c>
      <c r="J140" t="s">
        <v>5242</v>
      </c>
      <c r="K140" t="s">
        <v>5752</v>
      </c>
      <c r="L140" t="s">
        <v>5752</v>
      </c>
      <c r="M140" t="s">
        <v>5753</v>
      </c>
      <c r="N140" t="s">
        <v>243</v>
      </c>
      <c r="O140" t="s">
        <v>5754</v>
      </c>
      <c r="P140" t="s">
        <v>5088</v>
      </c>
      <c r="Q140" t="s">
        <v>243</v>
      </c>
      <c r="R140" t="b">
        <v>1</v>
      </c>
      <c r="S140" t="s">
        <v>5618</v>
      </c>
    </row>
    <row r="141" spans="1:19" ht="11.25" customHeight="1">
      <c r="A141">
        <v>2655</v>
      </c>
      <c r="B141" t="s">
        <v>114</v>
      </c>
      <c r="C141">
        <v>30843704</v>
      </c>
      <c r="D141" t="s">
        <v>5755</v>
      </c>
      <c r="E141" t="s">
        <v>5756</v>
      </c>
      <c r="F141" t="s">
        <v>5757</v>
      </c>
      <c r="G141" t="s">
        <v>149</v>
      </c>
      <c r="H141" t="s">
        <v>5758</v>
      </c>
      <c r="I141" t="s">
        <v>5759</v>
      </c>
      <c r="J141" t="s">
        <v>5242</v>
      </c>
      <c r="K141" t="s">
        <v>5760</v>
      </c>
      <c r="L141" t="s">
        <v>5761</v>
      </c>
      <c r="M141" t="s">
        <v>243</v>
      </c>
      <c r="N141" t="s">
        <v>5762</v>
      </c>
      <c r="O141" t="s">
        <v>5763</v>
      </c>
      <c r="P141" t="s">
        <v>5030</v>
      </c>
      <c r="Q141" t="s">
        <v>243</v>
      </c>
      <c r="R141" t="b">
        <v>0</v>
      </c>
      <c r="S141" t="s">
        <v>5618</v>
      </c>
    </row>
    <row r="142" spans="1:19" ht="11.25" customHeight="1">
      <c r="A142">
        <v>2655</v>
      </c>
      <c r="B142" t="s">
        <v>114</v>
      </c>
      <c r="C142">
        <v>26798812</v>
      </c>
      <c r="D142" t="s">
        <v>5764</v>
      </c>
      <c r="E142" t="s">
        <v>5765</v>
      </c>
      <c r="F142" t="s">
        <v>5766</v>
      </c>
      <c r="G142" t="s">
        <v>4970</v>
      </c>
      <c r="H142" t="s">
        <v>5767</v>
      </c>
      <c r="I142" t="s">
        <v>5768</v>
      </c>
      <c r="J142" t="s">
        <v>5242</v>
      </c>
      <c r="K142" t="s">
        <v>5769</v>
      </c>
      <c r="L142" t="s">
        <v>5769</v>
      </c>
      <c r="M142" t="s">
        <v>5770</v>
      </c>
      <c r="N142" t="s">
        <v>5771</v>
      </c>
      <c r="O142" t="s">
        <v>5772</v>
      </c>
      <c r="P142" t="s">
        <v>5030</v>
      </c>
      <c r="Q142" t="s">
        <v>5773</v>
      </c>
      <c r="R142" t="b">
        <v>0</v>
      </c>
      <c r="S142" t="s">
        <v>5618</v>
      </c>
    </row>
    <row r="143" spans="1:19" ht="11.25" customHeight="1">
      <c r="A143">
        <v>2655</v>
      </c>
      <c r="B143" t="s">
        <v>114</v>
      </c>
      <c r="C143">
        <v>30398770</v>
      </c>
      <c r="D143" t="s">
        <v>5774</v>
      </c>
      <c r="E143" t="s">
        <v>5775</v>
      </c>
      <c r="F143" t="s">
        <v>5776</v>
      </c>
      <c r="G143" t="s">
        <v>4970</v>
      </c>
      <c r="H143" t="s">
        <v>5777</v>
      </c>
      <c r="I143" t="s">
        <v>5778</v>
      </c>
      <c r="J143" t="s">
        <v>5242</v>
      </c>
      <c r="K143" t="s">
        <v>243</v>
      </c>
      <c r="L143" t="s">
        <v>5779</v>
      </c>
      <c r="M143" t="s">
        <v>5780</v>
      </c>
      <c r="N143" t="s">
        <v>5781</v>
      </c>
      <c r="O143" t="s">
        <v>5782</v>
      </c>
      <c r="P143" t="s">
        <v>5030</v>
      </c>
      <c r="Q143" t="s">
        <v>243</v>
      </c>
      <c r="R143" t="b">
        <v>0</v>
      </c>
      <c r="S143" t="s">
        <v>5618</v>
      </c>
    </row>
    <row r="144" spans="1:19" ht="11.25" customHeight="1">
      <c r="A144">
        <v>2655</v>
      </c>
      <c r="B144" t="s">
        <v>114</v>
      </c>
      <c r="C144">
        <v>31775146</v>
      </c>
      <c r="D144" t="s">
        <v>5246</v>
      </c>
      <c r="E144" t="s">
        <v>5247</v>
      </c>
      <c r="F144" t="s">
        <v>5248</v>
      </c>
      <c r="G144" t="s">
        <v>5249</v>
      </c>
      <c r="H144" t="s">
        <v>5250</v>
      </c>
      <c r="I144" t="s">
        <v>5251</v>
      </c>
      <c r="K144" t="s">
        <v>5252</v>
      </c>
      <c r="L144" t="s">
        <v>5252</v>
      </c>
      <c r="M144" t="s">
        <v>5253</v>
      </c>
      <c r="N144" t="s">
        <v>5254</v>
      </c>
      <c r="O144" t="s">
        <v>5255</v>
      </c>
      <c r="P144" t="s">
        <v>5051</v>
      </c>
      <c r="Q144" t="s">
        <v>243</v>
      </c>
      <c r="R144" t="b">
        <v>1</v>
      </c>
      <c r="S144" t="s">
        <v>5618</v>
      </c>
    </row>
    <row r="145" spans="1:19" ht="11.25" customHeight="1">
      <c r="A145">
        <v>2655</v>
      </c>
      <c r="B145" t="s">
        <v>114</v>
      </c>
      <c r="C145">
        <v>28873685</v>
      </c>
      <c r="D145" t="s">
        <v>5783</v>
      </c>
      <c r="E145" t="s">
        <v>5784</v>
      </c>
      <c r="F145" t="s">
        <v>5785</v>
      </c>
      <c r="G145" t="s">
        <v>5249</v>
      </c>
      <c r="H145" t="s">
        <v>5786</v>
      </c>
      <c r="I145" t="s">
        <v>5787</v>
      </c>
      <c r="J145" t="s">
        <v>5242</v>
      </c>
      <c r="K145" t="s">
        <v>5788</v>
      </c>
      <c r="L145" t="s">
        <v>5788</v>
      </c>
      <c r="M145" t="s">
        <v>5789</v>
      </c>
      <c r="N145" t="s">
        <v>5254</v>
      </c>
      <c r="O145" t="s">
        <v>5255</v>
      </c>
      <c r="P145" t="s">
        <v>5030</v>
      </c>
      <c r="Q145" t="s">
        <v>5790</v>
      </c>
      <c r="R145" t="b">
        <v>1</v>
      </c>
      <c r="S145" t="s">
        <v>5618</v>
      </c>
    </row>
    <row r="146" spans="1:19" ht="11.25" customHeight="1">
      <c r="A146">
        <v>2655</v>
      </c>
      <c r="B146" t="s">
        <v>114</v>
      </c>
      <c r="C146">
        <v>28869965</v>
      </c>
      <c r="D146" t="s">
        <v>5256</v>
      </c>
      <c r="E146" t="s">
        <v>5257</v>
      </c>
      <c r="F146" t="s">
        <v>5258</v>
      </c>
      <c r="G146" t="s">
        <v>5080</v>
      </c>
      <c r="H146" t="s">
        <v>5259</v>
      </c>
      <c r="I146" t="s">
        <v>243</v>
      </c>
      <c r="J146" t="s">
        <v>5242</v>
      </c>
      <c r="K146" t="s">
        <v>5260</v>
      </c>
      <c r="L146" t="s">
        <v>5260</v>
      </c>
      <c r="M146" t="s">
        <v>5261</v>
      </c>
      <c r="N146" t="s">
        <v>5262</v>
      </c>
      <c r="O146" t="s">
        <v>5263</v>
      </c>
      <c r="P146" t="s">
        <v>5030</v>
      </c>
      <c r="Q146" t="s">
        <v>5264</v>
      </c>
      <c r="R146" t="b">
        <v>0</v>
      </c>
      <c r="S146" t="s">
        <v>5618</v>
      </c>
    </row>
    <row r="147" spans="1:19" ht="11.25" customHeight="1">
      <c r="A147">
        <v>2655</v>
      </c>
      <c r="B147" t="s">
        <v>114</v>
      </c>
      <c r="C147">
        <v>31245446</v>
      </c>
      <c r="D147" t="s">
        <v>5791</v>
      </c>
      <c r="E147" t="s">
        <v>5792</v>
      </c>
      <c r="F147" t="s">
        <v>5793</v>
      </c>
      <c r="G147" t="s">
        <v>5277</v>
      </c>
      <c r="H147" t="s">
        <v>5794</v>
      </c>
      <c r="I147" t="s">
        <v>5795</v>
      </c>
      <c r="J147" t="s">
        <v>5242</v>
      </c>
      <c r="K147" t="s">
        <v>243</v>
      </c>
      <c r="L147" t="s">
        <v>5796</v>
      </c>
      <c r="M147" t="s">
        <v>243</v>
      </c>
      <c r="N147" t="s">
        <v>5797</v>
      </c>
      <c r="O147" t="s">
        <v>5798</v>
      </c>
      <c r="P147" t="s">
        <v>5088</v>
      </c>
      <c r="Q147" t="s">
        <v>243</v>
      </c>
      <c r="R147" t="b">
        <v>0</v>
      </c>
      <c r="S147" t="s">
        <v>5618</v>
      </c>
    </row>
    <row r="148" spans="1:19" ht="11.25" customHeight="1">
      <c r="A148">
        <v>2655</v>
      </c>
      <c r="B148" t="s">
        <v>114</v>
      </c>
      <c r="C148">
        <v>26476793</v>
      </c>
      <c r="D148" t="s">
        <v>5799</v>
      </c>
      <c r="E148" t="s">
        <v>5800</v>
      </c>
      <c r="F148" t="s">
        <v>5801</v>
      </c>
      <c r="G148" t="s">
        <v>5691</v>
      </c>
      <c r="H148" t="s">
        <v>5802</v>
      </c>
      <c r="I148" t="s">
        <v>5803</v>
      </c>
      <c r="J148" t="s">
        <v>5242</v>
      </c>
      <c r="K148" t="s">
        <v>5804</v>
      </c>
      <c r="L148" t="s">
        <v>5804</v>
      </c>
      <c r="M148" t="s">
        <v>5805</v>
      </c>
      <c r="N148" t="s">
        <v>5806</v>
      </c>
      <c r="O148" t="s">
        <v>5807</v>
      </c>
      <c r="P148" t="s">
        <v>5088</v>
      </c>
      <c r="Q148" t="s">
        <v>190</v>
      </c>
      <c r="R148" t="b">
        <v>1</v>
      </c>
      <c r="S148" t="s">
        <v>5618</v>
      </c>
    </row>
    <row r="149" spans="1:19" ht="11.25" customHeight="1">
      <c r="A149">
        <v>2655</v>
      </c>
      <c r="B149" t="s">
        <v>114</v>
      </c>
      <c r="C149">
        <v>28509720</v>
      </c>
      <c r="D149" t="s">
        <v>5808</v>
      </c>
      <c r="E149" t="s">
        <v>5809</v>
      </c>
      <c r="F149" t="s">
        <v>5810</v>
      </c>
      <c r="G149" t="s">
        <v>5811</v>
      </c>
      <c r="H149" t="s">
        <v>5812</v>
      </c>
      <c r="I149" t="s">
        <v>5813</v>
      </c>
      <c r="J149" t="s">
        <v>5242</v>
      </c>
      <c r="K149" t="s">
        <v>5814</v>
      </c>
      <c r="L149" t="s">
        <v>5815</v>
      </c>
      <c r="M149" t="s">
        <v>5816</v>
      </c>
      <c r="N149" t="s">
        <v>243</v>
      </c>
      <c r="O149" t="s">
        <v>5817</v>
      </c>
      <c r="P149" t="s">
        <v>5030</v>
      </c>
      <c r="Q149" t="s">
        <v>243</v>
      </c>
      <c r="R149" t="b">
        <v>0</v>
      </c>
      <c r="S149" t="s">
        <v>5618</v>
      </c>
    </row>
    <row r="150" spans="1:19" ht="11.25" customHeight="1">
      <c r="A150">
        <v>2655</v>
      </c>
      <c r="B150" t="s">
        <v>114</v>
      </c>
      <c r="C150">
        <v>30950350</v>
      </c>
      <c r="D150" t="s">
        <v>5818</v>
      </c>
      <c r="E150" t="s">
        <v>5819</v>
      </c>
      <c r="F150" t="s">
        <v>5820</v>
      </c>
      <c r="G150" t="s">
        <v>5199</v>
      </c>
      <c r="H150" t="s">
        <v>5821</v>
      </c>
      <c r="I150" t="s">
        <v>5822</v>
      </c>
      <c r="J150" t="s">
        <v>5242</v>
      </c>
      <c r="K150" t="s">
        <v>5823</v>
      </c>
      <c r="L150" t="s">
        <v>5823</v>
      </c>
      <c r="M150" t="s">
        <v>5824</v>
      </c>
      <c r="N150" t="s">
        <v>5825</v>
      </c>
      <c r="O150" t="s">
        <v>5826</v>
      </c>
      <c r="P150" t="s">
        <v>5088</v>
      </c>
      <c r="Q150" t="s">
        <v>190</v>
      </c>
      <c r="R150" t="b">
        <v>0</v>
      </c>
      <c r="S150" t="s">
        <v>5618</v>
      </c>
    </row>
    <row r="151" spans="1:19" ht="11.25" customHeight="1">
      <c r="A151">
        <v>2655</v>
      </c>
      <c r="B151" t="s">
        <v>114</v>
      </c>
      <c r="C151">
        <v>31527562</v>
      </c>
      <c r="D151" t="s">
        <v>5827</v>
      </c>
      <c r="E151" t="s">
        <v>5828</v>
      </c>
      <c r="F151" t="s">
        <v>5829</v>
      </c>
      <c r="G151" t="s">
        <v>5830</v>
      </c>
      <c r="H151" t="s">
        <v>5831</v>
      </c>
      <c r="I151" t="s">
        <v>5832</v>
      </c>
      <c r="K151" t="s">
        <v>5833</v>
      </c>
      <c r="L151" t="s">
        <v>5834</v>
      </c>
      <c r="M151" t="s">
        <v>243</v>
      </c>
      <c r="N151" t="s">
        <v>243</v>
      </c>
      <c r="O151" t="s">
        <v>5835</v>
      </c>
      <c r="P151" t="s">
        <v>243</v>
      </c>
      <c r="Q151" t="s">
        <v>243</v>
      </c>
      <c r="R151" t="b">
        <v>0</v>
      </c>
      <c r="S151" t="s">
        <v>5618</v>
      </c>
    </row>
    <row r="152" spans="1:19" ht="11.25" customHeight="1">
      <c r="A152">
        <v>2655</v>
      </c>
      <c r="B152" t="s">
        <v>114</v>
      </c>
      <c r="C152">
        <v>31874557</v>
      </c>
      <c r="D152" t="s">
        <v>5836</v>
      </c>
      <c r="E152" t="s">
        <v>5837</v>
      </c>
      <c r="F152" t="s">
        <v>5838</v>
      </c>
      <c r="G152" t="s">
        <v>5199</v>
      </c>
      <c r="H152" t="s">
        <v>5839</v>
      </c>
      <c r="I152" t="s">
        <v>5840</v>
      </c>
      <c r="K152" t="s">
        <v>5841</v>
      </c>
      <c r="L152" t="s">
        <v>5841</v>
      </c>
      <c r="M152" t="s">
        <v>5842</v>
      </c>
      <c r="N152" t="s">
        <v>5843</v>
      </c>
      <c r="O152" t="s">
        <v>5844</v>
      </c>
      <c r="P152" t="s">
        <v>5030</v>
      </c>
      <c r="Q152" t="s">
        <v>243</v>
      </c>
      <c r="R152" t="b">
        <v>1</v>
      </c>
      <c r="S152" t="s">
        <v>5618</v>
      </c>
    </row>
    <row r="153" spans="1:19" ht="11.25" customHeight="1">
      <c r="A153">
        <v>2655</v>
      </c>
      <c r="B153" t="s">
        <v>114</v>
      </c>
      <c r="C153">
        <v>31656254</v>
      </c>
      <c r="D153" t="s">
        <v>5294</v>
      </c>
      <c r="E153" t="s">
        <v>5295</v>
      </c>
      <c r="F153" t="s">
        <v>5296</v>
      </c>
      <c r="G153" t="s">
        <v>5297</v>
      </c>
      <c r="H153" t="s">
        <v>5298</v>
      </c>
      <c r="I153" t="s">
        <v>5299</v>
      </c>
      <c r="K153" t="s">
        <v>5300</v>
      </c>
      <c r="L153" t="s">
        <v>5301</v>
      </c>
      <c r="M153" t="s">
        <v>5302</v>
      </c>
      <c r="N153" t="s">
        <v>5303</v>
      </c>
      <c r="O153" t="s">
        <v>5304</v>
      </c>
      <c r="P153" t="s">
        <v>5088</v>
      </c>
      <c r="Q153" t="s">
        <v>5305</v>
      </c>
      <c r="R153" t="b">
        <v>0</v>
      </c>
      <c r="S153" t="s">
        <v>5618</v>
      </c>
    </row>
    <row r="154" spans="1:19" ht="11.25" customHeight="1">
      <c r="A154">
        <v>2655</v>
      </c>
      <c r="B154" t="s">
        <v>114</v>
      </c>
      <c r="C154">
        <v>26356927</v>
      </c>
      <c r="D154" t="s">
        <v>5845</v>
      </c>
      <c r="E154" t="s">
        <v>5846</v>
      </c>
      <c r="F154" t="s">
        <v>5847</v>
      </c>
      <c r="G154" t="s">
        <v>5249</v>
      </c>
      <c r="H154" t="s">
        <v>5848</v>
      </c>
      <c r="I154" t="s">
        <v>5849</v>
      </c>
      <c r="J154" t="s">
        <v>5242</v>
      </c>
      <c r="K154" t="s">
        <v>5850</v>
      </c>
      <c r="L154" t="s">
        <v>5850</v>
      </c>
      <c r="M154" t="s">
        <v>5851</v>
      </c>
      <c r="N154" t="s">
        <v>5852</v>
      </c>
      <c r="O154" t="s">
        <v>5853</v>
      </c>
      <c r="P154" t="s">
        <v>5051</v>
      </c>
      <c r="Q154" t="s">
        <v>243</v>
      </c>
      <c r="R154" t="b">
        <v>1</v>
      </c>
      <c r="S154" t="s">
        <v>5618</v>
      </c>
    </row>
    <row r="155" spans="1:19" ht="11.25" customHeight="1">
      <c r="A155">
        <v>2655</v>
      </c>
      <c r="B155" t="s">
        <v>114</v>
      </c>
      <c r="C155">
        <v>28878273</v>
      </c>
      <c r="D155" t="s">
        <v>5854</v>
      </c>
      <c r="E155" t="s">
        <v>5855</v>
      </c>
      <c r="F155" t="s">
        <v>5856</v>
      </c>
      <c r="G155" t="s">
        <v>149</v>
      </c>
      <c r="H155" t="s">
        <v>5857</v>
      </c>
      <c r="I155" t="s">
        <v>243</v>
      </c>
      <c r="J155" t="s">
        <v>5242</v>
      </c>
      <c r="K155" t="s">
        <v>5858</v>
      </c>
      <c r="L155" t="s">
        <v>5859</v>
      </c>
      <c r="M155" t="s">
        <v>5860</v>
      </c>
      <c r="N155" t="s">
        <v>5861</v>
      </c>
      <c r="O155" t="s">
        <v>5862</v>
      </c>
      <c r="P155" t="s">
        <v>5030</v>
      </c>
      <c r="Q155" t="s">
        <v>5863</v>
      </c>
      <c r="R155" t="b">
        <v>0</v>
      </c>
      <c r="S155" t="s">
        <v>5618</v>
      </c>
    </row>
    <row r="156" spans="1:19" ht="11.25" customHeight="1">
      <c r="A156">
        <v>2655</v>
      </c>
      <c r="B156" t="s">
        <v>114</v>
      </c>
      <c r="C156">
        <v>26562805</v>
      </c>
      <c r="D156" t="s">
        <v>5864</v>
      </c>
      <c r="E156" t="s">
        <v>5865</v>
      </c>
      <c r="F156" t="s">
        <v>5866</v>
      </c>
      <c r="G156" t="s">
        <v>5169</v>
      </c>
      <c r="H156" t="s">
        <v>5867</v>
      </c>
      <c r="I156" t="s">
        <v>5868</v>
      </c>
      <c r="J156" t="s">
        <v>5242</v>
      </c>
      <c r="K156" t="s">
        <v>5869</v>
      </c>
      <c r="L156" t="s">
        <v>5869</v>
      </c>
      <c r="M156" t="s">
        <v>5870</v>
      </c>
      <c r="N156" t="s">
        <v>5871</v>
      </c>
      <c r="O156" t="s">
        <v>5872</v>
      </c>
      <c r="P156" t="s">
        <v>5088</v>
      </c>
      <c r="Q156" t="s">
        <v>5873</v>
      </c>
      <c r="R156" t="b">
        <v>0</v>
      </c>
      <c r="S156" t="s">
        <v>5618</v>
      </c>
    </row>
    <row r="157" spans="1:19" ht="11.25" customHeight="1">
      <c r="A157">
        <v>2655</v>
      </c>
      <c r="B157" t="s">
        <v>114</v>
      </c>
      <c r="C157">
        <v>31684090</v>
      </c>
      <c r="D157" t="s">
        <v>5874</v>
      </c>
      <c r="E157" t="s">
        <v>5875</v>
      </c>
      <c r="F157" t="s">
        <v>5876</v>
      </c>
      <c r="G157" t="s">
        <v>149</v>
      </c>
      <c r="H157" t="s">
        <v>5877</v>
      </c>
      <c r="I157" t="s">
        <v>5878</v>
      </c>
      <c r="K157" t="s">
        <v>5879</v>
      </c>
      <c r="L157" t="s">
        <v>5880</v>
      </c>
      <c r="M157" t="s">
        <v>243</v>
      </c>
      <c r="N157" t="s">
        <v>243</v>
      </c>
      <c r="O157" t="s">
        <v>5881</v>
      </c>
      <c r="P157" t="s">
        <v>4965</v>
      </c>
      <c r="Q157" t="s">
        <v>5882</v>
      </c>
      <c r="R157" t="b">
        <v>0</v>
      </c>
      <c r="S157" t="s">
        <v>5618</v>
      </c>
    </row>
    <row r="158" spans="1:19" ht="11.25" customHeight="1">
      <c r="A158">
        <v>2655</v>
      </c>
      <c r="B158" t="s">
        <v>114</v>
      </c>
      <c r="C158">
        <v>27997588</v>
      </c>
      <c r="D158" t="s">
        <v>5883</v>
      </c>
      <c r="E158" t="s">
        <v>5884</v>
      </c>
      <c r="F158" t="s">
        <v>5885</v>
      </c>
      <c r="G158" t="s">
        <v>5080</v>
      </c>
      <c r="H158" t="s">
        <v>5886</v>
      </c>
      <c r="I158" t="s">
        <v>5887</v>
      </c>
      <c r="J158" t="s">
        <v>5242</v>
      </c>
      <c r="K158" t="s">
        <v>5888</v>
      </c>
      <c r="L158" t="s">
        <v>5888</v>
      </c>
      <c r="M158" t="s">
        <v>5889</v>
      </c>
      <c r="N158" t="s">
        <v>5890</v>
      </c>
      <c r="O158" t="s">
        <v>5891</v>
      </c>
      <c r="P158" t="s">
        <v>5892</v>
      </c>
      <c r="Q158" t="s">
        <v>243</v>
      </c>
      <c r="R158" t="b">
        <v>0</v>
      </c>
      <c r="S158" t="s">
        <v>5618</v>
      </c>
    </row>
    <row r="159" spans="1:19" ht="11.25" customHeight="1">
      <c r="A159">
        <v>2655</v>
      </c>
      <c r="B159" t="s">
        <v>114</v>
      </c>
      <c r="C159">
        <v>28882034</v>
      </c>
      <c r="D159" t="s">
        <v>5893</v>
      </c>
      <c r="E159" t="s">
        <v>5894</v>
      </c>
      <c r="F159" t="s">
        <v>5895</v>
      </c>
      <c r="G159" t="s">
        <v>149</v>
      </c>
      <c r="H159" t="s">
        <v>5896</v>
      </c>
      <c r="I159" t="s">
        <v>243</v>
      </c>
      <c r="J159" t="s">
        <v>5242</v>
      </c>
      <c r="K159" t="s">
        <v>5897</v>
      </c>
      <c r="L159" t="s">
        <v>5897</v>
      </c>
      <c r="M159" t="s">
        <v>243</v>
      </c>
      <c r="N159" t="s">
        <v>243</v>
      </c>
      <c r="O159" t="s">
        <v>5898</v>
      </c>
      <c r="P159" t="s">
        <v>5088</v>
      </c>
      <c r="Q159" t="s">
        <v>243</v>
      </c>
      <c r="R159" t="b">
        <v>0</v>
      </c>
      <c r="S159" t="s">
        <v>5618</v>
      </c>
    </row>
    <row r="160" spans="1:19" ht="11.25" customHeight="1">
      <c r="A160">
        <v>2655</v>
      </c>
      <c r="B160" t="s">
        <v>114</v>
      </c>
      <c r="C160">
        <v>26648537</v>
      </c>
      <c r="D160" t="s">
        <v>5899</v>
      </c>
      <c r="E160" t="s">
        <v>5900</v>
      </c>
      <c r="F160" t="s">
        <v>5901</v>
      </c>
      <c r="G160" t="s">
        <v>149</v>
      </c>
      <c r="H160" t="s">
        <v>5902</v>
      </c>
      <c r="I160" t="s">
        <v>5903</v>
      </c>
      <c r="J160" t="s">
        <v>5242</v>
      </c>
      <c r="K160" t="s">
        <v>5904</v>
      </c>
      <c r="L160" t="s">
        <v>5904</v>
      </c>
      <c r="M160" t="s">
        <v>5905</v>
      </c>
      <c r="N160" t="s">
        <v>5906</v>
      </c>
      <c r="O160" t="s">
        <v>5907</v>
      </c>
      <c r="P160" t="s">
        <v>5088</v>
      </c>
      <c r="Q160" t="s">
        <v>5908</v>
      </c>
      <c r="R160" t="b">
        <v>0</v>
      </c>
      <c r="S160" t="s">
        <v>5618</v>
      </c>
    </row>
    <row r="161" spans="1:19" ht="11.25" customHeight="1">
      <c r="A161">
        <v>2655</v>
      </c>
      <c r="B161" t="s">
        <v>114</v>
      </c>
      <c r="C161">
        <v>31519209</v>
      </c>
      <c r="D161" t="s">
        <v>5909</v>
      </c>
      <c r="E161" t="s">
        <v>5910</v>
      </c>
      <c r="F161" t="s">
        <v>5911</v>
      </c>
      <c r="G161" t="s">
        <v>5249</v>
      </c>
      <c r="H161" t="s">
        <v>5912</v>
      </c>
      <c r="I161" t="s">
        <v>5913</v>
      </c>
      <c r="J161" t="s">
        <v>5242</v>
      </c>
      <c r="K161" t="s">
        <v>5914</v>
      </c>
      <c r="L161" t="s">
        <v>5915</v>
      </c>
      <c r="M161" t="s">
        <v>5916</v>
      </c>
      <c r="N161" t="s">
        <v>5917</v>
      </c>
      <c r="O161" t="s">
        <v>5918</v>
      </c>
      <c r="P161" t="s">
        <v>4965</v>
      </c>
      <c r="Q161" t="s">
        <v>243</v>
      </c>
      <c r="R161" t="b">
        <v>0</v>
      </c>
      <c r="S161" t="s">
        <v>5618</v>
      </c>
    </row>
    <row r="162" spans="1:19" ht="11.25" customHeight="1">
      <c r="A162">
        <v>2655</v>
      </c>
      <c r="B162" t="s">
        <v>114</v>
      </c>
      <c r="C162">
        <v>31574053</v>
      </c>
      <c r="D162" t="s">
        <v>5919</v>
      </c>
      <c r="E162" t="s">
        <v>5920</v>
      </c>
      <c r="F162" t="s">
        <v>5921</v>
      </c>
      <c r="G162" t="s">
        <v>5199</v>
      </c>
      <c r="H162" t="s">
        <v>5922</v>
      </c>
      <c r="I162" t="s">
        <v>5923</v>
      </c>
      <c r="K162" t="s">
        <v>5924</v>
      </c>
      <c r="L162" t="s">
        <v>5924</v>
      </c>
      <c r="M162" t="s">
        <v>5925</v>
      </c>
      <c r="N162" t="s">
        <v>5926</v>
      </c>
      <c r="O162" t="s">
        <v>5927</v>
      </c>
      <c r="P162" t="s">
        <v>5088</v>
      </c>
      <c r="Q162" t="s">
        <v>243</v>
      </c>
      <c r="R162" t="b">
        <v>0</v>
      </c>
      <c r="S162" t="s">
        <v>5618</v>
      </c>
    </row>
    <row r="163" spans="1:19" ht="11.25" customHeight="1">
      <c r="A163">
        <v>2655</v>
      </c>
      <c r="B163" t="s">
        <v>114</v>
      </c>
      <c r="C163">
        <v>28141951</v>
      </c>
      <c r="D163" t="s">
        <v>5928</v>
      </c>
      <c r="E163" t="s">
        <v>5929</v>
      </c>
      <c r="F163" t="s">
        <v>5930</v>
      </c>
      <c r="G163" t="s">
        <v>4980</v>
      </c>
      <c r="H163" t="s">
        <v>5931</v>
      </c>
      <c r="I163" t="s">
        <v>5932</v>
      </c>
      <c r="J163" t="s">
        <v>5242</v>
      </c>
      <c r="K163" t="s">
        <v>5933</v>
      </c>
      <c r="L163" t="s">
        <v>5933</v>
      </c>
      <c r="M163" t="s">
        <v>5934</v>
      </c>
      <c r="N163" t="s">
        <v>5935</v>
      </c>
      <c r="O163" t="s">
        <v>5936</v>
      </c>
      <c r="P163" t="s">
        <v>5030</v>
      </c>
      <c r="Q163" t="s">
        <v>5937</v>
      </c>
      <c r="R163" t="b">
        <v>0</v>
      </c>
      <c r="S163" t="s">
        <v>5618</v>
      </c>
    </row>
    <row r="164" spans="1:19" ht="11.25" customHeight="1">
      <c r="A164">
        <v>2655</v>
      </c>
      <c r="B164" t="s">
        <v>114</v>
      </c>
      <c r="C164">
        <v>26852793</v>
      </c>
      <c r="D164" t="s">
        <v>5938</v>
      </c>
      <c r="E164" t="s">
        <v>5939</v>
      </c>
      <c r="F164" t="s">
        <v>5940</v>
      </c>
      <c r="G164" t="s">
        <v>5199</v>
      </c>
      <c r="H164" t="s">
        <v>5941</v>
      </c>
      <c r="I164" t="s">
        <v>5942</v>
      </c>
      <c r="J164" t="s">
        <v>5242</v>
      </c>
      <c r="K164" t="s">
        <v>5624</v>
      </c>
      <c r="L164" t="s">
        <v>5624</v>
      </c>
      <c r="M164" t="s">
        <v>5943</v>
      </c>
      <c r="N164" t="s">
        <v>5944</v>
      </c>
      <c r="O164" t="s">
        <v>5945</v>
      </c>
      <c r="P164" t="s">
        <v>5030</v>
      </c>
      <c r="Q164" t="s">
        <v>190</v>
      </c>
      <c r="R164" t="b">
        <v>0</v>
      </c>
      <c r="S164" t="s">
        <v>5618</v>
      </c>
    </row>
    <row r="165" spans="1:19" ht="11.25" customHeight="1">
      <c r="A165">
        <v>2655</v>
      </c>
      <c r="B165" t="s">
        <v>114</v>
      </c>
      <c r="C165">
        <v>28141966</v>
      </c>
      <c r="D165" t="s">
        <v>5946</v>
      </c>
      <c r="E165" t="s">
        <v>5947</v>
      </c>
      <c r="F165" t="s">
        <v>5948</v>
      </c>
      <c r="G165" t="s">
        <v>5080</v>
      </c>
      <c r="H165" t="s">
        <v>5949</v>
      </c>
      <c r="I165" t="s">
        <v>5950</v>
      </c>
      <c r="J165" t="s">
        <v>5242</v>
      </c>
      <c r="K165" t="s">
        <v>5951</v>
      </c>
      <c r="L165" t="s">
        <v>5952</v>
      </c>
      <c r="M165" t="s">
        <v>5953</v>
      </c>
      <c r="N165" t="s">
        <v>5954</v>
      </c>
      <c r="O165" t="s">
        <v>5955</v>
      </c>
      <c r="P165" t="s">
        <v>5030</v>
      </c>
      <c r="Q165" t="s">
        <v>5956</v>
      </c>
      <c r="R165" t="b">
        <v>0</v>
      </c>
      <c r="S165" t="s">
        <v>5618</v>
      </c>
    </row>
    <row r="166" spans="1:19" ht="11.25" customHeight="1">
      <c r="A166">
        <v>2655</v>
      </c>
      <c r="B166" t="s">
        <v>114</v>
      </c>
      <c r="C166">
        <v>31424033</v>
      </c>
      <c r="D166" t="s">
        <v>5306</v>
      </c>
      <c r="E166" t="s">
        <v>5307</v>
      </c>
      <c r="F166" t="s">
        <v>5308</v>
      </c>
      <c r="G166" t="s">
        <v>5309</v>
      </c>
      <c r="H166" t="s">
        <v>5310</v>
      </c>
      <c r="I166" t="s">
        <v>243</v>
      </c>
      <c r="J166" t="s">
        <v>5242</v>
      </c>
      <c r="K166" t="s">
        <v>243</v>
      </c>
      <c r="L166" t="s">
        <v>243</v>
      </c>
      <c r="M166" t="s">
        <v>243</v>
      </c>
      <c r="N166" t="s">
        <v>243</v>
      </c>
      <c r="O166" t="s">
        <v>243</v>
      </c>
      <c r="P166" t="s">
        <v>243</v>
      </c>
      <c r="Q166" t="s">
        <v>243</v>
      </c>
      <c r="R166" t="b">
        <v>0</v>
      </c>
      <c r="S166" t="s">
        <v>5618</v>
      </c>
    </row>
    <row r="167" spans="1:19" ht="11.25" customHeight="1">
      <c r="A167">
        <v>2655</v>
      </c>
      <c r="B167" t="s">
        <v>114</v>
      </c>
      <c r="C167">
        <v>27838991</v>
      </c>
      <c r="D167" t="s">
        <v>5591</v>
      </c>
      <c r="E167" t="s">
        <v>5592</v>
      </c>
      <c r="F167" t="s">
        <v>5593</v>
      </c>
      <c r="G167" t="s">
        <v>4980</v>
      </c>
      <c r="H167" t="s">
        <v>5594</v>
      </c>
      <c r="I167" t="s">
        <v>5595</v>
      </c>
      <c r="J167" t="s">
        <v>5242</v>
      </c>
      <c r="K167" t="s">
        <v>5596</v>
      </c>
      <c r="L167" t="s">
        <v>5597</v>
      </c>
      <c r="M167" t="s">
        <v>5598</v>
      </c>
      <c r="N167" t="s">
        <v>5599</v>
      </c>
      <c r="O167" t="s">
        <v>5600</v>
      </c>
      <c r="P167" t="s">
        <v>5030</v>
      </c>
      <c r="Q167" t="s">
        <v>243</v>
      </c>
      <c r="R167" t="b">
        <v>0</v>
      </c>
      <c r="S167" t="s">
        <v>5618</v>
      </c>
    </row>
    <row r="168" spans="1:19" ht="11.25" customHeight="1">
      <c r="A168">
        <v>2655</v>
      </c>
      <c r="B168" t="s">
        <v>114</v>
      </c>
      <c r="C168">
        <v>26356931</v>
      </c>
      <c r="D168" t="s">
        <v>5957</v>
      </c>
      <c r="E168" t="s">
        <v>5958</v>
      </c>
      <c r="F168" t="s">
        <v>5959</v>
      </c>
      <c r="G168" t="s">
        <v>5249</v>
      </c>
      <c r="H168" t="s">
        <v>5960</v>
      </c>
      <c r="I168" t="s">
        <v>5961</v>
      </c>
      <c r="J168" t="s">
        <v>5242</v>
      </c>
      <c r="K168" t="s">
        <v>5962</v>
      </c>
      <c r="L168" t="s">
        <v>5962</v>
      </c>
      <c r="M168" t="s">
        <v>5963</v>
      </c>
      <c r="N168" t="s">
        <v>5964</v>
      </c>
      <c r="O168" t="s">
        <v>5965</v>
      </c>
      <c r="P168" t="s">
        <v>5088</v>
      </c>
      <c r="Q168" t="s">
        <v>190</v>
      </c>
      <c r="R168" t="b">
        <v>1</v>
      </c>
      <c r="S168" t="s">
        <v>5618</v>
      </c>
    </row>
    <row r="169" spans="1:19" ht="11.25" customHeight="1">
      <c r="A169">
        <v>2655</v>
      </c>
      <c r="B169" t="s">
        <v>114</v>
      </c>
      <c r="C169">
        <v>28151808</v>
      </c>
      <c r="D169" t="s">
        <v>5320</v>
      </c>
      <c r="E169" t="s">
        <v>5321</v>
      </c>
      <c r="F169" t="s">
        <v>5322</v>
      </c>
      <c r="G169" t="s">
        <v>5034</v>
      </c>
      <c r="H169" t="s">
        <v>5323</v>
      </c>
      <c r="I169" t="s">
        <v>5324</v>
      </c>
      <c r="J169" t="s">
        <v>5242</v>
      </c>
      <c r="K169" t="s">
        <v>5325</v>
      </c>
      <c r="L169" t="s">
        <v>5326</v>
      </c>
      <c r="M169" t="s">
        <v>5327</v>
      </c>
      <c r="N169" t="s">
        <v>5328</v>
      </c>
      <c r="O169" t="s">
        <v>5329</v>
      </c>
      <c r="P169" t="s">
        <v>5030</v>
      </c>
      <c r="Q169" t="s">
        <v>243</v>
      </c>
      <c r="R169" t="b">
        <v>1</v>
      </c>
      <c r="S169" t="s">
        <v>5618</v>
      </c>
    </row>
    <row r="170" spans="1:19" ht="11.25" customHeight="1">
      <c r="A170">
        <v>2655</v>
      </c>
      <c r="B170" t="s">
        <v>114</v>
      </c>
      <c r="C170">
        <v>31739633</v>
      </c>
      <c r="D170" t="s">
        <v>5330</v>
      </c>
      <c r="E170" t="s">
        <v>5331</v>
      </c>
      <c r="F170" t="s">
        <v>5332</v>
      </c>
      <c r="G170" t="s">
        <v>5333</v>
      </c>
      <c r="H170" t="s">
        <v>5334</v>
      </c>
      <c r="I170" t="s">
        <v>5335</v>
      </c>
      <c r="K170" t="s">
        <v>5336</v>
      </c>
      <c r="L170" t="s">
        <v>5336</v>
      </c>
      <c r="M170" t="s">
        <v>5337</v>
      </c>
      <c r="N170" t="s">
        <v>5338</v>
      </c>
      <c r="O170" t="s">
        <v>5339</v>
      </c>
      <c r="P170" t="s">
        <v>5051</v>
      </c>
      <c r="Q170" t="s">
        <v>243</v>
      </c>
      <c r="R170" t="b">
        <v>0</v>
      </c>
      <c r="S170" t="s">
        <v>5618</v>
      </c>
    </row>
    <row r="171" spans="1:19" ht="11.25" customHeight="1">
      <c r="A171">
        <v>2655</v>
      </c>
      <c r="B171" t="s">
        <v>114</v>
      </c>
      <c r="C171">
        <v>30433806</v>
      </c>
      <c r="D171" t="s">
        <v>5966</v>
      </c>
      <c r="E171" t="s">
        <v>5967</v>
      </c>
      <c r="F171" t="s">
        <v>5968</v>
      </c>
      <c r="G171" t="s">
        <v>5169</v>
      </c>
      <c r="H171" t="s">
        <v>5969</v>
      </c>
      <c r="I171" t="s">
        <v>5970</v>
      </c>
      <c r="J171" t="s">
        <v>5242</v>
      </c>
      <c r="K171" t="s">
        <v>5971</v>
      </c>
      <c r="L171" t="s">
        <v>5971</v>
      </c>
      <c r="M171" t="s">
        <v>5972</v>
      </c>
      <c r="N171" t="s">
        <v>5973</v>
      </c>
      <c r="O171" t="s">
        <v>5974</v>
      </c>
      <c r="P171" t="s">
        <v>5088</v>
      </c>
      <c r="Q171" t="s">
        <v>190</v>
      </c>
      <c r="R171" t="b">
        <v>0</v>
      </c>
      <c r="S171" t="s">
        <v>5618</v>
      </c>
    </row>
    <row r="172" spans="1:19" ht="11.25" customHeight="1">
      <c r="A172">
        <v>2655</v>
      </c>
      <c r="B172" t="s">
        <v>114</v>
      </c>
      <c r="C172">
        <v>31743966</v>
      </c>
      <c r="D172" t="s">
        <v>5975</v>
      </c>
      <c r="E172" t="s">
        <v>5976</v>
      </c>
      <c r="F172" t="s">
        <v>5977</v>
      </c>
      <c r="G172" t="s">
        <v>149</v>
      </c>
      <c r="H172" t="s">
        <v>5978</v>
      </c>
      <c r="I172" t="s">
        <v>5979</v>
      </c>
      <c r="K172" t="s">
        <v>5980</v>
      </c>
      <c r="L172" t="s">
        <v>5980</v>
      </c>
      <c r="M172" t="s">
        <v>5981</v>
      </c>
      <c r="N172" t="s">
        <v>5982</v>
      </c>
      <c r="O172" t="s">
        <v>5983</v>
      </c>
      <c r="P172" t="s">
        <v>5030</v>
      </c>
      <c r="Q172" t="s">
        <v>5984</v>
      </c>
      <c r="R172" t="b">
        <v>1</v>
      </c>
      <c r="S172" t="s">
        <v>5618</v>
      </c>
    </row>
    <row r="173" spans="1:19" ht="11.25" customHeight="1">
      <c r="A173">
        <v>2655</v>
      </c>
      <c r="B173" t="s">
        <v>114</v>
      </c>
      <c r="C173">
        <v>30874454</v>
      </c>
      <c r="D173" t="s">
        <v>5985</v>
      </c>
      <c r="E173" t="s">
        <v>5986</v>
      </c>
      <c r="F173" t="s">
        <v>5987</v>
      </c>
      <c r="G173" t="s">
        <v>5309</v>
      </c>
      <c r="H173" t="s">
        <v>5988</v>
      </c>
      <c r="I173" t="s">
        <v>5989</v>
      </c>
      <c r="J173" t="s">
        <v>5242</v>
      </c>
      <c r="K173" t="s">
        <v>5990</v>
      </c>
      <c r="L173" t="s">
        <v>5991</v>
      </c>
      <c r="M173" t="s">
        <v>5992</v>
      </c>
      <c r="N173" t="s">
        <v>5954</v>
      </c>
      <c r="O173" t="s">
        <v>5993</v>
      </c>
      <c r="P173" t="s">
        <v>5051</v>
      </c>
      <c r="Q173" t="s">
        <v>5994</v>
      </c>
      <c r="R173" t="b">
        <v>0</v>
      </c>
      <c r="S173" t="s">
        <v>5618</v>
      </c>
    </row>
    <row r="174" spans="1:19" ht="11.25" customHeight="1">
      <c r="A174">
        <v>2655</v>
      </c>
      <c r="B174" t="s">
        <v>114</v>
      </c>
      <c r="C174">
        <v>26356987</v>
      </c>
      <c r="D174" t="s">
        <v>5350</v>
      </c>
      <c r="E174" t="s">
        <v>5351</v>
      </c>
      <c r="F174" t="s">
        <v>5352</v>
      </c>
      <c r="G174" t="s">
        <v>5353</v>
      </c>
      <c r="H174" t="s">
        <v>5354</v>
      </c>
      <c r="I174" t="s">
        <v>5355</v>
      </c>
      <c r="J174" t="s">
        <v>5242</v>
      </c>
      <c r="K174" t="s">
        <v>5356</v>
      </c>
      <c r="L174" t="s">
        <v>5356</v>
      </c>
      <c r="M174" t="s">
        <v>5357</v>
      </c>
      <c r="N174" t="s">
        <v>5358</v>
      </c>
      <c r="O174" t="s">
        <v>5359</v>
      </c>
      <c r="P174" t="s">
        <v>5051</v>
      </c>
      <c r="Q174" t="s">
        <v>5360</v>
      </c>
      <c r="R174" t="b">
        <v>0</v>
      </c>
      <c r="S174" t="s">
        <v>5618</v>
      </c>
    </row>
    <row r="175" spans="1:19" ht="11.25" customHeight="1">
      <c r="A175">
        <v>2655</v>
      </c>
      <c r="B175" t="s">
        <v>114</v>
      </c>
      <c r="C175">
        <v>30856223</v>
      </c>
      <c r="D175" t="s">
        <v>5995</v>
      </c>
      <c r="E175" t="s">
        <v>5996</v>
      </c>
      <c r="F175" t="s">
        <v>5997</v>
      </c>
      <c r="G175" t="s">
        <v>4980</v>
      </c>
      <c r="H175" t="s">
        <v>5998</v>
      </c>
      <c r="I175" t="s">
        <v>5999</v>
      </c>
      <c r="J175" t="s">
        <v>5242</v>
      </c>
      <c r="K175" t="s">
        <v>6000</v>
      </c>
      <c r="L175" t="s">
        <v>6000</v>
      </c>
      <c r="M175" t="s">
        <v>6001</v>
      </c>
      <c r="N175" t="s">
        <v>6002</v>
      </c>
      <c r="O175" t="s">
        <v>6003</v>
      </c>
      <c r="P175" t="s">
        <v>5030</v>
      </c>
      <c r="Q175" t="s">
        <v>6004</v>
      </c>
      <c r="R175" t="b">
        <v>0</v>
      </c>
      <c r="S175" t="s">
        <v>5618</v>
      </c>
    </row>
    <row r="176" spans="1:19" ht="11.25" customHeight="1">
      <c r="A176">
        <v>2655</v>
      </c>
      <c r="B176" t="s">
        <v>114</v>
      </c>
      <c r="C176">
        <v>31373026</v>
      </c>
      <c r="D176" t="s">
        <v>5995</v>
      </c>
      <c r="E176" t="s">
        <v>5996</v>
      </c>
      <c r="F176" t="s">
        <v>6005</v>
      </c>
      <c r="G176" t="s">
        <v>5333</v>
      </c>
      <c r="H176" t="s">
        <v>6006</v>
      </c>
      <c r="I176" t="s">
        <v>6007</v>
      </c>
      <c r="J176" t="s">
        <v>5242</v>
      </c>
      <c r="K176" t="s">
        <v>6008</v>
      </c>
      <c r="L176" t="s">
        <v>6009</v>
      </c>
      <c r="M176" t="s">
        <v>6010</v>
      </c>
      <c r="N176" t="s">
        <v>6011</v>
      </c>
      <c r="O176" t="s">
        <v>6012</v>
      </c>
      <c r="P176" t="s">
        <v>6013</v>
      </c>
      <c r="Q176" t="s">
        <v>6014</v>
      </c>
      <c r="R176" t="b">
        <v>1</v>
      </c>
      <c r="S176" t="s">
        <v>5618</v>
      </c>
    </row>
    <row r="177" spans="1:19" ht="11.25" customHeight="1">
      <c r="A177">
        <v>2655</v>
      </c>
      <c r="B177" t="s">
        <v>114</v>
      </c>
      <c r="C177">
        <v>31579609</v>
      </c>
      <c r="D177" t="s">
        <v>6015</v>
      </c>
      <c r="E177" t="s">
        <v>6016</v>
      </c>
      <c r="F177" t="s">
        <v>6017</v>
      </c>
      <c r="G177" t="s">
        <v>5034</v>
      </c>
      <c r="H177" t="s">
        <v>6018</v>
      </c>
      <c r="I177" t="s">
        <v>6019</v>
      </c>
      <c r="K177" t="s">
        <v>6020</v>
      </c>
      <c r="L177" t="s">
        <v>6020</v>
      </c>
      <c r="M177" t="s">
        <v>6021</v>
      </c>
      <c r="N177" t="s">
        <v>6022</v>
      </c>
      <c r="O177" t="s">
        <v>6023</v>
      </c>
      <c r="P177" t="s">
        <v>5030</v>
      </c>
      <c r="Q177" t="s">
        <v>243</v>
      </c>
      <c r="R177" t="b">
        <v>1</v>
      </c>
      <c r="S177" t="s">
        <v>5618</v>
      </c>
    </row>
    <row r="178" spans="1:19" ht="11.25" customHeight="1">
      <c r="A178">
        <v>2655</v>
      </c>
      <c r="B178" t="s">
        <v>114</v>
      </c>
      <c r="C178">
        <v>26356891</v>
      </c>
      <c r="D178" t="s">
        <v>5361</v>
      </c>
      <c r="E178" t="s">
        <v>5362</v>
      </c>
      <c r="F178" t="s">
        <v>5363</v>
      </c>
      <c r="G178" t="s">
        <v>5180</v>
      </c>
      <c r="H178" t="s">
        <v>5364</v>
      </c>
      <c r="I178" t="s">
        <v>5365</v>
      </c>
      <c r="J178" t="s">
        <v>5242</v>
      </c>
      <c r="K178" t="s">
        <v>5366</v>
      </c>
      <c r="L178" t="s">
        <v>5366</v>
      </c>
      <c r="M178" t="s">
        <v>5367</v>
      </c>
      <c r="N178" t="s">
        <v>5368</v>
      </c>
      <c r="O178" t="s">
        <v>5369</v>
      </c>
      <c r="P178" t="s">
        <v>5088</v>
      </c>
      <c r="Q178" t="s">
        <v>243</v>
      </c>
      <c r="R178" t="b">
        <v>0</v>
      </c>
      <c r="S178" t="s">
        <v>5618</v>
      </c>
    </row>
    <row r="179" spans="1:19" ht="11.25" customHeight="1">
      <c r="A179">
        <v>2655</v>
      </c>
      <c r="B179" t="s">
        <v>114</v>
      </c>
      <c r="C179">
        <v>27566835</v>
      </c>
      <c r="D179" t="s">
        <v>6024</v>
      </c>
      <c r="E179" t="s">
        <v>6025</v>
      </c>
      <c r="F179" t="s">
        <v>6026</v>
      </c>
      <c r="G179" t="s">
        <v>5180</v>
      </c>
      <c r="H179" t="s">
        <v>6027</v>
      </c>
      <c r="I179" t="s">
        <v>6028</v>
      </c>
      <c r="J179" t="s">
        <v>5242</v>
      </c>
      <c r="K179" t="s">
        <v>6029</v>
      </c>
      <c r="L179" t="s">
        <v>6029</v>
      </c>
      <c r="M179" t="s">
        <v>6030</v>
      </c>
      <c r="N179" t="s">
        <v>5194</v>
      </c>
      <c r="O179" t="s">
        <v>6031</v>
      </c>
      <c r="P179" t="s">
        <v>5088</v>
      </c>
      <c r="Q179" t="s">
        <v>190</v>
      </c>
      <c r="R179" t="b">
        <v>0</v>
      </c>
      <c r="S179" t="s">
        <v>5618</v>
      </c>
    </row>
    <row r="180" spans="1:19" ht="11.25" customHeight="1">
      <c r="A180">
        <v>2655</v>
      </c>
      <c r="B180" t="s">
        <v>114</v>
      </c>
      <c r="C180">
        <v>31229342</v>
      </c>
      <c r="D180" t="s">
        <v>6032</v>
      </c>
      <c r="E180" t="s">
        <v>6033</v>
      </c>
      <c r="F180" t="s">
        <v>6034</v>
      </c>
      <c r="G180" t="s">
        <v>5199</v>
      </c>
      <c r="H180" t="s">
        <v>6035</v>
      </c>
      <c r="I180" t="s">
        <v>6036</v>
      </c>
      <c r="J180" t="s">
        <v>5242</v>
      </c>
      <c r="K180" t="s">
        <v>6037</v>
      </c>
      <c r="L180" t="s">
        <v>6037</v>
      </c>
      <c r="M180" t="s">
        <v>6038</v>
      </c>
      <c r="N180" t="s">
        <v>6039</v>
      </c>
      <c r="O180" t="s">
        <v>6040</v>
      </c>
      <c r="P180" t="s">
        <v>5030</v>
      </c>
      <c r="Q180" t="s">
        <v>243</v>
      </c>
      <c r="R180" t="b">
        <v>0</v>
      </c>
      <c r="S180" t="s">
        <v>5618</v>
      </c>
    </row>
    <row r="181" spans="1:19" ht="11.25" customHeight="1">
      <c r="A181">
        <v>2655</v>
      </c>
      <c r="B181" t="s">
        <v>114</v>
      </c>
      <c r="C181">
        <v>31690080</v>
      </c>
      <c r="D181" t="s">
        <v>6041</v>
      </c>
      <c r="E181" t="s">
        <v>6042</v>
      </c>
      <c r="F181" t="s">
        <v>6043</v>
      </c>
      <c r="G181" t="s">
        <v>5199</v>
      </c>
      <c r="H181" t="s">
        <v>6044</v>
      </c>
      <c r="I181" t="s">
        <v>6045</v>
      </c>
      <c r="K181" t="s">
        <v>6046</v>
      </c>
      <c r="L181" t="s">
        <v>6046</v>
      </c>
      <c r="M181" t="s">
        <v>6047</v>
      </c>
      <c r="N181" t="s">
        <v>6048</v>
      </c>
      <c r="O181" t="s">
        <v>6049</v>
      </c>
      <c r="P181" t="s">
        <v>5088</v>
      </c>
      <c r="Q181" t="s">
        <v>243</v>
      </c>
      <c r="R181" t="b">
        <v>1</v>
      </c>
      <c r="S181" t="s">
        <v>5618</v>
      </c>
    </row>
    <row r="182" spans="1:19" ht="11.25" customHeight="1">
      <c r="A182">
        <v>2655</v>
      </c>
      <c r="B182" t="s">
        <v>114</v>
      </c>
      <c r="C182">
        <v>31539720</v>
      </c>
      <c r="D182" t="s">
        <v>6041</v>
      </c>
      <c r="E182" t="s">
        <v>6050</v>
      </c>
      <c r="F182" t="s">
        <v>6051</v>
      </c>
      <c r="G182" t="s">
        <v>5199</v>
      </c>
      <c r="H182" t="s">
        <v>6052</v>
      </c>
      <c r="I182" t="s">
        <v>6053</v>
      </c>
      <c r="K182" t="s">
        <v>6054</v>
      </c>
      <c r="L182" t="s">
        <v>6054</v>
      </c>
      <c r="M182" t="s">
        <v>6055</v>
      </c>
      <c r="N182" t="s">
        <v>243</v>
      </c>
      <c r="O182" t="s">
        <v>6056</v>
      </c>
      <c r="P182" t="s">
        <v>4965</v>
      </c>
      <c r="Q182" t="s">
        <v>6057</v>
      </c>
      <c r="R182" t="b">
        <v>0</v>
      </c>
      <c r="S182" t="s">
        <v>5618</v>
      </c>
    </row>
    <row r="183" spans="1:19" ht="11.25" customHeight="1">
      <c r="A183">
        <v>2655</v>
      </c>
      <c r="B183" t="s">
        <v>114</v>
      </c>
      <c r="C183">
        <v>30872315</v>
      </c>
      <c r="D183" t="s">
        <v>6058</v>
      </c>
      <c r="E183" t="s">
        <v>6059</v>
      </c>
      <c r="F183" t="s">
        <v>6060</v>
      </c>
      <c r="G183" t="s">
        <v>149</v>
      </c>
      <c r="H183" t="s">
        <v>6061</v>
      </c>
      <c r="I183" t="s">
        <v>6062</v>
      </c>
      <c r="J183" t="s">
        <v>5242</v>
      </c>
      <c r="K183" t="s">
        <v>6063</v>
      </c>
      <c r="L183" t="s">
        <v>6063</v>
      </c>
      <c r="M183" t="s">
        <v>6064</v>
      </c>
      <c r="N183" t="s">
        <v>6065</v>
      </c>
      <c r="O183" t="s">
        <v>6066</v>
      </c>
      <c r="P183" t="s">
        <v>5088</v>
      </c>
      <c r="Q183" t="s">
        <v>243</v>
      </c>
      <c r="R183" t="b">
        <v>0</v>
      </c>
      <c r="S183" t="s">
        <v>5618</v>
      </c>
    </row>
    <row r="184" spans="1:19" ht="11.25" customHeight="1">
      <c r="A184">
        <v>2655</v>
      </c>
      <c r="B184" t="s">
        <v>114</v>
      </c>
      <c r="C184">
        <v>30856253</v>
      </c>
      <c r="D184" t="s">
        <v>6067</v>
      </c>
      <c r="E184" t="s">
        <v>6068</v>
      </c>
      <c r="F184" t="s">
        <v>6069</v>
      </c>
      <c r="G184" t="s">
        <v>5034</v>
      </c>
      <c r="H184" t="s">
        <v>6070</v>
      </c>
      <c r="I184" t="s">
        <v>6071</v>
      </c>
      <c r="J184" t="s">
        <v>5242</v>
      </c>
      <c r="K184" t="s">
        <v>6072</v>
      </c>
      <c r="L184" t="s">
        <v>6072</v>
      </c>
      <c r="M184" t="s">
        <v>6073</v>
      </c>
      <c r="N184" t="s">
        <v>6074</v>
      </c>
      <c r="O184" t="s">
        <v>6075</v>
      </c>
      <c r="P184" t="s">
        <v>5088</v>
      </c>
      <c r="Q184" t="s">
        <v>243</v>
      </c>
      <c r="R184" t="b">
        <v>0</v>
      </c>
      <c r="S184" t="s">
        <v>5618</v>
      </c>
    </row>
    <row r="185" spans="1:19" ht="11.25" customHeight="1">
      <c r="A185">
        <v>2655</v>
      </c>
      <c r="B185" t="s">
        <v>114</v>
      </c>
      <c r="C185">
        <v>33000042</v>
      </c>
      <c r="D185" t="s">
        <v>6076</v>
      </c>
      <c r="E185" t="s">
        <v>6077</v>
      </c>
      <c r="F185" t="s">
        <v>6078</v>
      </c>
      <c r="G185" t="s">
        <v>5277</v>
      </c>
      <c r="H185" t="s">
        <v>6079</v>
      </c>
      <c r="I185" t="s">
        <v>6080</v>
      </c>
      <c r="K185" t="s">
        <v>6081</v>
      </c>
      <c r="L185" t="s">
        <v>6082</v>
      </c>
      <c r="M185" t="s">
        <v>6083</v>
      </c>
      <c r="N185" t="s">
        <v>6084</v>
      </c>
      <c r="O185" t="s">
        <v>5284</v>
      </c>
      <c r="P185" t="s">
        <v>6085</v>
      </c>
      <c r="Q185" t="s">
        <v>243</v>
      </c>
      <c r="R185" t="b">
        <v>0</v>
      </c>
      <c r="S185" t="s">
        <v>5618</v>
      </c>
    </row>
    <row r="186" spans="1:19" ht="11.25" customHeight="1">
      <c r="A186">
        <v>2655</v>
      </c>
      <c r="B186" t="s">
        <v>114</v>
      </c>
      <c r="C186">
        <v>26517842</v>
      </c>
      <c r="D186" t="s">
        <v>6086</v>
      </c>
      <c r="E186" t="s">
        <v>6087</v>
      </c>
      <c r="F186" t="s">
        <v>6088</v>
      </c>
      <c r="G186" t="s">
        <v>5180</v>
      </c>
      <c r="H186" t="s">
        <v>6089</v>
      </c>
      <c r="I186" t="s">
        <v>6090</v>
      </c>
      <c r="J186" t="s">
        <v>5242</v>
      </c>
      <c r="K186" t="s">
        <v>6091</v>
      </c>
      <c r="L186" t="s">
        <v>4961</v>
      </c>
      <c r="M186" t="s">
        <v>6092</v>
      </c>
      <c r="N186" t="s">
        <v>6093</v>
      </c>
      <c r="O186" t="s">
        <v>6094</v>
      </c>
      <c r="P186" t="s">
        <v>5030</v>
      </c>
      <c r="Q186" t="s">
        <v>243</v>
      </c>
      <c r="R186" t="b">
        <v>0</v>
      </c>
      <c r="S186" t="s">
        <v>5618</v>
      </c>
    </row>
    <row r="187" spans="1:19" ht="11.25" customHeight="1">
      <c r="A187">
        <v>2655</v>
      </c>
      <c r="B187" t="s">
        <v>114</v>
      </c>
      <c r="C187">
        <v>26356937</v>
      </c>
      <c r="D187" t="s">
        <v>5378</v>
      </c>
      <c r="E187" t="s">
        <v>5379</v>
      </c>
      <c r="F187" t="s">
        <v>5380</v>
      </c>
      <c r="G187" t="s">
        <v>5249</v>
      </c>
      <c r="H187" t="s">
        <v>5381</v>
      </c>
      <c r="I187" t="s">
        <v>5382</v>
      </c>
      <c r="J187" t="s">
        <v>5242</v>
      </c>
      <c r="K187" t="s">
        <v>5383</v>
      </c>
      <c r="L187" t="s">
        <v>5383</v>
      </c>
      <c r="M187" t="s">
        <v>5384</v>
      </c>
      <c r="N187" t="s">
        <v>5385</v>
      </c>
      <c r="O187" t="s">
        <v>5386</v>
      </c>
      <c r="P187" t="s">
        <v>5051</v>
      </c>
      <c r="Q187" t="s">
        <v>5387</v>
      </c>
      <c r="R187" t="b">
        <v>0</v>
      </c>
      <c r="S187" t="s">
        <v>5618</v>
      </c>
    </row>
    <row r="188" spans="1:19" ht="11.25" customHeight="1">
      <c r="A188">
        <v>2655</v>
      </c>
      <c r="B188" t="s">
        <v>114</v>
      </c>
      <c r="C188">
        <v>31473621</v>
      </c>
      <c r="D188" t="s">
        <v>6095</v>
      </c>
      <c r="E188" t="s">
        <v>6096</v>
      </c>
      <c r="F188" t="s">
        <v>6097</v>
      </c>
      <c r="G188" t="s">
        <v>5123</v>
      </c>
      <c r="H188" t="s">
        <v>6098</v>
      </c>
      <c r="I188" t="s">
        <v>6099</v>
      </c>
      <c r="J188" t="s">
        <v>5242</v>
      </c>
      <c r="K188" t="s">
        <v>6100</v>
      </c>
      <c r="L188" t="s">
        <v>6100</v>
      </c>
      <c r="M188" t="s">
        <v>6101</v>
      </c>
      <c r="N188" t="s">
        <v>6102</v>
      </c>
      <c r="O188" t="s">
        <v>6103</v>
      </c>
      <c r="P188" t="s">
        <v>5030</v>
      </c>
      <c r="Q188" t="s">
        <v>6104</v>
      </c>
      <c r="R188" t="b">
        <v>0</v>
      </c>
      <c r="S188" t="s">
        <v>5618</v>
      </c>
    </row>
    <row r="189" spans="1:19" ht="11.25" customHeight="1">
      <c r="A189">
        <v>2655</v>
      </c>
      <c r="B189" t="s">
        <v>114</v>
      </c>
      <c r="C189">
        <v>31004851</v>
      </c>
      <c r="D189" t="s">
        <v>6105</v>
      </c>
      <c r="E189" t="s">
        <v>6106</v>
      </c>
      <c r="F189" t="s">
        <v>6107</v>
      </c>
      <c r="G189" t="s">
        <v>4980</v>
      </c>
      <c r="H189" t="s">
        <v>6108</v>
      </c>
      <c r="I189" t="s">
        <v>6109</v>
      </c>
      <c r="J189" t="s">
        <v>5242</v>
      </c>
      <c r="K189" t="s">
        <v>6110</v>
      </c>
      <c r="L189" t="s">
        <v>6111</v>
      </c>
      <c r="M189" t="s">
        <v>6112</v>
      </c>
      <c r="N189" t="s">
        <v>6113</v>
      </c>
      <c r="O189" t="s">
        <v>6114</v>
      </c>
      <c r="P189" t="s">
        <v>243</v>
      </c>
      <c r="Q189" t="s">
        <v>243</v>
      </c>
      <c r="R189" t="b">
        <v>0</v>
      </c>
      <c r="S189" t="s">
        <v>5618</v>
      </c>
    </row>
    <row r="190" spans="1:19" ht="11.25" customHeight="1">
      <c r="A190">
        <v>2655</v>
      </c>
      <c r="B190" t="s">
        <v>114</v>
      </c>
      <c r="C190">
        <v>26356976</v>
      </c>
      <c r="D190" t="s">
        <v>6115</v>
      </c>
      <c r="E190" t="s">
        <v>6116</v>
      </c>
      <c r="F190" t="s">
        <v>6117</v>
      </c>
      <c r="G190" t="s">
        <v>5343</v>
      </c>
      <c r="H190" t="s">
        <v>6118</v>
      </c>
      <c r="I190" t="s">
        <v>6119</v>
      </c>
      <c r="J190" t="s">
        <v>5242</v>
      </c>
      <c r="K190" t="s">
        <v>6120</v>
      </c>
      <c r="L190" t="s">
        <v>6120</v>
      </c>
      <c r="M190" t="s">
        <v>6121</v>
      </c>
      <c r="N190" t="s">
        <v>6122</v>
      </c>
      <c r="O190" t="s">
        <v>6123</v>
      </c>
      <c r="P190" t="s">
        <v>4997</v>
      </c>
      <c r="Q190" t="s">
        <v>6124</v>
      </c>
      <c r="R190" t="b">
        <v>0</v>
      </c>
      <c r="S190" t="s">
        <v>5618</v>
      </c>
    </row>
    <row r="191" spans="1:19" ht="11.25" customHeight="1">
      <c r="A191">
        <v>2655</v>
      </c>
      <c r="B191" t="s">
        <v>114</v>
      </c>
      <c r="C191">
        <v>28274482</v>
      </c>
      <c r="D191" t="s">
        <v>6125</v>
      </c>
      <c r="E191" t="s">
        <v>6126</v>
      </c>
      <c r="F191" t="s">
        <v>6127</v>
      </c>
      <c r="G191" t="s">
        <v>5034</v>
      </c>
      <c r="H191" t="s">
        <v>6128</v>
      </c>
      <c r="I191" t="s">
        <v>6129</v>
      </c>
      <c r="J191" t="s">
        <v>5242</v>
      </c>
      <c r="K191" t="s">
        <v>6130</v>
      </c>
      <c r="L191" t="s">
        <v>6131</v>
      </c>
      <c r="M191" t="s">
        <v>5327</v>
      </c>
      <c r="N191" t="s">
        <v>6132</v>
      </c>
      <c r="O191" t="s">
        <v>5329</v>
      </c>
      <c r="P191" t="s">
        <v>5088</v>
      </c>
      <c r="Q191" t="s">
        <v>243</v>
      </c>
      <c r="R191" t="b">
        <v>0</v>
      </c>
      <c r="S191" t="s">
        <v>5618</v>
      </c>
    </row>
    <row r="192" spans="1:19" ht="11.25" customHeight="1">
      <c r="A192">
        <v>2655</v>
      </c>
      <c r="B192" t="s">
        <v>114</v>
      </c>
      <c r="C192">
        <v>31224454</v>
      </c>
      <c r="D192" t="s">
        <v>6133</v>
      </c>
      <c r="E192" t="s">
        <v>6134</v>
      </c>
      <c r="F192" t="s">
        <v>6135</v>
      </c>
      <c r="G192" t="s">
        <v>4980</v>
      </c>
      <c r="H192" t="s">
        <v>6136</v>
      </c>
      <c r="I192" t="s">
        <v>6137</v>
      </c>
      <c r="J192" t="s">
        <v>5242</v>
      </c>
      <c r="K192" t="s">
        <v>6138</v>
      </c>
      <c r="L192" t="s">
        <v>6138</v>
      </c>
      <c r="M192" t="s">
        <v>6139</v>
      </c>
      <c r="N192" t="s">
        <v>6140</v>
      </c>
      <c r="O192" t="s">
        <v>6141</v>
      </c>
      <c r="P192" t="s">
        <v>5030</v>
      </c>
      <c r="Q192" t="s">
        <v>243</v>
      </c>
      <c r="R192" t="b">
        <v>0</v>
      </c>
      <c r="S192" t="s">
        <v>5618</v>
      </c>
    </row>
    <row r="193" spans="1:19" ht="11.25" customHeight="1">
      <c r="A193">
        <v>2655</v>
      </c>
      <c r="B193" t="s">
        <v>114</v>
      </c>
      <c r="C193">
        <v>27997410</v>
      </c>
      <c r="D193" t="s">
        <v>6142</v>
      </c>
      <c r="E193" t="s">
        <v>6143</v>
      </c>
      <c r="F193" t="s">
        <v>6144</v>
      </c>
      <c r="G193" t="s">
        <v>5151</v>
      </c>
      <c r="H193" t="s">
        <v>6145</v>
      </c>
      <c r="I193" t="s">
        <v>6146</v>
      </c>
      <c r="J193" t="s">
        <v>5242</v>
      </c>
      <c r="K193" t="s">
        <v>6147</v>
      </c>
      <c r="L193" t="s">
        <v>6147</v>
      </c>
      <c r="M193" t="s">
        <v>6148</v>
      </c>
      <c r="N193" t="s">
        <v>6149</v>
      </c>
      <c r="O193" t="s">
        <v>6150</v>
      </c>
      <c r="P193" t="s">
        <v>5088</v>
      </c>
      <c r="Q193" t="s">
        <v>6151</v>
      </c>
      <c r="R193" t="b">
        <v>1</v>
      </c>
      <c r="S193" t="s">
        <v>5618</v>
      </c>
    </row>
    <row r="194" spans="1:19" ht="11.25" customHeight="1">
      <c r="A194">
        <v>2655</v>
      </c>
      <c r="B194" t="s">
        <v>114</v>
      </c>
      <c r="C194">
        <v>26852692</v>
      </c>
      <c r="D194" t="s">
        <v>6152</v>
      </c>
      <c r="E194" t="s">
        <v>6153</v>
      </c>
      <c r="F194" t="s">
        <v>6154</v>
      </c>
      <c r="G194" t="s">
        <v>5343</v>
      </c>
      <c r="H194" t="s">
        <v>6155</v>
      </c>
      <c r="I194" t="s">
        <v>6156</v>
      </c>
      <c r="K194" t="s">
        <v>6157</v>
      </c>
      <c r="L194" t="s">
        <v>6157</v>
      </c>
      <c r="M194" t="s">
        <v>6148</v>
      </c>
      <c r="N194" t="s">
        <v>6149</v>
      </c>
      <c r="O194" t="s">
        <v>6158</v>
      </c>
      <c r="P194" t="s">
        <v>5088</v>
      </c>
      <c r="Q194" t="s">
        <v>243</v>
      </c>
      <c r="R194" t="b">
        <v>1</v>
      </c>
      <c r="S194" t="s">
        <v>5618</v>
      </c>
    </row>
    <row r="195" spans="1:19" ht="11.25" customHeight="1">
      <c r="A195">
        <v>2655</v>
      </c>
      <c r="B195" t="s">
        <v>114</v>
      </c>
      <c r="C195">
        <v>31534676</v>
      </c>
      <c r="D195" t="s">
        <v>6159</v>
      </c>
      <c r="E195" t="s">
        <v>6160</v>
      </c>
      <c r="F195" t="s">
        <v>6161</v>
      </c>
      <c r="G195" t="s">
        <v>5123</v>
      </c>
      <c r="H195" t="s">
        <v>6162</v>
      </c>
      <c r="I195" t="s">
        <v>6163</v>
      </c>
      <c r="K195" t="s">
        <v>6164</v>
      </c>
      <c r="L195" t="s">
        <v>6165</v>
      </c>
      <c r="M195" t="s">
        <v>6166</v>
      </c>
      <c r="N195" t="s">
        <v>6167</v>
      </c>
      <c r="O195" t="s">
        <v>6168</v>
      </c>
      <c r="P195" t="s">
        <v>5088</v>
      </c>
      <c r="Q195" t="s">
        <v>243</v>
      </c>
      <c r="R195" t="b">
        <v>0</v>
      </c>
      <c r="S195" t="s">
        <v>5618</v>
      </c>
    </row>
    <row r="196" spans="1:19" ht="11.25" customHeight="1">
      <c r="A196">
        <v>2655</v>
      </c>
      <c r="B196" t="s">
        <v>114</v>
      </c>
      <c r="C196">
        <v>26356899</v>
      </c>
      <c r="D196" t="s">
        <v>6169</v>
      </c>
      <c r="E196" t="s">
        <v>6170</v>
      </c>
      <c r="F196" t="s">
        <v>6171</v>
      </c>
      <c r="G196" t="s">
        <v>6172</v>
      </c>
      <c r="H196" t="s">
        <v>6173</v>
      </c>
      <c r="I196" t="s">
        <v>243</v>
      </c>
      <c r="J196" t="s">
        <v>5242</v>
      </c>
      <c r="K196" t="s">
        <v>5431</v>
      </c>
      <c r="L196" t="s">
        <v>5431</v>
      </c>
      <c r="M196" t="s">
        <v>6174</v>
      </c>
      <c r="N196" t="s">
        <v>243</v>
      </c>
      <c r="O196" t="s">
        <v>5433</v>
      </c>
      <c r="P196" t="s">
        <v>5088</v>
      </c>
      <c r="Q196" t="s">
        <v>243</v>
      </c>
      <c r="R196" t="b">
        <v>0</v>
      </c>
      <c r="S196" t="s">
        <v>5618</v>
      </c>
    </row>
    <row r="197" spans="1:19" ht="11.25" customHeight="1">
      <c r="A197">
        <v>2655</v>
      </c>
      <c r="B197" t="s">
        <v>114</v>
      </c>
      <c r="C197">
        <v>31224507</v>
      </c>
      <c r="D197" t="s">
        <v>6175</v>
      </c>
      <c r="E197" t="s">
        <v>6176</v>
      </c>
      <c r="F197" t="s">
        <v>6177</v>
      </c>
      <c r="G197" t="s">
        <v>6178</v>
      </c>
      <c r="H197" t="s">
        <v>6179</v>
      </c>
      <c r="I197" t="s">
        <v>6180</v>
      </c>
      <c r="J197" t="s">
        <v>5242</v>
      </c>
      <c r="K197" t="s">
        <v>6181</v>
      </c>
      <c r="L197" t="s">
        <v>6181</v>
      </c>
      <c r="M197" t="s">
        <v>6182</v>
      </c>
      <c r="N197" t="s">
        <v>6183</v>
      </c>
      <c r="O197" t="s">
        <v>6141</v>
      </c>
      <c r="P197" t="s">
        <v>5030</v>
      </c>
      <c r="Q197" t="s">
        <v>243</v>
      </c>
      <c r="R197" t="b">
        <v>0</v>
      </c>
      <c r="S197" t="s">
        <v>5618</v>
      </c>
    </row>
    <row r="198" spans="1:19" ht="11.25" customHeight="1">
      <c r="A198">
        <v>2655</v>
      </c>
      <c r="B198" t="s">
        <v>114</v>
      </c>
      <c r="C198">
        <v>27968109</v>
      </c>
      <c r="D198" t="s">
        <v>6184</v>
      </c>
      <c r="E198" t="s">
        <v>6185</v>
      </c>
      <c r="F198" t="s">
        <v>6186</v>
      </c>
      <c r="G198" t="s">
        <v>149</v>
      </c>
      <c r="H198" t="s">
        <v>6187</v>
      </c>
      <c r="I198" t="s">
        <v>6188</v>
      </c>
      <c r="J198" t="s">
        <v>5242</v>
      </c>
      <c r="K198" t="s">
        <v>6189</v>
      </c>
      <c r="L198" t="s">
        <v>6189</v>
      </c>
      <c r="M198" t="s">
        <v>6190</v>
      </c>
      <c r="N198" t="s">
        <v>6191</v>
      </c>
      <c r="O198" t="s">
        <v>6192</v>
      </c>
      <c r="P198" t="s">
        <v>5030</v>
      </c>
      <c r="Q198" t="s">
        <v>6193</v>
      </c>
      <c r="R198" t="b">
        <v>0</v>
      </c>
      <c r="S198" t="s">
        <v>5618</v>
      </c>
    </row>
    <row r="199" spans="1:19" ht="11.25" customHeight="1">
      <c r="A199">
        <v>2655</v>
      </c>
      <c r="B199" t="s">
        <v>114</v>
      </c>
      <c r="C199">
        <v>26356932</v>
      </c>
      <c r="D199" t="s">
        <v>6194</v>
      </c>
      <c r="E199" t="s">
        <v>6195</v>
      </c>
      <c r="F199" t="s">
        <v>6196</v>
      </c>
      <c r="G199" t="s">
        <v>5249</v>
      </c>
      <c r="H199" t="s">
        <v>6197</v>
      </c>
      <c r="I199" t="s">
        <v>6198</v>
      </c>
      <c r="J199" t="s">
        <v>5242</v>
      </c>
      <c r="K199" t="s">
        <v>6199</v>
      </c>
      <c r="L199" t="s">
        <v>6199</v>
      </c>
      <c r="M199" t="s">
        <v>6200</v>
      </c>
      <c r="N199" t="s">
        <v>6201</v>
      </c>
      <c r="O199" t="s">
        <v>6202</v>
      </c>
      <c r="P199" t="s">
        <v>5088</v>
      </c>
      <c r="Q199" t="s">
        <v>243</v>
      </c>
      <c r="R199" t="b">
        <v>1</v>
      </c>
      <c r="S199" t="s">
        <v>5618</v>
      </c>
    </row>
    <row r="200" spans="1:19" ht="11.25" customHeight="1">
      <c r="A200">
        <v>2655</v>
      </c>
      <c r="B200" t="s">
        <v>114</v>
      </c>
      <c r="C200">
        <v>28270293</v>
      </c>
      <c r="D200" t="s">
        <v>5407</v>
      </c>
      <c r="E200" t="s">
        <v>5408</v>
      </c>
      <c r="F200" t="s">
        <v>5409</v>
      </c>
      <c r="G200" t="s">
        <v>5180</v>
      </c>
      <c r="H200" t="s">
        <v>5410</v>
      </c>
      <c r="I200" t="s">
        <v>5411</v>
      </c>
      <c r="J200" t="s">
        <v>5242</v>
      </c>
      <c r="K200" t="s">
        <v>5412</v>
      </c>
      <c r="L200" t="s">
        <v>5412</v>
      </c>
      <c r="M200" t="s">
        <v>5413</v>
      </c>
      <c r="N200" t="s">
        <v>5414</v>
      </c>
      <c r="O200" t="s">
        <v>5415</v>
      </c>
      <c r="P200" t="s">
        <v>5030</v>
      </c>
      <c r="Q200" t="s">
        <v>243</v>
      </c>
      <c r="R200" t="b">
        <v>0</v>
      </c>
      <c r="S200" t="s">
        <v>5618</v>
      </c>
    </row>
    <row r="201" spans="1:19" ht="11.25" customHeight="1">
      <c r="A201">
        <v>2655</v>
      </c>
      <c r="B201" t="s">
        <v>114</v>
      </c>
      <c r="C201">
        <v>28873362</v>
      </c>
      <c r="D201" t="s">
        <v>5416</v>
      </c>
      <c r="E201" t="s">
        <v>5417</v>
      </c>
      <c r="F201" t="s">
        <v>5418</v>
      </c>
      <c r="G201" t="s">
        <v>149</v>
      </c>
      <c r="H201" t="s">
        <v>5419</v>
      </c>
      <c r="I201" t="s">
        <v>5420</v>
      </c>
      <c r="J201" t="s">
        <v>5242</v>
      </c>
      <c r="K201" t="s">
        <v>5421</v>
      </c>
      <c r="L201" t="s">
        <v>5421</v>
      </c>
      <c r="M201" t="s">
        <v>5422</v>
      </c>
      <c r="N201" t="s">
        <v>5423</v>
      </c>
      <c r="O201" t="s">
        <v>5424</v>
      </c>
      <c r="P201" t="s">
        <v>5088</v>
      </c>
      <c r="Q201" t="s">
        <v>5425</v>
      </c>
      <c r="R201" t="b">
        <v>0</v>
      </c>
      <c r="S201" t="s">
        <v>5618</v>
      </c>
    </row>
    <row r="202" spans="1:19" ht="11.25" customHeight="1">
      <c r="A202">
        <v>2655</v>
      </c>
      <c r="B202" t="s">
        <v>114</v>
      </c>
      <c r="C202">
        <v>31774768</v>
      </c>
      <c r="D202" t="s">
        <v>6203</v>
      </c>
      <c r="E202" t="s">
        <v>6204</v>
      </c>
      <c r="F202" t="s">
        <v>6205</v>
      </c>
      <c r="G202" t="s">
        <v>5199</v>
      </c>
      <c r="H202" t="s">
        <v>6206</v>
      </c>
      <c r="I202" t="s">
        <v>6207</v>
      </c>
      <c r="K202" t="s">
        <v>6208</v>
      </c>
      <c r="L202" t="s">
        <v>6208</v>
      </c>
      <c r="M202" t="s">
        <v>243</v>
      </c>
      <c r="N202" t="s">
        <v>6209</v>
      </c>
      <c r="O202" t="s">
        <v>6210</v>
      </c>
      <c r="P202" t="s">
        <v>4965</v>
      </c>
      <c r="Q202" t="s">
        <v>243</v>
      </c>
      <c r="R202" t="b">
        <v>1</v>
      </c>
      <c r="S202" t="s">
        <v>5618</v>
      </c>
    </row>
    <row r="203" spans="1:19" ht="11.25" customHeight="1">
      <c r="A203">
        <v>2655</v>
      </c>
      <c r="B203" t="s">
        <v>114</v>
      </c>
      <c r="C203">
        <v>30992391</v>
      </c>
      <c r="D203" t="s">
        <v>5434</v>
      </c>
      <c r="E203" t="s">
        <v>5435</v>
      </c>
      <c r="F203" t="s">
        <v>5436</v>
      </c>
      <c r="G203" t="s">
        <v>5080</v>
      </c>
      <c r="H203" t="s">
        <v>5437</v>
      </c>
      <c r="I203" t="s">
        <v>5438</v>
      </c>
      <c r="J203" t="s">
        <v>5242</v>
      </c>
      <c r="K203" t="s">
        <v>5439</v>
      </c>
      <c r="L203" t="s">
        <v>5440</v>
      </c>
      <c r="M203" t="s">
        <v>5441</v>
      </c>
      <c r="N203" t="s">
        <v>5442</v>
      </c>
      <c r="O203" t="s">
        <v>5443</v>
      </c>
      <c r="P203" t="s">
        <v>5088</v>
      </c>
      <c r="Q203" t="s">
        <v>5444</v>
      </c>
      <c r="R203" t="b">
        <v>0</v>
      </c>
      <c r="S203" t="s">
        <v>5618</v>
      </c>
    </row>
    <row r="204" spans="1:19" ht="11.25" customHeight="1">
      <c r="A204">
        <v>2655</v>
      </c>
      <c r="B204" t="s">
        <v>114</v>
      </c>
      <c r="C204">
        <v>31491836</v>
      </c>
      <c r="D204" t="s">
        <v>6211</v>
      </c>
      <c r="E204" t="s">
        <v>6212</v>
      </c>
      <c r="F204" t="s">
        <v>6213</v>
      </c>
      <c r="G204" t="s">
        <v>149</v>
      </c>
      <c r="H204" t="s">
        <v>6214</v>
      </c>
      <c r="I204" t="s">
        <v>6215</v>
      </c>
      <c r="J204" t="s">
        <v>5242</v>
      </c>
      <c r="K204" t="s">
        <v>6216</v>
      </c>
      <c r="L204" t="s">
        <v>6217</v>
      </c>
      <c r="M204" t="s">
        <v>6218</v>
      </c>
      <c r="N204" t="s">
        <v>6219</v>
      </c>
      <c r="O204" t="s">
        <v>6220</v>
      </c>
      <c r="P204" t="s">
        <v>5051</v>
      </c>
      <c r="Q204" t="s">
        <v>243</v>
      </c>
      <c r="R204" t="b">
        <v>1</v>
      </c>
      <c r="S204" t="s">
        <v>5618</v>
      </c>
    </row>
    <row r="205" spans="1:19" ht="11.25" customHeight="1">
      <c r="A205">
        <v>2655</v>
      </c>
      <c r="B205" t="s">
        <v>114</v>
      </c>
      <c r="C205">
        <v>26356974</v>
      </c>
      <c r="D205" t="s">
        <v>6221</v>
      </c>
      <c r="E205" t="s">
        <v>6222</v>
      </c>
      <c r="F205" t="s">
        <v>6223</v>
      </c>
      <c r="G205" t="s">
        <v>6224</v>
      </c>
      <c r="H205" t="s">
        <v>6225</v>
      </c>
      <c r="I205" t="s">
        <v>6226</v>
      </c>
      <c r="J205" t="s">
        <v>5242</v>
      </c>
      <c r="K205" t="s">
        <v>6227</v>
      </c>
      <c r="L205" t="s">
        <v>6227</v>
      </c>
      <c r="M205" t="s">
        <v>6228</v>
      </c>
      <c r="N205" t="s">
        <v>6229</v>
      </c>
      <c r="O205" t="s">
        <v>6230</v>
      </c>
      <c r="P205" t="s">
        <v>5088</v>
      </c>
      <c r="Q205" t="s">
        <v>6231</v>
      </c>
      <c r="R205" t="b">
        <v>0</v>
      </c>
      <c r="S205" t="s">
        <v>5618</v>
      </c>
    </row>
    <row r="206" spans="1:19" ht="11.25" customHeight="1">
      <c r="A206">
        <v>2655</v>
      </c>
      <c r="B206" t="s">
        <v>114</v>
      </c>
      <c r="C206">
        <v>31365968</v>
      </c>
      <c r="D206" t="s">
        <v>6232</v>
      </c>
      <c r="E206" t="s">
        <v>6233</v>
      </c>
      <c r="F206" t="s">
        <v>6234</v>
      </c>
      <c r="G206" t="s">
        <v>5151</v>
      </c>
      <c r="H206" t="s">
        <v>6235</v>
      </c>
      <c r="I206" t="s">
        <v>6236</v>
      </c>
      <c r="J206" t="s">
        <v>5242</v>
      </c>
      <c r="K206" t="s">
        <v>6237</v>
      </c>
      <c r="L206" t="s">
        <v>6237</v>
      </c>
      <c r="M206" t="s">
        <v>6238</v>
      </c>
      <c r="N206" t="s">
        <v>6239</v>
      </c>
      <c r="O206" t="s">
        <v>6240</v>
      </c>
      <c r="P206" t="s">
        <v>5030</v>
      </c>
      <c r="Q206" t="s">
        <v>243</v>
      </c>
      <c r="R206" t="b">
        <v>0</v>
      </c>
      <c r="S206" t="s">
        <v>5618</v>
      </c>
    </row>
    <row r="207" spans="1:19" ht="11.25" customHeight="1">
      <c r="A207">
        <v>2655</v>
      </c>
      <c r="B207" t="s">
        <v>114</v>
      </c>
      <c r="C207">
        <v>31038861</v>
      </c>
      <c r="D207" t="s">
        <v>6241</v>
      </c>
      <c r="E207" t="s">
        <v>6242</v>
      </c>
      <c r="F207" t="s">
        <v>6243</v>
      </c>
      <c r="G207" t="s">
        <v>4980</v>
      </c>
      <c r="H207" t="s">
        <v>6244</v>
      </c>
      <c r="I207" t="s">
        <v>6245</v>
      </c>
      <c r="J207" t="s">
        <v>5242</v>
      </c>
      <c r="K207" t="s">
        <v>6246</v>
      </c>
      <c r="L207" t="s">
        <v>6247</v>
      </c>
      <c r="M207" t="s">
        <v>6248</v>
      </c>
      <c r="N207" t="s">
        <v>6249</v>
      </c>
      <c r="O207" t="s">
        <v>6250</v>
      </c>
      <c r="P207" t="s">
        <v>5030</v>
      </c>
      <c r="Q207" t="s">
        <v>243</v>
      </c>
      <c r="R207" t="b">
        <v>0</v>
      </c>
      <c r="S207" t="s">
        <v>5618</v>
      </c>
    </row>
    <row r="208" spans="1:19" ht="11.25" customHeight="1">
      <c r="A208">
        <v>2655</v>
      </c>
      <c r="B208" t="s">
        <v>114</v>
      </c>
      <c r="C208">
        <v>26519663</v>
      </c>
      <c r="D208" t="s">
        <v>6251</v>
      </c>
      <c r="E208" t="s">
        <v>6252</v>
      </c>
      <c r="F208" t="s">
        <v>6253</v>
      </c>
      <c r="G208" t="s">
        <v>5142</v>
      </c>
      <c r="H208" t="s">
        <v>6254</v>
      </c>
      <c r="I208" t="s">
        <v>6255</v>
      </c>
      <c r="J208" t="s">
        <v>156</v>
      </c>
      <c r="K208" t="s">
        <v>6256</v>
      </c>
      <c r="L208" t="s">
        <v>6256</v>
      </c>
      <c r="M208" t="s">
        <v>6257</v>
      </c>
      <c r="N208" t="s">
        <v>6258</v>
      </c>
      <c r="O208" t="s">
        <v>6259</v>
      </c>
      <c r="P208" t="s">
        <v>4997</v>
      </c>
      <c r="Q208" t="s">
        <v>6260</v>
      </c>
      <c r="R208" t="b">
        <v>0</v>
      </c>
      <c r="S208" t="s">
        <v>5618</v>
      </c>
    </row>
    <row r="209" spans="1:19" ht="11.25" customHeight="1">
      <c r="A209">
        <v>2655</v>
      </c>
      <c r="B209" t="s">
        <v>114</v>
      </c>
      <c r="C209">
        <v>30808511</v>
      </c>
      <c r="D209" t="s">
        <v>5445</v>
      </c>
      <c r="E209" t="s">
        <v>5445</v>
      </c>
      <c r="F209" t="s">
        <v>5446</v>
      </c>
      <c r="G209" t="s">
        <v>5447</v>
      </c>
      <c r="H209" t="s">
        <v>5448</v>
      </c>
      <c r="I209" t="s">
        <v>5449</v>
      </c>
      <c r="J209" t="s">
        <v>5450</v>
      </c>
      <c r="K209" t="s">
        <v>5451</v>
      </c>
      <c r="L209" t="s">
        <v>5452</v>
      </c>
      <c r="M209" t="s">
        <v>5453</v>
      </c>
      <c r="N209" t="s">
        <v>243</v>
      </c>
      <c r="O209" t="s">
        <v>5454</v>
      </c>
      <c r="P209" t="s">
        <v>5088</v>
      </c>
      <c r="Q209" t="s">
        <v>5455</v>
      </c>
      <c r="R209" t="b">
        <v>0</v>
      </c>
      <c r="S209" t="s">
        <v>5618</v>
      </c>
    </row>
    <row r="210" spans="1:19" ht="11.25" customHeight="1">
      <c r="A210">
        <v>2655</v>
      </c>
      <c r="B210" t="s">
        <v>114</v>
      </c>
      <c r="C210">
        <v>30829962</v>
      </c>
      <c r="D210" t="s">
        <v>6261</v>
      </c>
      <c r="E210" t="s">
        <v>6262</v>
      </c>
      <c r="F210" t="s">
        <v>5446</v>
      </c>
      <c r="G210" t="s">
        <v>149</v>
      </c>
      <c r="H210" t="s">
        <v>5448</v>
      </c>
      <c r="I210" t="s">
        <v>6263</v>
      </c>
      <c r="J210" t="s">
        <v>5450</v>
      </c>
      <c r="K210" t="s">
        <v>6264</v>
      </c>
      <c r="L210" t="s">
        <v>6264</v>
      </c>
      <c r="M210" t="s">
        <v>6265</v>
      </c>
      <c r="N210" t="s">
        <v>6266</v>
      </c>
      <c r="O210" t="s">
        <v>6267</v>
      </c>
      <c r="P210" t="s">
        <v>5051</v>
      </c>
      <c r="Q210" t="s">
        <v>243</v>
      </c>
      <c r="R210" t="b">
        <v>0</v>
      </c>
      <c r="S210" t="s">
        <v>5618</v>
      </c>
    </row>
    <row r="211" spans="1:19" ht="11.25" customHeight="1">
      <c r="A211">
        <v>2655</v>
      </c>
      <c r="B211" t="s">
        <v>114</v>
      </c>
      <c r="C211">
        <v>28977129</v>
      </c>
      <c r="D211" t="s">
        <v>6268</v>
      </c>
      <c r="E211" t="s">
        <v>6269</v>
      </c>
      <c r="F211" t="s">
        <v>5446</v>
      </c>
      <c r="G211" t="s">
        <v>6270</v>
      </c>
      <c r="H211" t="s">
        <v>5448</v>
      </c>
      <c r="I211" t="s">
        <v>5463</v>
      </c>
      <c r="J211" t="s">
        <v>5450</v>
      </c>
      <c r="K211" t="s">
        <v>6271</v>
      </c>
      <c r="L211" t="s">
        <v>6272</v>
      </c>
      <c r="M211" t="s">
        <v>6273</v>
      </c>
      <c r="N211" t="s">
        <v>243</v>
      </c>
      <c r="O211" t="s">
        <v>6274</v>
      </c>
      <c r="P211" t="s">
        <v>5088</v>
      </c>
      <c r="Q211" t="s">
        <v>243</v>
      </c>
      <c r="R211" t="b">
        <v>0</v>
      </c>
      <c r="S211" t="s">
        <v>5618</v>
      </c>
    </row>
    <row r="212" spans="1:19" ht="11.25" customHeight="1">
      <c r="A212">
        <v>2655</v>
      </c>
      <c r="B212" t="s">
        <v>114</v>
      </c>
      <c r="C212">
        <v>30914574</v>
      </c>
      <c r="D212" t="s">
        <v>6275</v>
      </c>
      <c r="E212" t="s">
        <v>6276</v>
      </c>
      <c r="F212" t="s">
        <v>6277</v>
      </c>
      <c r="G212" t="s">
        <v>6278</v>
      </c>
      <c r="H212" t="s">
        <v>6279</v>
      </c>
      <c r="I212" t="s">
        <v>6280</v>
      </c>
      <c r="J212" t="s">
        <v>6281</v>
      </c>
      <c r="K212" t="s">
        <v>243</v>
      </c>
      <c r="L212" t="s">
        <v>6282</v>
      </c>
      <c r="M212" t="s">
        <v>6283</v>
      </c>
      <c r="N212" t="s">
        <v>6284</v>
      </c>
      <c r="O212" t="s">
        <v>6285</v>
      </c>
      <c r="P212" t="s">
        <v>6286</v>
      </c>
      <c r="Q212" t="s">
        <v>243</v>
      </c>
      <c r="R212" t="b">
        <v>0</v>
      </c>
      <c r="S212" t="s">
        <v>5618</v>
      </c>
    </row>
    <row r="213" spans="1:19" ht="11.25" customHeight="1">
      <c r="A213">
        <v>2655</v>
      </c>
      <c r="B213" t="s">
        <v>114</v>
      </c>
      <c r="C213">
        <v>26356915</v>
      </c>
      <c r="D213" t="s">
        <v>5482</v>
      </c>
      <c r="E213" t="s">
        <v>5483</v>
      </c>
      <c r="F213" t="s">
        <v>5484</v>
      </c>
      <c r="G213" t="s">
        <v>5169</v>
      </c>
      <c r="H213" t="s">
        <v>5485</v>
      </c>
      <c r="I213" t="s">
        <v>5486</v>
      </c>
      <c r="J213" t="s">
        <v>4946</v>
      </c>
      <c r="K213" t="s">
        <v>5487</v>
      </c>
      <c r="L213" t="s">
        <v>5487</v>
      </c>
      <c r="M213" t="s">
        <v>5488</v>
      </c>
      <c r="N213" t="s">
        <v>5489</v>
      </c>
      <c r="O213" t="s">
        <v>5490</v>
      </c>
      <c r="P213" t="s">
        <v>5030</v>
      </c>
      <c r="Q213" t="s">
        <v>190</v>
      </c>
      <c r="R213" t="b">
        <v>0</v>
      </c>
      <c r="S213" t="s">
        <v>6287</v>
      </c>
    </row>
    <row r="214" spans="1:19" ht="11.25" customHeight="1">
      <c r="A214">
        <v>2655</v>
      </c>
      <c r="B214" t="s">
        <v>114</v>
      </c>
      <c r="C214">
        <v>26357007</v>
      </c>
      <c r="D214" t="s">
        <v>5619</v>
      </c>
      <c r="E214" t="s">
        <v>5620</v>
      </c>
      <c r="F214" t="s">
        <v>5621</v>
      </c>
      <c r="G214" t="s">
        <v>5199</v>
      </c>
      <c r="H214" t="s">
        <v>5622</v>
      </c>
      <c r="I214" t="s">
        <v>5623</v>
      </c>
      <c r="J214" t="s">
        <v>4946</v>
      </c>
      <c r="K214" t="s">
        <v>5624</v>
      </c>
      <c r="L214" t="s">
        <v>5624</v>
      </c>
      <c r="M214" t="s">
        <v>5625</v>
      </c>
      <c r="N214" t="s">
        <v>5626</v>
      </c>
      <c r="O214" t="s">
        <v>5627</v>
      </c>
      <c r="P214" t="s">
        <v>5030</v>
      </c>
      <c r="Q214" t="s">
        <v>5628</v>
      </c>
      <c r="R214" t="b">
        <v>0</v>
      </c>
      <c r="S214" t="s">
        <v>6287</v>
      </c>
    </row>
    <row r="215" spans="1:19" ht="11.25" customHeight="1">
      <c r="A215">
        <v>2655</v>
      </c>
      <c r="B215" t="s">
        <v>114</v>
      </c>
      <c r="C215">
        <v>27804990</v>
      </c>
      <c r="D215" t="s">
        <v>4955</v>
      </c>
      <c r="E215" t="s">
        <v>4956</v>
      </c>
      <c r="F215" t="s">
        <v>4957</v>
      </c>
      <c r="G215" t="s">
        <v>149</v>
      </c>
      <c r="H215" t="s">
        <v>4958</v>
      </c>
      <c r="I215" t="s">
        <v>4959</v>
      </c>
      <c r="J215" t="s">
        <v>4946</v>
      </c>
      <c r="K215" t="s">
        <v>4960</v>
      </c>
      <c r="L215" t="s">
        <v>4961</v>
      </c>
      <c r="M215" t="s">
        <v>4962</v>
      </c>
      <c r="N215" t="s">
        <v>4963</v>
      </c>
      <c r="O215" t="s">
        <v>4964</v>
      </c>
      <c r="P215" t="s">
        <v>4965</v>
      </c>
      <c r="Q215" t="s">
        <v>4966</v>
      </c>
      <c r="R215" t="b">
        <v>0</v>
      </c>
      <c r="S215" t="s">
        <v>6287</v>
      </c>
    </row>
    <row r="216" spans="1:19" ht="11.25" customHeight="1">
      <c r="A216">
        <v>2655</v>
      </c>
      <c r="B216" t="s">
        <v>114</v>
      </c>
      <c r="C216">
        <v>28048296</v>
      </c>
      <c r="D216" t="s">
        <v>5629</v>
      </c>
      <c r="E216" t="s">
        <v>5630</v>
      </c>
      <c r="F216" t="s">
        <v>5631</v>
      </c>
      <c r="G216" t="s">
        <v>149</v>
      </c>
      <c r="H216" t="s">
        <v>5632</v>
      </c>
      <c r="I216" t="s">
        <v>5633</v>
      </c>
      <c r="J216" t="s">
        <v>4946</v>
      </c>
      <c r="K216" t="s">
        <v>5634</v>
      </c>
      <c r="L216" t="s">
        <v>4961</v>
      </c>
      <c r="M216" t="s">
        <v>5635</v>
      </c>
      <c r="N216" t="s">
        <v>5636</v>
      </c>
      <c r="O216" t="s">
        <v>5637</v>
      </c>
      <c r="P216" t="s">
        <v>4965</v>
      </c>
      <c r="Q216" t="s">
        <v>4966</v>
      </c>
      <c r="R216" t="b">
        <v>0</v>
      </c>
      <c r="S216" t="s">
        <v>6287</v>
      </c>
    </row>
    <row r="217" spans="1:19" ht="11.25" customHeight="1">
      <c r="A217">
        <v>2655</v>
      </c>
      <c r="B217" t="s">
        <v>114</v>
      </c>
      <c r="C217">
        <v>27804826</v>
      </c>
      <c r="D217" t="s">
        <v>4967</v>
      </c>
      <c r="E217" t="s">
        <v>4968</v>
      </c>
      <c r="F217" t="s">
        <v>4969</v>
      </c>
      <c r="G217" t="s">
        <v>4970</v>
      </c>
      <c r="H217" t="s">
        <v>4971</v>
      </c>
      <c r="I217" t="s">
        <v>4972</v>
      </c>
      <c r="J217" t="s">
        <v>4946</v>
      </c>
      <c r="K217" t="s">
        <v>4973</v>
      </c>
      <c r="L217" t="s">
        <v>4961</v>
      </c>
      <c r="M217" t="s">
        <v>243</v>
      </c>
      <c r="N217" t="s">
        <v>4974</v>
      </c>
      <c r="O217" t="s">
        <v>4975</v>
      </c>
      <c r="P217" t="s">
        <v>4965</v>
      </c>
      <c r="Q217" t="s">
        <v>4976</v>
      </c>
      <c r="R217" t="b">
        <v>0</v>
      </c>
      <c r="S217" t="s">
        <v>6287</v>
      </c>
    </row>
    <row r="218" spans="1:19" ht="11.25" customHeight="1">
      <c r="A218">
        <v>2655</v>
      </c>
      <c r="B218" t="s">
        <v>114</v>
      </c>
      <c r="C218">
        <v>27804896</v>
      </c>
      <c r="D218" t="s">
        <v>5638</v>
      </c>
      <c r="E218" t="s">
        <v>5639</v>
      </c>
      <c r="F218" t="s">
        <v>5640</v>
      </c>
      <c r="G218" t="s">
        <v>149</v>
      </c>
      <c r="H218" t="s">
        <v>5641</v>
      </c>
      <c r="I218" t="s">
        <v>5642</v>
      </c>
      <c r="J218" t="s">
        <v>4946</v>
      </c>
      <c r="K218" t="s">
        <v>5643</v>
      </c>
      <c r="L218" t="s">
        <v>4961</v>
      </c>
      <c r="M218" t="s">
        <v>5644</v>
      </c>
      <c r="N218" t="s">
        <v>5645</v>
      </c>
      <c r="O218" t="s">
        <v>5646</v>
      </c>
      <c r="P218" t="s">
        <v>4965</v>
      </c>
      <c r="Q218" t="s">
        <v>4966</v>
      </c>
      <c r="R218" t="b">
        <v>0</v>
      </c>
      <c r="S218" t="s">
        <v>6287</v>
      </c>
    </row>
    <row r="219" spans="1:19" ht="11.25" customHeight="1">
      <c r="A219">
        <v>2655</v>
      </c>
      <c r="B219" t="s">
        <v>114</v>
      </c>
      <c r="C219">
        <v>27820148</v>
      </c>
      <c r="D219" t="s">
        <v>5505</v>
      </c>
      <c r="E219" t="s">
        <v>5506</v>
      </c>
      <c r="F219" t="s">
        <v>5507</v>
      </c>
      <c r="G219" t="s">
        <v>5249</v>
      </c>
      <c r="H219" t="s">
        <v>5508</v>
      </c>
      <c r="I219" t="s">
        <v>5509</v>
      </c>
      <c r="J219" t="s">
        <v>4946</v>
      </c>
      <c r="K219" t="s">
        <v>5510</v>
      </c>
      <c r="L219" t="s">
        <v>5510</v>
      </c>
      <c r="M219" t="s">
        <v>5511</v>
      </c>
      <c r="N219" t="s">
        <v>5512</v>
      </c>
      <c r="O219" t="s">
        <v>5513</v>
      </c>
      <c r="P219" t="s">
        <v>5514</v>
      </c>
      <c r="Q219" t="s">
        <v>5515</v>
      </c>
      <c r="R219" t="b">
        <v>0</v>
      </c>
      <c r="S219" t="s">
        <v>6287</v>
      </c>
    </row>
    <row r="220" spans="1:19" ht="11.25" customHeight="1">
      <c r="A220">
        <v>2655</v>
      </c>
      <c r="B220" t="s">
        <v>114</v>
      </c>
      <c r="C220">
        <v>26356905</v>
      </c>
      <c r="D220" t="s">
        <v>4999</v>
      </c>
      <c r="E220" t="s">
        <v>5000</v>
      </c>
      <c r="F220" t="s">
        <v>5001</v>
      </c>
      <c r="G220" t="s">
        <v>149</v>
      </c>
      <c r="H220" t="s">
        <v>5002</v>
      </c>
      <c r="I220" t="s">
        <v>5003</v>
      </c>
      <c r="J220" t="s">
        <v>4946</v>
      </c>
      <c r="K220" t="s">
        <v>5004</v>
      </c>
      <c r="L220" t="s">
        <v>5004</v>
      </c>
      <c r="M220" t="s">
        <v>5005</v>
      </c>
      <c r="N220" t="s">
        <v>5006</v>
      </c>
      <c r="O220" t="s">
        <v>5007</v>
      </c>
      <c r="P220" t="s">
        <v>5008</v>
      </c>
      <c r="Q220" t="s">
        <v>5009</v>
      </c>
      <c r="R220" t="b">
        <v>0</v>
      </c>
      <c r="S220" t="s">
        <v>6287</v>
      </c>
    </row>
    <row r="221" spans="1:19" ht="11.25" customHeight="1">
      <c r="A221">
        <v>2655</v>
      </c>
      <c r="B221" t="s">
        <v>114</v>
      </c>
      <c r="C221">
        <v>30808700</v>
      </c>
      <c r="D221" t="s">
        <v>5100</v>
      </c>
      <c r="E221" t="s">
        <v>5101</v>
      </c>
      <c r="F221" t="s">
        <v>5102</v>
      </c>
      <c r="G221" t="s">
        <v>5034</v>
      </c>
      <c r="H221" t="s">
        <v>5103</v>
      </c>
      <c r="I221" t="s">
        <v>5104</v>
      </c>
      <c r="J221" t="s">
        <v>5095</v>
      </c>
      <c r="K221" t="s">
        <v>5105</v>
      </c>
      <c r="L221" t="s">
        <v>5106</v>
      </c>
      <c r="M221" t="s">
        <v>5107</v>
      </c>
      <c r="N221" t="s">
        <v>5108</v>
      </c>
      <c r="O221" t="s">
        <v>5109</v>
      </c>
      <c r="P221" t="s">
        <v>5051</v>
      </c>
      <c r="Q221" t="s">
        <v>243</v>
      </c>
      <c r="R221" t="b">
        <v>1</v>
      </c>
      <c r="S221" t="s">
        <v>6287</v>
      </c>
    </row>
    <row r="222" spans="1:19" ht="11.25" customHeight="1">
      <c r="A222">
        <v>2655</v>
      </c>
      <c r="B222" t="s">
        <v>114</v>
      </c>
      <c r="C222">
        <v>31343443</v>
      </c>
      <c r="D222" t="s">
        <v>5131</v>
      </c>
      <c r="E222" t="s">
        <v>5132</v>
      </c>
      <c r="F222" t="s">
        <v>5133</v>
      </c>
      <c r="G222" t="s">
        <v>5034</v>
      </c>
      <c r="H222" t="s">
        <v>5134</v>
      </c>
      <c r="I222" t="s">
        <v>5135</v>
      </c>
      <c r="J222" t="s">
        <v>5083</v>
      </c>
      <c r="K222" t="s">
        <v>5136</v>
      </c>
      <c r="L222" t="s">
        <v>5136</v>
      </c>
      <c r="N222" t="s">
        <v>5137</v>
      </c>
      <c r="O222" t="s">
        <v>5138</v>
      </c>
      <c r="P222" t="s">
        <v>5051</v>
      </c>
      <c r="R222" t="b">
        <v>0</v>
      </c>
      <c r="S222" t="s">
        <v>6287</v>
      </c>
    </row>
    <row r="223" spans="1:19" ht="11.25" customHeight="1">
      <c r="A223">
        <v>2655</v>
      </c>
      <c r="B223" t="s">
        <v>114</v>
      </c>
      <c r="C223">
        <v>31087651</v>
      </c>
      <c r="D223" t="s">
        <v>5148</v>
      </c>
      <c r="E223" t="s">
        <v>5149</v>
      </c>
      <c r="F223" t="s">
        <v>5150</v>
      </c>
      <c r="G223" t="s">
        <v>5151</v>
      </c>
      <c r="H223" t="s">
        <v>5152</v>
      </c>
      <c r="I223" t="s">
        <v>5153</v>
      </c>
      <c r="J223" t="s">
        <v>5083</v>
      </c>
      <c r="K223" t="s">
        <v>5154</v>
      </c>
      <c r="L223" t="s">
        <v>5154</v>
      </c>
      <c r="M223" t="s">
        <v>5155</v>
      </c>
      <c r="N223" t="s">
        <v>5156</v>
      </c>
      <c r="O223" t="s">
        <v>5157</v>
      </c>
      <c r="R223" t="b">
        <v>0</v>
      </c>
      <c r="S223" t="s">
        <v>6287</v>
      </c>
    </row>
    <row r="224" spans="1:19" ht="11.25" customHeight="1">
      <c r="A224">
        <v>2655</v>
      </c>
      <c r="B224" t="s">
        <v>114</v>
      </c>
      <c r="C224">
        <v>31085797</v>
      </c>
      <c r="D224" t="s">
        <v>5719</v>
      </c>
      <c r="E224" t="s">
        <v>5720</v>
      </c>
      <c r="F224" t="s">
        <v>5721</v>
      </c>
      <c r="G224" t="s">
        <v>4970</v>
      </c>
      <c r="H224" t="s">
        <v>5722</v>
      </c>
      <c r="I224" t="s">
        <v>5723</v>
      </c>
      <c r="J224" t="s">
        <v>5095</v>
      </c>
      <c r="K224" t="s">
        <v>5724</v>
      </c>
      <c r="L224" t="s">
        <v>5725</v>
      </c>
      <c r="M224" t="s">
        <v>5726</v>
      </c>
      <c r="N224" t="s">
        <v>5727</v>
      </c>
      <c r="O224" t="s">
        <v>5728</v>
      </c>
      <c r="P224" t="s">
        <v>5088</v>
      </c>
      <c r="Q224" t="s">
        <v>243</v>
      </c>
      <c r="R224" t="b">
        <v>1</v>
      </c>
      <c r="S224" t="s">
        <v>6287</v>
      </c>
    </row>
    <row r="225" spans="1:19" ht="11.25" customHeight="1">
      <c r="A225">
        <v>2655</v>
      </c>
      <c r="B225" t="s">
        <v>114</v>
      </c>
      <c r="C225">
        <v>31187282</v>
      </c>
      <c r="D225" t="s">
        <v>5729</v>
      </c>
      <c r="E225" t="s">
        <v>5730</v>
      </c>
      <c r="F225" t="s">
        <v>5731</v>
      </c>
      <c r="G225" t="s">
        <v>4980</v>
      </c>
      <c r="H225" t="s">
        <v>5732</v>
      </c>
      <c r="I225" t="s">
        <v>5733</v>
      </c>
      <c r="J225" t="s">
        <v>5095</v>
      </c>
      <c r="K225" t="s">
        <v>5734</v>
      </c>
      <c r="L225" t="s">
        <v>5734</v>
      </c>
      <c r="M225" t="s">
        <v>243</v>
      </c>
      <c r="N225" t="s">
        <v>5735</v>
      </c>
      <c r="O225" t="s">
        <v>5736</v>
      </c>
      <c r="P225" t="s">
        <v>5088</v>
      </c>
      <c r="Q225" t="s">
        <v>243</v>
      </c>
      <c r="R225" t="b">
        <v>0</v>
      </c>
      <c r="S225" t="s">
        <v>6287</v>
      </c>
    </row>
    <row r="226" spans="1:19" ht="11.25" customHeight="1">
      <c r="A226">
        <v>2655</v>
      </c>
      <c r="B226" t="s">
        <v>114</v>
      </c>
      <c r="C226">
        <v>31284269</v>
      </c>
      <c r="D226" t="s">
        <v>5206</v>
      </c>
      <c r="E226" t="s">
        <v>5207</v>
      </c>
      <c r="F226" t="s">
        <v>5208</v>
      </c>
      <c r="G226" t="s">
        <v>5151</v>
      </c>
      <c r="H226" t="s">
        <v>5209</v>
      </c>
      <c r="I226" t="s">
        <v>5210</v>
      </c>
      <c r="J226" t="s">
        <v>5095</v>
      </c>
      <c r="K226" t="s">
        <v>5211</v>
      </c>
      <c r="L226" t="s">
        <v>5212</v>
      </c>
      <c r="M226" t="s">
        <v>5213</v>
      </c>
      <c r="N226" t="s">
        <v>5214</v>
      </c>
      <c r="O226" t="s">
        <v>5215</v>
      </c>
      <c r="P226" t="s">
        <v>243</v>
      </c>
      <c r="Q226" t="s">
        <v>243</v>
      </c>
      <c r="R226" t="b">
        <v>0</v>
      </c>
      <c r="S226" t="s">
        <v>6287</v>
      </c>
    </row>
    <row r="227" spans="1:19" ht="11.25" customHeight="1">
      <c r="A227">
        <v>2655</v>
      </c>
      <c r="B227" t="s">
        <v>114</v>
      </c>
      <c r="C227">
        <v>31159389</v>
      </c>
      <c r="D227" t="s">
        <v>5737</v>
      </c>
      <c r="E227" t="s">
        <v>5738</v>
      </c>
      <c r="F227" t="s">
        <v>5739</v>
      </c>
      <c r="G227" t="s">
        <v>5123</v>
      </c>
      <c r="H227" t="s">
        <v>5740</v>
      </c>
      <c r="I227" t="s">
        <v>5741</v>
      </c>
      <c r="J227" t="s">
        <v>5095</v>
      </c>
      <c r="K227" t="s">
        <v>5742</v>
      </c>
      <c r="L227" t="s">
        <v>5743</v>
      </c>
      <c r="M227" t="s">
        <v>5744</v>
      </c>
      <c r="N227" t="s">
        <v>5745</v>
      </c>
      <c r="O227" t="s">
        <v>5746</v>
      </c>
      <c r="P227" t="s">
        <v>5088</v>
      </c>
      <c r="Q227" t="s">
        <v>243</v>
      </c>
      <c r="R227" t="b">
        <v>0</v>
      </c>
      <c r="S227" t="s">
        <v>6287</v>
      </c>
    </row>
    <row r="228" spans="1:19" ht="11.25" customHeight="1">
      <c r="A228">
        <v>2655</v>
      </c>
      <c r="B228" t="s">
        <v>114</v>
      </c>
      <c r="C228">
        <v>30843704</v>
      </c>
      <c r="D228" t="s">
        <v>5755</v>
      </c>
      <c r="E228" t="s">
        <v>5756</v>
      </c>
      <c r="F228" t="s">
        <v>5757</v>
      </c>
      <c r="G228" t="s">
        <v>149</v>
      </c>
      <c r="H228" t="s">
        <v>5758</v>
      </c>
      <c r="I228" t="s">
        <v>5759</v>
      </c>
      <c r="J228" t="s">
        <v>5242</v>
      </c>
      <c r="K228" t="s">
        <v>5760</v>
      </c>
      <c r="L228" t="s">
        <v>5761</v>
      </c>
      <c r="M228" t="s">
        <v>243</v>
      </c>
      <c r="N228" t="s">
        <v>5762</v>
      </c>
      <c r="O228" t="s">
        <v>5763</v>
      </c>
      <c r="P228" t="s">
        <v>5030</v>
      </c>
      <c r="Q228" t="s">
        <v>243</v>
      </c>
      <c r="R228" t="b">
        <v>0</v>
      </c>
      <c r="S228" t="s">
        <v>6287</v>
      </c>
    </row>
    <row r="229" spans="1:19" ht="11.25" customHeight="1">
      <c r="A229">
        <v>2655</v>
      </c>
      <c r="B229" t="s">
        <v>114</v>
      </c>
      <c r="C229">
        <v>28869965</v>
      </c>
      <c r="D229" t="s">
        <v>5256</v>
      </c>
      <c r="E229" t="s">
        <v>5257</v>
      </c>
      <c r="F229" t="s">
        <v>5258</v>
      </c>
      <c r="G229" t="s">
        <v>5080</v>
      </c>
      <c r="H229" t="s">
        <v>5259</v>
      </c>
      <c r="I229" t="s">
        <v>243</v>
      </c>
      <c r="J229" t="s">
        <v>5242</v>
      </c>
      <c r="K229" t="s">
        <v>5260</v>
      </c>
      <c r="L229" t="s">
        <v>5260</v>
      </c>
      <c r="M229" t="s">
        <v>5261</v>
      </c>
      <c r="N229" t="s">
        <v>5262</v>
      </c>
      <c r="O229" t="s">
        <v>5263</v>
      </c>
      <c r="P229" t="s">
        <v>5030</v>
      </c>
      <c r="Q229" t="s">
        <v>5264</v>
      </c>
      <c r="R229" t="b">
        <v>0</v>
      </c>
      <c r="S229" t="s">
        <v>6287</v>
      </c>
    </row>
    <row r="230" spans="1:19" ht="11.25" customHeight="1">
      <c r="A230">
        <v>2655</v>
      </c>
      <c r="B230" t="s">
        <v>114</v>
      </c>
      <c r="C230">
        <v>31245446</v>
      </c>
      <c r="D230" t="s">
        <v>5791</v>
      </c>
      <c r="E230" t="s">
        <v>5792</v>
      </c>
      <c r="F230" t="s">
        <v>5793</v>
      </c>
      <c r="G230" t="s">
        <v>5277</v>
      </c>
      <c r="H230" t="s">
        <v>5794</v>
      </c>
      <c r="I230" t="s">
        <v>5795</v>
      </c>
      <c r="J230" t="s">
        <v>5242</v>
      </c>
      <c r="K230" t="s">
        <v>243</v>
      </c>
      <c r="L230" t="s">
        <v>5796</v>
      </c>
      <c r="M230" t="s">
        <v>243</v>
      </c>
      <c r="N230" t="s">
        <v>5797</v>
      </c>
      <c r="O230" t="s">
        <v>5798</v>
      </c>
      <c r="P230" t="s">
        <v>5088</v>
      </c>
      <c r="Q230" t="s">
        <v>243</v>
      </c>
      <c r="R230" t="b">
        <v>0</v>
      </c>
      <c r="S230" t="s">
        <v>6287</v>
      </c>
    </row>
    <row r="231" spans="1:19" ht="11.25" customHeight="1">
      <c r="A231">
        <v>2655</v>
      </c>
      <c r="B231" t="s">
        <v>114</v>
      </c>
      <c r="C231">
        <v>30950350</v>
      </c>
      <c r="D231" t="s">
        <v>5818</v>
      </c>
      <c r="E231" t="s">
        <v>5819</v>
      </c>
      <c r="F231" t="s">
        <v>5820</v>
      </c>
      <c r="G231" t="s">
        <v>5199</v>
      </c>
      <c r="H231" t="s">
        <v>5821</v>
      </c>
      <c r="I231" t="s">
        <v>5822</v>
      </c>
      <c r="J231" t="s">
        <v>5242</v>
      </c>
      <c r="K231" t="s">
        <v>5823</v>
      </c>
      <c r="L231" t="s">
        <v>5823</v>
      </c>
      <c r="M231" t="s">
        <v>5824</v>
      </c>
      <c r="N231" t="s">
        <v>5825</v>
      </c>
      <c r="O231" t="s">
        <v>5826</v>
      </c>
      <c r="P231" t="s">
        <v>5088</v>
      </c>
      <c r="Q231" t="s">
        <v>190</v>
      </c>
      <c r="R231" t="b">
        <v>0</v>
      </c>
      <c r="S231" t="s">
        <v>6287</v>
      </c>
    </row>
    <row r="232" spans="1:19" ht="11.25" customHeight="1">
      <c r="A232">
        <v>2655</v>
      </c>
      <c r="B232" t="s">
        <v>114</v>
      </c>
      <c r="C232">
        <v>31874557</v>
      </c>
      <c r="D232" t="s">
        <v>5836</v>
      </c>
      <c r="E232" t="s">
        <v>5837</v>
      </c>
      <c r="F232" t="s">
        <v>5838</v>
      </c>
      <c r="G232" t="s">
        <v>5199</v>
      </c>
      <c r="H232" t="s">
        <v>5839</v>
      </c>
      <c r="I232" t="s">
        <v>5840</v>
      </c>
      <c r="K232" t="s">
        <v>5841</v>
      </c>
      <c r="L232" t="s">
        <v>5841</v>
      </c>
      <c r="M232" t="s">
        <v>5842</v>
      </c>
      <c r="N232" t="s">
        <v>5843</v>
      </c>
      <c r="O232" t="s">
        <v>5844</v>
      </c>
      <c r="P232" t="s">
        <v>5030</v>
      </c>
      <c r="Q232" t="s">
        <v>243</v>
      </c>
      <c r="R232" t="b">
        <v>1</v>
      </c>
      <c r="S232" t="s">
        <v>6287</v>
      </c>
    </row>
    <row r="233" spans="1:19" ht="11.25" customHeight="1">
      <c r="A233">
        <v>2655</v>
      </c>
      <c r="B233" t="s">
        <v>114</v>
      </c>
      <c r="C233">
        <v>31656254</v>
      </c>
      <c r="D233" t="s">
        <v>5294</v>
      </c>
      <c r="E233" t="s">
        <v>5295</v>
      </c>
      <c r="F233" t="s">
        <v>5296</v>
      </c>
      <c r="G233" t="s">
        <v>5297</v>
      </c>
      <c r="H233" t="s">
        <v>5298</v>
      </c>
      <c r="I233" t="s">
        <v>5299</v>
      </c>
      <c r="K233" t="s">
        <v>5300</v>
      </c>
      <c r="L233" t="s">
        <v>5301</v>
      </c>
      <c r="M233" t="s">
        <v>5302</v>
      </c>
      <c r="N233" t="s">
        <v>5303</v>
      </c>
      <c r="O233" t="s">
        <v>5304</v>
      </c>
      <c r="P233" t="s">
        <v>5088</v>
      </c>
      <c r="Q233" t="s">
        <v>5305</v>
      </c>
      <c r="R233" t="b">
        <v>0</v>
      </c>
      <c r="S233" t="s">
        <v>6287</v>
      </c>
    </row>
    <row r="234" spans="1:19" ht="11.25" customHeight="1">
      <c r="A234">
        <v>2655</v>
      </c>
      <c r="B234" t="s">
        <v>114</v>
      </c>
      <c r="C234">
        <v>31519209</v>
      </c>
      <c r="D234" t="s">
        <v>5909</v>
      </c>
      <c r="E234" t="s">
        <v>5910</v>
      </c>
      <c r="F234" t="s">
        <v>5911</v>
      </c>
      <c r="G234" t="s">
        <v>5249</v>
      </c>
      <c r="H234" t="s">
        <v>5912</v>
      </c>
      <c r="I234" t="s">
        <v>5913</v>
      </c>
      <c r="J234" t="s">
        <v>5242</v>
      </c>
      <c r="K234" t="s">
        <v>5914</v>
      </c>
      <c r="L234" t="s">
        <v>5915</v>
      </c>
      <c r="M234" t="s">
        <v>5916</v>
      </c>
      <c r="N234" t="s">
        <v>5917</v>
      </c>
      <c r="O234" t="s">
        <v>5918</v>
      </c>
      <c r="P234" t="s">
        <v>4965</v>
      </c>
      <c r="Q234" t="s">
        <v>243</v>
      </c>
      <c r="R234" t="b">
        <v>0</v>
      </c>
      <c r="S234" t="s">
        <v>6287</v>
      </c>
    </row>
    <row r="235" spans="1:19" ht="11.25" customHeight="1">
      <c r="A235">
        <v>2655</v>
      </c>
      <c r="B235" t="s">
        <v>114</v>
      </c>
      <c r="C235">
        <v>31424033</v>
      </c>
      <c r="D235" t="s">
        <v>5306</v>
      </c>
      <c r="E235" t="s">
        <v>5307</v>
      </c>
      <c r="F235" t="s">
        <v>5308</v>
      </c>
      <c r="G235" t="s">
        <v>5309</v>
      </c>
      <c r="H235" t="s">
        <v>5310</v>
      </c>
      <c r="I235" t="s">
        <v>243</v>
      </c>
      <c r="J235" t="s">
        <v>5242</v>
      </c>
      <c r="K235" t="s">
        <v>243</v>
      </c>
      <c r="L235" t="s">
        <v>243</v>
      </c>
      <c r="M235" t="s">
        <v>243</v>
      </c>
      <c r="N235" t="s">
        <v>243</v>
      </c>
      <c r="O235" t="s">
        <v>243</v>
      </c>
      <c r="P235" t="s">
        <v>243</v>
      </c>
      <c r="Q235" t="s">
        <v>243</v>
      </c>
      <c r="R235" t="b">
        <v>0</v>
      </c>
      <c r="S235" t="s">
        <v>6287</v>
      </c>
    </row>
    <row r="236" spans="1:19" ht="11.25" customHeight="1">
      <c r="A236">
        <v>2655</v>
      </c>
      <c r="B236" t="s">
        <v>114</v>
      </c>
      <c r="C236">
        <v>28151808</v>
      </c>
      <c r="D236" t="s">
        <v>5320</v>
      </c>
      <c r="E236" t="s">
        <v>5321</v>
      </c>
      <c r="F236" t="s">
        <v>5322</v>
      </c>
      <c r="G236" t="s">
        <v>5034</v>
      </c>
      <c r="H236" t="s">
        <v>5323</v>
      </c>
      <c r="I236" t="s">
        <v>5324</v>
      </c>
      <c r="J236" t="s">
        <v>5242</v>
      </c>
      <c r="K236" t="s">
        <v>5325</v>
      </c>
      <c r="L236" t="s">
        <v>5326</v>
      </c>
      <c r="M236" t="s">
        <v>5327</v>
      </c>
      <c r="N236" t="s">
        <v>5328</v>
      </c>
      <c r="O236" t="s">
        <v>5329</v>
      </c>
      <c r="P236" t="s">
        <v>5030</v>
      </c>
      <c r="Q236" t="s">
        <v>243</v>
      </c>
      <c r="R236" t="b">
        <v>1</v>
      </c>
      <c r="S236" t="s">
        <v>6287</v>
      </c>
    </row>
    <row r="237" spans="1:19" ht="11.25" customHeight="1">
      <c r="A237">
        <v>2655</v>
      </c>
      <c r="B237" t="s">
        <v>114</v>
      </c>
      <c r="C237">
        <v>30433806</v>
      </c>
      <c r="D237" t="s">
        <v>5966</v>
      </c>
      <c r="E237" t="s">
        <v>5967</v>
      </c>
      <c r="F237" t="s">
        <v>5968</v>
      </c>
      <c r="G237" t="s">
        <v>5169</v>
      </c>
      <c r="H237" t="s">
        <v>5969</v>
      </c>
      <c r="I237" t="s">
        <v>5970</v>
      </c>
      <c r="J237" t="s">
        <v>5242</v>
      </c>
      <c r="K237" t="s">
        <v>5971</v>
      </c>
      <c r="L237" t="s">
        <v>5971</v>
      </c>
      <c r="M237" t="s">
        <v>5972</v>
      </c>
      <c r="N237" t="s">
        <v>5973</v>
      </c>
      <c r="O237" t="s">
        <v>5974</v>
      </c>
      <c r="P237" t="s">
        <v>5088</v>
      </c>
      <c r="Q237" t="s">
        <v>190</v>
      </c>
      <c r="R237" t="b">
        <v>0</v>
      </c>
      <c r="S237" t="s">
        <v>6287</v>
      </c>
    </row>
    <row r="238" spans="1:19" ht="11.25" customHeight="1">
      <c r="A238">
        <v>2655</v>
      </c>
      <c r="B238" t="s">
        <v>114</v>
      </c>
      <c r="C238">
        <v>31743966</v>
      </c>
      <c r="D238" t="s">
        <v>5975</v>
      </c>
      <c r="E238" t="s">
        <v>5976</v>
      </c>
      <c r="F238" t="s">
        <v>5977</v>
      </c>
      <c r="G238" t="s">
        <v>149</v>
      </c>
      <c r="H238" t="s">
        <v>5978</v>
      </c>
      <c r="I238" t="s">
        <v>5979</v>
      </c>
      <c r="K238" t="s">
        <v>5980</v>
      </c>
      <c r="L238" t="s">
        <v>5980</v>
      </c>
      <c r="M238" t="s">
        <v>5981</v>
      </c>
      <c r="N238" t="s">
        <v>5982</v>
      </c>
      <c r="O238" t="s">
        <v>5983</v>
      </c>
      <c r="P238" t="s">
        <v>5030</v>
      </c>
      <c r="Q238" t="s">
        <v>5984</v>
      </c>
      <c r="R238" t="b">
        <v>1</v>
      </c>
      <c r="S238" t="s">
        <v>6287</v>
      </c>
    </row>
    <row r="239" spans="1:19" ht="11.25" customHeight="1">
      <c r="A239">
        <v>2655</v>
      </c>
      <c r="B239" t="s">
        <v>114</v>
      </c>
      <c r="C239">
        <v>30874454</v>
      </c>
      <c r="D239" t="s">
        <v>5985</v>
      </c>
      <c r="E239" t="s">
        <v>5986</v>
      </c>
      <c r="F239" t="s">
        <v>5987</v>
      </c>
      <c r="G239" t="s">
        <v>5309</v>
      </c>
      <c r="H239" t="s">
        <v>5988</v>
      </c>
      <c r="I239" t="s">
        <v>5989</v>
      </c>
      <c r="J239" t="s">
        <v>5242</v>
      </c>
      <c r="K239" t="s">
        <v>5990</v>
      </c>
      <c r="L239" t="s">
        <v>5991</v>
      </c>
      <c r="M239" t="s">
        <v>5992</v>
      </c>
      <c r="N239" t="s">
        <v>5954</v>
      </c>
      <c r="O239" t="s">
        <v>5993</v>
      </c>
      <c r="P239" t="s">
        <v>5051</v>
      </c>
      <c r="Q239" t="s">
        <v>5994</v>
      </c>
      <c r="R239" t="b">
        <v>0</v>
      </c>
      <c r="S239" t="s">
        <v>6287</v>
      </c>
    </row>
    <row r="240" spans="1:19" ht="11.25" customHeight="1">
      <c r="A240">
        <v>2655</v>
      </c>
      <c r="B240" t="s">
        <v>114</v>
      </c>
      <c r="C240">
        <v>26356987</v>
      </c>
      <c r="D240" t="s">
        <v>5350</v>
      </c>
      <c r="E240" t="s">
        <v>5351</v>
      </c>
      <c r="F240" t="s">
        <v>5352</v>
      </c>
      <c r="G240" t="s">
        <v>5353</v>
      </c>
      <c r="H240" t="s">
        <v>5354</v>
      </c>
      <c r="I240" t="s">
        <v>5355</v>
      </c>
      <c r="J240" t="s">
        <v>5242</v>
      </c>
      <c r="K240" t="s">
        <v>5356</v>
      </c>
      <c r="L240" t="s">
        <v>5356</v>
      </c>
      <c r="M240" t="s">
        <v>5357</v>
      </c>
      <c r="N240" t="s">
        <v>5358</v>
      </c>
      <c r="O240" t="s">
        <v>5359</v>
      </c>
      <c r="P240" t="s">
        <v>5051</v>
      </c>
      <c r="Q240" t="s">
        <v>5360</v>
      </c>
      <c r="R240" t="b">
        <v>0</v>
      </c>
      <c r="S240" t="s">
        <v>6287</v>
      </c>
    </row>
    <row r="241" spans="1:19" ht="11.25" customHeight="1">
      <c r="A241">
        <v>2655</v>
      </c>
      <c r="B241" t="s">
        <v>114</v>
      </c>
      <c r="C241">
        <v>30856223</v>
      </c>
      <c r="D241" t="s">
        <v>5995</v>
      </c>
      <c r="E241" t="s">
        <v>5996</v>
      </c>
      <c r="F241" t="s">
        <v>5997</v>
      </c>
      <c r="G241" t="s">
        <v>4980</v>
      </c>
      <c r="H241" t="s">
        <v>5998</v>
      </c>
      <c r="I241" t="s">
        <v>5999</v>
      </c>
      <c r="J241" t="s">
        <v>5242</v>
      </c>
      <c r="K241" t="s">
        <v>6000</v>
      </c>
      <c r="L241" t="s">
        <v>6000</v>
      </c>
      <c r="M241" t="s">
        <v>6001</v>
      </c>
      <c r="N241" t="s">
        <v>6002</v>
      </c>
      <c r="O241" t="s">
        <v>6003</v>
      </c>
      <c r="P241" t="s">
        <v>5030</v>
      </c>
      <c r="Q241" t="s">
        <v>6004</v>
      </c>
      <c r="R241" t="b">
        <v>0</v>
      </c>
      <c r="S241" t="s">
        <v>6287</v>
      </c>
    </row>
    <row r="242" spans="1:19" ht="11.25" customHeight="1">
      <c r="A242">
        <v>2655</v>
      </c>
      <c r="B242" t="s">
        <v>114</v>
      </c>
      <c r="C242">
        <v>27566835</v>
      </c>
      <c r="D242" t="s">
        <v>6024</v>
      </c>
      <c r="E242" t="s">
        <v>6025</v>
      </c>
      <c r="F242" t="s">
        <v>6026</v>
      </c>
      <c r="G242" t="s">
        <v>5180</v>
      </c>
      <c r="H242" t="s">
        <v>6027</v>
      </c>
      <c r="I242" t="s">
        <v>6028</v>
      </c>
      <c r="J242" t="s">
        <v>5242</v>
      </c>
      <c r="K242" t="s">
        <v>6029</v>
      </c>
      <c r="L242" t="s">
        <v>6029</v>
      </c>
      <c r="M242" t="s">
        <v>6030</v>
      </c>
      <c r="N242" t="s">
        <v>5194</v>
      </c>
      <c r="O242" t="s">
        <v>6031</v>
      </c>
      <c r="P242" t="s">
        <v>5088</v>
      </c>
      <c r="Q242" t="s">
        <v>190</v>
      </c>
      <c r="R242" t="b">
        <v>0</v>
      </c>
      <c r="S242" t="s">
        <v>6287</v>
      </c>
    </row>
    <row r="243" spans="1:19" ht="11.25" customHeight="1">
      <c r="A243">
        <v>2655</v>
      </c>
      <c r="B243" t="s">
        <v>114</v>
      </c>
      <c r="C243">
        <v>31229342</v>
      </c>
      <c r="D243" t="s">
        <v>6032</v>
      </c>
      <c r="E243" t="s">
        <v>6033</v>
      </c>
      <c r="F243" t="s">
        <v>6034</v>
      </c>
      <c r="G243" t="s">
        <v>5199</v>
      </c>
      <c r="H243" t="s">
        <v>6035</v>
      </c>
      <c r="I243" t="s">
        <v>6036</v>
      </c>
      <c r="J243" t="s">
        <v>5242</v>
      </c>
      <c r="K243" t="s">
        <v>6037</v>
      </c>
      <c r="L243" t="s">
        <v>6037</v>
      </c>
      <c r="M243" t="s">
        <v>6038</v>
      </c>
      <c r="N243" t="s">
        <v>6039</v>
      </c>
      <c r="O243" t="s">
        <v>6040</v>
      </c>
      <c r="P243" t="s">
        <v>5030</v>
      </c>
      <c r="Q243" t="s">
        <v>243</v>
      </c>
      <c r="R243" t="b">
        <v>0</v>
      </c>
      <c r="S243" t="s">
        <v>6287</v>
      </c>
    </row>
    <row r="244" spans="1:19" ht="11.25" customHeight="1">
      <c r="A244">
        <v>2655</v>
      </c>
      <c r="B244" t="s">
        <v>114</v>
      </c>
      <c r="C244">
        <v>31690080</v>
      </c>
      <c r="D244" t="s">
        <v>6041</v>
      </c>
      <c r="E244" t="s">
        <v>6042</v>
      </c>
      <c r="F244" t="s">
        <v>6043</v>
      </c>
      <c r="G244" t="s">
        <v>5199</v>
      </c>
      <c r="H244" t="s">
        <v>6044</v>
      </c>
      <c r="I244" t="s">
        <v>6045</v>
      </c>
      <c r="K244" t="s">
        <v>6046</v>
      </c>
      <c r="L244" t="s">
        <v>6046</v>
      </c>
      <c r="M244" t="s">
        <v>6047</v>
      </c>
      <c r="N244" t="s">
        <v>6048</v>
      </c>
      <c r="O244" t="s">
        <v>6049</v>
      </c>
      <c r="P244" t="s">
        <v>5088</v>
      </c>
      <c r="Q244" t="s">
        <v>243</v>
      </c>
      <c r="R244" t="b">
        <v>1</v>
      </c>
      <c r="S244" t="s">
        <v>6287</v>
      </c>
    </row>
    <row r="245" spans="1:19" ht="11.25" customHeight="1">
      <c r="A245">
        <v>2655</v>
      </c>
      <c r="B245" t="s">
        <v>114</v>
      </c>
      <c r="C245">
        <v>30856253</v>
      </c>
      <c r="D245" t="s">
        <v>6067</v>
      </c>
      <c r="E245" t="s">
        <v>6068</v>
      </c>
      <c r="F245" t="s">
        <v>6069</v>
      </c>
      <c r="G245" t="s">
        <v>5034</v>
      </c>
      <c r="H245" t="s">
        <v>6070</v>
      </c>
      <c r="I245" t="s">
        <v>6071</v>
      </c>
      <c r="J245" t="s">
        <v>5242</v>
      </c>
      <c r="K245" t="s">
        <v>6072</v>
      </c>
      <c r="L245" t="s">
        <v>6072</v>
      </c>
      <c r="M245" t="s">
        <v>6073</v>
      </c>
      <c r="N245" t="s">
        <v>6074</v>
      </c>
      <c r="O245" t="s">
        <v>6075</v>
      </c>
      <c r="P245" t="s">
        <v>5088</v>
      </c>
      <c r="Q245" t="s">
        <v>243</v>
      </c>
      <c r="R245" t="b">
        <v>0</v>
      </c>
      <c r="S245" t="s">
        <v>6287</v>
      </c>
    </row>
    <row r="246" spans="1:19" ht="11.25" customHeight="1">
      <c r="A246">
        <v>2655</v>
      </c>
      <c r="B246" t="s">
        <v>114</v>
      </c>
      <c r="C246">
        <v>33000042</v>
      </c>
      <c r="D246" t="s">
        <v>6076</v>
      </c>
      <c r="E246" t="s">
        <v>6077</v>
      </c>
      <c r="F246" t="s">
        <v>6078</v>
      </c>
      <c r="G246" t="s">
        <v>5277</v>
      </c>
      <c r="H246" t="s">
        <v>6079</v>
      </c>
      <c r="I246" t="s">
        <v>6080</v>
      </c>
      <c r="K246" t="s">
        <v>6081</v>
      </c>
      <c r="L246" t="s">
        <v>6082</v>
      </c>
      <c r="M246" t="s">
        <v>6083</v>
      </c>
      <c r="N246" t="s">
        <v>6084</v>
      </c>
      <c r="O246" t="s">
        <v>5284</v>
      </c>
      <c r="P246" t="s">
        <v>6085</v>
      </c>
      <c r="Q246" t="s">
        <v>243</v>
      </c>
      <c r="R246" t="b">
        <v>0</v>
      </c>
      <c r="S246" t="s">
        <v>6287</v>
      </c>
    </row>
    <row r="247" spans="1:19" ht="11.25" customHeight="1">
      <c r="A247">
        <v>2655</v>
      </c>
      <c r="B247" t="s">
        <v>114</v>
      </c>
      <c r="C247">
        <v>26517842</v>
      </c>
      <c r="D247" t="s">
        <v>6086</v>
      </c>
      <c r="E247" t="s">
        <v>6087</v>
      </c>
      <c r="F247" t="s">
        <v>6088</v>
      </c>
      <c r="G247" t="s">
        <v>5180</v>
      </c>
      <c r="H247" t="s">
        <v>6089</v>
      </c>
      <c r="I247" t="s">
        <v>6090</v>
      </c>
      <c r="J247" t="s">
        <v>5242</v>
      </c>
      <c r="K247" t="s">
        <v>6091</v>
      </c>
      <c r="L247" t="s">
        <v>4961</v>
      </c>
      <c r="M247" t="s">
        <v>6092</v>
      </c>
      <c r="N247" t="s">
        <v>6093</v>
      </c>
      <c r="O247" t="s">
        <v>6094</v>
      </c>
      <c r="P247" t="s">
        <v>5030</v>
      </c>
      <c r="Q247" t="s">
        <v>243</v>
      </c>
      <c r="R247" t="b">
        <v>0</v>
      </c>
      <c r="S247" t="s">
        <v>6287</v>
      </c>
    </row>
    <row r="248" spans="1:19" ht="11.25" customHeight="1">
      <c r="A248">
        <v>2655</v>
      </c>
      <c r="B248" t="s">
        <v>114</v>
      </c>
      <c r="C248">
        <v>31473621</v>
      </c>
      <c r="D248" t="s">
        <v>6095</v>
      </c>
      <c r="E248" t="s">
        <v>6096</v>
      </c>
      <c r="F248" t="s">
        <v>6097</v>
      </c>
      <c r="G248" t="s">
        <v>5123</v>
      </c>
      <c r="H248" t="s">
        <v>6098</v>
      </c>
      <c r="I248" t="s">
        <v>6099</v>
      </c>
      <c r="J248" t="s">
        <v>5242</v>
      </c>
      <c r="K248" t="s">
        <v>6100</v>
      </c>
      <c r="L248" t="s">
        <v>6100</v>
      </c>
      <c r="M248" t="s">
        <v>6101</v>
      </c>
      <c r="N248" t="s">
        <v>6102</v>
      </c>
      <c r="O248" t="s">
        <v>6103</v>
      </c>
      <c r="P248" t="s">
        <v>5030</v>
      </c>
      <c r="Q248" t="s">
        <v>6104</v>
      </c>
      <c r="R248" t="b">
        <v>0</v>
      </c>
      <c r="S248" t="s">
        <v>6287</v>
      </c>
    </row>
    <row r="249" spans="1:19" ht="11.25" customHeight="1">
      <c r="A249">
        <v>2655</v>
      </c>
      <c r="B249" t="s">
        <v>114</v>
      </c>
      <c r="C249">
        <v>31004851</v>
      </c>
      <c r="D249" t="s">
        <v>6105</v>
      </c>
      <c r="E249" t="s">
        <v>6106</v>
      </c>
      <c r="F249" t="s">
        <v>6107</v>
      </c>
      <c r="G249" t="s">
        <v>4980</v>
      </c>
      <c r="H249" t="s">
        <v>6108</v>
      </c>
      <c r="I249" t="s">
        <v>6109</v>
      </c>
      <c r="J249" t="s">
        <v>5242</v>
      </c>
      <c r="K249" t="s">
        <v>6110</v>
      </c>
      <c r="L249" t="s">
        <v>6111</v>
      </c>
      <c r="M249" t="s">
        <v>6112</v>
      </c>
      <c r="N249" t="s">
        <v>6113</v>
      </c>
      <c r="O249" t="s">
        <v>6114</v>
      </c>
      <c r="P249" t="s">
        <v>243</v>
      </c>
      <c r="Q249" t="s">
        <v>243</v>
      </c>
      <c r="R249" t="b">
        <v>0</v>
      </c>
      <c r="S249" t="s">
        <v>6287</v>
      </c>
    </row>
    <row r="250" spans="1:19" ht="11.25" customHeight="1">
      <c r="A250">
        <v>2655</v>
      </c>
      <c r="B250" t="s">
        <v>114</v>
      </c>
      <c r="C250">
        <v>26356976</v>
      </c>
      <c r="D250" t="s">
        <v>6115</v>
      </c>
      <c r="E250" t="s">
        <v>6116</v>
      </c>
      <c r="F250" t="s">
        <v>6117</v>
      </c>
      <c r="G250" t="s">
        <v>5343</v>
      </c>
      <c r="H250" t="s">
        <v>6118</v>
      </c>
      <c r="I250" t="s">
        <v>6119</v>
      </c>
      <c r="J250" t="s">
        <v>5242</v>
      </c>
      <c r="K250" t="s">
        <v>6120</v>
      </c>
      <c r="L250" t="s">
        <v>6120</v>
      </c>
      <c r="M250" t="s">
        <v>6121</v>
      </c>
      <c r="N250" t="s">
        <v>6122</v>
      </c>
      <c r="O250" t="s">
        <v>6123</v>
      </c>
      <c r="P250" t="s">
        <v>4997</v>
      </c>
      <c r="Q250" t="s">
        <v>6124</v>
      </c>
      <c r="R250" t="b">
        <v>0</v>
      </c>
      <c r="S250" t="s">
        <v>6287</v>
      </c>
    </row>
    <row r="251" spans="1:19" ht="11.25" customHeight="1">
      <c r="A251">
        <v>2655</v>
      </c>
      <c r="B251" t="s">
        <v>114</v>
      </c>
      <c r="C251">
        <v>28274482</v>
      </c>
      <c r="D251" t="s">
        <v>6125</v>
      </c>
      <c r="E251" t="s">
        <v>6126</v>
      </c>
      <c r="F251" t="s">
        <v>6127</v>
      </c>
      <c r="G251" t="s">
        <v>5034</v>
      </c>
      <c r="H251" t="s">
        <v>6128</v>
      </c>
      <c r="I251" t="s">
        <v>6129</v>
      </c>
      <c r="J251" t="s">
        <v>5242</v>
      </c>
      <c r="K251" t="s">
        <v>6130</v>
      </c>
      <c r="L251" t="s">
        <v>6131</v>
      </c>
      <c r="M251" t="s">
        <v>5327</v>
      </c>
      <c r="N251" t="s">
        <v>6132</v>
      </c>
      <c r="O251" t="s">
        <v>5329</v>
      </c>
      <c r="P251" t="s">
        <v>5088</v>
      </c>
      <c r="Q251" t="s">
        <v>243</v>
      </c>
      <c r="R251" t="b">
        <v>0</v>
      </c>
      <c r="S251" t="s">
        <v>6287</v>
      </c>
    </row>
    <row r="252" spans="1:19" ht="11.25" customHeight="1">
      <c r="A252">
        <v>2655</v>
      </c>
      <c r="B252" t="s">
        <v>114</v>
      </c>
      <c r="C252">
        <v>31224454</v>
      </c>
      <c r="D252" t="s">
        <v>6133</v>
      </c>
      <c r="E252" t="s">
        <v>6134</v>
      </c>
      <c r="F252" t="s">
        <v>6135</v>
      </c>
      <c r="G252" t="s">
        <v>4980</v>
      </c>
      <c r="H252" t="s">
        <v>6136</v>
      </c>
      <c r="I252" t="s">
        <v>6137</v>
      </c>
      <c r="J252" t="s">
        <v>5242</v>
      </c>
      <c r="K252" t="s">
        <v>6138</v>
      </c>
      <c r="L252" t="s">
        <v>6138</v>
      </c>
      <c r="M252" t="s">
        <v>6139</v>
      </c>
      <c r="N252" t="s">
        <v>6140</v>
      </c>
      <c r="O252" t="s">
        <v>6141</v>
      </c>
      <c r="P252" t="s">
        <v>5030</v>
      </c>
      <c r="Q252" t="s">
        <v>243</v>
      </c>
      <c r="R252" t="b">
        <v>0</v>
      </c>
      <c r="S252" t="s">
        <v>6287</v>
      </c>
    </row>
    <row r="253" spans="1:19" ht="11.25" customHeight="1">
      <c r="A253">
        <v>2655</v>
      </c>
      <c r="B253" t="s">
        <v>114</v>
      </c>
      <c r="C253">
        <v>31534676</v>
      </c>
      <c r="D253" t="s">
        <v>6159</v>
      </c>
      <c r="E253" t="s">
        <v>6160</v>
      </c>
      <c r="F253" t="s">
        <v>6161</v>
      </c>
      <c r="G253" t="s">
        <v>5123</v>
      </c>
      <c r="H253" t="s">
        <v>6162</v>
      </c>
      <c r="I253" t="s">
        <v>6163</v>
      </c>
      <c r="K253" t="s">
        <v>6164</v>
      </c>
      <c r="L253" t="s">
        <v>6165</v>
      </c>
      <c r="M253" t="s">
        <v>6166</v>
      </c>
      <c r="N253" t="s">
        <v>6167</v>
      </c>
      <c r="O253" t="s">
        <v>6168</v>
      </c>
      <c r="P253" t="s">
        <v>5088</v>
      </c>
      <c r="Q253" t="s">
        <v>243</v>
      </c>
      <c r="R253" t="b">
        <v>0</v>
      </c>
      <c r="S253" t="s">
        <v>6287</v>
      </c>
    </row>
    <row r="254" spans="1:19" ht="11.25" customHeight="1">
      <c r="A254">
        <v>2655</v>
      </c>
      <c r="B254" t="s">
        <v>114</v>
      </c>
      <c r="C254">
        <v>26356899</v>
      </c>
      <c r="D254" t="s">
        <v>6169</v>
      </c>
      <c r="E254" t="s">
        <v>6170</v>
      </c>
      <c r="F254" t="s">
        <v>6171</v>
      </c>
      <c r="G254" t="s">
        <v>6172</v>
      </c>
      <c r="H254" t="s">
        <v>6173</v>
      </c>
      <c r="I254" t="s">
        <v>243</v>
      </c>
      <c r="J254" t="s">
        <v>5242</v>
      </c>
      <c r="K254" t="s">
        <v>5431</v>
      </c>
      <c r="L254" t="s">
        <v>5431</v>
      </c>
      <c r="M254" t="s">
        <v>6174</v>
      </c>
      <c r="N254" t="s">
        <v>243</v>
      </c>
      <c r="O254" t="s">
        <v>5433</v>
      </c>
      <c r="P254" t="s">
        <v>5088</v>
      </c>
      <c r="Q254" t="s">
        <v>243</v>
      </c>
      <c r="R254" t="b">
        <v>0</v>
      </c>
      <c r="S254" t="s">
        <v>6287</v>
      </c>
    </row>
    <row r="255" spans="1:19" ht="11.25" customHeight="1">
      <c r="A255">
        <v>2655</v>
      </c>
      <c r="B255" t="s">
        <v>114</v>
      </c>
      <c r="C255">
        <v>31224507</v>
      </c>
      <c r="D255" t="s">
        <v>6175</v>
      </c>
      <c r="E255" t="s">
        <v>6176</v>
      </c>
      <c r="F255" t="s">
        <v>6177</v>
      </c>
      <c r="G255" t="s">
        <v>6178</v>
      </c>
      <c r="H255" t="s">
        <v>6179</v>
      </c>
      <c r="I255" t="s">
        <v>6180</v>
      </c>
      <c r="J255" t="s">
        <v>5242</v>
      </c>
      <c r="K255" t="s">
        <v>6181</v>
      </c>
      <c r="L255" t="s">
        <v>6181</v>
      </c>
      <c r="M255" t="s">
        <v>6182</v>
      </c>
      <c r="N255" t="s">
        <v>6183</v>
      </c>
      <c r="O255" t="s">
        <v>6141</v>
      </c>
      <c r="P255" t="s">
        <v>5030</v>
      </c>
      <c r="Q255" t="s">
        <v>243</v>
      </c>
      <c r="R255" t="b">
        <v>0</v>
      </c>
      <c r="S255" t="s">
        <v>6287</v>
      </c>
    </row>
    <row r="256" spans="1:19" ht="11.25" customHeight="1">
      <c r="A256">
        <v>2655</v>
      </c>
      <c r="B256" t="s">
        <v>114</v>
      </c>
      <c r="C256">
        <v>27968109</v>
      </c>
      <c r="D256" t="s">
        <v>6184</v>
      </c>
      <c r="E256" t="s">
        <v>6185</v>
      </c>
      <c r="F256" t="s">
        <v>6186</v>
      </c>
      <c r="G256" t="s">
        <v>149</v>
      </c>
      <c r="H256" t="s">
        <v>6187</v>
      </c>
      <c r="I256" t="s">
        <v>6188</v>
      </c>
      <c r="J256" t="s">
        <v>5242</v>
      </c>
      <c r="K256" t="s">
        <v>6189</v>
      </c>
      <c r="L256" t="s">
        <v>6189</v>
      </c>
      <c r="M256" t="s">
        <v>6190</v>
      </c>
      <c r="N256" t="s">
        <v>6191</v>
      </c>
      <c r="O256" t="s">
        <v>6192</v>
      </c>
      <c r="P256" t="s">
        <v>5030</v>
      </c>
      <c r="Q256" t="s">
        <v>6193</v>
      </c>
      <c r="R256" t="b">
        <v>0</v>
      </c>
      <c r="S256" t="s">
        <v>6287</v>
      </c>
    </row>
    <row r="257" spans="1:19" ht="11.25" customHeight="1">
      <c r="A257">
        <v>2655</v>
      </c>
      <c r="B257" t="s">
        <v>114</v>
      </c>
      <c r="C257">
        <v>28270293</v>
      </c>
      <c r="D257" t="s">
        <v>5407</v>
      </c>
      <c r="E257" t="s">
        <v>5408</v>
      </c>
      <c r="F257" t="s">
        <v>5409</v>
      </c>
      <c r="G257" t="s">
        <v>5180</v>
      </c>
      <c r="H257" t="s">
        <v>5410</v>
      </c>
      <c r="I257" t="s">
        <v>5411</v>
      </c>
      <c r="J257" t="s">
        <v>5242</v>
      </c>
      <c r="K257" t="s">
        <v>5412</v>
      </c>
      <c r="L257" t="s">
        <v>5412</v>
      </c>
      <c r="M257" t="s">
        <v>5413</v>
      </c>
      <c r="N257" t="s">
        <v>5414</v>
      </c>
      <c r="O257" t="s">
        <v>5415</v>
      </c>
      <c r="P257" t="s">
        <v>5030</v>
      </c>
      <c r="Q257" t="s">
        <v>243</v>
      </c>
      <c r="R257" t="b">
        <v>0</v>
      </c>
      <c r="S257" t="s">
        <v>6287</v>
      </c>
    </row>
    <row r="258" spans="1:19" ht="11.25" customHeight="1">
      <c r="A258">
        <v>2655</v>
      </c>
      <c r="B258" t="s">
        <v>114</v>
      </c>
      <c r="C258">
        <v>28873362</v>
      </c>
      <c r="D258" t="s">
        <v>5416</v>
      </c>
      <c r="E258" t="s">
        <v>5417</v>
      </c>
      <c r="F258" t="s">
        <v>5418</v>
      </c>
      <c r="G258" t="s">
        <v>149</v>
      </c>
      <c r="H258" t="s">
        <v>5419</v>
      </c>
      <c r="I258" t="s">
        <v>5420</v>
      </c>
      <c r="J258" t="s">
        <v>5242</v>
      </c>
      <c r="K258" t="s">
        <v>5421</v>
      </c>
      <c r="L258" t="s">
        <v>5421</v>
      </c>
      <c r="M258" t="s">
        <v>5422</v>
      </c>
      <c r="N258" t="s">
        <v>5423</v>
      </c>
      <c r="O258" t="s">
        <v>5424</v>
      </c>
      <c r="P258" t="s">
        <v>5088</v>
      </c>
      <c r="Q258" t="s">
        <v>5425</v>
      </c>
      <c r="R258" t="b">
        <v>0</v>
      </c>
      <c r="S258" t="s">
        <v>6287</v>
      </c>
    </row>
    <row r="259" spans="1:19" ht="11.25" customHeight="1">
      <c r="A259">
        <v>2655</v>
      </c>
      <c r="B259" t="s">
        <v>114</v>
      </c>
      <c r="C259">
        <v>30992391</v>
      </c>
      <c r="D259" t="s">
        <v>5434</v>
      </c>
      <c r="E259" t="s">
        <v>5435</v>
      </c>
      <c r="F259" t="s">
        <v>5436</v>
      </c>
      <c r="G259" t="s">
        <v>5080</v>
      </c>
      <c r="H259" t="s">
        <v>5437</v>
      </c>
      <c r="I259" t="s">
        <v>5438</v>
      </c>
      <c r="J259" t="s">
        <v>5242</v>
      </c>
      <c r="K259" t="s">
        <v>5439</v>
      </c>
      <c r="L259" t="s">
        <v>5440</v>
      </c>
      <c r="M259" t="s">
        <v>5441</v>
      </c>
      <c r="N259" t="s">
        <v>5442</v>
      </c>
      <c r="O259" t="s">
        <v>5443</v>
      </c>
      <c r="P259" t="s">
        <v>5088</v>
      </c>
      <c r="Q259" t="s">
        <v>5444</v>
      </c>
      <c r="R259" t="b">
        <v>0</v>
      </c>
      <c r="S259" t="s">
        <v>6287</v>
      </c>
    </row>
    <row r="260" spans="1:19" ht="11.25" customHeight="1">
      <c r="A260">
        <v>2655</v>
      </c>
      <c r="B260" t="s">
        <v>114</v>
      </c>
      <c r="C260">
        <v>26356974</v>
      </c>
      <c r="D260" t="s">
        <v>6221</v>
      </c>
      <c r="E260" t="s">
        <v>6222</v>
      </c>
      <c r="F260" t="s">
        <v>6223</v>
      </c>
      <c r="G260" t="s">
        <v>6224</v>
      </c>
      <c r="H260" t="s">
        <v>6225</v>
      </c>
      <c r="I260" t="s">
        <v>6226</v>
      </c>
      <c r="J260" t="s">
        <v>5242</v>
      </c>
      <c r="K260" t="s">
        <v>6227</v>
      </c>
      <c r="L260" t="s">
        <v>6227</v>
      </c>
      <c r="M260" t="s">
        <v>6228</v>
      </c>
      <c r="N260" t="s">
        <v>6229</v>
      </c>
      <c r="O260" t="s">
        <v>6230</v>
      </c>
      <c r="P260" t="s">
        <v>5088</v>
      </c>
      <c r="Q260" t="s">
        <v>6231</v>
      </c>
      <c r="R260" t="b">
        <v>0</v>
      </c>
      <c r="S260" t="s">
        <v>6287</v>
      </c>
    </row>
    <row r="261" spans="1:19" ht="11.25" customHeight="1">
      <c r="A261">
        <v>2655</v>
      </c>
      <c r="B261" t="s">
        <v>114</v>
      </c>
      <c r="C261">
        <v>31038861</v>
      </c>
      <c r="D261" t="s">
        <v>6241</v>
      </c>
      <c r="E261" t="s">
        <v>6242</v>
      </c>
      <c r="F261" t="s">
        <v>6243</v>
      </c>
      <c r="G261" t="s">
        <v>4980</v>
      </c>
      <c r="H261" t="s">
        <v>6244</v>
      </c>
      <c r="I261" t="s">
        <v>6245</v>
      </c>
      <c r="J261" t="s">
        <v>5242</v>
      </c>
      <c r="K261" t="s">
        <v>6246</v>
      </c>
      <c r="L261" t="s">
        <v>6247</v>
      </c>
      <c r="M261" t="s">
        <v>6248</v>
      </c>
      <c r="N261" t="s">
        <v>6249</v>
      </c>
      <c r="O261" t="s">
        <v>6250</v>
      </c>
      <c r="P261" t="s">
        <v>5030</v>
      </c>
      <c r="Q261" t="s">
        <v>243</v>
      </c>
      <c r="R261" t="b">
        <v>0</v>
      </c>
      <c r="S261" t="s">
        <v>6287</v>
      </c>
    </row>
    <row r="262" spans="1:19" ht="11.25" customHeight="1">
      <c r="A262">
        <v>2655</v>
      </c>
      <c r="B262" t="s">
        <v>114</v>
      </c>
      <c r="C262">
        <v>26519663</v>
      </c>
      <c r="D262" t="s">
        <v>6251</v>
      </c>
      <c r="E262" t="s">
        <v>6252</v>
      </c>
      <c r="F262" t="s">
        <v>6253</v>
      </c>
      <c r="G262" t="s">
        <v>5142</v>
      </c>
      <c r="H262" t="s">
        <v>6254</v>
      </c>
      <c r="I262" t="s">
        <v>6255</v>
      </c>
      <c r="J262" t="s">
        <v>156</v>
      </c>
      <c r="K262" t="s">
        <v>6256</v>
      </c>
      <c r="L262" t="s">
        <v>6256</v>
      </c>
      <c r="M262" t="s">
        <v>6257</v>
      </c>
      <c r="N262" t="s">
        <v>6258</v>
      </c>
      <c r="O262" t="s">
        <v>6259</v>
      </c>
      <c r="P262" t="s">
        <v>4997</v>
      </c>
      <c r="Q262" t="s">
        <v>6260</v>
      </c>
      <c r="R262" t="b">
        <v>0</v>
      </c>
      <c r="S262" t="s">
        <v>6287</v>
      </c>
    </row>
    <row r="263" spans="1:19" ht="11.25" customHeight="1">
      <c r="A263">
        <v>2655</v>
      </c>
      <c r="B263" t="s">
        <v>114</v>
      </c>
      <c r="C263">
        <v>28977129</v>
      </c>
      <c r="D263" t="s">
        <v>6268</v>
      </c>
      <c r="E263" t="s">
        <v>6269</v>
      </c>
      <c r="F263" t="s">
        <v>5446</v>
      </c>
      <c r="G263" t="s">
        <v>6270</v>
      </c>
      <c r="H263" t="s">
        <v>5448</v>
      </c>
      <c r="I263" t="s">
        <v>5463</v>
      </c>
      <c r="J263" t="s">
        <v>5450</v>
      </c>
      <c r="K263" t="s">
        <v>6271</v>
      </c>
      <c r="L263" t="s">
        <v>6272</v>
      </c>
      <c r="M263" t="s">
        <v>6273</v>
      </c>
      <c r="N263" t="s">
        <v>243</v>
      </c>
      <c r="O263" t="s">
        <v>6274</v>
      </c>
      <c r="P263" t="s">
        <v>5088</v>
      </c>
      <c r="Q263" t="s">
        <v>243</v>
      </c>
      <c r="R263" t="b">
        <v>0</v>
      </c>
      <c r="S263" t="s">
        <v>6287</v>
      </c>
    </row>
    <row r="264" spans="1:19" ht="11.25" customHeight="1">
      <c r="A264">
        <v>2655</v>
      </c>
      <c r="B264" t="s">
        <v>114</v>
      </c>
      <c r="C264">
        <v>30914574</v>
      </c>
      <c r="D264" t="s">
        <v>6275</v>
      </c>
      <c r="E264" t="s">
        <v>6276</v>
      </c>
      <c r="F264" t="s">
        <v>6277</v>
      </c>
      <c r="G264" t="s">
        <v>6278</v>
      </c>
      <c r="H264" t="s">
        <v>6279</v>
      </c>
      <c r="I264" t="s">
        <v>6280</v>
      </c>
      <c r="J264" t="s">
        <v>6281</v>
      </c>
      <c r="K264" t="s">
        <v>243</v>
      </c>
      <c r="L264" t="s">
        <v>6282</v>
      </c>
      <c r="M264" t="s">
        <v>6283</v>
      </c>
      <c r="N264" t="s">
        <v>6284</v>
      </c>
      <c r="O264" t="s">
        <v>6285</v>
      </c>
      <c r="P264" t="s">
        <v>6286</v>
      </c>
      <c r="Q264" t="s">
        <v>243</v>
      </c>
      <c r="R264" t="b">
        <v>0</v>
      </c>
      <c r="S264" t="s">
        <v>6287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FEBA-3538-4B97-3F4C-E3C8F7A1F1FF}">
  <sheetPr>
    <tabColor theme="3" tint="0.59999389629810485"/>
    <pageSetUpPr fitToPage="1"/>
  </sheetPr>
  <dimension ref="A1:BE252"/>
  <sheetViews>
    <sheetView showGridLines="0" topLeftCell="AA36" workbookViewId="0">
      <selection activeCell="AE38" sqref="AE38"/>
    </sheetView>
  </sheetViews>
  <sheetFormatPr defaultColWidth="9.140625" defaultRowHeight="19.5" customHeight="1"/>
  <cols>
    <col min="1" max="1" width="3.5703125" style="1155" hidden="1" customWidth="1"/>
    <col min="2" max="2" width="8.5703125" style="783" hidden="1" customWidth="1"/>
    <col min="3" max="4" width="3.5703125" style="1155" hidden="1" customWidth="1"/>
    <col min="5" max="5" width="8.42578125" style="782" hidden="1" customWidth="1"/>
    <col min="6" max="6" width="3.5703125" style="814" hidden="1" customWidth="1"/>
    <col min="7" max="7" width="8.140625" style="1155" hidden="1" customWidth="1"/>
    <col min="8" max="13" width="3.5703125" style="1155" hidden="1" customWidth="1"/>
    <col min="14" max="14" width="6.42578125" style="1155" hidden="1" customWidth="1"/>
    <col min="15" max="18" width="3.5703125" style="1155" hidden="1" customWidth="1"/>
    <col min="19" max="19" width="25.28515625" style="1058" hidden="1" customWidth="1"/>
    <col min="20" max="20" width="12.5703125" style="1059" hidden="1" customWidth="1"/>
    <col min="21" max="22" width="3.5703125" style="1155" hidden="1" customWidth="1"/>
    <col min="23" max="23" width="7.85546875" style="1155" hidden="1" customWidth="1"/>
    <col min="24" max="24" width="7.7109375" style="1155" hidden="1" customWidth="1"/>
    <col min="25" max="25" width="6.28515625" style="1155" hidden="1" customWidth="1"/>
    <col min="26" max="26" width="7" style="1155" hidden="1" customWidth="1"/>
    <col min="27" max="27" width="3" style="699" customWidth="1"/>
    <col min="28" max="28" width="12.140625" style="814" customWidth="1"/>
    <col min="29" max="29" width="18.140625" style="814" customWidth="1"/>
    <col min="30" max="30" width="57" style="814" customWidth="1"/>
    <col min="31" max="31" width="48.140625" style="814" customWidth="1"/>
    <col min="32" max="32" width="3" style="365" customWidth="1"/>
    <col min="33" max="33" width="59.42578125" style="1156" hidden="1" customWidth="1"/>
    <col min="34" max="36" width="16.7109375" style="1156" hidden="1" customWidth="1"/>
    <col min="37" max="37" width="8.42578125" style="1156" hidden="1" customWidth="1"/>
    <col min="38" max="38" width="10.28515625" style="1156" hidden="1" customWidth="1"/>
    <col min="39" max="40" width="9.140625" style="1156" hidden="1"/>
    <col min="41" max="57" width="9.140625" style="1060" hidden="1"/>
  </cols>
  <sheetData>
    <row r="1" spans="1:57" s="1155" customFormat="1" ht="12" hidden="1" customHeight="1">
      <c r="B1" s="667"/>
      <c r="E1" s="667"/>
      <c r="F1" s="164"/>
      <c r="N1" s="698" t="s">
        <v>83</v>
      </c>
      <c r="S1" s="1048" t="s">
        <v>84</v>
      </c>
      <c r="T1" s="1048" t="s">
        <v>85</v>
      </c>
      <c r="W1" s="698" t="s">
        <v>86</v>
      </c>
      <c r="X1" s="687" t="s">
        <v>87</v>
      </c>
      <c r="Y1" s="687" t="s">
        <v>88</v>
      </c>
      <c r="Z1" s="698" t="s">
        <v>89</v>
      </c>
      <c r="AA1" s="698" t="s">
        <v>90</v>
      </c>
      <c r="AD1" s="687" t="s">
        <v>91</v>
      </c>
      <c r="AE1" s="687" t="s">
        <v>92</v>
      </c>
      <c r="AF1" s="698" t="s">
        <v>93</v>
      </c>
      <c r="AO1" s="1049" t="s">
        <v>94</v>
      </c>
      <c r="AP1" s="1049" t="s">
        <v>95</v>
      </c>
      <c r="AQ1" s="1049" t="s">
        <v>96</v>
      </c>
      <c r="AR1" s="1049" t="s">
        <v>97</v>
      </c>
      <c r="AS1" s="1049" t="s">
        <v>98</v>
      </c>
      <c r="AT1" s="1049" t="s">
        <v>99</v>
      </c>
      <c r="AU1" s="1049" t="s">
        <v>100</v>
      </c>
      <c r="AV1" s="1049" t="s">
        <v>101</v>
      </c>
      <c r="AW1" s="1049" t="s">
        <v>102</v>
      </c>
      <c r="AX1" s="1049" t="s">
        <v>103</v>
      </c>
      <c r="AY1" s="1049" t="s">
        <v>104</v>
      </c>
      <c r="AZ1" s="1049" t="s">
        <v>105</v>
      </c>
      <c r="BA1" s="1049" t="s">
        <v>106</v>
      </c>
      <c r="BB1" s="1049" t="s">
        <v>107</v>
      </c>
      <c r="BC1" s="1049" t="s">
        <v>108</v>
      </c>
      <c r="BD1" s="1049" t="s">
        <v>109</v>
      </c>
      <c r="BE1" s="1049" t="s">
        <v>110</v>
      </c>
    </row>
    <row r="2" spans="1:57" s="783" customFormat="1" ht="12" hidden="1" customHeight="1">
      <c r="B2" s="769" t="s">
        <v>15</v>
      </c>
      <c r="F2" s="786"/>
      <c r="S2" s="1050"/>
      <c r="T2" s="1050"/>
      <c r="Z2" s="129"/>
      <c r="AO2" s="1051"/>
      <c r="AP2" s="1051"/>
      <c r="AQ2" s="1051"/>
      <c r="AR2" s="1051"/>
      <c r="AS2" s="1051"/>
      <c r="AT2" s="1051"/>
      <c r="AU2" s="1051"/>
      <c r="AV2" s="1051"/>
      <c r="AW2" s="1051"/>
      <c r="AX2" s="1051"/>
      <c r="AY2" s="1051"/>
      <c r="AZ2" s="1051"/>
      <c r="BA2" s="1051"/>
      <c r="BB2" s="1051"/>
      <c r="BC2" s="1051"/>
      <c r="BD2" s="1051"/>
      <c r="BE2" s="1051"/>
    </row>
    <row r="3" spans="1:57" s="1155" customFormat="1" ht="12" hidden="1" customHeight="1">
      <c r="B3" s="667"/>
      <c r="E3" s="667"/>
      <c r="F3" s="164"/>
      <c r="S3" s="1048"/>
      <c r="T3" s="1048"/>
      <c r="AO3" s="1049"/>
      <c r="AP3" s="1049"/>
      <c r="AQ3" s="1049"/>
      <c r="AR3" s="1049"/>
      <c r="AS3" s="1049"/>
      <c r="AT3" s="1049"/>
      <c r="AU3" s="1049"/>
      <c r="AV3" s="1049"/>
      <c r="AW3" s="1049"/>
      <c r="AX3" s="1049"/>
      <c r="AY3" s="1049"/>
      <c r="AZ3" s="1049"/>
      <c r="BA3" s="1049"/>
      <c r="BB3" s="1049"/>
      <c r="BC3" s="1049"/>
      <c r="BD3" s="1049"/>
      <c r="BE3" s="1049"/>
    </row>
    <row r="4" spans="1:57" s="1155" customFormat="1" ht="12" hidden="1" customHeight="1">
      <c r="B4" s="667"/>
      <c r="E4" s="667"/>
      <c r="F4" s="164"/>
      <c r="S4" s="1048"/>
      <c r="T4" s="1048"/>
      <c r="AO4" s="1049"/>
      <c r="AP4" s="1049"/>
      <c r="AQ4" s="1049"/>
      <c r="AR4" s="1049"/>
      <c r="AS4" s="1049"/>
      <c r="AT4" s="1049"/>
      <c r="AU4" s="1049"/>
      <c r="AV4" s="1049"/>
      <c r="AW4" s="1049"/>
      <c r="AX4" s="1049"/>
      <c r="AY4" s="1049"/>
      <c r="AZ4" s="1049"/>
      <c r="BA4" s="1049"/>
      <c r="BB4" s="1049"/>
      <c r="BC4" s="1049"/>
      <c r="BD4" s="1049"/>
      <c r="BE4" s="1049"/>
    </row>
    <row r="5" spans="1:57" s="782" customFormat="1" ht="12" hidden="1" customHeight="1">
      <c r="A5" s="667"/>
      <c r="B5" s="667"/>
      <c r="C5" s="667"/>
      <c r="D5" s="667"/>
      <c r="E5" s="676" t="s">
        <v>16</v>
      </c>
      <c r="F5" s="787"/>
      <c r="S5" s="1050"/>
      <c r="T5" s="1050"/>
      <c r="Z5" s="770"/>
      <c r="AA5" s="676">
        <v>3</v>
      </c>
      <c r="AB5" s="676">
        <v>12.13</v>
      </c>
      <c r="AC5" s="676">
        <v>18.13</v>
      </c>
      <c r="AD5" s="676">
        <v>57</v>
      </c>
      <c r="AE5" s="676">
        <v>48.13</v>
      </c>
      <c r="AF5" s="676">
        <v>3</v>
      </c>
      <c r="AO5" s="1051"/>
      <c r="AP5" s="1051"/>
      <c r="AQ5" s="1051"/>
      <c r="AR5" s="1051"/>
      <c r="AS5" s="1051"/>
      <c r="AT5" s="1051"/>
      <c r="AU5" s="1051"/>
      <c r="AV5" s="1051"/>
      <c r="AW5" s="1051"/>
      <c r="AX5" s="1051"/>
      <c r="AY5" s="1051"/>
      <c r="AZ5" s="1051"/>
      <c r="BA5" s="1051"/>
      <c r="BB5" s="1051"/>
      <c r="BC5" s="1051"/>
      <c r="BD5" s="1051"/>
      <c r="BE5" s="1051"/>
    </row>
    <row r="6" spans="1:57" s="1155" customFormat="1" ht="12" hidden="1" customHeight="1">
      <c r="B6" s="667"/>
      <c r="E6" s="676"/>
      <c r="F6" s="164"/>
      <c r="S6" s="1048"/>
      <c r="T6" s="1048"/>
      <c r="AO6" s="1049"/>
      <c r="AP6" s="1049"/>
      <c r="AQ6" s="1049"/>
      <c r="AR6" s="1049"/>
      <c r="AS6" s="1049"/>
      <c r="AT6" s="1049"/>
      <c r="AU6" s="1049"/>
      <c r="AV6" s="1049"/>
      <c r="AW6" s="1049"/>
      <c r="AX6" s="1049"/>
      <c r="AY6" s="1049"/>
      <c r="AZ6" s="1049"/>
      <c r="BA6" s="1049"/>
      <c r="BB6" s="1049"/>
      <c r="BC6" s="1049"/>
      <c r="BD6" s="1049"/>
      <c r="BE6" s="1049"/>
    </row>
    <row r="7" spans="1:57" s="814" customFormat="1" ht="12" hidden="1" customHeight="1">
      <c r="A7" s="129"/>
      <c r="B7" s="667"/>
      <c r="C7" s="129"/>
      <c r="D7" s="129"/>
      <c r="E7" s="676"/>
      <c r="S7" s="1048"/>
      <c r="T7" s="1048"/>
      <c r="AO7" s="1049"/>
      <c r="AP7" s="1049"/>
      <c r="AQ7" s="1049"/>
      <c r="AR7" s="1049"/>
      <c r="AS7" s="1049"/>
      <c r="AT7" s="1049"/>
      <c r="AU7" s="1049"/>
      <c r="AV7" s="1049"/>
      <c r="AW7" s="1049"/>
      <c r="AX7" s="1049"/>
      <c r="AY7" s="1049"/>
      <c r="AZ7" s="1049"/>
      <c r="BA7" s="1049"/>
      <c r="BB7" s="1049"/>
      <c r="BC7" s="1049"/>
      <c r="BD7" s="1049"/>
      <c r="BE7" s="1049"/>
    </row>
    <row r="8" spans="1:57" s="814" customFormat="1" ht="12" hidden="1" customHeight="1">
      <c r="A8" s="129"/>
      <c r="B8" s="667"/>
      <c r="C8" s="129"/>
      <c r="D8" s="129"/>
      <c r="E8" s="676"/>
      <c r="S8" s="1048"/>
      <c r="T8" s="1048"/>
      <c r="AO8" s="1049"/>
      <c r="AP8" s="1049"/>
      <c r="AQ8" s="1049"/>
      <c r="AR8" s="1049"/>
      <c r="AS8" s="1049"/>
      <c r="AT8" s="1049"/>
      <c r="AU8" s="1049"/>
      <c r="AV8" s="1049"/>
      <c r="AW8" s="1049"/>
      <c r="AX8" s="1049"/>
      <c r="AY8" s="1049"/>
      <c r="AZ8" s="1049"/>
      <c r="BA8" s="1049"/>
      <c r="BB8" s="1049"/>
      <c r="BC8" s="1049"/>
      <c r="BD8" s="1049"/>
      <c r="BE8" s="1049"/>
    </row>
    <row r="9" spans="1:57" s="1155" customFormat="1" ht="12" hidden="1" customHeight="1">
      <c r="B9" s="667"/>
      <c r="E9" s="676"/>
      <c r="F9" s="164"/>
      <c r="S9" s="1048"/>
      <c r="T9" s="1048"/>
      <c r="AO9" s="1049"/>
      <c r="AP9" s="1049"/>
      <c r="AQ9" s="1049"/>
      <c r="AR9" s="1049"/>
      <c r="AS9" s="1049"/>
      <c r="AT9" s="1049"/>
      <c r="AU9" s="1049"/>
      <c r="AV9" s="1049"/>
      <c r="AW9" s="1049"/>
      <c r="AX9" s="1049"/>
      <c r="AY9" s="1049"/>
      <c r="AZ9" s="1049"/>
      <c r="BA9" s="1049"/>
      <c r="BB9" s="1049"/>
      <c r="BC9" s="1049"/>
      <c r="BD9" s="1049"/>
      <c r="BE9" s="1049"/>
    </row>
    <row r="10" spans="1:57" s="1155" customFormat="1" ht="12" hidden="1" customHeight="1">
      <c r="B10" s="667"/>
      <c r="E10" s="676"/>
      <c r="F10" s="164"/>
      <c r="S10" s="1048"/>
      <c r="T10" s="1048"/>
      <c r="AO10" s="1049"/>
      <c r="AP10" s="1049"/>
      <c r="AQ10" s="1049"/>
      <c r="AR10" s="1049"/>
      <c r="AS10" s="1049"/>
      <c r="AT10" s="1049"/>
      <c r="AU10" s="1049"/>
      <c r="AV10" s="1049"/>
      <c r="AW10" s="1049"/>
      <c r="AX10" s="1049"/>
      <c r="AY10" s="1049"/>
      <c r="AZ10" s="1049"/>
      <c r="BA10" s="1049"/>
      <c r="BB10" s="1049"/>
      <c r="BC10" s="1049"/>
      <c r="BD10" s="1049"/>
      <c r="BE10" s="1049"/>
    </row>
    <row r="11" spans="1:57" s="1155" customFormat="1" ht="12" hidden="1" customHeight="1">
      <c r="B11" s="667"/>
      <c r="E11" s="676"/>
      <c r="F11" s="164"/>
      <c r="S11" s="1048"/>
      <c r="T11" s="1048"/>
      <c r="AO11" s="1049"/>
      <c r="AP11" s="1049"/>
      <c r="AQ11" s="1049"/>
      <c r="AR11" s="1049"/>
      <c r="AS11" s="1049"/>
      <c r="AT11" s="1049"/>
      <c r="AU11" s="1049"/>
      <c r="AV11" s="1049"/>
      <c r="AW11" s="1049"/>
      <c r="AX11" s="1049"/>
      <c r="AY11" s="1049"/>
      <c r="AZ11" s="1049"/>
      <c r="BA11" s="1049"/>
      <c r="BB11" s="1049"/>
      <c r="BC11" s="1049"/>
      <c r="BD11" s="1049"/>
      <c r="BE11" s="1049"/>
    </row>
    <row r="12" spans="1:57" s="1155" customFormat="1" ht="12" hidden="1" customHeight="1">
      <c r="B12" s="667"/>
      <c r="E12" s="676"/>
      <c r="F12" s="164"/>
      <c r="S12" s="1048"/>
      <c r="T12" s="1048"/>
      <c r="AO12" s="1049"/>
      <c r="AP12" s="1049"/>
      <c r="AQ12" s="1049"/>
      <c r="AR12" s="1049"/>
      <c r="AS12" s="1049"/>
      <c r="AT12" s="1049"/>
      <c r="AU12" s="1049"/>
      <c r="AV12" s="1049"/>
      <c r="AW12" s="1049"/>
      <c r="AX12" s="1049"/>
      <c r="AY12" s="1049"/>
      <c r="AZ12" s="1049"/>
      <c r="BA12" s="1049"/>
      <c r="BB12" s="1049"/>
      <c r="BC12" s="1049"/>
      <c r="BD12" s="1049"/>
      <c r="BE12" s="1049"/>
    </row>
    <row r="13" spans="1:57" s="1155" customFormat="1" ht="12" hidden="1" customHeight="1">
      <c r="B13" s="667"/>
      <c r="E13" s="676"/>
      <c r="F13" s="164"/>
      <c r="S13" s="1048"/>
      <c r="T13" s="1048"/>
      <c r="AO13" s="1049"/>
      <c r="AP13" s="1049"/>
      <c r="AQ13" s="1049"/>
      <c r="AR13" s="1049"/>
      <c r="AS13" s="1049"/>
      <c r="AT13" s="1049"/>
      <c r="AU13" s="1049"/>
      <c r="AV13" s="1049"/>
      <c r="AW13" s="1049"/>
      <c r="AX13" s="1049"/>
      <c r="AY13" s="1049"/>
      <c r="AZ13" s="1049"/>
      <c r="BA13" s="1049"/>
      <c r="BB13" s="1049"/>
      <c r="BC13" s="1049"/>
      <c r="BD13" s="1049"/>
      <c r="BE13" s="1049"/>
    </row>
    <row r="14" spans="1:57" s="1155" customFormat="1" ht="12" hidden="1" customHeight="1">
      <c r="B14" s="667"/>
      <c r="E14" s="676"/>
      <c r="F14" s="164"/>
      <c r="S14" s="1048"/>
      <c r="T14" s="1048"/>
      <c r="AO14" s="1049"/>
      <c r="AP14" s="1049"/>
      <c r="AQ14" s="1049"/>
      <c r="AR14" s="1049"/>
      <c r="AS14" s="1049"/>
      <c r="AT14" s="1049"/>
      <c r="AU14" s="1049"/>
      <c r="AV14" s="1049"/>
      <c r="AW14" s="1049"/>
      <c r="AX14" s="1049"/>
      <c r="AY14" s="1049"/>
      <c r="AZ14" s="1049"/>
      <c r="BA14" s="1049"/>
      <c r="BB14" s="1049"/>
      <c r="BC14" s="1049"/>
      <c r="BD14" s="1049"/>
      <c r="BE14" s="1049"/>
    </row>
    <row r="15" spans="1:57" s="1155" customFormat="1" ht="12" hidden="1" customHeight="1">
      <c r="B15" s="667"/>
      <c r="E15" s="676"/>
      <c r="F15" s="164"/>
      <c r="S15" s="1048"/>
      <c r="T15" s="1048"/>
      <c r="AO15" s="1049"/>
      <c r="AP15" s="1049"/>
      <c r="AQ15" s="1049"/>
      <c r="AR15" s="1049"/>
      <c r="AS15" s="1049"/>
      <c r="AT15" s="1049"/>
      <c r="AU15" s="1049"/>
      <c r="AV15" s="1049"/>
      <c r="AW15" s="1049"/>
      <c r="AX15" s="1049"/>
      <c r="AY15" s="1049"/>
      <c r="AZ15" s="1049"/>
      <c r="BA15" s="1049"/>
      <c r="BB15" s="1049"/>
      <c r="BC15" s="1049"/>
      <c r="BD15" s="1049"/>
      <c r="BE15" s="1049"/>
    </row>
    <row r="16" spans="1:57" s="1155" customFormat="1" ht="12" hidden="1" customHeight="1">
      <c r="B16" s="667"/>
      <c r="E16" s="676"/>
      <c r="F16" s="164"/>
      <c r="S16" s="1048"/>
      <c r="T16" s="1048"/>
      <c r="AO16" s="1049"/>
      <c r="AP16" s="1049"/>
      <c r="AQ16" s="1049"/>
      <c r="AR16" s="1049"/>
      <c r="AS16" s="1049"/>
      <c r="AT16" s="1049"/>
      <c r="AU16" s="1049"/>
      <c r="AV16" s="1049"/>
      <c r="AW16" s="1049"/>
      <c r="AX16" s="1049"/>
      <c r="AY16" s="1049"/>
      <c r="AZ16" s="1049"/>
      <c r="BA16" s="1049"/>
      <c r="BB16" s="1049"/>
      <c r="BC16" s="1049"/>
      <c r="BD16" s="1049"/>
      <c r="BE16" s="1049"/>
    </row>
    <row r="17" spans="1:57" s="1155" customFormat="1" ht="12" hidden="1" customHeight="1">
      <c r="B17" s="667"/>
      <c r="E17" s="676"/>
      <c r="F17" s="164"/>
      <c r="S17" s="1048"/>
      <c r="T17" s="1048"/>
      <c r="AO17" s="1049"/>
      <c r="AP17" s="1049"/>
      <c r="AQ17" s="1049"/>
      <c r="AR17" s="1049"/>
      <c r="AS17" s="1049"/>
      <c r="AT17" s="1049"/>
      <c r="AU17" s="1049"/>
      <c r="AV17" s="1049"/>
      <c r="AW17" s="1049"/>
      <c r="AX17" s="1049"/>
      <c r="AY17" s="1049"/>
      <c r="AZ17" s="1049"/>
      <c r="BA17" s="1049"/>
      <c r="BB17" s="1049"/>
      <c r="BC17" s="1049"/>
      <c r="BD17" s="1049"/>
      <c r="BE17" s="1049"/>
    </row>
    <row r="18" spans="1:57" s="1155" customFormat="1" ht="12" hidden="1" customHeight="1">
      <c r="B18" s="667"/>
      <c r="E18" s="676"/>
      <c r="F18" s="164"/>
      <c r="S18" s="1048"/>
      <c r="T18" s="1048"/>
      <c r="AO18" s="1049"/>
      <c r="AP18" s="1049"/>
      <c r="AQ18" s="1049"/>
      <c r="AR18" s="1049"/>
      <c r="AS18" s="1049"/>
      <c r="AT18" s="1049"/>
      <c r="AU18" s="1049"/>
      <c r="AV18" s="1049"/>
      <c r="AW18" s="1049"/>
      <c r="AX18" s="1049"/>
      <c r="AY18" s="1049"/>
      <c r="AZ18" s="1049"/>
      <c r="BA18" s="1049"/>
      <c r="BB18" s="1049"/>
      <c r="BC18" s="1049"/>
      <c r="BD18" s="1049"/>
      <c r="BE18" s="1049"/>
    </row>
    <row r="19" spans="1:57" s="1155" customFormat="1" ht="12" hidden="1" customHeight="1">
      <c r="B19" s="667"/>
      <c r="E19" s="676"/>
      <c r="F19" s="164"/>
      <c r="S19" s="1048"/>
      <c r="T19" s="1048"/>
      <c r="AO19" s="1049"/>
      <c r="AP19" s="1049"/>
      <c r="AQ19" s="1049"/>
      <c r="AR19" s="1049"/>
      <c r="AS19" s="1049"/>
      <c r="AT19" s="1049"/>
      <c r="AU19" s="1049"/>
      <c r="AV19" s="1049"/>
      <c r="AW19" s="1049"/>
      <c r="AX19" s="1049"/>
      <c r="AY19" s="1049"/>
      <c r="AZ19" s="1049"/>
      <c r="BA19" s="1049"/>
      <c r="BB19" s="1049"/>
      <c r="BC19" s="1049"/>
      <c r="BD19" s="1049"/>
      <c r="BE19" s="1049"/>
    </row>
    <row r="20" spans="1:57" s="1155" customFormat="1" ht="12" hidden="1" customHeight="1">
      <c r="B20" s="667"/>
      <c r="E20" s="676"/>
      <c r="F20" s="164"/>
      <c r="S20" s="1048"/>
      <c r="T20" s="1048"/>
      <c r="AO20" s="1049"/>
      <c r="AP20" s="1049"/>
      <c r="AQ20" s="1049"/>
      <c r="AR20" s="1049"/>
      <c r="AS20" s="1049"/>
      <c r="AT20" s="1049"/>
      <c r="AU20" s="1049"/>
      <c r="AV20" s="1049"/>
      <c r="AW20" s="1049"/>
      <c r="AX20" s="1049"/>
      <c r="AY20" s="1049"/>
      <c r="AZ20" s="1049"/>
      <c r="BA20" s="1049"/>
      <c r="BB20" s="1049"/>
      <c r="BC20" s="1049"/>
      <c r="BD20" s="1049"/>
      <c r="BE20" s="1049"/>
    </row>
    <row r="21" spans="1:57" s="814" customFormat="1" ht="11.1" customHeight="1">
      <c r="A21" s="129"/>
      <c r="B21" s="667"/>
      <c r="C21" s="129"/>
      <c r="D21" s="129"/>
      <c r="E21" s="676">
        <v>11.4</v>
      </c>
      <c r="G21" s="129"/>
      <c r="H21" s="129"/>
      <c r="I21" s="129"/>
      <c r="J21" s="129"/>
      <c r="K21" s="129"/>
      <c r="L21" s="129"/>
      <c r="M21" s="129"/>
      <c r="N21" s="129"/>
      <c r="O21" s="129"/>
      <c r="P21" s="129"/>
      <c r="Q21" s="129"/>
      <c r="R21" s="129"/>
      <c r="S21" s="1048"/>
      <c r="T21" s="1048"/>
      <c r="U21" s="129"/>
      <c r="V21" s="129"/>
      <c r="W21" s="129"/>
      <c r="X21" s="129"/>
      <c r="Y21" s="129"/>
      <c r="Z21" s="129"/>
      <c r="AA21" s="699"/>
      <c r="AO21" s="1049"/>
      <c r="AP21" s="1049"/>
      <c r="AQ21" s="1049"/>
      <c r="AR21" s="1049"/>
      <c r="AS21" s="1049"/>
      <c r="AT21" s="1049"/>
      <c r="AU21" s="1049"/>
      <c r="AV21" s="1049"/>
      <c r="AW21" s="1049"/>
      <c r="AX21" s="1049"/>
      <c r="AY21" s="1049"/>
      <c r="AZ21" s="1049"/>
      <c r="BA21" s="1049"/>
      <c r="BB21" s="1049"/>
      <c r="BC21" s="1049"/>
      <c r="BD21" s="1049"/>
      <c r="BE21" s="1049"/>
    </row>
    <row r="22" spans="1:57" ht="19.899999999999999" customHeight="1">
      <c r="E22" s="676">
        <v>20.399999999999999</v>
      </c>
      <c r="S22" s="1052" t="s">
        <v>111</v>
      </c>
      <c r="T22" s="1053" t="s">
        <v>112</v>
      </c>
      <c r="AB22" s="1689" t="s">
        <v>113</v>
      </c>
      <c r="AC22" s="1690"/>
      <c r="AD22" s="1691"/>
      <c r="AE22" s="403" t="s">
        <v>114</v>
      </c>
      <c r="AF22" s="364" t="str">
        <f>IFERROR(INDEX(TEHSHEET!B1:B86,MATCH(region_name,REGION,0)),"")</f>
        <v>RU42</v>
      </c>
      <c r="AO22" s="1054"/>
      <c r="AP22" s="1054" t="s">
        <v>115</v>
      </c>
      <c r="AQ22" s="1054"/>
      <c r="AR22" s="1054"/>
      <c r="AS22" s="1054"/>
      <c r="AT22" s="1054"/>
      <c r="AU22" s="1054"/>
      <c r="AV22" s="1054"/>
      <c r="AW22" s="1054"/>
      <c r="AX22" s="1054"/>
      <c r="AY22" s="1054"/>
      <c r="AZ22" s="1054"/>
      <c r="BA22" s="1054"/>
      <c r="BB22" s="1054"/>
      <c r="BC22" s="1054"/>
      <c r="BD22" s="1054"/>
      <c r="BE22" s="1054"/>
    </row>
    <row r="23" spans="1:57" ht="18.399999999999999" customHeight="1">
      <c r="E23" s="676">
        <v>18.8</v>
      </c>
      <c r="S23" s="1052" t="s">
        <v>111</v>
      </c>
      <c r="T23" s="1053" t="s">
        <v>112</v>
      </c>
      <c r="AB23" s="131"/>
      <c r="AC23" s="132"/>
      <c r="AD23" s="630" t="s">
        <v>116</v>
      </c>
      <c r="AE23" s="423" t="s">
        <v>117</v>
      </c>
      <c r="AF23" s="364"/>
      <c r="AH23" s="10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686"/>
      <c r="AO23" s="1054"/>
      <c r="AP23" s="1054"/>
      <c r="AQ23" s="1054" t="s">
        <v>118</v>
      </c>
      <c r="AR23" s="1054"/>
      <c r="AS23" s="1054"/>
      <c r="AT23" s="1054"/>
      <c r="AU23" s="1054"/>
      <c r="AV23" s="1054"/>
      <c r="AW23" s="1054"/>
      <c r="AX23" s="1054"/>
      <c r="AY23" s="1054"/>
      <c r="AZ23" s="1054"/>
      <c r="BA23" s="1054"/>
      <c r="BB23" s="1054"/>
      <c r="BC23" s="1054"/>
      <c r="BD23" s="1054"/>
      <c r="BE23" s="1054"/>
    </row>
    <row r="24" spans="1:57" ht="19.899999999999999" customHeight="1">
      <c r="E24" s="676">
        <v>20.399999999999999</v>
      </c>
      <c r="S24" s="1052" t="s">
        <v>119</v>
      </c>
      <c r="T24" s="1053" t="s">
        <v>120</v>
      </c>
      <c r="AB24" s="1689" t="s">
        <v>121</v>
      </c>
      <c r="AC24" s="1690"/>
      <c r="AD24" s="1691"/>
      <c r="AE24" s="1131">
        <v>2026</v>
      </c>
      <c r="AF24" s="366"/>
      <c r="AL24" s="1686"/>
      <c r="AO24" s="1054"/>
      <c r="AP24" s="1054"/>
      <c r="AQ24" s="1054"/>
      <c r="AR24" s="1054"/>
      <c r="AS24" s="1054" t="s">
        <v>122</v>
      </c>
      <c r="AT24" s="1054"/>
      <c r="AU24" s="1054"/>
      <c r="AV24" s="1054"/>
      <c r="AW24" s="1054"/>
      <c r="AX24" s="1054"/>
      <c r="AY24" s="1054"/>
      <c r="AZ24" s="1054"/>
      <c r="BA24" s="1054"/>
      <c r="BB24" s="1054"/>
      <c r="BC24" s="1054"/>
      <c r="BD24" s="1054"/>
      <c r="BE24" s="1054"/>
    </row>
    <row r="25" spans="1:57" ht="19.899999999999999" customHeight="1">
      <c r="B25" s="769" t="b">
        <f>method_reg&lt;&gt;"Метод экономически обоснованных расходов"</f>
        <v>1</v>
      </c>
      <c r="E25" s="676">
        <v>20.399999999999999</v>
      </c>
      <c r="S25" s="1052" t="s">
        <v>119</v>
      </c>
      <c r="T25" s="1053" t="s">
        <v>120</v>
      </c>
      <c r="AB25" s="1689" t="s">
        <v>123</v>
      </c>
      <c r="AC25" s="1690"/>
      <c r="AD25" s="1691"/>
      <c r="AE25" s="1131">
        <v>2021</v>
      </c>
      <c r="AF25" s="367">
        <f>first_year+PERIOD_LENGTH-1</f>
        <v>2030</v>
      </c>
      <c r="AG25" s="201" cm="1">
        <f t="array" ref="AG25">IF(CorrectionOnlyForRegPeriod="да",god,last_year)</f>
        <v>2030</v>
      </c>
      <c r="AL25" s="1686"/>
      <c r="AO25" s="1054"/>
      <c r="AP25" s="1054"/>
      <c r="AQ25" s="1054"/>
      <c r="AR25" s="1054"/>
      <c r="AS25" s="1054" t="s">
        <v>124</v>
      </c>
      <c r="AT25" s="1054"/>
      <c r="AU25" s="1054"/>
      <c r="AV25" s="1054"/>
      <c r="AW25" s="1054"/>
      <c r="AX25" s="1054"/>
      <c r="AY25" s="1054"/>
      <c r="AZ25" s="1054"/>
      <c r="BA25" s="1054"/>
      <c r="BB25" s="1054"/>
      <c r="BC25" s="1054"/>
      <c r="BD25" s="1054"/>
      <c r="BE25" s="1054"/>
    </row>
    <row r="26" spans="1:57" ht="19.899999999999999" customHeight="1">
      <c r="B26" s="769" t="b">
        <f>method_reg&lt;&gt;"Метод экономически обоснованных расходов"</f>
        <v>1</v>
      </c>
      <c r="E26" s="676">
        <v>20.399999999999999</v>
      </c>
      <c r="S26" s="1052" t="s">
        <v>125</v>
      </c>
      <c r="T26" s="1053" t="s">
        <v>126</v>
      </c>
      <c r="AB26" s="1689" t="s">
        <v>127</v>
      </c>
      <c r="AC26" s="1690"/>
      <c r="AD26" s="1691"/>
      <c r="AE26" s="1131">
        <v>10</v>
      </c>
      <c r="AF26" s="366"/>
      <c r="AL26" s="1686"/>
      <c r="AO26" s="1054"/>
      <c r="AP26" s="1054"/>
      <c r="AQ26" s="1054"/>
      <c r="AR26" s="1054"/>
      <c r="AS26" s="1054" t="s">
        <v>128</v>
      </c>
      <c r="AT26" s="1054"/>
      <c r="AU26" s="1054"/>
      <c r="AV26" s="1054"/>
      <c r="AW26" s="1054"/>
      <c r="AX26" s="1054"/>
      <c r="AY26" s="1054"/>
      <c r="AZ26" s="1054"/>
      <c r="BA26" s="1054"/>
      <c r="BB26" s="1054"/>
      <c r="BC26" s="1054"/>
      <c r="BD26" s="1054"/>
      <c r="BE26" s="1054"/>
    </row>
    <row r="27" spans="1:57" ht="16.5" hidden="1" customHeight="1">
      <c r="E27" s="676">
        <v>0</v>
      </c>
      <c r="AB27" s="1689" t="s">
        <v>129</v>
      </c>
      <c r="AC27" s="1690"/>
      <c r="AD27" s="1691"/>
      <c r="AE27" s="375">
        <f>IF(OR(PERIOD_LENGTH-god+first_year&lt;=0,PERIOD_LENGTH-god+first_year&gt;10),"",PERIOD_LENGTH-god+first_year)</f>
        <v>5</v>
      </c>
      <c r="AF27" s="366"/>
    </row>
    <row r="28" spans="1:57" ht="7.35" customHeight="1">
      <c r="E28" s="676">
        <v>7.5</v>
      </c>
    </row>
    <row r="29" spans="1:57" ht="7.35" customHeight="1">
      <c r="E29" s="676">
        <v>7.5</v>
      </c>
    </row>
    <row r="30" spans="1:57" ht="19.899999999999999" customHeight="1">
      <c r="E30" s="676">
        <v>20.399999999999999</v>
      </c>
      <c r="AB30" s="1692" t="s">
        <v>130</v>
      </c>
      <c r="AC30" s="1692"/>
      <c r="AD30" s="1692"/>
      <c r="AE30" s="1692"/>
      <c r="AF30" s="368"/>
      <c r="AG30" s="141"/>
      <c r="AH30" s="141"/>
      <c r="AI30" s="141"/>
      <c r="AJ30" s="141"/>
      <c r="AK30" s="141"/>
      <c r="AL30" s="141"/>
    </row>
    <row r="31" spans="1:57" ht="19.899999999999999" customHeight="1">
      <c r="E31" s="676">
        <v>20.399999999999999</v>
      </c>
      <c r="AB31" s="1693" t="s">
        <v>131</v>
      </c>
      <c r="AC31" s="1693"/>
      <c r="AD31" s="1693"/>
      <c r="AE31" s="1693"/>
      <c r="AF31" s="368"/>
      <c r="AG31" s="141"/>
      <c r="AH31" s="141"/>
      <c r="AI31" s="141"/>
      <c r="AJ31" s="141"/>
      <c r="AK31" s="141"/>
      <c r="AL31" s="141"/>
    </row>
    <row r="32" spans="1:57" ht="19.899999999999999" customHeight="1">
      <c r="E32" s="676">
        <v>20.399999999999999</v>
      </c>
      <c r="AB32" s="1692" t="s">
        <v>132</v>
      </c>
      <c r="AC32" s="1692"/>
      <c r="AD32" s="1692"/>
      <c r="AE32" s="1692"/>
      <c r="AF32" s="368"/>
      <c r="AG32" s="141"/>
      <c r="AH32" s="141"/>
      <c r="AI32" s="141"/>
      <c r="AJ32" s="141"/>
      <c r="AK32" s="141"/>
      <c r="AL32" s="141"/>
    </row>
    <row r="33" spans="5:57" ht="19.899999999999999" customHeight="1">
      <c r="E33" s="676">
        <v>20.399999999999999</v>
      </c>
      <c r="Z33" s="1155">
        <v>26322895</v>
      </c>
      <c r="AB33" s="1694" t="s">
        <v>133</v>
      </c>
      <c r="AC33" s="1695"/>
      <c r="AD33" s="1695"/>
      <c r="AE33" s="1695"/>
      <c r="AF33" s="369"/>
      <c r="AG33" s="141"/>
      <c r="AH33" s="141"/>
      <c r="AI33" s="141"/>
      <c r="AJ33" s="141"/>
      <c r="AK33" s="141"/>
      <c r="AL33" s="201" t="str">
        <f>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2021-2030</v>
      </c>
    </row>
    <row r="34" spans="5:57" ht="30.75" customHeight="1">
      <c r="E34" s="676">
        <v>31.5</v>
      </c>
      <c r="AB34" s="1696"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696"/>
      <c r="AD34" s="1696"/>
      <c r="AE34" s="1696"/>
      <c r="AF34" s="369"/>
      <c r="AG34" s="141"/>
      <c r="AH34" s="141"/>
      <c r="AI34" s="141"/>
      <c r="AJ34" s="141"/>
      <c r="AK34" s="141"/>
      <c r="AL34" s="141"/>
    </row>
    <row r="35" spans="5:57" ht="19.899999999999999" customHeight="1">
      <c r="E35" s="676">
        <v>20.399999999999999</v>
      </c>
      <c r="AB35" s="169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697"/>
      <c r="AD35" s="1697"/>
      <c r="AE35" s="1697"/>
      <c r="AF35" s="370"/>
      <c r="AG35" s="141"/>
      <c r="AH35" s="141"/>
      <c r="AI35" s="141"/>
      <c r="AJ35" s="141"/>
      <c r="AK35" s="141"/>
      <c r="AL35" s="141"/>
    </row>
    <row r="36" spans="5:57" ht="11.1" customHeight="1">
      <c r="E36" s="676">
        <v>11.3</v>
      </c>
      <c r="AB36" s="1698"/>
      <c r="AC36" s="1699"/>
      <c r="AD36" s="1699"/>
      <c r="AE36" s="1700"/>
      <c r="AF36" s="371"/>
      <c r="AG36" s="142"/>
      <c r="AH36" s="133"/>
      <c r="AI36" s="1701"/>
      <c r="AJ36" s="1701"/>
      <c r="AK36" s="133"/>
      <c r="AL36" s="142"/>
    </row>
    <row r="37" spans="5:57" ht="19.899999999999999" customHeight="1">
      <c r="E37" s="676">
        <v>20.399999999999999</v>
      </c>
      <c r="AB37" s="1702" t="s">
        <v>134</v>
      </c>
      <c r="AC37" s="1702"/>
      <c r="AD37" s="1702"/>
      <c r="AE37" s="1702"/>
      <c r="AF37" s="372"/>
      <c r="AG37" s="130"/>
      <c r="AH37" s="130"/>
      <c r="AI37" s="130"/>
      <c r="AJ37" s="130"/>
      <c r="AK37" s="130"/>
      <c r="AL37" s="140"/>
    </row>
    <row r="38" spans="5:57" ht="24" customHeight="1">
      <c r="E38" s="676">
        <v>24.6</v>
      </c>
      <c r="S38" s="1052" t="s">
        <v>111</v>
      </c>
      <c r="T38" s="1053" t="s">
        <v>112</v>
      </c>
      <c r="AB38" s="1672" t="s">
        <v>135</v>
      </c>
      <c r="AC38" s="1672"/>
      <c r="AD38" s="1672"/>
      <c r="AE38" s="920" t="s">
        <v>136</v>
      </c>
      <c r="AF38" s="373"/>
      <c r="AG38" s="140"/>
      <c r="AH38" s="140"/>
      <c r="AI38" s="140"/>
      <c r="AO38" s="1054"/>
      <c r="AP38" s="1054"/>
      <c r="AQ38" s="1054"/>
      <c r="AR38" s="1054"/>
      <c r="AS38" s="1054"/>
      <c r="AT38" s="1054" t="s">
        <v>137</v>
      </c>
      <c r="AU38" s="1054"/>
      <c r="AV38" s="1054"/>
      <c r="AW38" s="1054"/>
      <c r="AX38" s="1054"/>
      <c r="AY38" s="1054"/>
      <c r="AZ38" s="1054"/>
      <c r="BA38" s="1054"/>
      <c r="BB38" s="1054"/>
      <c r="BC38" s="1054"/>
      <c r="BD38" s="1054"/>
      <c r="BE38" s="1054"/>
    </row>
    <row r="39" spans="5:57" ht="24" customHeight="1">
      <c r="E39" s="676">
        <v>24.6</v>
      </c>
      <c r="S39" s="1052" t="s">
        <v>111</v>
      </c>
      <c r="T39" s="1053" t="s">
        <v>112</v>
      </c>
      <c r="AB39" s="1672" t="s">
        <v>138</v>
      </c>
      <c r="AC39" s="1672"/>
      <c r="AD39" s="1672"/>
      <c r="AE39" s="920" t="s">
        <v>133</v>
      </c>
      <c r="AF39" s="373"/>
      <c r="AO39" s="1054"/>
      <c r="AP39" s="1054"/>
      <c r="AQ39" s="1054"/>
      <c r="AR39" s="1054"/>
      <c r="AS39" s="1054"/>
      <c r="AT39" s="1054" t="s">
        <v>139</v>
      </c>
      <c r="AU39" s="1054"/>
      <c r="AV39" s="1054"/>
      <c r="AW39" s="1054"/>
      <c r="AX39" s="1054"/>
      <c r="AY39" s="1054"/>
      <c r="AZ39" s="1054"/>
      <c r="BA39" s="1054"/>
      <c r="BB39" s="1054"/>
      <c r="BC39" s="1054"/>
      <c r="BD39" s="1054"/>
      <c r="BE39" s="1054"/>
    </row>
    <row r="40" spans="5:57" ht="19.899999999999999" customHeight="1">
      <c r="E40" s="676">
        <v>20.399999999999999</v>
      </c>
      <c r="S40" s="1052" t="s">
        <v>111</v>
      </c>
      <c r="T40" s="1053" t="s">
        <v>112</v>
      </c>
      <c r="AB40" s="1672" t="s">
        <v>140</v>
      </c>
      <c r="AC40" s="1672"/>
      <c r="AD40" s="1672"/>
      <c r="AE40" s="1157"/>
      <c r="AF40" s="363"/>
      <c r="AO40" s="1054"/>
      <c r="AP40" s="1054"/>
      <c r="AQ40" s="1054"/>
      <c r="AR40" s="1054"/>
      <c r="AS40" s="1054"/>
      <c r="AT40" s="1054" t="s">
        <v>141</v>
      </c>
      <c r="AU40" s="1054"/>
      <c r="AV40" s="1054"/>
      <c r="AW40" s="1054"/>
      <c r="AX40" s="1054"/>
      <c r="AY40" s="1054"/>
      <c r="AZ40" s="1054"/>
      <c r="BA40" s="1054"/>
      <c r="BB40" s="1054"/>
      <c r="BC40" s="1054"/>
      <c r="BD40" s="1054"/>
      <c r="BE40" s="1054"/>
    </row>
    <row r="41" spans="5:57" ht="19.899999999999999" customHeight="1">
      <c r="E41" s="676">
        <v>20.399999999999999</v>
      </c>
      <c r="S41" s="1052" t="s">
        <v>111</v>
      </c>
      <c r="T41" s="1053" t="s">
        <v>112</v>
      </c>
      <c r="AB41" s="1672" t="s">
        <v>142</v>
      </c>
      <c r="AC41" s="1672"/>
      <c r="AD41" s="1672"/>
      <c r="AE41" s="921" t="s">
        <v>143</v>
      </c>
      <c r="AF41" s="363"/>
      <c r="AO41" s="1054"/>
      <c r="AP41" s="1054"/>
      <c r="AQ41" s="1054"/>
      <c r="AR41" s="1054"/>
      <c r="AS41" s="1054"/>
      <c r="AT41" s="1054" t="s">
        <v>144</v>
      </c>
      <c r="AU41" s="1054"/>
      <c r="AV41" s="1054"/>
      <c r="AW41" s="1054"/>
      <c r="AX41" s="1054"/>
      <c r="AY41" s="1054"/>
      <c r="AZ41" s="1054"/>
      <c r="BA41" s="1054"/>
      <c r="BB41" s="1054"/>
      <c r="BC41" s="1054"/>
      <c r="BD41" s="1054"/>
      <c r="BE41" s="1054"/>
    </row>
    <row r="42" spans="5:57" ht="19.899999999999999" customHeight="1">
      <c r="E42" s="676">
        <v>20.399999999999999</v>
      </c>
      <c r="S42" s="1052" t="s">
        <v>111</v>
      </c>
      <c r="T42" s="1053" t="s">
        <v>112</v>
      </c>
      <c r="AB42" s="1672" t="s">
        <v>145</v>
      </c>
      <c r="AC42" s="1672"/>
      <c r="AD42" s="1672"/>
      <c r="AE42" s="921" t="s">
        <v>146</v>
      </c>
      <c r="AF42" s="363"/>
      <c r="AO42" s="1054"/>
      <c r="AP42" s="1054"/>
      <c r="AQ42" s="1054"/>
      <c r="AR42" s="1054"/>
      <c r="AS42" s="1054"/>
      <c r="AT42" s="1054" t="s">
        <v>147</v>
      </c>
      <c r="AU42" s="1054"/>
      <c r="AV42" s="1054"/>
      <c r="AW42" s="1054"/>
      <c r="AX42" s="1054"/>
      <c r="AY42" s="1054"/>
      <c r="AZ42" s="1054"/>
      <c r="BA42" s="1054"/>
      <c r="BB42" s="1054"/>
      <c r="BC42" s="1054"/>
      <c r="BD42" s="1054"/>
      <c r="BE42" s="1054"/>
    </row>
    <row r="43" spans="5:57" ht="19.899999999999999" customHeight="1">
      <c r="E43" s="676">
        <v>20.399999999999999</v>
      </c>
      <c r="S43" s="1052" t="s">
        <v>111</v>
      </c>
      <c r="T43" s="1053" t="s">
        <v>112</v>
      </c>
      <c r="AB43" s="1672" t="s">
        <v>148</v>
      </c>
      <c r="AC43" s="1672"/>
      <c r="AD43" s="1672"/>
      <c r="AE43" s="921" t="s">
        <v>149</v>
      </c>
      <c r="AF43" s="363"/>
      <c r="AO43" s="1054"/>
      <c r="AP43" s="1054"/>
      <c r="AQ43" s="1054"/>
      <c r="AR43" s="1054"/>
      <c r="AS43" s="1054"/>
      <c r="AT43" s="1054" t="s">
        <v>150</v>
      </c>
      <c r="AU43" s="1054"/>
      <c r="AV43" s="1054"/>
      <c r="AW43" s="1054"/>
      <c r="AX43" s="1054"/>
      <c r="AY43" s="1054"/>
      <c r="AZ43" s="1054"/>
      <c r="BA43" s="1054"/>
      <c r="BB43" s="1054"/>
      <c r="BC43" s="1054"/>
      <c r="BD43" s="1054"/>
      <c r="BE43" s="1054"/>
    </row>
    <row r="44" spans="5:57" ht="19.899999999999999" customHeight="1">
      <c r="E44" s="676">
        <v>20.399999999999999</v>
      </c>
      <c r="S44" s="1052" t="s">
        <v>111</v>
      </c>
      <c r="T44" s="1053" t="s">
        <v>112</v>
      </c>
      <c r="AB44" s="1672" t="s">
        <v>151</v>
      </c>
      <c r="AC44" s="1672"/>
      <c r="AD44" s="1672"/>
      <c r="AE44" s="393" t="s">
        <v>152</v>
      </c>
      <c r="AF44" s="363"/>
      <c r="AG44" s="106" t="s">
        <v>153</v>
      </c>
      <c r="AO44" s="1054"/>
      <c r="AP44" s="1054"/>
      <c r="AQ44" s="1054"/>
      <c r="AR44" s="1054"/>
      <c r="AS44" s="1054"/>
      <c r="AT44" s="1054" t="s">
        <v>154</v>
      </c>
      <c r="AU44" s="1054"/>
      <c r="AV44" s="1054"/>
      <c r="AW44" s="1054"/>
      <c r="AX44" s="1054"/>
      <c r="AY44" s="1054"/>
      <c r="AZ44" s="1054"/>
      <c r="BA44" s="1054"/>
      <c r="BB44" s="1054"/>
      <c r="BC44" s="1054"/>
      <c r="BD44" s="1054"/>
      <c r="BE44" s="1054"/>
    </row>
    <row r="45" spans="5:57" ht="19.899999999999999" customHeight="1">
      <c r="E45" s="676">
        <v>20.399999999999999</v>
      </c>
      <c r="S45" s="1052" t="s">
        <v>111</v>
      </c>
      <c r="T45" s="1053" t="s">
        <v>112</v>
      </c>
      <c r="AB45" s="1672" t="s">
        <v>155</v>
      </c>
      <c r="AC45" s="1672"/>
      <c r="AD45" s="1672"/>
      <c r="AE45" s="376" t="s">
        <v>156</v>
      </c>
      <c r="AF45" s="363"/>
      <c r="AG45" s="106" t="s">
        <v>157</v>
      </c>
      <c r="AO45" s="1054"/>
      <c r="AP45" s="1054"/>
      <c r="AQ45" s="1054"/>
      <c r="AR45" s="1054"/>
      <c r="AS45" s="1054"/>
      <c r="AT45" s="1054" t="s">
        <v>158</v>
      </c>
      <c r="AU45" s="1054"/>
      <c r="AV45" s="1054"/>
      <c r="AW45" s="1054"/>
      <c r="AX45" s="1054"/>
      <c r="AY45" s="1054"/>
      <c r="AZ45" s="1054"/>
      <c r="BA45" s="1054"/>
      <c r="BB45" s="1054"/>
      <c r="BC45" s="1054"/>
      <c r="BD45" s="1054"/>
      <c r="BE45" s="1054"/>
    </row>
    <row r="46" spans="5:57" ht="19.899999999999999" customHeight="1">
      <c r="E46" s="676">
        <v>20.399999999999999</v>
      </c>
      <c r="S46" s="1052" t="s">
        <v>111</v>
      </c>
      <c r="T46" s="1053" t="s">
        <v>112</v>
      </c>
      <c r="AB46" s="1672" t="s">
        <v>159</v>
      </c>
      <c r="AC46" s="1672"/>
      <c r="AD46" s="1672"/>
      <c r="AE46" s="376" t="s">
        <v>160</v>
      </c>
      <c r="AF46" s="369"/>
      <c r="AG46" s="106" t="s">
        <v>161</v>
      </c>
      <c r="AO46" s="1054"/>
      <c r="AP46" s="1054"/>
      <c r="AQ46" s="1054"/>
      <c r="AR46" s="1054"/>
      <c r="AS46" s="1054"/>
      <c r="AT46" s="1054" t="s">
        <v>162</v>
      </c>
      <c r="AU46" s="1054"/>
      <c r="AV46" s="1054"/>
      <c r="AW46" s="1054"/>
      <c r="AX46" s="1054"/>
      <c r="AY46" s="1054"/>
      <c r="AZ46" s="1054"/>
      <c r="BA46" s="1054"/>
      <c r="BB46" s="1054"/>
      <c r="BC46" s="1054"/>
      <c r="BD46" s="1054"/>
      <c r="BE46" s="1054"/>
    </row>
    <row r="47" spans="5:57" ht="19.899999999999999" customHeight="1">
      <c r="E47" s="676">
        <v>20.399999999999999</v>
      </c>
      <c r="S47" s="1052" t="s">
        <v>111</v>
      </c>
      <c r="T47" s="1053" t="s">
        <v>112</v>
      </c>
      <c r="AB47" s="1672" t="s">
        <v>163</v>
      </c>
      <c r="AC47" s="1672"/>
      <c r="AD47" s="1672"/>
      <c r="AE47" s="376" t="s">
        <v>160</v>
      </c>
      <c r="AF47" s="369"/>
      <c r="AG47" s="106" t="s">
        <v>164</v>
      </c>
      <c r="AO47" s="1054"/>
      <c r="AP47" s="1054"/>
      <c r="AQ47" s="1054"/>
      <c r="AR47" s="1054"/>
      <c r="AS47" s="1054"/>
      <c r="AT47" s="1054" t="s">
        <v>165</v>
      </c>
      <c r="AU47" s="1054"/>
      <c r="AV47" s="1054"/>
      <c r="AW47" s="1054"/>
      <c r="AX47" s="1054"/>
      <c r="AY47" s="1054"/>
      <c r="AZ47" s="1054"/>
      <c r="BA47" s="1054"/>
      <c r="BB47" s="1054"/>
      <c r="BC47" s="1054"/>
      <c r="BD47" s="1054"/>
      <c r="BE47" s="1054"/>
    </row>
    <row r="48" spans="5:57" ht="19.899999999999999" customHeight="1">
      <c r="E48" s="676">
        <v>20.399999999999999</v>
      </c>
      <c r="S48" s="1052" t="s">
        <v>111</v>
      </c>
      <c r="T48" s="1053" t="s">
        <v>112</v>
      </c>
      <c r="AB48" s="1672" t="s">
        <v>166</v>
      </c>
      <c r="AC48" s="1672"/>
      <c r="AD48" s="1672"/>
      <c r="AE48" s="362" t="s">
        <v>167</v>
      </c>
      <c r="AF48" s="369"/>
      <c r="AG48" s="106" t="s">
        <v>168</v>
      </c>
      <c r="AO48" s="1054"/>
      <c r="AP48" s="1054"/>
      <c r="AQ48" s="1054"/>
      <c r="AR48" s="1054"/>
      <c r="AS48" s="1054"/>
      <c r="AT48" s="1054" t="s">
        <v>169</v>
      </c>
      <c r="AU48" s="1054"/>
      <c r="AV48" s="1054"/>
      <c r="AW48" s="1054"/>
      <c r="AX48" s="1054"/>
      <c r="AY48" s="1054"/>
      <c r="AZ48" s="1054"/>
      <c r="BA48" s="1054"/>
      <c r="BB48" s="1054"/>
      <c r="BC48" s="1054"/>
      <c r="BD48" s="1054"/>
      <c r="BE48" s="1054"/>
    </row>
    <row r="49" spans="2:57" ht="19.899999999999999" customHeight="1">
      <c r="E49" s="676">
        <v>20.399999999999999</v>
      </c>
      <c r="S49" s="1052" t="s">
        <v>111</v>
      </c>
      <c r="T49" s="1053" t="s">
        <v>112</v>
      </c>
      <c r="AB49" s="1672" t="s">
        <v>170</v>
      </c>
      <c r="AC49" s="1672"/>
      <c r="AD49" s="1672"/>
      <c r="AE49" s="377" t="s">
        <v>171</v>
      </c>
      <c r="AF49" s="369"/>
      <c r="AG49" s="106" t="s">
        <v>172</v>
      </c>
      <c r="AO49" s="1054"/>
      <c r="AP49" s="1054"/>
      <c r="AQ49" s="1054"/>
      <c r="AR49" s="1054"/>
      <c r="AS49" s="1054"/>
      <c r="AT49" s="1054" t="s">
        <v>173</v>
      </c>
      <c r="AU49" s="1054"/>
      <c r="AV49" s="1054"/>
      <c r="AW49" s="1054"/>
      <c r="AX49" s="1054"/>
      <c r="AY49" s="1054"/>
      <c r="AZ49" s="1054"/>
      <c r="BA49" s="1054"/>
      <c r="BB49" s="1054"/>
      <c r="BC49" s="1054"/>
      <c r="BD49" s="1054"/>
      <c r="BE49" s="1054"/>
    </row>
    <row r="50" spans="2:57" ht="19.899999999999999" customHeight="1">
      <c r="E50" s="676">
        <v>20.399999999999999</v>
      </c>
      <c r="S50" s="1052" t="s">
        <v>111</v>
      </c>
      <c r="T50" s="1053" t="s">
        <v>112</v>
      </c>
      <c r="AB50" s="1672" t="s">
        <v>174</v>
      </c>
      <c r="AC50" s="1672"/>
      <c r="AD50" s="1672"/>
      <c r="AE50" s="376" t="s">
        <v>175</v>
      </c>
      <c r="AF50" s="369"/>
      <c r="AG50" s="106" t="s">
        <v>176</v>
      </c>
      <c r="AO50" s="1054"/>
      <c r="AP50" s="1054"/>
      <c r="AQ50" s="1054"/>
      <c r="AR50" s="1054"/>
      <c r="AS50" s="1054"/>
      <c r="AT50" s="1054" t="s">
        <v>177</v>
      </c>
      <c r="AU50" s="1054"/>
      <c r="AV50" s="1054"/>
      <c r="AW50" s="1054"/>
      <c r="AX50" s="1054"/>
      <c r="AY50" s="1054"/>
      <c r="AZ50" s="1054"/>
      <c r="BA50" s="1054"/>
      <c r="BB50" s="1054"/>
      <c r="BC50" s="1054"/>
      <c r="BD50" s="1054"/>
      <c r="BE50" s="1054"/>
    </row>
    <row r="51" spans="2:57" ht="19.899999999999999" customHeight="1">
      <c r="E51" s="676">
        <v>20.399999999999999</v>
      </c>
      <c r="S51" s="1052" t="s">
        <v>111</v>
      </c>
      <c r="T51" s="1053" t="s">
        <v>112</v>
      </c>
      <c r="AB51" s="1672" t="s">
        <v>178</v>
      </c>
      <c r="AC51" s="1672"/>
      <c r="AD51" s="1672"/>
      <c r="AE51" s="376" t="s">
        <v>179</v>
      </c>
      <c r="AF51" s="369"/>
      <c r="AG51" s="106" t="s">
        <v>180</v>
      </c>
      <c r="AO51" s="1054"/>
      <c r="AP51" s="1054"/>
      <c r="AQ51" s="1054"/>
      <c r="AR51" s="1054"/>
      <c r="AS51" s="1054"/>
      <c r="AT51" s="1054" t="s">
        <v>181</v>
      </c>
      <c r="AU51" s="1054"/>
      <c r="AV51" s="1054"/>
      <c r="AW51" s="1054"/>
      <c r="AX51" s="1054"/>
      <c r="AY51" s="1054"/>
      <c r="AZ51" s="1054"/>
      <c r="BA51" s="1054"/>
      <c r="BB51" s="1054"/>
      <c r="BC51" s="1054"/>
      <c r="BD51" s="1054"/>
      <c r="BE51" s="1054"/>
    </row>
    <row r="52" spans="2:57" ht="19.899999999999999" customHeight="1">
      <c r="E52" s="676">
        <v>20.399999999999999</v>
      </c>
      <c r="S52" s="1052" t="s">
        <v>111</v>
      </c>
      <c r="T52" s="1053" t="s">
        <v>112</v>
      </c>
      <c r="AB52" s="1672" t="s">
        <v>182</v>
      </c>
      <c r="AC52" s="1672"/>
      <c r="AD52" s="1672"/>
      <c r="AE52" s="378" t="s">
        <v>183</v>
      </c>
      <c r="AF52" s="369"/>
      <c r="AG52" s="106" t="s">
        <v>184</v>
      </c>
      <c r="AO52" s="1054"/>
      <c r="AP52" s="1054"/>
      <c r="AQ52" s="1054"/>
      <c r="AR52" s="1054"/>
      <c r="AS52" s="1054"/>
      <c r="AT52" s="1054" t="s">
        <v>185</v>
      </c>
      <c r="AU52" s="1054"/>
      <c r="AV52" s="1054"/>
      <c r="AW52" s="1054"/>
      <c r="AX52" s="1054"/>
      <c r="AY52" s="1054"/>
      <c r="AZ52" s="1054"/>
      <c r="BA52" s="1054"/>
      <c r="BB52" s="1054"/>
      <c r="BC52" s="1054"/>
      <c r="BD52" s="1054"/>
      <c r="BE52" s="1054"/>
    </row>
    <row r="53" spans="2:57" ht="19.899999999999999" customHeight="1">
      <c r="E53" s="676">
        <v>20.399999999999999</v>
      </c>
      <c r="S53" s="1052" t="s">
        <v>186</v>
      </c>
      <c r="T53" s="1053" t="s">
        <v>187</v>
      </c>
      <c r="AB53" s="1672" t="s">
        <v>188</v>
      </c>
      <c r="AC53" s="1672"/>
      <c r="AD53" s="135" t="s">
        <v>189</v>
      </c>
      <c r="AE53" s="379" t="s">
        <v>190</v>
      </c>
      <c r="AF53" s="369"/>
      <c r="AG53" s="106" t="s">
        <v>191</v>
      </c>
      <c r="AO53" s="1054"/>
      <c r="AP53" s="1054"/>
      <c r="AQ53" s="1054"/>
      <c r="AR53" s="1054"/>
      <c r="AS53" s="1054"/>
      <c r="AT53" s="1054" t="s">
        <v>192</v>
      </c>
      <c r="AU53" s="1054"/>
      <c r="AV53" s="1054"/>
      <c r="AW53" s="1054"/>
      <c r="AX53" s="1054"/>
      <c r="AY53" s="1054"/>
      <c r="AZ53" s="1054"/>
      <c r="BA53" s="1054"/>
      <c r="BB53" s="1054"/>
      <c r="BC53" s="1054"/>
      <c r="BD53" s="1054"/>
      <c r="BE53" s="1054"/>
    </row>
    <row r="54" spans="2:57" ht="19.899999999999999" hidden="1" customHeight="1">
      <c r="B54" s="769" t="b">
        <f>STATE_SHARE_EXISTENCE&lt;&gt;"нет"</f>
        <v>0</v>
      </c>
      <c r="E54" s="676">
        <v>20.399999999999999</v>
      </c>
      <c r="S54" s="1052" t="s">
        <v>111</v>
      </c>
      <c r="T54" s="1053" t="s">
        <v>112</v>
      </c>
      <c r="AB54" s="1672"/>
      <c r="AC54" s="1672"/>
      <c r="AD54" s="135" t="s">
        <v>193</v>
      </c>
      <c r="AE54" s="1158"/>
      <c r="AF54" s="369"/>
      <c r="AG54" s="106" t="s">
        <v>194</v>
      </c>
      <c r="AO54" s="1054"/>
      <c r="AP54" s="1054"/>
      <c r="AQ54" s="1054"/>
      <c r="AR54" s="1054"/>
      <c r="AS54" s="1054"/>
      <c r="AT54" s="1054" t="s">
        <v>195</v>
      </c>
      <c r="AU54" s="1054"/>
      <c r="AV54" s="1054"/>
      <c r="AW54" s="1054"/>
      <c r="AX54" s="1054"/>
      <c r="AY54" s="1054"/>
      <c r="AZ54" s="1054"/>
      <c r="BA54" s="1054"/>
      <c r="BB54" s="1054"/>
      <c r="BC54" s="1054"/>
      <c r="BD54" s="1054"/>
      <c r="BE54" s="1054"/>
    </row>
    <row r="55" spans="2:57" ht="19.899999999999999" hidden="1" customHeight="1">
      <c r="B55" s="769" t="b">
        <f>STATE_SHARE_EXISTENCE&lt;&gt;"нет"</f>
        <v>0</v>
      </c>
      <c r="E55" s="676">
        <v>20.399999999999999</v>
      </c>
      <c r="S55" s="1052" t="s">
        <v>111</v>
      </c>
      <c r="T55" s="1053" t="s">
        <v>112</v>
      </c>
      <c r="AB55" s="1672"/>
      <c r="AC55" s="1672"/>
      <c r="AD55" s="135" t="s">
        <v>196</v>
      </c>
      <c r="AE55" s="1158"/>
      <c r="AF55" s="369"/>
      <c r="AG55" s="106" t="s">
        <v>197</v>
      </c>
      <c r="AO55" s="1054"/>
      <c r="AP55" s="1054"/>
      <c r="AQ55" s="1054"/>
      <c r="AR55" s="1054"/>
      <c r="AS55" s="1054"/>
      <c r="AT55" s="1054" t="s">
        <v>198</v>
      </c>
      <c r="AU55" s="1054"/>
      <c r="AV55" s="1054"/>
      <c r="AW55" s="1054"/>
      <c r="AX55" s="1054"/>
      <c r="AY55" s="1054"/>
      <c r="AZ55" s="1054"/>
      <c r="BA55" s="1054"/>
      <c r="BB55" s="1054"/>
      <c r="BC55" s="1054"/>
      <c r="BD55" s="1054"/>
      <c r="BE55" s="1054"/>
    </row>
    <row r="56" spans="2:57" ht="24" customHeight="1">
      <c r="E56" s="676">
        <v>24.6</v>
      </c>
      <c r="S56" s="1052" t="s">
        <v>186</v>
      </c>
      <c r="T56" s="1053" t="s">
        <v>187</v>
      </c>
      <c r="AB56" s="1672" t="s">
        <v>199</v>
      </c>
      <c r="AC56" s="1672"/>
      <c r="AD56" s="1672"/>
      <c r="AE56" s="379" t="s">
        <v>200</v>
      </c>
      <c r="AF56" s="374"/>
      <c r="AG56" s="106" t="s">
        <v>201</v>
      </c>
      <c r="AO56" s="1054"/>
      <c r="AP56" s="1054"/>
      <c r="AQ56" s="1054"/>
      <c r="AR56" s="1054"/>
      <c r="AS56" s="1054"/>
      <c r="AT56" s="1054" t="s">
        <v>202</v>
      </c>
      <c r="AU56" s="1054"/>
      <c r="AV56" s="1054"/>
      <c r="AW56" s="1054"/>
      <c r="AX56" s="1054"/>
      <c r="AY56" s="1054"/>
      <c r="AZ56" s="1054"/>
      <c r="BA56" s="1054"/>
      <c r="BB56" s="1054"/>
      <c r="BC56" s="1054"/>
      <c r="BD56" s="1054"/>
      <c r="BE56" s="1054"/>
    </row>
    <row r="57" spans="2:57" ht="24" customHeight="1">
      <c r="E57" s="676">
        <v>24.6</v>
      </c>
      <c r="S57" s="1052" t="s">
        <v>111</v>
      </c>
      <c r="T57" s="1053" t="s">
        <v>112</v>
      </c>
      <c r="AB57" s="1672" t="s">
        <v>203</v>
      </c>
      <c r="AC57" s="1672"/>
      <c r="AD57" s="1672"/>
      <c r="AE57" s="379" t="s">
        <v>204</v>
      </c>
      <c r="AF57" s="374"/>
      <c r="AO57" s="1054"/>
      <c r="AP57" s="1054"/>
      <c r="AQ57" s="1054"/>
      <c r="AR57" s="1054"/>
      <c r="AS57" s="1054"/>
      <c r="AT57" s="1054" t="s">
        <v>205</v>
      </c>
      <c r="AU57" s="1054"/>
      <c r="AV57" s="1054"/>
      <c r="AW57" s="1054"/>
      <c r="AX57" s="1054"/>
      <c r="AY57" s="1054"/>
      <c r="AZ57" s="1054"/>
      <c r="BA57" s="1054"/>
      <c r="BB57" s="1054"/>
      <c r="BC57" s="1054"/>
      <c r="BD57" s="1054"/>
      <c r="BE57" s="1054"/>
    </row>
    <row r="58" spans="2:57" ht="19.899999999999999" customHeight="1">
      <c r="E58" s="676">
        <v>20.399999999999999</v>
      </c>
      <c r="S58" s="1052" t="s">
        <v>186</v>
      </c>
      <c r="T58" s="1053" t="s">
        <v>187</v>
      </c>
      <c r="AB58" s="1672" t="s">
        <v>206</v>
      </c>
      <c r="AC58" s="1672"/>
      <c r="AD58" s="1672"/>
      <c r="AE58" s="379" t="s">
        <v>200</v>
      </c>
      <c r="AF58" s="369"/>
      <c r="AG58" s="106" t="s">
        <v>207</v>
      </c>
      <c r="AO58" s="1054"/>
      <c r="AP58" s="1054"/>
      <c r="AQ58" s="1054"/>
      <c r="AR58" s="1054"/>
      <c r="AS58" s="1054"/>
      <c r="AT58" s="1054" t="s">
        <v>205</v>
      </c>
      <c r="AU58" s="1054"/>
      <c r="AV58" s="1054"/>
      <c r="AW58" s="1054"/>
      <c r="AX58" s="1054"/>
      <c r="AY58" s="1054"/>
      <c r="AZ58" s="1054"/>
      <c r="BA58" s="1054"/>
      <c r="BB58" s="1054"/>
      <c r="BC58" s="1054"/>
      <c r="BD58" s="1054"/>
      <c r="BE58" s="1054"/>
    </row>
    <row r="59" spans="2:57" ht="24" customHeight="1">
      <c r="E59" s="676">
        <v>24.6</v>
      </c>
      <c r="S59" s="1052" t="s">
        <v>186</v>
      </c>
      <c r="T59" s="1053" t="s">
        <v>187</v>
      </c>
      <c r="AB59" s="1672" t="s">
        <v>208</v>
      </c>
      <c r="AC59" s="1672"/>
      <c r="AD59" s="1672"/>
      <c r="AE59" s="379" t="s">
        <v>200</v>
      </c>
      <c r="AF59" s="374"/>
      <c r="AG59" s="106" t="s">
        <v>209</v>
      </c>
      <c r="AO59" s="1054"/>
      <c r="AP59" s="1054"/>
      <c r="AQ59" s="1054"/>
      <c r="AR59" s="1054"/>
      <c r="AS59" s="1054"/>
      <c r="AT59" s="1054" t="s">
        <v>210</v>
      </c>
      <c r="AU59" s="1054"/>
      <c r="AV59" s="1054"/>
      <c r="AW59" s="1054"/>
      <c r="AX59" s="1054"/>
      <c r="AY59" s="1054"/>
      <c r="AZ59" s="1054"/>
      <c r="BA59" s="1054"/>
      <c r="BB59" s="1054"/>
      <c r="BC59" s="1054"/>
      <c r="BD59" s="1054"/>
      <c r="BE59" s="1054"/>
    </row>
    <row r="60" spans="2:57" ht="19.899999999999999" customHeight="1">
      <c r="E60" s="676">
        <v>20.399999999999999</v>
      </c>
      <c r="F60" s="164" t="s">
        <v>211</v>
      </c>
      <c r="S60" s="1052" t="s">
        <v>186</v>
      </c>
      <c r="T60" s="1053" t="s">
        <v>187</v>
      </c>
      <c r="AB60" s="1672" t="s">
        <v>212</v>
      </c>
      <c r="AC60" s="1672"/>
      <c r="AD60" s="1672"/>
      <c r="AE60" s="379" t="s">
        <v>200</v>
      </c>
      <c r="AF60" s="369"/>
      <c r="AG60" s="106" t="s">
        <v>213</v>
      </c>
      <c r="AO60" s="1054"/>
      <c r="AP60" s="1054"/>
      <c r="AQ60" s="1054"/>
      <c r="AR60" s="1054"/>
      <c r="AS60" s="1054"/>
      <c r="AT60" s="1054" t="s">
        <v>214</v>
      </c>
      <c r="AU60" s="1054"/>
      <c r="AV60" s="1054"/>
      <c r="AW60" s="1054"/>
      <c r="AX60" s="1054"/>
      <c r="AY60" s="1054"/>
      <c r="AZ60" s="1054"/>
      <c r="BA60" s="1054"/>
      <c r="BB60" s="1054"/>
      <c r="BC60" s="1054"/>
      <c r="BD60" s="1054"/>
      <c r="BE60" s="1054"/>
    </row>
    <row r="61" spans="2:57" ht="19.899999999999999" customHeight="1">
      <c r="E61" s="676">
        <v>20.399999999999999</v>
      </c>
      <c r="S61" s="1052" t="s">
        <v>215</v>
      </c>
      <c r="T61" s="1053" t="s">
        <v>216</v>
      </c>
      <c r="AB61" s="1672" t="s">
        <v>217</v>
      </c>
      <c r="AC61" s="1672"/>
      <c r="AD61" s="1672"/>
      <c r="AE61" s="392"/>
      <c r="AF61" s="369"/>
      <c r="AO61" s="1054"/>
      <c r="AP61" s="1054"/>
      <c r="AQ61" s="1054"/>
      <c r="AR61" s="1054"/>
      <c r="AS61" s="1054"/>
      <c r="AT61" s="1054" t="s">
        <v>214</v>
      </c>
      <c r="AU61" s="1054"/>
      <c r="AV61" s="1054"/>
      <c r="AW61" s="1054"/>
      <c r="AX61" s="1054"/>
      <c r="AY61" s="1054"/>
      <c r="AZ61" s="1054"/>
      <c r="BA61" s="1054"/>
      <c r="BB61" s="1054"/>
      <c r="BC61" s="1054"/>
      <c r="BD61" s="1054"/>
      <c r="BE61" s="1054"/>
    </row>
    <row r="62" spans="2:57" ht="20.25" hidden="1" customHeight="1">
      <c r="E62" s="676">
        <v>0</v>
      </c>
      <c r="S62" s="1052"/>
      <c r="T62" s="1053"/>
      <c r="W62" s="806"/>
      <c r="X62" s="806"/>
      <c r="Y62" s="806"/>
      <c r="Z62" s="806"/>
      <c r="AA62" s="771" t="s">
        <v>218</v>
      </c>
      <c r="AB62" s="1670" t="s">
        <v>217</v>
      </c>
      <c r="AC62" s="1670"/>
      <c r="AD62" s="1670"/>
      <c r="AE62" s="704"/>
      <c r="AF62" s="705"/>
      <c r="AO62" s="1054"/>
      <c r="AP62" s="1054"/>
      <c r="AQ62" s="1054"/>
      <c r="AR62" s="1054"/>
      <c r="AS62" s="1054"/>
      <c r="AT62" s="1054"/>
      <c r="AU62" s="1054"/>
      <c r="AV62" s="1054"/>
      <c r="AW62" s="1054"/>
      <c r="AX62" s="1054"/>
      <c r="AY62" s="1054"/>
      <c r="AZ62" s="1054"/>
      <c r="BA62" s="1054"/>
      <c r="BB62" s="1054"/>
      <c r="BC62" s="1054"/>
      <c r="BD62" s="1054"/>
      <c r="BE62" s="1054"/>
    </row>
    <row r="63" spans="2:57" ht="15" hidden="1" customHeight="1">
      <c r="E63" s="676">
        <v>0</v>
      </c>
      <c r="F63" s="164" t="s">
        <v>219</v>
      </c>
      <c r="S63" s="1052"/>
      <c r="T63" s="1053"/>
      <c r="W63" s="806"/>
      <c r="X63" s="806"/>
      <c r="Y63" s="808"/>
      <c r="Z63" s="806"/>
      <c r="AA63" s="772"/>
      <c r="AB63" s="706"/>
      <c r="AC63" s="707"/>
      <c r="AD63" s="707"/>
      <c r="AE63" s="708"/>
      <c r="AF63" s="705"/>
      <c r="AO63" s="1054"/>
      <c r="AP63" s="1054"/>
      <c r="AQ63" s="1054"/>
      <c r="AR63" s="1054"/>
      <c r="AS63" s="1054"/>
      <c r="AT63" s="1054"/>
      <c r="AU63" s="1054"/>
      <c r="AV63" s="1054"/>
      <c r="AW63" s="1054"/>
      <c r="AX63" s="1054"/>
      <c r="AY63" s="1054"/>
      <c r="AZ63" s="1054"/>
      <c r="BA63" s="1054"/>
      <c r="BB63" s="1054"/>
      <c r="BC63" s="1054"/>
      <c r="BD63" s="1054"/>
      <c r="BE63" s="1054"/>
    </row>
    <row r="64" spans="2:57" ht="19.899999999999999" customHeight="1">
      <c r="E64" s="676">
        <v>20.399999999999999</v>
      </c>
      <c r="F64" s="164" t="s">
        <v>220</v>
      </c>
      <c r="S64" s="1052" t="s">
        <v>186</v>
      </c>
      <c r="T64" s="1053" t="s">
        <v>187</v>
      </c>
      <c r="AB64" s="1672" t="s">
        <v>221</v>
      </c>
      <c r="AC64" s="1672"/>
      <c r="AD64" s="1672"/>
      <c r="AE64" s="379" t="s">
        <v>200</v>
      </c>
      <c r="AF64" s="369"/>
      <c r="AG64" s="106" t="s">
        <v>222</v>
      </c>
      <c r="AO64" s="1054"/>
      <c r="AP64" s="1054"/>
      <c r="AQ64" s="1054"/>
      <c r="AR64" s="1054"/>
      <c r="AS64" s="1054"/>
      <c r="AT64" s="1054" t="s">
        <v>223</v>
      </c>
      <c r="AU64" s="1054"/>
      <c r="AV64" s="1054"/>
      <c r="AW64" s="1054"/>
      <c r="AX64" s="1054"/>
      <c r="AY64" s="1054"/>
      <c r="AZ64" s="1054"/>
      <c r="BA64" s="1054"/>
      <c r="BB64" s="1054"/>
      <c r="BC64" s="1054"/>
      <c r="BD64" s="1054"/>
      <c r="BE64" s="1054"/>
    </row>
    <row r="65" spans="2:57" ht="19.5" hidden="1" customHeight="1">
      <c r="E65" s="676">
        <v>0</v>
      </c>
      <c r="S65" s="1052"/>
      <c r="T65" s="1053"/>
      <c r="AB65" s="1672"/>
      <c r="AC65" s="1672"/>
      <c r="AD65" s="1672"/>
      <c r="AE65" s="407"/>
      <c r="AF65" s="369"/>
      <c r="AO65" s="1054"/>
      <c r="AP65" s="1054"/>
      <c r="AQ65" s="1054"/>
      <c r="AR65" s="1054"/>
      <c r="AS65" s="1054"/>
      <c r="AT65" s="1054"/>
      <c r="AU65" s="1054"/>
      <c r="AV65" s="1054"/>
      <c r="AW65" s="1054"/>
      <c r="AX65" s="1054"/>
      <c r="AY65" s="1054"/>
      <c r="AZ65" s="1054"/>
      <c r="BA65" s="1054"/>
      <c r="BB65" s="1054"/>
      <c r="BC65" s="1054"/>
      <c r="BD65" s="1054"/>
      <c r="BE65" s="1054"/>
    </row>
    <row r="66" spans="2:57" ht="19.5" hidden="1" customHeight="1">
      <c r="E66" s="676">
        <v>0</v>
      </c>
      <c r="S66" s="1052"/>
      <c r="T66" s="1053"/>
      <c r="AB66" s="1671"/>
      <c r="AC66" s="1672"/>
      <c r="AD66" s="1672"/>
      <c r="AE66" s="404"/>
      <c r="AF66" s="369"/>
      <c r="AO66" s="1054"/>
      <c r="AP66" s="1054"/>
      <c r="AQ66" s="1054"/>
      <c r="AR66" s="1054"/>
      <c r="AS66" s="1054"/>
      <c r="AT66" s="1054"/>
      <c r="AU66" s="1054"/>
      <c r="AV66" s="1054"/>
      <c r="AW66" s="1054"/>
      <c r="AX66" s="1054"/>
      <c r="AY66" s="1054"/>
      <c r="AZ66" s="1054"/>
      <c r="BA66" s="1054"/>
      <c r="BB66" s="1054"/>
      <c r="BC66" s="1054"/>
      <c r="BD66" s="1054"/>
      <c r="BE66" s="1054"/>
    </row>
    <row r="67" spans="2:57" ht="19.5" hidden="1" customHeight="1">
      <c r="E67" s="676">
        <v>0</v>
      </c>
      <c r="S67" s="1052"/>
      <c r="T67" s="1053"/>
      <c r="AB67" s="1671"/>
      <c r="AC67" s="1672"/>
      <c r="AD67" s="1672"/>
      <c r="AE67" s="404"/>
      <c r="AF67" s="369"/>
      <c r="AO67" s="1054"/>
      <c r="AP67" s="1054"/>
      <c r="AQ67" s="1054"/>
      <c r="AR67" s="1054"/>
      <c r="AS67" s="1054"/>
      <c r="AT67" s="1054"/>
      <c r="AU67" s="1054"/>
      <c r="AV67" s="1054"/>
      <c r="AW67" s="1054"/>
      <c r="AX67" s="1054"/>
      <c r="AY67" s="1054"/>
      <c r="AZ67" s="1054"/>
      <c r="BA67" s="1054"/>
      <c r="BB67" s="1054"/>
      <c r="BC67" s="1054"/>
      <c r="BD67" s="1054"/>
      <c r="BE67" s="1054"/>
    </row>
    <row r="68" spans="2:57" ht="19.5" hidden="1" customHeight="1">
      <c r="E68" s="676">
        <v>0</v>
      </c>
      <c r="S68" s="1052"/>
      <c r="T68" s="1053"/>
      <c r="AB68" s="1671"/>
      <c r="AC68" s="1672"/>
      <c r="AD68" s="1672"/>
      <c r="AE68" s="404"/>
      <c r="AF68" s="369"/>
      <c r="AO68" s="1054"/>
      <c r="AP68" s="1054"/>
      <c r="AQ68" s="1054"/>
      <c r="AR68" s="1054"/>
      <c r="AS68" s="1054"/>
      <c r="AT68" s="1054"/>
      <c r="AU68" s="1054"/>
      <c r="AV68" s="1054"/>
      <c r="AW68" s="1054"/>
      <c r="AX68" s="1054"/>
      <c r="AY68" s="1054"/>
      <c r="AZ68" s="1054"/>
      <c r="BA68" s="1054"/>
      <c r="BB68" s="1054"/>
      <c r="BC68" s="1054"/>
      <c r="BD68" s="1054"/>
      <c r="BE68" s="1054"/>
    </row>
    <row r="69" spans="2:57" ht="19.5" hidden="1" customHeight="1">
      <c r="E69" s="676">
        <v>0</v>
      </c>
      <c r="S69" s="1052"/>
      <c r="T69" s="1053"/>
      <c r="AB69" s="1671"/>
      <c r="AC69" s="1672"/>
      <c r="AD69" s="1672"/>
      <c r="AE69" s="405"/>
      <c r="AF69" s="369"/>
      <c r="AO69" s="1054"/>
      <c r="AP69" s="1054"/>
      <c r="AQ69" s="1054"/>
      <c r="AR69" s="1054"/>
      <c r="AS69" s="1054"/>
      <c r="AT69" s="1054"/>
      <c r="AU69" s="1054"/>
      <c r="AV69" s="1054"/>
      <c r="AW69" s="1054"/>
      <c r="AX69" s="1054"/>
      <c r="AY69" s="1054"/>
      <c r="AZ69" s="1054"/>
      <c r="BA69" s="1054"/>
      <c r="BB69" s="1054"/>
      <c r="BC69" s="1054"/>
      <c r="BD69" s="1054"/>
      <c r="BE69" s="1054"/>
    </row>
    <row r="70" spans="2:57" ht="19.5" hidden="1" customHeight="1">
      <c r="E70" s="676">
        <v>0</v>
      </c>
      <c r="S70" s="1052"/>
      <c r="T70" s="1053"/>
      <c r="AB70" s="1671"/>
      <c r="AC70" s="1672"/>
      <c r="AD70" s="1672"/>
      <c r="AE70" s="406"/>
      <c r="AF70" s="369"/>
      <c r="AG70" s="143"/>
      <c r="AO70" s="1054"/>
      <c r="AP70" s="1054"/>
      <c r="AQ70" s="1054"/>
      <c r="AR70" s="1054"/>
      <c r="AS70" s="1054"/>
      <c r="AT70" s="1054"/>
      <c r="AU70" s="1054"/>
      <c r="AV70" s="1054"/>
      <c r="AW70" s="1054"/>
      <c r="AX70" s="1054"/>
      <c r="AY70" s="1054"/>
      <c r="AZ70" s="1054"/>
      <c r="BA70" s="1054"/>
      <c r="BB70" s="1054"/>
      <c r="BC70" s="1054"/>
      <c r="BD70" s="1054"/>
      <c r="BE70" s="1054"/>
    </row>
    <row r="71" spans="2:57" ht="15" hidden="1" customHeight="1">
      <c r="E71" s="676">
        <v>0</v>
      </c>
      <c r="S71" s="1052"/>
      <c r="T71" s="1053"/>
      <c r="AB71" s="408"/>
      <c r="AC71" s="409"/>
      <c r="AD71" s="409"/>
      <c r="AE71" s="410"/>
      <c r="AF71" s="369"/>
      <c r="AG71" s="143"/>
      <c r="AO71" s="1054"/>
      <c r="AP71" s="1054"/>
      <c r="AQ71" s="1054"/>
      <c r="AR71" s="1054"/>
      <c r="AS71" s="1054"/>
      <c r="AT71" s="1054"/>
      <c r="AU71" s="1054"/>
      <c r="AV71" s="1054"/>
      <c r="AW71" s="1054"/>
      <c r="AX71" s="1054"/>
      <c r="AY71" s="1054"/>
      <c r="AZ71" s="1054"/>
      <c r="BA71" s="1054"/>
      <c r="BB71" s="1054"/>
      <c r="BC71" s="1054"/>
      <c r="BD71" s="1054"/>
      <c r="BE71" s="1054"/>
    </row>
    <row r="72" spans="2:57" ht="19.5" hidden="1" customHeight="1">
      <c r="E72" s="676">
        <v>0</v>
      </c>
      <c r="S72" s="1052"/>
      <c r="T72" s="1053"/>
      <c r="AB72" s="1672"/>
      <c r="AC72" s="1672"/>
      <c r="AD72" s="1672"/>
      <c r="AE72" s="407"/>
      <c r="AF72" s="369"/>
      <c r="AO72" s="1054"/>
      <c r="AP72" s="1054"/>
      <c r="AQ72" s="1054"/>
      <c r="AR72" s="1054"/>
      <c r="AS72" s="1054"/>
      <c r="AT72" s="1054"/>
      <c r="AU72" s="1054"/>
      <c r="AV72" s="1054"/>
      <c r="AW72" s="1054"/>
      <c r="AX72" s="1054"/>
      <c r="AY72" s="1054"/>
      <c r="AZ72" s="1054"/>
      <c r="BA72" s="1054"/>
      <c r="BB72" s="1054"/>
      <c r="BC72" s="1054"/>
      <c r="BD72" s="1054"/>
      <c r="BE72" s="1054"/>
    </row>
    <row r="73" spans="2:57" ht="19.899999999999999" customHeight="1">
      <c r="B73" s="769" t="b">
        <f t="shared" ref="B73:B83" si="0">HAS_DOC3="да"</f>
        <v>1</v>
      </c>
      <c r="E73" s="676">
        <v>20.399999999999999</v>
      </c>
      <c r="S73" s="1052" t="s">
        <v>111</v>
      </c>
      <c r="T73" s="1053" t="s">
        <v>112</v>
      </c>
      <c r="AB73" s="1671" t="s">
        <v>224</v>
      </c>
      <c r="AC73" s="1672" t="s">
        <v>225</v>
      </c>
      <c r="AD73" s="1672"/>
      <c r="AE73" s="361"/>
      <c r="AF73" s="369"/>
      <c r="AO73" s="1054"/>
      <c r="AP73" s="1054"/>
      <c r="AQ73" s="1054"/>
      <c r="AR73" s="1054"/>
      <c r="AS73" s="1054"/>
      <c r="AT73" s="1054" t="s">
        <v>223</v>
      </c>
      <c r="AU73" s="1054" t="s">
        <v>226</v>
      </c>
      <c r="AV73" s="1054"/>
      <c r="AW73" s="1054"/>
      <c r="AX73" s="1054"/>
      <c r="AY73" s="1054"/>
      <c r="AZ73" s="1054"/>
      <c r="BA73" s="1054"/>
      <c r="BB73" s="1054"/>
      <c r="BC73" s="1054"/>
      <c r="BD73" s="1054"/>
      <c r="BE73" s="1054"/>
    </row>
    <row r="74" spans="2:57" ht="19.899999999999999" customHeight="1">
      <c r="B74" s="769" t="b">
        <f t="shared" si="0"/>
        <v>1</v>
      </c>
      <c r="E74" s="676">
        <v>20.399999999999999</v>
      </c>
      <c r="S74" s="1052" t="s">
        <v>111</v>
      </c>
      <c r="T74" s="1053" t="s">
        <v>112</v>
      </c>
      <c r="AB74" s="1671"/>
      <c r="AC74" s="1672" t="s">
        <v>227</v>
      </c>
      <c r="AD74" s="1672"/>
      <c r="AE74" s="362" t="s">
        <v>228</v>
      </c>
      <c r="AF74" s="369"/>
      <c r="AO74" s="1054"/>
      <c r="AP74" s="1054"/>
      <c r="AQ74" s="1054"/>
      <c r="AR74" s="1054"/>
      <c r="AS74" s="1054"/>
      <c r="AT74" s="1054" t="s">
        <v>223</v>
      </c>
      <c r="AU74" s="1054" t="s">
        <v>229</v>
      </c>
      <c r="AV74" s="1054"/>
      <c r="AW74" s="1054"/>
      <c r="AX74" s="1054"/>
      <c r="AY74" s="1054"/>
      <c r="AZ74" s="1054"/>
      <c r="BA74" s="1054"/>
      <c r="BB74" s="1054"/>
      <c r="BC74" s="1054"/>
      <c r="BD74" s="1054"/>
      <c r="BE74" s="1054"/>
    </row>
    <row r="75" spans="2:57" ht="19.899999999999999" customHeight="1">
      <c r="B75" s="769" t="b">
        <f t="shared" si="0"/>
        <v>1</v>
      </c>
      <c r="E75" s="676">
        <v>20.399999999999999</v>
      </c>
      <c r="S75" s="1052" t="s">
        <v>111</v>
      </c>
      <c r="T75" s="1053" t="s">
        <v>112</v>
      </c>
      <c r="AB75" s="1671"/>
      <c r="AC75" s="1672" t="s">
        <v>230</v>
      </c>
      <c r="AD75" s="1672"/>
      <c r="AE75" s="361"/>
      <c r="AF75" s="369"/>
      <c r="AO75" s="1054"/>
      <c r="AP75" s="1054"/>
      <c r="AQ75" s="1054"/>
      <c r="AR75" s="1054"/>
      <c r="AS75" s="1054"/>
      <c r="AT75" s="1054" t="s">
        <v>223</v>
      </c>
      <c r="AU75" s="1054" t="s">
        <v>231</v>
      </c>
      <c r="AV75" s="1054"/>
      <c r="AW75" s="1054"/>
      <c r="AX75" s="1054"/>
      <c r="AY75" s="1054"/>
      <c r="AZ75" s="1054"/>
      <c r="BA75" s="1054"/>
      <c r="BB75" s="1054"/>
      <c r="BC75" s="1054"/>
      <c r="BD75" s="1054"/>
      <c r="BE75" s="1054"/>
    </row>
    <row r="76" spans="2:57" ht="19.899999999999999" customHeight="1">
      <c r="B76" s="769" t="b">
        <f t="shared" si="0"/>
        <v>1</v>
      </c>
      <c r="E76" s="676">
        <v>20.399999999999999</v>
      </c>
      <c r="S76" s="1052" t="s">
        <v>111</v>
      </c>
      <c r="T76" s="1053" t="s">
        <v>112</v>
      </c>
      <c r="AB76" s="1671"/>
      <c r="AC76" s="1672" t="s">
        <v>232</v>
      </c>
      <c r="AD76" s="1672"/>
      <c r="AE76" s="764">
        <v>44197</v>
      </c>
      <c r="AF76" s="369"/>
      <c r="AO76" s="1054"/>
      <c r="AP76" s="1054"/>
      <c r="AQ76" s="1054"/>
      <c r="AR76" s="1054"/>
      <c r="AS76" s="1054"/>
      <c r="AT76" s="1054" t="s">
        <v>223</v>
      </c>
      <c r="AU76" s="1054" t="s">
        <v>233</v>
      </c>
      <c r="AV76" s="1054"/>
      <c r="AW76" s="1054"/>
      <c r="AX76" s="1054"/>
      <c r="AY76" s="1054"/>
      <c r="AZ76" s="1054"/>
      <c r="BA76" s="1054"/>
      <c r="BB76" s="1054"/>
      <c r="BC76" s="1054"/>
      <c r="BD76" s="1054"/>
      <c r="BE76" s="1054"/>
    </row>
    <row r="77" spans="2:57" ht="19.899999999999999" customHeight="1">
      <c r="B77" s="769" t="b">
        <f t="shared" si="0"/>
        <v>1</v>
      </c>
      <c r="E77" s="676">
        <v>20.399999999999999</v>
      </c>
      <c r="S77" s="1052" t="s">
        <v>215</v>
      </c>
      <c r="T77" s="1053" t="s">
        <v>216</v>
      </c>
      <c r="AB77" s="1671"/>
      <c r="AC77" s="1672" t="s">
        <v>215</v>
      </c>
      <c r="AD77" s="1672"/>
      <c r="AE77" s="392" t="s">
        <v>234</v>
      </c>
      <c r="AF77" s="369"/>
      <c r="AG77" s="143"/>
      <c r="AO77" s="1054"/>
      <c r="AP77" s="1054"/>
      <c r="AQ77" s="1054"/>
      <c r="AR77" s="1054"/>
      <c r="AS77" s="1054"/>
      <c r="AT77" s="1054" t="s">
        <v>223</v>
      </c>
      <c r="AU77" s="1054" t="s">
        <v>235</v>
      </c>
      <c r="AV77" s="1054"/>
      <c r="AW77" s="1054"/>
      <c r="AX77" s="1054"/>
      <c r="AY77" s="1054"/>
      <c r="AZ77" s="1054"/>
      <c r="BA77" s="1054"/>
      <c r="BB77" s="1054"/>
      <c r="BC77" s="1054"/>
      <c r="BD77" s="1054"/>
      <c r="BE77" s="1054"/>
    </row>
    <row r="78" spans="2:57" ht="19.899999999999999" hidden="1" customHeight="1">
      <c r="B78" s="769" t="b">
        <f t="shared" si="0"/>
        <v>1</v>
      </c>
      <c r="E78" s="676">
        <v>20.399999999999999</v>
      </c>
      <c r="S78" s="1052" t="s">
        <v>111</v>
      </c>
      <c r="T78" s="1053" t="s">
        <v>112</v>
      </c>
      <c r="W78" s="698" t="b">
        <f>ROW(Y78)&gt;ROW(Y$78)</f>
        <v>0</v>
      </c>
      <c r="Y78" s="110" t="s">
        <v>236</v>
      </c>
      <c r="AA78" s="1669" t="s">
        <v>218</v>
      </c>
      <c r="AB78" s="1671" t="s">
        <v>224</v>
      </c>
      <c r="AC78" s="1672" t="s">
        <v>225</v>
      </c>
      <c r="AD78" s="1672"/>
      <c r="AE78" s="401"/>
      <c r="AO78" s="1061" cm="1">
        <f t="array" ref="AO78">AE78</f>
        <v>0</v>
      </c>
      <c r="AP78" s="1054"/>
      <c r="AQ78" s="1054"/>
      <c r="AR78" s="1054"/>
      <c r="AS78" s="1054"/>
      <c r="AT78" s="1054" t="s">
        <v>223</v>
      </c>
      <c r="AU78" s="1054" t="s">
        <v>226</v>
      </c>
      <c r="AV78" s="1054"/>
      <c r="AW78" s="1054"/>
      <c r="AX78" s="1054"/>
      <c r="AY78" s="1054"/>
      <c r="AZ78" s="1054"/>
      <c r="BA78" s="1054"/>
      <c r="BB78" s="1054"/>
      <c r="BC78" s="1054"/>
      <c r="BD78" s="1054"/>
      <c r="BE78" s="1054"/>
    </row>
    <row r="79" spans="2:57" ht="19.899999999999999" hidden="1" customHeight="1">
      <c r="B79" s="769" t="b">
        <f t="shared" si="0"/>
        <v>1</v>
      </c>
      <c r="E79" s="676">
        <v>20.399999999999999</v>
      </c>
      <c r="S79" s="1052" t="s">
        <v>111</v>
      </c>
      <c r="T79" s="1053" t="s">
        <v>112</v>
      </c>
      <c r="W79" s="698" t="b" cm="1">
        <f t="array" ref="W79">W78</f>
        <v>0</v>
      </c>
      <c r="AA79" s="1669"/>
      <c r="AB79" s="1671"/>
      <c r="AC79" s="1672" t="s">
        <v>227</v>
      </c>
      <c r="AD79" s="1672"/>
      <c r="AE79" s="402"/>
      <c r="AO79" s="1054" cm="1">
        <f t="array" ref="AO79">AO78</f>
        <v>0</v>
      </c>
      <c r="AP79" s="1054"/>
      <c r="AQ79" s="1054"/>
      <c r="AR79" s="1054"/>
      <c r="AS79" s="1054"/>
      <c r="AT79" s="1054" t="s">
        <v>223</v>
      </c>
      <c r="AU79" s="1054" t="s">
        <v>229</v>
      </c>
      <c r="AV79" s="1054"/>
      <c r="AW79" s="1054"/>
      <c r="AX79" s="1054"/>
      <c r="AY79" s="1054"/>
      <c r="AZ79" s="1054"/>
      <c r="BA79" s="1054"/>
      <c r="BB79" s="1054"/>
      <c r="BC79" s="1054"/>
      <c r="BD79" s="1054"/>
      <c r="BE79" s="1054"/>
    </row>
    <row r="80" spans="2:57" ht="19.899999999999999" hidden="1" customHeight="1">
      <c r="B80" s="769" t="b">
        <f t="shared" si="0"/>
        <v>1</v>
      </c>
      <c r="E80" s="676">
        <v>20.399999999999999</v>
      </c>
      <c r="S80" s="1052" t="s">
        <v>111</v>
      </c>
      <c r="T80" s="1053" t="s">
        <v>112</v>
      </c>
      <c r="W80" s="698" t="b" cm="1">
        <f t="array" ref="W80">W79</f>
        <v>0</v>
      </c>
      <c r="AA80" s="1669"/>
      <c r="AB80" s="1671"/>
      <c r="AC80" s="1672" t="s">
        <v>230</v>
      </c>
      <c r="AD80" s="1672"/>
      <c r="AE80" s="401"/>
      <c r="AO80" s="1054" cm="1">
        <f t="array" ref="AO80">AO79</f>
        <v>0</v>
      </c>
      <c r="AP80" s="1054"/>
      <c r="AQ80" s="1054"/>
      <c r="AR80" s="1054"/>
      <c r="AS80" s="1054"/>
      <c r="AT80" s="1054" t="s">
        <v>223</v>
      </c>
      <c r="AU80" s="1054" t="s">
        <v>231</v>
      </c>
      <c r="AV80" s="1054"/>
      <c r="AW80" s="1054"/>
      <c r="AX80" s="1054"/>
      <c r="AY80" s="1054"/>
      <c r="AZ80" s="1054"/>
      <c r="BA80" s="1054"/>
      <c r="BB80" s="1054"/>
      <c r="BC80" s="1054"/>
      <c r="BD80" s="1054"/>
      <c r="BE80" s="1054"/>
    </row>
    <row r="81" spans="2:57" ht="19.899999999999999" hidden="1" customHeight="1">
      <c r="B81" s="769" t="b">
        <f t="shared" si="0"/>
        <v>1</v>
      </c>
      <c r="E81" s="676">
        <v>20.399999999999999</v>
      </c>
      <c r="S81" s="1052" t="s">
        <v>111</v>
      </c>
      <c r="T81" s="1053" t="s">
        <v>112</v>
      </c>
      <c r="W81" s="698" t="b" cm="1">
        <f t="array" ref="W81">W80</f>
        <v>0</v>
      </c>
      <c r="AA81" s="1669"/>
      <c r="AB81" s="1671"/>
      <c r="AC81" s="1672" t="s">
        <v>232</v>
      </c>
      <c r="AD81" s="1672"/>
      <c r="AE81" s="2"/>
      <c r="AO81" s="1054" cm="1">
        <f t="array" ref="AO81">AO80</f>
        <v>0</v>
      </c>
      <c r="AP81" s="1054"/>
      <c r="AQ81" s="1054"/>
      <c r="AR81" s="1054"/>
      <c r="AS81" s="1054"/>
      <c r="AT81" s="1054" t="s">
        <v>223</v>
      </c>
      <c r="AU81" s="1054" t="s">
        <v>233</v>
      </c>
      <c r="AV81" s="1054"/>
      <c r="AW81" s="1054"/>
      <c r="AX81" s="1054"/>
      <c r="AY81" s="1054"/>
      <c r="AZ81" s="1054"/>
      <c r="BA81" s="1054"/>
      <c r="BB81" s="1054"/>
      <c r="BC81" s="1054"/>
      <c r="BD81" s="1054"/>
      <c r="BE81" s="1054"/>
    </row>
    <row r="82" spans="2:57" ht="19.899999999999999" hidden="1" customHeight="1">
      <c r="B82" s="769" t="b">
        <f t="shared" si="0"/>
        <v>1</v>
      </c>
      <c r="E82" s="676">
        <v>20.399999999999999</v>
      </c>
      <c r="S82" s="1052" t="s">
        <v>215</v>
      </c>
      <c r="T82" s="1053" t="s">
        <v>216</v>
      </c>
      <c r="W82" s="698" t="b" cm="1">
        <f t="array" ref="W82">W81</f>
        <v>0</v>
      </c>
      <c r="AA82" s="1669"/>
      <c r="AB82" s="1671"/>
      <c r="AC82" s="1672" t="s">
        <v>215</v>
      </c>
      <c r="AD82" s="1672"/>
      <c r="AE82" s="3"/>
      <c r="AO82" s="1054" cm="1">
        <f t="array" ref="AO82">AO81</f>
        <v>0</v>
      </c>
      <c r="AP82" s="1054"/>
      <c r="AQ82" s="1054"/>
      <c r="AR82" s="1054"/>
      <c r="AS82" s="1054"/>
      <c r="AT82" s="1054" t="s">
        <v>223</v>
      </c>
      <c r="AU82" s="1054" t="s">
        <v>235</v>
      </c>
      <c r="AV82" s="1054"/>
      <c r="AW82" s="1054"/>
      <c r="AX82" s="1054"/>
      <c r="AY82" s="1054"/>
      <c r="AZ82" s="1054"/>
      <c r="BA82" s="1054"/>
      <c r="BB82" s="1054"/>
      <c r="BC82" s="1054"/>
      <c r="BD82" s="1054"/>
      <c r="BE82" s="1054"/>
    </row>
    <row r="83" spans="2:57" ht="14.65" customHeight="1">
      <c r="B83" s="769" t="b">
        <f t="shared" si="0"/>
        <v>1</v>
      </c>
      <c r="E83" s="676">
        <v>15</v>
      </c>
      <c r="F83" s="164" t="s">
        <v>220</v>
      </c>
      <c r="Y83" s="318" t="s">
        <v>237</v>
      </c>
      <c r="AB83" s="286"/>
      <c r="AC83" s="285"/>
      <c r="AD83" s="285"/>
      <c r="AE83" s="284" t="s">
        <v>238</v>
      </c>
      <c r="AF83" s="369"/>
      <c r="AG83" s="143"/>
    </row>
    <row r="84" spans="2:57" ht="19.899999999999999" customHeight="1">
      <c r="E84" s="676">
        <v>20.399999999999999</v>
      </c>
      <c r="F84" s="164" t="s">
        <v>239</v>
      </c>
      <c r="S84" s="1052" t="s">
        <v>186</v>
      </c>
      <c r="T84" s="1053" t="s">
        <v>187</v>
      </c>
      <c r="AB84" s="1672" t="s">
        <v>240</v>
      </c>
      <c r="AC84" s="1672"/>
      <c r="AD84" s="1672"/>
      <c r="AE84" s="379" t="s">
        <v>200</v>
      </c>
      <c r="AF84" s="369"/>
      <c r="AG84" s="106" t="s">
        <v>241</v>
      </c>
      <c r="AO84" s="1054"/>
      <c r="AP84" s="1054"/>
      <c r="AQ84" s="1054"/>
      <c r="AR84" s="1054"/>
      <c r="AS84" s="1054"/>
      <c r="AT84" s="1054"/>
      <c r="AU84" s="1054"/>
      <c r="AV84" s="1054" t="s">
        <v>242</v>
      </c>
      <c r="AW84" s="1054"/>
      <c r="AX84" s="1054"/>
      <c r="AY84" s="1054"/>
      <c r="AZ84" s="1054"/>
      <c r="BA84" s="1054"/>
      <c r="BB84" s="1054"/>
      <c r="BC84" s="1054"/>
      <c r="BD84" s="1054"/>
      <c r="BE84" s="1054"/>
    </row>
    <row r="85" spans="2:57" ht="19.899999999999999" customHeight="1">
      <c r="B85" s="769" t="b">
        <f t="shared" ref="B85:B95" si="1">HAS_DOC4="да"</f>
        <v>1</v>
      </c>
      <c r="E85" s="676">
        <v>20.399999999999999</v>
      </c>
      <c r="S85" s="1052" t="s">
        <v>111</v>
      </c>
      <c r="T85" s="1053" t="s">
        <v>112</v>
      </c>
      <c r="AB85" s="1671" t="s">
        <v>224</v>
      </c>
      <c r="AC85" s="1672" t="s">
        <v>225</v>
      </c>
      <c r="AD85" s="1672"/>
      <c r="AE85" s="1159" t="s">
        <v>243</v>
      </c>
      <c r="AF85" s="369"/>
      <c r="AO85" s="1054"/>
      <c r="AP85" s="1054"/>
      <c r="AQ85" s="1054"/>
      <c r="AR85" s="1054"/>
      <c r="AS85" s="1054"/>
      <c r="AT85" s="1054"/>
      <c r="AU85" s="1054" t="s">
        <v>226</v>
      </c>
      <c r="AV85" s="1054" t="s">
        <v>242</v>
      </c>
      <c r="AW85" s="1054"/>
      <c r="AX85" s="1054"/>
      <c r="AY85" s="1054"/>
      <c r="AZ85" s="1054"/>
      <c r="BA85" s="1054"/>
      <c r="BB85" s="1054"/>
      <c r="BC85" s="1054"/>
      <c r="BD85" s="1054"/>
      <c r="BE85" s="1054"/>
    </row>
    <row r="86" spans="2:57" ht="19.899999999999999" customHeight="1">
      <c r="B86" s="769" t="b">
        <f t="shared" si="1"/>
        <v>1</v>
      </c>
      <c r="E86" s="676">
        <v>20.399999999999999</v>
      </c>
      <c r="S86" s="1052" t="s">
        <v>111</v>
      </c>
      <c r="T86" s="1053" t="s">
        <v>112</v>
      </c>
      <c r="AB86" s="1671"/>
      <c r="AC86" s="1672" t="s">
        <v>227</v>
      </c>
      <c r="AD86" s="1672"/>
      <c r="AE86" s="1160" t="s">
        <v>244</v>
      </c>
      <c r="AF86" s="369"/>
      <c r="AO86" s="1054"/>
      <c r="AP86" s="1054"/>
      <c r="AQ86" s="1054"/>
      <c r="AR86" s="1054"/>
      <c r="AS86" s="1054"/>
      <c r="AT86" s="1054"/>
      <c r="AU86" s="1054" t="s">
        <v>229</v>
      </c>
      <c r="AV86" s="1054" t="s">
        <v>242</v>
      </c>
      <c r="AW86" s="1054"/>
      <c r="AX86" s="1054"/>
      <c r="AY86" s="1054"/>
      <c r="AZ86" s="1054"/>
      <c r="BA86" s="1054"/>
      <c r="BB86" s="1054"/>
      <c r="BC86" s="1054"/>
      <c r="BD86" s="1054"/>
      <c r="BE86" s="1054"/>
    </row>
    <row r="87" spans="2:57" ht="19.899999999999999" customHeight="1">
      <c r="B87" s="769" t="b">
        <f t="shared" si="1"/>
        <v>1</v>
      </c>
      <c r="E87" s="676">
        <v>20.399999999999999</v>
      </c>
      <c r="S87" s="1052" t="s">
        <v>111</v>
      </c>
      <c r="T87" s="1053" t="s">
        <v>112</v>
      </c>
      <c r="AB87" s="1671"/>
      <c r="AC87" s="1672" t="s">
        <v>230</v>
      </c>
      <c r="AD87" s="1672"/>
      <c r="AE87" s="1159" t="s">
        <v>245</v>
      </c>
      <c r="AF87" s="369"/>
      <c r="AO87" s="1054"/>
      <c r="AP87" s="1054"/>
      <c r="AQ87" s="1054"/>
      <c r="AR87" s="1054"/>
      <c r="AS87" s="1054"/>
      <c r="AT87" s="1054"/>
      <c r="AU87" s="1054" t="s">
        <v>231</v>
      </c>
      <c r="AV87" s="1054" t="s">
        <v>242</v>
      </c>
      <c r="AW87" s="1054"/>
      <c r="AX87" s="1054"/>
      <c r="AY87" s="1054"/>
      <c r="AZ87" s="1054"/>
      <c r="BA87" s="1054"/>
      <c r="BB87" s="1054"/>
      <c r="BC87" s="1054"/>
      <c r="BD87" s="1054"/>
      <c r="BE87" s="1054"/>
    </row>
    <row r="88" spans="2:57" ht="19.899999999999999" customHeight="1">
      <c r="B88" s="769" t="b">
        <f t="shared" si="1"/>
        <v>1</v>
      </c>
      <c r="E88" s="676">
        <v>20.399999999999999</v>
      </c>
      <c r="S88" s="1052" t="s">
        <v>111</v>
      </c>
      <c r="T88" s="1053" t="s">
        <v>112</v>
      </c>
      <c r="AB88" s="1671"/>
      <c r="AC88" s="1672" t="s">
        <v>232</v>
      </c>
      <c r="AD88" s="1672"/>
      <c r="AE88" s="1161">
        <v>44015</v>
      </c>
      <c r="AF88" s="369"/>
      <c r="AO88" s="1054"/>
      <c r="AP88" s="1054"/>
      <c r="AQ88" s="1054"/>
      <c r="AR88" s="1054"/>
      <c r="AS88" s="1054"/>
      <c r="AT88" s="1054"/>
      <c r="AU88" s="1054" t="s">
        <v>233</v>
      </c>
      <c r="AV88" s="1054" t="s">
        <v>242</v>
      </c>
      <c r="AW88" s="1054"/>
      <c r="AX88" s="1054"/>
      <c r="AY88" s="1054"/>
      <c r="AZ88" s="1054"/>
      <c r="BA88" s="1054"/>
      <c r="BB88" s="1054"/>
      <c r="BC88" s="1054"/>
      <c r="BD88" s="1054"/>
      <c r="BE88" s="1054"/>
    </row>
    <row r="89" spans="2:57" ht="19.899999999999999" customHeight="1">
      <c r="B89" s="769" t="b">
        <f t="shared" si="1"/>
        <v>1</v>
      </c>
      <c r="E89" s="676">
        <v>20.399999999999999</v>
      </c>
      <c r="S89" s="1052" t="s">
        <v>215</v>
      </c>
      <c r="T89" s="1053" t="s">
        <v>216</v>
      </c>
      <c r="AB89" s="1671"/>
      <c r="AC89" s="1672" t="s">
        <v>215</v>
      </c>
      <c r="AD89" s="1672"/>
      <c r="AE89" s="1162" t="s">
        <v>243</v>
      </c>
      <c r="AF89" s="369"/>
      <c r="AG89" s="143"/>
      <c r="AO89" s="1054"/>
      <c r="AP89" s="1054"/>
      <c r="AQ89" s="1054"/>
      <c r="AR89" s="1054"/>
      <c r="AS89" s="1054"/>
      <c r="AT89" s="1054"/>
      <c r="AU89" s="1054" t="s">
        <v>235</v>
      </c>
      <c r="AV89" s="1054" t="s">
        <v>242</v>
      </c>
      <c r="AW89" s="1054"/>
      <c r="AX89" s="1054"/>
      <c r="AY89" s="1054"/>
      <c r="AZ89" s="1054"/>
      <c r="BA89" s="1054"/>
      <c r="BB89" s="1054"/>
      <c r="BC89" s="1054"/>
      <c r="BD89" s="1054"/>
      <c r="BE89" s="1054"/>
    </row>
    <row r="90" spans="2:57" ht="19.899999999999999" hidden="1" customHeight="1">
      <c r="B90" s="769" t="b">
        <f t="shared" si="1"/>
        <v>1</v>
      </c>
      <c r="E90" s="676">
        <v>20.399999999999999</v>
      </c>
      <c r="S90" s="1052" t="s">
        <v>111</v>
      </c>
      <c r="T90" s="1053" t="s">
        <v>112</v>
      </c>
      <c r="W90" s="698" t="b">
        <f>ROW(Y90)&gt;ROW(Y$90)</f>
        <v>0</v>
      </c>
      <c r="Y90" s="110" t="s">
        <v>236</v>
      </c>
      <c r="AA90" s="1669" t="s">
        <v>218</v>
      </c>
      <c r="AB90" s="1671" t="s">
        <v>224</v>
      </c>
      <c r="AC90" s="1672" t="s">
        <v>225</v>
      </c>
      <c r="AD90" s="1672"/>
      <c r="AE90" s="401"/>
      <c r="AO90" s="1061" cm="1">
        <f t="array" ref="AO90">AE90</f>
        <v>0</v>
      </c>
      <c r="AP90" s="1054"/>
      <c r="AQ90" s="1054"/>
      <c r="AR90" s="1054"/>
      <c r="AS90" s="1054"/>
      <c r="AT90" s="1054"/>
      <c r="AU90" s="1054" t="s">
        <v>226</v>
      </c>
      <c r="AV90" s="1054" t="s">
        <v>242</v>
      </c>
      <c r="AW90" s="1054"/>
      <c r="AX90" s="1054"/>
      <c r="AY90" s="1054"/>
      <c r="AZ90" s="1054"/>
      <c r="BA90" s="1054"/>
      <c r="BB90" s="1054"/>
      <c r="BC90" s="1054"/>
      <c r="BD90" s="1054"/>
      <c r="BE90" s="1054"/>
    </row>
    <row r="91" spans="2:57" ht="19.899999999999999" hidden="1" customHeight="1">
      <c r="B91" s="769" t="b">
        <f t="shared" si="1"/>
        <v>1</v>
      </c>
      <c r="E91" s="676">
        <v>20.399999999999999</v>
      </c>
      <c r="S91" s="1052" t="s">
        <v>111</v>
      </c>
      <c r="T91" s="1053" t="s">
        <v>112</v>
      </c>
      <c r="W91" s="698" t="b" cm="1">
        <f t="array" ref="W91">W90</f>
        <v>0</v>
      </c>
      <c r="AA91" s="1669"/>
      <c r="AB91" s="1671"/>
      <c r="AC91" s="1672" t="s">
        <v>227</v>
      </c>
      <c r="AD91" s="1672"/>
      <c r="AE91" s="402" t="s">
        <v>243</v>
      </c>
      <c r="AO91" s="1061" cm="1">
        <f t="array" ref="AO91">AO90</f>
        <v>0</v>
      </c>
      <c r="AP91" s="1054"/>
      <c r="AQ91" s="1054"/>
      <c r="AR91" s="1054"/>
      <c r="AS91" s="1054"/>
      <c r="AT91" s="1054"/>
      <c r="AU91" s="1054" t="s">
        <v>229</v>
      </c>
      <c r="AV91" s="1054" t="s">
        <v>242</v>
      </c>
      <c r="AW91" s="1054"/>
      <c r="AX91" s="1054"/>
      <c r="AY91" s="1054"/>
      <c r="AZ91" s="1054"/>
      <c r="BA91" s="1054"/>
      <c r="BB91" s="1054"/>
      <c r="BC91" s="1054"/>
      <c r="BD91" s="1054"/>
      <c r="BE91" s="1054"/>
    </row>
    <row r="92" spans="2:57" ht="19.899999999999999" hidden="1" customHeight="1">
      <c r="B92" s="769" t="b">
        <f t="shared" si="1"/>
        <v>1</v>
      </c>
      <c r="E92" s="676">
        <v>20.399999999999999</v>
      </c>
      <c r="S92" s="1052" t="s">
        <v>111</v>
      </c>
      <c r="T92" s="1053" t="s">
        <v>112</v>
      </c>
      <c r="W92" s="698" t="b" cm="1">
        <f t="array" ref="W92">W91</f>
        <v>0</v>
      </c>
      <c r="AA92" s="1669"/>
      <c r="AB92" s="1671"/>
      <c r="AC92" s="1672" t="s">
        <v>230</v>
      </c>
      <c r="AD92" s="1672"/>
      <c r="AE92" s="401" t="s">
        <v>243</v>
      </c>
      <c r="AO92" s="1061" cm="1">
        <f t="array" ref="AO92">AO91</f>
        <v>0</v>
      </c>
      <c r="AP92" s="1054"/>
      <c r="AQ92" s="1054"/>
      <c r="AR92" s="1054"/>
      <c r="AS92" s="1054"/>
      <c r="AT92" s="1054"/>
      <c r="AU92" s="1054" t="s">
        <v>231</v>
      </c>
      <c r="AV92" s="1054" t="s">
        <v>242</v>
      </c>
      <c r="AW92" s="1054"/>
      <c r="AX92" s="1054"/>
      <c r="AY92" s="1054"/>
      <c r="AZ92" s="1054"/>
      <c r="BA92" s="1054"/>
      <c r="BB92" s="1054"/>
      <c r="BC92" s="1054"/>
      <c r="BD92" s="1054"/>
      <c r="BE92" s="1054"/>
    </row>
    <row r="93" spans="2:57" ht="19.899999999999999" hidden="1" customHeight="1">
      <c r="B93" s="769" t="b">
        <f t="shared" si="1"/>
        <v>1</v>
      </c>
      <c r="E93" s="676">
        <v>20.399999999999999</v>
      </c>
      <c r="S93" s="1052" t="s">
        <v>111</v>
      </c>
      <c r="T93" s="1053" t="s">
        <v>112</v>
      </c>
      <c r="W93" s="698" t="b" cm="1">
        <f t="array" ref="W93">W92</f>
        <v>0</v>
      </c>
      <c r="AA93" s="1669"/>
      <c r="AB93" s="1671"/>
      <c r="AC93" s="1672" t="s">
        <v>232</v>
      </c>
      <c r="AD93" s="1672"/>
      <c r="AE93" s="765" t="s">
        <v>243</v>
      </c>
      <c r="AO93" s="1061" cm="1">
        <f t="array" ref="AO93">AO92</f>
        <v>0</v>
      </c>
      <c r="AP93" s="1054"/>
      <c r="AQ93" s="1054"/>
      <c r="AR93" s="1054"/>
      <c r="AS93" s="1054"/>
      <c r="AT93" s="1054"/>
      <c r="AU93" s="1054" t="s">
        <v>233</v>
      </c>
      <c r="AV93" s="1054" t="s">
        <v>242</v>
      </c>
      <c r="AW93" s="1054"/>
      <c r="AX93" s="1054"/>
      <c r="AY93" s="1054"/>
      <c r="AZ93" s="1054"/>
      <c r="BA93" s="1054"/>
      <c r="BB93" s="1054"/>
      <c r="BC93" s="1054"/>
      <c r="BD93" s="1054"/>
      <c r="BE93" s="1054"/>
    </row>
    <row r="94" spans="2:57" ht="19.899999999999999" hidden="1" customHeight="1">
      <c r="B94" s="769" t="b">
        <f t="shared" si="1"/>
        <v>1</v>
      </c>
      <c r="E94" s="676">
        <v>20.399999999999999</v>
      </c>
      <c r="S94" s="1052" t="s">
        <v>215</v>
      </c>
      <c r="T94" s="1053" t="s">
        <v>216</v>
      </c>
      <c r="W94" s="698" t="b" cm="1">
        <f t="array" ref="W94">W93</f>
        <v>0</v>
      </c>
      <c r="AA94" s="1669"/>
      <c r="AB94" s="1671"/>
      <c r="AC94" s="1672" t="s">
        <v>215</v>
      </c>
      <c r="AD94" s="1672"/>
      <c r="AE94" s="400" t="s">
        <v>243</v>
      </c>
      <c r="AO94" s="1061" cm="1">
        <f t="array" ref="AO94">AO93</f>
        <v>0</v>
      </c>
      <c r="AP94" s="1054"/>
      <c r="AQ94" s="1054"/>
      <c r="AR94" s="1054"/>
      <c r="AS94" s="1054"/>
      <c r="AT94" s="1054"/>
      <c r="AU94" s="1054" t="s">
        <v>235</v>
      </c>
      <c r="AV94" s="1054" t="s">
        <v>242</v>
      </c>
      <c r="AW94" s="1054"/>
      <c r="AX94" s="1054"/>
      <c r="AY94" s="1054"/>
      <c r="AZ94" s="1054"/>
      <c r="BA94" s="1054"/>
      <c r="BB94" s="1054"/>
      <c r="BC94" s="1054"/>
      <c r="BD94" s="1054"/>
      <c r="BE94" s="1054"/>
    </row>
    <row r="95" spans="2:57" ht="14.65" customHeight="1">
      <c r="B95" s="769" t="b">
        <f t="shared" si="1"/>
        <v>1</v>
      </c>
      <c r="E95" s="676">
        <v>15</v>
      </c>
      <c r="F95" s="164" t="s">
        <v>239</v>
      </c>
      <c r="Y95" s="318" t="s">
        <v>237</v>
      </c>
      <c r="AB95" s="286"/>
      <c r="AC95" s="285"/>
      <c r="AD95" s="285"/>
      <c r="AE95" s="284" t="s">
        <v>238</v>
      </c>
      <c r="AF95" s="369"/>
      <c r="AG95" s="143"/>
    </row>
    <row r="96" spans="2:57" ht="24" customHeight="1">
      <c r="E96" s="676">
        <v>24.6</v>
      </c>
      <c r="F96" s="164" t="s">
        <v>246</v>
      </c>
      <c r="S96" s="1052" t="s">
        <v>186</v>
      </c>
      <c r="T96" s="1053" t="s">
        <v>187</v>
      </c>
      <c r="AB96" s="167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672"/>
      <c r="AD96" s="1672"/>
      <c r="AE96" s="379" t="s">
        <v>200</v>
      </c>
      <c r="AF96" s="374"/>
      <c r="AG96" s="106" t="s">
        <v>247</v>
      </c>
      <c r="AO96" s="1054"/>
      <c r="AP96" s="1054"/>
      <c r="AQ96" s="1054"/>
      <c r="AR96" s="1054"/>
      <c r="AS96" s="1054"/>
      <c r="AT96" s="1054"/>
      <c r="AU96" s="1054"/>
      <c r="AV96" s="1054"/>
      <c r="AW96" s="1054" t="s">
        <v>248</v>
      </c>
      <c r="AX96" s="1054" t="s">
        <v>249</v>
      </c>
      <c r="AY96" s="1054"/>
      <c r="AZ96" s="1054"/>
      <c r="BA96" s="1054"/>
      <c r="BB96" s="1054"/>
      <c r="BC96" s="1054"/>
      <c r="BD96" s="1054"/>
      <c r="BE96" s="1054"/>
    </row>
    <row r="97" spans="1:57" ht="19.899999999999999" customHeight="1">
      <c r="B97" s="769" t="b">
        <f t="shared" ref="B97:B115" si="2">HAS_DOC5="да"</f>
        <v>1</v>
      </c>
      <c r="E97" s="676">
        <v>20.399999999999999</v>
      </c>
      <c r="S97" s="1052" t="s">
        <v>111</v>
      </c>
      <c r="T97" s="1053" t="s">
        <v>112</v>
      </c>
      <c r="AB97" s="1671" t="s">
        <v>224</v>
      </c>
      <c r="AC97" s="1672" t="s">
        <v>225</v>
      </c>
      <c r="AD97" s="1672"/>
      <c r="AE97" s="1163" t="s">
        <v>250</v>
      </c>
      <c r="AF97" s="369"/>
      <c r="AO97" s="1054"/>
      <c r="AP97" s="1054"/>
      <c r="AQ97" s="1054"/>
      <c r="AR97" s="1054"/>
      <c r="AS97" s="1054"/>
      <c r="AT97" s="1054"/>
      <c r="AU97" s="1054" t="s">
        <v>226</v>
      </c>
      <c r="AV97" s="1054"/>
      <c r="AW97" s="1054" t="s">
        <v>248</v>
      </c>
      <c r="AX97" s="1054" t="s">
        <v>249</v>
      </c>
      <c r="AY97" s="1054"/>
      <c r="AZ97" s="1054"/>
      <c r="BA97" s="1054"/>
      <c r="BB97" s="1054"/>
      <c r="BC97" s="1054"/>
      <c r="BD97" s="1054"/>
      <c r="BE97" s="1054"/>
    </row>
    <row r="98" spans="1:57" ht="19.899999999999999" customHeight="1">
      <c r="B98" s="769" t="b">
        <f t="shared" si="2"/>
        <v>1</v>
      </c>
      <c r="E98" s="676">
        <v>20.399999999999999</v>
      </c>
      <c r="S98" s="1052" t="s">
        <v>111</v>
      </c>
      <c r="T98" s="1053" t="s">
        <v>112</v>
      </c>
      <c r="AB98" s="1671"/>
      <c r="AC98" s="1672" t="s">
        <v>227</v>
      </c>
      <c r="AD98" s="1672"/>
      <c r="AE98" s="362" t="s">
        <v>251</v>
      </c>
      <c r="AF98" s="369"/>
      <c r="AO98" s="1054"/>
      <c r="AP98" s="1054"/>
      <c r="AQ98" s="1054"/>
      <c r="AR98" s="1054"/>
      <c r="AS98" s="1054"/>
      <c r="AT98" s="1054"/>
      <c r="AU98" s="1054" t="s">
        <v>229</v>
      </c>
      <c r="AV98" s="1054"/>
      <c r="AW98" s="1054" t="s">
        <v>248</v>
      </c>
      <c r="AX98" s="1054" t="s">
        <v>249</v>
      </c>
      <c r="AY98" s="1054"/>
      <c r="AZ98" s="1054"/>
      <c r="BA98" s="1054"/>
      <c r="BB98" s="1054"/>
      <c r="BC98" s="1054"/>
      <c r="BD98" s="1054"/>
      <c r="BE98" s="1054"/>
    </row>
    <row r="99" spans="1:57" ht="19.899999999999999" customHeight="1">
      <c r="B99" s="769" t="b">
        <f t="shared" si="2"/>
        <v>1</v>
      </c>
      <c r="E99" s="676">
        <v>20.399999999999999</v>
      </c>
      <c r="S99" s="1052" t="s">
        <v>111</v>
      </c>
      <c r="T99" s="1053" t="s">
        <v>112</v>
      </c>
      <c r="AB99" s="1671"/>
      <c r="AC99" s="1672" t="s">
        <v>230</v>
      </c>
      <c r="AD99" s="1672"/>
      <c r="AE99" s="361" t="s">
        <v>252</v>
      </c>
      <c r="AF99" s="369"/>
      <c r="AO99" s="1054"/>
      <c r="AP99" s="1054"/>
      <c r="AQ99" s="1054"/>
      <c r="AR99" s="1054"/>
      <c r="AS99" s="1054"/>
      <c r="AT99" s="1054"/>
      <c r="AU99" s="1054" t="s">
        <v>231</v>
      </c>
      <c r="AV99" s="1054"/>
      <c r="AW99" s="1054" t="s">
        <v>248</v>
      </c>
      <c r="AX99" s="1054" t="s">
        <v>249</v>
      </c>
      <c r="AY99" s="1054"/>
      <c r="AZ99" s="1054"/>
      <c r="BA99" s="1054"/>
      <c r="BB99" s="1054"/>
      <c r="BC99" s="1054"/>
      <c r="BD99" s="1054"/>
      <c r="BE99" s="1054"/>
    </row>
    <row r="100" spans="1:57" ht="19.899999999999999" customHeight="1">
      <c r="B100" s="769" t="b">
        <f t="shared" si="2"/>
        <v>1</v>
      </c>
      <c r="E100" s="676">
        <v>20.399999999999999</v>
      </c>
      <c r="S100" s="1052" t="s">
        <v>111</v>
      </c>
      <c r="T100" s="1053" t="s">
        <v>112</v>
      </c>
      <c r="AB100" s="1671"/>
      <c r="AC100" s="1672" t="s">
        <v>232</v>
      </c>
      <c r="AD100" s="1672"/>
      <c r="AE100" s="764">
        <v>45750</v>
      </c>
      <c r="AF100" s="369"/>
      <c r="AO100" s="1054"/>
      <c r="AP100" s="1054"/>
      <c r="AQ100" s="1054"/>
      <c r="AR100" s="1054"/>
      <c r="AS100" s="1054"/>
      <c r="AT100" s="1054"/>
      <c r="AU100" s="1054" t="s">
        <v>233</v>
      </c>
      <c r="AV100" s="1054"/>
      <c r="AW100" s="1054" t="s">
        <v>248</v>
      </c>
      <c r="AX100" s="1054" t="s">
        <v>249</v>
      </c>
      <c r="AY100" s="1054"/>
      <c r="AZ100" s="1054"/>
      <c r="BA100" s="1054"/>
      <c r="BB100" s="1054"/>
      <c r="BC100" s="1054"/>
      <c r="BD100" s="1054"/>
      <c r="BE100" s="1054"/>
    </row>
    <row r="101" spans="1:57" ht="19.899999999999999" customHeight="1">
      <c r="B101" s="769" t="b">
        <f t="shared" si="2"/>
        <v>1</v>
      </c>
      <c r="E101" s="676">
        <v>20.399999999999999</v>
      </c>
      <c r="S101" s="1052" t="s">
        <v>111</v>
      </c>
      <c r="T101" s="1053" t="s">
        <v>112</v>
      </c>
      <c r="AB101" s="1671"/>
      <c r="AC101" s="1672" t="s">
        <v>253</v>
      </c>
      <c r="AD101" s="1672"/>
      <c r="AE101" s="764">
        <v>44553</v>
      </c>
      <c r="AF101" s="369"/>
      <c r="AO101" s="1054"/>
      <c r="AP101" s="1054"/>
      <c r="AQ101" s="1054"/>
      <c r="AR101" s="1054"/>
      <c r="AS101" s="1054"/>
      <c r="AT101" s="1054"/>
      <c r="AU101" s="1054" t="s">
        <v>254</v>
      </c>
      <c r="AV101" s="1054"/>
      <c r="AW101" s="1054" t="s">
        <v>248</v>
      </c>
      <c r="AX101" s="1054" t="s">
        <v>249</v>
      </c>
      <c r="AY101" s="1054"/>
      <c r="AZ101" s="1054"/>
      <c r="BA101" s="1054"/>
      <c r="BB101" s="1054"/>
      <c r="BC101" s="1054"/>
      <c r="BD101" s="1054"/>
      <c r="BE101" s="1054"/>
    </row>
    <row r="102" spans="1:57" ht="19.899999999999999" customHeight="1">
      <c r="B102" s="769" t="b">
        <f t="shared" si="2"/>
        <v>1</v>
      </c>
      <c r="E102" s="676">
        <v>20.399999999999999</v>
      </c>
      <c r="S102" s="1052" t="s">
        <v>111</v>
      </c>
      <c r="T102" s="1053" t="s">
        <v>112</v>
      </c>
      <c r="AB102" s="1671"/>
      <c r="AC102" s="1672" t="s">
        <v>255</v>
      </c>
      <c r="AD102" s="1672"/>
      <c r="AE102" s="764">
        <v>47848</v>
      </c>
      <c r="AF102" s="369"/>
      <c r="AO102" s="1054"/>
      <c r="AP102" s="1054"/>
      <c r="AQ102" s="1054"/>
      <c r="AR102" s="1054"/>
      <c r="AS102" s="1054"/>
      <c r="AT102" s="1054"/>
      <c r="AU102" s="1054" t="s">
        <v>256</v>
      </c>
      <c r="AV102" s="1054"/>
      <c r="AW102" s="1054" t="s">
        <v>248</v>
      </c>
      <c r="AX102" s="1054" t="s">
        <v>249</v>
      </c>
      <c r="AY102" s="1054"/>
      <c r="AZ102" s="1054"/>
      <c r="BA102" s="1054"/>
      <c r="BB102" s="1054"/>
      <c r="BC102" s="1054"/>
      <c r="BD102" s="1054"/>
      <c r="BE102" s="1054"/>
    </row>
    <row r="103" spans="1:57" ht="19.899999999999999" hidden="1" customHeight="1">
      <c r="B103" s="769" t="b">
        <f t="shared" si="2"/>
        <v>1</v>
      </c>
      <c r="E103" s="676">
        <v>20.399999999999999</v>
      </c>
      <c r="S103" s="1052" t="s">
        <v>111</v>
      </c>
      <c r="T103" s="1053" t="s">
        <v>112</v>
      </c>
      <c r="W103" s="698" t="b">
        <f>ROW(Y103)&gt;ROW(Y$103)</f>
        <v>0</v>
      </c>
      <c r="Y103" s="110" t="s">
        <v>236</v>
      </c>
      <c r="AA103" s="1669" t="s">
        <v>218</v>
      </c>
      <c r="AB103" s="1671" t="s">
        <v>224</v>
      </c>
      <c r="AC103" s="1672" t="s">
        <v>225</v>
      </c>
      <c r="AD103" s="1672"/>
      <c r="AE103" s="401"/>
      <c r="AO103" s="1061" cm="1">
        <f t="array" ref="AO103">AE103</f>
        <v>0</v>
      </c>
      <c r="AP103" s="1054"/>
      <c r="AQ103" s="1054"/>
      <c r="AR103" s="1054"/>
      <c r="AS103" s="1054"/>
      <c r="AT103" s="1054"/>
      <c r="AU103" s="1054" t="s">
        <v>226</v>
      </c>
      <c r="AV103" s="1054"/>
      <c r="AW103" s="1054" t="s">
        <v>248</v>
      </c>
      <c r="AX103" s="1054" t="s">
        <v>249</v>
      </c>
      <c r="AY103" s="1054"/>
      <c r="AZ103" s="1054"/>
      <c r="BA103" s="1054"/>
      <c r="BB103" s="1054"/>
      <c r="BC103" s="1054"/>
      <c r="BD103" s="1054"/>
      <c r="BE103" s="1054"/>
    </row>
    <row r="104" spans="1:57" ht="19.899999999999999" hidden="1" customHeight="1">
      <c r="B104" s="769" t="b">
        <f t="shared" si="2"/>
        <v>1</v>
      </c>
      <c r="E104" s="676">
        <v>20.399999999999999</v>
      </c>
      <c r="S104" s="1052" t="s">
        <v>111</v>
      </c>
      <c r="T104" s="1053" t="s">
        <v>112</v>
      </c>
      <c r="W104" s="698" t="b" cm="1">
        <f t="array" ref="W104">W103</f>
        <v>0</v>
      </c>
      <c r="AA104" s="1669"/>
      <c r="AB104" s="1671"/>
      <c r="AC104" s="1672" t="s">
        <v>227</v>
      </c>
      <c r="AD104" s="1672"/>
      <c r="AE104" s="402"/>
      <c r="AO104" s="1061" cm="1">
        <f t="array" ref="AO104">AO103</f>
        <v>0</v>
      </c>
      <c r="AP104" s="1054"/>
      <c r="AQ104" s="1054"/>
      <c r="AR104" s="1054"/>
      <c r="AS104" s="1054"/>
      <c r="AT104" s="1054"/>
      <c r="AU104" s="1054" t="s">
        <v>229</v>
      </c>
      <c r="AV104" s="1054"/>
      <c r="AW104" s="1054" t="s">
        <v>248</v>
      </c>
      <c r="AX104" s="1054" t="s">
        <v>249</v>
      </c>
      <c r="AY104" s="1054"/>
      <c r="AZ104" s="1054"/>
      <c r="BA104" s="1054"/>
      <c r="BB104" s="1054"/>
      <c r="BC104" s="1054"/>
      <c r="BD104" s="1054"/>
      <c r="BE104" s="1054"/>
    </row>
    <row r="105" spans="1:57" ht="19.899999999999999" hidden="1" customHeight="1">
      <c r="B105" s="769" t="b">
        <f t="shared" si="2"/>
        <v>1</v>
      </c>
      <c r="E105" s="676">
        <v>20.399999999999999</v>
      </c>
      <c r="S105" s="1052" t="s">
        <v>111</v>
      </c>
      <c r="T105" s="1053" t="s">
        <v>112</v>
      </c>
      <c r="W105" s="698" t="b" cm="1">
        <f t="array" ref="W105">W104</f>
        <v>0</v>
      </c>
      <c r="AA105" s="1669"/>
      <c r="AB105" s="1671"/>
      <c r="AC105" s="1672" t="s">
        <v>230</v>
      </c>
      <c r="AD105" s="1672"/>
      <c r="AE105" s="401"/>
      <c r="AO105" s="1061" cm="1">
        <f t="array" ref="AO105">AO104</f>
        <v>0</v>
      </c>
      <c r="AP105" s="1054"/>
      <c r="AQ105" s="1054"/>
      <c r="AR105" s="1054"/>
      <c r="AS105" s="1054"/>
      <c r="AT105" s="1054"/>
      <c r="AU105" s="1054" t="s">
        <v>231</v>
      </c>
      <c r="AV105" s="1054"/>
      <c r="AW105" s="1054" t="s">
        <v>248</v>
      </c>
      <c r="AX105" s="1054" t="s">
        <v>249</v>
      </c>
      <c r="AY105" s="1054"/>
      <c r="AZ105" s="1054"/>
      <c r="BA105" s="1054"/>
      <c r="BB105" s="1054"/>
      <c r="BC105" s="1054"/>
      <c r="BD105" s="1054"/>
      <c r="BE105" s="1054"/>
    </row>
    <row r="106" spans="1:57" ht="19.899999999999999" hidden="1" customHeight="1">
      <c r="B106" s="769" t="b">
        <f t="shared" si="2"/>
        <v>1</v>
      </c>
      <c r="E106" s="676">
        <v>20.399999999999999</v>
      </c>
      <c r="S106" s="1052" t="s">
        <v>111</v>
      </c>
      <c r="T106" s="1053" t="s">
        <v>112</v>
      </c>
      <c r="W106" s="698" t="b" cm="1">
        <f t="array" ref="W106">W105</f>
        <v>0</v>
      </c>
      <c r="AA106" s="1669"/>
      <c r="AB106" s="1671"/>
      <c r="AC106" s="1672" t="s">
        <v>232</v>
      </c>
      <c r="AD106" s="1672"/>
      <c r="AE106" s="765"/>
      <c r="AO106" s="1061" cm="1">
        <f t="array" ref="AO106">AO105</f>
        <v>0</v>
      </c>
      <c r="AP106" s="1054"/>
      <c r="AQ106" s="1054"/>
      <c r="AR106" s="1054"/>
      <c r="AS106" s="1054"/>
      <c r="AT106" s="1054"/>
      <c r="AU106" s="1054" t="s">
        <v>233</v>
      </c>
      <c r="AV106" s="1054"/>
      <c r="AW106" s="1054" t="s">
        <v>248</v>
      </c>
      <c r="AX106" s="1054" t="s">
        <v>249</v>
      </c>
      <c r="AY106" s="1054"/>
      <c r="AZ106" s="1054"/>
      <c r="BA106" s="1054"/>
      <c r="BB106" s="1054"/>
      <c r="BC106" s="1054"/>
      <c r="BD106" s="1054"/>
      <c r="BE106" s="1054"/>
    </row>
    <row r="107" spans="1:57" ht="19.899999999999999" hidden="1" customHeight="1">
      <c r="B107" s="769" t="b">
        <f t="shared" si="2"/>
        <v>1</v>
      </c>
      <c r="E107" s="676">
        <v>20.399999999999999</v>
      </c>
      <c r="S107" s="1052" t="s">
        <v>111</v>
      </c>
      <c r="T107" s="1053" t="s">
        <v>112</v>
      </c>
      <c r="W107" s="698" t="b" cm="1">
        <f t="array" ref="W107">W106</f>
        <v>0</v>
      </c>
      <c r="AA107" s="1669"/>
      <c r="AB107" s="1671"/>
      <c r="AC107" s="1672" t="s">
        <v>253</v>
      </c>
      <c r="AD107" s="1672"/>
      <c r="AE107" s="765"/>
      <c r="AO107" s="1061" cm="1">
        <f t="array" ref="AO107">AO106</f>
        <v>0</v>
      </c>
      <c r="AP107" s="1054"/>
      <c r="AQ107" s="1054"/>
      <c r="AR107" s="1054"/>
      <c r="AS107" s="1054"/>
      <c r="AT107" s="1054"/>
      <c r="AU107" s="1054" t="s">
        <v>254</v>
      </c>
      <c r="AV107" s="1054"/>
      <c r="AW107" s="1054" t="s">
        <v>248</v>
      </c>
      <c r="AX107" s="1054" t="s">
        <v>249</v>
      </c>
      <c r="AY107" s="1054"/>
      <c r="AZ107" s="1054"/>
      <c r="BA107" s="1054"/>
      <c r="BB107" s="1054"/>
      <c r="BC107" s="1054"/>
      <c r="BD107" s="1054"/>
      <c r="BE107" s="1054"/>
    </row>
    <row r="108" spans="1:57" ht="19.899999999999999" hidden="1" customHeight="1">
      <c r="B108" s="769" t="b">
        <f t="shared" si="2"/>
        <v>1</v>
      </c>
      <c r="E108" s="676">
        <v>20.399999999999999</v>
      </c>
      <c r="S108" s="1052" t="s">
        <v>111</v>
      </c>
      <c r="T108" s="1053" t="s">
        <v>112</v>
      </c>
      <c r="W108" s="698" t="b" cm="1">
        <f t="array" ref="W108">W107</f>
        <v>0</v>
      </c>
      <c r="AA108" s="1669"/>
      <c r="AB108" s="1671"/>
      <c r="AC108" s="1672" t="s">
        <v>255</v>
      </c>
      <c r="AD108" s="1672"/>
      <c r="AE108" s="765"/>
      <c r="AO108" s="1061" cm="1">
        <f t="array" ref="AO108">AO107</f>
        <v>0</v>
      </c>
      <c r="AP108" s="1054"/>
      <c r="AQ108" s="1054"/>
      <c r="AR108" s="1054"/>
      <c r="AS108" s="1054"/>
      <c r="AT108" s="1054"/>
      <c r="AU108" s="1054" t="s">
        <v>256</v>
      </c>
      <c r="AV108" s="1054"/>
      <c r="AW108" s="1054" t="s">
        <v>248</v>
      </c>
      <c r="AX108" s="1054" t="s">
        <v>249</v>
      </c>
      <c r="AY108" s="1054"/>
      <c r="AZ108" s="1054"/>
      <c r="BA108" s="1054"/>
      <c r="BB108" s="1054"/>
      <c r="BC108" s="1054"/>
      <c r="BD108" s="1054"/>
      <c r="BE108" s="1054"/>
    </row>
    <row r="109" spans="1:57" s="1164" customFormat="1" ht="64.7" customHeight="1">
      <c r="A109" s="1155"/>
      <c r="B109" s="769" t="b">
        <f t="shared" si="2"/>
        <v>1</v>
      </c>
      <c r="C109" s="1155"/>
      <c r="D109" s="1155"/>
      <c r="E109" s="676">
        <v>20.399999999999999</v>
      </c>
      <c r="F109" s="814"/>
      <c r="G109" s="1155"/>
      <c r="H109" s="1155"/>
      <c r="I109" s="1155"/>
      <c r="J109" s="1155"/>
      <c r="K109" s="1155"/>
      <c r="L109" s="1155"/>
      <c r="M109" s="1155"/>
      <c r="N109" s="1155"/>
      <c r="O109" s="1155"/>
      <c r="P109" s="1155"/>
      <c r="Q109" s="1155"/>
      <c r="R109" s="1155"/>
      <c r="S109" s="1052" t="s">
        <v>111</v>
      </c>
      <c r="T109" s="1053" t="s">
        <v>112</v>
      </c>
      <c r="U109" s="1155"/>
      <c r="V109" s="1155"/>
      <c r="W109" s="698" t="b">
        <f>ROW(Y109)&gt;ROW(Y$103)</f>
        <v>1</v>
      </c>
      <c r="X109" s="1155"/>
      <c r="Y109" s="110"/>
      <c r="Z109" s="1155"/>
      <c r="AA109" s="1669" t="s">
        <v>218</v>
      </c>
      <c r="AB109" s="1671" t="s">
        <v>224</v>
      </c>
      <c r="AC109" s="1672" t="s">
        <v>225</v>
      </c>
      <c r="AD109" s="1672"/>
      <c r="AE109" s="1159" t="s">
        <v>257</v>
      </c>
      <c r="AF109" s="365"/>
      <c r="AG109" s="1156"/>
      <c r="AH109" s="1156"/>
      <c r="AI109" s="1156"/>
      <c r="AJ109" s="1156"/>
      <c r="AK109" s="1156"/>
      <c r="AL109" s="1156"/>
      <c r="AM109" s="1156"/>
      <c r="AN109" s="1156"/>
      <c r="AO109" s="1061" t="str" cm="1">
        <f t="array" ref="AO109">AE109</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09" s="1054"/>
      <c r="AQ109" s="1054"/>
      <c r="AR109" s="1054"/>
      <c r="AS109" s="1054"/>
      <c r="AT109" s="1054"/>
      <c r="AU109" s="1054" t="s">
        <v>226</v>
      </c>
      <c r="AV109" s="1054"/>
      <c r="AW109" s="1054" t="s">
        <v>248</v>
      </c>
      <c r="AX109" s="1054" t="s">
        <v>249</v>
      </c>
      <c r="AY109" s="1054"/>
      <c r="AZ109" s="1054"/>
      <c r="BA109" s="1054"/>
      <c r="BB109" s="1054"/>
      <c r="BC109" s="1054"/>
      <c r="BD109" s="1054"/>
      <c r="BE109" s="1054"/>
    </row>
    <row r="110" spans="1:57" s="1165" customFormat="1" ht="19.5" customHeight="1">
      <c r="A110" s="1155"/>
      <c r="B110" s="769" t="b">
        <f t="shared" si="2"/>
        <v>1</v>
      </c>
      <c r="C110" s="1155"/>
      <c r="D110" s="1155"/>
      <c r="E110" s="676">
        <v>20.399999999999999</v>
      </c>
      <c r="F110" s="814"/>
      <c r="G110" s="1155"/>
      <c r="H110" s="1155"/>
      <c r="I110" s="1155"/>
      <c r="J110" s="1155"/>
      <c r="K110" s="1155"/>
      <c r="L110" s="1155"/>
      <c r="M110" s="1155"/>
      <c r="N110" s="1155"/>
      <c r="O110" s="1155"/>
      <c r="P110" s="1155"/>
      <c r="Q110" s="1155"/>
      <c r="R110" s="1155"/>
      <c r="S110" s="1052" t="s">
        <v>111</v>
      </c>
      <c r="T110" s="1053" t="s">
        <v>112</v>
      </c>
      <c r="U110" s="1155"/>
      <c r="V110" s="1155"/>
      <c r="W110" s="698" t="b" cm="1">
        <f t="array" ref="W110">W109</f>
        <v>1</v>
      </c>
      <c r="X110" s="1155"/>
      <c r="Y110" s="1155"/>
      <c r="Z110" s="1155"/>
      <c r="AA110" s="1669"/>
      <c r="AB110" s="1671"/>
      <c r="AC110" s="1672" t="s">
        <v>227</v>
      </c>
      <c r="AD110" s="1672"/>
      <c r="AE110" s="1160" t="s">
        <v>251</v>
      </c>
      <c r="AF110" s="365"/>
      <c r="AG110" s="1156"/>
      <c r="AH110" s="1156"/>
      <c r="AI110" s="1156"/>
      <c r="AJ110" s="1156"/>
      <c r="AK110" s="1156"/>
      <c r="AL110" s="1156"/>
      <c r="AM110" s="1156"/>
      <c r="AN110" s="1156"/>
      <c r="AO110" s="1061" t="str" cm="1">
        <f t="array" ref="AO110">AO109</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10" s="1054"/>
      <c r="AQ110" s="1054"/>
      <c r="AR110" s="1054"/>
      <c r="AS110" s="1054"/>
      <c r="AT110" s="1054"/>
      <c r="AU110" s="1054" t="s">
        <v>229</v>
      </c>
      <c r="AV110" s="1054"/>
      <c r="AW110" s="1054" t="s">
        <v>248</v>
      </c>
      <c r="AX110" s="1054" t="s">
        <v>249</v>
      </c>
      <c r="AY110" s="1054"/>
      <c r="AZ110" s="1054"/>
      <c r="BA110" s="1054"/>
      <c r="BB110" s="1054"/>
      <c r="BC110" s="1054"/>
      <c r="BD110" s="1054"/>
      <c r="BE110" s="1054"/>
    </row>
    <row r="111" spans="1:57" s="1166" customFormat="1" ht="19.5" customHeight="1">
      <c r="A111" s="1155"/>
      <c r="B111" s="769" t="b">
        <f t="shared" si="2"/>
        <v>1</v>
      </c>
      <c r="C111" s="1155"/>
      <c r="D111" s="1155"/>
      <c r="E111" s="676">
        <v>20.399999999999999</v>
      </c>
      <c r="F111" s="814"/>
      <c r="G111" s="1155"/>
      <c r="H111" s="1155"/>
      <c r="I111" s="1155"/>
      <c r="J111" s="1155"/>
      <c r="K111" s="1155"/>
      <c r="L111" s="1155"/>
      <c r="M111" s="1155"/>
      <c r="N111" s="1155"/>
      <c r="O111" s="1155"/>
      <c r="P111" s="1155"/>
      <c r="Q111" s="1155"/>
      <c r="R111" s="1155"/>
      <c r="S111" s="1052" t="s">
        <v>111</v>
      </c>
      <c r="T111" s="1053" t="s">
        <v>112</v>
      </c>
      <c r="U111" s="1155"/>
      <c r="V111" s="1155"/>
      <c r="W111" s="698" t="b" cm="1">
        <f t="array" ref="W111">W110</f>
        <v>1</v>
      </c>
      <c r="X111" s="1155"/>
      <c r="Y111" s="1155"/>
      <c r="Z111" s="1155"/>
      <c r="AA111" s="1669"/>
      <c r="AB111" s="1671"/>
      <c r="AC111" s="1672" t="s">
        <v>230</v>
      </c>
      <c r="AD111" s="1672"/>
      <c r="AE111" s="1159" t="s">
        <v>258</v>
      </c>
      <c r="AF111" s="365"/>
      <c r="AG111" s="1156"/>
      <c r="AH111" s="1156"/>
      <c r="AI111" s="1156"/>
      <c r="AJ111" s="1156"/>
      <c r="AK111" s="1156"/>
      <c r="AL111" s="1156"/>
      <c r="AM111" s="1156"/>
      <c r="AN111" s="1156"/>
      <c r="AO111" s="1061" t="str" cm="1">
        <f t="array" ref="AO111">AO110</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11" s="1054"/>
      <c r="AQ111" s="1054"/>
      <c r="AR111" s="1054"/>
      <c r="AS111" s="1054"/>
      <c r="AT111" s="1054"/>
      <c r="AU111" s="1054" t="s">
        <v>231</v>
      </c>
      <c r="AV111" s="1054"/>
      <c r="AW111" s="1054" t="s">
        <v>248</v>
      </c>
      <c r="AX111" s="1054" t="s">
        <v>249</v>
      </c>
      <c r="AY111" s="1054"/>
      <c r="AZ111" s="1054"/>
      <c r="BA111" s="1054"/>
      <c r="BB111" s="1054"/>
      <c r="BC111" s="1054"/>
      <c r="BD111" s="1054"/>
      <c r="BE111" s="1054"/>
    </row>
    <row r="112" spans="1:57" s="1167" customFormat="1" ht="19.5" customHeight="1">
      <c r="A112" s="1155"/>
      <c r="B112" s="769" t="b">
        <f t="shared" si="2"/>
        <v>1</v>
      </c>
      <c r="C112" s="1155"/>
      <c r="D112" s="1155"/>
      <c r="E112" s="676">
        <v>20.399999999999999</v>
      </c>
      <c r="F112" s="814"/>
      <c r="G112" s="1155"/>
      <c r="H112" s="1155"/>
      <c r="I112" s="1155"/>
      <c r="J112" s="1155"/>
      <c r="K112" s="1155"/>
      <c r="L112" s="1155"/>
      <c r="M112" s="1155"/>
      <c r="N112" s="1155"/>
      <c r="O112" s="1155"/>
      <c r="P112" s="1155"/>
      <c r="Q112" s="1155"/>
      <c r="R112" s="1155"/>
      <c r="S112" s="1052" t="s">
        <v>111</v>
      </c>
      <c r="T112" s="1053" t="s">
        <v>112</v>
      </c>
      <c r="U112" s="1155"/>
      <c r="V112" s="1155"/>
      <c r="W112" s="698" t="b" cm="1">
        <f t="array" ref="W112">W111</f>
        <v>1</v>
      </c>
      <c r="X112" s="1155"/>
      <c r="Y112" s="1155"/>
      <c r="Z112" s="1155"/>
      <c r="AA112" s="1669"/>
      <c r="AB112" s="1671"/>
      <c r="AC112" s="1672" t="s">
        <v>232</v>
      </c>
      <c r="AD112" s="1672"/>
      <c r="AE112" s="1161">
        <v>45750</v>
      </c>
      <c r="AF112" s="365"/>
      <c r="AG112" s="1156"/>
      <c r="AH112" s="1156"/>
      <c r="AI112" s="1156"/>
      <c r="AJ112" s="1156"/>
      <c r="AK112" s="1156"/>
      <c r="AL112" s="1156"/>
      <c r="AM112" s="1156"/>
      <c r="AN112" s="1156"/>
      <c r="AO112" s="1061" t="str" cm="1">
        <f t="array" ref="AO112">AO111</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12" s="1054"/>
      <c r="AQ112" s="1054"/>
      <c r="AR112" s="1054"/>
      <c r="AS112" s="1054"/>
      <c r="AT112" s="1054"/>
      <c r="AU112" s="1054" t="s">
        <v>233</v>
      </c>
      <c r="AV112" s="1054"/>
      <c r="AW112" s="1054" t="s">
        <v>248</v>
      </c>
      <c r="AX112" s="1054" t="s">
        <v>249</v>
      </c>
      <c r="AY112" s="1054"/>
      <c r="AZ112" s="1054"/>
      <c r="BA112" s="1054"/>
      <c r="BB112" s="1054"/>
      <c r="BC112" s="1054"/>
      <c r="BD112" s="1054"/>
      <c r="BE112" s="1054"/>
    </row>
    <row r="113" spans="1:57" s="1168" customFormat="1" ht="19.5" customHeight="1">
      <c r="A113" s="1155"/>
      <c r="B113" s="769" t="b">
        <f t="shared" si="2"/>
        <v>1</v>
      </c>
      <c r="C113" s="1155"/>
      <c r="D113" s="1155"/>
      <c r="E113" s="676">
        <v>20.399999999999999</v>
      </c>
      <c r="F113" s="814"/>
      <c r="G113" s="1155"/>
      <c r="H113" s="1155"/>
      <c r="I113" s="1155"/>
      <c r="J113" s="1155"/>
      <c r="K113" s="1155"/>
      <c r="L113" s="1155"/>
      <c r="M113" s="1155"/>
      <c r="N113" s="1155"/>
      <c r="O113" s="1155"/>
      <c r="P113" s="1155"/>
      <c r="Q113" s="1155"/>
      <c r="R113" s="1155"/>
      <c r="S113" s="1052" t="s">
        <v>111</v>
      </c>
      <c r="T113" s="1053" t="s">
        <v>112</v>
      </c>
      <c r="U113" s="1155"/>
      <c r="V113" s="1155"/>
      <c r="W113" s="698" t="b" cm="1">
        <f t="array" ref="W113">W112</f>
        <v>1</v>
      </c>
      <c r="X113" s="1155"/>
      <c r="Y113" s="1155"/>
      <c r="Z113" s="1155"/>
      <c r="AA113" s="1669"/>
      <c r="AB113" s="1671"/>
      <c r="AC113" s="1672" t="s">
        <v>253</v>
      </c>
      <c r="AD113" s="1672"/>
      <c r="AE113" s="1161">
        <v>45292</v>
      </c>
      <c r="AF113" s="365"/>
      <c r="AG113" s="1156"/>
      <c r="AH113" s="1156"/>
      <c r="AI113" s="1156"/>
      <c r="AJ113" s="1156"/>
      <c r="AK113" s="1156"/>
      <c r="AL113" s="1156"/>
      <c r="AM113" s="1156"/>
      <c r="AN113" s="1156"/>
      <c r="AO113" s="1061" t="str" cm="1">
        <f t="array" ref="AO113">AO112</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13" s="1054"/>
      <c r="AQ113" s="1054"/>
      <c r="AR113" s="1054"/>
      <c r="AS113" s="1054"/>
      <c r="AT113" s="1054"/>
      <c r="AU113" s="1054" t="s">
        <v>254</v>
      </c>
      <c r="AV113" s="1054"/>
      <c r="AW113" s="1054" t="s">
        <v>248</v>
      </c>
      <c r="AX113" s="1054" t="s">
        <v>249</v>
      </c>
      <c r="AY113" s="1054"/>
      <c r="AZ113" s="1054"/>
      <c r="BA113" s="1054"/>
      <c r="BB113" s="1054"/>
      <c r="BC113" s="1054"/>
      <c r="BD113" s="1054"/>
      <c r="BE113" s="1054"/>
    </row>
    <row r="114" spans="1:57" s="1169" customFormat="1" ht="19.5" customHeight="1">
      <c r="A114" s="1155"/>
      <c r="B114" s="769" t="b">
        <f t="shared" si="2"/>
        <v>1</v>
      </c>
      <c r="C114" s="1155"/>
      <c r="D114" s="1155"/>
      <c r="E114" s="676">
        <v>20.399999999999999</v>
      </c>
      <c r="F114" s="814"/>
      <c r="G114" s="1155"/>
      <c r="H114" s="1155"/>
      <c r="I114" s="1155"/>
      <c r="J114" s="1155"/>
      <c r="K114" s="1155"/>
      <c r="L114" s="1155"/>
      <c r="M114" s="1155"/>
      <c r="N114" s="1155"/>
      <c r="O114" s="1155"/>
      <c r="P114" s="1155"/>
      <c r="Q114" s="1155"/>
      <c r="R114" s="1155"/>
      <c r="S114" s="1052" t="s">
        <v>111</v>
      </c>
      <c r="T114" s="1053" t="s">
        <v>112</v>
      </c>
      <c r="U114" s="1155"/>
      <c r="V114" s="1155"/>
      <c r="W114" s="698" t="b" cm="1">
        <f t="array" ref="W114">W113</f>
        <v>1</v>
      </c>
      <c r="X114" s="1155"/>
      <c r="Y114" s="1155"/>
      <c r="Z114" s="1155"/>
      <c r="AA114" s="1669"/>
      <c r="AB114" s="1671"/>
      <c r="AC114" s="1672" t="s">
        <v>255</v>
      </c>
      <c r="AD114" s="1672"/>
      <c r="AE114" s="1161">
        <v>47848.556863425925</v>
      </c>
      <c r="AF114" s="365"/>
      <c r="AG114" s="1156"/>
      <c r="AH114" s="1156"/>
      <c r="AI114" s="1156"/>
      <c r="AJ114" s="1156"/>
      <c r="AK114" s="1156"/>
      <c r="AL114" s="1156"/>
      <c r="AM114" s="1156"/>
      <c r="AN114" s="1156"/>
      <c r="AO114" s="1061" t="str" cm="1">
        <f t="array" ref="AO114">AO113</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14" s="1054"/>
      <c r="AQ114" s="1054"/>
      <c r="AR114" s="1054"/>
      <c r="AS114" s="1054"/>
      <c r="AT114" s="1054"/>
      <c r="AU114" s="1054" t="s">
        <v>256</v>
      </c>
      <c r="AV114" s="1054"/>
      <c r="AW114" s="1054" t="s">
        <v>248</v>
      </c>
      <c r="AX114" s="1054" t="s">
        <v>249</v>
      </c>
      <c r="AY114" s="1054"/>
      <c r="AZ114" s="1054"/>
      <c r="BA114" s="1054"/>
      <c r="BB114" s="1054"/>
      <c r="BC114" s="1054"/>
      <c r="BD114" s="1054"/>
      <c r="BE114" s="1054"/>
    </row>
    <row r="115" spans="1:57" ht="14.65" customHeight="1">
      <c r="B115" s="769" t="b">
        <f t="shared" si="2"/>
        <v>1</v>
      </c>
      <c r="E115" s="676">
        <v>15</v>
      </c>
      <c r="F115" s="164" t="s">
        <v>246</v>
      </c>
      <c r="Y115" s="318" t="s">
        <v>237</v>
      </c>
      <c r="AB115" s="286"/>
      <c r="AC115" s="285"/>
      <c r="AD115" s="285"/>
      <c r="AE115" s="284" t="s">
        <v>238</v>
      </c>
      <c r="AF115" s="369"/>
      <c r="AG115" s="143"/>
    </row>
    <row r="116" spans="1:57" ht="24" customHeight="1">
      <c r="E116" s="676">
        <v>24.6</v>
      </c>
      <c r="F116" s="164" t="s">
        <v>259</v>
      </c>
      <c r="S116" s="1052" t="s">
        <v>186</v>
      </c>
      <c r="T116" s="1053" t="s">
        <v>187</v>
      </c>
      <c r="AB116" s="167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6" s="1672"/>
      <c r="AD116" s="1672"/>
      <c r="AE116" s="379" t="s">
        <v>200</v>
      </c>
      <c r="AF116" s="374"/>
      <c r="AG116" s="106" t="s">
        <v>260</v>
      </c>
      <c r="AO116" s="1054"/>
      <c r="AP116" s="1054"/>
      <c r="AQ116" s="1054"/>
      <c r="AR116" s="1054"/>
      <c r="AS116" s="1054"/>
      <c r="AT116" s="1054"/>
      <c r="AU116" s="1054"/>
      <c r="AV116" s="1054"/>
      <c r="AW116" s="1054" t="s">
        <v>248</v>
      </c>
      <c r="AX116" s="1054" t="s">
        <v>261</v>
      </c>
      <c r="AY116" s="1054"/>
      <c r="AZ116" s="1054"/>
      <c r="BA116" s="1054"/>
      <c r="BB116" s="1054"/>
      <c r="BC116" s="1054"/>
      <c r="BD116" s="1054"/>
      <c r="BE116" s="1054"/>
    </row>
    <row r="117" spans="1:57" ht="19.899999999999999" customHeight="1">
      <c r="B117" s="769" t="b">
        <f t="shared" ref="B117:B135" si="3">HAS_DOC6="да"</f>
        <v>1</v>
      </c>
      <c r="E117" s="676">
        <v>20.399999999999999</v>
      </c>
      <c r="S117" s="1052" t="s">
        <v>111</v>
      </c>
      <c r="T117" s="1053" t="s">
        <v>112</v>
      </c>
      <c r="AB117" s="1671" t="s">
        <v>224</v>
      </c>
      <c r="AC117" s="1672" t="s">
        <v>225</v>
      </c>
      <c r="AD117" s="1672"/>
      <c r="AE117" s="1159" t="s">
        <v>250</v>
      </c>
      <c r="AF117" s="369"/>
      <c r="AO117" s="1054"/>
      <c r="AP117" s="1054"/>
      <c r="AQ117" s="1054"/>
      <c r="AR117" s="1054"/>
      <c r="AS117" s="1054"/>
      <c r="AT117" s="1054"/>
      <c r="AU117" s="1054" t="s">
        <v>226</v>
      </c>
      <c r="AV117" s="1054"/>
      <c r="AW117" s="1054" t="s">
        <v>248</v>
      </c>
      <c r="AX117" s="1054" t="s">
        <v>261</v>
      </c>
      <c r="AY117" s="1054"/>
      <c r="AZ117" s="1054"/>
      <c r="BA117" s="1054"/>
      <c r="BB117" s="1054"/>
      <c r="BC117" s="1054"/>
      <c r="BD117" s="1054"/>
      <c r="BE117" s="1054"/>
    </row>
    <row r="118" spans="1:57" ht="19.899999999999999" customHeight="1">
      <c r="B118" s="769" t="b">
        <f t="shared" si="3"/>
        <v>1</v>
      </c>
      <c r="E118" s="676">
        <v>20.399999999999999</v>
      </c>
      <c r="S118" s="1052" t="s">
        <v>111</v>
      </c>
      <c r="T118" s="1053" t="s">
        <v>112</v>
      </c>
      <c r="AB118" s="1671"/>
      <c r="AC118" s="1672" t="s">
        <v>227</v>
      </c>
      <c r="AD118" s="1672"/>
      <c r="AE118" s="1160" t="s">
        <v>251</v>
      </c>
      <c r="AF118" s="369"/>
      <c r="AO118" s="1054"/>
      <c r="AP118" s="1054"/>
      <c r="AQ118" s="1054"/>
      <c r="AR118" s="1054"/>
      <c r="AS118" s="1054"/>
      <c r="AT118" s="1054"/>
      <c r="AU118" s="1054" t="s">
        <v>229</v>
      </c>
      <c r="AV118" s="1054"/>
      <c r="AW118" s="1054" t="s">
        <v>248</v>
      </c>
      <c r="AX118" s="1054" t="s">
        <v>261</v>
      </c>
      <c r="AY118" s="1054"/>
      <c r="AZ118" s="1054"/>
      <c r="BA118" s="1054"/>
      <c r="BB118" s="1054"/>
      <c r="BC118" s="1054"/>
      <c r="BD118" s="1054"/>
      <c r="BE118" s="1054"/>
    </row>
    <row r="119" spans="1:57" ht="19.899999999999999" customHeight="1">
      <c r="B119" s="769" t="b">
        <f t="shared" si="3"/>
        <v>1</v>
      </c>
      <c r="E119" s="676">
        <v>20.399999999999999</v>
      </c>
      <c r="S119" s="1052" t="s">
        <v>111</v>
      </c>
      <c r="T119" s="1053" t="s">
        <v>112</v>
      </c>
      <c r="AB119" s="1671"/>
      <c r="AC119" s="1672" t="s">
        <v>230</v>
      </c>
      <c r="AD119" s="1672"/>
      <c r="AE119" s="1159" t="s">
        <v>252</v>
      </c>
      <c r="AF119" s="369"/>
      <c r="AO119" s="1054"/>
      <c r="AP119" s="1054"/>
      <c r="AQ119" s="1054"/>
      <c r="AR119" s="1054"/>
      <c r="AS119" s="1054"/>
      <c r="AT119" s="1054"/>
      <c r="AU119" s="1054" t="s">
        <v>231</v>
      </c>
      <c r="AV119" s="1054"/>
      <c r="AW119" s="1054" t="s">
        <v>248</v>
      </c>
      <c r="AX119" s="1054" t="s">
        <v>261</v>
      </c>
      <c r="AY119" s="1054"/>
      <c r="AZ119" s="1054"/>
      <c r="BA119" s="1054"/>
      <c r="BB119" s="1054"/>
      <c r="BC119" s="1054"/>
      <c r="BD119" s="1054"/>
      <c r="BE119" s="1054"/>
    </row>
    <row r="120" spans="1:57" ht="19.899999999999999" customHeight="1">
      <c r="B120" s="769" t="b">
        <f t="shared" si="3"/>
        <v>1</v>
      </c>
      <c r="E120" s="676">
        <v>20.399999999999999</v>
      </c>
      <c r="S120" s="1052" t="s">
        <v>111</v>
      </c>
      <c r="T120" s="1053" t="s">
        <v>112</v>
      </c>
      <c r="AB120" s="1671"/>
      <c r="AC120" s="1672" t="s">
        <v>232</v>
      </c>
      <c r="AD120" s="1672"/>
      <c r="AE120" s="1161">
        <v>45750</v>
      </c>
      <c r="AF120" s="369"/>
      <c r="AO120" s="1054"/>
      <c r="AP120" s="1054"/>
      <c r="AQ120" s="1054"/>
      <c r="AR120" s="1054"/>
      <c r="AS120" s="1054"/>
      <c r="AT120" s="1054"/>
      <c r="AU120" s="1054" t="s">
        <v>233</v>
      </c>
      <c r="AV120" s="1054"/>
      <c r="AW120" s="1054" t="s">
        <v>248</v>
      </c>
      <c r="AX120" s="1054" t="s">
        <v>261</v>
      </c>
      <c r="AY120" s="1054"/>
      <c r="AZ120" s="1054"/>
      <c r="BA120" s="1054"/>
      <c r="BB120" s="1054"/>
      <c r="BC120" s="1054"/>
      <c r="BD120" s="1054"/>
      <c r="BE120" s="1054"/>
    </row>
    <row r="121" spans="1:57" ht="19.899999999999999" customHeight="1">
      <c r="B121" s="769" t="b">
        <f t="shared" si="3"/>
        <v>1</v>
      </c>
      <c r="E121" s="676">
        <v>20.399999999999999</v>
      </c>
      <c r="S121" s="1052" t="s">
        <v>111</v>
      </c>
      <c r="T121" s="1053" t="s">
        <v>112</v>
      </c>
      <c r="AB121" s="1671"/>
      <c r="AC121" s="1672" t="s">
        <v>253</v>
      </c>
      <c r="AD121" s="1672"/>
      <c r="AE121" s="1161">
        <v>44553</v>
      </c>
      <c r="AF121" s="369"/>
      <c r="AO121" s="1054"/>
      <c r="AP121" s="1054"/>
      <c r="AQ121" s="1054"/>
      <c r="AR121" s="1054"/>
      <c r="AS121" s="1054"/>
      <c r="AT121" s="1054"/>
      <c r="AU121" s="1054" t="s">
        <v>254</v>
      </c>
      <c r="AV121" s="1054"/>
      <c r="AW121" s="1054" t="s">
        <v>248</v>
      </c>
      <c r="AX121" s="1054" t="s">
        <v>261</v>
      </c>
      <c r="AY121" s="1054"/>
      <c r="AZ121" s="1054"/>
      <c r="BA121" s="1054"/>
      <c r="BB121" s="1054"/>
      <c r="BC121" s="1054"/>
      <c r="BD121" s="1054"/>
      <c r="BE121" s="1054"/>
    </row>
    <row r="122" spans="1:57" ht="19.899999999999999" customHeight="1">
      <c r="B122" s="769" t="b">
        <f t="shared" si="3"/>
        <v>1</v>
      </c>
      <c r="E122" s="676">
        <v>20.399999999999999</v>
      </c>
      <c r="S122" s="1052" t="s">
        <v>111</v>
      </c>
      <c r="T122" s="1053" t="s">
        <v>112</v>
      </c>
      <c r="AB122" s="1671"/>
      <c r="AC122" s="1672" t="s">
        <v>255</v>
      </c>
      <c r="AD122" s="1672"/>
      <c r="AE122" s="1161">
        <v>47848</v>
      </c>
      <c r="AF122" s="369"/>
      <c r="AO122" s="1054"/>
      <c r="AP122" s="1054"/>
      <c r="AQ122" s="1054"/>
      <c r="AR122" s="1054"/>
      <c r="AS122" s="1054"/>
      <c r="AT122" s="1054"/>
      <c r="AU122" s="1054" t="s">
        <v>256</v>
      </c>
      <c r="AV122" s="1054"/>
      <c r="AW122" s="1054" t="s">
        <v>248</v>
      </c>
      <c r="AX122" s="1054" t="s">
        <v>261</v>
      </c>
      <c r="AY122" s="1054"/>
      <c r="AZ122" s="1054"/>
      <c r="BA122" s="1054"/>
      <c r="BB122" s="1054"/>
      <c r="BC122" s="1054"/>
      <c r="BD122" s="1054"/>
      <c r="BE122" s="1054"/>
    </row>
    <row r="123" spans="1:57" ht="19.899999999999999" hidden="1" customHeight="1">
      <c r="B123" s="769" t="b">
        <f t="shared" si="3"/>
        <v>1</v>
      </c>
      <c r="E123" s="676">
        <v>20.399999999999999</v>
      </c>
      <c r="S123" s="1052" t="s">
        <v>111</v>
      </c>
      <c r="T123" s="1053" t="s">
        <v>112</v>
      </c>
      <c r="W123" s="698" t="b">
        <f>ROW(Y123)&gt;ROW(Y$123)</f>
        <v>0</v>
      </c>
      <c r="Y123" s="110" t="s">
        <v>236</v>
      </c>
      <c r="AA123" s="1669" t="s">
        <v>218</v>
      </c>
      <c r="AB123" s="1671" t="s">
        <v>224</v>
      </c>
      <c r="AC123" s="1672" t="s">
        <v>225</v>
      </c>
      <c r="AD123" s="1672"/>
      <c r="AE123" s="401"/>
      <c r="AO123" s="1061" cm="1">
        <f t="array" ref="AO123">AE123</f>
        <v>0</v>
      </c>
      <c r="AP123" s="1054"/>
      <c r="AQ123" s="1054"/>
      <c r="AR123" s="1054"/>
      <c r="AS123" s="1054"/>
      <c r="AT123" s="1054"/>
      <c r="AU123" s="1054" t="s">
        <v>226</v>
      </c>
      <c r="AV123" s="1054"/>
      <c r="AW123" s="1054" t="s">
        <v>248</v>
      </c>
      <c r="AX123" s="1054" t="s">
        <v>261</v>
      </c>
      <c r="AY123" s="1054"/>
      <c r="AZ123" s="1054"/>
      <c r="BA123" s="1054"/>
      <c r="BB123" s="1054"/>
      <c r="BC123" s="1054"/>
      <c r="BD123" s="1054"/>
      <c r="BE123" s="1054"/>
    </row>
    <row r="124" spans="1:57" ht="19.899999999999999" hidden="1" customHeight="1">
      <c r="B124" s="769" t="b">
        <f t="shared" si="3"/>
        <v>1</v>
      </c>
      <c r="E124" s="676">
        <v>20.399999999999999</v>
      </c>
      <c r="S124" s="1052" t="s">
        <v>111</v>
      </c>
      <c r="T124" s="1053" t="s">
        <v>112</v>
      </c>
      <c r="W124" s="698" t="b" cm="1">
        <f t="array" ref="W124">W123</f>
        <v>0</v>
      </c>
      <c r="AA124" s="1669"/>
      <c r="AB124" s="1671"/>
      <c r="AC124" s="1672" t="s">
        <v>227</v>
      </c>
      <c r="AD124" s="1672"/>
      <c r="AE124" s="402" t="s">
        <v>243</v>
      </c>
      <c r="AO124" s="1061" cm="1">
        <f t="array" ref="AO124">AO123</f>
        <v>0</v>
      </c>
      <c r="AP124" s="1054"/>
      <c r="AQ124" s="1054"/>
      <c r="AR124" s="1054"/>
      <c r="AS124" s="1054"/>
      <c r="AT124" s="1054"/>
      <c r="AU124" s="1054" t="s">
        <v>229</v>
      </c>
      <c r="AV124" s="1054"/>
      <c r="AW124" s="1054" t="s">
        <v>248</v>
      </c>
      <c r="AX124" s="1054" t="s">
        <v>261</v>
      </c>
      <c r="AY124" s="1054"/>
      <c r="AZ124" s="1054"/>
      <c r="BA124" s="1054"/>
      <c r="BB124" s="1054"/>
      <c r="BC124" s="1054"/>
      <c r="BD124" s="1054"/>
      <c r="BE124" s="1054"/>
    </row>
    <row r="125" spans="1:57" ht="19.899999999999999" hidden="1" customHeight="1">
      <c r="B125" s="769" t="b">
        <f t="shared" si="3"/>
        <v>1</v>
      </c>
      <c r="E125" s="676">
        <v>20.399999999999999</v>
      </c>
      <c r="S125" s="1052" t="s">
        <v>111</v>
      </c>
      <c r="T125" s="1053" t="s">
        <v>112</v>
      </c>
      <c r="W125" s="698" t="b" cm="1">
        <f t="array" ref="W125">W124</f>
        <v>0</v>
      </c>
      <c r="AA125" s="1669"/>
      <c r="AB125" s="1671"/>
      <c r="AC125" s="1672" t="s">
        <v>230</v>
      </c>
      <c r="AD125" s="1672"/>
      <c r="AE125" s="401" t="s">
        <v>243</v>
      </c>
      <c r="AO125" s="1061" cm="1">
        <f t="array" ref="AO125">AO124</f>
        <v>0</v>
      </c>
      <c r="AP125" s="1054"/>
      <c r="AQ125" s="1054"/>
      <c r="AR125" s="1054"/>
      <c r="AS125" s="1054"/>
      <c r="AT125" s="1054"/>
      <c r="AU125" s="1054" t="s">
        <v>231</v>
      </c>
      <c r="AV125" s="1054"/>
      <c r="AW125" s="1054" t="s">
        <v>248</v>
      </c>
      <c r="AX125" s="1054" t="s">
        <v>261</v>
      </c>
      <c r="AY125" s="1054"/>
      <c r="AZ125" s="1054"/>
      <c r="BA125" s="1054"/>
      <c r="BB125" s="1054"/>
      <c r="BC125" s="1054"/>
      <c r="BD125" s="1054"/>
      <c r="BE125" s="1054"/>
    </row>
    <row r="126" spans="1:57" ht="19.899999999999999" hidden="1" customHeight="1">
      <c r="B126" s="769" t="b">
        <f t="shared" si="3"/>
        <v>1</v>
      </c>
      <c r="E126" s="676">
        <v>20.399999999999999</v>
      </c>
      <c r="S126" s="1052" t="s">
        <v>111</v>
      </c>
      <c r="T126" s="1053" t="s">
        <v>112</v>
      </c>
      <c r="W126" s="698" t="b" cm="1">
        <f t="array" ref="W126">W125</f>
        <v>0</v>
      </c>
      <c r="AA126" s="1669"/>
      <c r="AB126" s="1671"/>
      <c r="AC126" s="1672" t="s">
        <v>232</v>
      </c>
      <c r="AD126" s="1672"/>
      <c r="AE126" s="765" t="s">
        <v>243</v>
      </c>
      <c r="AO126" s="1061" cm="1">
        <f t="array" ref="AO126">AO125</f>
        <v>0</v>
      </c>
      <c r="AP126" s="1054"/>
      <c r="AQ126" s="1054"/>
      <c r="AR126" s="1054"/>
      <c r="AS126" s="1054"/>
      <c r="AT126" s="1054"/>
      <c r="AU126" s="1054" t="s">
        <v>233</v>
      </c>
      <c r="AV126" s="1054"/>
      <c r="AW126" s="1054" t="s">
        <v>248</v>
      </c>
      <c r="AX126" s="1054" t="s">
        <v>261</v>
      </c>
      <c r="AY126" s="1054"/>
      <c r="AZ126" s="1054"/>
      <c r="BA126" s="1054"/>
      <c r="BB126" s="1054"/>
      <c r="BC126" s="1054"/>
      <c r="BD126" s="1054"/>
      <c r="BE126" s="1054"/>
    </row>
    <row r="127" spans="1:57" ht="19.899999999999999" hidden="1" customHeight="1">
      <c r="B127" s="769" t="b">
        <f t="shared" si="3"/>
        <v>1</v>
      </c>
      <c r="E127" s="676">
        <v>20.399999999999999</v>
      </c>
      <c r="S127" s="1052" t="s">
        <v>111</v>
      </c>
      <c r="T127" s="1053" t="s">
        <v>112</v>
      </c>
      <c r="W127" s="698" t="b" cm="1">
        <f t="array" ref="W127">W126</f>
        <v>0</v>
      </c>
      <c r="AA127" s="1669"/>
      <c r="AB127" s="1671"/>
      <c r="AC127" s="1672" t="s">
        <v>253</v>
      </c>
      <c r="AD127" s="1672"/>
      <c r="AE127" s="765" t="s">
        <v>243</v>
      </c>
      <c r="AO127" s="1061" cm="1">
        <f t="array" ref="AO127">AO126</f>
        <v>0</v>
      </c>
      <c r="AP127" s="1054"/>
      <c r="AQ127" s="1054"/>
      <c r="AR127" s="1054"/>
      <c r="AS127" s="1054"/>
      <c r="AT127" s="1054"/>
      <c r="AU127" s="1054" t="s">
        <v>254</v>
      </c>
      <c r="AV127" s="1054"/>
      <c r="AW127" s="1054" t="s">
        <v>248</v>
      </c>
      <c r="AX127" s="1054" t="s">
        <v>261</v>
      </c>
      <c r="AY127" s="1054"/>
      <c r="AZ127" s="1054"/>
      <c r="BA127" s="1054"/>
      <c r="BB127" s="1054"/>
      <c r="BC127" s="1054"/>
      <c r="BD127" s="1054"/>
      <c r="BE127" s="1054"/>
    </row>
    <row r="128" spans="1:57" ht="19.899999999999999" hidden="1" customHeight="1">
      <c r="B128" s="769" t="b">
        <f t="shared" si="3"/>
        <v>1</v>
      </c>
      <c r="E128" s="676">
        <v>20.399999999999999</v>
      </c>
      <c r="S128" s="1052" t="s">
        <v>111</v>
      </c>
      <c r="T128" s="1053" t="s">
        <v>112</v>
      </c>
      <c r="W128" s="698" t="b" cm="1">
        <f t="array" ref="W128">W127</f>
        <v>0</v>
      </c>
      <c r="AA128" s="1669"/>
      <c r="AB128" s="1671"/>
      <c r="AC128" s="1672" t="s">
        <v>255</v>
      </c>
      <c r="AD128" s="1672"/>
      <c r="AE128" s="767" t="s">
        <v>243</v>
      </c>
      <c r="AO128" s="1061" cm="1">
        <f t="array" ref="AO128">AO127</f>
        <v>0</v>
      </c>
      <c r="AP128" s="1054"/>
      <c r="AQ128" s="1054"/>
      <c r="AR128" s="1054"/>
      <c r="AS128" s="1054"/>
      <c r="AT128" s="1054"/>
      <c r="AU128" s="1054" t="s">
        <v>256</v>
      </c>
      <c r="AV128" s="1054"/>
      <c r="AW128" s="1054" t="s">
        <v>248</v>
      </c>
      <c r="AX128" s="1054" t="s">
        <v>261</v>
      </c>
      <c r="AY128" s="1054"/>
      <c r="AZ128" s="1054"/>
      <c r="BA128" s="1054"/>
      <c r="BB128" s="1054"/>
      <c r="BC128" s="1054"/>
      <c r="BD128" s="1054"/>
      <c r="BE128" s="1054"/>
    </row>
    <row r="129" spans="1:57" s="1170" customFormat="1" ht="29.25" customHeight="1">
      <c r="A129" s="1155"/>
      <c r="B129" s="769" t="b">
        <f t="shared" si="3"/>
        <v>1</v>
      </c>
      <c r="C129" s="1155"/>
      <c r="D129" s="1155"/>
      <c r="E129" s="676">
        <v>20.399999999999999</v>
      </c>
      <c r="F129" s="814"/>
      <c r="G129" s="1155"/>
      <c r="H129" s="1155"/>
      <c r="I129" s="1155"/>
      <c r="J129" s="1155"/>
      <c r="K129" s="1155"/>
      <c r="L129" s="1155"/>
      <c r="M129" s="1155"/>
      <c r="N129" s="1155"/>
      <c r="O129" s="1155"/>
      <c r="P129" s="1155"/>
      <c r="Q129" s="1155"/>
      <c r="R129" s="1155"/>
      <c r="S129" s="1052" t="s">
        <v>111</v>
      </c>
      <c r="T129" s="1053" t="s">
        <v>112</v>
      </c>
      <c r="U129" s="1155"/>
      <c r="V129" s="1155"/>
      <c r="W129" s="698" t="b">
        <f>ROW(Y129)&gt;ROW(Y$123)</f>
        <v>1</v>
      </c>
      <c r="X129" s="1155"/>
      <c r="Y129" s="110"/>
      <c r="Z129" s="1155"/>
      <c r="AA129" s="1669" t="s">
        <v>218</v>
      </c>
      <c r="AB129" s="1671" t="s">
        <v>224</v>
      </c>
      <c r="AC129" s="1672" t="s">
        <v>225</v>
      </c>
      <c r="AD129" s="1672"/>
      <c r="AE129" s="1159" t="s">
        <v>257</v>
      </c>
      <c r="AF129" s="365"/>
      <c r="AG129" s="1156"/>
      <c r="AH129" s="1156"/>
      <c r="AI129" s="1156"/>
      <c r="AJ129" s="1156"/>
      <c r="AK129" s="1156"/>
      <c r="AL129" s="1156"/>
      <c r="AM129" s="1156"/>
      <c r="AN129" s="1156"/>
      <c r="AO129" s="1061" t="str" cm="1">
        <f t="array" ref="AO129">AE129</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29" s="1054"/>
      <c r="AQ129" s="1054"/>
      <c r="AR129" s="1054"/>
      <c r="AS129" s="1054"/>
      <c r="AT129" s="1054"/>
      <c r="AU129" s="1054" t="s">
        <v>226</v>
      </c>
      <c r="AV129" s="1054"/>
      <c r="AW129" s="1054" t="s">
        <v>248</v>
      </c>
      <c r="AX129" s="1054" t="s">
        <v>261</v>
      </c>
      <c r="AY129" s="1054"/>
      <c r="AZ129" s="1054"/>
      <c r="BA129" s="1054"/>
      <c r="BB129" s="1054"/>
      <c r="BC129" s="1054"/>
      <c r="BD129" s="1054"/>
      <c r="BE129" s="1054"/>
    </row>
    <row r="130" spans="1:57" s="1171" customFormat="1" ht="19.5" customHeight="1">
      <c r="A130" s="1155"/>
      <c r="B130" s="769" t="b">
        <f t="shared" si="3"/>
        <v>1</v>
      </c>
      <c r="C130" s="1155"/>
      <c r="D130" s="1155"/>
      <c r="E130" s="676">
        <v>20.399999999999999</v>
      </c>
      <c r="F130" s="814"/>
      <c r="G130" s="1155"/>
      <c r="H130" s="1155"/>
      <c r="I130" s="1155"/>
      <c r="J130" s="1155"/>
      <c r="K130" s="1155"/>
      <c r="L130" s="1155"/>
      <c r="M130" s="1155"/>
      <c r="N130" s="1155"/>
      <c r="O130" s="1155"/>
      <c r="P130" s="1155"/>
      <c r="Q130" s="1155"/>
      <c r="R130" s="1155"/>
      <c r="S130" s="1052" t="s">
        <v>111</v>
      </c>
      <c r="T130" s="1053" t="s">
        <v>112</v>
      </c>
      <c r="U130" s="1155"/>
      <c r="V130" s="1155"/>
      <c r="W130" s="698" t="b" cm="1">
        <f t="array" ref="W130">W129</f>
        <v>1</v>
      </c>
      <c r="X130" s="1155"/>
      <c r="Y130" s="1155"/>
      <c r="Z130" s="1155"/>
      <c r="AA130" s="1669"/>
      <c r="AB130" s="1671"/>
      <c r="AC130" s="1672" t="s">
        <v>227</v>
      </c>
      <c r="AD130" s="1672"/>
      <c r="AE130" s="1160" t="s">
        <v>251</v>
      </c>
      <c r="AF130" s="365"/>
      <c r="AG130" s="1156"/>
      <c r="AH130" s="1156"/>
      <c r="AI130" s="1156"/>
      <c r="AJ130" s="1156"/>
      <c r="AK130" s="1156"/>
      <c r="AL130" s="1156"/>
      <c r="AM130" s="1156"/>
      <c r="AN130" s="1156"/>
      <c r="AO130" s="1061" t="str" cm="1">
        <f t="array" ref="AO130">AO129</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30" s="1054"/>
      <c r="AQ130" s="1054"/>
      <c r="AR130" s="1054"/>
      <c r="AS130" s="1054"/>
      <c r="AT130" s="1054"/>
      <c r="AU130" s="1054" t="s">
        <v>229</v>
      </c>
      <c r="AV130" s="1054"/>
      <c r="AW130" s="1054" t="s">
        <v>248</v>
      </c>
      <c r="AX130" s="1054" t="s">
        <v>261</v>
      </c>
      <c r="AY130" s="1054"/>
      <c r="AZ130" s="1054"/>
      <c r="BA130" s="1054"/>
      <c r="BB130" s="1054"/>
      <c r="BC130" s="1054"/>
      <c r="BD130" s="1054"/>
      <c r="BE130" s="1054"/>
    </row>
    <row r="131" spans="1:57" s="1172" customFormat="1" ht="19.5" customHeight="1">
      <c r="A131" s="1155"/>
      <c r="B131" s="769" t="b">
        <f t="shared" si="3"/>
        <v>1</v>
      </c>
      <c r="C131" s="1155"/>
      <c r="D131" s="1155"/>
      <c r="E131" s="676">
        <v>20.399999999999999</v>
      </c>
      <c r="F131" s="814"/>
      <c r="G131" s="1155"/>
      <c r="H131" s="1155"/>
      <c r="I131" s="1155"/>
      <c r="J131" s="1155"/>
      <c r="K131" s="1155"/>
      <c r="L131" s="1155"/>
      <c r="M131" s="1155"/>
      <c r="N131" s="1155"/>
      <c r="O131" s="1155"/>
      <c r="P131" s="1155"/>
      <c r="Q131" s="1155"/>
      <c r="R131" s="1155"/>
      <c r="S131" s="1052" t="s">
        <v>111</v>
      </c>
      <c r="T131" s="1053" t="s">
        <v>112</v>
      </c>
      <c r="U131" s="1155"/>
      <c r="V131" s="1155"/>
      <c r="W131" s="698" t="b" cm="1">
        <f t="array" ref="W131">W130</f>
        <v>1</v>
      </c>
      <c r="X131" s="1155"/>
      <c r="Y131" s="1155"/>
      <c r="Z131" s="1155"/>
      <c r="AA131" s="1669"/>
      <c r="AB131" s="1671"/>
      <c r="AC131" s="1672" t="s">
        <v>230</v>
      </c>
      <c r="AD131" s="1672"/>
      <c r="AE131" s="1159" t="s">
        <v>258</v>
      </c>
      <c r="AF131" s="365"/>
      <c r="AG131" s="1156"/>
      <c r="AH131" s="1156"/>
      <c r="AI131" s="1156"/>
      <c r="AJ131" s="1156"/>
      <c r="AK131" s="1156"/>
      <c r="AL131" s="1156"/>
      <c r="AM131" s="1156"/>
      <c r="AN131" s="1156"/>
      <c r="AO131" s="1061" t="str" cm="1">
        <f t="array" ref="AO131">AO130</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31" s="1054"/>
      <c r="AQ131" s="1054"/>
      <c r="AR131" s="1054"/>
      <c r="AS131" s="1054"/>
      <c r="AT131" s="1054"/>
      <c r="AU131" s="1054" t="s">
        <v>231</v>
      </c>
      <c r="AV131" s="1054"/>
      <c r="AW131" s="1054" t="s">
        <v>248</v>
      </c>
      <c r="AX131" s="1054" t="s">
        <v>261</v>
      </c>
      <c r="AY131" s="1054"/>
      <c r="AZ131" s="1054"/>
      <c r="BA131" s="1054"/>
      <c r="BB131" s="1054"/>
      <c r="BC131" s="1054"/>
      <c r="BD131" s="1054"/>
      <c r="BE131" s="1054"/>
    </row>
    <row r="132" spans="1:57" s="1173" customFormat="1" ht="19.5" customHeight="1">
      <c r="A132" s="1155"/>
      <c r="B132" s="769" t="b">
        <f t="shared" si="3"/>
        <v>1</v>
      </c>
      <c r="C132" s="1155"/>
      <c r="D132" s="1155"/>
      <c r="E132" s="676">
        <v>20.399999999999999</v>
      </c>
      <c r="F132" s="814"/>
      <c r="G132" s="1155"/>
      <c r="H132" s="1155"/>
      <c r="I132" s="1155"/>
      <c r="J132" s="1155"/>
      <c r="K132" s="1155"/>
      <c r="L132" s="1155"/>
      <c r="M132" s="1155"/>
      <c r="N132" s="1155"/>
      <c r="O132" s="1155"/>
      <c r="P132" s="1155"/>
      <c r="Q132" s="1155"/>
      <c r="R132" s="1155"/>
      <c r="S132" s="1052" t="s">
        <v>111</v>
      </c>
      <c r="T132" s="1053" t="s">
        <v>112</v>
      </c>
      <c r="U132" s="1155"/>
      <c r="V132" s="1155"/>
      <c r="W132" s="698" t="b" cm="1">
        <f t="array" ref="W132">W131</f>
        <v>1</v>
      </c>
      <c r="X132" s="1155"/>
      <c r="Y132" s="1155"/>
      <c r="Z132" s="1155"/>
      <c r="AA132" s="1669"/>
      <c r="AB132" s="1671"/>
      <c r="AC132" s="1672" t="s">
        <v>232</v>
      </c>
      <c r="AD132" s="1672"/>
      <c r="AE132" s="1161">
        <v>45750</v>
      </c>
      <c r="AF132" s="365"/>
      <c r="AG132" s="1156"/>
      <c r="AH132" s="1156"/>
      <c r="AI132" s="1156"/>
      <c r="AJ132" s="1156"/>
      <c r="AK132" s="1156"/>
      <c r="AL132" s="1156"/>
      <c r="AM132" s="1156"/>
      <c r="AN132" s="1156"/>
      <c r="AO132" s="1061" t="str" cm="1">
        <f t="array" ref="AO132">AO131</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32" s="1054"/>
      <c r="AQ132" s="1054"/>
      <c r="AR132" s="1054"/>
      <c r="AS132" s="1054"/>
      <c r="AT132" s="1054"/>
      <c r="AU132" s="1054" t="s">
        <v>233</v>
      </c>
      <c r="AV132" s="1054"/>
      <c r="AW132" s="1054" t="s">
        <v>248</v>
      </c>
      <c r="AX132" s="1054" t="s">
        <v>261</v>
      </c>
      <c r="AY132" s="1054"/>
      <c r="AZ132" s="1054"/>
      <c r="BA132" s="1054"/>
      <c r="BB132" s="1054"/>
      <c r="BC132" s="1054"/>
      <c r="BD132" s="1054"/>
      <c r="BE132" s="1054"/>
    </row>
    <row r="133" spans="1:57" s="1174" customFormat="1" ht="19.5" customHeight="1">
      <c r="A133" s="1155"/>
      <c r="B133" s="769" t="b">
        <f t="shared" si="3"/>
        <v>1</v>
      </c>
      <c r="C133" s="1155"/>
      <c r="D133" s="1155"/>
      <c r="E133" s="676">
        <v>20.399999999999999</v>
      </c>
      <c r="F133" s="814"/>
      <c r="G133" s="1155"/>
      <c r="H133" s="1155"/>
      <c r="I133" s="1155"/>
      <c r="J133" s="1155"/>
      <c r="K133" s="1155"/>
      <c r="L133" s="1155"/>
      <c r="M133" s="1155"/>
      <c r="N133" s="1155"/>
      <c r="O133" s="1155"/>
      <c r="P133" s="1155"/>
      <c r="Q133" s="1155"/>
      <c r="R133" s="1155"/>
      <c r="S133" s="1052" t="s">
        <v>111</v>
      </c>
      <c r="T133" s="1053" t="s">
        <v>112</v>
      </c>
      <c r="U133" s="1155"/>
      <c r="V133" s="1155"/>
      <c r="W133" s="698" t="b" cm="1">
        <f t="array" ref="W133">W132</f>
        <v>1</v>
      </c>
      <c r="X133" s="1155"/>
      <c r="Y133" s="1155"/>
      <c r="Z133" s="1155"/>
      <c r="AA133" s="1669"/>
      <c r="AB133" s="1671"/>
      <c r="AC133" s="1672" t="s">
        <v>253</v>
      </c>
      <c r="AD133" s="1672"/>
      <c r="AE133" s="1161">
        <v>45292</v>
      </c>
      <c r="AF133" s="365"/>
      <c r="AG133" s="1156"/>
      <c r="AH133" s="1156"/>
      <c r="AI133" s="1156"/>
      <c r="AJ133" s="1156"/>
      <c r="AK133" s="1156"/>
      <c r="AL133" s="1156"/>
      <c r="AM133" s="1156"/>
      <c r="AN133" s="1156"/>
      <c r="AO133" s="1061" t="str" cm="1">
        <f t="array" ref="AO133">AO132</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33" s="1054"/>
      <c r="AQ133" s="1054"/>
      <c r="AR133" s="1054"/>
      <c r="AS133" s="1054"/>
      <c r="AT133" s="1054"/>
      <c r="AU133" s="1054" t="s">
        <v>254</v>
      </c>
      <c r="AV133" s="1054"/>
      <c r="AW133" s="1054" t="s">
        <v>248</v>
      </c>
      <c r="AX133" s="1054" t="s">
        <v>261</v>
      </c>
      <c r="AY133" s="1054"/>
      <c r="AZ133" s="1054"/>
      <c r="BA133" s="1054"/>
      <c r="BB133" s="1054"/>
      <c r="BC133" s="1054"/>
      <c r="BD133" s="1054"/>
      <c r="BE133" s="1054"/>
    </row>
    <row r="134" spans="1:57" s="1175" customFormat="1" ht="19.5" customHeight="1">
      <c r="A134" s="1155"/>
      <c r="B134" s="769" t="b">
        <f t="shared" si="3"/>
        <v>1</v>
      </c>
      <c r="C134" s="1155"/>
      <c r="D134" s="1155"/>
      <c r="E134" s="676">
        <v>20.399999999999999</v>
      </c>
      <c r="F134" s="814"/>
      <c r="G134" s="1155"/>
      <c r="H134" s="1155"/>
      <c r="I134" s="1155"/>
      <c r="J134" s="1155"/>
      <c r="K134" s="1155"/>
      <c r="L134" s="1155"/>
      <c r="M134" s="1155"/>
      <c r="N134" s="1155"/>
      <c r="O134" s="1155"/>
      <c r="P134" s="1155"/>
      <c r="Q134" s="1155"/>
      <c r="R134" s="1155"/>
      <c r="S134" s="1052" t="s">
        <v>111</v>
      </c>
      <c r="T134" s="1053" t="s">
        <v>112</v>
      </c>
      <c r="U134" s="1155"/>
      <c r="V134" s="1155"/>
      <c r="W134" s="698" t="b" cm="1">
        <f t="array" ref="W134">W133</f>
        <v>1</v>
      </c>
      <c r="X134" s="1155"/>
      <c r="Y134" s="1155"/>
      <c r="Z134" s="1155"/>
      <c r="AA134" s="1669"/>
      <c r="AB134" s="1671"/>
      <c r="AC134" s="1672" t="s">
        <v>255</v>
      </c>
      <c r="AD134" s="1672"/>
      <c r="AE134" s="1176">
        <v>47848.556863425925</v>
      </c>
      <c r="AF134" s="365"/>
      <c r="AG134" s="1156"/>
      <c r="AH134" s="1156"/>
      <c r="AI134" s="1156"/>
      <c r="AJ134" s="1156"/>
      <c r="AK134" s="1156"/>
      <c r="AL134" s="1156"/>
      <c r="AM134" s="1156"/>
      <c r="AN134" s="1156"/>
      <c r="AO134" s="1061" t="str" cm="1">
        <f t="array" ref="AO134">AO133</f>
        <v>Об утверждении инвестиционной программы в сфере теплоснабжения ОАО "Северо-Кузбасская энергетическая компания" по узлу теплоснабжения Тайгинского городского округа в части котельных № 2, 3, 4, 7, 8, 9 на 2024-2030 годы</v>
      </c>
      <c r="AP134" s="1054"/>
      <c r="AQ134" s="1054"/>
      <c r="AR134" s="1054"/>
      <c r="AS134" s="1054"/>
      <c r="AT134" s="1054"/>
      <c r="AU134" s="1054" t="s">
        <v>256</v>
      </c>
      <c r="AV134" s="1054"/>
      <c r="AW134" s="1054" t="s">
        <v>248</v>
      </c>
      <c r="AX134" s="1054" t="s">
        <v>261</v>
      </c>
      <c r="AY134" s="1054"/>
      <c r="AZ134" s="1054"/>
      <c r="BA134" s="1054"/>
      <c r="BB134" s="1054"/>
      <c r="BC134" s="1054"/>
      <c r="BD134" s="1054"/>
      <c r="BE134" s="1054"/>
    </row>
    <row r="135" spans="1:57" ht="14.65" customHeight="1">
      <c r="B135" s="769" t="b">
        <f t="shared" si="3"/>
        <v>1</v>
      </c>
      <c r="E135" s="676">
        <v>15</v>
      </c>
      <c r="F135" s="164" t="s">
        <v>259</v>
      </c>
      <c r="Y135" s="318" t="s">
        <v>237</v>
      </c>
      <c r="AB135" s="286"/>
      <c r="AC135" s="285"/>
      <c r="AD135" s="285"/>
      <c r="AE135" s="284" t="s">
        <v>238</v>
      </c>
      <c r="AF135" s="369"/>
      <c r="AG135" s="143"/>
    </row>
    <row r="136" spans="1:57" ht="24" customHeight="1">
      <c r="E136" s="676">
        <v>24.6</v>
      </c>
      <c r="F136" s="164" t="s">
        <v>262</v>
      </c>
      <c r="S136" s="1052" t="s">
        <v>186</v>
      </c>
      <c r="T136" s="1053" t="s">
        <v>187</v>
      </c>
      <c r="AB136" s="167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36" s="1672"/>
      <c r="AD136" s="1672"/>
      <c r="AE136" s="379" t="s">
        <v>200</v>
      </c>
      <c r="AF136" s="374"/>
      <c r="AG136" s="106" t="s">
        <v>263</v>
      </c>
      <c r="AO136" s="1054"/>
      <c r="AP136" s="1054"/>
      <c r="AQ136" s="1054"/>
      <c r="AR136" s="1054"/>
      <c r="AS136" s="1054"/>
      <c r="AT136" s="1054"/>
      <c r="AU136" s="1054"/>
      <c r="AV136" s="1054"/>
      <c r="AW136" s="1054" t="s">
        <v>264</v>
      </c>
      <c r="AX136" s="1054" t="s">
        <v>261</v>
      </c>
      <c r="AY136" s="1054"/>
      <c r="AZ136" s="1054"/>
      <c r="BA136" s="1054"/>
      <c r="BB136" s="1054"/>
      <c r="BC136" s="1054"/>
      <c r="BD136" s="1054"/>
      <c r="BE136" s="1054"/>
    </row>
    <row r="137" spans="1:57" ht="19.899999999999999" customHeight="1">
      <c r="B137" s="769" t="b">
        <f t="shared" ref="B137:B155" si="4">HAS_DOC7="да"</f>
        <v>1</v>
      </c>
      <c r="E137" s="676">
        <v>20.399999999999999</v>
      </c>
      <c r="S137" s="1052" t="s">
        <v>111</v>
      </c>
      <c r="T137" s="1053" t="s">
        <v>112</v>
      </c>
      <c r="AB137" s="1671" t="s">
        <v>224</v>
      </c>
      <c r="AC137" s="1672" t="s">
        <v>225</v>
      </c>
      <c r="AD137" s="1672"/>
      <c r="AE137" s="361" t="s">
        <v>265</v>
      </c>
      <c r="AF137" s="369"/>
      <c r="AO137" s="1054"/>
      <c r="AP137" s="1054"/>
      <c r="AQ137" s="1054"/>
      <c r="AR137" s="1054"/>
      <c r="AS137" s="1054"/>
      <c r="AT137" s="1054"/>
      <c r="AU137" s="1054" t="s">
        <v>226</v>
      </c>
      <c r="AV137" s="1054"/>
      <c r="AW137" s="1054" t="s">
        <v>264</v>
      </c>
      <c r="AX137" s="1054" t="s">
        <v>261</v>
      </c>
      <c r="AY137" s="1054"/>
      <c r="AZ137" s="1054"/>
      <c r="BA137" s="1054"/>
      <c r="BB137" s="1054"/>
      <c r="BC137" s="1054"/>
      <c r="BD137" s="1054"/>
      <c r="BE137" s="1054"/>
    </row>
    <row r="138" spans="1:57" ht="19.899999999999999" customHeight="1">
      <c r="B138" s="769" t="b">
        <f t="shared" si="4"/>
        <v>1</v>
      </c>
      <c r="E138" s="676">
        <v>20.399999999999999</v>
      </c>
      <c r="S138" s="1052" t="s">
        <v>111</v>
      </c>
      <c r="T138" s="1053" t="s">
        <v>112</v>
      </c>
      <c r="AB138" s="1671"/>
      <c r="AC138" s="1672" t="s">
        <v>227</v>
      </c>
      <c r="AD138" s="1672"/>
      <c r="AE138" s="361" t="s">
        <v>266</v>
      </c>
      <c r="AF138" s="369"/>
      <c r="AO138" s="1054"/>
      <c r="AP138" s="1054"/>
      <c r="AQ138" s="1054"/>
      <c r="AR138" s="1054"/>
      <c r="AS138" s="1054"/>
      <c r="AT138" s="1054"/>
      <c r="AU138" s="1054" t="s">
        <v>229</v>
      </c>
      <c r="AV138" s="1054"/>
      <c r="AW138" s="1054" t="s">
        <v>264</v>
      </c>
      <c r="AX138" s="1054" t="s">
        <v>261</v>
      </c>
      <c r="AY138" s="1054"/>
      <c r="AZ138" s="1054"/>
      <c r="BA138" s="1054"/>
      <c r="BB138" s="1054"/>
      <c r="BC138" s="1054"/>
      <c r="BD138" s="1054"/>
      <c r="BE138" s="1054"/>
    </row>
    <row r="139" spans="1:57" ht="19.899999999999999" customHeight="1">
      <c r="B139" s="769" t="b">
        <f t="shared" si="4"/>
        <v>1</v>
      </c>
      <c r="E139" s="676">
        <v>20.399999999999999</v>
      </c>
      <c r="S139" s="1052" t="s">
        <v>111</v>
      </c>
      <c r="T139" s="1053" t="s">
        <v>112</v>
      </c>
      <c r="AB139" s="1671"/>
      <c r="AC139" s="1672" t="s">
        <v>267</v>
      </c>
      <c r="AD139" s="1672"/>
      <c r="AE139" s="361" t="s">
        <v>268</v>
      </c>
      <c r="AF139" s="369"/>
      <c r="AO139" s="1054"/>
      <c r="AP139" s="1054"/>
      <c r="AQ139" s="1054"/>
      <c r="AR139" s="1054"/>
      <c r="AS139" s="1054"/>
      <c r="AT139" s="1054"/>
      <c r="AU139" s="1054" t="s">
        <v>231</v>
      </c>
      <c r="AV139" s="1054"/>
      <c r="AW139" s="1054" t="s">
        <v>264</v>
      </c>
      <c r="AX139" s="1054" t="s">
        <v>261</v>
      </c>
      <c r="AY139" s="1054"/>
      <c r="AZ139" s="1054"/>
      <c r="BA139" s="1054"/>
      <c r="BB139" s="1054"/>
      <c r="BC139" s="1054"/>
      <c r="BD139" s="1054"/>
      <c r="BE139" s="1054"/>
    </row>
    <row r="140" spans="1:57" ht="19.899999999999999" customHeight="1">
      <c r="B140" s="769" t="b">
        <f t="shared" si="4"/>
        <v>1</v>
      </c>
      <c r="E140" s="676">
        <v>20.399999999999999</v>
      </c>
      <c r="S140" s="1052" t="s">
        <v>111</v>
      </c>
      <c r="T140" s="1053" t="s">
        <v>112</v>
      </c>
      <c r="AB140" s="1671"/>
      <c r="AC140" s="1672" t="s">
        <v>232</v>
      </c>
      <c r="AD140" s="1672"/>
      <c r="AE140" s="764">
        <v>44503</v>
      </c>
      <c r="AF140" s="369"/>
      <c r="AO140" s="1054"/>
      <c r="AP140" s="1054"/>
      <c r="AQ140" s="1054"/>
      <c r="AR140" s="1054"/>
      <c r="AS140" s="1054"/>
      <c r="AT140" s="1054"/>
      <c r="AU140" s="1054" t="s">
        <v>233</v>
      </c>
      <c r="AV140" s="1054"/>
      <c r="AW140" s="1054" t="s">
        <v>264</v>
      </c>
      <c r="AX140" s="1054" t="s">
        <v>261</v>
      </c>
      <c r="AY140" s="1054"/>
      <c r="AZ140" s="1054"/>
      <c r="BA140" s="1054"/>
      <c r="BB140" s="1054"/>
      <c r="BC140" s="1054"/>
      <c r="BD140" s="1054"/>
      <c r="BE140" s="1054"/>
    </row>
    <row r="141" spans="1:57" ht="19.899999999999999" customHeight="1">
      <c r="B141" s="769" t="b">
        <f t="shared" si="4"/>
        <v>1</v>
      </c>
      <c r="E141" s="676">
        <v>20.399999999999999</v>
      </c>
      <c r="S141" s="1052" t="s">
        <v>111</v>
      </c>
      <c r="T141" s="1053" t="s">
        <v>112</v>
      </c>
      <c r="AB141" s="1671"/>
      <c r="AC141" s="1672" t="s">
        <v>269</v>
      </c>
      <c r="AD141" s="1672"/>
      <c r="AE141" s="764">
        <v>44503</v>
      </c>
      <c r="AF141" s="369"/>
      <c r="AO141" s="1054"/>
      <c r="AP141" s="1054"/>
      <c r="AQ141" s="1054"/>
      <c r="AR141" s="1054"/>
      <c r="AS141" s="1054"/>
      <c r="AT141" s="1054"/>
      <c r="AU141" s="1054" t="s">
        <v>254</v>
      </c>
      <c r="AV141" s="1054"/>
      <c r="AW141" s="1054" t="s">
        <v>264</v>
      </c>
      <c r="AX141" s="1054" t="s">
        <v>261</v>
      </c>
      <c r="AY141" s="1054"/>
      <c r="AZ141" s="1054"/>
      <c r="BA141" s="1054"/>
      <c r="BB141" s="1054"/>
      <c r="BC141" s="1054"/>
      <c r="BD141" s="1054"/>
      <c r="BE141" s="1054"/>
    </row>
    <row r="142" spans="1:57" ht="19.899999999999999" customHeight="1">
      <c r="B142" s="769" t="b">
        <f t="shared" si="4"/>
        <v>1</v>
      </c>
      <c r="E142" s="676">
        <v>20.399999999999999</v>
      </c>
      <c r="S142" s="1052" t="s">
        <v>111</v>
      </c>
      <c r="T142" s="1053" t="s">
        <v>112</v>
      </c>
      <c r="AB142" s="1671"/>
      <c r="AC142" s="1672" t="s">
        <v>270</v>
      </c>
      <c r="AD142" s="1672"/>
      <c r="AE142" s="764">
        <v>47848</v>
      </c>
      <c r="AF142" s="369"/>
      <c r="AO142" s="1054"/>
      <c r="AP142" s="1054"/>
      <c r="AQ142" s="1054"/>
      <c r="AR142" s="1054"/>
      <c r="AS142" s="1054"/>
      <c r="AT142" s="1054"/>
      <c r="AU142" s="1054" t="s">
        <v>256</v>
      </c>
      <c r="AV142" s="1054"/>
      <c r="AW142" s="1054" t="s">
        <v>264</v>
      </c>
      <c r="AX142" s="1054" t="s">
        <v>261</v>
      </c>
      <c r="AY142" s="1054"/>
      <c r="AZ142" s="1054"/>
      <c r="BA142" s="1054"/>
      <c r="BB142" s="1054"/>
      <c r="BC142" s="1054"/>
      <c r="BD142" s="1054"/>
      <c r="BE142" s="1054"/>
    </row>
    <row r="143" spans="1:57" ht="19.899999999999999" hidden="1" customHeight="1">
      <c r="B143" s="769" t="b">
        <f t="shared" si="4"/>
        <v>1</v>
      </c>
      <c r="E143" s="676">
        <v>20.399999999999999</v>
      </c>
      <c r="S143" s="1052" t="s">
        <v>111</v>
      </c>
      <c r="T143" s="1053" t="s">
        <v>112</v>
      </c>
      <c r="W143" s="698" t="b">
        <f>ROW(Y143)&gt;ROW(Y$143)</f>
        <v>0</v>
      </c>
      <c r="Y143" s="110" t="s">
        <v>236</v>
      </c>
      <c r="AA143" s="1669" t="s">
        <v>218</v>
      </c>
      <c r="AB143" s="1671" t="s">
        <v>224</v>
      </c>
      <c r="AC143" s="1672" t="s">
        <v>225</v>
      </c>
      <c r="AD143" s="1672"/>
      <c r="AE143" s="401"/>
      <c r="AO143" s="1061" cm="1">
        <f t="array" ref="AO143">AE143</f>
        <v>0</v>
      </c>
      <c r="AP143" s="1054"/>
      <c r="AQ143" s="1054"/>
      <c r="AR143" s="1054"/>
      <c r="AS143" s="1054"/>
      <c r="AT143" s="1054"/>
      <c r="AU143" s="1054" t="s">
        <v>226</v>
      </c>
      <c r="AV143" s="1054"/>
      <c r="AW143" s="1054" t="s">
        <v>264</v>
      </c>
      <c r="AX143" s="1054" t="s">
        <v>261</v>
      </c>
      <c r="AY143" s="1054"/>
      <c r="AZ143" s="1054"/>
      <c r="BA143" s="1054"/>
      <c r="BB143" s="1054"/>
      <c r="BC143" s="1054"/>
      <c r="BD143" s="1054"/>
      <c r="BE143" s="1054"/>
    </row>
    <row r="144" spans="1:57" ht="19.899999999999999" hidden="1" customHeight="1">
      <c r="B144" s="769" t="b">
        <f t="shared" si="4"/>
        <v>1</v>
      </c>
      <c r="E144" s="676">
        <v>20.399999999999999</v>
      </c>
      <c r="S144" s="1052" t="s">
        <v>111</v>
      </c>
      <c r="T144" s="1053" t="s">
        <v>112</v>
      </c>
      <c r="W144" s="698" t="b" cm="1">
        <f t="array" ref="W144">W143</f>
        <v>0</v>
      </c>
      <c r="AA144" s="1669"/>
      <c r="AB144" s="1671"/>
      <c r="AC144" s="1672" t="s">
        <v>227</v>
      </c>
      <c r="AD144" s="1672"/>
      <c r="AE144" s="401"/>
      <c r="AO144" s="1061" cm="1">
        <f t="array" ref="AO144">AO143</f>
        <v>0</v>
      </c>
      <c r="AP144" s="1054"/>
      <c r="AQ144" s="1054"/>
      <c r="AR144" s="1054"/>
      <c r="AS144" s="1054"/>
      <c r="AT144" s="1054"/>
      <c r="AU144" s="1054" t="s">
        <v>229</v>
      </c>
      <c r="AV144" s="1054"/>
      <c r="AW144" s="1054" t="s">
        <v>264</v>
      </c>
      <c r="AX144" s="1054" t="s">
        <v>261</v>
      </c>
      <c r="AY144" s="1054"/>
      <c r="AZ144" s="1054"/>
      <c r="BA144" s="1054"/>
      <c r="BB144" s="1054"/>
      <c r="BC144" s="1054"/>
      <c r="BD144" s="1054"/>
      <c r="BE144" s="1054"/>
    </row>
    <row r="145" spans="1:57" ht="19.899999999999999" hidden="1" customHeight="1">
      <c r="B145" s="769" t="b">
        <f t="shared" si="4"/>
        <v>1</v>
      </c>
      <c r="E145" s="676">
        <v>20.399999999999999</v>
      </c>
      <c r="S145" s="1052" t="s">
        <v>111</v>
      </c>
      <c r="T145" s="1053" t="s">
        <v>112</v>
      </c>
      <c r="W145" s="698" t="b" cm="1">
        <f t="array" ref="W145">W144</f>
        <v>0</v>
      </c>
      <c r="AA145" s="1669"/>
      <c r="AB145" s="1671"/>
      <c r="AC145" s="1672" t="s">
        <v>267</v>
      </c>
      <c r="AD145" s="1672"/>
      <c r="AE145" s="401"/>
      <c r="AO145" s="1061" cm="1">
        <f t="array" ref="AO145">AO144</f>
        <v>0</v>
      </c>
      <c r="AP145" s="1054"/>
      <c r="AQ145" s="1054"/>
      <c r="AR145" s="1054"/>
      <c r="AS145" s="1054"/>
      <c r="AT145" s="1054"/>
      <c r="AU145" s="1054" t="s">
        <v>231</v>
      </c>
      <c r="AV145" s="1054"/>
      <c r="AW145" s="1054" t="s">
        <v>264</v>
      </c>
      <c r="AX145" s="1054" t="s">
        <v>261</v>
      </c>
      <c r="AY145" s="1054"/>
      <c r="AZ145" s="1054"/>
      <c r="BA145" s="1054"/>
      <c r="BB145" s="1054"/>
      <c r="BC145" s="1054"/>
      <c r="BD145" s="1054"/>
      <c r="BE145" s="1054"/>
    </row>
    <row r="146" spans="1:57" ht="19.899999999999999" hidden="1" customHeight="1">
      <c r="B146" s="769" t="b">
        <f t="shared" si="4"/>
        <v>1</v>
      </c>
      <c r="E146" s="676">
        <v>20.399999999999999</v>
      </c>
      <c r="S146" s="1052" t="s">
        <v>111</v>
      </c>
      <c r="T146" s="1053" t="s">
        <v>112</v>
      </c>
      <c r="W146" s="698" t="b" cm="1">
        <f t="array" ref="W146">W145</f>
        <v>0</v>
      </c>
      <c r="AA146" s="1669"/>
      <c r="AB146" s="1671"/>
      <c r="AC146" s="1672" t="s">
        <v>232</v>
      </c>
      <c r="AD146" s="1672"/>
      <c r="AE146" s="765"/>
      <c r="AO146" s="1061" cm="1">
        <f t="array" ref="AO146">AO145</f>
        <v>0</v>
      </c>
      <c r="AP146" s="1054"/>
      <c r="AQ146" s="1054"/>
      <c r="AR146" s="1054"/>
      <c r="AS146" s="1054"/>
      <c r="AT146" s="1054"/>
      <c r="AU146" s="1054" t="s">
        <v>233</v>
      </c>
      <c r="AV146" s="1054"/>
      <c r="AW146" s="1054" t="s">
        <v>264</v>
      </c>
      <c r="AX146" s="1054" t="s">
        <v>261</v>
      </c>
      <c r="AY146" s="1054"/>
      <c r="AZ146" s="1054"/>
      <c r="BA146" s="1054"/>
      <c r="BB146" s="1054"/>
      <c r="BC146" s="1054"/>
      <c r="BD146" s="1054"/>
      <c r="BE146" s="1054"/>
    </row>
    <row r="147" spans="1:57" ht="19.899999999999999" hidden="1" customHeight="1">
      <c r="B147" s="769" t="b">
        <f t="shared" si="4"/>
        <v>1</v>
      </c>
      <c r="E147" s="676">
        <v>20.399999999999999</v>
      </c>
      <c r="S147" s="1052" t="s">
        <v>111</v>
      </c>
      <c r="T147" s="1053" t="s">
        <v>112</v>
      </c>
      <c r="W147" s="698" t="b" cm="1">
        <f t="array" ref="W147">W146</f>
        <v>0</v>
      </c>
      <c r="AA147" s="1669"/>
      <c r="AB147" s="1671"/>
      <c r="AC147" s="1672" t="s">
        <v>269</v>
      </c>
      <c r="AD147" s="1672"/>
      <c r="AE147" s="765"/>
      <c r="AO147" s="1061" cm="1">
        <f t="array" ref="AO147">AO146</f>
        <v>0</v>
      </c>
      <c r="AP147" s="1054"/>
      <c r="AQ147" s="1054"/>
      <c r="AR147" s="1054"/>
      <c r="AS147" s="1054"/>
      <c r="AT147" s="1054"/>
      <c r="AU147" s="1054" t="s">
        <v>254</v>
      </c>
      <c r="AV147" s="1054"/>
      <c r="AW147" s="1054" t="s">
        <v>264</v>
      </c>
      <c r="AX147" s="1054" t="s">
        <v>261</v>
      </c>
      <c r="AY147" s="1054"/>
      <c r="AZ147" s="1054"/>
      <c r="BA147" s="1054"/>
      <c r="BB147" s="1054"/>
      <c r="BC147" s="1054"/>
      <c r="BD147" s="1054"/>
      <c r="BE147" s="1054"/>
    </row>
    <row r="148" spans="1:57" ht="19.899999999999999" hidden="1" customHeight="1">
      <c r="B148" s="769" t="b">
        <f t="shared" si="4"/>
        <v>1</v>
      </c>
      <c r="E148" s="676">
        <v>20.399999999999999</v>
      </c>
      <c r="S148" s="1052" t="s">
        <v>111</v>
      </c>
      <c r="T148" s="1053" t="s">
        <v>112</v>
      </c>
      <c r="W148" s="698" t="b" cm="1">
        <f t="array" ref="W148">W147</f>
        <v>0</v>
      </c>
      <c r="AA148" s="1669"/>
      <c r="AB148" s="1671"/>
      <c r="AC148" s="1672" t="s">
        <v>270</v>
      </c>
      <c r="AD148" s="1672"/>
      <c r="AE148" s="765"/>
      <c r="AO148" s="1061" cm="1">
        <f t="array" ref="AO148">AO147</f>
        <v>0</v>
      </c>
      <c r="AP148" s="1054"/>
      <c r="AQ148" s="1054"/>
      <c r="AR148" s="1054"/>
      <c r="AS148" s="1054"/>
      <c r="AT148" s="1054"/>
      <c r="AU148" s="1054" t="s">
        <v>256</v>
      </c>
      <c r="AV148" s="1054"/>
      <c r="AW148" s="1054" t="s">
        <v>264</v>
      </c>
      <c r="AX148" s="1054" t="s">
        <v>261</v>
      </c>
      <c r="AY148" s="1054"/>
      <c r="AZ148" s="1054"/>
      <c r="BA148" s="1054"/>
      <c r="BB148" s="1054"/>
      <c r="BC148" s="1054"/>
      <c r="BD148" s="1054"/>
      <c r="BE148" s="1054"/>
    </row>
    <row r="149" spans="1:57" s="1177" customFormat="1" ht="19.5" customHeight="1">
      <c r="A149" s="1155"/>
      <c r="B149" s="769" t="b">
        <f t="shared" si="4"/>
        <v>1</v>
      </c>
      <c r="C149" s="1155"/>
      <c r="D149" s="1155"/>
      <c r="E149" s="676">
        <v>20.399999999999999</v>
      </c>
      <c r="F149" s="814"/>
      <c r="G149" s="1155"/>
      <c r="H149" s="1155"/>
      <c r="I149" s="1155"/>
      <c r="J149" s="1155"/>
      <c r="K149" s="1155"/>
      <c r="L149" s="1155"/>
      <c r="M149" s="1155"/>
      <c r="N149" s="1155"/>
      <c r="O149" s="1155"/>
      <c r="P149" s="1155"/>
      <c r="Q149" s="1155"/>
      <c r="R149" s="1155"/>
      <c r="S149" s="1052" t="s">
        <v>111</v>
      </c>
      <c r="T149" s="1053" t="s">
        <v>112</v>
      </c>
      <c r="U149" s="1155"/>
      <c r="V149" s="1155"/>
      <c r="W149" s="698" t="b">
        <f>ROW(Y149)&gt;ROW(Y$143)</f>
        <v>1</v>
      </c>
      <c r="X149" s="1155"/>
      <c r="Y149" s="110"/>
      <c r="Z149" s="1155"/>
      <c r="AA149" s="1669" t="s">
        <v>218</v>
      </c>
      <c r="AB149" s="1671" t="s">
        <v>224</v>
      </c>
      <c r="AC149" s="1672" t="s">
        <v>225</v>
      </c>
      <c r="AD149" s="1672"/>
      <c r="AE149" s="1159" t="s">
        <v>265</v>
      </c>
      <c r="AF149" s="365"/>
      <c r="AG149" s="1156"/>
      <c r="AH149" s="1156"/>
      <c r="AI149" s="1156"/>
      <c r="AJ149" s="1156"/>
      <c r="AK149" s="1156"/>
      <c r="AL149" s="1156"/>
      <c r="AM149" s="1156"/>
      <c r="AN149" s="1156"/>
      <c r="AO149" s="1061" t="str" cm="1">
        <f t="array" ref="AO149">AE149</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49" s="1054"/>
      <c r="AQ149" s="1054"/>
      <c r="AR149" s="1054"/>
      <c r="AS149" s="1054"/>
      <c r="AT149" s="1054"/>
      <c r="AU149" s="1054" t="s">
        <v>226</v>
      </c>
      <c r="AV149" s="1054"/>
      <c r="AW149" s="1054" t="s">
        <v>264</v>
      </c>
      <c r="AX149" s="1054" t="s">
        <v>261</v>
      </c>
      <c r="AY149" s="1054"/>
      <c r="AZ149" s="1054"/>
      <c r="BA149" s="1054"/>
      <c r="BB149" s="1054"/>
      <c r="BC149" s="1054"/>
      <c r="BD149" s="1054"/>
      <c r="BE149" s="1054"/>
    </row>
    <row r="150" spans="1:57" s="1178" customFormat="1" ht="19.5" customHeight="1">
      <c r="A150" s="1155"/>
      <c r="B150" s="769" t="b">
        <f t="shared" si="4"/>
        <v>1</v>
      </c>
      <c r="C150" s="1155"/>
      <c r="D150" s="1155"/>
      <c r="E150" s="676">
        <v>20.399999999999999</v>
      </c>
      <c r="F150" s="814"/>
      <c r="G150" s="1155"/>
      <c r="H150" s="1155"/>
      <c r="I150" s="1155"/>
      <c r="J150" s="1155"/>
      <c r="K150" s="1155"/>
      <c r="L150" s="1155"/>
      <c r="M150" s="1155"/>
      <c r="N150" s="1155"/>
      <c r="O150" s="1155"/>
      <c r="P150" s="1155"/>
      <c r="Q150" s="1155"/>
      <c r="R150" s="1155"/>
      <c r="S150" s="1052" t="s">
        <v>111</v>
      </c>
      <c r="T150" s="1053" t="s">
        <v>112</v>
      </c>
      <c r="U150" s="1155"/>
      <c r="V150" s="1155"/>
      <c r="W150" s="698" t="b" cm="1">
        <f t="array" ref="W150">W149</f>
        <v>1</v>
      </c>
      <c r="X150" s="1155"/>
      <c r="Y150" s="1155"/>
      <c r="Z150" s="1155"/>
      <c r="AA150" s="1669"/>
      <c r="AB150" s="1671"/>
      <c r="AC150" s="1672" t="s">
        <v>227</v>
      </c>
      <c r="AD150" s="1672"/>
      <c r="AE150" s="1159" t="s">
        <v>266</v>
      </c>
      <c r="AF150" s="365"/>
      <c r="AG150" s="1156"/>
      <c r="AH150" s="1156"/>
      <c r="AI150" s="1156"/>
      <c r="AJ150" s="1156"/>
      <c r="AK150" s="1156"/>
      <c r="AL150" s="1156"/>
      <c r="AM150" s="1156"/>
      <c r="AN150" s="1156"/>
      <c r="AO150" s="1061" t="str" cm="1">
        <f t="array" ref="AO150">AO149</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50" s="1054"/>
      <c r="AQ150" s="1054"/>
      <c r="AR150" s="1054"/>
      <c r="AS150" s="1054"/>
      <c r="AT150" s="1054"/>
      <c r="AU150" s="1054" t="s">
        <v>229</v>
      </c>
      <c r="AV150" s="1054"/>
      <c r="AW150" s="1054" t="s">
        <v>264</v>
      </c>
      <c r="AX150" s="1054" t="s">
        <v>261</v>
      </c>
      <c r="AY150" s="1054"/>
      <c r="AZ150" s="1054"/>
      <c r="BA150" s="1054"/>
      <c r="BB150" s="1054"/>
      <c r="BC150" s="1054"/>
      <c r="BD150" s="1054"/>
      <c r="BE150" s="1054"/>
    </row>
    <row r="151" spans="1:57" s="1179" customFormat="1" ht="19.5" customHeight="1">
      <c r="A151" s="1155"/>
      <c r="B151" s="769" t="b">
        <f t="shared" si="4"/>
        <v>1</v>
      </c>
      <c r="C151" s="1155"/>
      <c r="D151" s="1155"/>
      <c r="E151" s="676">
        <v>20.399999999999999</v>
      </c>
      <c r="F151" s="814"/>
      <c r="G151" s="1155"/>
      <c r="H151" s="1155"/>
      <c r="I151" s="1155"/>
      <c r="J151" s="1155"/>
      <c r="K151" s="1155"/>
      <c r="L151" s="1155"/>
      <c r="M151" s="1155"/>
      <c r="N151" s="1155"/>
      <c r="O151" s="1155"/>
      <c r="P151" s="1155"/>
      <c r="Q151" s="1155"/>
      <c r="R151" s="1155"/>
      <c r="S151" s="1052" t="s">
        <v>111</v>
      </c>
      <c r="T151" s="1053" t="s">
        <v>112</v>
      </c>
      <c r="U151" s="1155"/>
      <c r="V151" s="1155"/>
      <c r="W151" s="698" t="b" cm="1">
        <f t="array" ref="W151">W150</f>
        <v>1</v>
      </c>
      <c r="X151" s="1155"/>
      <c r="Y151" s="1155"/>
      <c r="Z151" s="1155"/>
      <c r="AA151" s="1669"/>
      <c r="AB151" s="1671"/>
      <c r="AC151" s="1672" t="s">
        <v>267</v>
      </c>
      <c r="AD151" s="1672"/>
      <c r="AE151" s="1159" t="s">
        <v>271</v>
      </c>
      <c r="AF151" s="365"/>
      <c r="AG151" s="1156"/>
      <c r="AH151" s="1156"/>
      <c r="AI151" s="1156"/>
      <c r="AJ151" s="1156"/>
      <c r="AK151" s="1156"/>
      <c r="AL151" s="1156"/>
      <c r="AM151" s="1156"/>
      <c r="AN151" s="1156"/>
      <c r="AO151" s="1061" t="str" cm="1">
        <f t="array" ref="AO151">AO150</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51" s="1054"/>
      <c r="AQ151" s="1054"/>
      <c r="AR151" s="1054"/>
      <c r="AS151" s="1054"/>
      <c r="AT151" s="1054"/>
      <c r="AU151" s="1054" t="s">
        <v>231</v>
      </c>
      <c r="AV151" s="1054"/>
      <c r="AW151" s="1054" t="s">
        <v>264</v>
      </c>
      <c r="AX151" s="1054" t="s">
        <v>261</v>
      </c>
      <c r="AY151" s="1054"/>
      <c r="AZ151" s="1054"/>
      <c r="BA151" s="1054"/>
      <c r="BB151" s="1054"/>
      <c r="BC151" s="1054"/>
      <c r="BD151" s="1054"/>
      <c r="BE151" s="1054"/>
    </row>
    <row r="152" spans="1:57" s="1180" customFormat="1" ht="19.5" customHeight="1">
      <c r="A152" s="1155"/>
      <c r="B152" s="769" t="b">
        <f t="shared" si="4"/>
        <v>1</v>
      </c>
      <c r="C152" s="1155"/>
      <c r="D152" s="1155"/>
      <c r="E152" s="676">
        <v>20.399999999999999</v>
      </c>
      <c r="F152" s="814"/>
      <c r="G152" s="1155"/>
      <c r="H152" s="1155"/>
      <c r="I152" s="1155"/>
      <c r="J152" s="1155"/>
      <c r="K152" s="1155"/>
      <c r="L152" s="1155"/>
      <c r="M152" s="1155"/>
      <c r="N152" s="1155"/>
      <c r="O152" s="1155"/>
      <c r="P152" s="1155"/>
      <c r="Q152" s="1155"/>
      <c r="R152" s="1155"/>
      <c r="S152" s="1052" t="s">
        <v>111</v>
      </c>
      <c r="T152" s="1053" t="s">
        <v>112</v>
      </c>
      <c r="U152" s="1155"/>
      <c r="V152" s="1155"/>
      <c r="W152" s="698" t="b" cm="1">
        <f t="array" ref="W152">W151</f>
        <v>1</v>
      </c>
      <c r="X152" s="1155"/>
      <c r="Y152" s="1155"/>
      <c r="Z152" s="1155"/>
      <c r="AA152" s="1669"/>
      <c r="AB152" s="1671"/>
      <c r="AC152" s="1672" t="s">
        <v>232</v>
      </c>
      <c r="AD152" s="1672"/>
      <c r="AE152" s="1161">
        <v>45642</v>
      </c>
      <c r="AF152" s="365"/>
      <c r="AG152" s="1156"/>
      <c r="AH152" s="1156"/>
      <c r="AI152" s="1156"/>
      <c r="AJ152" s="1156"/>
      <c r="AK152" s="1156"/>
      <c r="AL152" s="1156"/>
      <c r="AM152" s="1156"/>
      <c r="AN152" s="1156"/>
      <c r="AO152" s="1061" t="str" cm="1">
        <f t="array" ref="AO152">AO151</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52" s="1054"/>
      <c r="AQ152" s="1054"/>
      <c r="AR152" s="1054"/>
      <c r="AS152" s="1054"/>
      <c r="AT152" s="1054"/>
      <c r="AU152" s="1054" t="s">
        <v>233</v>
      </c>
      <c r="AV152" s="1054"/>
      <c r="AW152" s="1054" t="s">
        <v>264</v>
      </c>
      <c r="AX152" s="1054" t="s">
        <v>261</v>
      </c>
      <c r="AY152" s="1054"/>
      <c r="AZ152" s="1054"/>
      <c r="BA152" s="1054"/>
      <c r="BB152" s="1054"/>
      <c r="BC152" s="1054"/>
      <c r="BD152" s="1054"/>
      <c r="BE152" s="1054"/>
    </row>
    <row r="153" spans="1:57" s="1181" customFormat="1" ht="19.5" customHeight="1">
      <c r="A153" s="1155"/>
      <c r="B153" s="769" t="b">
        <f t="shared" si="4"/>
        <v>1</v>
      </c>
      <c r="C153" s="1155"/>
      <c r="D153" s="1155"/>
      <c r="E153" s="676">
        <v>20.399999999999999</v>
      </c>
      <c r="F153" s="814"/>
      <c r="G153" s="1155"/>
      <c r="H153" s="1155"/>
      <c r="I153" s="1155"/>
      <c r="J153" s="1155"/>
      <c r="K153" s="1155"/>
      <c r="L153" s="1155"/>
      <c r="M153" s="1155"/>
      <c r="N153" s="1155"/>
      <c r="O153" s="1155"/>
      <c r="P153" s="1155"/>
      <c r="Q153" s="1155"/>
      <c r="R153" s="1155"/>
      <c r="S153" s="1052" t="s">
        <v>111</v>
      </c>
      <c r="T153" s="1053" t="s">
        <v>112</v>
      </c>
      <c r="U153" s="1155"/>
      <c r="V153" s="1155"/>
      <c r="W153" s="698" t="b" cm="1">
        <f t="array" ref="W153">W152</f>
        <v>1</v>
      </c>
      <c r="X153" s="1155"/>
      <c r="Y153" s="1155"/>
      <c r="Z153" s="1155"/>
      <c r="AA153" s="1669"/>
      <c r="AB153" s="1671"/>
      <c r="AC153" s="1672" t="s">
        <v>269</v>
      </c>
      <c r="AD153" s="1672"/>
      <c r="AE153" s="1161">
        <v>45642</v>
      </c>
      <c r="AF153" s="365"/>
      <c r="AG153" s="1156"/>
      <c r="AH153" s="1156"/>
      <c r="AI153" s="1156"/>
      <c r="AJ153" s="1156"/>
      <c r="AK153" s="1156"/>
      <c r="AL153" s="1156"/>
      <c r="AM153" s="1156"/>
      <c r="AN153" s="1156"/>
      <c r="AO153" s="1061" t="str" cm="1">
        <f t="array" ref="AO153">AO152</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53" s="1054"/>
      <c r="AQ153" s="1054"/>
      <c r="AR153" s="1054"/>
      <c r="AS153" s="1054"/>
      <c r="AT153" s="1054"/>
      <c r="AU153" s="1054" t="s">
        <v>254</v>
      </c>
      <c r="AV153" s="1054"/>
      <c r="AW153" s="1054" t="s">
        <v>264</v>
      </c>
      <c r="AX153" s="1054" t="s">
        <v>261</v>
      </c>
      <c r="AY153" s="1054"/>
      <c r="AZ153" s="1054"/>
      <c r="BA153" s="1054"/>
      <c r="BB153" s="1054"/>
      <c r="BC153" s="1054"/>
      <c r="BD153" s="1054"/>
      <c r="BE153" s="1054"/>
    </row>
    <row r="154" spans="1:57" s="1182" customFormat="1" ht="19.5" customHeight="1">
      <c r="A154" s="1155"/>
      <c r="B154" s="769" t="b">
        <f t="shared" si="4"/>
        <v>1</v>
      </c>
      <c r="C154" s="1155"/>
      <c r="D154" s="1155"/>
      <c r="E154" s="676">
        <v>20.399999999999999</v>
      </c>
      <c r="F154" s="814"/>
      <c r="G154" s="1155"/>
      <c r="H154" s="1155"/>
      <c r="I154" s="1155"/>
      <c r="J154" s="1155"/>
      <c r="K154" s="1155"/>
      <c r="L154" s="1155"/>
      <c r="M154" s="1155"/>
      <c r="N154" s="1155"/>
      <c r="O154" s="1155"/>
      <c r="P154" s="1155"/>
      <c r="Q154" s="1155"/>
      <c r="R154" s="1155"/>
      <c r="S154" s="1052" t="s">
        <v>111</v>
      </c>
      <c r="T154" s="1053" t="s">
        <v>112</v>
      </c>
      <c r="U154" s="1155"/>
      <c r="V154" s="1155"/>
      <c r="W154" s="698" t="b" cm="1">
        <f t="array" ref="W154">W153</f>
        <v>1</v>
      </c>
      <c r="X154" s="1155"/>
      <c r="Y154" s="1155"/>
      <c r="Z154" s="1155"/>
      <c r="AA154" s="1669"/>
      <c r="AB154" s="1671"/>
      <c r="AC154" s="1672" t="s">
        <v>270</v>
      </c>
      <c r="AD154" s="1672"/>
      <c r="AE154" s="1161">
        <v>47848</v>
      </c>
      <c r="AF154" s="365"/>
      <c r="AG154" s="1156"/>
      <c r="AH154" s="1156"/>
      <c r="AI154" s="1156"/>
      <c r="AJ154" s="1156"/>
      <c r="AK154" s="1156"/>
      <c r="AL154" s="1156"/>
      <c r="AM154" s="1156"/>
      <c r="AN154" s="1156"/>
      <c r="AO154" s="1061" t="str" cm="1">
        <f t="array" ref="AO154">AO153</f>
        <v>Концессионное соглашение в отношении объектов теплоснабжения и горячего водоснабжения, находящихся в муниципальной собственности Тайгинского городского округа</v>
      </c>
      <c r="AP154" s="1054"/>
      <c r="AQ154" s="1054"/>
      <c r="AR154" s="1054"/>
      <c r="AS154" s="1054"/>
      <c r="AT154" s="1054"/>
      <c r="AU154" s="1054" t="s">
        <v>256</v>
      </c>
      <c r="AV154" s="1054"/>
      <c r="AW154" s="1054" t="s">
        <v>264</v>
      </c>
      <c r="AX154" s="1054" t="s">
        <v>261</v>
      </c>
      <c r="AY154" s="1054"/>
      <c r="AZ154" s="1054"/>
      <c r="BA154" s="1054"/>
      <c r="BB154" s="1054"/>
      <c r="BC154" s="1054"/>
      <c r="BD154" s="1054"/>
      <c r="BE154" s="1054"/>
    </row>
    <row r="155" spans="1:57" ht="14.65" customHeight="1">
      <c r="B155" s="769" t="b">
        <f t="shared" si="4"/>
        <v>1</v>
      </c>
      <c r="E155" s="676">
        <v>15</v>
      </c>
      <c r="F155" s="164" t="s">
        <v>262</v>
      </c>
      <c r="Y155" s="318" t="s">
        <v>237</v>
      </c>
      <c r="AB155" s="286"/>
      <c r="AC155" s="285"/>
      <c r="AD155" s="285"/>
      <c r="AE155" s="284" t="s">
        <v>238</v>
      </c>
      <c r="AF155" s="369"/>
      <c r="AG155" s="143"/>
    </row>
    <row r="156" spans="1:57" ht="19.899999999999999" customHeight="1">
      <c r="E156" s="676">
        <v>20.399999999999999</v>
      </c>
      <c r="S156" s="1052" t="s">
        <v>111</v>
      </c>
      <c r="T156" s="1053" t="s">
        <v>112</v>
      </c>
      <c r="AB156" s="1672" t="s">
        <v>272</v>
      </c>
      <c r="AC156" s="1672"/>
      <c r="AD156" s="1672"/>
      <c r="AE156" s="361"/>
      <c r="AF156" s="369"/>
      <c r="AG156" s="106" t="s">
        <v>273</v>
      </c>
      <c r="AO156" s="1054"/>
      <c r="AP156" s="1054"/>
      <c r="AQ156" s="1054"/>
      <c r="AR156" s="1054"/>
      <c r="AS156" s="1054"/>
      <c r="AT156" s="1054"/>
      <c r="AU156" s="1054"/>
      <c r="AV156" s="1054"/>
      <c r="AW156" s="1054"/>
      <c r="AX156" s="1054"/>
      <c r="AY156" s="1054"/>
      <c r="AZ156" s="1054"/>
      <c r="BA156" s="1054"/>
      <c r="BB156" s="1054"/>
      <c r="BC156" s="1054"/>
      <c r="BD156" s="1054"/>
      <c r="BE156" s="1054"/>
    </row>
    <row r="157" spans="1:57" ht="25.5" hidden="1" customHeight="1">
      <c r="E157" s="676">
        <v>0</v>
      </c>
      <c r="AB157" s="1672"/>
      <c r="AC157" s="1672"/>
      <c r="AD157" s="1672"/>
      <c r="AE157" s="407"/>
      <c r="AF157" s="374"/>
      <c r="AG157" s="106" t="s">
        <v>274</v>
      </c>
    </row>
    <row r="158" spans="1:57" ht="11.1" customHeight="1">
      <c r="E158" s="676">
        <v>11.3</v>
      </c>
      <c r="AE158" s="164" t="s">
        <v>243</v>
      </c>
      <c r="AF158" s="369"/>
    </row>
    <row r="159" spans="1:57" ht="19.899999999999999" customHeight="1">
      <c r="E159" s="676">
        <v>20.399999999999999</v>
      </c>
      <c r="S159" s="1052" t="s">
        <v>111</v>
      </c>
      <c r="T159" s="1053" t="s">
        <v>112</v>
      </c>
      <c r="AB159" s="1672" t="s">
        <v>275</v>
      </c>
      <c r="AC159" s="1672"/>
      <c r="AD159" s="134" t="s">
        <v>276</v>
      </c>
      <c r="AE159" s="361"/>
      <c r="AF159" s="369"/>
      <c r="AG159" s="106" t="s">
        <v>277</v>
      </c>
      <c r="AO159" s="1054"/>
      <c r="AP159" s="1054"/>
      <c r="AQ159" s="1054"/>
      <c r="AR159" s="1054"/>
      <c r="AS159" s="1054"/>
      <c r="AT159" s="1054"/>
      <c r="AU159" s="1054"/>
      <c r="AV159" s="1054"/>
      <c r="AW159" s="1054"/>
      <c r="AX159" s="1054"/>
      <c r="AY159" s="1054" t="s">
        <v>278</v>
      </c>
      <c r="AZ159" s="1054"/>
      <c r="BA159" s="1054"/>
      <c r="BB159" s="1054"/>
      <c r="BC159" s="1054"/>
      <c r="BD159" s="1054"/>
      <c r="BE159" s="1054"/>
    </row>
    <row r="160" spans="1:57" ht="19.899999999999999" customHeight="1">
      <c r="E160" s="676">
        <v>20.399999999999999</v>
      </c>
      <c r="S160" s="1052" t="s">
        <v>111</v>
      </c>
      <c r="T160" s="1053" t="s">
        <v>112</v>
      </c>
      <c r="AB160" s="1672"/>
      <c r="AC160" s="1672"/>
      <c r="AD160" s="135" t="s">
        <v>279</v>
      </c>
      <c r="AE160" s="361"/>
      <c r="AF160" s="369"/>
      <c r="AG160" s="106" t="s">
        <v>280</v>
      </c>
      <c r="AO160" s="1054"/>
      <c r="AP160" s="1054"/>
      <c r="AQ160" s="1054"/>
      <c r="AR160" s="1054"/>
      <c r="AS160" s="1054"/>
      <c r="AT160" s="1054"/>
      <c r="AU160" s="1054"/>
      <c r="AV160" s="1054"/>
      <c r="AW160" s="1054"/>
      <c r="AX160" s="1054"/>
      <c r="AY160" s="1054" t="s">
        <v>281</v>
      </c>
      <c r="AZ160" s="1054"/>
      <c r="BA160" s="1054"/>
      <c r="BB160" s="1054"/>
      <c r="BC160" s="1054"/>
      <c r="BD160" s="1054"/>
      <c r="BE160" s="1054"/>
    </row>
    <row r="161" spans="5:57" ht="19.899999999999999" customHeight="1">
      <c r="E161" s="676">
        <v>20.399999999999999</v>
      </c>
      <c r="S161" s="1052" t="s">
        <v>111</v>
      </c>
      <c r="T161" s="1053" t="s">
        <v>112</v>
      </c>
      <c r="AB161" s="1672"/>
      <c r="AC161" s="1672"/>
      <c r="AD161" s="135" t="s">
        <v>282</v>
      </c>
      <c r="AE161" s="361"/>
      <c r="AF161" s="369"/>
      <c r="AG161" s="106" t="s">
        <v>283</v>
      </c>
      <c r="AO161" s="1054"/>
      <c r="AP161" s="1054"/>
      <c r="AQ161" s="1054"/>
      <c r="AR161" s="1054"/>
      <c r="AS161" s="1054"/>
      <c r="AT161" s="1054"/>
      <c r="AU161" s="1054"/>
      <c r="AV161" s="1054"/>
      <c r="AW161" s="1054"/>
      <c r="AX161" s="1054"/>
      <c r="AY161" s="1054" t="s">
        <v>284</v>
      </c>
      <c r="AZ161" s="1054"/>
      <c r="BA161" s="1054"/>
      <c r="BB161" s="1054"/>
      <c r="BC161" s="1054"/>
      <c r="BD161" s="1054"/>
      <c r="BE161" s="1054"/>
    </row>
    <row r="162" spans="5:57" ht="19.899999999999999" customHeight="1">
      <c r="E162" s="676">
        <v>20.399999999999999</v>
      </c>
      <c r="S162" s="1052" t="s">
        <v>111</v>
      </c>
      <c r="T162" s="1053" t="s">
        <v>112</v>
      </c>
      <c r="AB162" s="1672"/>
      <c r="AC162" s="1672"/>
      <c r="AD162" s="134" t="s">
        <v>285</v>
      </c>
      <c r="AE162" s="361"/>
      <c r="AF162" s="369"/>
      <c r="AG162" s="106" t="s">
        <v>286</v>
      </c>
      <c r="AO162" s="1054"/>
      <c r="AP162" s="1054"/>
      <c r="AQ162" s="1054"/>
      <c r="AR162" s="1054"/>
      <c r="AS162" s="1054"/>
      <c r="AT162" s="1054"/>
      <c r="AU162" s="1054"/>
      <c r="AV162" s="1054"/>
      <c r="AW162" s="1054"/>
      <c r="AX162" s="1054"/>
      <c r="AY162" s="1054" t="s">
        <v>287</v>
      </c>
      <c r="AZ162" s="1054"/>
      <c r="BA162" s="1054"/>
      <c r="BB162" s="1054"/>
      <c r="BC162" s="1054"/>
      <c r="BD162" s="1054"/>
      <c r="BE162" s="1054"/>
    </row>
    <row r="163" spans="5:57" ht="11.1" customHeight="1">
      <c r="E163" s="676">
        <v>11.3</v>
      </c>
      <c r="AB163" s="317"/>
      <c r="AC163" s="317"/>
      <c r="AD163" s="317"/>
      <c r="AE163" s="318"/>
      <c r="AF163" s="369"/>
    </row>
    <row r="164" spans="5:57" ht="11.1" customHeight="1">
      <c r="E164" s="676">
        <v>11.3</v>
      </c>
      <c r="AB164" s="1685" t="s">
        <v>288</v>
      </c>
      <c r="AC164" s="1685"/>
      <c r="AD164" s="1685"/>
      <c r="AE164" s="1685"/>
      <c r="AF164" s="369"/>
    </row>
    <row r="165" spans="5:57" ht="14.65" customHeight="1">
      <c r="E165" s="676">
        <v>15</v>
      </c>
      <c r="AB165" s="1703" t="s">
        <v>289</v>
      </c>
      <c r="AC165" s="1703"/>
      <c r="AD165" s="1703"/>
      <c r="AE165" s="1703"/>
      <c r="AF165" s="395"/>
    </row>
    <row r="166" spans="5:57" ht="14.65" customHeight="1">
      <c r="E166" s="676">
        <v>15</v>
      </c>
      <c r="AB166" s="1703" t="s">
        <v>290</v>
      </c>
      <c r="AC166" s="1703"/>
      <c r="AD166" s="1703"/>
      <c r="AE166" s="1703"/>
      <c r="AF166" s="395"/>
    </row>
    <row r="167" spans="5:57" ht="14.65" customHeight="1">
      <c r="E167" s="676">
        <v>15</v>
      </c>
      <c r="AB167" s="1703" t="s">
        <v>291</v>
      </c>
      <c r="AC167" s="1703"/>
      <c r="AD167" s="1703"/>
      <c r="AE167" s="1703"/>
      <c r="AF167" s="395"/>
      <c r="AL167" s="1183"/>
    </row>
    <row r="168" spans="5:57" ht="16.899999999999999" customHeight="1">
      <c r="E168" s="676">
        <v>17.3</v>
      </c>
      <c r="AB168" s="1681" t="s">
        <v>292</v>
      </c>
      <c r="AC168" s="1681"/>
      <c r="AD168" s="1681"/>
      <c r="AE168" s="1681"/>
      <c r="AF168" s="133"/>
    </row>
    <row r="169" spans="5:57" ht="16.899999999999999" customHeight="1">
      <c r="E169" s="676">
        <v>17.3</v>
      </c>
      <c r="AB169" s="1677" t="s">
        <v>293</v>
      </c>
      <c r="AC169" s="1677"/>
      <c r="AD169" s="1677"/>
      <c r="AE169" s="1677"/>
      <c r="AF169" s="133"/>
    </row>
    <row r="170" spans="5:57" ht="29.25" customHeight="1">
      <c r="E170" s="676">
        <v>30</v>
      </c>
      <c r="AB170" s="1677" t="s">
        <v>294</v>
      </c>
      <c r="AC170" s="1677"/>
      <c r="AD170" s="1677"/>
      <c r="AE170" s="1677"/>
      <c r="AF170" s="133"/>
    </row>
    <row r="171" spans="5:57" ht="15.4" customHeight="1">
      <c r="E171" s="676">
        <v>15.8</v>
      </c>
      <c r="AB171" s="1677" t="s">
        <v>295</v>
      </c>
      <c r="AC171" s="1677"/>
      <c r="AD171" s="1677"/>
      <c r="AE171" s="1677"/>
      <c r="AF171" s="133"/>
    </row>
    <row r="172" spans="5:57" ht="55.5" customHeight="1">
      <c r="E172" s="676">
        <v>57</v>
      </c>
      <c r="AB172" s="1677" t="s">
        <v>296</v>
      </c>
      <c r="AC172" s="1677"/>
      <c r="AD172" s="1677"/>
      <c r="AE172" s="1677"/>
      <c r="AF172" s="133"/>
    </row>
    <row r="173" spans="5:57" ht="45.4" customHeight="1">
      <c r="E173" s="676">
        <v>46.5</v>
      </c>
      <c r="AB173" s="1677" t="s">
        <v>297</v>
      </c>
      <c r="AC173" s="1677"/>
      <c r="AD173" s="1677"/>
      <c r="AE173" s="1677"/>
      <c r="AF173" s="133"/>
    </row>
    <row r="174" spans="5:57" ht="27.2" customHeight="1">
      <c r="E174" s="676">
        <v>27.8</v>
      </c>
      <c r="AB174" s="1677" t="s">
        <v>298</v>
      </c>
      <c r="AC174" s="1677"/>
      <c r="AD174" s="1677"/>
      <c r="AE174" s="1677"/>
      <c r="AF174" s="133"/>
    </row>
    <row r="175" spans="5:57" ht="26.25" customHeight="1">
      <c r="E175" s="676">
        <v>27</v>
      </c>
      <c r="AB175" s="1677" t="s">
        <v>299</v>
      </c>
      <c r="AC175" s="1677"/>
      <c r="AD175" s="1677"/>
      <c r="AE175" s="1677"/>
      <c r="AF175" s="133"/>
    </row>
    <row r="176" spans="5:57" ht="14.65" customHeight="1">
      <c r="E176" s="676">
        <v>15</v>
      </c>
      <c r="AB176" s="1678" t="s">
        <v>300</v>
      </c>
      <c r="AC176" s="1678"/>
      <c r="AD176" s="1678"/>
      <c r="AE176" s="1678"/>
      <c r="AF176" s="133"/>
    </row>
    <row r="177" spans="2:57" ht="23.45" customHeight="1">
      <c r="E177" s="676">
        <v>24</v>
      </c>
      <c r="AB177" s="1677" t="s">
        <v>301</v>
      </c>
      <c r="AC177" s="1677"/>
      <c r="AD177" s="1677"/>
      <c r="AE177" s="1677"/>
      <c r="AF177" s="395"/>
    </row>
    <row r="178" spans="2:57" ht="17.649999999999999" customHeight="1">
      <c r="E178" s="676">
        <v>18</v>
      </c>
      <c r="AB178" s="1710" t="s">
        <v>302</v>
      </c>
      <c r="AC178" s="1711"/>
      <c r="AD178" s="1711"/>
      <c r="AE178" s="1712"/>
      <c r="AF178" s="395"/>
    </row>
    <row r="179" spans="2:57" ht="16.149999999999999" customHeight="1">
      <c r="E179" s="676">
        <v>16.5</v>
      </c>
      <c r="AB179" s="1678" t="s">
        <v>303</v>
      </c>
      <c r="AC179" s="1678"/>
      <c r="AD179" s="1678"/>
      <c r="AE179" s="1678"/>
      <c r="AF179" s="395"/>
    </row>
    <row r="180" spans="2:57" ht="40.35" customHeight="1">
      <c r="E180" s="676">
        <v>41.3</v>
      </c>
      <c r="AB180" s="1713"/>
      <c r="AC180" s="1713"/>
      <c r="AD180" s="1713"/>
      <c r="AE180" s="1713"/>
      <c r="AF180" s="395"/>
    </row>
    <row r="181" spans="2:57" ht="11.65" customHeight="1">
      <c r="E181" s="676">
        <v>12</v>
      </c>
      <c r="AD181" s="381" t="b">
        <f>COUNTIF(AE187:AE236,"Водоснабжение")-COUNTIF(AE187:AE236,"Транспортировка воды")&gt;0</f>
        <v>0</v>
      </c>
      <c r="AE181" s="381" t="b">
        <f>COUNTIF(AE187:AE236,"Водоотведение")-COUNTIF(AE187:AE236,"Транспортировка сточных вод")&gt;0</f>
        <v>0</v>
      </c>
      <c r="AF181" s="364" t="b">
        <f>COUNTIF(AE187:AE236,"Транспортировка воды")&gt;0</f>
        <v>0</v>
      </c>
      <c r="AG181" s="201" t="b">
        <f>COUNTIF(AE187:AE236,"Транспортировка сточных вод")&gt;0</f>
        <v>0</v>
      </c>
    </row>
    <row r="182" spans="2:57" ht="19.899999999999999" customHeight="1">
      <c r="E182" s="676">
        <v>20.399999999999999</v>
      </c>
      <c r="AB182" s="1679" t="s">
        <v>304</v>
      </c>
      <c r="AC182" s="1679"/>
      <c r="AD182" s="1679"/>
      <c r="AE182" s="1680"/>
      <c r="AF182" s="372"/>
      <c r="AG182" s="130"/>
      <c r="AH182" s="130"/>
      <c r="AI182" s="130"/>
      <c r="AJ182" s="130"/>
      <c r="AK182" s="130"/>
      <c r="AL182" s="140"/>
    </row>
    <row r="183" spans="2:57" ht="24" customHeight="1">
      <c r="E183" s="676">
        <v>24.6</v>
      </c>
      <c r="S183" s="1052" t="s">
        <v>186</v>
      </c>
      <c r="T183" s="1053" t="s">
        <v>187</v>
      </c>
      <c r="AB183" s="1718" t="s">
        <v>305</v>
      </c>
      <c r="AC183" s="1718"/>
      <c r="AD183" s="1718"/>
      <c r="AE183" s="709" t="s">
        <v>190</v>
      </c>
      <c r="AF183" s="374"/>
      <c r="AG183" s="130" t="s">
        <v>306</v>
      </c>
      <c r="AH183" s="130"/>
      <c r="AI183" s="130"/>
      <c r="AJ183" s="130"/>
      <c r="AK183" s="130"/>
      <c r="AL183" s="140"/>
      <c r="AO183" s="1054"/>
      <c r="AP183" s="1054"/>
      <c r="AQ183" s="1054"/>
      <c r="AR183" s="1054"/>
      <c r="AS183" s="1054"/>
      <c r="AT183" s="1054"/>
      <c r="AU183" s="1054"/>
      <c r="AV183" s="1054"/>
      <c r="AW183" s="1054"/>
      <c r="AX183" s="1054"/>
      <c r="AY183" s="1054"/>
      <c r="AZ183" s="1054" t="s">
        <v>307</v>
      </c>
      <c r="BA183" s="1054"/>
      <c r="BB183" s="1054"/>
      <c r="BC183" s="1054"/>
      <c r="BD183" s="1054"/>
      <c r="BE183" s="1054"/>
    </row>
    <row r="184" spans="2:57" ht="19.899999999999999" customHeight="1">
      <c r="B184" s="807" t="b">
        <f>FIRST_TIME_REG&lt;&gt;"да"</f>
        <v>1</v>
      </c>
      <c r="E184" s="676">
        <v>20.399999999999999</v>
      </c>
      <c r="S184" s="1052" t="s">
        <v>111</v>
      </c>
      <c r="T184" s="1053" t="s">
        <v>112</v>
      </c>
      <c r="AB184" s="1714" t="s">
        <v>308</v>
      </c>
      <c r="AC184" s="1715"/>
      <c r="AD184" s="710" t="s">
        <v>227</v>
      </c>
      <c r="AE184" s="394" t="s">
        <v>251</v>
      </c>
      <c r="AF184" s="369"/>
      <c r="AG184" s="130" t="s">
        <v>309</v>
      </c>
      <c r="AH184" s="130"/>
      <c r="AI184" s="130"/>
      <c r="AJ184" s="130"/>
      <c r="AK184" s="130"/>
      <c r="AL184" s="140"/>
      <c r="AO184" s="1054"/>
      <c r="AP184" s="1054"/>
      <c r="AQ184" s="1054"/>
      <c r="AR184" s="1054"/>
      <c r="AS184" s="1054"/>
      <c r="AT184" s="1054"/>
      <c r="AU184" s="1054" t="s">
        <v>229</v>
      </c>
      <c r="AV184" s="1054"/>
      <c r="AW184" s="1054"/>
      <c r="AX184" s="1054"/>
      <c r="AY184" s="1054"/>
      <c r="AZ184" s="1054" t="s">
        <v>307</v>
      </c>
      <c r="BA184" s="1054"/>
      <c r="BB184" s="1054"/>
      <c r="BC184" s="1054"/>
      <c r="BD184" s="1054"/>
      <c r="BE184" s="1054"/>
    </row>
    <row r="185" spans="2:57" ht="19.899999999999999" customHeight="1">
      <c r="B185" s="807" t="b">
        <f>FIRST_TIME_REG&lt;&gt;"да"</f>
        <v>1</v>
      </c>
      <c r="E185" s="676">
        <v>20.399999999999999</v>
      </c>
      <c r="S185" s="1052" t="s">
        <v>111</v>
      </c>
      <c r="T185" s="1053" t="s">
        <v>112</v>
      </c>
      <c r="AB185" s="1714"/>
      <c r="AC185" s="1715"/>
      <c r="AD185" s="382" t="s">
        <v>267</v>
      </c>
      <c r="AE185" s="361" t="s">
        <v>310</v>
      </c>
      <c r="AF185" s="369"/>
      <c r="AG185" s="106" t="s">
        <v>311</v>
      </c>
      <c r="AO185" s="1054"/>
      <c r="AP185" s="1054"/>
      <c r="AQ185" s="1054"/>
      <c r="AR185" s="1054"/>
      <c r="AS185" s="1054"/>
      <c r="AT185" s="1054"/>
      <c r="AU185" s="1054" t="s">
        <v>231</v>
      </c>
      <c r="AV185" s="1054"/>
      <c r="AW185" s="1054"/>
      <c r="AX185" s="1054"/>
      <c r="AY185" s="1054"/>
      <c r="AZ185" s="1054" t="s">
        <v>307</v>
      </c>
      <c r="BA185" s="1054"/>
      <c r="BB185" s="1054"/>
      <c r="BC185" s="1054"/>
      <c r="BD185" s="1054"/>
      <c r="BE185" s="1054"/>
    </row>
    <row r="186" spans="2:57" ht="19.899999999999999" customHeight="1">
      <c r="B186" s="807" t="b">
        <f>FIRST_TIME_REG&lt;&gt;"да"</f>
        <v>1</v>
      </c>
      <c r="E186" s="676">
        <v>20.399999999999999</v>
      </c>
      <c r="S186" s="1052" t="s">
        <v>111</v>
      </c>
      <c r="T186" s="1053" t="s">
        <v>112</v>
      </c>
      <c r="AB186" s="1716"/>
      <c r="AC186" s="1717"/>
      <c r="AD186" s="382" t="s">
        <v>232</v>
      </c>
      <c r="AE186" s="766">
        <v>45646</v>
      </c>
      <c r="AF186" s="369"/>
      <c r="AG186" s="106" t="s">
        <v>312</v>
      </c>
      <c r="AO186" s="1054"/>
      <c r="AP186" s="1054"/>
      <c r="AQ186" s="1054"/>
      <c r="AR186" s="1054"/>
      <c r="AS186" s="1054"/>
      <c r="AT186" s="1054"/>
      <c r="AU186" s="1054" t="s">
        <v>233</v>
      </c>
      <c r="AV186" s="1054"/>
      <c r="AW186" s="1054"/>
      <c r="AX186" s="1054"/>
      <c r="AY186" s="1054"/>
      <c r="AZ186" s="1054" t="s">
        <v>307</v>
      </c>
      <c r="BA186" s="1054"/>
      <c r="BB186" s="1054"/>
      <c r="BC186" s="1054"/>
      <c r="BD186" s="1054"/>
      <c r="BE186" s="1054"/>
    </row>
    <row r="187" spans="2:57" ht="14.65" customHeight="1">
      <c r="E187" s="676">
        <v>15</v>
      </c>
      <c r="S187" s="1052"/>
      <c r="T187" s="1053"/>
      <c r="AB187" s="1704" t="str">
        <f>"Заявление организации"</f>
        <v>Заявление организации</v>
      </c>
      <c r="AC187" s="1705"/>
      <c r="AD187" s="383"/>
      <c r="AE187" s="384"/>
      <c r="AF187" s="364"/>
      <c r="AG187" s="1156" t="s">
        <v>313</v>
      </c>
      <c r="AI187" s="187"/>
      <c r="AO187" s="1054"/>
      <c r="AP187" s="1054"/>
      <c r="AQ187" s="1054"/>
      <c r="AR187" s="1054" t="s">
        <v>314</v>
      </c>
      <c r="AS187" s="1054"/>
      <c r="AT187" s="1054"/>
      <c r="AU187" s="1054"/>
      <c r="AV187" s="1054"/>
      <c r="AW187" s="1054"/>
      <c r="AX187" s="1054"/>
      <c r="AY187" s="1054"/>
      <c r="AZ187" s="1054"/>
      <c r="BA187" s="1054"/>
      <c r="BB187" s="1054"/>
      <c r="BC187" s="1054"/>
      <c r="BD187" s="1054"/>
      <c r="BE187" s="1054"/>
    </row>
    <row r="188" spans="2:57" ht="19.899999999999999" hidden="1" customHeight="1">
      <c r="E188" s="676">
        <v>20.399999999999999</v>
      </c>
      <c r="G188" s="779" cm="1">
        <f t="array" ref="G188">Z188</f>
        <v>0</v>
      </c>
      <c r="S188" s="1052" t="s">
        <v>111</v>
      </c>
      <c r="T188" s="1053" t="s">
        <v>112</v>
      </c>
      <c r="W188" s="698" t="b">
        <f>Z188&gt;0</f>
        <v>0</v>
      </c>
      <c r="X188" s="318" t="s">
        <v>315</v>
      </c>
      <c r="Z188" s="1687">
        <v>0</v>
      </c>
      <c r="AB188" s="1706"/>
      <c r="AC188" s="1707"/>
      <c r="AD188" s="389" t="str">
        <f>"Тариф "&amp;Z188</f>
        <v>Тариф 0</v>
      </c>
      <c r="AE188" s="390" t="s">
        <v>316</v>
      </c>
      <c r="AF188" s="1688" t="s">
        <v>218</v>
      </c>
      <c r="AG188" s="106" t="str">
        <f>AD188&amp;" ("&amp;AE188&amp;") - "&amp;AE190&amp;IF(AE196="",""," ("&amp;AE196&amp;")")</f>
        <v xml:space="preserve">Тариф 0 (Теплоснабжение) - </v>
      </c>
      <c r="AH188" s="106" cm="1">
        <f t="array" ref="AH188">AE194</f>
        <v>0</v>
      </c>
      <c r="AI188" s="187" cm="1">
        <f t="array" ref="AI188">AE191</f>
        <v>0</v>
      </c>
      <c r="AJ188" s="106" cm="1">
        <f t="array" ref="AJ188">AE196</f>
        <v>0</v>
      </c>
      <c r="AK188" s="106" cm="1">
        <f t="array" ref="AK188">AE192</f>
        <v>0</v>
      </c>
      <c r="AL188" s="186" cm="1">
        <f t="array" ref="AL188">AE193</f>
        <v>0</v>
      </c>
      <c r="AM188" s="187" cm="1">
        <f t="array" ref="AM188">AE190</f>
        <v>0</v>
      </c>
      <c r="AN188" s="106" t="b">
        <f>IFERROR(FIND("производство тепловой энергии (мощности) в режиме комбинированной выработки",AL188)&gt;0,FALSE)</f>
        <v>0</v>
      </c>
      <c r="AO188" s="1061" cm="1">
        <f t="array" ref="AO188">AE189</f>
        <v>0</v>
      </c>
      <c r="AP188" s="1054"/>
      <c r="AQ188" s="1054"/>
      <c r="AR188" s="1054"/>
      <c r="AS188" s="1054"/>
      <c r="AT188" s="1054"/>
      <c r="AU188" s="1054"/>
      <c r="AV188" s="1054"/>
      <c r="AW188" s="1054"/>
      <c r="AX188" s="1054"/>
      <c r="AY188" s="1054"/>
      <c r="AZ188" s="1054"/>
      <c r="BA188" s="1054"/>
      <c r="BB188" s="1054"/>
      <c r="BC188" s="1054"/>
      <c r="BD188" s="1054" t="s">
        <v>317</v>
      </c>
      <c r="BE188" s="1054"/>
    </row>
    <row r="189" spans="2:57" ht="19.899999999999999" hidden="1" customHeight="1">
      <c r="E189" s="676">
        <v>20.399999999999999</v>
      </c>
      <c r="G189" s="779" cm="1">
        <f t="array" ref="G189">G188</f>
        <v>0</v>
      </c>
      <c r="N189" s="800" cm="1">
        <f t="array" ref="N189">AE189</f>
        <v>0</v>
      </c>
      <c r="S189" s="1052" t="s">
        <v>111</v>
      </c>
      <c r="T189" s="1053" t="s">
        <v>112</v>
      </c>
      <c r="W189" s="698" t="b" cm="1">
        <f t="array" ref="W189">W188</f>
        <v>0</v>
      </c>
      <c r="Z189" s="1687"/>
      <c r="AB189" s="1706"/>
      <c r="AC189" s="1707"/>
      <c r="AD189" s="385" t="s">
        <v>318</v>
      </c>
      <c r="AE189" s="380"/>
      <c r="AF189" s="1688"/>
      <c r="AO189" s="1061" cm="1">
        <f t="array" ref="AO189">AO188</f>
        <v>0</v>
      </c>
      <c r="AP189" s="1054"/>
      <c r="AQ189" s="1054"/>
      <c r="AR189" s="1054" t="s">
        <v>314</v>
      </c>
      <c r="AS189" s="1054"/>
      <c r="AT189" s="1054"/>
      <c r="AU189" s="1054"/>
      <c r="AV189" s="1054"/>
      <c r="AW189" s="1054"/>
      <c r="AX189" s="1054"/>
      <c r="AY189" s="1054"/>
      <c r="AZ189" s="1054"/>
      <c r="BA189" s="1054"/>
      <c r="BB189" s="1054"/>
      <c r="BC189" s="1054"/>
      <c r="BD189" s="1054"/>
      <c r="BE189" s="1054"/>
    </row>
    <row r="190" spans="2:57" ht="29.25" hidden="1" customHeight="1">
      <c r="E190" s="676">
        <v>30</v>
      </c>
      <c r="G190" s="779" cm="1">
        <f t="array" ref="G190">G189</f>
        <v>0</v>
      </c>
      <c r="S190" s="1052" t="s">
        <v>111</v>
      </c>
      <c r="T190" s="1053" t="s">
        <v>112</v>
      </c>
      <c r="W190" s="698" t="b" cm="1">
        <f t="array" ref="W190">W189</f>
        <v>0</v>
      </c>
      <c r="Z190" s="1687"/>
      <c r="AB190" s="1706"/>
      <c r="AC190" s="1707"/>
      <c r="AD190" s="385" t="s">
        <v>319</v>
      </c>
      <c r="AE190" s="4"/>
      <c r="AF190" s="1688"/>
      <c r="AO190" s="1061" cm="1">
        <f t="array" ref="AO190">AO189</f>
        <v>0</v>
      </c>
      <c r="AP190" s="1054"/>
      <c r="AQ190" s="1054"/>
      <c r="AR190" s="1054" t="s">
        <v>320</v>
      </c>
      <c r="AS190" s="1054"/>
      <c r="AT190" s="1054"/>
      <c r="AU190" s="1054"/>
      <c r="AV190" s="1054"/>
      <c r="AW190" s="1054"/>
      <c r="AX190" s="1054"/>
      <c r="AY190" s="1054"/>
      <c r="AZ190" s="1054"/>
      <c r="BA190" s="1054"/>
      <c r="BB190" s="1054"/>
      <c r="BC190" s="1054"/>
      <c r="BD190" s="1054"/>
      <c r="BE190" s="1054"/>
    </row>
    <row r="191" spans="2:57" ht="19.899999999999999" hidden="1" customHeight="1">
      <c r="E191" s="676">
        <v>20.399999999999999</v>
      </c>
      <c r="G191" s="779" cm="1">
        <f t="array" ref="G191">G190</f>
        <v>0</v>
      </c>
      <c r="S191" s="1052" t="s">
        <v>111</v>
      </c>
      <c r="T191" s="1053" t="s">
        <v>112</v>
      </c>
      <c r="W191" s="698" t="b" cm="1">
        <f t="array" ref="W191">W190</f>
        <v>0</v>
      </c>
      <c r="Z191" s="1687"/>
      <c r="AB191" s="1706"/>
      <c r="AC191" s="1707"/>
      <c r="AD191" s="385" t="s">
        <v>321</v>
      </c>
      <c r="AE191" s="5"/>
      <c r="AF191" s="1688"/>
      <c r="AO191" s="1061" cm="1">
        <f t="array" ref="AO191">AO190</f>
        <v>0</v>
      </c>
      <c r="AP191" s="1054"/>
      <c r="AQ191" s="1054"/>
      <c r="AR191" s="1054"/>
      <c r="AS191" s="1054"/>
      <c r="AT191" s="1054"/>
      <c r="AU191" s="1054"/>
      <c r="AV191" s="1054"/>
      <c r="AW191" s="1054"/>
      <c r="AX191" s="1054"/>
      <c r="AY191" s="1054"/>
      <c r="AZ191" s="1054"/>
      <c r="BA191" s="1054" t="s">
        <v>322</v>
      </c>
      <c r="BB191" s="1054"/>
      <c r="BC191" s="1054"/>
      <c r="BD191" s="1054"/>
      <c r="BE191" s="1054"/>
    </row>
    <row r="192" spans="2:57" ht="19.899999999999999" hidden="1" customHeight="1">
      <c r="E192" s="676">
        <v>20.399999999999999</v>
      </c>
      <c r="G192" s="779" cm="1">
        <f t="array" ref="G192">G191</f>
        <v>0</v>
      </c>
      <c r="S192" s="1052" t="s">
        <v>111</v>
      </c>
      <c r="T192" s="1053" t="s">
        <v>112</v>
      </c>
      <c r="W192" s="698" t="b" cm="1">
        <f t="array" ref="W192">W191</f>
        <v>0</v>
      </c>
      <c r="Z192" s="1687"/>
      <c r="AB192" s="1706"/>
      <c r="AC192" s="1707"/>
      <c r="AD192" s="385" t="s">
        <v>323</v>
      </c>
      <c r="AE192" s="6"/>
      <c r="AF192" s="1688"/>
      <c r="AO192" s="1061" cm="1">
        <f t="array" ref="AO192">AO191</f>
        <v>0</v>
      </c>
      <c r="AP192" s="1054"/>
      <c r="AQ192" s="1054"/>
      <c r="AR192" s="1054"/>
      <c r="AS192" s="1054"/>
      <c r="AT192" s="1054"/>
      <c r="AU192" s="1054"/>
      <c r="AV192" s="1054"/>
      <c r="AW192" s="1054"/>
      <c r="AX192" s="1054"/>
      <c r="AY192" s="1054"/>
      <c r="AZ192" s="1054"/>
      <c r="BA192" s="1054"/>
      <c r="BB192" s="1054" t="s">
        <v>324</v>
      </c>
      <c r="BC192" s="1054"/>
      <c r="BD192" s="1054"/>
      <c r="BE192" s="1054"/>
    </row>
    <row r="193" spans="1:57" ht="89.25" hidden="1" customHeight="1">
      <c r="E193" s="676">
        <v>91.5</v>
      </c>
      <c r="G193" s="779" cm="1">
        <f t="array" ref="G193">G192</f>
        <v>0</v>
      </c>
      <c r="S193" s="1052" t="s">
        <v>111</v>
      </c>
      <c r="T193" s="1053" t="s">
        <v>112</v>
      </c>
      <c r="W193" s="698" t="b" cm="1">
        <f t="array" ref="W193">W192</f>
        <v>0</v>
      </c>
      <c r="Z193" s="1687"/>
      <c r="AB193" s="1706"/>
      <c r="AC193" s="1707"/>
      <c r="AD193" s="385" t="s">
        <v>325</v>
      </c>
      <c r="AE193" s="922"/>
      <c r="AF193" s="1688"/>
      <c r="AO193" s="1061" cm="1">
        <f t="array" ref="AO193">AO192</f>
        <v>0</v>
      </c>
      <c r="AP193" s="1054"/>
      <c r="AQ193" s="1054"/>
      <c r="AR193" s="1054"/>
      <c r="AS193" s="1054"/>
      <c r="AT193" s="1054"/>
      <c r="AU193" s="1054"/>
      <c r="AV193" s="1054"/>
      <c r="AW193" s="1054"/>
      <c r="AX193" s="1054"/>
      <c r="AY193" s="1054"/>
      <c r="AZ193" s="1054"/>
      <c r="BA193" s="1054"/>
      <c r="BB193" s="1054"/>
      <c r="BC193" s="1054" t="s">
        <v>326</v>
      </c>
      <c r="BD193" s="1054"/>
      <c r="BE193" s="1054"/>
    </row>
    <row r="194" spans="1:57" ht="26.25" hidden="1" customHeight="1">
      <c r="E194" s="676">
        <v>0</v>
      </c>
      <c r="G194" s="779" cm="1">
        <f t="array" ref="G194">G193</f>
        <v>0</v>
      </c>
      <c r="S194" s="1052" t="s">
        <v>111</v>
      </c>
      <c r="T194" s="1053" t="s">
        <v>112</v>
      </c>
      <c r="W194" s="698" t="b">
        <v>0</v>
      </c>
      <c r="Z194" s="1687"/>
      <c r="AB194" s="1706"/>
      <c r="AC194" s="1707"/>
      <c r="AD194" s="134" t="s">
        <v>327</v>
      </c>
      <c r="AE194" s="407"/>
      <c r="AF194" s="1688"/>
      <c r="AO194" s="1061" cm="1">
        <f t="array" ref="AO194">AO193</f>
        <v>0</v>
      </c>
      <c r="AP194" s="1054"/>
      <c r="AQ194" s="1054"/>
      <c r="AR194" s="1054"/>
      <c r="AS194" s="1054"/>
      <c r="AT194" s="1054"/>
      <c r="AU194" s="1054"/>
      <c r="AV194" s="1054"/>
      <c r="AW194" s="1054"/>
      <c r="AX194" s="1054"/>
      <c r="AY194" s="1054"/>
      <c r="AZ194" s="1054"/>
      <c r="BA194" s="1054"/>
      <c r="BB194" s="1054"/>
      <c r="BC194" s="1054"/>
      <c r="BD194" s="1054"/>
      <c r="BE194" s="1054"/>
    </row>
    <row r="195" spans="1:57" ht="25.7" hidden="1" customHeight="1">
      <c r="E195" s="676">
        <v>26.3</v>
      </c>
      <c r="G195" s="779" cm="1">
        <f t="array" ref="G195">G194</f>
        <v>0</v>
      </c>
      <c r="S195" s="1052" t="s">
        <v>215</v>
      </c>
      <c r="T195" s="1053" t="s">
        <v>216</v>
      </c>
      <c r="W195" s="698" t="b" cm="1">
        <f t="array" ref="W195">W193</f>
        <v>0</v>
      </c>
      <c r="Z195" s="1687"/>
      <c r="AB195" s="1706"/>
      <c r="AC195" s="1707"/>
      <c r="AD195" s="134" t="s">
        <v>328</v>
      </c>
      <c r="AE195" s="400"/>
      <c r="AF195" s="1688"/>
      <c r="AO195" s="1061" cm="1">
        <f t="array" ref="AO195">AO194</f>
        <v>0</v>
      </c>
      <c r="AP195" s="1054"/>
      <c r="AQ195" s="1054"/>
      <c r="AR195" s="1054"/>
      <c r="AS195" s="1054"/>
      <c r="AT195" s="1054"/>
      <c r="AU195" s="1054"/>
      <c r="AV195" s="1054"/>
      <c r="AW195" s="1054"/>
      <c r="AX195" s="1054"/>
      <c r="AY195" s="1054"/>
      <c r="AZ195" s="1054"/>
      <c r="BA195" s="1054"/>
      <c r="BB195" s="1054"/>
      <c r="BC195" s="1054"/>
      <c r="BD195" s="1054"/>
      <c r="BE195" s="1054"/>
    </row>
    <row r="196" spans="1:57" ht="19.899999999999999" hidden="1" customHeight="1">
      <c r="E196" s="676">
        <v>20.399999999999999</v>
      </c>
      <c r="G196" s="779" cm="1">
        <f t="array" ref="G196">G195</f>
        <v>0</v>
      </c>
      <c r="S196" s="1052" t="s">
        <v>111</v>
      </c>
      <c r="T196" s="1053" t="s">
        <v>112</v>
      </c>
      <c r="W196" s="698" t="b" cm="1">
        <f t="array" ref="W196">W195</f>
        <v>0</v>
      </c>
      <c r="Z196" s="1687"/>
      <c r="AB196" s="1706"/>
      <c r="AC196" s="1707"/>
      <c r="AD196" s="134" t="s">
        <v>329</v>
      </c>
      <c r="AE196" s="922"/>
      <c r="AF196" s="1688"/>
      <c r="AO196" s="1061" cm="1">
        <f t="array" ref="AO196">AO195</f>
        <v>0</v>
      </c>
      <c r="AP196" s="1054"/>
      <c r="AQ196" s="1054"/>
      <c r="AR196" s="1054" t="s">
        <v>330</v>
      </c>
      <c r="AS196" s="1054"/>
      <c r="AT196" s="1054"/>
      <c r="AU196" s="1054"/>
      <c r="AV196" s="1054"/>
      <c r="AW196" s="1054"/>
      <c r="AX196" s="1054"/>
      <c r="AY196" s="1054"/>
      <c r="AZ196" s="1054"/>
      <c r="BA196" s="1054"/>
      <c r="BB196" s="1054"/>
      <c r="BC196" s="1054"/>
      <c r="BD196" s="1054"/>
      <c r="BE196" s="1054"/>
    </row>
    <row r="197" spans="1:57" ht="19.899999999999999" hidden="1" customHeight="1">
      <c r="B197" s="807" t="b">
        <f>org_declaration="Заявление организации"</f>
        <v>1</v>
      </c>
      <c r="E197" s="676">
        <v>20.399999999999999</v>
      </c>
      <c r="G197" s="779" cm="1">
        <f t="array" ref="G197">G196</f>
        <v>0</v>
      </c>
      <c r="S197" s="1052" t="s">
        <v>111</v>
      </c>
      <c r="T197" s="1053" t="s">
        <v>112</v>
      </c>
      <c r="W197" s="698" t="b" cm="1">
        <f t="array" ref="W197">W196</f>
        <v>0</v>
      </c>
      <c r="Z197" s="1687"/>
      <c r="AB197" s="1706"/>
      <c r="AC197" s="1707"/>
      <c r="AD197" s="385" t="s">
        <v>331</v>
      </c>
      <c r="AE197" s="7"/>
      <c r="AF197" s="1688"/>
      <c r="AO197" s="1061" cm="1">
        <f t="array" ref="AO197">AO196</f>
        <v>0</v>
      </c>
      <c r="AP197" s="1054"/>
      <c r="AQ197" s="1054"/>
      <c r="AR197" s="1054" t="s">
        <v>332</v>
      </c>
      <c r="AS197" s="1054"/>
      <c r="AT197" s="1054"/>
      <c r="AU197" s="1054"/>
      <c r="AV197" s="1054"/>
      <c r="AW197" s="1054"/>
      <c r="AX197" s="1054"/>
      <c r="AY197" s="1054"/>
      <c r="AZ197" s="1054"/>
      <c r="BA197" s="1054"/>
      <c r="BB197" s="1054"/>
      <c r="BC197" s="1054"/>
      <c r="BD197" s="1054"/>
      <c r="BE197" s="1054"/>
    </row>
    <row r="198" spans="1:57" ht="19.899999999999999" hidden="1" customHeight="1">
      <c r="B198" s="807" t="b">
        <f>org_declaration="Заявление организации"</f>
        <v>1</v>
      </c>
      <c r="E198" s="676">
        <v>20.399999999999999</v>
      </c>
      <c r="G198" s="779" cm="1">
        <f t="array" ref="G198">G197</f>
        <v>0</v>
      </c>
      <c r="S198" s="1052" t="s">
        <v>111</v>
      </c>
      <c r="T198" s="1053" t="s">
        <v>112</v>
      </c>
      <c r="W198" s="698" t="b" cm="1">
        <f t="array" ref="W198">W197</f>
        <v>0</v>
      </c>
      <c r="Z198" s="1687"/>
      <c r="AB198" s="1706"/>
      <c r="AC198" s="1707"/>
      <c r="AD198" s="385" t="s">
        <v>333</v>
      </c>
      <c r="AE198" s="8"/>
      <c r="AF198" s="1688"/>
      <c r="AO198" s="1061" cm="1">
        <f t="array" ref="AO198">AO197</f>
        <v>0</v>
      </c>
      <c r="AP198" s="1054"/>
      <c r="AQ198" s="1054"/>
      <c r="AR198" s="1054" t="s">
        <v>334</v>
      </c>
      <c r="AS198" s="1054"/>
      <c r="AT198" s="1054"/>
      <c r="AU198" s="1054"/>
      <c r="AV198" s="1054"/>
      <c r="AW198" s="1054"/>
      <c r="AX198" s="1054"/>
      <c r="AY198" s="1054"/>
      <c r="AZ198" s="1054"/>
      <c r="BA198" s="1054"/>
      <c r="BB198" s="1054"/>
      <c r="BC198" s="1054"/>
      <c r="BD198" s="1054"/>
      <c r="BE198" s="1054"/>
    </row>
    <row r="199" spans="1:57" ht="19.899999999999999" hidden="1" customHeight="1">
      <c r="B199" s="807" t="b">
        <f>org_declaration="Заявление организации"</f>
        <v>1</v>
      </c>
      <c r="E199" s="676">
        <v>20.399999999999999</v>
      </c>
      <c r="G199" s="779" cm="1">
        <f t="array" ref="G199">G198</f>
        <v>0</v>
      </c>
      <c r="S199" s="1052" t="s">
        <v>111</v>
      </c>
      <c r="T199" s="1053" t="s">
        <v>112</v>
      </c>
      <c r="W199" s="698" t="b" cm="1">
        <f t="array" ref="W199">W198</f>
        <v>0</v>
      </c>
      <c r="Z199" s="1687"/>
      <c r="AB199" s="1706"/>
      <c r="AC199" s="1707"/>
      <c r="AD199" s="385" t="s">
        <v>335</v>
      </c>
      <c r="AE199" s="7"/>
      <c r="AF199" s="1688"/>
      <c r="AO199" s="1061" cm="1">
        <f t="array" ref="AO199">AO198</f>
        <v>0</v>
      </c>
      <c r="AP199" s="1054"/>
      <c r="AQ199" s="1054"/>
      <c r="AR199" s="1054" t="s">
        <v>336</v>
      </c>
      <c r="AS199" s="1054"/>
      <c r="AT199" s="1054"/>
      <c r="AU199" s="1054"/>
      <c r="AV199" s="1054"/>
      <c r="AW199" s="1054"/>
      <c r="AX199" s="1054"/>
      <c r="AY199" s="1054"/>
      <c r="AZ199" s="1054"/>
      <c r="BA199" s="1054"/>
      <c r="BB199" s="1054"/>
      <c r="BC199" s="1054"/>
      <c r="BD199" s="1054"/>
      <c r="BE199" s="1054"/>
    </row>
    <row r="200" spans="1:57" ht="19.899999999999999" hidden="1" customHeight="1">
      <c r="B200" s="807" t="b">
        <f>org_declaration="Заявление организации"</f>
        <v>1</v>
      </c>
      <c r="E200" s="676">
        <v>20.399999999999999</v>
      </c>
      <c r="G200" s="779" cm="1">
        <f t="array" ref="G200">G199</f>
        <v>0</v>
      </c>
      <c r="S200" s="1052" t="s">
        <v>111</v>
      </c>
      <c r="T200" s="1053" t="s">
        <v>112</v>
      </c>
      <c r="W200" s="698" t="b" cm="1">
        <f t="array" ref="W200">W199</f>
        <v>0</v>
      </c>
      <c r="Z200" s="1687"/>
      <c r="AB200" s="1706"/>
      <c r="AC200" s="1707"/>
      <c r="AD200" s="385" t="s">
        <v>337</v>
      </c>
      <c r="AE200" s="765">
        <f>IF(AE$24="","",DATE(AE$24,1,1))</f>
        <v>46023</v>
      </c>
      <c r="AF200" s="1688"/>
      <c r="AO200" s="1061" cm="1">
        <f t="array" ref="AO200">AO199</f>
        <v>0</v>
      </c>
      <c r="AP200" s="1054"/>
      <c r="AQ200" s="1054"/>
      <c r="AR200" s="1054"/>
      <c r="AS200" s="1054"/>
      <c r="AT200" s="1054"/>
      <c r="AU200" s="1054"/>
      <c r="AV200" s="1054"/>
      <c r="AW200" s="1054"/>
      <c r="AX200" s="1054"/>
      <c r="AY200" s="1054"/>
      <c r="AZ200" s="1054" t="s">
        <v>338</v>
      </c>
      <c r="BA200" s="1054"/>
      <c r="BB200" s="1054"/>
      <c r="BC200" s="1054"/>
      <c r="BD200" s="1054"/>
      <c r="BE200" s="1054"/>
    </row>
    <row r="201" spans="1:57" ht="19.899999999999999" hidden="1" customHeight="1">
      <c r="B201" s="807" t="b">
        <f>org_declaration="Заявление организации"</f>
        <v>1</v>
      </c>
      <c r="E201" s="676">
        <v>20.399999999999999</v>
      </c>
      <c r="G201" s="779" cm="1">
        <f t="array" ref="G201">G199</f>
        <v>0</v>
      </c>
      <c r="S201" s="1052" t="s">
        <v>111</v>
      </c>
      <c r="T201" s="1053" t="s">
        <v>112</v>
      </c>
      <c r="W201" s="698" t="b" cm="1">
        <f t="array" ref="W201">W199</f>
        <v>0</v>
      </c>
      <c r="Z201" s="1687"/>
      <c r="AB201" s="1706"/>
      <c r="AC201" s="1707"/>
      <c r="AD201" s="385" t="s">
        <v>339</v>
      </c>
      <c r="AE201" s="9" t="str" cm="1">
        <f t="array" ref="AE201">IF(method_reg="","",method_reg)</f>
        <v>Метод индексации</v>
      </c>
      <c r="AF201" s="1688"/>
      <c r="AO201" s="1061" cm="1">
        <f t="array" ref="AO201">AO200</f>
        <v>0</v>
      </c>
      <c r="AP201" s="1054"/>
      <c r="AQ201" s="1054"/>
      <c r="AR201" s="1054" t="s">
        <v>340</v>
      </c>
      <c r="AS201" s="1054"/>
      <c r="AT201" s="1054"/>
      <c r="AU201" s="1054"/>
      <c r="AV201" s="1054"/>
      <c r="AW201" s="1054"/>
      <c r="AX201" s="1054"/>
      <c r="AY201" s="1054"/>
      <c r="AZ201" s="1054"/>
      <c r="BA201" s="1054"/>
      <c r="BB201" s="1054"/>
      <c r="BC201" s="1054"/>
      <c r="BD201" s="1054"/>
      <c r="BE201" s="1054"/>
    </row>
    <row r="202" spans="1:57" ht="22.15" hidden="1" customHeight="1">
      <c r="B202" s="807" t="b">
        <f>AND(org_declaration="Заявление организации",AE201&lt;&gt;"Метод экономически обоснованных расходов")</f>
        <v>1</v>
      </c>
      <c r="E202" s="676">
        <v>22.8</v>
      </c>
      <c r="G202" s="779" cm="1">
        <f t="array" ref="G202">G201</f>
        <v>0</v>
      </c>
      <c r="S202" s="1052" t="s">
        <v>119</v>
      </c>
      <c r="T202" s="1053" t="s">
        <v>120</v>
      </c>
      <c r="W202" s="698" t="b" cm="1">
        <f t="array" ref="W202">W201</f>
        <v>0</v>
      </c>
      <c r="Z202" s="1687"/>
      <c r="AB202" s="1706"/>
      <c r="AC202" s="1707"/>
      <c r="AD202" s="134" t="str">
        <f>IF(OR(AE201="экономически обоснованных расходов (затрат)",AE201="сравнения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2" s="10" cm="1">
        <f t="array" ref="AE202">IF(first_year="","",first_year)</f>
        <v>2021</v>
      </c>
      <c r="AF202" s="1688"/>
      <c r="AO202" s="1061" cm="1">
        <f t="array" ref="AO202">AO201</f>
        <v>0</v>
      </c>
      <c r="AP202" s="1054"/>
      <c r="AQ202" s="1054"/>
      <c r="AR202" s="1054" t="s">
        <v>340</v>
      </c>
      <c r="AS202" s="1054" t="s">
        <v>124</v>
      </c>
      <c r="AT202" s="1054"/>
      <c r="AU202" s="1054"/>
      <c r="AV202" s="1054"/>
      <c r="AW202" s="1054"/>
      <c r="AX202" s="1054"/>
      <c r="AY202" s="1054"/>
      <c r="AZ202" s="1054"/>
      <c r="BA202" s="1054"/>
      <c r="BB202" s="1054"/>
      <c r="BC202" s="1054"/>
      <c r="BD202" s="1054"/>
      <c r="BE202" s="1054"/>
    </row>
    <row r="203" spans="1:57" ht="19.899999999999999" hidden="1" customHeight="1">
      <c r="B203" s="807" t="b">
        <f>AND(org_declaration="Заявление организации",AE201&lt;&gt;"Метод экономически обоснованных расходов")</f>
        <v>1</v>
      </c>
      <c r="E203" s="676">
        <v>20.399999999999999</v>
      </c>
      <c r="G203" s="779" cm="1">
        <f t="array" ref="G203">G202</f>
        <v>0</v>
      </c>
      <c r="S203" s="1052" t="s">
        <v>125</v>
      </c>
      <c r="T203" s="1053" t="s">
        <v>126</v>
      </c>
      <c r="W203" s="698" t="b" cm="1">
        <f t="array" ref="W203">W202</f>
        <v>0</v>
      </c>
      <c r="Z203" s="1687"/>
      <c r="AB203" s="1706"/>
      <c r="AC203" s="1707"/>
      <c r="AD203" s="385" t="s">
        <v>127</v>
      </c>
      <c r="AE203" s="10" cm="1">
        <f t="array" ref="AE203">IF(PERIOD_LENGTH="","",PERIOD_LENGTH)</f>
        <v>10</v>
      </c>
      <c r="AF203" s="1688"/>
      <c r="AO203" s="1061" cm="1">
        <f t="array" ref="AO203">AO202</f>
        <v>0</v>
      </c>
      <c r="AP203" s="1054"/>
      <c r="AQ203" s="1054"/>
      <c r="AR203" s="1054" t="s">
        <v>340</v>
      </c>
      <c r="AS203" s="1054" t="s">
        <v>128</v>
      </c>
      <c r="AT203" s="1054"/>
      <c r="AU203" s="1054"/>
      <c r="AV203" s="1054"/>
      <c r="AW203" s="1054"/>
      <c r="AX203" s="1054"/>
      <c r="AY203" s="1054"/>
      <c r="AZ203" s="1054"/>
      <c r="BA203" s="1054"/>
      <c r="BB203" s="1054"/>
      <c r="BC203" s="1054"/>
      <c r="BD203" s="1054"/>
      <c r="BE203" s="1054"/>
    </row>
    <row r="204" spans="1:57" s="1184" customFormat="1" ht="19.5" customHeight="1">
      <c r="A204" s="1155"/>
      <c r="B204" s="783"/>
      <c r="C204" s="1155"/>
      <c r="D204" s="1155"/>
      <c r="E204" s="676">
        <v>20.399999999999999</v>
      </c>
      <c r="F204" s="814"/>
      <c r="G204" s="779" t="str" cm="1">
        <f t="array" ref="G204">Z204</f>
        <v>1</v>
      </c>
      <c r="H204" s="1155"/>
      <c r="I204" s="1155"/>
      <c r="J204" s="1155"/>
      <c r="K204" s="1155"/>
      <c r="L204" s="1155"/>
      <c r="M204" s="1155"/>
      <c r="N204" s="1155"/>
      <c r="O204" s="1155"/>
      <c r="P204" s="1155"/>
      <c r="Q204" s="1155"/>
      <c r="R204" s="1155"/>
      <c r="S204" s="1052" t="s">
        <v>111</v>
      </c>
      <c r="T204" s="1053" t="s">
        <v>112</v>
      </c>
      <c r="U204" s="1155"/>
      <c r="V204" s="1155"/>
      <c r="W204" s="698" t="b">
        <f>Z204&gt;0</f>
        <v>1</v>
      </c>
      <c r="X204" s="318"/>
      <c r="Y204" s="1155"/>
      <c r="Z204" s="1687" t="s">
        <v>341</v>
      </c>
      <c r="AA204" s="699"/>
      <c r="AB204" s="1708"/>
      <c r="AC204" s="1709"/>
      <c r="AD204" s="389" t="str">
        <f>"Тариф "&amp;Z204</f>
        <v>Тариф 1</v>
      </c>
      <c r="AE204" s="390" t="s">
        <v>316</v>
      </c>
      <c r="AF204" s="1688" t="s">
        <v>218</v>
      </c>
      <c r="AG204" s="106" t="str">
        <f>AD204&amp;" ("&amp;AE204&amp;") - "&amp;AE206&amp;IF(AE212="",""," ("&amp;AE212&amp;")")</f>
        <v>Тариф 1 (Теплоснабжение) - Тариф на тепловую энергию (мощность), поставляемую потребителям (Не определено)</v>
      </c>
      <c r="AH204" s="106" cm="1">
        <f t="array" ref="AH204">AE210</f>
        <v>0</v>
      </c>
      <c r="AI204" s="187" t="str" cm="1">
        <f t="array" ref="AI204">AE207</f>
        <v>вода</v>
      </c>
      <c r="AJ204" s="106" t="str" cm="1">
        <f t="array" ref="AJ204">AE212</f>
        <v>Не определено</v>
      </c>
      <c r="AK204" s="106" t="str" cm="1">
        <f t="array" ref="AK204">AE208</f>
        <v>одноставочный</v>
      </c>
      <c r="AL204" s="186" t="str" cm="1">
        <f t="array" ref="AL204">AE209</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204" s="187" t="str" cm="1">
        <f t="array" ref="AM204">AE206</f>
        <v>Тариф на тепловую энергию (мощность), поставляемую потребителям</v>
      </c>
      <c r="AN204" s="106" t="b">
        <f>IFERROR(FIND("производство тепловой энергии (мощности) в режиме комбинированной выработки",AL204)&gt;0,FALSE)</f>
        <v>0</v>
      </c>
      <c r="AO204" s="1061" t="str" cm="1">
        <f t="array" ref="AO204">AE205</f>
        <v>ТЭ.42.26322895.0003</v>
      </c>
      <c r="AP204" s="1054"/>
      <c r="AQ204" s="1054"/>
      <c r="AR204" s="1054"/>
      <c r="AS204" s="1054"/>
      <c r="AT204" s="1054"/>
      <c r="AU204" s="1054"/>
      <c r="AV204" s="1054"/>
      <c r="AW204" s="1054"/>
      <c r="AX204" s="1054"/>
      <c r="AY204" s="1054"/>
      <c r="AZ204" s="1054"/>
      <c r="BA204" s="1054"/>
      <c r="BB204" s="1054"/>
      <c r="BC204" s="1054"/>
      <c r="BD204" s="1054" t="s">
        <v>317</v>
      </c>
      <c r="BE204" s="1054"/>
    </row>
    <row r="205" spans="1:57" s="1185" customFormat="1" ht="19.5" customHeight="1">
      <c r="A205" s="1155"/>
      <c r="B205" s="783"/>
      <c r="C205" s="1155"/>
      <c r="D205" s="1155"/>
      <c r="E205" s="676">
        <v>20.399999999999999</v>
      </c>
      <c r="F205" s="814"/>
      <c r="G205" s="779" t="str" cm="1">
        <f t="array" ref="G205">G204</f>
        <v>1</v>
      </c>
      <c r="H205" s="1155"/>
      <c r="I205" s="1155"/>
      <c r="J205" s="1155"/>
      <c r="K205" s="1155"/>
      <c r="L205" s="1155"/>
      <c r="M205" s="1155"/>
      <c r="N205" s="800" t="str" cm="1">
        <f t="array" ref="N205">AE205</f>
        <v>ТЭ.42.26322895.0003</v>
      </c>
      <c r="O205" s="1155"/>
      <c r="P205" s="1155"/>
      <c r="Q205" s="1155"/>
      <c r="R205" s="1155"/>
      <c r="S205" s="1052" t="s">
        <v>111</v>
      </c>
      <c r="T205" s="1053" t="s">
        <v>112</v>
      </c>
      <c r="U205" s="1155"/>
      <c r="V205" s="1155"/>
      <c r="W205" s="698" t="b" cm="1">
        <f t="array" ref="W205">W204</f>
        <v>1</v>
      </c>
      <c r="X205" s="1155"/>
      <c r="Y205" s="1155"/>
      <c r="Z205" s="1687"/>
      <c r="AA205" s="699"/>
      <c r="AB205" s="1708"/>
      <c r="AC205" s="1709"/>
      <c r="AD205" s="385" t="s">
        <v>318</v>
      </c>
      <c r="AE205" s="380" t="s">
        <v>342</v>
      </c>
      <c r="AF205" s="1688"/>
      <c r="AG205" s="1156"/>
      <c r="AH205" s="1156"/>
      <c r="AI205" s="1156"/>
      <c r="AJ205" s="1156"/>
      <c r="AK205" s="1156"/>
      <c r="AL205" s="1156"/>
      <c r="AM205" s="1156"/>
      <c r="AN205" s="1156"/>
      <c r="AO205" s="1061" t="str" cm="1">
        <f t="array" ref="AO205">AO204</f>
        <v>ТЭ.42.26322895.0003</v>
      </c>
      <c r="AP205" s="1054"/>
      <c r="AQ205" s="1054"/>
      <c r="AR205" s="1054" t="s">
        <v>314</v>
      </c>
      <c r="AS205" s="1054"/>
      <c r="AT205" s="1054"/>
      <c r="AU205" s="1054"/>
      <c r="AV205" s="1054"/>
      <c r="AW205" s="1054"/>
      <c r="AX205" s="1054"/>
      <c r="AY205" s="1054"/>
      <c r="AZ205" s="1054"/>
      <c r="BA205" s="1054"/>
      <c r="BB205" s="1054"/>
      <c r="BC205" s="1054"/>
      <c r="BD205" s="1054"/>
      <c r="BE205" s="1054"/>
    </row>
    <row r="206" spans="1:57" s="1186" customFormat="1" ht="29.25" customHeight="1">
      <c r="A206" s="1155"/>
      <c r="B206" s="783"/>
      <c r="C206" s="1155"/>
      <c r="D206" s="1155"/>
      <c r="E206" s="676">
        <v>30</v>
      </c>
      <c r="F206" s="814"/>
      <c r="G206" s="779" t="str" cm="1">
        <f t="array" ref="G206">G205</f>
        <v>1</v>
      </c>
      <c r="H206" s="1155"/>
      <c r="I206" s="1155"/>
      <c r="J206" s="1155"/>
      <c r="K206" s="1155"/>
      <c r="L206" s="1155"/>
      <c r="M206" s="1155"/>
      <c r="N206" s="1155"/>
      <c r="O206" s="1155"/>
      <c r="P206" s="1155"/>
      <c r="Q206" s="1155"/>
      <c r="R206" s="1155"/>
      <c r="S206" s="1052" t="s">
        <v>111</v>
      </c>
      <c r="T206" s="1053" t="s">
        <v>112</v>
      </c>
      <c r="U206" s="1155"/>
      <c r="V206" s="1155"/>
      <c r="W206" s="698" t="b" cm="1">
        <f t="array" ref="W206">W205</f>
        <v>1</v>
      </c>
      <c r="X206" s="1155"/>
      <c r="Y206" s="1155"/>
      <c r="Z206" s="1687"/>
      <c r="AA206" s="699"/>
      <c r="AB206" s="1708"/>
      <c r="AC206" s="1709"/>
      <c r="AD206" s="385" t="s">
        <v>319</v>
      </c>
      <c r="AE206" s="1187" t="s">
        <v>343</v>
      </c>
      <c r="AF206" s="1688"/>
      <c r="AG206" s="1156"/>
      <c r="AH206" s="1156"/>
      <c r="AI206" s="1156"/>
      <c r="AJ206" s="1156"/>
      <c r="AK206" s="1156"/>
      <c r="AL206" s="1156"/>
      <c r="AM206" s="1156"/>
      <c r="AN206" s="1156"/>
      <c r="AO206" s="1061" t="str" cm="1">
        <f t="array" ref="AO206">AO205</f>
        <v>ТЭ.42.26322895.0003</v>
      </c>
      <c r="AP206" s="1054"/>
      <c r="AQ206" s="1054"/>
      <c r="AR206" s="1054" t="s">
        <v>320</v>
      </c>
      <c r="AS206" s="1054"/>
      <c r="AT206" s="1054"/>
      <c r="AU206" s="1054"/>
      <c r="AV206" s="1054"/>
      <c r="AW206" s="1054"/>
      <c r="AX206" s="1054"/>
      <c r="AY206" s="1054"/>
      <c r="AZ206" s="1054"/>
      <c r="BA206" s="1054"/>
      <c r="BB206" s="1054"/>
      <c r="BC206" s="1054"/>
      <c r="BD206" s="1054"/>
      <c r="BE206" s="1054"/>
    </row>
    <row r="207" spans="1:57" s="1188" customFormat="1" ht="19.5" customHeight="1">
      <c r="A207" s="1155"/>
      <c r="B207" s="783"/>
      <c r="C207" s="1155"/>
      <c r="D207" s="1155"/>
      <c r="E207" s="676">
        <v>20.399999999999999</v>
      </c>
      <c r="F207" s="814"/>
      <c r="G207" s="779" t="str" cm="1">
        <f t="array" ref="G207">G206</f>
        <v>1</v>
      </c>
      <c r="H207" s="1155"/>
      <c r="I207" s="1155"/>
      <c r="J207" s="1155"/>
      <c r="K207" s="1155"/>
      <c r="L207" s="1155"/>
      <c r="M207" s="1155"/>
      <c r="N207" s="1155"/>
      <c r="O207" s="1155"/>
      <c r="P207" s="1155"/>
      <c r="Q207" s="1155"/>
      <c r="R207" s="1155"/>
      <c r="S207" s="1052" t="s">
        <v>111</v>
      </c>
      <c r="T207" s="1053" t="s">
        <v>112</v>
      </c>
      <c r="U207" s="1155"/>
      <c r="V207" s="1155"/>
      <c r="W207" s="698" t="b" cm="1">
        <f t="array" ref="W207">W206</f>
        <v>1</v>
      </c>
      <c r="X207" s="1155"/>
      <c r="Y207" s="1155"/>
      <c r="Z207" s="1687"/>
      <c r="AA207" s="699"/>
      <c r="AB207" s="1708"/>
      <c r="AC207" s="1709"/>
      <c r="AD207" s="385" t="s">
        <v>321</v>
      </c>
      <c r="AE207" s="1189" t="s">
        <v>344</v>
      </c>
      <c r="AF207" s="1688"/>
      <c r="AG207" s="1156"/>
      <c r="AH207" s="1156"/>
      <c r="AI207" s="1156"/>
      <c r="AJ207" s="1156"/>
      <c r="AK207" s="1156"/>
      <c r="AL207" s="1156"/>
      <c r="AM207" s="1156"/>
      <c r="AN207" s="1156"/>
      <c r="AO207" s="1061" t="str" cm="1">
        <f t="array" ref="AO207">AO206</f>
        <v>ТЭ.42.26322895.0003</v>
      </c>
      <c r="AP207" s="1054"/>
      <c r="AQ207" s="1054"/>
      <c r="AR207" s="1054"/>
      <c r="AS207" s="1054"/>
      <c r="AT207" s="1054"/>
      <c r="AU207" s="1054"/>
      <c r="AV207" s="1054"/>
      <c r="AW207" s="1054"/>
      <c r="AX207" s="1054"/>
      <c r="AY207" s="1054"/>
      <c r="AZ207" s="1054"/>
      <c r="BA207" s="1054" t="s">
        <v>322</v>
      </c>
      <c r="BB207" s="1054"/>
      <c r="BC207" s="1054"/>
      <c r="BD207" s="1054"/>
      <c r="BE207" s="1054"/>
    </row>
    <row r="208" spans="1:57" s="1190" customFormat="1" ht="19.5" customHeight="1">
      <c r="A208" s="1155"/>
      <c r="B208" s="783"/>
      <c r="C208" s="1155"/>
      <c r="D208" s="1155"/>
      <c r="E208" s="676">
        <v>20.399999999999999</v>
      </c>
      <c r="F208" s="814"/>
      <c r="G208" s="779" t="str" cm="1">
        <f t="array" ref="G208">G207</f>
        <v>1</v>
      </c>
      <c r="H208" s="1155"/>
      <c r="I208" s="1155"/>
      <c r="J208" s="1155"/>
      <c r="K208" s="1155"/>
      <c r="L208" s="1155"/>
      <c r="M208" s="1155"/>
      <c r="N208" s="1155"/>
      <c r="O208" s="1155"/>
      <c r="P208" s="1155"/>
      <c r="Q208" s="1155"/>
      <c r="R208" s="1155"/>
      <c r="S208" s="1052" t="s">
        <v>111</v>
      </c>
      <c r="T208" s="1053" t="s">
        <v>112</v>
      </c>
      <c r="U208" s="1155"/>
      <c r="V208" s="1155"/>
      <c r="W208" s="698" t="b" cm="1">
        <f t="array" ref="W208">W207</f>
        <v>1</v>
      </c>
      <c r="X208" s="1155"/>
      <c r="Y208" s="1155"/>
      <c r="Z208" s="1687"/>
      <c r="AA208" s="699"/>
      <c r="AB208" s="1708"/>
      <c r="AC208" s="1709"/>
      <c r="AD208" s="385" t="s">
        <v>323</v>
      </c>
      <c r="AE208" s="1191" t="s">
        <v>345</v>
      </c>
      <c r="AF208" s="1688"/>
      <c r="AG208" s="1156"/>
      <c r="AH208" s="1156"/>
      <c r="AI208" s="1156"/>
      <c r="AJ208" s="1156"/>
      <c r="AK208" s="1156"/>
      <c r="AL208" s="1156"/>
      <c r="AM208" s="1156"/>
      <c r="AN208" s="1156"/>
      <c r="AO208" s="1061" t="str" cm="1">
        <f t="array" ref="AO208">AO207</f>
        <v>ТЭ.42.26322895.0003</v>
      </c>
      <c r="AP208" s="1054"/>
      <c r="AQ208" s="1054"/>
      <c r="AR208" s="1054"/>
      <c r="AS208" s="1054"/>
      <c r="AT208" s="1054"/>
      <c r="AU208" s="1054"/>
      <c r="AV208" s="1054"/>
      <c r="AW208" s="1054"/>
      <c r="AX208" s="1054"/>
      <c r="AY208" s="1054"/>
      <c r="AZ208" s="1054"/>
      <c r="BA208" s="1054"/>
      <c r="BB208" s="1054" t="s">
        <v>324</v>
      </c>
      <c r="BC208" s="1054"/>
      <c r="BD208" s="1054"/>
      <c r="BE208" s="1054"/>
    </row>
    <row r="209" spans="1:57" s="1192" customFormat="1" ht="88.5" customHeight="1">
      <c r="A209" s="1155"/>
      <c r="B209" s="783"/>
      <c r="C209" s="1155"/>
      <c r="D209" s="1155"/>
      <c r="E209" s="676">
        <v>91.5</v>
      </c>
      <c r="F209" s="814"/>
      <c r="G209" s="779" t="str" cm="1">
        <f t="array" ref="G209">G208</f>
        <v>1</v>
      </c>
      <c r="H209" s="1155"/>
      <c r="I209" s="1155"/>
      <c r="J209" s="1155"/>
      <c r="K209" s="1155"/>
      <c r="L209" s="1155"/>
      <c r="M209" s="1155"/>
      <c r="N209" s="1155"/>
      <c r="O209" s="1155"/>
      <c r="P209" s="1155"/>
      <c r="Q209" s="1155"/>
      <c r="R209" s="1155"/>
      <c r="S209" s="1052" t="s">
        <v>111</v>
      </c>
      <c r="T209" s="1053" t="s">
        <v>112</v>
      </c>
      <c r="U209" s="1155"/>
      <c r="V209" s="1155"/>
      <c r="W209" s="698" t="b" cm="1">
        <f t="array" ref="W209">W208</f>
        <v>1</v>
      </c>
      <c r="X209" s="1155"/>
      <c r="Y209" s="1155"/>
      <c r="Z209" s="1687"/>
      <c r="AA209" s="699"/>
      <c r="AB209" s="1708"/>
      <c r="AC209" s="1709"/>
      <c r="AD209" s="385" t="s">
        <v>325</v>
      </c>
      <c r="AE209" s="922" t="s">
        <v>346</v>
      </c>
      <c r="AF209" s="1688"/>
      <c r="AG209" s="1156"/>
      <c r="AH209" s="1156"/>
      <c r="AI209" s="1156"/>
      <c r="AJ209" s="1156"/>
      <c r="AK209" s="1156"/>
      <c r="AL209" s="1156"/>
      <c r="AM209" s="1156"/>
      <c r="AN209" s="1156"/>
      <c r="AO209" s="1061" t="str" cm="1">
        <f t="array" ref="AO209">AO208</f>
        <v>ТЭ.42.26322895.0003</v>
      </c>
      <c r="AP209" s="1054"/>
      <c r="AQ209" s="1054"/>
      <c r="AR209" s="1054"/>
      <c r="AS209" s="1054"/>
      <c r="AT209" s="1054"/>
      <c r="AU209" s="1054"/>
      <c r="AV209" s="1054"/>
      <c r="AW209" s="1054"/>
      <c r="AX209" s="1054"/>
      <c r="AY209" s="1054"/>
      <c r="AZ209" s="1054"/>
      <c r="BA209" s="1054"/>
      <c r="BB209" s="1054"/>
      <c r="BC209" s="1054" t="s">
        <v>326</v>
      </c>
      <c r="BD209" s="1054"/>
      <c r="BE209" s="1054"/>
    </row>
    <row r="210" spans="1:57" s="1193" customFormat="1" ht="26.25" hidden="1" customHeight="1">
      <c r="A210" s="1155"/>
      <c r="B210" s="783"/>
      <c r="C210" s="1155"/>
      <c r="D210" s="1155"/>
      <c r="E210" s="676">
        <v>0</v>
      </c>
      <c r="F210" s="814"/>
      <c r="G210" s="779" t="str" cm="1">
        <f t="array" ref="G210">G209</f>
        <v>1</v>
      </c>
      <c r="H210" s="1155"/>
      <c r="I210" s="1155"/>
      <c r="J210" s="1155"/>
      <c r="K210" s="1155"/>
      <c r="L210" s="1155"/>
      <c r="M210" s="1155"/>
      <c r="N210" s="1155"/>
      <c r="O210" s="1155"/>
      <c r="P210" s="1155"/>
      <c r="Q210" s="1155"/>
      <c r="R210" s="1155"/>
      <c r="S210" s="1052" t="s">
        <v>111</v>
      </c>
      <c r="T210" s="1053" t="s">
        <v>112</v>
      </c>
      <c r="U210" s="1155"/>
      <c r="V210" s="1155"/>
      <c r="W210" s="698" t="b">
        <v>0</v>
      </c>
      <c r="X210" s="1155"/>
      <c r="Y210" s="1155"/>
      <c r="Z210" s="1687"/>
      <c r="AA210" s="699"/>
      <c r="AB210" s="1706"/>
      <c r="AC210" s="1707"/>
      <c r="AD210" s="134" t="s">
        <v>327</v>
      </c>
      <c r="AE210" s="407"/>
      <c r="AF210" s="1688"/>
      <c r="AG210" s="1156"/>
      <c r="AH210" s="1156"/>
      <c r="AI210" s="1156"/>
      <c r="AJ210" s="1156"/>
      <c r="AK210" s="1156"/>
      <c r="AL210" s="1156"/>
      <c r="AM210" s="1156"/>
      <c r="AN210" s="1156"/>
      <c r="AO210" s="1061" t="str" cm="1">
        <f t="array" ref="AO210">AO209</f>
        <v>ТЭ.42.26322895.0003</v>
      </c>
      <c r="AP210" s="1054"/>
      <c r="AQ210" s="1054"/>
      <c r="AR210" s="1054"/>
      <c r="AS210" s="1054"/>
      <c r="AT210" s="1054"/>
      <c r="AU210" s="1054"/>
      <c r="AV210" s="1054"/>
      <c r="AW210" s="1054"/>
      <c r="AX210" s="1054"/>
      <c r="AY210" s="1054"/>
      <c r="AZ210" s="1054"/>
      <c r="BA210" s="1054"/>
      <c r="BB210" s="1054"/>
      <c r="BC210" s="1054"/>
      <c r="BD210" s="1054"/>
      <c r="BE210" s="1054"/>
    </row>
    <row r="211" spans="1:57" s="1194" customFormat="1" ht="25.5" customHeight="1">
      <c r="A211" s="1155"/>
      <c r="B211" s="783"/>
      <c r="C211" s="1155"/>
      <c r="D211" s="1155"/>
      <c r="E211" s="676">
        <v>26.3</v>
      </c>
      <c r="F211" s="814"/>
      <c r="G211" s="779" t="str" cm="1">
        <f t="array" ref="G211">G210</f>
        <v>1</v>
      </c>
      <c r="H211" s="1155"/>
      <c r="I211" s="1155"/>
      <c r="J211" s="1155"/>
      <c r="K211" s="1155"/>
      <c r="L211" s="1155"/>
      <c r="M211" s="1155"/>
      <c r="N211" s="1155"/>
      <c r="O211" s="1155"/>
      <c r="P211" s="1155"/>
      <c r="Q211" s="1155"/>
      <c r="R211" s="1155"/>
      <c r="S211" s="1052" t="s">
        <v>215</v>
      </c>
      <c r="T211" s="1053" t="s">
        <v>216</v>
      </c>
      <c r="U211" s="1155"/>
      <c r="V211" s="1155"/>
      <c r="W211" s="698" t="b" cm="1">
        <f t="array" ref="W211">W209</f>
        <v>1</v>
      </c>
      <c r="X211" s="1155"/>
      <c r="Y211" s="1155"/>
      <c r="Z211" s="1687"/>
      <c r="AA211" s="699"/>
      <c r="AB211" s="1708"/>
      <c r="AC211" s="1709"/>
      <c r="AD211" s="134" t="s">
        <v>328</v>
      </c>
      <c r="AE211" s="1162"/>
      <c r="AF211" s="1688"/>
      <c r="AG211" s="1156"/>
      <c r="AH211" s="1156"/>
      <c r="AI211" s="1156"/>
      <c r="AJ211" s="1156"/>
      <c r="AK211" s="1156"/>
      <c r="AL211" s="1156"/>
      <c r="AM211" s="1156"/>
      <c r="AN211" s="1156"/>
      <c r="AO211" s="1061" t="str" cm="1">
        <f t="array" ref="AO211">AO210</f>
        <v>ТЭ.42.26322895.0003</v>
      </c>
      <c r="AP211" s="1054"/>
      <c r="AQ211" s="1054"/>
      <c r="AR211" s="1054"/>
      <c r="AS211" s="1054"/>
      <c r="AT211" s="1054"/>
      <c r="AU211" s="1054"/>
      <c r="AV211" s="1054"/>
      <c r="AW211" s="1054"/>
      <c r="AX211" s="1054"/>
      <c r="AY211" s="1054"/>
      <c r="AZ211" s="1054"/>
      <c r="BA211" s="1054"/>
      <c r="BB211" s="1054"/>
      <c r="BC211" s="1054"/>
      <c r="BD211" s="1054"/>
      <c r="BE211" s="1054"/>
    </row>
    <row r="212" spans="1:57" s="1195" customFormat="1" ht="19.5" customHeight="1">
      <c r="A212" s="1155"/>
      <c r="B212" s="783"/>
      <c r="C212" s="1155"/>
      <c r="D212" s="1155"/>
      <c r="E212" s="676">
        <v>20.399999999999999</v>
      </c>
      <c r="F212" s="814"/>
      <c r="G212" s="779" t="str" cm="1">
        <f t="array" ref="G212">G211</f>
        <v>1</v>
      </c>
      <c r="H212" s="1155"/>
      <c r="I212" s="1155"/>
      <c r="J212" s="1155"/>
      <c r="K212" s="1155"/>
      <c r="L212" s="1155"/>
      <c r="M212" s="1155"/>
      <c r="N212" s="1155"/>
      <c r="O212" s="1155"/>
      <c r="P212" s="1155"/>
      <c r="Q212" s="1155"/>
      <c r="R212" s="1155"/>
      <c r="S212" s="1052" t="s">
        <v>111</v>
      </c>
      <c r="T212" s="1053" t="s">
        <v>112</v>
      </c>
      <c r="U212" s="1155"/>
      <c r="V212" s="1155"/>
      <c r="W212" s="698" t="b" cm="1">
        <f t="array" ref="W212">W211</f>
        <v>1</v>
      </c>
      <c r="X212" s="1155"/>
      <c r="Y212" s="1155"/>
      <c r="Z212" s="1687"/>
      <c r="AA212" s="699"/>
      <c r="AB212" s="1708"/>
      <c r="AC212" s="1709"/>
      <c r="AD212" s="134" t="s">
        <v>329</v>
      </c>
      <c r="AE212" s="922" t="s">
        <v>347</v>
      </c>
      <c r="AF212" s="1688"/>
      <c r="AG212" s="1156"/>
      <c r="AH212" s="1156"/>
      <c r="AI212" s="1156"/>
      <c r="AJ212" s="1156"/>
      <c r="AK212" s="1156"/>
      <c r="AL212" s="1156"/>
      <c r="AM212" s="1156"/>
      <c r="AN212" s="1156"/>
      <c r="AO212" s="1061" t="str" cm="1">
        <f t="array" ref="AO212">AO211</f>
        <v>ТЭ.42.26322895.0003</v>
      </c>
      <c r="AP212" s="1054"/>
      <c r="AQ212" s="1054"/>
      <c r="AR212" s="1054" t="s">
        <v>330</v>
      </c>
      <c r="AS212" s="1054"/>
      <c r="AT212" s="1054"/>
      <c r="AU212" s="1054"/>
      <c r="AV212" s="1054"/>
      <c r="AW212" s="1054"/>
      <c r="AX212" s="1054"/>
      <c r="AY212" s="1054"/>
      <c r="AZ212" s="1054"/>
      <c r="BA212" s="1054"/>
      <c r="BB212" s="1054"/>
      <c r="BC212" s="1054"/>
      <c r="BD212" s="1054"/>
      <c r="BE212" s="1054"/>
    </row>
    <row r="213" spans="1:57" s="1196" customFormat="1" ht="19.5" customHeight="1">
      <c r="A213" s="1155"/>
      <c r="B213" s="807" t="b">
        <f>org_declaration="Заявление организации"</f>
        <v>1</v>
      </c>
      <c r="C213" s="1155"/>
      <c r="D213" s="1155"/>
      <c r="E213" s="676">
        <v>20.399999999999999</v>
      </c>
      <c r="F213" s="814"/>
      <c r="G213" s="779" t="str" cm="1">
        <f t="array" ref="G213">G212</f>
        <v>1</v>
      </c>
      <c r="H213" s="1155"/>
      <c r="I213" s="1155"/>
      <c r="J213" s="1155"/>
      <c r="K213" s="1155"/>
      <c r="L213" s="1155"/>
      <c r="M213" s="1155"/>
      <c r="N213" s="1155"/>
      <c r="O213" s="1155"/>
      <c r="P213" s="1155"/>
      <c r="Q213" s="1155"/>
      <c r="R213" s="1155"/>
      <c r="S213" s="1052" t="s">
        <v>111</v>
      </c>
      <c r="T213" s="1053" t="s">
        <v>112</v>
      </c>
      <c r="U213" s="1155"/>
      <c r="V213" s="1155"/>
      <c r="W213" s="698" t="b" cm="1">
        <f t="array" ref="W213">W212</f>
        <v>1</v>
      </c>
      <c r="X213" s="1155"/>
      <c r="Y213" s="1155"/>
      <c r="Z213" s="1687"/>
      <c r="AA213" s="699"/>
      <c r="AB213" s="1708"/>
      <c r="AC213" s="1709"/>
      <c r="AD213" s="385" t="s">
        <v>331</v>
      </c>
      <c r="AE213" s="1197">
        <v>2679</v>
      </c>
      <c r="AF213" s="1688"/>
      <c r="AG213" s="1156"/>
      <c r="AH213" s="1156"/>
      <c r="AI213" s="1156"/>
      <c r="AJ213" s="1156"/>
      <c r="AK213" s="1156"/>
      <c r="AL213" s="1156"/>
      <c r="AM213" s="1156"/>
      <c r="AN213" s="1156"/>
      <c r="AO213" s="1061" t="str" cm="1">
        <f t="array" ref="AO213">AO212</f>
        <v>ТЭ.42.26322895.0003</v>
      </c>
      <c r="AP213" s="1054"/>
      <c r="AQ213" s="1054"/>
      <c r="AR213" s="1054" t="s">
        <v>332</v>
      </c>
      <c r="AS213" s="1054"/>
      <c r="AT213" s="1054"/>
      <c r="AU213" s="1054"/>
      <c r="AV213" s="1054"/>
      <c r="AW213" s="1054"/>
      <c r="AX213" s="1054"/>
      <c r="AY213" s="1054"/>
      <c r="AZ213" s="1054"/>
      <c r="BA213" s="1054"/>
      <c r="BB213" s="1054"/>
      <c r="BC213" s="1054"/>
      <c r="BD213" s="1054"/>
      <c r="BE213" s="1054"/>
    </row>
    <row r="214" spans="1:57" s="1198" customFormat="1" ht="19.5" customHeight="1">
      <c r="A214" s="1155"/>
      <c r="B214" s="807" t="b">
        <f>org_declaration="Заявление организации"</f>
        <v>1</v>
      </c>
      <c r="C214" s="1155"/>
      <c r="D214" s="1155"/>
      <c r="E214" s="676">
        <v>20.399999999999999</v>
      </c>
      <c r="F214" s="814"/>
      <c r="G214" s="779" t="str" cm="1">
        <f t="array" ref="G214">G213</f>
        <v>1</v>
      </c>
      <c r="H214" s="1155"/>
      <c r="I214" s="1155"/>
      <c r="J214" s="1155"/>
      <c r="K214" s="1155"/>
      <c r="L214" s="1155"/>
      <c r="M214" s="1155"/>
      <c r="N214" s="1155"/>
      <c r="O214" s="1155"/>
      <c r="P214" s="1155"/>
      <c r="Q214" s="1155"/>
      <c r="R214" s="1155"/>
      <c r="S214" s="1052" t="s">
        <v>111</v>
      </c>
      <c r="T214" s="1053" t="s">
        <v>112</v>
      </c>
      <c r="U214" s="1155"/>
      <c r="V214" s="1155"/>
      <c r="W214" s="698" t="b" cm="1">
        <f t="array" ref="W214">W213</f>
        <v>1</v>
      </c>
      <c r="X214" s="1155"/>
      <c r="Y214" s="1155"/>
      <c r="Z214" s="1687"/>
      <c r="AA214" s="699"/>
      <c r="AB214" s="1708"/>
      <c r="AC214" s="1709"/>
      <c r="AD214" s="385" t="s">
        <v>333</v>
      </c>
      <c r="AE214" s="1199">
        <v>45777.577662037038</v>
      </c>
      <c r="AF214" s="1688"/>
      <c r="AG214" s="1156"/>
      <c r="AH214" s="1156"/>
      <c r="AI214" s="1156"/>
      <c r="AJ214" s="1156"/>
      <c r="AK214" s="1156"/>
      <c r="AL214" s="1156"/>
      <c r="AM214" s="1156"/>
      <c r="AN214" s="1156"/>
      <c r="AO214" s="1061" t="str" cm="1">
        <f t="array" ref="AO214">AO213</f>
        <v>ТЭ.42.26322895.0003</v>
      </c>
      <c r="AP214" s="1054"/>
      <c r="AQ214" s="1054"/>
      <c r="AR214" s="1054" t="s">
        <v>334</v>
      </c>
      <c r="AS214" s="1054"/>
      <c r="AT214" s="1054"/>
      <c r="AU214" s="1054"/>
      <c r="AV214" s="1054"/>
      <c r="AW214" s="1054"/>
      <c r="AX214" s="1054"/>
      <c r="AY214" s="1054"/>
      <c r="AZ214" s="1054"/>
      <c r="BA214" s="1054"/>
      <c r="BB214" s="1054"/>
      <c r="BC214" s="1054"/>
      <c r="BD214" s="1054"/>
      <c r="BE214" s="1054"/>
    </row>
    <row r="215" spans="1:57" s="1200" customFormat="1" ht="19.5" customHeight="1">
      <c r="A215" s="1155"/>
      <c r="B215" s="807" t="b">
        <f>org_declaration="Заявление организации"</f>
        <v>1</v>
      </c>
      <c r="C215" s="1155"/>
      <c r="D215" s="1155"/>
      <c r="E215" s="676">
        <v>20.399999999999999</v>
      </c>
      <c r="F215" s="814"/>
      <c r="G215" s="779" t="str" cm="1">
        <f t="array" ref="G215">G214</f>
        <v>1</v>
      </c>
      <c r="H215" s="1155"/>
      <c r="I215" s="1155"/>
      <c r="J215" s="1155"/>
      <c r="K215" s="1155"/>
      <c r="L215" s="1155"/>
      <c r="M215" s="1155"/>
      <c r="N215" s="1155"/>
      <c r="O215" s="1155"/>
      <c r="P215" s="1155"/>
      <c r="Q215" s="1155"/>
      <c r="R215" s="1155"/>
      <c r="S215" s="1052" t="s">
        <v>111</v>
      </c>
      <c r="T215" s="1053" t="s">
        <v>112</v>
      </c>
      <c r="U215" s="1155"/>
      <c r="V215" s="1155"/>
      <c r="W215" s="698" t="b" cm="1">
        <f t="array" ref="W215">W214</f>
        <v>1</v>
      </c>
      <c r="X215" s="1155"/>
      <c r="Y215" s="1155"/>
      <c r="Z215" s="1687"/>
      <c r="AA215" s="699"/>
      <c r="AB215" s="1708"/>
      <c r="AC215" s="1709"/>
      <c r="AD215" s="385" t="s">
        <v>335</v>
      </c>
      <c r="AE215" s="1197"/>
      <c r="AF215" s="1688"/>
      <c r="AG215" s="1156"/>
      <c r="AH215" s="1156"/>
      <c r="AI215" s="1156"/>
      <c r="AJ215" s="1156"/>
      <c r="AK215" s="1156"/>
      <c r="AL215" s="1156"/>
      <c r="AM215" s="1156"/>
      <c r="AN215" s="1156"/>
      <c r="AO215" s="1061" t="str" cm="1">
        <f t="array" ref="AO215">AO214</f>
        <v>ТЭ.42.26322895.0003</v>
      </c>
      <c r="AP215" s="1054"/>
      <c r="AQ215" s="1054"/>
      <c r="AR215" s="1054" t="s">
        <v>336</v>
      </c>
      <c r="AS215" s="1054"/>
      <c r="AT215" s="1054"/>
      <c r="AU215" s="1054"/>
      <c r="AV215" s="1054"/>
      <c r="AW215" s="1054"/>
      <c r="AX215" s="1054"/>
      <c r="AY215" s="1054"/>
      <c r="AZ215" s="1054"/>
      <c r="BA215" s="1054"/>
      <c r="BB215" s="1054"/>
      <c r="BC215" s="1054"/>
      <c r="BD215" s="1054"/>
      <c r="BE215" s="1054"/>
    </row>
    <row r="216" spans="1:57" s="1201" customFormat="1" ht="19.5" customHeight="1">
      <c r="A216" s="1155"/>
      <c r="B216" s="807" t="b">
        <f>org_declaration="Заявление организации"</f>
        <v>1</v>
      </c>
      <c r="C216" s="1155"/>
      <c r="D216" s="1155"/>
      <c r="E216" s="676">
        <v>20.399999999999999</v>
      </c>
      <c r="F216" s="814"/>
      <c r="G216" s="779" t="str" cm="1">
        <f t="array" ref="G216">G215</f>
        <v>1</v>
      </c>
      <c r="H216" s="1155"/>
      <c r="I216" s="1155"/>
      <c r="J216" s="1155"/>
      <c r="K216" s="1155"/>
      <c r="L216" s="1155"/>
      <c r="M216" s="1155"/>
      <c r="N216" s="1155"/>
      <c r="O216" s="1155"/>
      <c r="P216" s="1155"/>
      <c r="Q216" s="1155"/>
      <c r="R216" s="1155"/>
      <c r="S216" s="1052" t="s">
        <v>111</v>
      </c>
      <c r="T216" s="1053" t="s">
        <v>112</v>
      </c>
      <c r="U216" s="1155"/>
      <c r="V216" s="1155"/>
      <c r="W216" s="698" t="b" cm="1">
        <f t="array" ref="W216">W215</f>
        <v>1</v>
      </c>
      <c r="X216" s="1155"/>
      <c r="Y216" s="1155"/>
      <c r="Z216" s="1687"/>
      <c r="AA216" s="699"/>
      <c r="AB216" s="1708"/>
      <c r="AC216" s="1709"/>
      <c r="AD216" s="385" t="s">
        <v>337</v>
      </c>
      <c r="AE216" s="1161">
        <f>IF(AE$24="","",DATE(AE$24,1,1))</f>
        <v>46023</v>
      </c>
      <c r="AF216" s="1688"/>
      <c r="AG216" s="1156"/>
      <c r="AH216" s="1156"/>
      <c r="AI216" s="1156"/>
      <c r="AJ216" s="1156"/>
      <c r="AK216" s="1156"/>
      <c r="AL216" s="1156"/>
      <c r="AM216" s="1156"/>
      <c r="AN216" s="1156"/>
      <c r="AO216" s="1061" t="str" cm="1">
        <f t="array" ref="AO216">AO215</f>
        <v>ТЭ.42.26322895.0003</v>
      </c>
      <c r="AP216" s="1054"/>
      <c r="AQ216" s="1054"/>
      <c r="AR216" s="1054"/>
      <c r="AS216" s="1054"/>
      <c r="AT216" s="1054"/>
      <c r="AU216" s="1054"/>
      <c r="AV216" s="1054"/>
      <c r="AW216" s="1054"/>
      <c r="AX216" s="1054"/>
      <c r="AY216" s="1054"/>
      <c r="AZ216" s="1054" t="s">
        <v>338</v>
      </c>
      <c r="BA216" s="1054"/>
      <c r="BB216" s="1054"/>
      <c r="BC216" s="1054"/>
      <c r="BD216" s="1054"/>
      <c r="BE216" s="1054"/>
    </row>
    <row r="217" spans="1:57" s="1202" customFormat="1" ht="19.5" customHeight="1">
      <c r="A217" s="1155"/>
      <c r="B217" s="807" t="b">
        <f>org_declaration="Заявление организации"</f>
        <v>1</v>
      </c>
      <c r="C217" s="1155"/>
      <c r="D217" s="1155"/>
      <c r="E217" s="676">
        <v>20.399999999999999</v>
      </c>
      <c r="F217" s="814"/>
      <c r="G217" s="779" t="str" cm="1">
        <f t="array" ref="G217">G215</f>
        <v>1</v>
      </c>
      <c r="H217" s="1155"/>
      <c r="I217" s="1155"/>
      <c r="J217" s="1155"/>
      <c r="K217" s="1155"/>
      <c r="L217" s="1155"/>
      <c r="M217" s="1155"/>
      <c r="N217" s="1155"/>
      <c r="O217" s="1155"/>
      <c r="P217" s="1155"/>
      <c r="Q217" s="1155"/>
      <c r="R217" s="1155"/>
      <c r="S217" s="1052" t="s">
        <v>111</v>
      </c>
      <c r="T217" s="1053" t="s">
        <v>112</v>
      </c>
      <c r="U217" s="1155"/>
      <c r="V217" s="1155"/>
      <c r="W217" s="698" t="b" cm="1">
        <f t="array" ref="W217">W215</f>
        <v>1</v>
      </c>
      <c r="X217" s="1155"/>
      <c r="Y217" s="1155"/>
      <c r="Z217" s="1687"/>
      <c r="AA217" s="699"/>
      <c r="AB217" s="1708"/>
      <c r="AC217" s="1709"/>
      <c r="AD217" s="385" t="s">
        <v>339</v>
      </c>
      <c r="AE217" s="1203" t="str" cm="1">
        <f t="array" ref="AE217">IF(method_reg="","",method_reg)</f>
        <v>Метод индексации</v>
      </c>
      <c r="AF217" s="1688"/>
      <c r="AG217" s="1156"/>
      <c r="AH217" s="1156"/>
      <c r="AI217" s="1156"/>
      <c r="AJ217" s="1156"/>
      <c r="AK217" s="1156"/>
      <c r="AL217" s="1156"/>
      <c r="AM217" s="1156"/>
      <c r="AN217" s="1156"/>
      <c r="AO217" s="1061" t="str" cm="1">
        <f t="array" ref="AO217">AO216</f>
        <v>ТЭ.42.26322895.0003</v>
      </c>
      <c r="AP217" s="1054"/>
      <c r="AQ217" s="1054"/>
      <c r="AR217" s="1054" t="s">
        <v>340</v>
      </c>
      <c r="AS217" s="1054"/>
      <c r="AT217" s="1054"/>
      <c r="AU217" s="1054"/>
      <c r="AV217" s="1054"/>
      <c r="AW217" s="1054"/>
      <c r="AX217" s="1054"/>
      <c r="AY217" s="1054"/>
      <c r="AZ217" s="1054"/>
      <c r="BA217" s="1054"/>
      <c r="BB217" s="1054"/>
      <c r="BC217" s="1054"/>
      <c r="BD217" s="1054"/>
      <c r="BE217" s="1054"/>
    </row>
    <row r="218" spans="1:57" s="1204" customFormat="1" ht="21.75" customHeight="1">
      <c r="A218" s="1155"/>
      <c r="B218" s="807" t="b">
        <f>AND(org_declaration="Заявление организации",AE217&lt;&gt;"Метод экономически обоснованных расходов")</f>
        <v>1</v>
      </c>
      <c r="C218" s="1155"/>
      <c r="D218" s="1155"/>
      <c r="E218" s="676">
        <v>22.8</v>
      </c>
      <c r="F218" s="814"/>
      <c r="G218" s="779" t="str" cm="1">
        <f t="array" ref="G218">G217</f>
        <v>1</v>
      </c>
      <c r="H218" s="1155"/>
      <c r="I218" s="1155"/>
      <c r="J218" s="1155"/>
      <c r="K218" s="1155"/>
      <c r="L218" s="1155"/>
      <c r="M218" s="1155"/>
      <c r="N218" s="1155"/>
      <c r="O218" s="1155"/>
      <c r="P218" s="1155"/>
      <c r="Q218" s="1155"/>
      <c r="R218" s="1155"/>
      <c r="S218" s="1052" t="s">
        <v>119</v>
      </c>
      <c r="T218" s="1053" t="s">
        <v>120</v>
      </c>
      <c r="U218" s="1155"/>
      <c r="V218" s="1155"/>
      <c r="W218" s="698" t="b" cm="1">
        <f t="array" ref="W218">W217</f>
        <v>1</v>
      </c>
      <c r="X218" s="1155"/>
      <c r="Y218" s="1155"/>
      <c r="Z218" s="1687"/>
      <c r="AA218" s="699"/>
      <c r="AB218" s="1708"/>
      <c r="AC218" s="1709"/>
      <c r="AD218" s="134" t="str">
        <f>IF(OR(AE217="экономически обоснованных расходов (затрат)",AE217="сравнения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8" s="1205" cm="1">
        <f t="array" ref="AE218">IF(first_year="","",first_year)</f>
        <v>2021</v>
      </c>
      <c r="AF218" s="1688"/>
      <c r="AG218" s="1156"/>
      <c r="AH218" s="1156"/>
      <c r="AI218" s="1156"/>
      <c r="AJ218" s="1156"/>
      <c r="AK218" s="1156"/>
      <c r="AL218" s="1156"/>
      <c r="AM218" s="1156"/>
      <c r="AN218" s="1156"/>
      <c r="AO218" s="1061" t="str" cm="1">
        <f t="array" ref="AO218">AO217</f>
        <v>ТЭ.42.26322895.0003</v>
      </c>
      <c r="AP218" s="1054"/>
      <c r="AQ218" s="1054"/>
      <c r="AR218" s="1054" t="s">
        <v>340</v>
      </c>
      <c r="AS218" s="1054" t="s">
        <v>124</v>
      </c>
      <c r="AT218" s="1054"/>
      <c r="AU218" s="1054"/>
      <c r="AV218" s="1054"/>
      <c r="AW218" s="1054"/>
      <c r="AX218" s="1054"/>
      <c r="AY218" s="1054"/>
      <c r="AZ218" s="1054"/>
      <c r="BA218" s="1054"/>
      <c r="BB218" s="1054"/>
      <c r="BC218" s="1054"/>
      <c r="BD218" s="1054"/>
      <c r="BE218" s="1054"/>
    </row>
    <row r="219" spans="1:57" s="1206" customFormat="1" ht="19.5" customHeight="1">
      <c r="A219" s="1155"/>
      <c r="B219" s="807" t="b">
        <f>AND(org_declaration="Заявление организации",AE217&lt;&gt;"Метод экономически обоснованных расходов")</f>
        <v>1</v>
      </c>
      <c r="C219" s="1155"/>
      <c r="D219" s="1155"/>
      <c r="E219" s="676">
        <v>20.399999999999999</v>
      </c>
      <c r="F219" s="814"/>
      <c r="G219" s="779" t="str" cm="1">
        <f t="array" ref="G219">G218</f>
        <v>1</v>
      </c>
      <c r="H219" s="1155"/>
      <c r="I219" s="1155"/>
      <c r="J219" s="1155"/>
      <c r="K219" s="1155"/>
      <c r="L219" s="1155"/>
      <c r="M219" s="1155"/>
      <c r="N219" s="1155"/>
      <c r="O219" s="1155"/>
      <c r="P219" s="1155"/>
      <c r="Q219" s="1155"/>
      <c r="R219" s="1155"/>
      <c r="S219" s="1052" t="s">
        <v>125</v>
      </c>
      <c r="T219" s="1053" t="s">
        <v>126</v>
      </c>
      <c r="U219" s="1155"/>
      <c r="V219" s="1155"/>
      <c r="W219" s="698" t="b" cm="1">
        <f t="array" ref="W219">W218</f>
        <v>1</v>
      </c>
      <c r="X219" s="1155"/>
      <c r="Y219" s="1155"/>
      <c r="Z219" s="1687"/>
      <c r="AA219" s="699"/>
      <c r="AB219" s="1708"/>
      <c r="AC219" s="1709"/>
      <c r="AD219" s="385" t="s">
        <v>127</v>
      </c>
      <c r="AE219" s="1205" cm="1">
        <f t="array" ref="AE219">IF(PERIOD_LENGTH="","",PERIOD_LENGTH)</f>
        <v>10</v>
      </c>
      <c r="AF219" s="1688"/>
      <c r="AG219" s="1156"/>
      <c r="AH219" s="1156"/>
      <c r="AI219" s="1156"/>
      <c r="AJ219" s="1156"/>
      <c r="AK219" s="1156"/>
      <c r="AL219" s="1156"/>
      <c r="AM219" s="1156"/>
      <c r="AN219" s="1156"/>
      <c r="AO219" s="1061" t="str" cm="1">
        <f t="array" ref="AO219">AO218</f>
        <v>ТЭ.42.26322895.0003</v>
      </c>
      <c r="AP219" s="1054"/>
      <c r="AQ219" s="1054"/>
      <c r="AR219" s="1054" t="s">
        <v>340</v>
      </c>
      <c r="AS219" s="1054" t="s">
        <v>128</v>
      </c>
      <c r="AT219" s="1054"/>
      <c r="AU219" s="1054"/>
      <c r="AV219" s="1054"/>
      <c r="AW219" s="1054"/>
      <c r="AX219" s="1054"/>
      <c r="AY219" s="1054"/>
      <c r="AZ219" s="1054"/>
      <c r="BA219" s="1054"/>
      <c r="BB219" s="1054"/>
      <c r="BC219" s="1054"/>
      <c r="BD219" s="1054"/>
      <c r="BE219" s="1054"/>
    </row>
    <row r="220" spans="1:57" s="1207" customFormat="1" ht="19.5" customHeight="1">
      <c r="A220" s="1155"/>
      <c r="B220" s="783"/>
      <c r="C220" s="1155"/>
      <c r="D220" s="1155"/>
      <c r="E220" s="676">
        <v>20.399999999999999</v>
      </c>
      <c r="F220" s="814"/>
      <c r="G220" s="779" t="str" cm="1">
        <f t="array" ref="G220">Z220</f>
        <v>2</v>
      </c>
      <c r="H220" s="1155"/>
      <c r="I220" s="1155"/>
      <c r="J220" s="1155"/>
      <c r="K220" s="1155"/>
      <c r="L220" s="1155"/>
      <c r="M220" s="1155"/>
      <c r="N220" s="1155"/>
      <c r="O220" s="1155"/>
      <c r="P220" s="1155"/>
      <c r="Q220" s="1155"/>
      <c r="R220" s="1155"/>
      <c r="S220" s="1052" t="s">
        <v>111</v>
      </c>
      <c r="T220" s="1053" t="s">
        <v>112</v>
      </c>
      <c r="U220" s="1155"/>
      <c r="V220" s="1155"/>
      <c r="W220" s="698" t="b">
        <f>Z220&gt;0</f>
        <v>1</v>
      </c>
      <c r="X220" s="318"/>
      <c r="Y220" s="1155"/>
      <c r="Z220" s="1687" t="s">
        <v>348</v>
      </c>
      <c r="AA220" s="699"/>
      <c r="AB220" s="1708"/>
      <c r="AC220" s="1709"/>
      <c r="AD220" s="389" t="str">
        <f>"Тариф "&amp;Z220</f>
        <v>Тариф 2</v>
      </c>
      <c r="AE220" s="390" t="s">
        <v>316</v>
      </c>
      <c r="AF220" s="1688" t="s">
        <v>218</v>
      </c>
      <c r="AG220" s="106" t="str">
        <f>AD220&amp;" ("&amp;AE220&amp;") - "&amp;AE222&amp;IF(AE228="",""," ("&amp;AE228&amp;")")</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H220" s="106" cm="1">
        <f t="array" ref="AH220">AE226</f>
        <v>0</v>
      </c>
      <c r="AI220" s="187" t="str" cm="1">
        <f t="array" ref="AI220">AE223</f>
        <v>вода</v>
      </c>
      <c r="AJ220" s="106" t="str" cm="1">
        <f t="array" ref="AJ220">AE228</f>
        <v>Не определено</v>
      </c>
      <c r="AK220" s="106" t="str" cm="1">
        <f t="array" ref="AK220">AE224</f>
        <v>одноставочный</v>
      </c>
      <c r="AL220" s="186" t="str" cm="1">
        <f t="array" ref="AL220">AE225</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v>
      </c>
      <c r="AM220" s="187" t="str" cm="1">
        <f t="array" ref="AM220">AE222</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220" s="106" t="b">
        <f>IFERROR(FIND("производство тепловой энергии (мощности) в режиме комбинированной выработки",AL220)&gt;0,FALSE)</f>
        <v>0</v>
      </c>
      <c r="AO220" s="1061" t="str" cm="1">
        <f t="array" ref="AO220">AE221</f>
        <v>ТЭ.42.26322895.0004</v>
      </c>
      <c r="AP220" s="1054"/>
      <c r="AQ220" s="1054"/>
      <c r="AR220" s="1054"/>
      <c r="AS220" s="1054"/>
      <c r="AT220" s="1054"/>
      <c r="AU220" s="1054"/>
      <c r="AV220" s="1054"/>
      <c r="AW220" s="1054"/>
      <c r="AX220" s="1054"/>
      <c r="AY220" s="1054"/>
      <c r="AZ220" s="1054"/>
      <c r="BA220" s="1054"/>
      <c r="BB220" s="1054"/>
      <c r="BC220" s="1054"/>
      <c r="BD220" s="1054" t="s">
        <v>317</v>
      </c>
      <c r="BE220" s="1054"/>
    </row>
    <row r="221" spans="1:57" s="1208" customFormat="1" ht="19.5" customHeight="1">
      <c r="A221" s="1155"/>
      <c r="B221" s="783"/>
      <c r="C221" s="1155"/>
      <c r="D221" s="1155"/>
      <c r="E221" s="676">
        <v>20.399999999999999</v>
      </c>
      <c r="F221" s="814"/>
      <c r="G221" s="779" t="str" cm="1">
        <f t="array" ref="G221">G220</f>
        <v>2</v>
      </c>
      <c r="H221" s="1155"/>
      <c r="I221" s="1155"/>
      <c r="J221" s="1155"/>
      <c r="K221" s="1155"/>
      <c r="L221" s="1155"/>
      <c r="M221" s="1155"/>
      <c r="N221" s="800" t="str" cm="1">
        <f t="array" ref="N221">AE221</f>
        <v>ТЭ.42.26322895.0004</v>
      </c>
      <c r="O221" s="1155"/>
      <c r="P221" s="1155"/>
      <c r="Q221" s="1155"/>
      <c r="R221" s="1155"/>
      <c r="S221" s="1052" t="s">
        <v>111</v>
      </c>
      <c r="T221" s="1053" t="s">
        <v>112</v>
      </c>
      <c r="U221" s="1155"/>
      <c r="V221" s="1155"/>
      <c r="W221" s="698" t="b" cm="1">
        <f t="array" ref="W221">W220</f>
        <v>1</v>
      </c>
      <c r="X221" s="1155"/>
      <c r="Y221" s="1155"/>
      <c r="Z221" s="1687"/>
      <c r="AA221" s="699"/>
      <c r="AB221" s="1708"/>
      <c r="AC221" s="1709"/>
      <c r="AD221" s="385" t="s">
        <v>318</v>
      </c>
      <c r="AE221" s="380" t="s">
        <v>349</v>
      </c>
      <c r="AF221" s="1688"/>
      <c r="AG221" s="1156"/>
      <c r="AH221" s="1156"/>
      <c r="AI221" s="1156"/>
      <c r="AJ221" s="1156"/>
      <c r="AK221" s="1156"/>
      <c r="AL221" s="1156"/>
      <c r="AM221" s="1156"/>
      <c r="AN221" s="1156"/>
      <c r="AO221" s="1061" t="str" cm="1">
        <f t="array" ref="AO221">AO220</f>
        <v>ТЭ.42.26322895.0004</v>
      </c>
      <c r="AP221" s="1054"/>
      <c r="AQ221" s="1054"/>
      <c r="AR221" s="1054" t="s">
        <v>314</v>
      </c>
      <c r="AS221" s="1054"/>
      <c r="AT221" s="1054"/>
      <c r="AU221" s="1054"/>
      <c r="AV221" s="1054"/>
      <c r="AW221" s="1054"/>
      <c r="AX221" s="1054"/>
      <c r="AY221" s="1054"/>
      <c r="AZ221" s="1054"/>
      <c r="BA221" s="1054"/>
      <c r="BB221" s="1054"/>
      <c r="BC221" s="1054"/>
      <c r="BD221" s="1054"/>
      <c r="BE221" s="1054"/>
    </row>
    <row r="222" spans="1:57" s="1209" customFormat="1" ht="90" customHeight="1">
      <c r="A222" s="1155"/>
      <c r="B222" s="783"/>
      <c r="C222" s="1155"/>
      <c r="D222" s="1155"/>
      <c r="E222" s="676">
        <v>30</v>
      </c>
      <c r="F222" s="814"/>
      <c r="G222" s="779" t="str" cm="1">
        <f t="array" ref="G222">G221</f>
        <v>2</v>
      </c>
      <c r="H222" s="1155"/>
      <c r="I222" s="1155"/>
      <c r="J222" s="1155"/>
      <c r="K222" s="1155"/>
      <c r="L222" s="1155"/>
      <c r="M222" s="1155"/>
      <c r="N222" s="1155"/>
      <c r="O222" s="1155"/>
      <c r="P222" s="1155"/>
      <c r="Q222" s="1155"/>
      <c r="R222" s="1155"/>
      <c r="S222" s="1052" t="s">
        <v>111</v>
      </c>
      <c r="T222" s="1053" t="s">
        <v>112</v>
      </c>
      <c r="U222" s="1155"/>
      <c r="V222" s="1155"/>
      <c r="W222" s="698" t="b" cm="1">
        <f t="array" ref="W222">W221</f>
        <v>1</v>
      </c>
      <c r="X222" s="1155"/>
      <c r="Y222" s="1155"/>
      <c r="Z222" s="1687"/>
      <c r="AA222" s="699"/>
      <c r="AB222" s="1708"/>
      <c r="AC222" s="1709"/>
      <c r="AD222" s="385" t="s">
        <v>319</v>
      </c>
      <c r="AE222" s="1187" t="s">
        <v>350</v>
      </c>
      <c r="AF222" s="1688"/>
      <c r="AG222" s="1156"/>
      <c r="AH222" s="1156"/>
      <c r="AI222" s="1156"/>
      <c r="AJ222" s="1156"/>
      <c r="AK222" s="1156"/>
      <c r="AL222" s="1156"/>
      <c r="AM222" s="1156"/>
      <c r="AN222" s="1156"/>
      <c r="AO222" s="1061" t="str" cm="1">
        <f t="array" ref="AO222">AO221</f>
        <v>ТЭ.42.26322895.0004</v>
      </c>
      <c r="AP222" s="1054"/>
      <c r="AQ222" s="1054"/>
      <c r="AR222" s="1054" t="s">
        <v>320</v>
      </c>
      <c r="AS222" s="1054"/>
      <c r="AT222" s="1054"/>
      <c r="AU222" s="1054"/>
      <c r="AV222" s="1054"/>
      <c r="AW222" s="1054"/>
      <c r="AX222" s="1054"/>
      <c r="AY222" s="1054"/>
      <c r="AZ222" s="1054"/>
      <c r="BA222" s="1054"/>
      <c r="BB222" s="1054"/>
      <c r="BC222" s="1054"/>
      <c r="BD222" s="1054"/>
      <c r="BE222" s="1054"/>
    </row>
    <row r="223" spans="1:57" s="1210" customFormat="1" ht="19.5" customHeight="1">
      <c r="A223" s="1155"/>
      <c r="B223" s="783"/>
      <c r="C223" s="1155"/>
      <c r="D223" s="1155"/>
      <c r="E223" s="676">
        <v>20.399999999999999</v>
      </c>
      <c r="F223" s="814"/>
      <c r="G223" s="779" t="str" cm="1">
        <f t="array" ref="G223">G222</f>
        <v>2</v>
      </c>
      <c r="H223" s="1155"/>
      <c r="I223" s="1155"/>
      <c r="J223" s="1155"/>
      <c r="K223" s="1155"/>
      <c r="L223" s="1155"/>
      <c r="M223" s="1155"/>
      <c r="N223" s="1155"/>
      <c r="O223" s="1155"/>
      <c r="P223" s="1155"/>
      <c r="Q223" s="1155"/>
      <c r="R223" s="1155"/>
      <c r="S223" s="1052" t="s">
        <v>111</v>
      </c>
      <c r="T223" s="1053" t="s">
        <v>112</v>
      </c>
      <c r="U223" s="1155"/>
      <c r="V223" s="1155"/>
      <c r="W223" s="698" t="b" cm="1">
        <f t="array" ref="W223">W222</f>
        <v>1</v>
      </c>
      <c r="X223" s="1155"/>
      <c r="Y223" s="1155"/>
      <c r="Z223" s="1687"/>
      <c r="AA223" s="699"/>
      <c r="AB223" s="1708"/>
      <c r="AC223" s="1709"/>
      <c r="AD223" s="385" t="s">
        <v>321</v>
      </c>
      <c r="AE223" s="1189" t="s">
        <v>344</v>
      </c>
      <c r="AF223" s="1688"/>
      <c r="AG223" s="1156"/>
      <c r="AH223" s="1156"/>
      <c r="AI223" s="1156"/>
      <c r="AJ223" s="1156"/>
      <c r="AK223" s="1156"/>
      <c r="AL223" s="1156"/>
      <c r="AM223" s="1156"/>
      <c r="AN223" s="1156"/>
      <c r="AO223" s="1061" t="str" cm="1">
        <f t="array" ref="AO223">AO222</f>
        <v>ТЭ.42.26322895.0004</v>
      </c>
      <c r="AP223" s="1054"/>
      <c r="AQ223" s="1054"/>
      <c r="AR223" s="1054"/>
      <c r="AS223" s="1054"/>
      <c r="AT223" s="1054"/>
      <c r="AU223" s="1054"/>
      <c r="AV223" s="1054"/>
      <c r="AW223" s="1054"/>
      <c r="AX223" s="1054"/>
      <c r="AY223" s="1054"/>
      <c r="AZ223" s="1054"/>
      <c r="BA223" s="1054" t="s">
        <v>322</v>
      </c>
      <c r="BB223" s="1054"/>
      <c r="BC223" s="1054"/>
      <c r="BD223" s="1054"/>
      <c r="BE223" s="1054"/>
    </row>
    <row r="224" spans="1:57" s="1211" customFormat="1" ht="19.5" customHeight="1">
      <c r="A224" s="1155"/>
      <c r="B224" s="783"/>
      <c r="C224" s="1155"/>
      <c r="D224" s="1155"/>
      <c r="E224" s="676">
        <v>20.399999999999999</v>
      </c>
      <c r="F224" s="814"/>
      <c r="G224" s="779" t="str" cm="1">
        <f t="array" ref="G224">G223</f>
        <v>2</v>
      </c>
      <c r="H224" s="1155"/>
      <c r="I224" s="1155"/>
      <c r="J224" s="1155"/>
      <c r="K224" s="1155"/>
      <c r="L224" s="1155"/>
      <c r="M224" s="1155"/>
      <c r="N224" s="1155"/>
      <c r="O224" s="1155"/>
      <c r="P224" s="1155"/>
      <c r="Q224" s="1155"/>
      <c r="R224" s="1155"/>
      <c r="S224" s="1052" t="s">
        <v>111</v>
      </c>
      <c r="T224" s="1053" t="s">
        <v>112</v>
      </c>
      <c r="U224" s="1155"/>
      <c r="V224" s="1155"/>
      <c r="W224" s="698" t="b" cm="1">
        <f t="array" ref="W224">W223</f>
        <v>1</v>
      </c>
      <c r="X224" s="1155"/>
      <c r="Y224" s="1155"/>
      <c r="Z224" s="1687"/>
      <c r="AA224" s="699"/>
      <c r="AB224" s="1708"/>
      <c r="AC224" s="1709"/>
      <c r="AD224" s="385" t="s">
        <v>323</v>
      </c>
      <c r="AE224" s="1191" t="s">
        <v>345</v>
      </c>
      <c r="AF224" s="1688"/>
      <c r="AG224" s="1156"/>
      <c r="AH224" s="1156"/>
      <c r="AI224" s="1156"/>
      <c r="AJ224" s="1156"/>
      <c r="AK224" s="1156"/>
      <c r="AL224" s="1156"/>
      <c r="AM224" s="1156"/>
      <c r="AN224" s="1156"/>
      <c r="AO224" s="1061" t="str" cm="1">
        <f t="array" ref="AO224">AO223</f>
        <v>ТЭ.42.26322895.0004</v>
      </c>
      <c r="AP224" s="1054"/>
      <c r="AQ224" s="1054"/>
      <c r="AR224" s="1054"/>
      <c r="AS224" s="1054"/>
      <c r="AT224" s="1054"/>
      <c r="AU224" s="1054"/>
      <c r="AV224" s="1054"/>
      <c r="AW224" s="1054"/>
      <c r="AX224" s="1054"/>
      <c r="AY224" s="1054"/>
      <c r="AZ224" s="1054"/>
      <c r="BA224" s="1054"/>
      <c r="BB224" s="1054" t="s">
        <v>324</v>
      </c>
      <c r="BC224" s="1054"/>
      <c r="BD224" s="1054"/>
      <c r="BE224" s="1054"/>
    </row>
    <row r="225" spans="1:57" s="1212" customFormat="1" ht="88.5" customHeight="1">
      <c r="A225" s="1155"/>
      <c r="B225" s="783"/>
      <c r="C225" s="1155"/>
      <c r="D225" s="1155"/>
      <c r="E225" s="676">
        <v>91.5</v>
      </c>
      <c r="F225" s="814"/>
      <c r="G225" s="779" t="str" cm="1">
        <f t="array" ref="G225">G224</f>
        <v>2</v>
      </c>
      <c r="H225" s="1155"/>
      <c r="I225" s="1155"/>
      <c r="J225" s="1155"/>
      <c r="K225" s="1155"/>
      <c r="L225" s="1155"/>
      <c r="M225" s="1155"/>
      <c r="N225" s="1155"/>
      <c r="O225" s="1155"/>
      <c r="P225" s="1155"/>
      <c r="Q225" s="1155"/>
      <c r="R225" s="1155"/>
      <c r="S225" s="1052" t="s">
        <v>111</v>
      </c>
      <c r="T225" s="1053" t="s">
        <v>112</v>
      </c>
      <c r="U225" s="1155"/>
      <c r="V225" s="1155"/>
      <c r="W225" s="698" t="b" cm="1">
        <f t="array" ref="W225">W224</f>
        <v>1</v>
      </c>
      <c r="X225" s="1155"/>
      <c r="Y225" s="1155"/>
      <c r="Z225" s="1687"/>
      <c r="AA225" s="699"/>
      <c r="AB225" s="1708"/>
      <c r="AC225" s="1709"/>
      <c r="AD225" s="385" t="s">
        <v>325</v>
      </c>
      <c r="AE225" s="922" t="s">
        <v>351</v>
      </c>
      <c r="AF225" s="1688"/>
      <c r="AG225" s="1156"/>
      <c r="AH225" s="1156"/>
      <c r="AI225" s="1156"/>
      <c r="AJ225" s="1156"/>
      <c r="AK225" s="1156"/>
      <c r="AL225" s="1156"/>
      <c r="AM225" s="1156"/>
      <c r="AN225" s="1156"/>
      <c r="AO225" s="1061" t="str" cm="1">
        <f t="array" ref="AO225">AO224</f>
        <v>ТЭ.42.26322895.0004</v>
      </c>
      <c r="AP225" s="1054"/>
      <c r="AQ225" s="1054"/>
      <c r="AR225" s="1054"/>
      <c r="AS225" s="1054"/>
      <c r="AT225" s="1054"/>
      <c r="AU225" s="1054"/>
      <c r="AV225" s="1054"/>
      <c r="AW225" s="1054"/>
      <c r="AX225" s="1054"/>
      <c r="AY225" s="1054"/>
      <c r="AZ225" s="1054"/>
      <c r="BA225" s="1054"/>
      <c r="BB225" s="1054"/>
      <c r="BC225" s="1054" t="s">
        <v>326</v>
      </c>
      <c r="BD225" s="1054"/>
      <c r="BE225" s="1054"/>
    </row>
    <row r="226" spans="1:57" s="1213" customFormat="1" ht="26.25" hidden="1" customHeight="1">
      <c r="A226" s="1155"/>
      <c r="B226" s="783"/>
      <c r="C226" s="1155"/>
      <c r="D226" s="1155"/>
      <c r="E226" s="676">
        <v>0</v>
      </c>
      <c r="F226" s="814"/>
      <c r="G226" s="779" t="str" cm="1">
        <f t="array" ref="G226">G225</f>
        <v>2</v>
      </c>
      <c r="H226" s="1155"/>
      <c r="I226" s="1155"/>
      <c r="J226" s="1155"/>
      <c r="K226" s="1155"/>
      <c r="L226" s="1155"/>
      <c r="M226" s="1155"/>
      <c r="N226" s="1155"/>
      <c r="O226" s="1155"/>
      <c r="P226" s="1155"/>
      <c r="Q226" s="1155"/>
      <c r="R226" s="1155"/>
      <c r="S226" s="1052" t="s">
        <v>111</v>
      </c>
      <c r="T226" s="1053" t="s">
        <v>112</v>
      </c>
      <c r="U226" s="1155"/>
      <c r="V226" s="1155"/>
      <c r="W226" s="698" t="b">
        <v>0</v>
      </c>
      <c r="X226" s="1155"/>
      <c r="Y226" s="1155"/>
      <c r="Z226" s="1687"/>
      <c r="AA226" s="699"/>
      <c r="AB226" s="1706"/>
      <c r="AC226" s="1707"/>
      <c r="AD226" s="134" t="s">
        <v>327</v>
      </c>
      <c r="AE226" s="407"/>
      <c r="AF226" s="1688"/>
      <c r="AG226" s="1156"/>
      <c r="AH226" s="1156"/>
      <c r="AI226" s="1156"/>
      <c r="AJ226" s="1156"/>
      <c r="AK226" s="1156"/>
      <c r="AL226" s="1156"/>
      <c r="AM226" s="1156"/>
      <c r="AN226" s="1156"/>
      <c r="AO226" s="1061" t="str" cm="1">
        <f t="array" ref="AO226">AO225</f>
        <v>ТЭ.42.26322895.0004</v>
      </c>
      <c r="AP226" s="1054"/>
      <c r="AQ226" s="1054"/>
      <c r="AR226" s="1054"/>
      <c r="AS226" s="1054"/>
      <c r="AT226" s="1054"/>
      <c r="AU226" s="1054"/>
      <c r="AV226" s="1054"/>
      <c r="AW226" s="1054"/>
      <c r="AX226" s="1054"/>
      <c r="AY226" s="1054"/>
      <c r="AZ226" s="1054"/>
      <c r="BA226" s="1054"/>
      <c r="BB226" s="1054"/>
      <c r="BC226" s="1054"/>
      <c r="BD226" s="1054"/>
      <c r="BE226" s="1054"/>
    </row>
    <row r="227" spans="1:57" s="1214" customFormat="1" ht="25.5" customHeight="1">
      <c r="A227" s="1155"/>
      <c r="B227" s="783"/>
      <c r="C227" s="1155"/>
      <c r="D227" s="1155"/>
      <c r="E227" s="676">
        <v>26.3</v>
      </c>
      <c r="F227" s="814"/>
      <c r="G227" s="779" t="str" cm="1">
        <f t="array" ref="G227">G226</f>
        <v>2</v>
      </c>
      <c r="H227" s="1155"/>
      <c r="I227" s="1155"/>
      <c r="J227" s="1155"/>
      <c r="K227" s="1155"/>
      <c r="L227" s="1155"/>
      <c r="M227" s="1155"/>
      <c r="N227" s="1155"/>
      <c r="O227" s="1155"/>
      <c r="P227" s="1155"/>
      <c r="Q227" s="1155"/>
      <c r="R227" s="1155"/>
      <c r="S227" s="1052" t="s">
        <v>215</v>
      </c>
      <c r="T227" s="1053" t="s">
        <v>216</v>
      </c>
      <c r="U227" s="1155"/>
      <c r="V227" s="1155"/>
      <c r="W227" s="698" t="b" cm="1">
        <f t="array" ref="W227">W225</f>
        <v>1</v>
      </c>
      <c r="X227" s="1155"/>
      <c r="Y227" s="1155"/>
      <c r="Z227" s="1687"/>
      <c r="AA227" s="699"/>
      <c r="AB227" s="1708"/>
      <c r="AC227" s="1709"/>
      <c r="AD227" s="134" t="s">
        <v>328</v>
      </c>
      <c r="AE227" s="1162"/>
      <c r="AF227" s="1688"/>
      <c r="AG227" s="1156"/>
      <c r="AH227" s="1156"/>
      <c r="AI227" s="1156"/>
      <c r="AJ227" s="1156"/>
      <c r="AK227" s="1156"/>
      <c r="AL227" s="1156"/>
      <c r="AM227" s="1156"/>
      <c r="AN227" s="1156"/>
      <c r="AO227" s="1061" t="str" cm="1">
        <f t="array" ref="AO227">AO226</f>
        <v>ТЭ.42.26322895.0004</v>
      </c>
      <c r="AP227" s="1054"/>
      <c r="AQ227" s="1054"/>
      <c r="AR227" s="1054"/>
      <c r="AS227" s="1054"/>
      <c r="AT227" s="1054"/>
      <c r="AU227" s="1054"/>
      <c r="AV227" s="1054"/>
      <c r="AW227" s="1054"/>
      <c r="AX227" s="1054"/>
      <c r="AY227" s="1054"/>
      <c r="AZ227" s="1054"/>
      <c r="BA227" s="1054"/>
      <c r="BB227" s="1054"/>
      <c r="BC227" s="1054"/>
      <c r="BD227" s="1054"/>
      <c r="BE227" s="1054"/>
    </row>
    <row r="228" spans="1:57" s="1215" customFormat="1" ht="19.5" customHeight="1">
      <c r="A228" s="1155"/>
      <c r="B228" s="783"/>
      <c r="C228" s="1155"/>
      <c r="D228" s="1155"/>
      <c r="E228" s="676">
        <v>20.399999999999999</v>
      </c>
      <c r="F228" s="814"/>
      <c r="G228" s="779" t="str" cm="1">
        <f t="array" ref="G228">G227</f>
        <v>2</v>
      </c>
      <c r="H228" s="1155"/>
      <c r="I228" s="1155"/>
      <c r="J228" s="1155"/>
      <c r="K228" s="1155"/>
      <c r="L228" s="1155"/>
      <c r="M228" s="1155"/>
      <c r="N228" s="1155"/>
      <c r="O228" s="1155"/>
      <c r="P228" s="1155"/>
      <c r="Q228" s="1155"/>
      <c r="R228" s="1155"/>
      <c r="S228" s="1052" t="s">
        <v>111</v>
      </c>
      <c r="T228" s="1053" t="s">
        <v>112</v>
      </c>
      <c r="U228" s="1155"/>
      <c r="V228" s="1155"/>
      <c r="W228" s="698" t="b" cm="1">
        <f t="array" ref="W228">W227</f>
        <v>1</v>
      </c>
      <c r="X228" s="1155"/>
      <c r="Y228" s="1155"/>
      <c r="Z228" s="1687"/>
      <c r="AA228" s="699"/>
      <c r="AB228" s="1708"/>
      <c r="AC228" s="1709"/>
      <c r="AD228" s="134" t="s">
        <v>329</v>
      </c>
      <c r="AE228" s="922" t="s">
        <v>347</v>
      </c>
      <c r="AF228" s="1688"/>
      <c r="AG228" s="1156"/>
      <c r="AH228" s="1156"/>
      <c r="AI228" s="1156"/>
      <c r="AJ228" s="1156"/>
      <c r="AK228" s="1156"/>
      <c r="AL228" s="1156"/>
      <c r="AM228" s="1156"/>
      <c r="AN228" s="1156"/>
      <c r="AO228" s="1061" t="str" cm="1">
        <f t="array" ref="AO228">AO227</f>
        <v>ТЭ.42.26322895.0004</v>
      </c>
      <c r="AP228" s="1054"/>
      <c r="AQ228" s="1054"/>
      <c r="AR228" s="1054" t="s">
        <v>330</v>
      </c>
      <c r="AS228" s="1054"/>
      <c r="AT228" s="1054"/>
      <c r="AU228" s="1054"/>
      <c r="AV228" s="1054"/>
      <c r="AW228" s="1054"/>
      <c r="AX228" s="1054"/>
      <c r="AY228" s="1054"/>
      <c r="AZ228" s="1054"/>
      <c r="BA228" s="1054"/>
      <c r="BB228" s="1054"/>
      <c r="BC228" s="1054"/>
      <c r="BD228" s="1054"/>
      <c r="BE228" s="1054"/>
    </row>
    <row r="229" spans="1:57" s="1216" customFormat="1" ht="19.5" customHeight="1">
      <c r="A229" s="1155"/>
      <c r="B229" s="807" t="b">
        <f>org_declaration="Заявление организации"</f>
        <v>1</v>
      </c>
      <c r="C229" s="1155"/>
      <c r="D229" s="1155"/>
      <c r="E229" s="676">
        <v>20.399999999999999</v>
      </c>
      <c r="F229" s="814"/>
      <c r="G229" s="779" t="str" cm="1">
        <f t="array" ref="G229">G228</f>
        <v>2</v>
      </c>
      <c r="H229" s="1155"/>
      <c r="I229" s="1155"/>
      <c r="J229" s="1155"/>
      <c r="K229" s="1155"/>
      <c r="L229" s="1155"/>
      <c r="M229" s="1155"/>
      <c r="N229" s="1155"/>
      <c r="O229" s="1155"/>
      <c r="P229" s="1155"/>
      <c r="Q229" s="1155"/>
      <c r="R229" s="1155"/>
      <c r="S229" s="1052" t="s">
        <v>111</v>
      </c>
      <c r="T229" s="1053" t="s">
        <v>112</v>
      </c>
      <c r="U229" s="1155"/>
      <c r="V229" s="1155"/>
      <c r="W229" s="698" t="b" cm="1">
        <f t="array" ref="W229">W228</f>
        <v>1</v>
      </c>
      <c r="X229" s="1155"/>
      <c r="Y229" s="1155"/>
      <c r="Z229" s="1687"/>
      <c r="AA229" s="699"/>
      <c r="AB229" s="1708"/>
      <c r="AC229" s="1709"/>
      <c r="AD229" s="385" t="s">
        <v>331</v>
      </c>
      <c r="AE229" s="1197">
        <v>2679</v>
      </c>
      <c r="AF229" s="1688"/>
      <c r="AG229" s="1156"/>
      <c r="AH229" s="1156"/>
      <c r="AI229" s="1156"/>
      <c r="AJ229" s="1156"/>
      <c r="AK229" s="1156"/>
      <c r="AL229" s="1156"/>
      <c r="AM229" s="1156"/>
      <c r="AN229" s="1156"/>
      <c r="AO229" s="1061" t="str" cm="1">
        <f t="array" ref="AO229">AO228</f>
        <v>ТЭ.42.26322895.0004</v>
      </c>
      <c r="AP229" s="1054"/>
      <c r="AQ229" s="1054"/>
      <c r="AR229" s="1054" t="s">
        <v>332</v>
      </c>
      <c r="AS229" s="1054"/>
      <c r="AT229" s="1054"/>
      <c r="AU229" s="1054"/>
      <c r="AV229" s="1054"/>
      <c r="AW229" s="1054"/>
      <c r="AX229" s="1054"/>
      <c r="AY229" s="1054"/>
      <c r="AZ229" s="1054"/>
      <c r="BA229" s="1054"/>
      <c r="BB229" s="1054"/>
      <c r="BC229" s="1054"/>
      <c r="BD229" s="1054"/>
      <c r="BE229" s="1054"/>
    </row>
    <row r="230" spans="1:57" s="1217" customFormat="1" ht="19.5" customHeight="1">
      <c r="A230" s="1155"/>
      <c r="B230" s="807" t="b">
        <f>org_declaration="Заявление организации"</f>
        <v>1</v>
      </c>
      <c r="C230" s="1155"/>
      <c r="D230" s="1155"/>
      <c r="E230" s="676">
        <v>20.399999999999999</v>
      </c>
      <c r="F230" s="814"/>
      <c r="G230" s="779" t="str" cm="1">
        <f t="array" ref="G230">G229</f>
        <v>2</v>
      </c>
      <c r="H230" s="1155"/>
      <c r="I230" s="1155"/>
      <c r="J230" s="1155"/>
      <c r="K230" s="1155"/>
      <c r="L230" s="1155"/>
      <c r="M230" s="1155"/>
      <c r="N230" s="1155"/>
      <c r="O230" s="1155"/>
      <c r="P230" s="1155"/>
      <c r="Q230" s="1155"/>
      <c r="R230" s="1155"/>
      <c r="S230" s="1052" t="s">
        <v>111</v>
      </c>
      <c r="T230" s="1053" t="s">
        <v>112</v>
      </c>
      <c r="U230" s="1155"/>
      <c r="V230" s="1155"/>
      <c r="W230" s="698" t="b" cm="1">
        <f t="array" ref="W230">W229</f>
        <v>1</v>
      </c>
      <c r="X230" s="1155"/>
      <c r="Y230" s="1155"/>
      <c r="Z230" s="1687"/>
      <c r="AA230" s="699"/>
      <c r="AB230" s="1708"/>
      <c r="AC230" s="1709"/>
      <c r="AD230" s="385" t="s">
        <v>333</v>
      </c>
      <c r="AE230" s="1199">
        <v>45777.577662037038</v>
      </c>
      <c r="AF230" s="1688"/>
      <c r="AG230" s="1156"/>
      <c r="AH230" s="1156"/>
      <c r="AI230" s="1156"/>
      <c r="AJ230" s="1156"/>
      <c r="AK230" s="1156"/>
      <c r="AL230" s="1156"/>
      <c r="AM230" s="1156"/>
      <c r="AN230" s="1156"/>
      <c r="AO230" s="1061" t="str" cm="1">
        <f t="array" ref="AO230">AO229</f>
        <v>ТЭ.42.26322895.0004</v>
      </c>
      <c r="AP230" s="1054"/>
      <c r="AQ230" s="1054"/>
      <c r="AR230" s="1054" t="s">
        <v>334</v>
      </c>
      <c r="AS230" s="1054"/>
      <c r="AT230" s="1054"/>
      <c r="AU230" s="1054"/>
      <c r="AV230" s="1054"/>
      <c r="AW230" s="1054"/>
      <c r="AX230" s="1054"/>
      <c r="AY230" s="1054"/>
      <c r="AZ230" s="1054"/>
      <c r="BA230" s="1054"/>
      <c r="BB230" s="1054"/>
      <c r="BC230" s="1054"/>
      <c r="BD230" s="1054"/>
      <c r="BE230" s="1054"/>
    </row>
    <row r="231" spans="1:57" s="1218" customFormat="1" ht="19.5" customHeight="1">
      <c r="A231" s="1155"/>
      <c r="B231" s="807" t="b">
        <f>org_declaration="Заявление организации"</f>
        <v>1</v>
      </c>
      <c r="C231" s="1155"/>
      <c r="D231" s="1155"/>
      <c r="E231" s="676">
        <v>20.399999999999999</v>
      </c>
      <c r="F231" s="814"/>
      <c r="G231" s="779" t="str" cm="1">
        <f t="array" ref="G231">G230</f>
        <v>2</v>
      </c>
      <c r="H231" s="1155"/>
      <c r="I231" s="1155"/>
      <c r="J231" s="1155"/>
      <c r="K231" s="1155"/>
      <c r="L231" s="1155"/>
      <c r="M231" s="1155"/>
      <c r="N231" s="1155"/>
      <c r="O231" s="1155"/>
      <c r="P231" s="1155"/>
      <c r="Q231" s="1155"/>
      <c r="R231" s="1155"/>
      <c r="S231" s="1052" t="s">
        <v>111</v>
      </c>
      <c r="T231" s="1053" t="s">
        <v>112</v>
      </c>
      <c r="U231" s="1155"/>
      <c r="V231" s="1155"/>
      <c r="W231" s="698" t="b" cm="1">
        <f t="array" ref="W231">W230</f>
        <v>1</v>
      </c>
      <c r="X231" s="1155"/>
      <c r="Y231" s="1155"/>
      <c r="Z231" s="1687"/>
      <c r="AA231" s="699"/>
      <c r="AB231" s="1708"/>
      <c r="AC231" s="1709"/>
      <c r="AD231" s="385" t="s">
        <v>335</v>
      </c>
      <c r="AE231" s="1197"/>
      <c r="AF231" s="1688"/>
      <c r="AG231" s="1156"/>
      <c r="AH231" s="1156"/>
      <c r="AI231" s="1156"/>
      <c r="AJ231" s="1156"/>
      <c r="AK231" s="1156"/>
      <c r="AL231" s="1156"/>
      <c r="AM231" s="1156"/>
      <c r="AN231" s="1156"/>
      <c r="AO231" s="1061" t="str" cm="1">
        <f t="array" ref="AO231">AO230</f>
        <v>ТЭ.42.26322895.0004</v>
      </c>
      <c r="AP231" s="1054"/>
      <c r="AQ231" s="1054"/>
      <c r="AR231" s="1054" t="s">
        <v>336</v>
      </c>
      <c r="AS231" s="1054"/>
      <c r="AT231" s="1054"/>
      <c r="AU231" s="1054"/>
      <c r="AV231" s="1054"/>
      <c r="AW231" s="1054"/>
      <c r="AX231" s="1054"/>
      <c r="AY231" s="1054"/>
      <c r="AZ231" s="1054"/>
      <c r="BA231" s="1054"/>
      <c r="BB231" s="1054"/>
      <c r="BC231" s="1054"/>
      <c r="BD231" s="1054"/>
      <c r="BE231" s="1054"/>
    </row>
    <row r="232" spans="1:57" s="1219" customFormat="1" ht="19.5" customHeight="1">
      <c r="A232" s="1155"/>
      <c r="B232" s="807" t="b">
        <f>org_declaration="Заявление организации"</f>
        <v>1</v>
      </c>
      <c r="C232" s="1155"/>
      <c r="D232" s="1155"/>
      <c r="E232" s="676">
        <v>20.399999999999999</v>
      </c>
      <c r="F232" s="814"/>
      <c r="G232" s="779" t="str" cm="1">
        <f t="array" ref="G232">G231</f>
        <v>2</v>
      </c>
      <c r="H232" s="1155"/>
      <c r="I232" s="1155"/>
      <c r="J232" s="1155"/>
      <c r="K232" s="1155"/>
      <c r="L232" s="1155"/>
      <c r="M232" s="1155"/>
      <c r="N232" s="1155"/>
      <c r="O232" s="1155"/>
      <c r="P232" s="1155"/>
      <c r="Q232" s="1155"/>
      <c r="R232" s="1155"/>
      <c r="S232" s="1052" t="s">
        <v>111</v>
      </c>
      <c r="T232" s="1053" t="s">
        <v>112</v>
      </c>
      <c r="U232" s="1155"/>
      <c r="V232" s="1155"/>
      <c r="W232" s="698" t="b" cm="1">
        <f t="array" ref="W232">W231</f>
        <v>1</v>
      </c>
      <c r="X232" s="1155"/>
      <c r="Y232" s="1155"/>
      <c r="Z232" s="1687"/>
      <c r="AA232" s="699"/>
      <c r="AB232" s="1708"/>
      <c r="AC232" s="1709"/>
      <c r="AD232" s="385" t="s">
        <v>337</v>
      </c>
      <c r="AE232" s="1161">
        <f>IF(AE$24="","",DATE(AE$24,1,1))</f>
        <v>46023</v>
      </c>
      <c r="AF232" s="1688"/>
      <c r="AG232" s="1156"/>
      <c r="AH232" s="1156"/>
      <c r="AI232" s="1156"/>
      <c r="AJ232" s="1156"/>
      <c r="AK232" s="1156"/>
      <c r="AL232" s="1156"/>
      <c r="AM232" s="1156"/>
      <c r="AN232" s="1156"/>
      <c r="AO232" s="1061" t="str" cm="1">
        <f t="array" ref="AO232">AO231</f>
        <v>ТЭ.42.26322895.0004</v>
      </c>
      <c r="AP232" s="1054"/>
      <c r="AQ232" s="1054"/>
      <c r="AR232" s="1054"/>
      <c r="AS232" s="1054"/>
      <c r="AT232" s="1054"/>
      <c r="AU232" s="1054"/>
      <c r="AV232" s="1054"/>
      <c r="AW232" s="1054"/>
      <c r="AX232" s="1054"/>
      <c r="AY232" s="1054"/>
      <c r="AZ232" s="1054" t="s">
        <v>338</v>
      </c>
      <c r="BA232" s="1054"/>
      <c r="BB232" s="1054"/>
      <c r="BC232" s="1054"/>
      <c r="BD232" s="1054"/>
      <c r="BE232" s="1054"/>
    </row>
    <row r="233" spans="1:57" s="1220" customFormat="1" ht="19.5" customHeight="1">
      <c r="A233" s="1155"/>
      <c r="B233" s="807" t="b">
        <f>org_declaration="Заявление организации"</f>
        <v>1</v>
      </c>
      <c r="C233" s="1155"/>
      <c r="D233" s="1155"/>
      <c r="E233" s="676">
        <v>20.399999999999999</v>
      </c>
      <c r="F233" s="814"/>
      <c r="G233" s="779" t="str" cm="1">
        <f t="array" ref="G233">G231</f>
        <v>2</v>
      </c>
      <c r="H233" s="1155"/>
      <c r="I233" s="1155"/>
      <c r="J233" s="1155"/>
      <c r="K233" s="1155"/>
      <c r="L233" s="1155"/>
      <c r="M233" s="1155"/>
      <c r="N233" s="1155"/>
      <c r="O233" s="1155"/>
      <c r="P233" s="1155"/>
      <c r="Q233" s="1155"/>
      <c r="R233" s="1155"/>
      <c r="S233" s="1052" t="s">
        <v>111</v>
      </c>
      <c r="T233" s="1053" t="s">
        <v>112</v>
      </c>
      <c r="U233" s="1155"/>
      <c r="V233" s="1155"/>
      <c r="W233" s="698" t="b" cm="1">
        <f t="array" ref="W233">W231</f>
        <v>1</v>
      </c>
      <c r="X233" s="1155"/>
      <c r="Y233" s="1155"/>
      <c r="Z233" s="1687"/>
      <c r="AA233" s="699"/>
      <c r="AB233" s="1708"/>
      <c r="AC233" s="1709"/>
      <c r="AD233" s="385" t="s">
        <v>339</v>
      </c>
      <c r="AE233" s="1203" t="str" cm="1">
        <f t="array" ref="AE233">IF(method_reg="","",method_reg)</f>
        <v>Метод индексации</v>
      </c>
      <c r="AF233" s="1688"/>
      <c r="AG233" s="1156"/>
      <c r="AH233" s="1156"/>
      <c r="AI233" s="1156"/>
      <c r="AJ233" s="1156"/>
      <c r="AK233" s="1156"/>
      <c r="AL233" s="1156"/>
      <c r="AM233" s="1156"/>
      <c r="AN233" s="1156"/>
      <c r="AO233" s="1061" t="str" cm="1">
        <f t="array" ref="AO233">AO232</f>
        <v>ТЭ.42.26322895.0004</v>
      </c>
      <c r="AP233" s="1054"/>
      <c r="AQ233" s="1054"/>
      <c r="AR233" s="1054" t="s">
        <v>340</v>
      </c>
      <c r="AS233" s="1054"/>
      <c r="AT233" s="1054"/>
      <c r="AU233" s="1054"/>
      <c r="AV233" s="1054"/>
      <c r="AW233" s="1054"/>
      <c r="AX233" s="1054"/>
      <c r="AY233" s="1054"/>
      <c r="AZ233" s="1054"/>
      <c r="BA233" s="1054"/>
      <c r="BB233" s="1054"/>
      <c r="BC233" s="1054"/>
      <c r="BD233" s="1054"/>
      <c r="BE233" s="1054"/>
    </row>
    <row r="234" spans="1:57" s="1221" customFormat="1" ht="21.75" customHeight="1">
      <c r="A234" s="1155"/>
      <c r="B234" s="807" t="b">
        <f>AND(org_declaration="Заявление организации",AE233&lt;&gt;"Метод экономически обоснованных расходов")</f>
        <v>1</v>
      </c>
      <c r="C234" s="1155"/>
      <c r="D234" s="1155"/>
      <c r="E234" s="676">
        <v>22.8</v>
      </c>
      <c r="F234" s="814"/>
      <c r="G234" s="779" t="str" cm="1">
        <f t="array" ref="G234">G233</f>
        <v>2</v>
      </c>
      <c r="H234" s="1155"/>
      <c r="I234" s="1155"/>
      <c r="J234" s="1155"/>
      <c r="K234" s="1155"/>
      <c r="L234" s="1155"/>
      <c r="M234" s="1155"/>
      <c r="N234" s="1155"/>
      <c r="O234" s="1155"/>
      <c r="P234" s="1155"/>
      <c r="Q234" s="1155"/>
      <c r="R234" s="1155"/>
      <c r="S234" s="1052" t="s">
        <v>119</v>
      </c>
      <c r="T234" s="1053" t="s">
        <v>120</v>
      </c>
      <c r="U234" s="1155"/>
      <c r="V234" s="1155"/>
      <c r="W234" s="698" t="b" cm="1">
        <f t="array" ref="W234">W233</f>
        <v>1</v>
      </c>
      <c r="X234" s="1155"/>
      <c r="Y234" s="1155"/>
      <c r="Z234" s="1687"/>
      <c r="AA234" s="699"/>
      <c r="AB234" s="1708"/>
      <c r="AC234" s="1709"/>
      <c r="AD234" s="134" t="str">
        <f>IF(OR(AE233="экономически обоснованных расходов (затрат)",AE233="сравнения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34" s="1205" cm="1">
        <f t="array" ref="AE234">IF(first_year="","",first_year)</f>
        <v>2021</v>
      </c>
      <c r="AF234" s="1688"/>
      <c r="AG234" s="1156"/>
      <c r="AH234" s="1156"/>
      <c r="AI234" s="1156"/>
      <c r="AJ234" s="1156"/>
      <c r="AK234" s="1156"/>
      <c r="AL234" s="1156"/>
      <c r="AM234" s="1156"/>
      <c r="AN234" s="1156"/>
      <c r="AO234" s="1061" t="str" cm="1">
        <f t="array" ref="AO234">AO233</f>
        <v>ТЭ.42.26322895.0004</v>
      </c>
      <c r="AP234" s="1054"/>
      <c r="AQ234" s="1054"/>
      <c r="AR234" s="1054" t="s">
        <v>340</v>
      </c>
      <c r="AS234" s="1054" t="s">
        <v>124</v>
      </c>
      <c r="AT234" s="1054"/>
      <c r="AU234" s="1054"/>
      <c r="AV234" s="1054"/>
      <c r="AW234" s="1054"/>
      <c r="AX234" s="1054"/>
      <c r="AY234" s="1054"/>
      <c r="AZ234" s="1054"/>
      <c r="BA234" s="1054"/>
      <c r="BB234" s="1054"/>
      <c r="BC234" s="1054"/>
      <c r="BD234" s="1054"/>
      <c r="BE234" s="1054"/>
    </row>
    <row r="235" spans="1:57" s="1222" customFormat="1" ht="19.5" customHeight="1">
      <c r="A235" s="1155"/>
      <c r="B235" s="807" t="b">
        <f>AND(org_declaration="Заявление организации",AE233&lt;&gt;"Метод экономически обоснованных расходов")</f>
        <v>1</v>
      </c>
      <c r="C235" s="1155"/>
      <c r="D235" s="1155"/>
      <c r="E235" s="676">
        <v>20.399999999999999</v>
      </c>
      <c r="F235" s="814"/>
      <c r="G235" s="779" t="str" cm="1">
        <f t="array" ref="G235">G234</f>
        <v>2</v>
      </c>
      <c r="H235" s="1155"/>
      <c r="I235" s="1155"/>
      <c r="J235" s="1155"/>
      <c r="K235" s="1155"/>
      <c r="L235" s="1155"/>
      <c r="M235" s="1155"/>
      <c r="N235" s="1155"/>
      <c r="O235" s="1155"/>
      <c r="P235" s="1155"/>
      <c r="Q235" s="1155"/>
      <c r="R235" s="1155"/>
      <c r="S235" s="1052" t="s">
        <v>125</v>
      </c>
      <c r="T235" s="1053" t="s">
        <v>126</v>
      </c>
      <c r="U235" s="1155"/>
      <c r="V235" s="1155"/>
      <c r="W235" s="698" t="b" cm="1">
        <f t="array" ref="W235">W234</f>
        <v>1</v>
      </c>
      <c r="X235" s="1155"/>
      <c r="Y235" s="1155"/>
      <c r="Z235" s="1687"/>
      <c r="AA235" s="699"/>
      <c r="AB235" s="1708"/>
      <c r="AC235" s="1709"/>
      <c r="AD235" s="385" t="s">
        <v>127</v>
      </c>
      <c r="AE235" s="1205" cm="1">
        <f t="array" ref="AE235">IF(PERIOD_LENGTH="","",PERIOD_LENGTH)</f>
        <v>10</v>
      </c>
      <c r="AF235" s="1688"/>
      <c r="AG235" s="1156"/>
      <c r="AH235" s="1156"/>
      <c r="AI235" s="1156"/>
      <c r="AJ235" s="1156"/>
      <c r="AK235" s="1156"/>
      <c r="AL235" s="1156"/>
      <c r="AM235" s="1156"/>
      <c r="AN235" s="1156"/>
      <c r="AO235" s="1061" t="str" cm="1">
        <f t="array" ref="AO235">AO234</f>
        <v>ТЭ.42.26322895.0004</v>
      </c>
      <c r="AP235" s="1054"/>
      <c r="AQ235" s="1054"/>
      <c r="AR235" s="1054" t="s">
        <v>340</v>
      </c>
      <c r="AS235" s="1054" t="s">
        <v>128</v>
      </c>
      <c r="AT235" s="1054"/>
      <c r="AU235" s="1054"/>
      <c r="AV235" s="1054"/>
      <c r="AW235" s="1054"/>
      <c r="AX235" s="1054"/>
      <c r="AY235" s="1054"/>
      <c r="AZ235" s="1054"/>
      <c r="BA235" s="1054"/>
      <c r="BB235" s="1054"/>
      <c r="BC235" s="1054"/>
      <c r="BD235" s="1054"/>
      <c r="BE235" s="1054"/>
    </row>
    <row r="236" spans="1:57" ht="19.899999999999999" customHeight="1">
      <c r="E236" s="676">
        <v>20.399999999999999</v>
      </c>
      <c r="X236" s="318" t="s">
        <v>352</v>
      </c>
      <c r="AB236" s="1705"/>
      <c r="AC236" s="1705"/>
      <c r="AD236" s="926" t="s">
        <v>353</v>
      </c>
      <c r="AE236" s="284"/>
      <c r="AF236" s="364"/>
      <c r="AI236" s="187"/>
    </row>
    <row r="237" spans="1:57" ht="19.899999999999999" customHeight="1">
      <c r="E237" s="676">
        <v>20.399999999999999</v>
      </c>
      <c r="S237" s="1052" t="s">
        <v>111</v>
      </c>
      <c r="T237" s="1053" t="s">
        <v>112</v>
      </c>
      <c r="AB237" s="1673" t="s">
        <v>354</v>
      </c>
      <c r="AC237" s="1674"/>
      <c r="AD237" s="385" t="s">
        <v>355</v>
      </c>
      <c r="AE237" s="361" t="s">
        <v>356</v>
      </c>
      <c r="AF237" s="369"/>
      <c r="AG237" s="106" t="s">
        <v>357</v>
      </c>
      <c r="AO237" s="1054"/>
      <c r="AP237" s="1054"/>
      <c r="AQ237" s="1054"/>
      <c r="AR237" s="1054"/>
      <c r="AS237" s="1054"/>
      <c r="AT237" s="1054"/>
      <c r="AU237" s="1054"/>
      <c r="AV237" s="1054"/>
      <c r="AW237" s="1054"/>
      <c r="AX237" s="1054"/>
      <c r="AY237" s="1054"/>
      <c r="AZ237" s="1054"/>
      <c r="BA237" s="1054"/>
      <c r="BB237" s="1054"/>
      <c r="BC237" s="1054"/>
      <c r="BD237" s="1054"/>
      <c r="BE237" s="1054" t="s">
        <v>358</v>
      </c>
    </row>
    <row r="238" spans="1:57" ht="19.899999999999999" customHeight="1">
      <c r="E238" s="676">
        <v>20.399999999999999</v>
      </c>
      <c r="S238" s="1052" t="s">
        <v>111</v>
      </c>
      <c r="T238" s="1053" t="s">
        <v>112</v>
      </c>
      <c r="AB238" s="1673"/>
      <c r="AC238" s="1674"/>
      <c r="AD238" s="385" t="s">
        <v>359</v>
      </c>
      <c r="AE238" s="361" t="s">
        <v>360</v>
      </c>
      <c r="AF238" s="369"/>
      <c r="AG238" s="106" t="s">
        <v>361</v>
      </c>
      <c r="AO238" s="1054"/>
      <c r="AP238" s="1054"/>
      <c r="AQ238" s="1054"/>
      <c r="AR238" s="1054"/>
      <c r="AS238" s="1054"/>
      <c r="AT238" s="1054"/>
      <c r="AU238" s="1054"/>
      <c r="AV238" s="1054"/>
      <c r="AW238" s="1054"/>
      <c r="AX238" s="1054"/>
      <c r="AY238" s="1054"/>
      <c r="AZ238" s="1054"/>
      <c r="BA238" s="1054"/>
      <c r="BB238" s="1054"/>
      <c r="BC238" s="1054"/>
      <c r="BD238" s="1054"/>
      <c r="BE238" s="1054" t="s">
        <v>362</v>
      </c>
    </row>
    <row r="239" spans="1:57" ht="19.899999999999999" customHeight="1">
      <c r="E239" s="676">
        <v>20.399999999999999</v>
      </c>
      <c r="S239" s="1052" t="s">
        <v>111</v>
      </c>
      <c r="T239" s="1053" t="s">
        <v>112</v>
      </c>
      <c r="AB239" s="1673"/>
      <c r="AC239" s="1674"/>
      <c r="AD239" s="385" t="s">
        <v>363</v>
      </c>
      <c r="AE239" s="361" t="s">
        <v>364</v>
      </c>
      <c r="AF239" s="369"/>
      <c r="AG239" s="106" t="s">
        <v>365</v>
      </c>
      <c r="AO239" s="1054"/>
      <c r="AP239" s="1054"/>
      <c r="AQ239" s="1054"/>
      <c r="AR239" s="1054"/>
      <c r="AS239" s="1054"/>
      <c r="AT239" s="1054"/>
      <c r="AU239" s="1054"/>
      <c r="AV239" s="1054"/>
      <c r="AW239" s="1054"/>
      <c r="AX239" s="1054"/>
      <c r="AY239" s="1054"/>
      <c r="AZ239" s="1054"/>
      <c r="BA239" s="1054"/>
      <c r="BB239" s="1054"/>
      <c r="BC239" s="1054"/>
      <c r="BD239" s="1054"/>
      <c r="BE239" s="1054" t="s">
        <v>366</v>
      </c>
    </row>
    <row r="240" spans="1:57" ht="19.899999999999999" customHeight="1">
      <c r="E240" s="676">
        <v>20.399999999999999</v>
      </c>
      <c r="S240" s="1052" t="s">
        <v>111</v>
      </c>
      <c r="T240" s="1053" t="s">
        <v>112</v>
      </c>
      <c r="AB240" s="1673"/>
      <c r="AC240" s="1674"/>
      <c r="AD240" s="385" t="s">
        <v>367</v>
      </c>
      <c r="AE240" s="361" t="s">
        <v>368</v>
      </c>
      <c r="AF240" s="369"/>
      <c r="AG240" s="106" t="s">
        <v>369</v>
      </c>
      <c r="AO240" s="1054"/>
      <c r="AP240" s="1054"/>
      <c r="AQ240" s="1054"/>
      <c r="AR240" s="1054"/>
      <c r="AS240" s="1054"/>
      <c r="AT240" s="1054"/>
      <c r="AU240" s="1054"/>
      <c r="AV240" s="1054"/>
      <c r="AW240" s="1054"/>
      <c r="AX240" s="1054"/>
      <c r="AY240" s="1054"/>
      <c r="AZ240" s="1054"/>
      <c r="BA240" s="1054"/>
      <c r="BB240" s="1054"/>
      <c r="BC240" s="1054"/>
      <c r="BD240" s="1054"/>
      <c r="BE240" s="1054" t="s">
        <v>370</v>
      </c>
    </row>
    <row r="241" spans="5:57" ht="19.899999999999999" customHeight="1">
      <c r="E241" s="676">
        <v>20.399999999999999</v>
      </c>
      <c r="S241" s="1052" t="s">
        <v>111</v>
      </c>
      <c r="T241" s="1053" t="s">
        <v>112</v>
      </c>
      <c r="AB241" s="1673"/>
      <c r="AC241" s="1674"/>
      <c r="AD241" s="385" t="s">
        <v>371</v>
      </c>
      <c r="AE241" s="1223" t="s">
        <v>372</v>
      </c>
      <c r="AF241" s="369"/>
      <c r="AG241" s="106" t="s">
        <v>373</v>
      </c>
      <c r="AO241" s="1054"/>
      <c r="AP241" s="1054"/>
      <c r="AQ241" s="1054"/>
      <c r="AR241" s="1054"/>
      <c r="AS241" s="1054"/>
      <c r="AT241" s="1054"/>
      <c r="AU241" s="1054"/>
      <c r="AV241" s="1054"/>
      <c r="AW241" s="1054"/>
      <c r="AX241" s="1054"/>
      <c r="AY241" s="1054"/>
      <c r="AZ241" s="1054"/>
      <c r="BA241" s="1054"/>
      <c r="BB241" s="1054"/>
      <c r="BC241" s="1054"/>
      <c r="BD241" s="1054"/>
      <c r="BE241" s="1054" t="s">
        <v>374</v>
      </c>
    </row>
    <row r="242" spans="5:57" ht="19.899999999999999" hidden="1" customHeight="1">
      <c r="E242" s="676">
        <v>20.399999999999999</v>
      </c>
      <c r="S242" s="1052" t="s">
        <v>111</v>
      </c>
      <c r="T242" s="1053" t="s">
        <v>112</v>
      </c>
      <c r="W242" s="698" t="b">
        <f>ROW(X242)&gt;ROW(X$242)</f>
        <v>0</v>
      </c>
      <c r="X242" s="129" t="s">
        <v>315</v>
      </c>
      <c r="AB242" s="1673"/>
      <c r="AC242" s="1674"/>
      <c r="AD242" s="1224"/>
      <c r="AE242" s="1225"/>
      <c r="AF242" s="631" t="s">
        <v>218</v>
      </c>
      <c r="AO242" s="1061" cm="1">
        <f t="array" ref="AO242">AD242</f>
        <v>0</v>
      </c>
      <c r="AP242" s="1054"/>
      <c r="AQ242" s="1054"/>
      <c r="AR242" s="1054"/>
      <c r="AS242" s="1054"/>
      <c r="AT242" s="1054"/>
      <c r="AU242" s="1054"/>
      <c r="AV242" s="1054"/>
      <c r="AW242" s="1054"/>
      <c r="AX242" s="1054"/>
      <c r="AY242" s="1054"/>
      <c r="AZ242" s="1054"/>
      <c r="BA242" s="1054"/>
      <c r="BB242" s="1054"/>
      <c r="BC242" s="1054"/>
      <c r="BD242" s="1054"/>
      <c r="BE242" s="1054" t="s">
        <v>375</v>
      </c>
    </row>
    <row r="243" spans="5:57" ht="14.65" customHeight="1">
      <c r="E243" s="676">
        <v>15</v>
      </c>
      <c r="X243" s="318" t="s">
        <v>237</v>
      </c>
      <c r="AB243" s="1673"/>
      <c r="AC243" s="1674"/>
      <c r="AD243" s="386" t="s">
        <v>376</v>
      </c>
      <c r="AE243" s="355"/>
      <c r="AF243" s="369"/>
    </row>
    <row r="244" spans="5:57" ht="19.899999999999999" customHeight="1">
      <c r="E244" s="676">
        <v>20.399999999999999</v>
      </c>
      <c r="AB244" s="1673"/>
      <c r="AC244" s="1674"/>
      <c r="AD244" s="385" t="s">
        <v>377</v>
      </c>
      <c r="AE244" s="387" t="str" cm="1">
        <f t="array" ref="AE244">IF(ISBLANK(method_reg),"",method_reg)</f>
        <v>Метод индексации</v>
      </c>
      <c r="AF244" s="369"/>
    </row>
    <row r="245" spans="5:57" ht="19.899999999999999" customHeight="1">
      <c r="E245" s="676">
        <v>20.399999999999999</v>
      </c>
      <c r="AB245" s="1673"/>
      <c r="AC245" s="1674"/>
      <c r="AD245" s="385" t="s">
        <v>121</v>
      </c>
      <c r="AE245" s="388" cm="1">
        <f t="array" ref="AE245">IF(ISBLANK(god),"",god)</f>
        <v>2026</v>
      </c>
      <c r="AF245" s="369"/>
    </row>
    <row r="246" spans="5:57" ht="19.899999999999999" customHeight="1">
      <c r="E246" s="676">
        <v>20.399999999999999</v>
      </c>
      <c r="AB246" s="1673"/>
      <c r="AC246" s="1674"/>
      <c r="AD246" s="385" t="s">
        <v>123</v>
      </c>
      <c r="AE246" s="388" cm="1">
        <f t="array" ref="AE246">IF(ISBLANK(first_year),"",first_year)</f>
        <v>2021</v>
      </c>
      <c r="AF246" s="369"/>
    </row>
    <row r="247" spans="5:57" ht="19.899999999999999" customHeight="1">
      <c r="E247" s="676">
        <v>20.399999999999999</v>
      </c>
      <c r="AB247" s="1675"/>
      <c r="AC247" s="1676"/>
      <c r="AD247" s="385" t="s">
        <v>127</v>
      </c>
      <c r="AE247" s="388" cm="1">
        <f t="array" ref="AE247">IF(ISBLANK(PERIOD_LENGTH),"",PERIOD_LENGTH)</f>
        <v>10</v>
      </c>
      <c r="AF247" s="369"/>
    </row>
    <row r="248" spans="5:57" ht="24" customHeight="1">
      <c r="E248" s="676">
        <v>24.6</v>
      </c>
      <c r="S248" s="1052" t="s">
        <v>186</v>
      </c>
      <c r="T248" s="1053" t="s">
        <v>187</v>
      </c>
      <c r="AB248" s="1682" t="s">
        <v>378</v>
      </c>
      <c r="AC248" s="1683"/>
      <c r="AD248" s="1684"/>
      <c r="AE248" s="379" t="s">
        <v>200</v>
      </c>
      <c r="AF248" s="374"/>
      <c r="AO248" s="1054"/>
      <c r="AP248" s="1054"/>
      <c r="AQ248" s="1054"/>
      <c r="AR248" s="1054" t="s">
        <v>379</v>
      </c>
      <c r="AS248" s="1054"/>
      <c r="AT248" s="1054"/>
      <c r="AU248" s="1054"/>
      <c r="AV248" s="1054"/>
      <c r="AW248" s="1054"/>
      <c r="AX248" s="1054"/>
      <c r="AY248" s="1054"/>
      <c r="AZ248" s="1054"/>
      <c r="BA248" s="1054"/>
      <c r="BB248" s="1054"/>
      <c r="BC248" s="1054"/>
      <c r="BD248" s="1054"/>
      <c r="BE248" s="1054"/>
    </row>
    <row r="249" spans="5:57" ht="11.65" customHeight="1">
      <c r="E249" s="676">
        <v>12</v>
      </c>
    </row>
    <row r="250" spans="5:57" ht="19.899999999999999" customHeight="1">
      <c r="E250" s="676">
        <v>20.399999999999999</v>
      </c>
      <c r="S250" s="1052" t="s">
        <v>111</v>
      </c>
      <c r="T250" s="1053" t="s">
        <v>112</v>
      </c>
      <c r="AB250" s="1682" t="s">
        <v>380</v>
      </c>
      <c r="AC250" s="1683"/>
      <c r="AD250" s="1684"/>
      <c r="AE250" s="391"/>
      <c r="AO250" s="1054"/>
      <c r="AP250" s="1054"/>
      <c r="AQ250" s="1054"/>
      <c r="AR250" s="1054" t="s">
        <v>381</v>
      </c>
      <c r="AS250" s="1054"/>
      <c r="AT250" s="1054"/>
      <c r="AU250" s="1054"/>
      <c r="AV250" s="1054"/>
      <c r="AW250" s="1054"/>
      <c r="AX250" s="1054"/>
      <c r="AY250" s="1054"/>
      <c r="AZ250" s="1054"/>
      <c r="BA250" s="1054"/>
      <c r="BB250" s="1054"/>
      <c r="BC250" s="1054"/>
      <c r="BD250" s="1054"/>
      <c r="BE250" s="1054"/>
    </row>
    <row r="251" spans="5:57" ht="11.25" customHeight="1">
      <c r="AF251" s="164"/>
    </row>
    <row r="252" spans="5:57" ht="19.5" hidden="1" customHeight="1"/>
  </sheetData>
  <sheetProtection formatColumns="0" formatRows="0" insertRows="0" deleteColumns="0" deleteRows="0" sort="0" autoFilter="0"/>
  <mergeCells count="179">
    <mergeCell ref="AF204:AF219"/>
    <mergeCell ref="Z220:Z235"/>
    <mergeCell ref="AF220:AF235"/>
    <mergeCell ref="AB149:AB154"/>
    <mergeCell ref="AC149:AD149"/>
    <mergeCell ref="AC150:AD150"/>
    <mergeCell ref="AC151:AD151"/>
    <mergeCell ref="AC152:AD152"/>
    <mergeCell ref="AC153:AD153"/>
    <mergeCell ref="AC154:AD154"/>
    <mergeCell ref="AA149:AA154"/>
    <mergeCell ref="Z204:Z219"/>
    <mergeCell ref="AC110:AD110"/>
    <mergeCell ref="AC111:AD111"/>
    <mergeCell ref="AC112:AD112"/>
    <mergeCell ref="AC113:AD113"/>
    <mergeCell ref="AC114:AD114"/>
    <mergeCell ref="AA109:AA114"/>
    <mergeCell ref="AB129:AB134"/>
    <mergeCell ref="AC129:AD129"/>
    <mergeCell ref="AC130:AD130"/>
    <mergeCell ref="AC131:AD131"/>
    <mergeCell ref="AC132:AD132"/>
    <mergeCell ref="AC133:AD133"/>
    <mergeCell ref="AC134:AD134"/>
    <mergeCell ref="AA129:AA134"/>
    <mergeCell ref="AB143:AB148"/>
    <mergeCell ref="AC143:AD143"/>
    <mergeCell ref="AC144:AD144"/>
    <mergeCell ref="AC145:AD145"/>
    <mergeCell ref="AC146:AD146"/>
    <mergeCell ref="AC147:AD147"/>
    <mergeCell ref="AC148:AD148"/>
    <mergeCell ref="AA143:AA148"/>
    <mergeCell ref="AC104:AD104"/>
    <mergeCell ref="AC105:AD105"/>
    <mergeCell ref="AC106:AD106"/>
    <mergeCell ref="AC107:AD107"/>
    <mergeCell ref="AC108:AD108"/>
    <mergeCell ref="AA103:AA108"/>
    <mergeCell ref="AB123:AB128"/>
    <mergeCell ref="AC123:AD123"/>
    <mergeCell ref="AC124:AD124"/>
    <mergeCell ref="AC125:AD125"/>
    <mergeCell ref="AC126:AD126"/>
    <mergeCell ref="AC127:AD127"/>
    <mergeCell ref="AC128:AD128"/>
    <mergeCell ref="AA123:AA128"/>
    <mergeCell ref="AB109:AB114"/>
    <mergeCell ref="AC109:AD109"/>
    <mergeCell ref="AB59:AD59"/>
    <mergeCell ref="AB60:AD60"/>
    <mergeCell ref="AB61:AD61"/>
    <mergeCell ref="AB64:AD64"/>
    <mergeCell ref="AB165:AE165"/>
    <mergeCell ref="AB187:AC236"/>
    <mergeCell ref="AB166:AE166"/>
    <mergeCell ref="AB116:AD116"/>
    <mergeCell ref="AC139:AD139"/>
    <mergeCell ref="AC140:AD140"/>
    <mergeCell ref="AC141:AD141"/>
    <mergeCell ref="AC142:AD142"/>
    <mergeCell ref="AB157:AD157"/>
    <mergeCell ref="AB167:AE167"/>
    <mergeCell ref="AB136:AD136"/>
    <mergeCell ref="AB137:AB142"/>
    <mergeCell ref="AC137:AD137"/>
    <mergeCell ref="AC138:AD138"/>
    <mergeCell ref="AB178:AE178"/>
    <mergeCell ref="AB180:AE180"/>
    <mergeCell ref="AC122:AD122"/>
    <mergeCell ref="AB184:AC186"/>
    <mergeCell ref="AB183:AD183"/>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88:Z203"/>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88:AF203"/>
    <mergeCell ref="AB250:AD250"/>
    <mergeCell ref="AB248:AD248"/>
    <mergeCell ref="AB164:AE164"/>
    <mergeCell ref="AB65:AD65"/>
    <mergeCell ref="AB66:AB70"/>
    <mergeCell ref="AC66:AD66"/>
    <mergeCell ref="AC67:AD67"/>
    <mergeCell ref="AC68:AD68"/>
    <mergeCell ref="AC69:AD69"/>
    <mergeCell ref="AC70:AD70"/>
    <mergeCell ref="AB117:AB122"/>
    <mergeCell ref="AC117:AD117"/>
    <mergeCell ref="AC118:AD118"/>
    <mergeCell ref="AC119:AD119"/>
    <mergeCell ref="AC120:AD120"/>
    <mergeCell ref="AC121:AD121"/>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37:AC247"/>
    <mergeCell ref="AB170:AE170"/>
    <mergeCell ref="AB171:AE171"/>
    <mergeCell ref="AB172:AE172"/>
    <mergeCell ref="AB173:AE173"/>
    <mergeCell ref="AB156:AD156"/>
    <mergeCell ref="AB159:AC162"/>
    <mergeCell ref="AB174:AE174"/>
    <mergeCell ref="AB175:AE175"/>
    <mergeCell ref="AB176:AE176"/>
    <mergeCell ref="AB177:AE177"/>
    <mergeCell ref="AB179:AE179"/>
    <mergeCell ref="AB182:AE182"/>
    <mergeCell ref="AB168:AE168"/>
    <mergeCell ref="AB169:AE169"/>
    <mergeCell ref="AA90:AA94"/>
  </mergeCells>
  <dataValidations count="15">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list" allowBlank="1" showInputMessage="1" showErrorMessage="1" sqref="AE190 AE206 AE222" xr:uid="{00000000-0002-0000-0300-000001000000}">
      <formula1>tariff_list</formula1>
    </dataValidation>
    <dataValidation type="list" allowBlank="1" showInputMessage="1" showErrorMessage="1" sqref="AE191 AE207 AE223"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201 AE217 AE233"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type="list" allowBlank="1" showInputMessage="1" showErrorMessage="1" errorTitle="Ошибка" error="Выберите значение из списка" prompt="Выберите значение из списка" sqref="AE192 AE208 AE224" xr:uid="{00000000-0002-0000-0300-000006000000}">
      <formula1>tariff_type_list</formula1>
    </dataValidation>
    <dataValidation type="list" showInputMessage="1" showErrorMessage="1" errorTitle="Внимание" error="Пожалуйста, выберите значение из списка!" sqref="AE25 AE202 AE218 AE234" xr:uid="{00000000-0002-0000-0300-000007000000}">
      <formula1>YEAR_LIST</formula1>
    </dataValidation>
    <dataValidation type="list" allowBlank="1" showInputMessage="1" showErrorMessage="1" sqref="AB236:AC236 AB187:AC187"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203 AE219 AE235"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8 AE138 AE184 AE79 AE91 AE104 AE124 AE144 AE110 AE130 AE150"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6 AE136 AE157 AE64:AE65 AE248 AE183 AE56 AE58:AE60 AE250" xr:uid="{00000000-0002-0000-0300-00000D000000}">
      <formula1>YES_NO</formula1>
    </dataValidation>
    <dataValidation type="date" operator="greaterThanOrEqual" allowBlank="1" showInputMessage="1" showErrorMessage="1" error="Дата указана некорректно!" sqref="AE76 AE200 AE216 AE232 AE198 AE214 AE230 AE186 AE146:AE148 AE152:AE154 AE140:AE142 AE126:AE128 AE132:AE134 AE120:AE122 AE106:AE108 AE112:AE114 AE100:AE102 AE93 AE88 AE81" xr:uid="{00000000-0002-0000-0300-00000E000000}">
      <formula1>1.99969907407407</formula1>
    </dataValidation>
  </dataValidations>
  <hyperlinks>
    <hyperlink ref="AE77" r:id="rId1" tooltip="https://portal.eias.ru/Portal/DownloadPage.aspx?type=12&amp;guid=41c2ea20-e5f2-4587-b8b6-ddb0fe21db2a" xr:uid="{29700F09-1DE8-ED28-F888-9418CCD04D48}"/>
    <hyperlink ref="AE97" r:id="rId2" tooltip="https://portal.eias.ru/Portal/DownloadPage.aspx?type=12&amp;guid=41c2ea20-e5f2-4587-b8b6-ddb0fe21db2a" xr:uid="{264CD041-4178-45D8-4D78-2A2749D74668}"/>
    <hyperlink ref="AE241" r:id="rId3" xr:uid="{82921558-6D42-B1ED-3C0D-C45664504A4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7"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D9FEB-5648-8062-FD0F-351BA01D6C78}">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6288</v>
      </c>
    </row>
    <row r="2" spans="1:2" ht="11.25" customHeight="1">
      <c r="A2" t="s">
        <v>6289</v>
      </c>
      <c r="B2" t="s">
        <v>6290</v>
      </c>
    </row>
    <row r="3" spans="1:2" ht="11.25" customHeight="1">
      <c r="A3" t="s">
        <v>6291</v>
      </c>
    </row>
    <row r="4" spans="1:2" ht="11.25" customHeight="1">
      <c r="A4" t="s">
        <v>156</v>
      </c>
    </row>
    <row r="5" spans="1:2" ht="11.25" customHeight="1">
      <c r="A5" t="s">
        <v>4946</v>
      </c>
    </row>
    <row r="6" spans="1:2" ht="11.25" customHeight="1">
      <c r="A6" t="s">
        <v>5242</v>
      </c>
    </row>
    <row r="7" spans="1:2" ht="11.25" customHeight="1">
      <c r="A7" t="s">
        <v>6292</v>
      </c>
    </row>
    <row r="8" spans="1:2" ht="11.25" customHeight="1">
      <c r="A8" t="s">
        <v>6293</v>
      </c>
    </row>
    <row r="9" spans="1:2" ht="11.25" customHeight="1">
      <c r="A9" t="s">
        <v>6294</v>
      </c>
    </row>
    <row r="10" spans="1:2" ht="11.25" customHeight="1">
      <c r="A10" t="s">
        <v>6295</v>
      </c>
    </row>
    <row r="11" spans="1:2" ht="11.25" customHeight="1">
      <c r="A11" t="s">
        <v>6296</v>
      </c>
    </row>
    <row r="12" spans="1:2" ht="11.25" customHeight="1">
      <c r="A12" t="s">
        <v>6297</v>
      </c>
    </row>
    <row r="13" spans="1:2" ht="11.25" customHeight="1">
      <c r="A13" t="s">
        <v>6298</v>
      </c>
    </row>
    <row r="14" spans="1:2" ht="11.25" customHeight="1">
      <c r="A14" t="s">
        <v>6299</v>
      </c>
    </row>
    <row r="15" spans="1:2" ht="11.25" customHeight="1">
      <c r="A15" t="s">
        <v>6300</v>
      </c>
    </row>
    <row r="16" spans="1:2" ht="11.25" customHeight="1">
      <c r="A16" t="s">
        <v>6301</v>
      </c>
    </row>
    <row r="17" spans="1:1" ht="11.25" customHeight="1">
      <c r="A17" t="s">
        <v>6302</v>
      </c>
    </row>
    <row r="18" spans="1:1" ht="11.25" customHeight="1">
      <c r="A18" t="s">
        <v>6303</v>
      </c>
    </row>
    <row r="19" spans="1:1" ht="11.25" customHeight="1">
      <c r="A19" t="s">
        <v>6304</v>
      </c>
    </row>
    <row r="20" spans="1:1" ht="11.25" customHeight="1">
      <c r="A20" t="s">
        <v>6305</v>
      </c>
    </row>
    <row r="21" spans="1:1" ht="11.25" customHeight="1">
      <c r="A21" t="s">
        <v>6306</v>
      </c>
    </row>
    <row r="22" spans="1:1" ht="11.25" customHeight="1">
      <c r="A22" t="s">
        <v>6307</v>
      </c>
    </row>
    <row r="23" spans="1:1" ht="11.25" customHeight="1">
      <c r="A23" t="s">
        <v>6308</v>
      </c>
    </row>
    <row r="24" spans="1:1" ht="11.25" customHeight="1">
      <c r="A24" t="s">
        <v>6309</v>
      </c>
    </row>
    <row r="25" spans="1:1" ht="11.25" customHeight="1">
      <c r="A25" t="s">
        <v>6310</v>
      </c>
    </row>
    <row r="26" spans="1:1" ht="11.25" customHeight="1">
      <c r="A26" t="s">
        <v>6311</v>
      </c>
    </row>
    <row r="27" spans="1:1" ht="11.25" customHeight="1">
      <c r="A27" t="s">
        <v>6312</v>
      </c>
    </row>
    <row r="28" spans="1:1" ht="11.25" customHeight="1">
      <c r="A28" t="s">
        <v>6313</v>
      </c>
    </row>
    <row r="29" spans="1:1" ht="11.25" customHeight="1">
      <c r="A29" t="s">
        <v>6314</v>
      </c>
    </row>
    <row r="30" spans="1:1" ht="11.25" customHeight="1">
      <c r="A30" t="s">
        <v>6315</v>
      </c>
    </row>
    <row r="31" spans="1:1" ht="11.25" customHeight="1">
      <c r="A31" t="s">
        <v>6316</v>
      </c>
    </row>
    <row r="32" spans="1:1" ht="11.25" customHeight="1">
      <c r="A32" t="s">
        <v>6317</v>
      </c>
    </row>
    <row r="33" spans="1:1" ht="11.25" customHeight="1">
      <c r="A33" t="s">
        <v>6318</v>
      </c>
    </row>
    <row r="34" spans="1:1" ht="11.25" customHeight="1">
      <c r="A34" t="s">
        <v>6319</v>
      </c>
    </row>
    <row r="35" spans="1:1" ht="11.25" customHeight="1">
      <c r="A35" t="s">
        <v>6320</v>
      </c>
    </row>
    <row r="36" spans="1:1" ht="11.25" customHeight="1">
      <c r="A36" t="s">
        <v>6321</v>
      </c>
    </row>
    <row r="37" spans="1:1" ht="11.25" customHeight="1">
      <c r="A37" t="s">
        <v>6322</v>
      </c>
    </row>
    <row r="38" spans="1:1" ht="11.25" customHeight="1">
      <c r="A38" t="s">
        <v>6323</v>
      </c>
    </row>
    <row r="39" spans="1:1" ht="11.25" customHeight="1">
      <c r="A39" t="s">
        <v>6324</v>
      </c>
    </row>
    <row r="40" spans="1:1" ht="11.25" customHeight="1">
      <c r="A40" t="s">
        <v>6325</v>
      </c>
    </row>
    <row r="41" spans="1:1" ht="11.25" customHeight="1">
      <c r="A41" t="s">
        <v>6326</v>
      </c>
    </row>
    <row r="42" spans="1:1" ht="11.25" customHeight="1">
      <c r="A42" t="s">
        <v>6327</v>
      </c>
    </row>
    <row r="43" spans="1:1" ht="11.25" customHeight="1">
      <c r="A43" t="s">
        <v>6328</v>
      </c>
    </row>
    <row r="44" spans="1:1" ht="11.25" customHeight="1">
      <c r="A44" t="s">
        <v>6329</v>
      </c>
    </row>
    <row r="45" spans="1:1" ht="11.25" customHeight="1">
      <c r="A45" t="s">
        <v>6330</v>
      </c>
    </row>
    <row r="46" spans="1:1" ht="11.25" customHeight="1">
      <c r="A46" t="s">
        <v>6331</v>
      </c>
    </row>
    <row r="47" spans="1:1" ht="11.25" customHeight="1">
      <c r="A47" t="s">
        <v>6332</v>
      </c>
    </row>
    <row r="48" spans="1:1" ht="11.25" customHeight="1">
      <c r="A48" t="s">
        <v>6333</v>
      </c>
    </row>
    <row r="49" spans="1:1" ht="11.25" customHeight="1">
      <c r="A49" t="s">
        <v>6334</v>
      </c>
    </row>
    <row r="50" spans="1:1" ht="11.25" customHeight="1">
      <c r="A50" t="s">
        <v>6335</v>
      </c>
    </row>
    <row r="51" spans="1:1" ht="11.25" customHeight="1">
      <c r="A51" t="s">
        <v>6336</v>
      </c>
    </row>
    <row r="52" spans="1:1" ht="11.25" customHeight="1">
      <c r="A52" t="s">
        <v>6337</v>
      </c>
    </row>
    <row r="53" spans="1:1" ht="11.25" customHeight="1">
      <c r="A53" t="s">
        <v>6338</v>
      </c>
    </row>
    <row r="54" spans="1:1" ht="11.25" customHeight="1">
      <c r="A54" t="s">
        <v>6339</v>
      </c>
    </row>
    <row r="55" spans="1:1" ht="11.25" customHeight="1">
      <c r="A55" t="s">
        <v>6340</v>
      </c>
    </row>
    <row r="56" spans="1:1" ht="11.25" customHeight="1">
      <c r="A56" t="s">
        <v>6341</v>
      </c>
    </row>
    <row r="57" spans="1:1" ht="11.25" customHeight="1">
      <c r="A57" t="s">
        <v>5450</v>
      </c>
    </row>
    <row r="58" spans="1:1" ht="11.25" customHeight="1">
      <c r="A58" t="s">
        <v>6342</v>
      </c>
    </row>
    <row r="59" spans="1:1" ht="11.25" customHeight="1">
      <c r="A59" t="s">
        <v>6343</v>
      </c>
    </row>
    <row r="60" spans="1:1" ht="11.25" customHeight="1">
      <c r="A60" t="s">
        <v>6344</v>
      </c>
    </row>
    <row r="61" spans="1:1" ht="11.25" customHeight="1">
      <c r="A61" t="s">
        <v>6345</v>
      </c>
    </row>
    <row r="62" spans="1:1" ht="11.25" customHeight="1">
      <c r="A62" t="s">
        <v>6346</v>
      </c>
    </row>
    <row r="63" spans="1:1" ht="11.25" customHeight="1">
      <c r="A63" t="s">
        <v>6347</v>
      </c>
    </row>
    <row r="64" spans="1:1" ht="11.25" customHeight="1">
      <c r="A64" t="s">
        <v>6348</v>
      </c>
    </row>
    <row r="65" spans="1:1" ht="11.25" customHeight="1">
      <c r="A65" t="s">
        <v>6349</v>
      </c>
    </row>
    <row r="66" spans="1:1" ht="11.25" customHeight="1">
      <c r="A66" t="s">
        <v>5704</v>
      </c>
    </row>
    <row r="67" spans="1:1" ht="11.25" customHeight="1">
      <c r="A67" t="s">
        <v>6350</v>
      </c>
    </row>
    <row r="68" spans="1:1" ht="11.25" customHeight="1">
      <c r="A68" t="s">
        <v>6351</v>
      </c>
    </row>
    <row r="69" spans="1:1" ht="11.25" customHeight="1">
      <c r="A69" t="s">
        <v>6352</v>
      </c>
    </row>
    <row r="70" spans="1:1" ht="11.25" customHeight="1">
      <c r="A70" t="s">
        <v>6353</v>
      </c>
    </row>
    <row r="71" spans="1:1" ht="11.25" customHeight="1">
      <c r="A71" t="s">
        <v>5083</v>
      </c>
    </row>
    <row r="72" spans="1:1" ht="11.25" customHeight="1">
      <c r="A72" t="s">
        <v>6354</v>
      </c>
    </row>
    <row r="73" spans="1:1" ht="11.25" customHeight="1">
      <c r="A73" t="s">
        <v>6355</v>
      </c>
    </row>
    <row r="74" spans="1:1" ht="11.25" customHeight="1">
      <c r="A74" t="s">
        <v>5095</v>
      </c>
    </row>
    <row r="75" spans="1:1" ht="11.25" customHeight="1">
      <c r="A75" t="s">
        <v>6356</v>
      </c>
    </row>
    <row r="76" spans="1:1" ht="11.25" customHeight="1">
      <c r="A76" t="s">
        <v>6357</v>
      </c>
    </row>
    <row r="77" spans="1:1" ht="11.25" customHeight="1">
      <c r="A77" t="s">
        <v>6358</v>
      </c>
    </row>
    <row r="78" spans="1:1" ht="11.25" customHeight="1">
      <c r="A78" t="s">
        <v>6359</v>
      </c>
    </row>
    <row r="79" spans="1:1" ht="11.25" customHeight="1">
      <c r="A79" t="s">
        <v>6360</v>
      </c>
    </row>
    <row r="80" spans="1:1" ht="11.25" customHeight="1">
      <c r="A80" t="s">
        <v>6361</v>
      </c>
    </row>
    <row r="81" spans="1:1" ht="11.25" customHeight="1">
      <c r="A81" t="s">
        <v>6362</v>
      </c>
    </row>
    <row r="82" spans="1:1" ht="11.25" customHeight="1">
      <c r="A82" t="s">
        <v>6363</v>
      </c>
    </row>
    <row r="83" spans="1:1" ht="11.25" customHeight="1">
      <c r="A83" t="s">
        <v>6364</v>
      </c>
    </row>
    <row r="84" spans="1:1" ht="11.25" customHeight="1">
      <c r="A84" t="s">
        <v>6365</v>
      </c>
    </row>
    <row r="85" spans="1:1" ht="11.25" customHeight="1">
      <c r="A85" t="s">
        <v>6281</v>
      </c>
    </row>
    <row r="86" spans="1:1" ht="11.25" customHeight="1">
      <c r="A86" t="s">
        <v>5475</v>
      </c>
    </row>
    <row r="87" spans="1:1" ht="11.25" customHeight="1">
      <c r="A87" t="s">
        <v>6366</v>
      </c>
    </row>
    <row r="88" spans="1:1" ht="11.25" customHeight="1">
      <c r="A88" t="s">
        <v>5661</v>
      </c>
    </row>
    <row r="89" spans="1:1" ht="11.25" customHeight="1">
      <c r="A89" t="s">
        <v>6367</v>
      </c>
    </row>
    <row r="90" spans="1:1" ht="11.25" customHeight="1">
      <c r="A90" t="s">
        <v>5673</v>
      </c>
    </row>
    <row r="91" spans="1:1" ht="11.25" customHeight="1">
      <c r="A91" t="s">
        <v>6368</v>
      </c>
    </row>
    <row r="92" spans="1:1" ht="11.25" customHeight="1">
      <c r="A92" t="s">
        <v>6369</v>
      </c>
    </row>
    <row r="93" spans="1:1" ht="11.25" customHeight="1">
      <c r="A93" t="s">
        <v>5520</v>
      </c>
    </row>
    <row r="94" spans="1:1" ht="11.25" customHeight="1">
      <c r="A94" t="s">
        <v>6370</v>
      </c>
    </row>
    <row r="95" spans="1:1" ht="11.25" customHeight="1">
      <c r="A95" t="s">
        <v>6371</v>
      </c>
    </row>
    <row r="96" spans="1:1" ht="11.25" customHeight="1">
      <c r="A96" t="s">
        <v>6372</v>
      </c>
    </row>
    <row r="97" spans="1:1" ht="11.25" customHeight="1">
      <c r="A97" t="s">
        <v>6373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AD38-CCE6-6688-BEEB-3E0F20312198}">
  <sheetPr>
    <tabColor rgb="FFFFCC99"/>
  </sheetPr>
  <dimension ref="A1:A8"/>
  <sheetViews>
    <sheetView workbookViewId="0"/>
  </sheetViews>
  <sheetFormatPr defaultColWidth="8.85546875" defaultRowHeight="15" customHeight="1"/>
  <sheetData>
    <row r="1" spans="1:1" ht="15" customHeight="1">
      <c r="A1" t="s">
        <v>6374</v>
      </c>
    </row>
    <row r="2" spans="1:1" ht="15" customHeight="1">
      <c r="A2" t="s">
        <v>6375</v>
      </c>
    </row>
    <row r="3" spans="1:1" ht="15" customHeight="1">
      <c r="A3" t="s">
        <v>6376</v>
      </c>
    </row>
    <row r="4" spans="1:1" ht="15" customHeight="1">
      <c r="A4" t="s">
        <v>6377</v>
      </c>
    </row>
    <row r="5" spans="1:1" ht="15" customHeight="1">
      <c r="A5" t="s">
        <v>6378</v>
      </c>
    </row>
    <row r="6" spans="1:1" ht="15" customHeight="1">
      <c r="A6" t="s">
        <v>6379</v>
      </c>
    </row>
    <row r="7" spans="1:1" ht="15" customHeight="1">
      <c r="A7" t="s">
        <v>6380</v>
      </c>
    </row>
    <row r="8" spans="1:1" ht="15" customHeight="1">
      <c r="A8" t="s">
        <v>6381</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A8B3-D358-5098-D74D-BEF17F3A9E7C}">
  <sheetPr>
    <tabColor rgb="FFFFCC99"/>
  </sheetPr>
  <dimension ref="A1:A9"/>
  <sheetViews>
    <sheetView workbookViewId="0"/>
  </sheetViews>
  <sheetFormatPr defaultColWidth="8.85546875" defaultRowHeight="15" customHeight="1"/>
  <sheetData>
    <row r="1" spans="1:1" ht="15" customHeight="1">
      <c r="A1" t="s">
        <v>6382</v>
      </c>
    </row>
    <row r="2" spans="1:1" ht="15" customHeight="1">
      <c r="A2" t="s">
        <v>6383</v>
      </c>
    </row>
    <row r="3" spans="1:1" ht="15" customHeight="1">
      <c r="A3" t="s">
        <v>347</v>
      </c>
    </row>
    <row r="4" spans="1:1" ht="15" customHeight="1">
      <c r="A4" t="s">
        <v>6384</v>
      </c>
    </row>
    <row r="5" spans="1:1" ht="15" customHeight="1">
      <c r="A5" t="s">
        <v>6385</v>
      </c>
    </row>
    <row r="6" spans="1:1" ht="15" customHeight="1">
      <c r="A6" t="s">
        <v>6386</v>
      </c>
    </row>
    <row r="7" spans="1:1" ht="15" customHeight="1">
      <c r="A7" t="s">
        <v>6387</v>
      </c>
    </row>
    <row r="8" spans="1:1" ht="15" customHeight="1">
      <c r="A8" t="s">
        <v>6388</v>
      </c>
    </row>
    <row r="9" spans="1:1" ht="15" customHeight="1">
      <c r="A9" t="s">
        <v>6389</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7B88-7468-951B-7033-0673A2773278}">
  <sheetPr>
    <tabColor theme="3" tint="0.59999389629810485"/>
    <outlinePr summaryBelow="0" summaryRight="0"/>
    <pageSetUpPr fitToPage="1"/>
  </sheetPr>
  <dimension ref="A1:AP38"/>
  <sheetViews>
    <sheetView showGridLines="0" workbookViewId="0">
      <pane xSplit="28" ySplit="25" topLeftCell="AC29" activePane="bottomRight" state="frozen"/>
      <selection pane="topRight" activeCell="AC1" sqref="AC1"/>
      <selection pane="bottomLeft" activeCell="A26" sqref="A26"/>
      <selection pane="bottomRight" activeCell="AC35" sqref="AC35"/>
    </sheetView>
  </sheetViews>
  <sheetFormatPr defaultColWidth="9.140625" defaultRowHeight="11.25" customHeight="1"/>
  <cols>
    <col min="1" max="1" width="3.5703125" style="1154" hidden="1" customWidth="1"/>
    <col min="2" max="2" width="8.5703125" style="1154" hidden="1" customWidth="1"/>
    <col min="3" max="4" width="3.5703125" style="1154" hidden="1" customWidth="1"/>
    <col min="5" max="5" width="8.42578125" style="288" hidden="1" customWidth="1"/>
    <col min="6" max="6" width="6.42578125" style="1154" hidden="1" customWidth="1"/>
    <col min="7" max="19" width="3.5703125" style="1154" hidden="1" customWidth="1"/>
    <col min="20" max="20" width="3.5703125" style="1153" hidden="1" customWidth="1"/>
    <col min="21" max="21" width="7.42578125" style="1154" hidden="1" customWidth="1"/>
    <col min="22" max="23" width="6" style="1154" hidden="1" customWidth="1"/>
    <col min="24" max="24" width="8" style="1154" hidden="1" customWidth="1"/>
    <col min="25" max="25" width="5.42578125" style="1154" hidden="1" customWidth="1"/>
    <col min="26" max="26" width="5" style="1154" hidden="1" customWidth="1"/>
    <col min="27" max="27" width="3" style="775" customWidth="1"/>
    <col min="28" max="28" width="5.5703125" style="144" customWidth="1"/>
    <col min="29" max="30" width="28.140625" style="144" customWidth="1"/>
    <col min="31" max="31" width="14.7109375" style="150" customWidth="1"/>
    <col min="32" max="32" width="22" style="150" customWidth="1"/>
    <col min="33" max="33" width="31.5703125" style="144" customWidth="1"/>
    <col min="34" max="34" width="3" style="144" customWidth="1"/>
    <col min="35" max="35" width="9.140625" style="144" hidden="1"/>
    <col min="36" max="36" width="6.7109375" style="993" hidden="1" customWidth="1"/>
    <col min="37" max="40" width="6.7109375" style="317" hidden="1" customWidth="1"/>
    <col min="41" max="42" width="6.7109375" style="749" hidden="1" customWidth="1"/>
  </cols>
  <sheetData>
    <row r="1" spans="1:42" s="1155" customFormat="1" ht="12" hidden="1" customHeight="1">
      <c r="A1" s="126"/>
      <c r="B1" s="126"/>
      <c r="C1" s="126"/>
      <c r="D1" s="126"/>
      <c r="E1" s="126"/>
      <c r="F1" s="698" t="s">
        <v>83</v>
      </c>
      <c r="G1" s="126"/>
      <c r="H1" s="126"/>
      <c r="I1" s="126"/>
      <c r="J1" s="126"/>
      <c r="K1" s="126"/>
      <c r="L1" s="126"/>
      <c r="M1" s="126"/>
      <c r="N1" s="126"/>
      <c r="O1" s="126"/>
      <c r="P1" s="126"/>
      <c r="Q1" s="126"/>
      <c r="R1" s="126"/>
      <c r="S1" s="126"/>
      <c r="T1" s="126"/>
      <c r="U1" s="687" t="s">
        <v>86</v>
      </c>
      <c r="V1" s="687" t="s">
        <v>91</v>
      </c>
      <c r="W1" s="687" t="s">
        <v>87</v>
      </c>
      <c r="X1" s="687" t="s">
        <v>88</v>
      </c>
      <c r="Y1" s="687" t="s">
        <v>89</v>
      </c>
      <c r="Z1" s="687" t="s">
        <v>93</v>
      </c>
      <c r="AA1" s="698" t="s">
        <v>90</v>
      </c>
      <c r="AB1" s="698" t="s">
        <v>382</v>
      </c>
      <c r="AC1" s="698" t="s">
        <v>92</v>
      </c>
      <c r="AJ1" s="993" t="s">
        <v>383</v>
      </c>
      <c r="AK1" s="343" t="s">
        <v>384</v>
      </c>
      <c r="AL1" s="343" t="s">
        <v>385</v>
      </c>
      <c r="AM1" s="343" t="s">
        <v>386</v>
      </c>
      <c r="AN1" s="343" t="s">
        <v>387</v>
      </c>
      <c r="AO1" s="997" t="s">
        <v>388</v>
      </c>
      <c r="AP1" s="997" t="s">
        <v>389</v>
      </c>
    </row>
    <row r="2" spans="1:42" s="671" customFormat="1" ht="12" hidden="1" customHeight="1">
      <c r="A2" s="122"/>
      <c r="B2" s="688" t="s">
        <v>15</v>
      </c>
      <c r="C2" s="122"/>
      <c r="D2" s="122"/>
      <c r="E2" s="122"/>
      <c r="F2" s="122"/>
      <c r="G2" s="122"/>
      <c r="H2" s="122"/>
      <c r="I2" s="122"/>
      <c r="J2" s="122"/>
      <c r="K2" s="122"/>
      <c r="L2" s="122"/>
      <c r="M2" s="122"/>
      <c r="N2" s="122"/>
      <c r="O2" s="122"/>
      <c r="P2" s="122"/>
      <c r="Q2" s="122"/>
      <c r="R2" s="122"/>
      <c r="S2" s="122"/>
      <c r="T2" s="126"/>
      <c r="U2" s="122"/>
      <c r="V2" s="122"/>
      <c r="W2" s="122"/>
      <c r="X2" s="122"/>
      <c r="Y2" s="122"/>
      <c r="Z2" s="122"/>
      <c r="AJ2" s="992"/>
      <c r="AK2" s="998"/>
      <c r="AL2" s="998"/>
      <c r="AM2" s="998"/>
      <c r="AN2" s="998"/>
      <c r="AO2" s="999"/>
      <c r="AP2" s="999"/>
    </row>
    <row r="3" spans="1:42" s="809" customFormat="1" ht="12" hidden="1" customHeight="1">
      <c r="A3" s="122"/>
      <c r="B3" s="122"/>
      <c r="C3" s="126"/>
      <c r="D3" s="122"/>
      <c r="E3" s="122"/>
      <c r="F3" s="122"/>
      <c r="G3" s="122"/>
      <c r="H3" s="122"/>
      <c r="I3" s="122"/>
      <c r="J3" s="122"/>
      <c r="K3" s="122"/>
      <c r="L3" s="122"/>
      <c r="M3" s="122"/>
      <c r="N3" s="122"/>
      <c r="O3" s="122"/>
      <c r="P3" s="122"/>
      <c r="Q3" s="122"/>
      <c r="R3" s="122"/>
      <c r="S3" s="122"/>
      <c r="T3" s="126"/>
      <c r="U3" s="122"/>
      <c r="V3" s="122"/>
      <c r="W3" s="122"/>
      <c r="X3" s="122"/>
      <c r="Y3" s="122"/>
      <c r="Z3" s="122"/>
      <c r="AJ3" s="993"/>
      <c r="AK3" s="317"/>
      <c r="AL3" s="317"/>
      <c r="AM3" s="317"/>
      <c r="AN3" s="317"/>
      <c r="AO3" s="287"/>
      <c r="AP3" s="287"/>
    </row>
    <row r="4" spans="1:42" s="809" customFormat="1" ht="12" hidden="1" customHeight="1">
      <c r="A4" s="122"/>
      <c r="B4" s="122"/>
      <c r="C4" s="122"/>
      <c r="D4" s="122"/>
      <c r="E4" s="122"/>
      <c r="F4" s="122"/>
      <c r="G4" s="122"/>
      <c r="H4" s="122"/>
      <c r="I4" s="122"/>
      <c r="J4" s="122"/>
      <c r="K4" s="122"/>
      <c r="L4" s="122"/>
      <c r="M4" s="122"/>
      <c r="N4" s="122"/>
      <c r="O4" s="122"/>
      <c r="P4" s="122"/>
      <c r="Q4" s="122"/>
      <c r="R4" s="122"/>
      <c r="S4" s="122"/>
      <c r="T4" s="126"/>
      <c r="U4" s="122"/>
      <c r="V4" s="122"/>
      <c r="W4" s="122"/>
      <c r="X4" s="122"/>
      <c r="Y4" s="122"/>
      <c r="Z4" s="122"/>
      <c r="AJ4" s="993"/>
      <c r="AK4" s="317"/>
      <c r="AL4" s="317"/>
      <c r="AM4" s="317"/>
      <c r="AN4" s="317"/>
      <c r="AO4" s="287"/>
      <c r="AP4" s="287"/>
    </row>
    <row r="5" spans="1:42" s="682" customFormat="1" ht="12" hidden="1" customHeight="1">
      <c r="A5" s="122"/>
      <c r="B5" s="122"/>
      <c r="C5" s="122"/>
      <c r="D5" s="122"/>
      <c r="E5" s="288" t="s">
        <v>16</v>
      </c>
      <c r="F5" s="288"/>
      <c r="G5" s="288"/>
      <c r="H5" s="288"/>
      <c r="I5" s="288"/>
      <c r="J5" s="288"/>
      <c r="K5" s="288"/>
      <c r="L5" s="288"/>
      <c r="M5" s="288"/>
      <c r="N5" s="288"/>
      <c r="O5" s="288"/>
      <c r="P5" s="288"/>
      <c r="Q5" s="288"/>
      <c r="R5" s="288"/>
      <c r="S5" s="288"/>
      <c r="T5" s="686"/>
      <c r="U5" s="288"/>
      <c r="V5" s="288"/>
      <c r="W5" s="288"/>
      <c r="X5" s="288"/>
      <c r="Y5" s="288"/>
      <c r="Z5" s="288"/>
      <c r="AA5" s="682">
        <v>3</v>
      </c>
      <c r="AB5" s="682">
        <v>5.63</v>
      </c>
      <c r="AC5" s="682">
        <v>28.13</v>
      </c>
      <c r="AD5" s="682">
        <v>28.13</v>
      </c>
      <c r="AE5" s="682">
        <v>14.75</v>
      </c>
      <c r="AF5" s="682">
        <v>22</v>
      </c>
      <c r="AG5" s="682">
        <v>31.5</v>
      </c>
      <c r="AH5" s="682">
        <v>3</v>
      </c>
      <c r="AJ5" s="992"/>
      <c r="AK5" s="999"/>
      <c r="AL5" s="999"/>
      <c r="AM5" s="999"/>
      <c r="AN5" s="999"/>
      <c r="AO5" s="999"/>
      <c r="AP5" s="999"/>
    </row>
    <row r="6" spans="1:42" s="809" customFormat="1" ht="12" hidden="1" customHeight="1">
      <c r="A6" s="122"/>
      <c r="B6" s="122"/>
      <c r="C6" s="122"/>
      <c r="D6" s="122"/>
      <c r="E6" s="288"/>
      <c r="F6" s="122"/>
      <c r="G6" s="122"/>
      <c r="H6" s="122"/>
      <c r="I6" s="122"/>
      <c r="J6" s="122"/>
      <c r="K6" s="122"/>
      <c r="L6" s="122"/>
      <c r="M6" s="122"/>
      <c r="N6" s="122"/>
      <c r="O6" s="122"/>
      <c r="P6" s="122"/>
      <c r="Q6" s="122"/>
      <c r="R6" s="122"/>
      <c r="S6" s="122"/>
      <c r="T6" s="126"/>
      <c r="U6" s="122"/>
      <c r="V6" s="122"/>
      <c r="W6" s="122"/>
      <c r="X6" s="122"/>
      <c r="Y6" s="122"/>
      <c r="Z6" s="122"/>
      <c r="AC6" s="318" t="s">
        <v>390</v>
      </c>
      <c r="AD6" s="318" t="s">
        <v>391</v>
      </c>
      <c r="AE6" s="318" t="s">
        <v>392</v>
      </c>
      <c r="AJ6" s="993"/>
      <c r="AK6" s="317"/>
      <c r="AL6" s="317"/>
      <c r="AM6" s="317"/>
      <c r="AN6" s="317"/>
      <c r="AO6" s="287"/>
      <c r="AP6" s="287"/>
    </row>
    <row r="7" spans="1:42" s="775" customFormat="1" ht="12" hidden="1" customHeight="1">
      <c r="A7" s="122"/>
      <c r="B7" s="122"/>
      <c r="C7" s="122"/>
      <c r="D7" s="122"/>
      <c r="E7" s="288"/>
      <c r="F7" s="165"/>
      <c r="G7" s="165"/>
      <c r="H7" s="165"/>
      <c r="I7" s="165"/>
      <c r="J7" s="165"/>
      <c r="K7" s="165"/>
      <c r="L7" s="165"/>
      <c r="M7" s="165"/>
      <c r="N7" s="165"/>
      <c r="O7" s="165"/>
      <c r="P7" s="165"/>
      <c r="Q7" s="165"/>
      <c r="R7" s="165"/>
      <c r="S7" s="165"/>
      <c r="T7" s="163"/>
      <c r="U7" s="165"/>
      <c r="V7" s="165"/>
      <c r="W7" s="165"/>
      <c r="X7" s="165"/>
      <c r="Y7" s="165"/>
      <c r="Z7" s="165"/>
      <c r="AJ7" s="993"/>
      <c r="AK7" s="317"/>
      <c r="AL7" s="317"/>
      <c r="AM7" s="317"/>
      <c r="AN7" s="317"/>
      <c r="AO7" s="287"/>
      <c r="AP7" s="287"/>
    </row>
    <row r="8" spans="1:42" s="775" customFormat="1" ht="12" hidden="1" customHeight="1">
      <c r="A8" s="122"/>
      <c r="B8" s="122"/>
      <c r="C8" s="122"/>
      <c r="D8" s="122"/>
      <c r="E8" s="288"/>
      <c r="F8" s="165"/>
      <c r="G8" s="165"/>
      <c r="H8" s="165"/>
      <c r="I8" s="165"/>
      <c r="J8" s="165"/>
      <c r="K8" s="165"/>
      <c r="L8" s="165"/>
      <c r="M8" s="165"/>
      <c r="N8" s="165"/>
      <c r="O8" s="165"/>
      <c r="P8" s="165"/>
      <c r="Q8" s="165"/>
      <c r="R8" s="165"/>
      <c r="S8" s="165"/>
      <c r="T8" s="163"/>
      <c r="U8" s="165"/>
      <c r="V8" s="165"/>
      <c r="W8" s="165"/>
      <c r="X8" s="165"/>
      <c r="Y8" s="165"/>
      <c r="Z8" s="165"/>
      <c r="AJ8" s="993"/>
      <c r="AK8" s="317"/>
      <c r="AL8" s="317"/>
      <c r="AM8" s="317"/>
      <c r="AN8" s="317"/>
      <c r="AO8" s="287"/>
      <c r="AP8" s="287"/>
    </row>
    <row r="9" spans="1:42" s="947" customFormat="1" ht="12" hidden="1" customHeight="1">
      <c r="A9" s="945" t="s">
        <v>393</v>
      </c>
      <c r="B9" s="946"/>
      <c r="C9" s="946"/>
      <c r="D9" s="946"/>
      <c r="E9" s="946"/>
      <c r="F9" s="946"/>
      <c r="G9" s="946"/>
      <c r="H9" s="946"/>
      <c r="I9" s="946"/>
      <c r="J9" s="946"/>
      <c r="K9" s="946"/>
      <c r="L9" s="946"/>
      <c r="M9" s="946"/>
      <c r="N9" s="946"/>
      <c r="O9" s="946"/>
      <c r="P9" s="946"/>
      <c r="Q9" s="946"/>
      <c r="R9" s="946"/>
      <c r="S9" s="946"/>
      <c r="T9" s="946"/>
      <c r="U9" s="946"/>
      <c r="V9" s="946"/>
      <c r="W9" s="946"/>
      <c r="X9" s="946"/>
      <c r="Y9" s="946"/>
      <c r="Z9" s="946"/>
      <c r="AF9" s="947" t="str" cm="1">
        <f t="array" ref="AF9">AF24</f>
        <v xml:space="preserve">Тип муниципального образования </v>
      </c>
      <c r="AG9" s="947" t="str" cm="1">
        <f t="array" ref="AG9">AG24</f>
        <v>Дополнительные сведения</v>
      </c>
      <c r="AJ9" s="993"/>
      <c r="AK9" s="993"/>
      <c r="AL9" s="993"/>
      <c r="AM9" s="993"/>
      <c r="AN9" s="993"/>
      <c r="AO9" s="997"/>
      <c r="AP9" s="997"/>
    </row>
    <row r="10" spans="1:42" s="947" customFormat="1" ht="12" hidden="1" customHeight="1">
      <c r="A10" s="945" t="s">
        <v>394</v>
      </c>
      <c r="B10" s="946"/>
      <c r="C10" s="946"/>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C10" s="947" t="s">
        <v>385</v>
      </c>
      <c r="AD10" s="947" t="s">
        <v>386</v>
      </c>
      <c r="AE10" s="947" t="s">
        <v>387</v>
      </c>
      <c r="AJ10" s="993"/>
      <c r="AK10" s="993"/>
      <c r="AL10" s="993"/>
      <c r="AM10" s="993"/>
      <c r="AN10" s="993"/>
      <c r="AO10" s="997"/>
      <c r="AP10" s="997"/>
    </row>
    <row r="11" spans="1:42" s="809" customFormat="1" ht="12" hidden="1" customHeight="1">
      <c r="A11" s="122"/>
      <c r="B11" s="122"/>
      <c r="C11" s="122"/>
      <c r="D11" s="122"/>
      <c r="E11" s="288"/>
      <c r="F11" s="122"/>
      <c r="G11" s="122"/>
      <c r="H11" s="122"/>
      <c r="I11" s="122"/>
      <c r="J11" s="122"/>
      <c r="K11" s="122"/>
      <c r="L11" s="122"/>
      <c r="M11" s="122"/>
      <c r="N11" s="122"/>
      <c r="O11" s="122"/>
      <c r="P11" s="122"/>
      <c r="Q11" s="122"/>
      <c r="R11" s="122"/>
      <c r="S11" s="122"/>
      <c r="T11" s="126"/>
      <c r="U11" s="122"/>
      <c r="V11" s="122"/>
      <c r="W11" s="122"/>
      <c r="X11" s="122"/>
      <c r="Y11" s="122"/>
      <c r="Z11" s="122"/>
      <c r="AJ11" s="993"/>
      <c r="AK11" s="317"/>
      <c r="AL11" s="317"/>
      <c r="AM11" s="317"/>
      <c r="AN11" s="317"/>
      <c r="AO11" s="287"/>
      <c r="AP11" s="287"/>
    </row>
    <row r="12" spans="1:42" s="809" customFormat="1" ht="12" hidden="1" customHeight="1">
      <c r="A12" s="122"/>
      <c r="B12" s="122"/>
      <c r="C12" s="122"/>
      <c r="D12" s="122"/>
      <c r="E12" s="288"/>
      <c r="F12" s="122"/>
      <c r="G12" s="122"/>
      <c r="H12" s="122"/>
      <c r="I12" s="122"/>
      <c r="J12" s="122"/>
      <c r="K12" s="122"/>
      <c r="L12" s="122"/>
      <c r="M12" s="122"/>
      <c r="N12" s="122"/>
      <c r="O12" s="122"/>
      <c r="P12" s="122"/>
      <c r="Q12" s="122"/>
      <c r="R12" s="122"/>
      <c r="S12" s="122"/>
      <c r="T12" s="126"/>
      <c r="U12" s="122"/>
      <c r="V12" s="122"/>
      <c r="W12" s="122"/>
      <c r="X12" s="122"/>
      <c r="Y12" s="122"/>
      <c r="Z12" s="122"/>
      <c r="AJ12" s="993"/>
      <c r="AK12" s="317"/>
      <c r="AL12" s="317"/>
      <c r="AM12" s="317"/>
      <c r="AN12" s="317"/>
      <c r="AO12" s="287"/>
      <c r="AP12" s="287"/>
    </row>
    <row r="13" spans="1:42" s="809" customFormat="1" ht="12" hidden="1" customHeight="1">
      <c r="A13" s="122"/>
      <c r="B13" s="122"/>
      <c r="C13" s="122"/>
      <c r="D13" s="122"/>
      <c r="E13" s="288"/>
      <c r="F13" s="122"/>
      <c r="G13" s="122"/>
      <c r="H13" s="122"/>
      <c r="I13" s="122"/>
      <c r="J13" s="122"/>
      <c r="K13" s="122"/>
      <c r="L13" s="122"/>
      <c r="M13" s="122"/>
      <c r="N13" s="122"/>
      <c r="O13" s="122"/>
      <c r="P13" s="122"/>
      <c r="Q13" s="122"/>
      <c r="R13" s="122"/>
      <c r="S13" s="122"/>
      <c r="T13" s="126"/>
      <c r="U13" s="122"/>
      <c r="V13" s="122"/>
      <c r="W13" s="122"/>
      <c r="X13" s="122"/>
      <c r="Y13" s="122"/>
      <c r="Z13" s="122"/>
      <c r="AJ13" s="993"/>
      <c r="AK13" s="317"/>
      <c r="AL13" s="317"/>
      <c r="AM13" s="317"/>
      <c r="AN13" s="317"/>
      <c r="AO13" s="287"/>
      <c r="AP13" s="287"/>
    </row>
    <row r="14" spans="1:42" s="809" customFormat="1" ht="12" hidden="1" customHeight="1">
      <c r="A14" s="122"/>
      <c r="B14" s="122"/>
      <c r="C14" s="122"/>
      <c r="D14" s="122"/>
      <c r="E14" s="288"/>
      <c r="F14" s="122"/>
      <c r="G14" s="122"/>
      <c r="H14" s="122"/>
      <c r="I14" s="122"/>
      <c r="J14" s="122"/>
      <c r="K14" s="122"/>
      <c r="L14" s="122"/>
      <c r="M14" s="122"/>
      <c r="N14" s="122"/>
      <c r="O14" s="122"/>
      <c r="P14" s="122"/>
      <c r="Q14" s="122"/>
      <c r="R14" s="122"/>
      <c r="S14" s="122"/>
      <c r="T14" s="126"/>
      <c r="U14" s="122"/>
      <c r="V14" s="122"/>
      <c r="W14" s="122"/>
      <c r="X14" s="122"/>
      <c r="Y14" s="122"/>
      <c r="Z14" s="122"/>
      <c r="AJ14" s="993"/>
      <c r="AK14" s="317"/>
      <c r="AL14" s="317"/>
      <c r="AM14" s="317"/>
      <c r="AN14" s="317"/>
      <c r="AO14" s="287"/>
      <c r="AP14" s="287"/>
    </row>
    <row r="15" spans="1:42" s="809" customFormat="1" ht="12" hidden="1" customHeight="1">
      <c r="A15" s="122"/>
      <c r="B15" s="122"/>
      <c r="C15" s="122"/>
      <c r="D15" s="122"/>
      <c r="E15" s="288"/>
      <c r="F15" s="122"/>
      <c r="G15" s="122"/>
      <c r="H15" s="122"/>
      <c r="I15" s="122"/>
      <c r="J15" s="122"/>
      <c r="K15" s="122"/>
      <c r="L15" s="122"/>
      <c r="M15" s="122"/>
      <c r="N15" s="122"/>
      <c r="O15" s="122"/>
      <c r="P15" s="122"/>
      <c r="Q15" s="122"/>
      <c r="R15" s="122"/>
      <c r="S15" s="122"/>
      <c r="T15" s="126"/>
      <c r="U15" s="122"/>
      <c r="V15" s="122"/>
      <c r="W15" s="122"/>
      <c r="X15" s="122"/>
      <c r="Y15" s="122"/>
      <c r="Z15" s="122"/>
      <c r="AJ15" s="993"/>
      <c r="AK15" s="317"/>
      <c r="AL15" s="317"/>
      <c r="AM15" s="317"/>
      <c r="AN15" s="317"/>
      <c r="AO15" s="287"/>
      <c r="AP15" s="287"/>
    </row>
    <row r="16" spans="1:42" s="809" customFormat="1" ht="12" hidden="1" customHeight="1">
      <c r="A16" s="122"/>
      <c r="B16" s="122"/>
      <c r="C16" s="122"/>
      <c r="D16" s="122"/>
      <c r="E16" s="288"/>
      <c r="F16" s="122"/>
      <c r="G16" s="122"/>
      <c r="H16" s="122"/>
      <c r="I16" s="122"/>
      <c r="J16" s="122"/>
      <c r="K16" s="122"/>
      <c r="L16" s="122"/>
      <c r="M16" s="122"/>
      <c r="N16" s="122"/>
      <c r="O16" s="122"/>
      <c r="P16" s="122"/>
      <c r="Q16" s="122"/>
      <c r="R16" s="122"/>
      <c r="S16" s="122"/>
      <c r="T16" s="126"/>
      <c r="U16" s="122"/>
      <c r="V16" s="122"/>
      <c r="W16" s="122"/>
      <c r="X16" s="122"/>
      <c r="Y16" s="122"/>
      <c r="Z16" s="122"/>
      <c r="AJ16" s="993"/>
      <c r="AK16" s="317"/>
      <c r="AL16" s="317"/>
      <c r="AM16" s="317"/>
      <c r="AN16" s="317"/>
      <c r="AO16" s="287"/>
      <c r="AP16" s="287"/>
    </row>
    <row r="17" spans="1:42" s="809" customFormat="1" ht="12" hidden="1" customHeight="1">
      <c r="A17" s="122"/>
      <c r="B17" s="122"/>
      <c r="C17" s="122"/>
      <c r="D17" s="122"/>
      <c r="E17" s="288"/>
      <c r="F17" s="122"/>
      <c r="G17" s="122"/>
      <c r="H17" s="122"/>
      <c r="I17" s="122"/>
      <c r="J17" s="122"/>
      <c r="K17" s="122"/>
      <c r="L17" s="122"/>
      <c r="M17" s="122"/>
      <c r="N17" s="122"/>
      <c r="O17" s="122"/>
      <c r="P17" s="122"/>
      <c r="Q17" s="122"/>
      <c r="R17" s="122"/>
      <c r="S17" s="122"/>
      <c r="T17" s="126"/>
      <c r="U17" s="122"/>
      <c r="V17" s="122"/>
      <c r="W17" s="122"/>
      <c r="X17" s="122"/>
      <c r="Y17" s="122"/>
      <c r="Z17" s="122"/>
      <c r="AJ17" s="993"/>
      <c r="AK17" s="317"/>
      <c r="AL17" s="317"/>
      <c r="AM17" s="317"/>
      <c r="AN17" s="317"/>
      <c r="AO17" s="287"/>
      <c r="AP17" s="287"/>
    </row>
    <row r="18" spans="1:42" s="809" customFormat="1" ht="12" hidden="1" customHeight="1">
      <c r="A18" s="122"/>
      <c r="B18" s="122"/>
      <c r="C18" s="122"/>
      <c r="D18" s="122"/>
      <c r="E18" s="288"/>
      <c r="F18" s="122"/>
      <c r="G18" s="122"/>
      <c r="H18" s="122"/>
      <c r="I18" s="122"/>
      <c r="J18" s="122"/>
      <c r="K18" s="122"/>
      <c r="L18" s="122"/>
      <c r="M18" s="122"/>
      <c r="N18" s="122"/>
      <c r="O18" s="122"/>
      <c r="P18" s="122"/>
      <c r="Q18" s="122"/>
      <c r="R18" s="122"/>
      <c r="S18" s="122"/>
      <c r="T18" s="126"/>
      <c r="U18" s="122"/>
      <c r="V18" s="122"/>
      <c r="W18" s="122"/>
      <c r="X18" s="122"/>
      <c r="Y18" s="122"/>
      <c r="Z18" s="122"/>
      <c r="AJ18" s="993"/>
      <c r="AK18" s="317"/>
      <c r="AL18" s="317"/>
      <c r="AM18" s="317"/>
      <c r="AN18" s="317"/>
      <c r="AO18" s="287"/>
      <c r="AP18" s="287"/>
    </row>
    <row r="19" spans="1:42" s="809" customFormat="1" ht="12" hidden="1" customHeight="1">
      <c r="A19" s="122"/>
      <c r="B19" s="122"/>
      <c r="C19" s="122"/>
      <c r="D19" s="122"/>
      <c r="E19" s="288"/>
      <c r="F19" s="122"/>
      <c r="G19" s="122"/>
      <c r="H19" s="122"/>
      <c r="I19" s="122"/>
      <c r="J19" s="122"/>
      <c r="K19" s="122"/>
      <c r="L19" s="122"/>
      <c r="M19" s="122"/>
      <c r="N19" s="122"/>
      <c r="O19" s="122"/>
      <c r="P19" s="122"/>
      <c r="Q19" s="122"/>
      <c r="R19" s="122"/>
      <c r="S19" s="122"/>
      <c r="T19" s="126"/>
      <c r="U19" s="122"/>
      <c r="V19" s="122"/>
      <c r="W19" s="122"/>
      <c r="X19" s="122"/>
      <c r="Y19" s="122"/>
      <c r="Z19" s="122"/>
      <c r="AJ19" s="993"/>
      <c r="AK19" s="317"/>
      <c r="AL19" s="317"/>
      <c r="AM19" s="317"/>
      <c r="AN19" s="317"/>
      <c r="AO19" s="287"/>
      <c r="AP19" s="287"/>
    </row>
    <row r="20" spans="1:42" s="809" customFormat="1" ht="12" hidden="1" customHeight="1">
      <c r="A20" s="122"/>
      <c r="B20" s="122"/>
      <c r="C20" s="122"/>
      <c r="D20" s="122"/>
      <c r="E20" s="288"/>
      <c r="F20" s="122"/>
      <c r="G20" s="122"/>
      <c r="H20" s="122"/>
      <c r="I20" s="122"/>
      <c r="J20" s="122"/>
      <c r="K20" s="122"/>
      <c r="L20" s="122"/>
      <c r="M20" s="122"/>
      <c r="N20" s="122"/>
      <c r="O20" s="122"/>
      <c r="P20" s="122"/>
      <c r="Q20" s="122"/>
      <c r="R20" s="122"/>
      <c r="S20" s="122"/>
      <c r="T20" s="126"/>
      <c r="U20" s="122"/>
      <c r="V20" s="122"/>
      <c r="W20" s="122"/>
      <c r="X20" s="122"/>
      <c r="Y20" s="122"/>
      <c r="Z20" s="122"/>
      <c r="AJ20" s="993"/>
      <c r="AK20" s="317"/>
      <c r="AL20" s="317"/>
      <c r="AM20" s="317"/>
      <c r="AN20" s="317"/>
      <c r="AO20" s="287"/>
      <c r="AP20" s="287"/>
    </row>
    <row r="21" spans="1:42" s="775" customFormat="1" ht="14.65" customHeight="1">
      <c r="A21" s="122"/>
      <c r="B21" s="122"/>
      <c r="C21" s="122"/>
      <c r="D21" s="122"/>
      <c r="E21" s="288">
        <v>15</v>
      </c>
      <c r="F21" s="122"/>
      <c r="G21" s="122"/>
      <c r="H21" s="122"/>
      <c r="I21" s="122"/>
      <c r="J21" s="122"/>
      <c r="K21" s="122"/>
      <c r="L21" s="122"/>
      <c r="M21" s="122"/>
      <c r="N21" s="122"/>
      <c r="O21" s="122"/>
      <c r="P21" s="122"/>
      <c r="Q21" s="122"/>
      <c r="R21" s="122"/>
      <c r="S21" s="122"/>
      <c r="T21" s="126"/>
      <c r="U21" s="126"/>
      <c r="V21" s="126"/>
      <c r="W21" s="126"/>
      <c r="X21" s="126"/>
      <c r="Y21" s="126"/>
      <c r="Z21" s="126"/>
      <c r="AA21" s="699"/>
      <c r="AB21" s="797"/>
      <c r="AC21" s="353" t="str" cm="1">
        <f t="array" ref="AC21">tpl_title</f>
        <v>Кемеровская область / 2026 / ОАО «СКЭК» (ИНН:4205153492, КПП:420501001) / ДПР: 2021-2030</v>
      </c>
      <c r="AD21" s="797"/>
      <c r="AE21" s="797"/>
      <c r="AF21" s="797"/>
      <c r="AJ21" s="993"/>
      <c r="AK21" s="317"/>
      <c r="AL21" s="317"/>
      <c r="AM21" s="317"/>
      <c r="AN21" s="317"/>
      <c r="AO21" s="287"/>
      <c r="AP21" s="287"/>
    </row>
    <row r="22" spans="1:42" ht="29.25" customHeight="1">
      <c r="E22" s="288">
        <v>30</v>
      </c>
      <c r="S22" s="126"/>
      <c r="U22" s="126"/>
      <c r="V22" s="126"/>
      <c r="W22" s="126"/>
      <c r="X22" s="126"/>
      <c r="Y22" s="126"/>
      <c r="Z22" s="126"/>
      <c r="AA22" s="699"/>
      <c r="AB22" s="1719" t="s">
        <v>395</v>
      </c>
      <c r="AC22" s="1720"/>
      <c r="AD22" s="1720"/>
      <c r="AE22" s="1720"/>
      <c r="AF22" s="1720"/>
      <c r="AG22" s="1720"/>
    </row>
    <row r="23" spans="1:42" ht="11.1" customHeight="1">
      <c r="E23" s="288">
        <v>11.4</v>
      </c>
      <c r="U23" s="128"/>
      <c r="V23" s="128"/>
      <c r="W23" s="128"/>
      <c r="X23" s="128"/>
      <c r="Y23" s="128"/>
      <c r="Z23" s="128"/>
      <c r="AA23" s="773"/>
      <c r="AB23" s="145"/>
      <c r="AC23" s="145"/>
      <c r="AD23" s="145"/>
      <c r="AE23" s="146"/>
      <c r="AF23" s="146"/>
      <c r="AG23" s="146"/>
    </row>
    <row r="24" spans="1:42" ht="27.75" customHeight="1">
      <c r="E24" s="288">
        <v>28.5</v>
      </c>
      <c r="U24" s="128"/>
      <c r="V24" s="128"/>
      <c r="W24" s="128"/>
      <c r="X24" s="128"/>
      <c r="Y24" s="128"/>
      <c r="Z24" s="128"/>
      <c r="AA24" s="773"/>
      <c r="AB24" s="147" t="s">
        <v>396</v>
      </c>
      <c r="AC24" s="148" t="s">
        <v>397</v>
      </c>
      <c r="AD24" s="148" t="s">
        <v>398</v>
      </c>
      <c r="AE24" s="148" t="s">
        <v>399</v>
      </c>
      <c r="AF24" s="359" t="s">
        <v>400</v>
      </c>
      <c r="AG24" s="149" t="s">
        <v>335</v>
      </c>
    </row>
    <row r="25" spans="1:42" ht="28.5" hidden="1" customHeight="1">
      <c r="E25" s="288">
        <v>0</v>
      </c>
      <c r="U25" s="128"/>
      <c r="V25" s="128"/>
      <c r="W25" s="128"/>
      <c r="X25" s="128"/>
      <c r="Y25" s="128"/>
      <c r="Z25" s="128"/>
      <c r="AA25" s="773"/>
      <c r="AB25" s="602"/>
      <c r="AC25" s="602"/>
      <c r="AD25" s="602"/>
      <c r="AE25" s="602"/>
      <c r="AF25" s="602"/>
      <c r="AG25" s="602"/>
    </row>
    <row r="26" spans="1:42" ht="11.1" hidden="1" customHeight="1">
      <c r="E26" s="288">
        <v>11.4</v>
      </c>
      <c r="F26" s="126" cm="1">
        <f t="array" ref="F26">Y26</f>
        <v>0</v>
      </c>
      <c r="U26" s="780" t="b">
        <f>Y26&gt;0</f>
        <v>0</v>
      </c>
      <c r="W26" s="122" t="s">
        <v>315</v>
      </c>
      <c r="Y26" s="1721">
        <v>0</v>
      </c>
      <c r="Z26" s="1721"/>
      <c r="AB26" s="210" t="str" cm="1">
        <f t="array" ref="AB26">INDEX('Общие сведения'!$AG$187:$AG$236,MATCH(Y26,'Общие сведения'!$Z$187:$Z$236,0))</f>
        <v xml:space="preserve">Тариф 0 (Теплоснабжение) - </v>
      </c>
      <c r="AC26" s="204"/>
      <c r="AD26" s="204"/>
      <c r="AE26" s="204"/>
      <c r="AF26" s="204"/>
      <c r="AG26" s="204"/>
    </row>
    <row r="27" spans="1:42" ht="23.45" hidden="1" customHeight="1">
      <c r="E27" s="288">
        <v>24</v>
      </c>
      <c r="F27" s="126" cm="1">
        <f t="array" aca="1" ref="F27" ca="1">OFFSET(G27,-1,-1)</f>
        <v>0</v>
      </c>
      <c r="U27" s="780" t="b">
        <f ca="1">AND(OFFSET(V27,1,-1),AB27&gt;1)</f>
        <v>0</v>
      </c>
      <c r="X27" s="122" t="s">
        <v>236</v>
      </c>
      <c r="Y27" s="1721"/>
      <c r="Z27" s="1721"/>
      <c r="AA27" s="11" t="s">
        <v>218</v>
      </c>
      <c r="AB27" s="689">
        <v>0</v>
      </c>
      <c r="AC27" s="209"/>
      <c r="AD27" s="209"/>
      <c r="AE27" s="209"/>
      <c r="AF27" s="12"/>
      <c r="AG27" s="12"/>
      <c r="AJ27" s="994" t="s">
        <v>401</v>
      </c>
      <c r="AK27" s="317" t="s">
        <v>402</v>
      </c>
      <c r="AL27" s="146" cm="1">
        <f t="array" ref="AL27">AC27</f>
        <v>0</v>
      </c>
      <c r="AM27" s="146" cm="1">
        <f t="array" ref="AM27">AD27</f>
        <v>0</v>
      </c>
      <c r="AN27" s="146" cm="1">
        <f t="array" ref="AN27">AE27</f>
        <v>0</v>
      </c>
      <c r="AP27" s="287" t="b">
        <v>1</v>
      </c>
    </row>
    <row r="28" spans="1:42" ht="11.1" hidden="1" customHeight="1">
      <c r="E28" s="288">
        <v>11.4</v>
      </c>
      <c r="F28" s="126" cm="1">
        <f t="array" aca="1" ref="F28" ca="1">OFFSET(G28,-1,-1)</f>
        <v>0</v>
      </c>
      <c r="U28" s="780" t="b" cm="1">
        <f t="array" ref="U28">U26</f>
        <v>0</v>
      </c>
      <c r="X28" s="122" t="s">
        <v>403</v>
      </c>
      <c r="Y28" s="1721"/>
      <c r="Z28" s="1721"/>
      <c r="AB28" s="205"/>
      <c r="AC28" s="281" t="s">
        <v>404</v>
      </c>
      <c r="AD28" s="206"/>
      <c r="AE28" s="206"/>
      <c r="AF28" s="206"/>
      <c r="AG28" s="207"/>
      <c r="AO28" s="287" t="s">
        <v>402</v>
      </c>
    </row>
    <row r="29" spans="1:42" s="1226" customFormat="1" ht="10.5" customHeight="1">
      <c r="A29" s="1154"/>
      <c r="B29" s="1154"/>
      <c r="C29" s="1154"/>
      <c r="D29" s="1154"/>
      <c r="E29" s="288">
        <v>11.4</v>
      </c>
      <c r="F29" s="126" t="str" cm="1">
        <f t="array" ref="F29">Y29</f>
        <v>1</v>
      </c>
      <c r="G29" s="1154"/>
      <c r="H29" s="1154"/>
      <c r="I29" s="1154"/>
      <c r="J29" s="1154"/>
      <c r="K29" s="1154"/>
      <c r="L29" s="1154"/>
      <c r="M29" s="1154"/>
      <c r="N29" s="1154"/>
      <c r="O29" s="1154"/>
      <c r="P29" s="1154"/>
      <c r="Q29" s="1154"/>
      <c r="R29" s="1154"/>
      <c r="S29" s="1154"/>
      <c r="T29" s="1153"/>
      <c r="U29" s="780" t="b">
        <f>Y29&gt;0</f>
        <v>1</v>
      </c>
      <c r="V29" s="1154"/>
      <c r="W29" s="122" t="str" cm="1">
        <f t="array" ref="W29">'Общие сведения'!$AG$204</f>
        <v>Тариф 1 (Теплоснабжение) - Тариф на тепловую энергию (мощность), поставляемую потребителям (Не определено)</v>
      </c>
      <c r="X29" s="1154"/>
      <c r="Y29" s="1721" t="s">
        <v>341</v>
      </c>
      <c r="Z29" s="1721"/>
      <c r="AA29" s="775"/>
      <c r="AB29" s="210" t="str" cm="1">
        <f t="array" ref="AB29">IF(ISBLANK('Общие сведения'!$AG$204),"",'Общие сведения'!$AG$204)</f>
        <v>Тариф 1 (Теплоснабжение) - Тариф на тепловую энергию (мощность), поставляемую потребителям (Не определено)</v>
      </c>
      <c r="AC29" s="204"/>
      <c r="AD29" s="204"/>
      <c r="AE29" s="204"/>
      <c r="AF29" s="204"/>
      <c r="AG29" s="204"/>
      <c r="AH29" s="144"/>
      <c r="AI29" s="144"/>
      <c r="AJ29" s="993"/>
      <c r="AK29" s="317"/>
      <c r="AL29" s="317"/>
      <c r="AM29" s="317"/>
      <c r="AN29" s="317"/>
      <c r="AO29" s="749"/>
      <c r="AP29" s="749"/>
    </row>
    <row r="30" spans="1:42" s="1227" customFormat="1" ht="23.25" hidden="1" customHeight="1">
      <c r="E30" s="288">
        <v>24</v>
      </c>
      <c r="F30" s="126" t="str" cm="1">
        <f t="array" aca="1" ref="F30" ca="1">OFFSET(G30,-1,-1)</f>
        <v>1</v>
      </c>
      <c r="U30" s="780" t="b">
        <f ca="1">AND(OFFSET(V30,1,-1),AB30&gt;1)</f>
        <v>0</v>
      </c>
      <c r="X30" s="122" t="s">
        <v>236</v>
      </c>
      <c r="Y30" s="1722"/>
      <c r="Z30" s="1722"/>
      <c r="AA30" s="11" t="s">
        <v>218</v>
      </c>
      <c r="AB30" s="689">
        <v>0</v>
      </c>
      <c r="AC30" s="209"/>
      <c r="AD30" s="209"/>
      <c r="AE30" s="209"/>
      <c r="AF30" s="12"/>
      <c r="AG30" s="12"/>
      <c r="AJ30" s="994" t="s">
        <v>401</v>
      </c>
      <c r="AK30" s="317" t="s">
        <v>402</v>
      </c>
      <c r="AL30" s="146" cm="1">
        <f t="array" ref="AL30">AC30</f>
        <v>0</v>
      </c>
      <c r="AM30" s="146" cm="1">
        <f t="array" ref="AM30">AD30</f>
        <v>0</v>
      </c>
      <c r="AN30" s="146" cm="1">
        <f t="array" ref="AN30">AE30</f>
        <v>0</v>
      </c>
      <c r="AO30" s="287"/>
      <c r="AP30" s="287" t="b">
        <v>1</v>
      </c>
    </row>
    <row r="31" spans="1:42" s="1228" customFormat="1" ht="23.25" customHeight="1">
      <c r="A31" s="1229"/>
      <c r="B31" s="1229"/>
      <c r="C31" s="1229"/>
      <c r="D31" s="1229"/>
      <c r="E31" s="288">
        <v>24</v>
      </c>
      <c r="F31" s="126" t="str" cm="1">
        <f t="array" aca="1" ref="F31" ca="1">OFFSET(G31,-1,-1)</f>
        <v>1</v>
      </c>
      <c r="G31" s="1229"/>
      <c r="H31" s="1229"/>
      <c r="I31" s="1229"/>
      <c r="J31" s="1229"/>
      <c r="K31" s="1229"/>
      <c r="L31" s="1229"/>
      <c r="M31" s="1229"/>
      <c r="N31" s="1229"/>
      <c r="O31" s="1229"/>
      <c r="P31" s="1229"/>
      <c r="Q31" s="1229"/>
      <c r="R31" s="1229"/>
      <c r="S31" s="1229"/>
      <c r="T31" s="1229"/>
      <c r="U31" s="780" t="b">
        <f ca="1">AND(OFFSET(V31,1,-1),AB31&gt;1)</f>
        <v>1</v>
      </c>
      <c r="V31" s="1229"/>
      <c r="W31" s="1229"/>
      <c r="X31" s="122"/>
      <c r="Y31" s="1722"/>
      <c r="Z31" s="1722"/>
      <c r="AA31" s="11" t="s">
        <v>218</v>
      </c>
      <c r="AB31" s="689" t="s">
        <v>341</v>
      </c>
      <c r="AC31" s="209" t="s">
        <v>405</v>
      </c>
      <c r="AD31" s="209" t="s">
        <v>405</v>
      </c>
      <c r="AE31" s="209" t="s">
        <v>406</v>
      </c>
      <c r="AF31" s="1230"/>
      <c r="AG31" s="1230"/>
      <c r="AH31" s="1229"/>
      <c r="AI31" s="1229"/>
      <c r="AJ31" s="994" t="s">
        <v>401</v>
      </c>
      <c r="AK31" s="317" t="s">
        <v>402</v>
      </c>
      <c r="AL31" s="146" t="str" cm="1">
        <f t="array" ref="AL31">AC31</f>
        <v>город Тайга</v>
      </c>
      <c r="AM31" s="146" t="str" cm="1">
        <f t="array" ref="AM31">AD31</f>
        <v>город Тайга</v>
      </c>
      <c r="AN31" s="146" t="str" cm="1">
        <f t="array" ref="AN31">AE31</f>
        <v>32740000</v>
      </c>
      <c r="AO31" s="287"/>
      <c r="AP31" s="287" t="b">
        <v>1</v>
      </c>
    </row>
    <row r="32" spans="1:42" s="1229" customFormat="1" ht="10.5" customHeight="1">
      <c r="A32" s="1154"/>
      <c r="B32" s="1154"/>
      <c r="C32" s="1154"/>
      <c r="D32" s="1154"/>
      <c r="E32" s="288">
        <v>11.4</v>
      </c>
      <c r="F32" s="126" t="str" cm="1">
        <f t="array" aca="1" ref="F32" ca="1">OFFSET(G32,-1,-1)</f>
        <v>1</v>
      </c>
      <c r="G32" s="1154"/>
      <c r="H32" s="1154"/>
      <c r="I32" s="1154"/>
      <c r="J32" s="1154"/>
      <c r="K32" s="1154"/>
      <c r="L32" s="1154"/>
      <c r="M32" s="1154"/>
      <c r="N32" s="1154"/>
      <c r="O32" s="1154"/>
      <c r="P32" s="1154"/>
      <c r="Q32" s="1154"/>
      <c r="R32" s="1154"/>
      <c r="S32" s="1154"/>
      <c r="T32" s="1153"/>
      <c r="U32" s="780" t="b" cm="1">
        <f t="array" ref="U32">U29</f>
        <v>1</v>
      </c>
      <c r="V32" s="1154"/>
      <c r="W32" s="1154"/>
      <c r="X32" s="122" t="s">
        <v>403</v>
      </c>
      <c r="Y32" s="1721"/>
      <c r="Z32" s="1721"/>
      <c r="AA32" s="775"/>
      <c r="AB32" s="205"/>
      <c r="AC32" s="281" t="s">
        <v>404</v>
      </c>
      <c r="AD32" s="206"/>
      <c r="AE32" s="206"/>
      <c r="AF32" s="206"/>
      <c r="AG32" s="207"/>
      <c r="AH32" s="144"/>
      <c r="AI32" s="144"/>
      <c r="AJ32" s="993"/>
      <c r="AK32" s="317"/>
      <c r="AL32" s="317"/>
      <c r="AM32" s="317"/>
      <c r="AN32" s="317"/>
      <c r="AO32" s="287" t="s">
        <v>402</v>
      </c>
      <c r="AP32" s="749"/>
    </row>
    <row r="33" spans="1:42" s="1229" customFormat="1" ht="10.5" customHeight="1">
      <c r="A33" s="1154"/>
      <c r="B33" s="1154"/>
      <c r="C33" s="1154"/>
      <c r="D33" s="1154"/>
      <c r="E33" s="288">
        <v>11.4</v>
      </c>
      <c r="F33" s="126" t="str" cm="1">
        <f t="array" ref="F33">Y33</f>
        <v>2</v>
      </c>
      <c r="G33" s="1154"/>
      <c r="H33" s="1154"/>
      <c r="I33" s="1154"/>
      <c r="J33" s="1154"/>
      <c r="K33" s="1154"/>
      <c r="L33" s="1154"/>
      <c r="M33" s="1154"/>
      <c r="N33" s="1154"/>
      <c r="O33" s="1154"/>
      <c r="P33" s="1154"/>
      <c r="Q33" s="1154"/>
      <c r="R33" s="1154"/>
      <c r="S33" s="1154"/>
      <c r="T33" s="1153"/>
      <c r="U33" s="780" t="b">
        <f>Y33&gt;0</f>
        <v>1</v>
      </c>
      <c r="V33" s="1154"/>
      <c r="W33" s="122" t="str" cm="1">
        <f t="array" ref="W33">'Общие сведения'!$AG$220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3" s="1154"/>
      <c r="Y33" s="1721" t="s">
        <v>348</v>
      </c>
      <c r="Z33" s="1721"/>
      <c r="AA33" s="775"/>
      <c r="AB33" s="210" t="str" cm="1">
        <f t="array" ref="AB33">IF(ISBLANK('Общие сведения'!$AG$220),"",'Общие сведения'!$AG$220)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3" s="204"/>
      <c r="AD33" s="204"/>
      <c r="AE33" s="204"/>
      <c r="AF33" s="204"/>
      <c r="AG33" s="204"/>
      <c r="AH33" s="144"/>
      <c r="AI33" s="144"/>
      <c r="AJ33" s="993"/>
      <c r="AK33" s="317"/>
      <c r="AL33" s="317"/>
      <c r="AM33" s="317"/>
      <c r="AN33" s="317"/>
      <c r="AO33" s="749"/>
      <c r="AP33" s="749"/>
    </row>
    <row r="34" spans="1:42" s="1229" customFormat="1" ht="23.25" hidden="1" customHeight="1">
      <c r="E34" s="288">
        <v>24</v>
      </c>
      <c r="F34" s="126" t="str" cm="1">
        <f t="array" aca="1" ref="F34" ca="1">OFFSET(G34,-1,-1)</f>
        <v>2</v>
      </c>
      <c r="U34" s="780" t="b">
        <f ca="1">AND(OFFSET(V34,1,-1),AB34&gt;1)</f>
        <v>0</v>
      </c>
      <c r="X34" s="122" t="s">
        <v>236</v>
      </c>
      <c r="Y34" s="1722"/>
      <c r="Z34" s="1722"/>
      <c r="AA34" s="11" t="s">
        <v>218</v>
      </c>
      <c r="AB34" s="689">
        <v>0</v>
      </c>
      <c r="AC34" s="209"/>
      <c r="AD34" s="209"/>
      <c r="AE34" s="209"/>
      <c r="AF34" s="12"/>
      <c r="AG34" s="12"/>
      <c r="AJ34" s="994" t="s">
        <v>401</v>
      </c>
      <c r="AK34" s="317" t="s">
        <v>402</v>
      </c>
      <c r="AL34" s="146" cm="1">
        <f t="array" ref="AL34">AC34</f>
        <v>0</v>
      </c>
      <c r="AM34" s="146" cm="1">
        <f t="array" ref="AM34">AD34</f>
        <v>0</v>
      </c>
      <c r="AN34" s="146" cm="1">
        <f t="array" ref="AN34">AE34</f>
        <v>0</v>
      </c>
      <c r="AO34" s="287"/>
      <c r="AP34" s="287" t="b">
        <v>1</v>
      </c>
    </row>
    <row r="35" spans="1:42" s="1229" customFormat="1" ht="23.25" customHeight="1">
      <c r="E35" s="288">
        <v>24</v>
      </c>
      <c r="F35" s="126" t="str" cm="1">
        <f t="array" aca="1" ref="F35" ca="1">OFFSET(G35,-1,-1)</f>
        <v>2</v>
      </c>
      <c r="U35" s="780" t="b">
        <f ca="1">AND(OFFSET(V35,1,-1),AB35&gt;1)</f>
        <v>1</v>
      </c>
      <c r="X35" s="122"/>
      <c r="Y35" s="1722"/>
      <c r="Z35" s="1722"/>
      <c r="AA35" s="11" t="s">
        <v>218</v>
      </c>
      <c r="AB35" s="689" t="s">
        <v>341</v>
      </c>
      <c r="AC35" s="209" t="s">
        <v>405</v>
      </c>
      <c r="AD35" s="209" t="s">
        <v>405</v>
      </c>
      <c r="AE35" s="209" t="s">
        <v>406</v>
      </c>
      <c r="AF35" s="1230"/>
      <c r="AG35" s="1230"/>
      <c r="AJ35" s="994" t="s">
        <v>401</v>
      </c>
      <c r="AK35" s="317" t="s">
        <v>402</v>
      </c>
      <c r="AL35" s="146" t="str" cm="1">
        <f t="array" ref="AL35">AC35</f>
        <v>город Тайга</v>
      </c>
      <c r="AM35" s="146" t="str" cm="1">
        <f t="array" ref="AM35">AD35</f>
        <v>город Тайга</v>
      </c>
      <c r="AN35" s="146" t="str" cm="1">
        <f t="array" ref="AN35">AE35</f>
        <v>32740000</v>
      </c>
      <c r="AO35" s="287"/>
      <c r="AP35" s="287" t="b">
        <v>1</v>
      </c>
    </row>
    <row r="36" spans="1:42" s="1229" customFormat="1" ht="10.5" customHeight="1">
      <c r="A36" s="1154"/>
      <c r="B36" s="1154"/>
      <c r="C36" s="1154"/>
      <c r="D36" s="1154"/>
      <c r="E36" s="288">
        <v>11.4</v>
      </c>
      <c r="F36" s="126" t="str" cm="1">
        <f t="array" aca="1" ref="F36" ca="1">OFFSET(G36,-1,-1)</f>
        <v>2</v>
      </c>
      <c r="G36" s="1154"/>
      <c r="H36" s="1154"/>
      <c r="I36" s="1154"/>
      <c r="J36" s="1154"/>
      <c r="K36" s="1154"/>
      <c r="L36" s="1154"/>
      <c r="M36" s="1154"/>
      <c r="N36" s="1154"/>
      <c r="O36" s="1154"/>
      <c r="P36" s="1154"/>
      <c r="Q36" s="1154"/>
      <c r="R36" s="1154"/>
      <c r="S36" s="1154"/>
      <c r="T36" s="1153"/>
      <c r="U36" s="780" t="b" cm="1">
        <f t="array" ref="U36">U33</f>
        <v>1</v>
      </c>
      <c r="V36" s="1154"/>
      <c r="W36" s="1154"/>
      <c r="X36" s="122" t="s">
        <v>403</v>
      </c>
      <c r="Y36" s="1721"/>
      <c r="Z36" s="1721"/>
      <c r="AA36" s="775"/>
      <c r="AB36" s="205"/>
      <c r="AC36" s="281" t="s">
        <v>404</v>
      </c>
      <c r="AD36" s="206"/>
      <c r="AE36" s="206"/>
      <c r="AF36" s="206"/>
      <c r="AG36" s="207"/>
      <c r="AH36" s="144"/>
      <c r="AI36" s="144"/>
      <c r="AJ36" s="993"/>
      <c r="AK36" s="317"/>
      <c r="AL36" s="317"/>
      <c r="AM36" s="317"/>
      <c r="AN36" s="317"/>
      <c r="AO36" s="287" t="s">
        <v>402</v>
      </c>
      <c r="AP36" s="749"/>
    </row>
    <row r="37" spans="1:42" ht="11.1" customHeight="1">
      <c r="E37" s="288">
        <v>11.4</v>
      </c>
      <c r="V37" s="126" t="s">
        <v>238</v>
      </c>
      <c r="W37" s="122" t="s">
        <v>407</v>
      </c>
      <c r="AH37" s="819"/>
    </row>
    <row r="38" spans="1:42" ht="11.25" hidden="1" customHeight="1">
      <c r="V38" s="126"/>
    </row>
  </sheetData>
  <sheetProtection formatColumns="0" formatRows="0" insertRows="0" deleteColumns="0" deleteRows="0" sort="0" autoFilter="0"/>
  <mergeCells count="7">
    <mergeCell ref="Z33:Z36"/>
    <mergeCell ref="Y33:Y36"/>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0D98-00D1-01D8-2F28-0099B51B5BB8}">
  <sheetPr>
    <tabColor theme="3" tint="0.59999389629810485"/>
    <outlinePr summaryBelow="0" summaryRight="0"/>
  </sheetPr>
  <dimension ref="A1:AS52"/>
  <sheetViews>
    <sheetView showGridLines="0" tabSelected="1" workbookViewId="0">
      <pane xSplit="29" ySplit="25" topLeftCell="AD30" activePane="bottomRight" state="frozen"/>
      <selection pane="topRight" activeCell="AD1" sqref="AD1"/>
      <selection pane="bottomLeft" activeCell="A26" sqref="A26"/>
      <selection pane="bottomRight" activeCell="AG34" sqref="AG34"/>
    </sheetView>
  </sheetViews>
  <sheetFormatPr defaultColWidth="8.7109375" defaultRowHeight="11.25" customHeight="1"/>
  <cols>
    <col min="1" max="1" width="3.5703125" style="809" hidden="1" customWidth="1"/>
    <col min="2" max="2" width="8.5703125" style="671" hidden="1" customWidth="1"/>
    <col min="3" max="4" width="3.5703125" style="809" hidden="1" customWidth="1"/>
    <col min="5" max="5" width="8.42578125" style="682" hidden="1" customWidth="1"/>
    <col min="6" max="6" width="6.42578125" style="809" hidden="1" customWidth="1"/>
    <col min="7" max="18" width="3.5703125" style="775" hidden="1" customWidth="1"/>
    <col min="19" max="20" width="3.5703125" style="814" hidden="1" customWidth="1"/>
    <col min="21" max="21" width="8.28515625" style="1155" hidden="1" customWidth="1"/>
    <col min="22" max="22" width="6" style="1155" hidden="1" customWidth="1"/>
    <col min="23" max="24" width="6.28515625" style="1155" hidden="1" customWidth="1"/>
    <col min="25" max="25" width="5.7109375" style="1155" hidden="1" customWidth="1"/>
    <col min="26" max="26" width="5.42578125" style="1155" hidden="1" customWidth="1"/>
    <col min="27" max="27" width="3" style="775" customWidth="1"/>
    <col min="28" max="28" width="6.140625" style="144" customWidth="1"/>
    <col min="29" max="29" width="63.7109375" style="144" customWidth="1"/>
    <col min="30" max="30" width="21.140625" style="144" customWidth="1"/>
    <col min="31" max="31" width="20.140625" style="144" customWidth="1"/>
    <col min="32" max="32" width="20.140625" style="150" customWidth="1"/>
    <col min="33" max="34" width="20.140625" style="144" customWidth="1"/>
    <col min="35" max="35" width="3" style="144" customWidth="1"/>
    <col min="36" max="36" width="8.7109375" style="144" hidden="1"/>
    <col min="37" max="37" width="6.7109375" style="968" hidden="1" customWidth="1"/>
    <col min="38" max="43" width="6.7109375" style="1000" hidden="1" customWidth="1"/>
    <col min="44" max="45" width="6.7109375" style="749" hidden="1" customWidth="1"/>
  </cols>
  <sheetData>
    <row r="1" spans="1:45" s="809" customFormat="1" ht="12" hidden="1" customHeight="1">
      <c r="B1" s="671"/>
      <c r="E1" s="671"/>
      <c r="F1" s="698" t="s">
        <v>83</v>
      </c>
      <c r="G1" s="168"/>
      <c r="H1" s="168"/>
      <c r="I1" s="168"/>
      <c r="J1" s="168"/>
      <c r="K1" s="168"/>
      <c r="L1" s="168"/>
      <c r="M1" s="168"/>
      <c r="N1" s="168"/>
      <c r="O1" s="168"/>
      <c r="P1" s="168"/>
      <c r="Q1" s="168"/>
      <c r="R1" s="168"/>
      <c r="S1" s="164"/>
      <c r="T1" s="164"/>
      <c r="U1" s="687" t="s">
        <v>86</v>
      </c>
      <c r="V1" s="687" t="s">
        <v>91</v>
      </c>
      <c r="W1" s="687" t="s">
        <v>87</v>
      </c>
      <c r="X1" s="687" t="s">
        <v>88</v>
      </c>
      <c r="Y1" s="687" t="s">
        <v>89</v>
      </c>
      <c r="Z1" s="687" t="s">
        <v>93</v>
      </c>
      <c r="AA1" s="698" t="s">
        <v>90</v>
      </c>
      <c r="AB1" s="698" t="s">
        <v>382</v>
      </c>
      <c r="AC1" s="698" t="s">
        <v>92</v>
      </c>
      <c r="AK1" s="955" t="s">
        <v>383</v>
      </c>
      <c r="AL1" s="1000" t="s">
        <v>384</v>
      </c>
      <c r="AM1" s="1000" t="s">
        <v>385</v>
      </c>
      <c r="AN1" s="1000" t="s">
        <v>408</v>
      </c>
      <c r="AO1" s="1000" t="s">
        <v>409</v>
      </c>
      <c r="AP1" s="1000" t="s">
        <v>410</v>
      </c>
      <c r="AQ1" s="1000" t="s">
        <v>411</v>
      </c>
      <c r="AR1" s="287" t="s">
        <v>388</v>
      </c>
      <c r="AS1" s="287" t="s">
        <v>389</v>
      </c>
    </row>
    <row r="2" spans="1:45" s="671" customFormat="1" ht="12" hidden="1" customHeight="1">
      <c r="B2" s="768" t="s">
        <v>15</v>
      </c>
      <c r="G2" s="815"/>
      <c r="H2" s="815"/>
      <c r="I2" s="815"/>
      <c r="J2" s="815"/>
      <c r="K2" s="815"/>
      <c r="L2" s="815"/>
      <c r="M2" s="815"/>
      <c r="N2" s="815"/>
      <c r="O2" s="815"/>
      <c r="P2" s="815"/>
      <c r="Q2" s="815"/>
      <c r="R2" s="815"/>
      <c r="S2" s="786"/>
      <c r="T2" s="786"/>
      <c r="U2" s="667"/>
      <c r="V2" s="667"/>
      <c r="W2" s="667"/>
      <c r="X2" s="667"/>
      <c r="Y2" s="667"/>
      <c r="Z2" s="667"/>
      <c r="AK2" s="957"/>
      <c r="AL2" s="1001"/>
      <c r="AM2" s="1001"/>
      <c r="AN2" s="1001"/>
      <c r="AO2" s="1001"/>
      <c r="AP2" s="1001"/>
      <c r="AQ2" s="1001"/>
      <c r="AR2" s="999"/>
      <c r="AS2" s="999"/>
    </row>
    <row r="3" spans="1:45" s="809" customFormat="1" ht="12" hidden="1" customHeight="1">
      <c r="B3" s="671"/>
      <c r="C3" s="129"/>
      <c r="E3" s="671"/>
      <c r="G3" s="168"/>
      <c r="H3" s="168"/>
      <c r="I3" s="168"/>
      <c r="J3" s="168"/>
      <c r="K3" s="168"/>
      <c r="L3" s="168"/>
      <c r="M3" s="168"/>
      <c r="N3" s="168"/>
      <c r="O3" s="168"/>
      <c r="P3" s="168"/>
      <c r="Q3" s="168"/>
      <c r="R3" s="168"/>
      <c r="S3" s="164"/>
      <c r="T3" s="164"/>
      <c r="U3" s="129"/>
      <c r="V3" s="129"/>
      <c r="W3" s="129"/>
      <c r="X3" s="129"/>
      <c r="Y3" s="129"/>
      <c r="Z3" s="129"/>
      <c r="AK3" s="955"/>
      <c r="AL3" s="1000"/>
      <c r="AM3" s="1000"/>
      <c r="AN3" s="1000"/>
      <c r="AO3" s="1000"/>
      <c r="AP3" s="1000"/>
      <c r="AQ3" s="1000"/>
      <c r="AR3" s="287"/>
      <c r="AS3" s="287"/>
    </row>
    <row r="4" spans="1:45" s="809" customFormat="1" ht="12" hidden="1" customHeight="1">
      <c r="B4" s="671"/>
      <c r="E4" s="671"/>
      <c r="G4" s="168"/>
      <c r="H4" s="168"/>
      <c r="I4" s="168"/>
      <c r="J4" s="168"/>
      <c r="K4" s="168"/>
      <c r="L4" s="168"/>
      <c r="M4" s="168"/>
      <c r="N4" s="168"/>
      <c r="O4" s="168"/>
      <c r="P4" s="168"/>
      <c r="Q4" s="168"/>
      <c r="R4" s="168"/>
      <c r="S4" s="164"/>
      <c r="T4" s="164"/>
      <c r="U4" s="129"/>
      <c r="V4" s="129"/>
      <c r="W4" s="129"/>
      <c r="X4" s="129"/>
      <c r="Y4" s="129"/>
      <c r="Z4" s="129"/>
      <c r="AK4" s="955"/>
      <c r="AL4" s="1000"/>
      <c r="AM4" s="1000"/>
      <c r="AN4" s="1000"/>
      <c r="AO4" s="1000"/>
      <c r="AP4" s="1000"/>
      <c r="AQ4" s="1000"/>
      <c r="AR4" s="287"/>
      <c r="AS4" s="287"/>
    </row>
    <row r="5" spans="1:45" s="682" customFormat="1" ht="12" hidden="1" customHeight="1">
      <c r="A5" s="671"/>
      <c r="B5" s="671"/>
      <c r="C5" s="671"/>
      <c r="D5" s="671"/>
      <c r="E5" s="682" t="s">
        <v>16</v>
      </c>
      <c r="G5" s="816"/>
      <c r="H5" s="816"/>
      <c r="I5" s="816"/>
      <c r="J5" s="816"/>
      <c r="K5" s="816"/>
      <c r="L5" s="816"/>
      <c r="M5" s="816"/>
      <c r="N5" s="816"/>
      <c r="O5" s="816"/>
      <c r="P5" s="816"/>
      <c r="Q5" s="816"/>
      <c r="R5" s="816"/>
      <c r="S5" s="787"/>
      <c r="T5" s="787"/>
      <c r="U5" s="676"/>
      <c r="V5" s="676"/>
      <c r="W5" s="676"/>
      <c r="X5" s="676"/>
      <c r="Y5" s="676"/>
      <c r="Z5" s="676"/>
      <c r="AA5" s="682">
        <v>3</v>
      </c>
      <c r="AB5" s="682">
        <v>6.13</v>
      </c>
      <c r="AC5" s="682">
        <v>63.75</v>
      </c>
      <c r="AD5" s="682">
        <v>15.13</v>
      </c>
      <c r="AE5" s="682">
        <v>20.13</v>
      </c>
      <c r="AF5" s="682">
        <v>20.13</v>
      </c>
      <c r="AG5" s="682">
        <v>20.13</v>
      </c>
      <c r="AH5" s="682">
        <v>20.13</v>
      </c>
      <c r="AI5" s="682">
        <v>3</v>
      </c>
      <c r="AK5" s="957"/>
      <c r="AL5" s="1001"/>
      <c r="AM5" s="1001"/>
      <c r="AN5" s="1001"/>
      <c r="AO5" s="1001"/>
      <c r="AP5" s="1001"/>
      <c r="AQ5" s="1001"/>
      <c r="AR5" s="999"/>
      <c r="AS5" s="999"/>
    </row>
    <row r="6" spans="1:45" s="809" customFormat="1" ht="12" hidden="1" customHeight="1">
      <c r="B6" s="671"/>
      <c r="E6" s="682"/>
      <c r="G6" s="168"/>
      <c r="H6" s="168"/>
      <c r="I6" s="168"/>
      <c r="J6" s="168"/>
      <c r="K6" s="168"/>
      <c r="L6" s="168"/>
      <c r="M6" s="168"/>
      <c r="N6" s="168"/>
      <c r="O6" s="168"/>
      <c r="P6" s="168"/>
      <c r="Q6" s="168"/>
      <c r="R6" s="168"/>
      <c r="S6" s="164"/>
      <c r="T6" s="164"/>
      <c r="U6" s="129"/>
      <c r="V6" s="129"/>
      <c r="W6" s="129"/>
      <c r="X6" s="129"/>
      <c r="Y6" s="129"/>
      <c r="Z6" s="129"/>
      <c r="AE6" s="318">
        <f>god-2</f>
        <v>2024</v>
      </c>
      <c r="AF6" s="318">
        <f>god-1</f>
        <v>2025</v>
      </c>
      <c r="AG6" s="318" cm="1">
        <f t="array" ref="AG6">god</f>
        <v>2026</v>
      </c>
      <c r="AH6" s="318" cm="1">
        <f t="array" ref="AH6">god</f>
        <v>2026</v>
      </c>
      <c r="AK6" s="955"/>
      <c r="AL6" s="1000"/>
      <c r="AM6" s="1000"/>
      <c r="AN6" s="1000"/>
      <c r="AO6" s="1000"/>
      <c r="AP6" s="1000"/>
      <c r="AQ6" s="1000"/>
      <c r="AR6" s="287"/>
      <c r="AS6" s="287"/>
    </row>
    <row r="7" spans="1:45" s="775" customFormat="1" ht="12" hidden="1" customHeight="1">
      <c r="A7" s="318"/>
      <c r="B7" s="671"/>
      <c r="C7" s="318"/>
      <c r="D7" s="318"/>
      <c r="E7" s="682"/>
      <c r="S7" s="164"/>
      <c r="T7" s="164"/>
      <c r="U7" s="164"/>
      <c r="V7" s="164"/>
      <c r="W7" s="164"/>
      <c r="X7" s="164"/>
      <c r="Y7" s="164"/>
      <c r="Z7" s="164"/>
      <c r="AE7" s="814" t="s">
        <v>347</v>
      </c>
      <c r="AF7" s="814" t="s">
        <v>412</v>
      </c>
      <c r="AG7" s="617" t="s">
        <v>413</v>
      </c>
      <c r="AH7" s="617" t="s">
        <v>412</v>
      </c>
      <c r="AK7" s="955"/>
      <c r="AL7" s="1000"/>
      <c r="AM7" s="1000"/>
      <c r="AN7" s="1000"/>
      <c r="AO7" s="1000"/>
      <c r="AP7" s="1000"/>
      <c r="AQ7" s="1000"/>
      <c r="AR7" s="287"/>
      <c r="AS7" s="287"/>
    </row>
    <row r="8" spans="1:45" s="775" customFormat="1" ht="12" hidden="1" customHeight="1">
      <c r="A8" s="318"/>
      <c r="B8" s="671"/>
      <c r="C8" s="318"/>
      <c r="D8" s="318"/>
      <c r="E8" s="682"/>
      <c r="S8" s="164"/>
      <c r="T8" s="164"/>
      <c r="U8" s="164"/>
      <c r="V8" s="164"/>
      <c r="W8" s="164"/>
      <c r="X8" s="164"/>
      <c r="Y8" s="164"/>
      <c r="Z8" s="164"/>
      <c r="AK8" s="955"/>
      <c r="AL8" s="1000"/>
      <c r="AM8" s="1000"/>
      <c r="AN8" s="1000"/>
      <c r="AO8" s="1000"/>
      <c r="AP8" s="1000"/>
      <c r="AQ8" s="1000"/>
      <c r="AR8" s="287"/>
      <c r="AS8" s="287"/>
    </row>
    <row r="9" spans="1:45" s="969" customFormat="1" ht="12" hidden="1" customHeight="1">
      <c r="A9" s="955" t="s">
        <v>414</v>
      </c>
      <c r="B9" s="951"/>
      <c r="E9" s="951"/>
      <c r="AH9" s="949" t="str" cm="1">
        <f t="array" ref="AH9">AH24</f>
        <v>Срок действия</v>
      </c>
      <c r="AK9" s="955"/>
      <c r="AL9" s="955"/>
      <c r="AM9" s="955"/>
      <c r="AN9" s="955"/>
      <c r="AO9" s="955"/>
      <c r="AP9" s="955"/>
      <c r="AQ9" s="955"/>
      <c r="AR9" s="997"/>
      <c r="AS9" s="997"/>
    </row>
    <row r="10" spans="1:45" s="969" customFormat="1" ht="12" hidden="1" customHeight="1">
      <c r="A10" s="955" t="s">
        <v>394</v>
      </c>
      <c r="B10" s="951"/>
      <c r="E10" s="951"/>
      <c r="AC10" s="949" t="s">
        <v>385</v>
      </c>
      <c r="AD10" s="949" t="s">
        <v>408</v>
      </c>
      <c r="AE10" s="949" t="s">
        <v>409</v>
      </c>
      <c r="AF10" s="949" t="s">
        <v>410</v>
      </c>
      <c r="AG10" s="949" t="s">
        <v>411</v>
      </c>
      <c r="AK10" s="955"/>
      <c r="AL10" s="955"/>
      <c r="AM10" s="955"/>
      <c r="AN10" s="955"/>
      <c r="AO10" s="955"/>
      <c r="AP10" s="955"/>
      <c r="AQ10" s="955"/>
      <c r="AR10" s="997"/>
      <c r="AS10" s="997"/>
    </row>
    <row r="11" spans="1:45" s="809" customFormat="1" ht="12" hidden="1" customHeight="1">
      <c r="B11" s="671"/>
      <c r="E11" s="682"/>
      <c r="G11" s="168"/>
      <c r="H11" s="168"/>
      <c r="I11" s="168"/>
      <c r="J11" s="168"/>
      <c r="K11" s="168"/>
      <c r="L11" s="168"/>
      <c r="M11" s="168"/>
      <c r="N11" s="168"/>
      <c r="O11" s="168"/>
      <c r="P11" s="168"/>
      <c r="Q11" s="168"/>
      <c r="R11" s="168"/>
      <c r="S11" s="164"/>
      <c r="T11" s="164"/>
      <c r="U11" s="129"/>
      <c r="V11" s="129"/>
      <c r="W11" s="129"/>
      <c r="X11" s="129"/>
      <c r="Y11" s="129"/>
      <c r="Z11" s="129"/>
      <c r="AK11" s="955"/>
      <c r="AL11" s="1000"/>
      <c r="AM11" s="1000"/>
      <c r="AN11" s="1000"/>
      <c r="AO11" s="1000"/>
      <c r="AP11" s="1000"/>
      <c r="AQ11" s="1000"/>
      <c r="AR11" s="287"/>
      <c r="AS11" s="287"/>
    </row>
    <row r="12" spans="1:45" s="809" customFormat="1" ht="12" hidden="1" customHeight="1">
      <c r="B12" s="671"/>
      <c r="E12" s="682"/>
      <c r="G12" s="168"/>
      <c r="H12" s="168"/>
      <c r="I12" s="168"/>
      <c r="J12" s="168"/>
      <c r="K12" s="168"/>
      <c r="L12" s="168"/>
      <c r="M12" s="168"/>
      <c r="N12" s="168"/>
      <c r="O12" s="168"/>
      <c r="P12" s="168"/>
      <c r="Q12" s="168"/>
      <c r="R12" s="168"/>
      <c r="S12" s="164"/>
      <c r="T12" s="164"/>
      <c r="U12" s="129"/>
      <c r="V12" s="129"/>
      <c r="W12" s="129"/>
      <c r="X12" s="129"/>
      <c r="Y12" s="129"/>
      <c r="Z12" s="129"/>
      <c r="AA12" s="129"/>
      <c r="AB12" s="129"/>
      <c r="AK12" s="955"/>
      <c r="AL12" s="1000"/>
      <c r="AM12" s="1000"/>
      <c r="AN12" s="1000"/>
      <c r="AO12" s="1000"/>
      <c r="AP12" s="1000"/>
      <c r="AQ12" s="1000"/>
      <c r="AR12" s="287"/>
      <c r="AS12" s="287"/>
    </row>
    <row r="13" spans="1:45" s="809" customFormat="1" ht="12" hidden="1" customHeight="1">
      <c r="B13" s="671"/>
      <c r="E13" s="682"/>
      <c r="G13" s="168"/>
      <c r="H13" s="168"/>
      <c r="I13" s="168"/>
      <c r="J13" s="168"/>
      <c r="K13" s="168"/>
      <c r="L13" s="168"/>
      <c r="M13" s="168"/>
      <c r="N13" s="168"/>
      <c r="O13" s="168"/>
      <c r="P13" s="168"/>
      <c r="Q13" s="168"/>
      <c r="R13" s="168"/>
      <c r="S13" s="164"/>
      <c r="T13" s="164"/>
      <c r="U13" s="129"/>
      <c r="V13" s="129"/>
      <c r="W13" s="129"/>
      <c r="X13" s="129"/>
      <c r="Y13" s="129"/>
      <c r="Z13" s="129"/>
      <c r="AA13" s="129"/>
      <c r="AB13" s="129"/>
      <c r="AK13" s="955"/>
      <c r="AL13" s="1000"/>
      <c r="AM13" s="1000"/>
      <c r="AN13" s="1000"/>
      <c r="AO13" s="1000"/>
      <c r="AP13" s="1000"/>
      <c r="AQ13" s="1000"/>
      <c r="AR13" s="287"/>
      <c r="AS13" s="287"/>
    </row>
    <row r="14" spans="1:45" s="809" customFormat="1" ht="12" hidden="1" customHeight="1">
      <c r="B14" s="671"/>
      <c r="E14" s="682"/>
      <c r="G14" s="168"/>
      <c r="H14" s="168"/>
      <c r="I14" s="168"/>
      <c r="J14" s="168"/>
      <c r="K14" s="168"/>
      <c r="L14" s="168"/>
      <c r="M14" s="168"/>
      <c r="N14" s="168"/>
      <c r="O14" s="168"/>
      <c r="P14" s="168"/>
      <c r="Q14" s="168"/>
      <c r="R14" s="168"/>
      <c r="S14" s="164"/>
      <c r="T14" s="164"/>
      <c r="U14" s="129"/>
      <c r="V14" s="129"/>
      <c r="W14" s="129"/>
      <c r="X14" s="129"/>
      <c r="Y14" s="129"/>
      <c r="Z14" s="129"/>
      <c r="AA14" s="129"/>
      <c r="AB14" s="129"/>
      <c r="AK14" s="955"/>
      <c r="AL14" s="1000"/>
      <c r="AM14" s="1000"/>
      <c r="AN14" s="1000"/>
      <c r="AO14" s="1000"/>
      <c r="AP14" s="1000"/>
      <c r="AQ14" s="1000"/>
      <c r="AR14" s="287"/>
      <c r="AS14" s="287"/>
    </row>
    <row r="15" spans="1:45" s="809" customFormat="1" ht="12" hidden="1" customHeight="1">
      <c r="B15" s="671"/>
      <c r="E15" s="682"/>
      <c r="G15" s="168"/>
      <c r="H15" s="168"/>
      <c r="I15" s="168"/>
      <c r="J15" s="168"/>
      <c r="K15" s="168"/>
      <c r="L15" s="168"/>
      <c r="M15" s="168"/>
      <c r="N15" s="168"/>
      <c r="O15" s="168"/>
      <c r="P15" s="168"/>
      <c r="Q15" s="168"/>
      <c r="R15" s="168"/>
      <c r="S15" s="164"/>
      <c r="T15" s="164"/>
      <c r="U15" s="129"/>
      <c r="V15" s="129"/>
      <c r="W15" s="129"/>
      <c r="X15" s="129"/>
      <c r="Y15" s="129"/>
      <c r="Z15" s="129"/>
      <c r="AA15" s="129"/>
      <c r="AB15" s="129"/>
      <c r="AK15" s="955"/>
      <c r="AL15" s="1000"/>
      <c r="AM15" s="1000"/>
      <c r="AN15" s="1000"/>
      <c r="AO15" s="1000"/>
      <c r="AP15" s="1000"/>
      <c r="AQ15" s="1000"/>
      <c r="AR15" s="287"/>
      <c r="AS15" s="287"/>
    </row>
    <row r="16" spans="1:45" s="809" customFormat="1" ht="12" hidden="1" customHeight="1">
      <c r="B16" s="671"/>
      <c r="E16" s="682"/>
      <c r="G16" s="168"/>
      <c r="H16" s="168"/>
      <c r="I16" s="168"/>
      <c r="J16" s="168"/>
      <c r="K16" s="168"/>
      <c r="L16" s="168"/>
      <c r="M16" s="168"/>
      <c r="N16" s="168"/>
      <c r="O16" s="168"/>
      <c r="P16" s="168"/>
      <c r="Q16" s="168"/>
      <c r="R16" s="168"/>
      <c r="S16" s="164"/>
      <c r="T16" s="164"/>
      <c r="U16" s="129"/>
      <c r="V16" s="129"/>
      <c r="W16" s="129"/>
      <c r="X16" s="129"/>
      <c r="Y16" s="129"/>
      <c r="Z16" s="129"/>
      <c r="AA16" s="129"/>
      <c r="AB16" s="129"/>
      <c r="AK16" s="955"/>
      <c r="AL16" s="1000"/>
      <c r="AM16" s="1000"/>
      <c r="AN16" s="1000"/>
      <c r="AO16" s="1000"/>
      <c r="AP16" s="1000"/>
      <c r="AQ16" s="1000"/>
      <c r="AR16" s="287"/>
      <c r="AS16" s="287"/>
    </row>
    <row r="17" spans="1:45" s="809" customFormat="1" ht="12" hidden="1" customHeight="1">
      <c r="B17" s="671"/>
      <c r="E17" s="682"/>
      <c r="G17" s="168"/>
      <c r="H17" s="168"/>
      <c r="I17" s="168"/>
      <c r="J17" s="168"/>
      <c r="K17" s="168"/>
      <c r="L17" s="168"/>
      <c r="M17" s="168"/>
      <c r="N17" s="168"/>
      <c r="O17" s="168"/>
      <c r="P17" s="168"/>
      <c r="Q17" s="168"/>
      <c r="R17" s="168"/>
      <c r="S17" s="164"/>
      <c r="T17" s="164"/>
      <c r="U17" s="129"/>
      <c r="V17" s="129"/>
      <c r="W17" s="129"/>
      <c r="X17" s="129"/>
      <c r="Y17" s="129"/>
      <c r="Z17" s="129"/>
      <c r="AA17" s="129"/>
      <c r="AB17" s="129"/>
      <c r="AK17" s="955"/>
      <c r="AL17" s="1000"/>
      <c r="AM17" s="1000"/>
      <c r="AN17" s="1000"/>
      <c r="AO17" s="1000"/>
      <c r="AP17" s="1000"/>
      <c r="AQ17" s="1000"/>
      <c r="AR17" s="287"/>
      <c r="AS17" s="287"/>
    </row>
    <row r="18" spans="1:45" s="809" customFormat="1" ht="12" hidden="1" customHeight="1">
      <c r="B18" s="671"/>
      <c r="E18" s="682"/>
      <c r="G18" s="168"/>
      <c r="H18" s="168"/>
      <c r="I18" s="168"/>
      <c r="J18" s="168"/>
      <c r="K18" s="168"/>
      <c r="L18" s="168"/>
      <c r="M18" s="168"/>
      <c r="N18" s="168"/>
      <c r="O18" s="168"/>
      <c r="P18" s="168"/>
      <c r="Q18" s="168"/>
      <c r="R18" s="168"/>
      <c r="S18" s="164"/>
      <c r="T18" s="164"/>
      <c r="U18" s="129"/>
      <c r="V18" s="129"/>
      <c r="W18" s="129"/>
      <c r="X18" s="129"/>
      <c r="Y18" s="129"/>
      <c r="Z18" s="129"/>
      <c r="AA18" s="129"/>
      <c r="AB18" s="129"/>
      <c r="AK18" s="955"/>
      <c r="AL18" s="1000"/>
      <c r="AM18" s="1000"/>
      <c r="AN18" s="1000"/>
      <c r="AO18" s="1000"/>
      <c r="AP18" s="1000"/>
      <c r="AQ18" s="1000"/>
      <c r="AR18" s="287"/>
      <c r="AS18" s="287"/>
    </row>
    <row r="19" spans="1:45" s="809" customFormat="1" ht="12" hidden="1" customHeight="1">
      <c r="B19" s="671"/>
      <c r="E19" s="682"/>
      <c r="G19" s="168"/>
      <c r="H19" s="168"/>
      <c r="I19" s="168"/>
      <c r="J19" s="168"/>
      <c r="K19" s="168"/>
      <c r="L19" s="168"/>
      <c r="M19" s="168"/>
      <c r="N19" s="168"/>
      <c r="O19" s="168"/>
      <c r="P19" s="168"/>
      <c r="Q19" s="168"/>
      <c r="R19" s="168"/>
      <c r="S19" s="164"/>
      <c r="T19" s="164"/>
      <c r="U19" s="129"/>
      <c r="V19" s="129"/>
      <c r="W19" s="129"/>
      <c r="X19" s="129"/>
      <c r="Y19" s="129"/>
      <c r="Z19" s="129"/>
      <c r="AA19" s="129"/>
      <c r="AB19" s="129"/>
      <c r="AK19" s="955"/>
      <c r="AL19" s="1000"/>
      <c r="AM19" s="1000"/>
      <c r="AN19" s="1000"/>
      <c r="AO19" s="1000"/>
      <c r="AP19" s="1000"/>
      <c r="AQ19" s="1000"/>
      <c r="AR19" s="287"/>
      <c r="AS19" s="287"/>
    </row>
    <row r="20" spans="1:45" s="809" customFormat="1" ht="12" hidden="1" customHeight="1">
      <c r="B20" s="671"/>
      <c r="E20" s="682"/>
      <c r="G20" s="168"/>
      <c r="H20" s="168"/>
      <c r="I20" s="168"/>
      <c r="J20" s="168"/>
      <c r="K20" s="168"/>
      <c r="L20" s="168"/>
      <c r="M20" s="168"/>
      <c r="N20" s="168"/>
      <c r="O20" s="168"/>
      <c r="P20" s="168"/>
      <c r="Q20" s="168"/>
      <c r="R20" s="168"/>
      <c r="S20" s="164"/>
      <c r="T20" s="164"/>
      <c r="U20" s="129"/>
      <c r="V20" s="129"/>
      <c r="W20" s="129"/>
      <c r="X20" s="129"/>
      <c r="Y20" s="129"/>
      <c r="Z20" s="129"/>
      <c r="AA20" s="129"/>
      <c r="AB20" s="129"/>
      <c r="AK20" s="955"/>
      <c r="AL20" s="1000"/>
      <c r="AM20" s="1000"/>
      <c r="AN20" s="1000"/>
      <c r="AO20" s="1000"/>
      <c r="AP20" s="1000"/>
      <c r="AQ20" s="1000"/>
      <c r="AR20" s="287"/>
      <c r="AS20" s="287"/>
    </row>
    <row r="21" spans="1:45" s="775" customFormat="1" ht="14.65" customHeight="1">
      <c r="A21" s="318"/>
      <c r="B21" s="671"/>
      <c r="C21" s="318"/>
      <c r="D21" s="318"/>
      <c r="E21" s="682">
        <v>15</v>
      </c>
      <c r="F21" s="318"/>
      <c r="S21" s="164"/>
      <c r="T21" s="164"/>
      <c r="U21" s="129"/>
      <c r="V21" s="129"/>
      <c r="W21" s="129"/>
      <c r="X21" s="129"/>
      <c r="Y21" s="129"/>
      <c r="Z21" s="129"/>
      <c r="AA21" s="699"/>
      <c r="AC21" s="353" t="str" cm="1">
        <f t="array" ref="AC21">tpl_title</f>
        <v>Кемеровская область / 2026 / ОАО «СКЭК» (ИНН:4205153492, КПП:420501001) / ДПР: 2021-2030</v>
      </c>
      <c r="AK21" s="955"/>
      <c r="AL21" s="1000"/>
      <c r="AM21" s="1000"/>
      <c r="AN21" s="1000"/>
      <c r="AO21" s="1000"/>
      <c r="AP21" s="1000"/>
      <c r="AQ21" s="1000"/>
      <c r="AR21" s="287"/>
      <c r="AS21" s="287"/>
    </row>
    <row r="22" spans="1:45" ht="20.45" customHeight="1">
      <c r="E22" s="682">
        <v>21</v>
      </c>
      <c r="R22" s="164"/>
      <c r="AA22" s="699"/>
      <c r="AB22" s="1719" t="s">
        <v>415</v>
      </c>
      <c r="AC22" s="1720"/>
      <c r="AD22" s="1720"/>
      <c r="AE22" s="1720"/>
      <c r="AF22" s="1720"/>
      <c r="AG22" s="1720"/>
      <c r="AH22" s="1720"/>
    </row>
    <row r="23" spans="1:45" ht="8.85" customHeight="1">
      <c r="E23" s="682">
        <v>9</v>
      </c>
      <c r="AA23" s="773"/>
      <c r="AB23" s="145"/>
      <c r="AC23" s="145"/>
      <c r="AD23" s="145"/>
      <c r="AE23" s="145"/>
      <c r="AF23" s="1723"/>
      <c r="AG23" s="1723"/>
      <c r="AH23" s="127"/>
    </row>
    <row r="24" spans="1:45" ht="30.75" customHeight="1">
      <c r="E24" s="682">
        <v>31.5</v>
      </c>
      <c r="AA24" s="773"/>
      <c r="AB24" s="214" t="s">
        <v>396</v>
      </c>
      <c r="AC24" s="690" t="s">
        <v>416</v>
      </c>
      <c r="AD24" s="214" t="s">
        <v>417</v>
      </c>
      <c r="AE24" s="214" t="s">
        <v>418</v>
      </c>
      <c r="AF24" s="214" t="s">
        <v>419</v>
      </c>
      <c r="AG24" s="214" t="s">
        <v>420</v>
      </c>
      <c r="AH24" s="214" t="s">
        <v>421</v>
      </c>
    </row>
    <row r="25" spans="1:45" ht="31.5" hidden="1" customHeight="1">
      <c r="E25" s="682">
        <v>0</v>
      </c>
      <c r="AA25" s="773"/>
      <c r="AB25" s="691"/>
      <c r="AC25" s="603"/>
      <c r="AD25" s="604"/>
      <c r="AE25" s="604"/>
      <c r="AF25" s="604"/>
      <c r="AG25" s="604"/>
      <c r="AH25" s="604"/>
    </row>
    <row r="26" spans="1:45" s="170" customFormat="1" ht="16.7" hidden="1" customHeight="1">
      <c r="E26" s="676">
        <v>17.100000000000001</v>
      </c>
      <c r="F26" s="126" cm="1">
        <f t="array" ref="F26">Y26</f>
        <v>0</v>
      </c>
      <c r="U26" s="780" t="b">
        <f>Y26&gt;0</f>
        <v>0</v>
      </c>
      <c r="W26" s="122" t="s">
        <v>315</v>
      </c>
      <c r="Y26" s="1721">
        <v>0</v>
      </c>
      <c r="Z26" s="1724"/>
      <c r="AB26" s="213" t="str" cm="1">
        <f t="array" ref="AB26">INDEX('Общие сведения'!$AG$187:$AG$236,MATCH(Y26,'Общие сведения'!$Z$187:$Z$236,0))</f>
        <v xml:space="preserve">Тариф 0 (Теплоснабжение) - </v>
      </c>
      <c r="AC26" s="210"/>
      <c r="AD26" s="204"/>
      <c r="AE26" s="204"/>
      <c r="AF26" s="204"/>
      <c r="AG26" s="204"/>
      <c r="AH26" s="204"/>
      <c r="AK26" s="1002"/>
      <c r="AL26" s="1002"/>
      <c r="AM26" s="1002"/>
      <c r="AN26" s="1002"/>
      <c r="AO26" s="1002"/>
      <c r="AP26" s="1002"/>
      <c r="AQ26" s="1002"/>
      <c r="AR26" s="1003"/>
      <c r="AS26" s="1003"/>
    </row>
    <row r="27" spans="1:45" s="170" customFormat="1" ht="10.5" hidden="1" customHeight="1">
      <c r="E27" s="676">
        <v>0</v>
      </c>
      <c r="F27" s="126" cm="1">
        <f t="array" aca="1" ref="F27" ca="1">OFFSET(G27,-1,-1)</f>
        <v>0</v>
      </c>
      <c r="Y27" s="1724"/>
      <c r="Z27" s="1724"/>
      <c r="AB27" s="213"/>
      <c r="AC27" s="210"/>
      <c r="AD27" s="204"/>
      <c r="AE27" s="204"/>
      <c r="AF27" s="204"/>
      <c r="AG27" s="204"/>
      <c r="AH27" s="204"/>
      <c r="AK27" s="1002"/>
      <c r="AL27" s="1002"/>
      <c r="AM27" s="1002"/>
      <c r="AN27" s="1002"/>
      <c r="AO27" s="1002"/>
      <c r="AP27" s="1002"/>
      <c r="AQ27" s="1002"/>
      <c r="AR27" s="1003"/>
      <c r="AS27" s="1003"/>
    </row>
    <row r="28" spans="1:45" s="791" customFormat="1" ht="16.7" hidden="1" customHeight="1">
      <c r="E28" s="676">
        <v>17.100000000000001</v>
      </c>
      <c r="F28" s="126" cm="1">
        <f t="array" aca="1" ref="F28" ca="1">OFFSET(G28,-1,-1)</f>
        <v>0</v>
      </c>
      <c r="I28" s="164" t="s">
        <v>422</v>
      </c>
      <c r="K28" s="164" t="s">
        <v>423</v>
      </c>
      <c r="U28" s="780" t="b">
        <f ca="1">AND(F28&gt;0,AB28&gt;0)</f>
        <v>0</v>
      </c>
      <c r="X28" s="122" t="s">
        <v>236</v>
      </c>
      <c r="Y28" s="1725"/>
      <c r="Z28" s="1725"/>
      <c r="AA28" s="11" t="s">
        <v>218</v>
      </c>
      <c r="AB28" s="105">
        <v>0</v>
      </c>
      <c r="AC28" s="399" t="str">
        <f>I28&amp;" :: "&amp;K28</f>
        <v>Наименование объекта :: адрес</v>
      </c>
      <c r="AD28" s="396"/>
      <c r="AE28" s="396"/>
      <c r="AF28" s="411"/>
      <c r="AG28" s="411"/>
      <c r="AH28" s="13"/>
      <c r="AK28" s="1002" t="s">
        <v>424</v>
      </c>
      <c r="AL28" s="1004" t="s">
        <v>425</v>
      </c>
      <c r="AM28" s="1004" t="str" cm="1">
        <f t="array" ref="AM28">AC28</f>
        <v>Наименование объекта :: адрес</v>
      </c>
      <c r="AN28" s="1004" cm="1">
        <f t="array" ref="AN28">AD28</f>
        <v>0</v>
      </c>
      <c r="AO28" s="1004" cm="1">
        <f t="array" ref="AO28">AE28</f>
        <v>0</v>
      </c>
      <c r="AP28" s="1004" cm="1">
        <f t="array" ref="AP28">AF28</f>
        <v>0</v>
      </c>
      <c r="AQ28" s="1004" cm="1">
        <f t="array" ref="AQ28">AG28</f>
        <v>0</v>
      </c>
      <c r="AR28" s="1005"/>
      <c r="AS28" s="1005" t="b">
        <v>1</v>
      </c>
    </row>
    <row r="29" spans="1:45" s="170" customFormat="1" ht="16.7" hidden="1" customHeight="1">
      <c r="E29" s="676">
        <v>17.100000000000001</v>
      </c>
      <c r="F29" s="126" cm="1">
        <f t="array" aca="1" ref="F29" ca="1">OFFSET(G29,-1,-1)</f>
        <v>0</v>
      </c>
      <c r="U29" s="780" t="b">
        <f ca="1">F29&gt;0</f>
        <v>0</v>
      </c>
      <c r="X29" s="122" t="s">
        <v>426</v>
      </c>
      <c r="Y29" s="1724"/>
      <c r="Z29" s="1724"/>
      <c r="AB29" s="205"/>
      <c r="AC29" s="208" t="s">
        <v>427</v>
      </c>
      <c r="AD29" s="206"/>
      <c r="AE29" s="206"/>
      <c r="AF29" s="206"/>
      <c r="AG29" s="206"/>
      <c r="AH29" s="215"/>
      <c r="AK29" s="1002"/>
      <c r="AL29" s="1002"/>
      <c r="AM29" s="1002"/>
      <c r="AN29" s="1002"/>
      <c r="AO29" s="1002"/>
      <c r="AP29" s="1002"/>
      <c r="AQ29" s="1002"/>
      <c r="AR29" s="1003" t="s">
        <v>425</v>
      </c>
      <c r="AS29" s="1003"/>
    </row>
    <row r="30" spans="1:45" s="1231" customFormat="1" ht="16.5" customHeight="1">
      <c r="A30" s="170"/>
      <c r="B30" s="170"/>
      <c r="C30" s="170"/>
      <c r="D30" s="170"/>
      <c r="E30" s="676">
        <v>17.100000000000001</v>
      </c>
      <c r="F30" s="126" t="str" cm="1">
        <f t="array" ref="F30">Y30</f>
        <v>1</v>
      </c>
      <c r="G30" s="170"/>
      <c r="H30" s="170"/>
      <c r="I30" s="170"/>
      <c r="J30" s="170"/>
      <c r="K30" s="170"/>
      <c r="L30" s="170"/>
      <c r="M30" s="170"/>
      <c r="N30" s="170"/>
      <c r="O30" s="170"/>
      <c r="P30" s="170"/>
      <c r="Q30" s="170"/>
      <c r="R30" s="170"/>
      <c r="S30" s="170"/>
      <c r="T30" s="170"/>
      <c r="U30" s="780" t="b">
        <f>Y30&gt;0</f>
        <v>1</v>
      </c>
      <c r="V30" s="170"/>
      <c r="W30" s="122" t="str" cm="1">
        <f t="array" ref="W30">'Список территорий'!$AB$29</f>
        <v>Тариф 1 (Теплоснабжение) - Тариф на тепловую энергию (мощность), поставляемую потребителям (Не определено)</v>
      </c>
      <c r="X30" s="170"/>
      <c r="Y30" s="1721" t="s">
        <v>341</v>
      </c>
      <c r="Z30" s="1724"/>
      <c r="AA30" s="170"/>
      <c r="AB30" s="213"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10"/>
      <c r="AD30" s="204"/>
      <c r="AE30" s="204"/>
      <c r="AF30" s="204"/>
      <c r="AG30" s="204"/>
      <c r="AH30" s="204"/>
      <c r="AI30" s="170"/>
      <c r="AJ30" s="170"/>
      <c r="AK30" s="1002"/>
      <c r="AL30" s="1002"/>
      <c r="AM30" s="1002"/>
      <c r="AN30" s="1002"/>
      <c r="AO30" s="1002"/>
      <c r="AP30" s="1002"/>
      <c r="AQ30" s="1002"/>
      <c r="AR30" s="1003"/>
      <c r="AS30" s="1003"/>
    </row>
    <row r="31" spans="1:45" s="1232" customFormat="1" ht="10.5" hidden="1" customHeight="1">
      <c r="A31" s="170"/>
      <c r="B31" s="170"/>
      <c r="C31" s="170"/>
      <c r="D31" s="170"/>
      <c r="E31" s="676">
        <v>0</v>
      </c>
      <c r="F31" s="126" t="str" cm="1">
        <f t="array" aca="1" ref="F31" ca="1">OFFSET(G31,-1,-1)</f>
        <v>1</v>
      </c>
      <c r="G31" s="170"/>
      <c r="H31" s="170"/>
      <c r="I31" s="170"/>
      <c r="J31" s="170"/>
      <c r="K31" s="170"/>
      <c r="L31" s="170"/>
      <c r="M31" s="170"/>
      <c r="N31" s="170"/>
      <c r="O31" s="170"/>
      <c r="P31" s="170"/>
      <c r="Q31" s="170"/>
      <c r="R31" s="170"/>
      <c r="S31" s="170"/>
      <c r="T31" s="170"/>
      <c r="U31" s="170"/>
      <c r="V31" s="170"/>
      <c r="W31" s="170"/>
      <c r="X31" s="170"/>
      <c r="Y31" s="1724"/>
      <c r="Z31" s="1724"/>
      <c r="AA31" s="170"/>
      <c r="AB31" s="213"/>
      <c r="AC31" s="210"/>
      <c r="AD31" s="204"/>
      <c r="AE31" s="204"/>
      <c r="AF31" s="204"/>
      <c r="AG31" s="204"/>
      <c r="AH31" s="204"/>
      <c r="AI31" s="170"/>
      <c r="AJ31" s="170"/>
      <c r="AK31" s="1002"/>
      <c r="AL31" s="1002"/>
      <c r="AM31" s="1002"/>
      <c r="AN31" s="1002"/>
      <c r="AO31" s="1002"/>
      <c r="AP31" s="1002"/>
      <c r="AQ31" s="1002"/>
      <c r="AR31" s="1003"/>
      <c r="AS31" s="1003"/>
    </row>
    <row r="32" spans="1:45" s="791" customFormat="1" ht="16.5" hidden="1" customHeight="1">
      <c r="E32" s="676">
        <v>17.100000000000001</v>
      </c>
      <c r="F32" s="126" t="str" cm="1">
        <f t="array" aca="1" ref="F32" ca="1">OFFSET(G32,-1,-1)</f>
        <v>1</v>
      </c>
      <c r="I32" s="164" t="s">
        <v>422</v>
      </c>
      <c r="K32" s="164" t="s">
        <v>423</v>
      </c>
      <c r="U32" s="780" t="b">
        <f t="shared" ref="U32:U45" ca="1" si="0">AND(F32&gt;0,AB32&gt;0)</f>
        <v>0</v>
      </c>
      <c r="X32" s="122" t="s">
        <v>236</v>
      </c>
      <c r="Y32" s="1725"/>
      <c r="Z32" s="1725"/>
      <c r="AA32" s="11" t="s">
        <v>218</v>
      </c>
      <c r="AB32" s="105">
        <v>0</v>
      </c>
      <c r="AC32" s="399" t="str">
        <f t="shared" ref="AC32:AC45" si="1">I32&amp;" :: "&amp;K32</f>
        <v>Наименование объекта :: адрес</v>
      </c>
      <c r="AD32" s="396"/>
      <c r="AE32" s="396"/>
      <c r="AF32" s="411"/>
      <c r="AG32" s="411"/>
      <c r="AH32" s="13"/>
      <c r="AK32" s="1002" t="s">
        <v>424</v>
      </c>
      <c r="AL32" s="1004" t="s">
        <v>425</v>
      </c>
      <c r="AM32" s="1004" t="str" cm="1">
        <f t="array" ref="AM32">AC32</f>
        <v>Наименование объекта :: адрес</v>
      </c>
      <c r="AN32" s="1004" cm="1">
        <f t="array" ref="AN32">AD32</f>
        <v>0</v>
      </c>
      <c r="AO32" s="1004" cm="1">
        <f t="array" ref="AO32">AE32</f>
        <v>0</v>
      </c>
      <c r="AP32" s="1004" cm="1">
        <f t="array" ref="AP32">AF32</f>
        <v>0</v>
      </c>
      <c r="AQ32" s="1004" cm="1">
        <f t="array" ref="AQ32">AG32</f>
        <v>0</v>
      </c>
      <c r="AR32" s="1005"/>
      <c r="AS32" s="1005" t="b">
        <v>1</v>
      </c>
    </row>
    <row r="33" spans="1:45" s="791" customFormat="1" ht="16.5" customHeight="1">
      <c r="E33" s="676">
        <v>17.100000000000001</v>
      </c>
      <c r="F33" s="126" t="str" cm="1">
        <f t="array" aca="1" ref="F33" ca="1">OFFSET(G33,-1,-1)</f>
        <v>1</v>
      </c>
      <c r="I33" s="164" t="s">
        <v>428</v>
      </c>
      <c r="K33" s="164" t="s">
        <v>429</v>
      </c>
      <c r="U33" s="780" t="b">
        <f t="shared" ca="1" si="0"/>
        <v>1</v>
      </c>
      <c r="X33" s="122"/>
      <c r="Y33" s="1725"/>
      <c r="Z33" s="1725"/>
      <c r="AA33" s="11" t="s">
        <v>218</v>
      </c>
      <c r="AB33" s="105" t="s">
        <v>341</v>
      </c>
      <c r="AC33" s="399" t="str">
        <f t="shared" si="1"/>
        <v>Котельная №1 :: г Тайга, Почтовая, 135 Д</v>
      </c>
      <c r="AD33" s="396" t="s">
        <v>430</v>
      </c>
      <c r="AE33" s="396" t="s">
        <v>431</v>
      </c>
      <c r="AF33" s="411" t="s">
        <v>268</v>
      </c>
      <c r="AG33" s="411" t="s">
        <v>432</v>
      </c>
      <c r="AH33" s="1233"/>
      <c r="AK33" s="1002" t="s">
        <v>424</v>
      </c>
      <c r="AL33" s="1004" t="s">
        <v>425</v>
      </c>
      <c r="AM33" s="1004" t="str" cm="1">
        <f t="array" ref="AM33">AC33</f>
        <v>Котельная №1 :: г Тайга, Почтовая, 135 Д</v>
      </c>
      <c r="AN33" s="1004" t="str" cm="1">
        <f t="array" ref="AN33">AD33</f>
        <v>концессионное соглашение</v>
      </c>
      <c r="AO33" s="1004" t="str" cm="1">
        <f t="array" ref="AO33">AE33</f>
        <v>договор</v>
      </c>
      <c r="AP33" s="1004" t="str" cm="1">
        <f t="array" ref="AP33">AF33</f>
        <v>5/ТГО</v>
      </c>
      <c r="AQ33" s="1004" t="str" cm="1">
        <f t="array" ref="AQ33">AG33</f>
        <v>03.11.2021</v>
      </c>
      <c r="AR33" s="1005"/>
      <c r="AS33" s="1005" t="b">
        <v>1</v>
      </c>
    </row>
    <row r="34" spans="1:45" s="791" customFormat="1" ht="16.5" customHeight="1">
      <c r="E34" s="676">
        <v>17.100000000000001</v>
      </c>
      <c r="F34" s="126" t="str" cm="1">
        <f t="array" aca="1" ref="F34" ca="1">OFFSET(G34,-1,-1)</f>
        <v>1</v>
      </c>
      <c r="I34" s="164" t="s">
        <v>433</v>
      </c>
      <c r="K34" s="164" t="s">
        <v>434</v>
      </c>
      <c r="U34" s="780" t="b">
        <f t="shared" ca="1" si="0"/>
        <v>1</v>
      </c>
      <c r="X34" s="122"/>
      <c r="Y34" s="1725"/>
      <c r="Z34" s="1725"/>
      <c r="AA34" s="11" t="s">
        <v>218</v>
      </c>
      <c r="AB34" s="105" t="s">
        <v>348</v>
      </c>
      <c r="AC34" s="399" t="str">
        <f t="shared" si="1"/>
        <v>Центральная котельная :: г Тайга, Таежная, 11</v>
      </c>
      <c r="AD34" s="396" t="s">
        <v>430</v>
      </c>
      <c r="AE34" s="396" t="s">
        <v>431</v>
      </c>
      <c r="AF34" s="411" t="s">
        <v>268</v>
      </c>
      <c r="AG34" s="411" t="s">
        <v>432</v>
      </c>
      <c r="AH34" s="1233"/>
      <c r="AK34" s="1002" t="s">
        <v>424</v>
      </c>
      <c r="AL34" s="1004" t="s">
        <v>425</v>
      </c>
      <c r="AM34" s="1004" t="str" cm="1">
        <f t="array" ref="AM34">AC34</f>
        <v>Центральная котельная :: г Тайга, Таежная, 11</v>
      </c>
      <c r="AN34" s="1004" t="str" cm="1">
        <f t="array" ref="AN34">AD34</f>
        <v>концессионное соглашение</v>
      </c>
      <c r="AO34" s="1004" t="str" cm="1">
        <f t="array" ref="AO34">AE34</f>
        <v>договор</v>
      </c>
      <c r="AP34" s="1004" t="str" cm="1">
        <f t="array" ref="AP34">AF34</f>
        <v>5/ТГО</v>
      </c>
      <c r="AQ34" s="1004" t="str" cm="1">
        <f t="array" ref="AQ34">AG34</f>
        <v>03.11.2021</v>
      </c>
      <c r="AR34" s="1005"/>
      <c r="AS34" s="1005" t="b">
        <v>1</v>
      </c>
    </row>
    <row r="35" spans="1:45" s="791" customFormat="1" ht="16.5" customHeight="1">
      <c r="E35" s="676">
        <v>17.100000000000001</v>
      </c>
      <c r="F35" s="126" t="str" cm="1">
        <f t="array" aca="1" ref="F35" ca="1">OFFSET(G35,-1,-1)</f>
        <v>1</v>
      </c>
      <c r="I35" s="164" t="s">
        <v>435</v>
      </c>
      <c r="K35" s="164" t="s">
        <v>436</v>
      </c>
      <c r="U35" s="780" t="b">
        <f t="shared" ca="1" si="0"/>
        <v>1</v>
      </c>
      <c r="X35" s="122"/>
      <c r="Y35" s="1725"/>
      <c r="Z35" s="1725"/>
      <c r="AA35" s="11" t="s">
        <v>218</v>
      </c>
      <c r="AB35" s="105" t="s">
        <v>437</v>
      </c>
      <c r="AC35" s="399" t="str">
        <f t="shared" si="1"/>
        <v>Котельная д/сад :: г Тайга, Рабочая, 179</v>
      </c>
      <c r="AD35" s="396" t="s">
        <v>430</v>
      </c>
      <c r="AE35" s="396" t="s">
        <v>431</v>
      </c>
      <c r="AF35" s="411" t="s">
        <v>268</v>
      </c>
      <c r="AG35" s="411" t="s">
        <v>432</v>
      </c>
      <c r="AH35" s="1233"/>
      <c r="AK35" s="1002" t="s">
        <v>424</v>
      </c>
      <c r="AL35" s="1004" t="s">
        <v>425</v>
      </c>
      <c r="AM35" s="1004" t="str" cm="1">
        <f t="array" ref="AM35">AC35</f>
        <v>Котельная д/сад :: г Тайга, Рабочая, 179</v>
      </c>
      <c r="AN35" s="1004" t="str" cm="1">
        <f t="array" ref="AN35">AD35</f>
        <v>концессионное соглашение</v>
      </c>
      <c r="AO35" s="1004" t="str" cm="1">
        <f t="array" ref="AO35">AE35</f>
        <v>договор</v>
      </c>
      <c r="AP35" s="1004" t="str" cm="1">
        <f t="array" ref="AP35">AF35</f>
        <v>5/ТГО</v>
      </c>
      <c r="AQ35" s="1004" t="str" cm="1">
        <f t="array" ref="AQ35">AG35</f>
        <v>03.11.2021</v>
      </c>
      <c r="AR35" s="1005"/>
      <c r="AS35" s="1005" t="b">
        <v>1</v>
      </c>
    </row>
    <row r="36" spans="1:45" s="791" customFormat="1" ht="16.5" customHeight="1">
      <c r="E36" s="676">
        <v>17.100000000000001</v>
      </c>
      <c r="F36" s="126" t="str" cm="1">
        <f t="array" aca="1" ref="F36" ca="1">OFFSET(G36,-1,-1)</f>
        <v>1</v>
      </c>
      <c r="I36" s="164" t="s">
        <v>438</v>
      </c>
      <c r="K36" s="164" t="s">
        <v>439</v>
      </c>
      <c r="U36" s="780" t="b">
        <f t="shared" ca="1" si="0"/>
        <v>1</v>
      </c>
      <c r="X36" s="122"/>
      <c r="Y36" s="1725"/>
      <c r="Z36" s="1725"/>
      <c r="AA36" s="11" t="s">
        <v>218</v>
      </c>
      <c r="AB36" s="105" t="s">
        <v>440</v>
      </c>
      <c r="AC36" s="399" t="str">
        <f t="shared" si="1"/>
        <v>Котельная Приют :: г Тайга, Трудовые резервы, 18</v>
      </c>
      <c r="AD36" s="396" t="s">
        <v>430</v>
      </c>
      <c r="AE36" s="396" t="s">
        <v>431</v>
      </c>
      <c r="AF36" s="411" t="s">
        <v>268</v>
      </c>
      <c r="AG36" s="411" t="s">
        <v>432</v>
      </c>
      <c r="AH36" s="1233"/>
      <c r="AK36" s="1002" t="s">
        <v>424</v>
      </c>
      <c r="AL36" s="1004" t="s">
        <v>425</v>
      </c>
      <c r="AM36" s="1004" t="str" cm="1">
        <f t="array" ref="AM36">AC36</f>
        <v>Котельная Приют :: г Тайга, Трудовые резервы, 18</v>
      </c>
      <c r="AN36" s="1004" t="str" cm="1">
        <f t="array" ref="AN36">AD36</f>
        <v>концессионное соглашение</v>
      </c>
      <c r="AO36" s="1004" t="str" cm="1">
        <f t="array" ref="AO36">AE36</f>
        <v>договор</v>
      </c>
      <c r="AP36" s="1004" t="str" cm="1">
        <f t="array" ref="AP36">AF36</f>
        <v>5/ТГО</v>
      </c>
      <c r="AQ36" s="1004" t="str" cm="1">
        <f t="array" ref="AQ36">AG36</f>
        <v>03.11.2021</v>
      </c>
      <c r="AR36" s="1005"/>
      <c r="AS36" s="1005" t="b">
        <v>1</v>
      </c>
    </row>
    <row r="37" spans="1:45" s="791" customFormat="1" ht="16.5" customHeight="1">
      <c r="E37" s="676">
        <v>17.100000000000001</v>
      </c>
      <c r="F37" s="126" t="str" cm="1">
        <f t="array" aca="1" ref="F37" ca="1">OFFSET(G37,-1,-1)</f>
        <v>1</v>
      </c>
      <c r="I37" s="164" t="s">
        <v>441</v>
      </c>
      <c r="K37" s="164" t="s">
        <v>442</v>
      </c>
      <c r="U37" s="780" t="b">
        <f t="shared" ca="1" si="0"/>
        <v>1</v>
      </c>
      <c r="X37" s="122"/>
      <c r="Y37" s="1725"/>
      <c r="Z37" s="1725"/>
      <c r="AA37" s="11" t="s">
        <v>218</v>
      </c>
      <c r="AB37" s="105" t="s">
        <v>443</v>
      </c>
      <c r="AC37" s="399" t="str">
        <f t="shared" si="1"/>
        <v>Котельная №4 :: г Тайга, ул. Чернышевского, 3</v>
      </c>
      <c r="AD37" s="396" t="s">
        <v>430</v>
      </c>
      <c r="AE37" s="396" t="s">
        <v>431</v>
      </c>
      <c r="AF37" s="411" t="s">
        <v>271</v>
      </c>
      <c r="AG37" s="411" t="s">
        <v>6390</v>
      </c>
      <c r="AH37" s="1233"/>
      <c r="AK37" s="1002" t="s">
        <v>424</v>
      </c>
      <c r="AL37" s="1004" t="s">
        <v>425</v>
      </c>
      <c r="AM37" s="1004" t="str" cm="1">
        <f t="array" ref="AM37">AC37</f>
        <v>Котельная №4 :: г Тайга, ул. Чернышевского, 3</v>
      </c>
      <c r="AN37" s="1004" t="str" cm="1">
        <f t="array" ref="AN37">AD37</f>
        <v>концессионное соглашение</v>
      </c>
      <c r="AO37" s="1004" t="str" cm="1">
        <f t="array" ref="AO37">AE37</f>
        <v>договор</v>
      </c>
      <c r="AP37" s="1004" t="str" cm="1">
        <f t="array" ref="AP37">AF37</f>
        <v>2024/ТГО</v>
      </c>
      <c r="AQ37" s="1004" t="str" cm="1">
        <f t="array" ref="AQ37">AG37</f>
        <v>16.12.2024</v>
      </c>
      <c r="AR37" s="1005"/>
      <c r="AS37" s="1005" t="b">
        <v>1</v>
      </c>
    </row>
    <row r="38" spans="1:45" s="791" customFormat="1" ht="16.5" customHeight="1">
      <c r="E38" s="676">
        <v>17.100000000000001</v>
      </c>
      <c r="F38" s="126" t="str" cm="1">
        <f t="array" aca="1" ref="F38" ca="1">OFFSET(G38,-1,-1)</f>
        <v>1</v>
      </c>
      <c r="I38" s="164" t="s">
        <v>446</v>
      </c>
      <c r="K38" s="164" t="s">
        <v>447</v>
      </c>
      <c r="U38" s="780" t="b">
        <f t="shared" ca="1" si="0"/>
        <v>1</v>
      </c>
      <c r="X38" s="122"/>
      <c r="Y38" s="1725"/>
      <c r="Z38" s="1725"/>
      <c r="AA38" s="11" t="s">
        <v>218</v>
      </c>
      <c r="AB38" s="105" t="s">
        <v>448</v>
      </c>
      <c r="AC38" s="399" t="str">
        <f t="shared" si="1"/>
        <v>Котельная Диспансер :: п Кедровый, Кедровый, 1</v>
      </c>
      <c r="AD38" s="396" t="s">
        <v>430</v>
      </c>
      <c r="AE38" s="396" t="s">
        <v>431</v>
      </c>
      <c r="AF38" s="411" t="s">
        <v>268</v>
      </c>
      <c r="AG38" s="411" t="s">
        <v>432</v>
      </c>
      <c r="AH38" s="1233"/>
      <c r="AK38" s="1002" t="s">
        <v>424</v>
      </c>
      <c r="AL38" s="1004" t="s">
        <v>425</v>
      </c>
      <c r="AM38" s="1004" t="str" cm="1">
        <f t="array" ref="AM38">AC38</f>
        <v>Котельная Диспансер :: п Кедровый, Кедровый, 1</v>
      </c>
      <c r="AN38" s="1004" t="str" cm="1">
        <f t="array" ref="AN38">AD38</f>
        <v>концессионное соглашение</v>
      </c>
      <c r="AO38" s="1004" t="str" cm="1">
        <f t="array" ref="AO38">AE38</f>
        <v>договор</v>
      </c>
      <c r="AP38" s="1004" t="str" cm="1">
        <f t="array" ref="AP38">AF38</f>
        <v>5/ТГО</v>
      </c>
      <c r="AQ38" s="1004" t="str" cm="1">
        <f t="array" ref="AQ38">AG38</f>
        <v>03.11.2021</v>
      </c>
      <c r="AR38" s="1005"/>
      <c r="AS38" s="1005" t="b">
        <v>1</v>
      </c>
    </row>
    <row r="39" spans="1:45" s="791" customFormat="1" ht="16.5" customHeight="1">
      <c r="E39" s="676">
        <v>17.100000000000001</v>
      </c>
      <c r="F39" s="126" t="str" cm="1">
        <f t="array" aca="1" ref="F39" ca="1">OFFSET(G39,-1,-1)</f>
        <v>1</v>
      </c>
      <c r="I39" s="164" t="s">
        <v>449</v>
      </c>
      <c r="K39" s="164" t="s">
        <v>450</v>
      </c>
      <c r="U39" s="780" t="b">
        <f t="shared" ca="1" si="0"/>
        <v>1</v>
      </c>
      <c r="X39" s="122"/>
      <c r="Y39" s="1725"/>
      <c r="Z39" s="1725"/>
      <c r="AA39" s="11" t="s">
        <v>218</v>
      </c>
      <c r="AB39" s="105" t="s">
        <v>451</v>
      </c>
      <c r="AC39" s="399" t="str">
        <f t="shared" si="1"/>
        <v>Котельная Кузель :: рзд Кузель, Школьная, 14 А</v>
      </c>
      <c r="AD39" s="396" t="s">
        <v>430</v>
      </c>
      <c r="AE39" s="396" t="s">
        <v>431</v>
      </c>
      <c r="AF39" s="411" t="s">
        <v>268</v>
      </c>
      <c r="AG39" s="411" t="s">
        <v>432</v>
      </c>
      <c r="AH39" s="1233"/>
      <c r="AK39" s="1002" t="s">
        <v>424</v>
      </c>
      <c r="AL39" s="1004" t="s">
        <v>425</v>
      </c>
      <c r="AM39" s="1004" t="str" cm="1">
        <f t="array" ref="AM39">AC39</f>
        <v>Котельная Кузель :: рзд Кузель, Школьная, 14 А</v>
      </c>
      <c r="AN39" s="1004" t="str" cm="1">
        <f t="array" ref="AN39">AD39</f>
        <v>концессионное соглашение</v>
      </c>
      <c r="AO39" s="1004" t="str" cm="1">
        <f t="array" ref="AO39">AE39</f>
        <v>договор</v>
      </c>
      <c r="AP39" s="1004" t="str" cm="1">
        <f t="array" ref="AP39">AF39</f>
        <v>5/ТГО</v>
      </c>
      <c r="AQ39" s="1004" t="str" cm="1">
        <f t="array" ref="AQ39">AG39</f>
        <v>03.11.2021</v>
      </c>
      <c r="AR39" s="1005"/>
      <c r="AS39" s="1005" t="b">
        <v>1</v>
      </c>
    </row>
    <row r="40" spans="1:45" s="791" customFormat="1" ht="16.5" customHeight="1">
      <c r="E40" s="676">
        <v>17.100000000000001</v>
      </c>
      <c r="F40" s="126" t="str" cm="1">
        <f t="array" aca="1" ref="F40" ca="1">OFFSET(G40,-1,-1)</f>
        <v>1</v>
      </c>
      <c r="I40" s="164" t="s">
        <v>452</v>
      </c>
      <c r="K40" s="164" t="s">
        <v>453</v>
      </c>
      <c r="U40" s="780" t="b">
        <f t="shared" ca="1" si="0"/>
        <v>1</v>
      </c>
      <c r="X40" s="122"/>
      <c r="Y40" s="1725"/>
      <c r="Z40" s="1725"/>
      <c r="AA40" s="11" t="s">
        <v>218</v>
      </c>
      <c r="AB40" s="105" t="s">
        <v>454</v>
      </c>
      <c r="AC40" s="399" t="str">
        <f t="shared" si="1"/>
        <v>Котельная №2 :: г Тайга, пр-кт. Пролетарский, 9А</v>
      </c>
      <c r="AD40" s="396" t="s">
        <v>430</v>
      </c>
      <c r="AE40" s="396" t="s">
        <v>431</v>
      </c>
      <c r="AF40" s="411" t="s">
        <v>271</v>
      </c>
      <c r="AG40" s="411" t="s">
        <v>6390</v>
      </c>
      <c r="AH40" s="1233"/>
      <c r="AK40" s="1002" t="s">
        <v>424</v>
      </c>
      <c r="AL40" s="1004" t="s">
        <v>425</v>
      </c>
      <c r="AM40" s="1004" t="str" cm="1">
        <f t="array" ref="AM40">AC40</f>
        <v>Котельная №2 :: г Тайга, пр-кт. Пролетарский, 9А</v>
      </c>
      <c r="AN40" s="1004" t="str" cm="1">
        <f t="array" ref="AN40">AD40</f>
        <v>концессионное соглашение</v>
      </c>
      <c r="AO40" s="1004" t="str" cm="1">
        <f t="array" ref="AO40">AE40</f>
        <v>договор</v>
      </c>
      <c r="AP40" s="1004" t="str" cm="1">
        <f t="array" ref="AP40">AF40</f>
        <v>2024/ТГО</v>
      </c>
      <c r="AQ40" s="1004" t="str" cm="1">
        <f t="array" ref="AQ40">AG40</f>
        <v>16.12.2024</v>
      </c>
      <c r="AR40" s="1005"/>
      <c r="AS40" s="1005" t="b">
        <v>1</v>
      </c>
    </row>
    <row r="41" spans="1:45" s="791" customFormat="1" ht="16.5" customHeight="1">
      <c r="E41" s="676">
        <v>17.100000000000001</v>
      </c>
      <c r="F41" s="126" t="str" cm="1">
        <f t="array" aca="1" ref="F41" ca="1">OFFSET(G41,-1,-1)</f>
        <v>1</v>
      </c>
      <c r="I41" s="164" t="s">
        <v>455</v>
      </c>
      <c r="K41" s="164" t="s">
        <v>456</v>
      </c>
      <c r="U41" s="780" t="b">
        <f t="shared" ca="1" si="0"/>
        <v>1</v>
      </c>
      <c r="X41" s="122"/>
      <c r="Y41" s="1725"/>
      <c r="Z41" s="1725"/>
      <c r="AA41" s="11" t="s">
        <v>218</v>
      </c>
      <c r="AB41" s="105" t="s">
        <v>457</v>
      </c>
      <c r="AC41" s="399" t="str">
        <f t="shared" si="1"/>
        <v>Котельная №3 :: г Тайга, ул. Почтовая, 70А</v>
      </c>
      <c r="AD41" s="396" t="s">
        <v>430</v>
      </c>
      <c r="AE41" s="396" t="s">
        <v>431</v>
      </c>
      <c r="AF41" s="411" t="s">
        <v>271</v>
      </c>
      <c r="AG41" s="411" t="s">
        <v>6390</v>
      </c>
      <c r="AH41" s="1233"/>
      <c r="AK41" s="1002" t="s">
        <v>424</v>
      </c>
      <c r="AL41" s="1004" t="s">
        <v>425</v>
      </c>
      <c r="AM41" s="1004" t="str" cm="1">
        <f t="array" ref="AM41">AC41</f>
        <v>Котельная №3 :: г Тайга, ул. Почтовая, 70А</v>
      </c>
      <c r="AN41" s="1004" t="str" cm="1">
        <f t="array" ref="AN41">AD41</f>
        <v>концессионное соглашение</v>
      </c>
      <c r="AO41" s="1004" t="str" cm="1">
        <f t="array" ref="AO41">AE41</f>
        <v>договор</v>
      </c>
      <c r="AP41" s="1004" t="str" cm="1">
        <f t="array" ref="AP41">AF41</f>
        <v>2024/ТГО</v>
      </c>
      <c r="AQ41" s="1004" t="str" cm="1">
        <f t="array" ref="AQ41">AG41</f>
        <v>16.12.2024</v>
      </c>
      <c r="AR41" s="1005"/>
      <c r="AS41" s="1005" t="b">
        <v>1</v>
      </c>
    </row>
    <row r="42" spans="1:45" s="791" customFormat="1" ht="16.5" customHeight="1">
      <c r="E42" s="676">
        <v>17.100000000000001</v>
      </c>
      <c r="F42" s="126" t="str" cm="1">
        <f t="array" aca="1" ref="F42" ca="1">OFFSET(G42,-1,-1)</f>
        <v>1</v>
      </c>
      <c r="I42" s="164" t="s">
        <v>458</v>
      </c>
      <c r="K42" s="164" t="s">
        <v>459</v>
      </c>
      <c r="U42" s="780" t="b">
        <f t="shared" ca="1" si="0"/>
        <v>1</v>
      </c>
      <c r="X42" s="122"/>
      <c r="Y42" s="1725"/>
      <c r="Z42" s="1725"/>
      <c r="AA42" s="11" t="s">
        <v>218</v>
      </c>
      <c r="AB42" s="105" t="s">
        <v>460</v>
      </c>
      <c r="AC42" s="399" t="str">
        <f t="shared" si="1"/>
        <v>Котельная №7 :: г Тайга, ул. Школьная, 7А</v>
      </c>
      <c r="AD42" s="396" t="s">
        <v>430</v>
      </c>
      <c r="AE42" s="396" t="s">
        <v>431</v>
      </c>
      <c r="AF42" s="411" t="s">
        <v>271</v>
      </c>
      <c r="AG42" s="411" t="s">
        <v>6390</v>
      </c>
      <c r="AH42" s="1233"/>
      <c r="AK42" s="1002" t="s">
        <v>424</v>
      </c>
      <c r="AL42" s="1004" t="s">
        <v>425</v>
      </c>
      <c r="AM42" s="1004" t="str" cm="1">
        <f t="array" ref="AM42">AC42</f>
        <v>Котельная №7 :: г Тайга, ул. Школьная, 7А</v>
      </c>
      <c r="AN42" s="1004" t="str" cm="1">
        <f t="array" ref="AN42">AD42</f>
        <v>концессионное соглашение</v>
      </c>
      <c r="AO42" s="1004" t="str" cm="1">
        <f t="array" ref="AO42">AE42</f>
        <v>договор</v>
      </c>
      <c r="AP42" s="1004" t="str" cm="1">
        <f t="array" ref="AP42">AF42</f>
        <v>2024/ТГО</v>
      </c>
      <c r="AQ42" s="1004" t="str" cm="1">
        <f t="array" ref="AQ42">AG42</f>
        <v>16.12.2024</v>
      </c>
      <c r="AR42" s="1005"/>
      <c r="AS42" s="1005" t="b">
        <v>1</v>
      </c>
    </row>
    <row r="43" spans="1:45" s="791" customFormat="1" ht="16.5" customHeight="1">
      <c r="E43" s="676">
        <v>17.100000000000001</v>
      </c>
      <c r="F43" s="126" t="str" cm="1">
        <f t="array" aca="1" ref="F43" ca="1">OFFSET(G43,-1,-1)</f>
        <v>1</v>
      </c>
      <c r="I43" s="164" t="s">
        <v>461</v>
      </c>
      <c r="K43" s="164" t="s">
        <v>462</v>
      </c>
      <c r="U43" s="780" t="b">
        <f t="shared" ca="1" si="0"/>
        <v>1</v>
      </c>
      <c r="X43" s="122"/>
      <c r="Y43" s="1725"/>
      <c r="Z43" s="1725"/>
      <c r="AA43" s="11" t="s">
        <v>218</v>
      </c>
      <c r="AB43" s="105" t="s">
        <v>463</v>
      </c>
      <c r="AC43" s="399" t="str">
        <f t="shared" si="1"/>
        <v>Котельная №8 :: г Тайга, ул. Восточная, 82/1</v>
      </c>
      <c r="AD43" s="396" t="s">
        <v>430</v>
      </c>
      <c r="AE43" s="396" t="s">
        <v>431</v>
      </c>
      <c r="AF43" s="411" t="s">
        <v>271</v>
      </c>
      <c r="AG43" s="411" t="s">
        <v>6390</v>
      </c>
      <c r="AH43" s="1233"/>
      <c r="AK43" s="1002" t="s">
        <v>424</v>
      </c>
      <c r="AL43" s="1004" t="s">
        <v>425</v>
      </c>
      <c r="AM43" s="1004" t="str" cm="1">
        <f t="array" ref="AM43">AC43</f>
        <v>Котельная №8 :: г Тайга, ул. Восточная, 82/1</v>
      </c>
      <c r="AN43" s="1004" t="str" cm="1">
        <f t="array" ref="AN43">AD43</f>
        <v>концессионное соглашение</v>
      </c>
      <c r="AO43" s="1004" t="str" cm="1">
        <f t="array" ref="AO43">AE43</f>
        <v>договор</v>
      </c>
      <c r="AP43" s="1004" t="str" cm="1">
        <f t="array" ref="AP43">AF43</f>
        <v>2024/ТГО</v>
      </c>
      <c r="AQ43" s="1004" t="str" cm="1">
        <f t="array" ref="AQ43">AG43</f>
        <v>16.12.2024</v>
      </c>
      <c r="AR43" s="1005"/>
      <c r="AS43" s="1005" t="b">
        <v>1</v>
      </c>
    </row>
    <row r="44" spans="1:45" s="791" customFormat="1" ht="16.5" customHeight="1">
      <c r="E44" s="676">
        <v>17.100000000000001</v>
      </c>
      <c r="F44" s="126" t="str" cm="1">
        <f t="array" aca="1" ref="F44" ca="1">OFFSET(G44,-1,-1)</f>
        <v>1</v>
      </c>
      <c r="I44" s="164" t="s">
        <v>464</v>
      </c>
      <c r="K44" s="164" t="s">
        <v>465</v>
      </c>
      <c r="U44" s="780" t="b">
        <f t="shared" ca="1" si="0"/>
        <v>1</v>
      </c>
      <c r="X44" s="122"/>
      <c r="Y44" s="1725"/>
      <c r="Z44" s="1725"/>
      <c r="AA44" s="11" t="s">
        <v>218</v>
      </c>
      <c r="AB44" s="105" t="s">
        <v>466</v>
      </c>
      <c r="AC44" s="399" t="str">
        <f t="shared" si="1"/>
        <v>Котельная №9 :: г Тайга, ул. Советская, 250</v>
      </c>
      <c r="AD44" s="396" t="s">
        <v>430</v>
      </c>
      <c r="AE44" s="396" t="s">
        <v>431</v>
      </c>
      <c r="AF44" s="411" t="s">
        <v>271</v>
      </c>
      <c r="AG44" s="411" t="s">
        <v>6390</v>
      </c>
      <c r="AH44" s="1233"/>
      <c r="AK44" s="1002" t="s">
        <v>424</v>
      </c>
      <c r="AL44" s="1004" t="s">
        <v>425</v>
      </c>
      <c r="AM44" s="1004" t="str" cm="1">
        <f t="array" ref="AM44">AC44</f>
        <v>Котельная №9 :: г Тайга, ул. Советская, 250</v>
      </c>
      <c r="AN44" s="1004" t="str" cm="1">
        <f t="array" ref="AN44">AD44</f>
        <v>концессионное соглашение</v>
      </c>
      <c r="AO44" s="1004" t="str" cm="1">
        <f t="array" ref="AO44">AE44</f>
        <v>договор</v>
      </c>
      <c r="AP44" s="1004" t="str" cm="1">
        <f t="array" ref="AP44">AF44</f>
        <v>2024/ТГО</v>
      </c>
      <c r="AQ44" s="1004" t="str" cm="1">
        <f t="array" ref="AQ44">AG44</f>
        <v>16.12.2024</v>
      </c>
      <c r="AR44" s="1005"/>
      <c r="AS44" s="1005" t="b">
        <v>1</v>
      </c>
    </row>
    <row r="45" spans="1:45" s="791" customFormat="1" ht="16.5" customHeight="1">
      <c r="E45" s="676">
        <v>17.100000000000001</v>
      </c>
      <c r="F45" s="126" t="str" cm="1">
        <f t="array" aca="1" ref="F45" ca="1">OFFSET(G45,-1,-1)</f>
        <v>1</v>
      </c>
      <c r="I45" s="164" t="s">
        <v>467</v>
      </c>
      <c r="K45" s="164" t="s">
        <v>468</v>
      </c>
      <c r="U45" s="780" t="b">
        <f t="shared" ca="1" si="0"/>
        <v>1</v>
      </c>
      <c r="X45" s="122"/>
      <c r="Y45" s="1725"/>
      <c r="Z45" s="1725"/>
      <c r="AA45" s="11" t="s">
        <v>218</v>
      </c>
      <c r="AB45" s="105" t="s">
        <v>469</v>
      </c>
      <c r="AC45" s="399" t="str">
        <f t="shared" si="1"/>
        <v>Котельная Терморобот ул. Герцена :: г Тайга, ул.Герцена, 17</v>
      </c>
      <c r="AD45" s="403" t="s">
        <v>430</v>
      </c>
      <c r="AE45" s="396" t="s">
        <v>431</v>
      </c>
      <c r="AF45" s="411" t="s">
        <v>268</v>
      </c>
      <c r="AG45" s="411" t="s">
        <v>432</v>
      </c>
      <c r="AH45" s="1233"/>
      <c r="AK45" s="1002" t="s">
        <v>424</v>
      </c>
      <c r="AL45" s="1004" t="s">
        <v>425</v>
      </c>
      <c r="AM45" s="1004" t="str" cm="1">
        <f t="array" ref="AM45">AC45</f>
        <v>Котельная Терморобот ул. Герцена :: г Тайга, ул.Герцена, 17</v>
      </c>
      <c r="AN45" s="1004" t="str" cm="1">
        <f t="array" ref="AN45">AD45</f>
        <v>концессионное соглашение</v>
      </c>
      <c r="AO45" s="1004" t="str" cm="1">
        <f t="array" ref="AO45">AE45</f>
        <v>договор</v>
      </c>
      <c r="AP45" s="1004" t="str" cm="1">
        <f t="array" ref="AP45">AF45</f>
        <v>5/ТГО</v>
      </c>
      <c r="AQ45" s="1004" t="str" cm="1">
        <f t="array" ref="AQ45">AG45</f>
        <v>03.11.2021</v>
      </c>
      <c r="AR45" s="1005"/>
      <c r="AS45" s="1005" t="b">
        <v>1</v>
      </c>
    </row>
    <row r="46" spans="1:45" s="1234" customFormat="1" ht="16.5" customHeight="1">
      <c r="A46" s="170"/>
      <c r="B46" s="170"/>
      <c r="C46" s="170"/>
      <c r="D46" s="170"/>
      <c r="E46" s="676">
        <v>17.100000000000001</v>
      </c>
      <c r="F46" s="126" t="str" cm="1">
        <f t="array" aca="1" ref="F46" ca="1">OFFSET(G46,-1,-1)</f>
        <v>1</v>
      </c>
      <c r="G46" s="170"/>
      <c r="H46" s="170"/>
      <c r="I46" s="170"/>
      <c r="J46" s="170"/>
      <c r="K46" s="170"/>
      <c r="L46" s="170"/>
      <c r="M46" s="170"/>
      <c r="N46" s="170"/>
      <c r="O46" s="170"/>
      <c r="P46" s="170"/>
      <c r="Q46" s="170"/>
      <c r="R46" s="170"/>
      <c r="S46" s="170"/>
      <c r="T46" s="170"/>
      <c r="U46" s="780" t="b">
        <f ca="1">F46&gt;0</f>
        <v>1</v>
      </c>
      <c r="V46" s="170"/>
      <c r="W46" s="170"/>
      <c r="X46" s="122" t="s">
        <v>426</v>
      </c>
      <c r="Y46" s="1724"/>
      <c r="Z46" s="1724"/>
      <c r="AA46" s="170"/>
      <c r="AB46" s="205"/>
      <c r="AC46" s="208" t="s">
        <v>427</v>
      </c>
      <c r="AD46" s="206"/>
      <c r="AE46" s="206"/>
      <c r="AF46" s="206"/>
      <c r="AG46" s="206"/>
      <c r="AH46" s="215"/>
      <c r="AI46" s="170"/>
      <c r="AJ46" s="170"/>
      <c r="AK46" s="1002"/>
      <c r="AL46" s="1002"/>
      <c r="AM46" s="1002"/>
      <c r="AN46" s="1002"/>
      <c r="AO46" s="1002"/>
      <c r="AP46" s="1002"/>
      <c r="AQ46" s="1002"/>
      <c r="AR46" s="1003" t="s">
        <v>425</v>
      </c>
      <c r="AS46" s="1003"/>
    </row>
    <row r="47" spans="1:45" s="1235" customFormat="1" ht="16.5" customHeight="1">
      <c r="A47" s="170"/>
      <c r="B47" s="170"/>
      <c r="C47" s="170"/>
      <c r="D47" s="170"/>
      <c r="E47" s="676">
        <v>17.100000000000001</v>
      </c>
      <c r="F47" s="126" t="str" cm="1">
        <f t="array" ref="F47">Y47</f>
        <v>2</v>
      </c>
      <c r="G47" s="170"/>
      <c r="H47" s="170"/>
      <c r="I47" s="170"/>
      <c r="J47" s="170"/>
      <c r="K47" s="170"/>
      <c r="L47" s="170"/>
      <c r="M47" s="170"/>
      <c r="N47" s="170"/>
      <c r="O47" s="170"/>
      <c r="P47" s="170"/>
      <c r="Q47" s="170"/>
      <c r="R47" s="170"/>
      <c r="S47" s="170"/>
      <c r="T47" s="170"/>
      <c r="U47" s="780" t="b">
        <f>Y47&gt;0</f>
        <v>1</v>
      </c>
      <c r="V47" s="170"/>
      <c r="W47" s="122" t="str" cm="1">
        <f t="array" ref="W47">'Список территорий'!$AB$33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7" s="170"/>
      <c r="Y47" s="1721" t="s">
        <v>348</v>
      </c>
      <c r="Z47" s="1724"/>
      <c r="AA47" s="170"/>
      <c r="AB47" s="213" t="str" cm="1">
        <f t="array" ref="AB47">IF(ISBLANK('Список территорий'!$AB$33),"",'Список территорий'!$AB$33)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210"/>
      <c r="AD47" s="204"/>
      <c r="AE47" s="204"/>
      <c r="AF47" s="204"/>
      <c r="AG47" s="204"/>
      <c r="AH47" s="204"/>
      <c r="AI47" s="170"/>
      <c r="AJ47" s="170"/>
      <c r="AK47" s="1002"/>
      <c r="AL47" s="1002"/>
      <c r="AM47" s="1002"/>
      <c r="AN47" s="1002"/>
      <c r="AO47" s="1002"/>
      <c r="AP47" s="1002"/>
      <c r="AQ47" s="1002"/>
      <c r="AR47" s="1003"/>
      <c r="AS47" s="1003"/>
    </row>
    <row r="48" spans="1:45" s="1236" customFormat="1" ht="10.5" hidden="1" customHeight="1">
      <c r="A48" s="170"/>
      <c r="B48" s="170"/>
      <c r="C48" s="170"/>
      <c r="D48" s="170"/>
      <c r="E48" s="676">
        <v>0</v>
      </c>
      <c r="F48" s="126" t="str" cm="1">
        <f t="array" aca="1" ref="F48" ca="1">OFFSET(G48,-1,-1)</f>
        <v>2</v>
      </c>
      <c r="G48" s="170"/>
      <c r="H48" s="170"/>
      <c r="I48" s="170"/>
      <c r="J48" s="170"/>
      <c r="K48" s="170"/>
      <c r="L48" s="170"/>
      <c r="M48" s="170"/>
      <c r="N48" s="170"/>
      <c r="O48" s="170"/>
      <c r="P48" s="170"/>
      <c r="Q48" s="170"/>
      <c r="R48" s="170"/>
      <c r="S48" s="170"/>
      <c r="T48" s="170"/>
      <c r="U48" s="170"/>
      <c r="V48" s="170"/>
      <c r="W48" s="170"/>
      <c r="X48" s="170"/>
      <c r="Y48" s="1724"/>
      <c r="Z48" s="1724"/>
      <c r="AA48" s="170"/>
      <c r="AB48" s="213"/>
      <c r="AC48" s="210"/>
      <c r="AD48" s="204"/>
      <c r="AE48" s="204"/>
      <c r="AF48" s="204"/>
      <c r="AG48" s="204"/>
      <c r="AH48" s="204"/>
      <c r="AI48" s="170"/>
      <c r="AJ48" s="170"/>
      <c r="AK48" s="1002"/>
      <c r="AL48" s="1002"/>
      <c r="AM48" s="1002"/>
      <c r="AN48" s="1002"/>
      <c r="AO48" s="1002"/>
      <c r="AP48" s="1002"/>
      <c r="AQ48" s="1002"/>
      <c r="AR48" s="1003"/>
      <c r="AS48" s="1003"/>
    </row>
    <row r="49" spans="1:45" s="791" customFormat="1" ht="16.5" hidden="1" customHeight="1">
      <c r="E49" s="676">
        <v>17.100000000000001</v>
      </c>
      <c r="F49" s="126" t="str" cm="1">
        <f t="array" aca="1" ref="F49" ca="1">OFFSET(G49,-1,-1)</f>
        <v>2</v>
      </c>
      <c r="I49" s="164" t="s">
        <v>422</v>
      </c>
      <c r="K49" s="164" t="s">
        <v>423</v>
      </c>
      <c r="U49" s="780" t="b">
        <f ca="1">AND(F49&gt;0,AB49&gt;0)</f>
        <v>0</v>
      </c>
      <c r="X49" s="122" t="s">
        <v>236</v>
      </c>
      <c r="Y49" s="1725"/>
      <c r="Z49" s="1725"/>
      <c r="AA49" s="11" t="s">
        <v>218</v>
      </c>
      <c r="AB49" s="105">
        <v>0</v>
      </c>
      <c r="AC49" s="399" t="str">
        <f>I49&amp;" :: "&amp;K49</f>
        <v>Наименование объекта :: адрес</v>
      </c>
      <c r="AD49" s="396"/>
      <c r="AE49" s="396"/>
      <c r="AF49" s="411"/>
      <c r="AG49" s="411"/>
      <c r="AH49" s="13"/>
      <c r="AK49" s="1002" t="s">
        <v>424</v>
      </c>
      <c r="AL49" s="1004" t="s">
        <v>425</v>
      </c>
      <c r="AM49" s="1004" t="str" cm="1">
        <f t="array" ref="AM49">AC49</f>
        <v>Наименование объекта :: адрес</v>
      </c>
      <c r="AN49" s="1004" cm="1">
        <f t="array" ref="AN49">AD49</f>
        <v>0</v>
      </c>
      <c r="AO49" s="1004" cm="1">
        <f t="array" ref="AO49">AE49</f>
        <v>0</v>
      </c>
      <c r="AP49" s="1004" cm="1">
        <f t="array" ref="AP49">AF49</f>
        <v>0</v>
      </c>
      <c r="AQ49" s="1004" cm="1">
        <f t="array" ref="AQ49">AG49</f>
        <v>0</v>
      </c>
      <c r="AR49" s="1005"/>
      <c r="AS49" s="1005" t="b">
        <v>1</v>
      </c>
    </row>
    <row r="50" spans="1:45" s="791" customFormat="1" ht="16.5" customHeight="1">
      <c r="E50" s="676">
        <v>17.100000000000001</v>
      </c>
      <c r="F50" s="126" t="str" cm="1">
        <f t="array" aca="1" ref="F50" ca="1">OFFSET(G50,-1,-1)</f>
        <v>2</v>
      </c>
      <c r="I50" s="164" t="s">
        <v>433</v>
      </c>
      <c r="K50" s="164" t="s">
        <v>434</v>
      </c>
      <c r="U50" s="780" t="b">
        <f ca="1">AND(F50&gt;0,AB50&gt;0)</f>
        <v>1</v>
      </c>
      <c r="X50" s="122"/>
      <c r="Y50" s="1725"/>
      <c r="Z50" s="1725"/>
      <c r="AA50" s="11" t="s">
        <v>218</v>
      </c>
      <c r="AB50" s="105" t="s">
        <v>341</v>
      </c>
      <c r="AC50" s="399" t="str">
        <f>I50&amp;" :: "&amp;K50</f>
        <v>Центральная котельная :: г Тайга, Таежная, 11</v>
      </c>
      <c r="AD50" s="396" t="s">
        <v>430</v>
      </c>
      <c r="AE50" s="396" t="s">
        <v>431</v>
      </c>
      <c r="AF50" s="411" t="s">
        <v>268</v>
      </c>
      <c r="AG50" s="411" t="s">
        <v>432</v>
      </c>
      <c r="AH50" s="1233"/>
      <c r="AK50" s="1002" t="s">
        <v>424</v>
      </c>
      <c r="AL50" s="1004" t="s">
        <v>425</v>
      </c>
      <c r="AM50" s="1004" t="str" cm="1">
        <f t="array" ref="AM50">AC50</f>
        <v>Центральная котельная :: г Тайга, Таежная, 11</v>
      </c>
      <c r="AN50" s="1004" t="str" cm="1">
        <f t="array" ref="AN50">AD50</f>
        <v>концессионное соглашение</v>
      </c>
      <c r="AO50" s="1004" t="str" cm="1">
        <f t="array" ref="AO50">AE50</f>
        <v>договор</v>
      </c>
      <c r="AP50" s="1004" t="str" cm="1">
        <f t="array" ref="AP50">AF50</f>
        <v>5/ТГО</v>
      </c>
      <c r="AQ50" s="1004" t="str" cm="1">
        <f t="array" ref="AQ50">AG50</f>
        <v>03.11.2021</v>
      </c>
      <c r="AR50" s="1005"/>
      <c r="AS50" s="1005" t="b">
        <v>1</v>
      </c>
    </row>
    <row r="51" spans="1:45" s="1237" customFormat="1" ht="16.5" customHeight="1">
      <c r="A51" s="170"/>
      <c r="B51" s="170"/>
      <c r="C51" s="170"/>
      <c r="D51" s="170"/>
      <c r="E51" s="676">
        <v>17.100000000000001</v>
      </c>
      <c r="F51" s="126" t="str" cm="1">
        <f t="array" aca="1" ref="F51" ca="1">OFFSET(G51,-1,-1)</f>
        <v>2</v>
      </c>
      <c r="G51" s="170"/>
      <c r="H51" s="170"/>
      <c r="I51" s="170"/>
      <c r="J51" s="170"/>
      <c r="K51" s="170"/>
      <c r="L51" s="170"/>
      <c r="M51" s="170"/>
      <c r="N51" s="170"/>
      <c r="O51" s="170"/>
      <c r="P51" s="170"/>
      <c r="Q51" s="170"/>
      <c r="R51" s="170"/>
      <c r="S51" s="170"/>
      <c r="T51" s="170"/>
      <c r="U51" s="780" t="b">
        <f ca="1">F51&gt;0</f>
        <v>1</v>
      </c>
      <c r="V51" s="170"/>
      <c r="W51" s="170"/>
      <c r="X51" s="122" t="s">
        <v>426</v>
      </c>
      <c r="Y51" s="1724"/>
      <c r="Z51" s="1724"/>
      <c r="AA51" s="170"/>
      <c r="AB51" s="205"/>
      <c r="AC51" s="208" t="s">
        <v>427</v>
      </c>
      <c r="AD51" s="206"/>
      <c r="AE51" s="206"/>
      <c r="AF51" s="206"/>
      <c r="AG51" s="206"/>
      <c r="AH51" s="215"/>
      <c r="AI51" s="170"/>
      <c r="AJ51" s="170"/>
      <c r="AK51" s="1002"/>
      <c r="AL51" s="1002"/>
      <c r="AM51" s="1002"/>
      <c r="AN51" s="1002"/>
      <c r="AO51" s="1002"/>
      <c r="AP51" s="1002"/>
      <c r="AQ51" s="1002"/>
      <c r="AR51" s="1003" t="s">
        <v>425</v>
      </c>
      <c r="AS51" s="1003"/>
    </row>
    <row r="52" spans="1:45" ht="11.25" customHeight="1">
      <c r="U52" s="122"/>
      <c r="V52" s="126" t="s">
        <v>238</v>
      </c>
      <c r="W52" s="122" t="s">
        <v>471</v>
      </c>
      <c r="X52" s="122"/>
      <c r="Y52" s="122"/>
      <c r="AI52" s="819"/>
    </row>
  </sheetData>
  <sheetProtection formatColumns="0" formatRows="0" insertRows="0" deleteColumns="0" deleteRows="0" sort="0" autoFilter="0"/>
  <mergeCells count="8">
    <mergeCell ref="Y47:Y51"/>
    <mergeCell ref="Z47:Z51"/>
    <mergeCell ref="AB22:AH22"/>
    <mergeCell ref="AF23:AG23"/>
    <mergeCell ref="Y26:Y29"/>
    <mergeCell ref="Z26:Z29"/>
    <mergeCell ref="Y30:Y46"/>
    <mergeCell ref="Z30:Z46"/>
  </mergeCells>
  <dataValidations count="1">
    <dataValidation type="list" showDropDown="1" errorTitle="Ошибка" error="Выберите значение из списка" prompt="Выберите значение из списка" sqref="AD29 AD46 AD51" xr:uid="{00000000-0002-0000-0500-000000000000}">
      <formula1>osn_expl_list</formula1>
    </dataValidation>
  </dataValidations>
  <pageMargins left="0.35" right="0.35" top="0.4" bottom="0.4" header="0.51" footer="0.51"/>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16728-5E16-D801-FD48-F4D7A296E0D7}">
  <sheetPr>
    <tabColor theme="3" tint="0.59999389629810485"/>
    <outlinePr summaryBelow="0" summaryRight="0"/>
    <pageSetUpPr fitToPage="1"/>
  </sheetPr>
  <dimension ref="A1:BC87"/>
  <sheetViews>
    <sheetView showGridLines="0" workbookViewId="0">
      <pane xSplit="30" ySplit="26" topLeftCell="AE63" activePane="bottomRight" state="frozen"/>
      <selection pane="topRight" activeCell="AE1" sqref="AE1"/>
      <selection pane="bottomLeft" activeCell="A27" sqref="A27"/>
      <selection pane="bottomRight" activeCell="AE70" sqref="AE70"/>
    </sheetView>
  </sheetViews>
  <sheetFormatPr defaultColWidth="8.7109375" defaultRowHeight="11.25" customHeight="1"/>
  <cols>
    <col min="1" max="1" width="3.5703125" style="809" hidden="1" customWidth="1"/>
    <col min="2" max="2" width="8.5703125" style="671" hidden="1" customWidth="1"/>
    <col min="3" max="4" width="3.5703125" style="809" hidden="1" customWidth="1"/>
    <col min="5" max="5" width="8.42578125" style="682" hidden="1" customWidth="1"/>
    <col min="6" max="6" width="6.42578125" style="809" hidden="1" customWidth="1"/>
    <col min="7" max="18" width="3.5703125" style="775" hidden="1" customWidth="1"/>
    <col min="19" max="20" width="3.5703125" style="814" hidden="1" customWidth="1"/>
    <col min="21" max="21" width="7.28515625" style="1155" hidden="1" customWidth="1"/>
    <col min="22" max="22" width="6" style="1155" hidden="1" customWidth="1"/>
    <col min="23" max="24" width="6.28515625" style="1155" hidden="1" customWidth="1"/>
    <col min="25" max="25" width="5.7109375" style="1155" hidden="1" customWidth="1"/>
    <col min="26" max="26" width="5.42578125" style="1155" hidden="1" customWidth="1"/>
    <col min="27" max="27" width="3" style="775" customWidth="1"/>
    <col min="28" max="28" width="6.140625" style="144" customWidth="1"/>
    <col min="29" max="29" width="63.7109375" style="144" customWidth="1"/>
    <col min="30" max="30" width="15.140625" style="144" customWidth="1"/>
    <col min="31" max="31" width="20.140625" style="150" customWidth="1"/>
    <col min="32" max="36" width="20.140625" style="144" customWidth="1"/>
    <col min="37" max="41" width="20.140625" style="144" hidden="1" customWidth="1"/>
    <col min="42" max="46" width="20.140625" style="144" customWidth="1"/>
    <col min="47" max="51" width="20.140625" style="144" hidden="1" customWidth="1"/>
    <col min="52" max="52" width="20.140625" style="150" customWidth="1"/>
    <col min="53" max="53" width="3" style="144" customWidth="1"/>
    <col min="54" max="54" width="8.7109375" style="144" hidden="1"/>
    <col min="55" max="55" width="8.7109375" style="968" hidden="1"/>
  </cols>
  <sheetData>
    <row r="1" spans="1:55" s="809" customFormat="1" ht="12" hidden="1" customHeight="1">
      <c r="B1" s="671"/>
      <c r="E1" s="671"/>
      <c r="F1" s="698" t="s">
        <v>83</v>
      </c>
      <c r="G1" s="168"/>
      <c r="H1" s="168"/>
      <c r="I1" s="168"/>
      <c r="J1" s="168"/>
      <c r="K1" s="168"/>
      <c r="L1" s="168"/>
      <c r="M1" s="168"/>
      <c r="N1" s="168"/>
      <c r="O1" s="168"/>
      <c r="P1" s="168"/>
      <c r="Q1" s="168"/>
      <c r="R1" s="168"/>
      <c r="S1" s="164"/>
      <c r="T1" s="164"/>
      <c r="U1" s="687" t="s">
        <v>86</v>
      </c>
      <c r="V1" s="687" t="s">
        <v>91</v>
      </c>
      <c r="W1" s="687" t="s">
        <v>87</v>
      </c>
      <c r="X1" s="667"/>
      <c r="Y1" s="687" t="s">
        <v>89</v>
      </c>
      <c r="Z1" s="687" t="s">
        <v>93</v>
      </c>
      <c r="BC1" s="955" t="s">
        <v>383</v>
      </c>
    </row>
    <row r="2" spans="1:55" s="671" customFormat="1" ht="12" hidden="1" customHeight="1">
      <c r="B2" s="768" t="s">
        <v>15</v>
      </c>
      <c r="G2" s="815"/>
      <c r="H2" s="815"/>
      <c r="I2" s="815"/>
      <c r="J2" s="815"/>
      <c r="K2" s="815"/>
      <c r="L2" s="815"/>
      <c r="M2" s="815"/>
      <c r="N2" s="815"/>
      <c r="O2" s="815"/>
      <c r="P2" s="815"/>
      <c r="Q2" s="815"/>
      <c r="R2" s="815"/>
      <c r="S2" s="786"/>
      <c r="T2" s="786"/>
      <c r="U2" s="667"/>
      <c r="V2" s="667"/>
      <c r="W2" s="667"/>
      <c r="X2" s="667"/>
      <c r="Y2" s="667"/>
      <c r="Z2" s="667"/>
      <c r="AE2" s="667"/>
      <c r="AF2" s="688" t="b">
        <f t="shared" ref="AF2:AY2" si="0">AF6&lt;=last_year_vis</f>
        <v>1</v>
      </c>
      <c r="AG2" s="688" t="b">
        <f t="shared" si="0"/>
        <v>1</v>
      </c>
      <c r="AH2" s="688" t="b">
        <f t="shared" si="0"/>
        <v>1</v>
      </c>
      <c r="AI2" s="688" t="b">
        <f t="shared" si="0"/>
        <v>1</v>
      </c>
      <c r="AJ2" s="688" t="b">
        <f t="shared" si="0"/>
        <v>1</v>
      </c>
      <c r="AK2" s="688" t="b">
        <f t="shared" si="0"/>
        <v>0</v>
      </c>
      <c r="AL2" s="688" t="b">
        <f t="shared" si="0"/>
        <v>0</v>
      </c>
      <c r="AM2" s="688" t="b">
        <f t="shared" si="0"/>
        <v>0</v>
      </c>
      <c r="AN2" s="688" t="b">
        <f t="shared" si="0"/>
        <v>0</v>
      </c>
      <c r="AO2" s="688" t="b">
        <f t="shared" si="0"/>
        <v>0</v>
      </c>
      <c r="AP2" s="688" t="b">
        <f t="shared" si="0"/>
        <v>1</v>
      </c>
      <c r="AQ2" s="688" t="b">
        <f t="shared" si="0"/>
        <v>1</v>
      </c>
      <c r="AR2" s="688" t="b">
        <f t="shared" si="0"/>
        <v>1</v>
      </c>
      <c r="AS2" s="688" t="b">
        <f t="shared" si="0"/>
        <v>1</v>
      </c>
      <c r="AT2" s="688" t="b">
        <f t="shared" si="0"/>
        <v>1</v>
      </c>
      <c r="AU2" s="688" t="b">
        <f t="shared" si="0"/>
        <v>0</v>
      </c>
      <c r="AV2" s="688" t="b">
        <f t="shared" si="0"/>
        <v>0</v>
      </c>
      <c r="AW2" s="688" t="b">
        <f t="shared" si="0"/>
        <v>0</v>
      </c>
      <c r="AX2" s="688" t="b">
        <f t="shared" si="0"/>
        <v>0</v>
      </c>
      <c r="AY2" s="688" t="b">
        <f t="shared" si="0"/>
        <v>0</v>
      </c>
      <c r="BC2" s="957"/>
    </row>
    <row r="3" spans="1:55" s="809" customFormat="1" ht="12" hidden="1" customHeight="1">
      <c r="B3" s="671"/>
      <c r="C3" s="129"/>
      <c r="E3" s="671"/>
      <c r="G3" s="168"/>
      <c r="H3" s="168"/>
      <c r="I3" s="168"/>
      <c r="J3" s="168"/>
      <c r="K3" s="168"/>
      <c r="L3" s="168"/>
      <c r="M3" s="168"/>
      <c r="N3" s="168"/>
      <c r="O3" s="168"/>
      <c r="P3" s="168"/>
      <c r="Q3" s="168"/>
      <c r="R3" s="168"/>
      <c r="S3" s="164"/>
      <c r="T3" s="164"/>
      <c r="U3" s="129"/>
      <c r="V3" s="129"/>
      <c r="W3" s="129"/>
      <c r="X3" s="129"/>
      <c r="Y3" s="129"/>
      <c r="Z3" s="129"/>
      <c r="BC3" s="955"/>
    </row>
    <row r="4" spans="1:55" s="809" customFormat="1" ht="12" hidden="1" customHeight="1">
      <c r="B4" s="671"/>
      <c r="E4" s="671"/>
      <c r="G4" s="168"/>
      <c r="H4" s="168"/>
      <c r="I4" s="168"/>
      <c r="J4" s="168"/>
      <c r="K4" s="168"/>
      <c r="L4" s="168"/>
      <c r="M4" s="168"/>
      <c r="N4" s="168"/>
      <c r="O4" s="168"/>
      <c r="P4" s="168"/>
      <c r="Q4" s="168"/>
      <c r="R4" s="168"/>
      <c r="S4" s="164"/>
      <c r="T4" s="164"/>
      <c r="U4" s="129"/>
      <c r="V4" s="129"/>
      <c r="W4" s="129"/>
      <c r="X4" s="129"/>
      <c r="Y4" s="129"/>
      <c r="Z4" s="129"/>
      <c r="BC4" s="955"/>
    </row>
    <row r="5" spans="1:55" s="682" customFormat="1" ht="12" hidden="1" customHeight="1">
      <c r="A5" s="671"/>
      <c r="B5" s="671"/>
      <c r="C5" s="671"/>
      <c r="D5" s="671"/>
      <c r="E5" s="682" t="s">
        <v>16</v>
      </c>
      <c r="G5" s="816"/>
      <c r="H5" s="816"/>
      <c r="I5" s="816"/>
      <c r="J5" s="816"/>
      <c r="K5" s="816"/>
      <c r="L5" s="816"/>
      <c r="M5" s="816"/>
      <c r="N5" s="816"/>
      <c r="O5" s="816"/>
      <c r="P5" s="816"/>
      <c r="Q5" s="816"/>
      <c r="R5" s="816"/>
      <c r="S5" s="787"/>
      <c r="T5" s="787"/>
      <c r="U5" s="676"/>
      <c r="V5" s="676"/>
      <c r="W5" s="676"/>
      <c r="X5" s="676"/>
      <c r="Y5" s="676"/>
      <c r="Z5" s="676"/>
      <c r="AA5" s="682">
        <v>3</v>
      </c>
      <c r="AB5" s="682">
        <v>6.13</v>
      </c>
      <c r="AC5" s="682">
        <v>63.75</v>
      </c>
      <c r="AD5" s="682">
        <v>15.13</v>
      </c>
      <c r="AE5" s="682">
        <v>20.13</v>
      </c>
      <c r="AF5" s="682">
        <v>20.13</v>
      </c>
      <c r="AG5" s="682">
        <v>20.13</v>
      </c>
      <c r="AH5" s="682">
        <v>20.13</v>
      </c>
      <c r="AI5" s="682">
        <v>20.13</v>
      </c>
      <c r="AJ5" s="682">
        <v>20.13</v>
      </c>
      <c r="AK5" s="682">
        <v>20.13</v>
      </c>
      <c r="AL5" s="682">
        <v>20.13</v>
      </c>
      <c r="AM5" s="682">
        <v>20.13</v>
      </c>
      <c r="AN5" s="682">
        <v>20.13</v>
      </c>
      <c r="AO5" s="682">
        <v>20.13</v>
      </c>
      <c r="AP5" s="682">
        <v>20.13</v>
      </c>
      <c r="AQ5" s="682">
        <v>20.13</v>
      </c>
      <c r="AR5" s="682">
        <v>20.13</v>
      </c>
      <c r="AS5" s="682">
        <v>20.13</v>
      </c>
      <c r="AT5" s="682">
        <v>20.13</v>
      </c>
      <c r="AU5" s="682">
        <v>20.13</v>
      </c>
      <c r="AV5" s="682">
        <v>20.13</v>
      </c>
      <c r="AW5" s="682">
        <v>20.13</v>
      </c>
      <c r="AX5" s="682">
        <v>20.13</v>
      </c>
      <c r="AY5" s="682">
        <v>20.13</v>
      </c>
      <c r="AZ5" s="682">
        <v>20.13</v>
      </c>
      <c r="BA5" s="682">
        <v>3</v>
      </c>
      <c r="BC5" s="957"/>
    </row>
    <row r="6" spans="1:55" s="809" customFormat="1" ht="12" hidden="1" customHeight="1">
      <c r="B6" s="671"/>
      <c r="E6" s="682"/>
      <c r="G6" s="168"/>
      <c r="H6" s="168"/>
      <c r="I6" s="168"/>
      <c r="J6" s="168"/>
      <c r="K6" s="168"/>
      <c r="L6" s="168"/>
      <c r="M6" s="168"/>
      <c r="N6" s="168"/>
      <c r="O6" s="168"/>
      <c r="P6" s="168"/>
      <c r="Q6" s="168"/>
      <c r="R6" s="168"/>
      <c r="S6" s="164"/>
      <c r="T6" s="164"/>
      <c r="U6" s="129"/>
      <c r="V6" s="129"/>
      <c r="W6" s="129"/>
      <c r="X6" s="129"/>
      <c r="Y6" s="129"/>
      <c r="Z6" s="129"/>
      <c r="AE6" s="126">
        <f>god-1</f>
        <v>2025</v>
      </c>
      <c r="AF6" s="126" cm="1">
        <f t="array" ref="AF6">god</f>
        <v>2026</v>
      </c>
      <c r="AG6" s="126">
        <f>god+1</f>
        <v>2027</v>
      </c>
      <c r="AH6" s="126">
        <f>god+2</f>
        <v>2028</v>
      </c>
      <c r="AI6" s="126">
        <f>god+3</f>
        <v>2029</v>
      </c>
      <c r="AJ6" s="126">
        <f>god+4</f>
        <v>2030</v>
      </c>
      <c r="AK6" s="126">
        <f>god+5</f>
        <v>2031</v>
      </c>
      <c r="AL6" s="126">
        <f>god+6</f>
        <v>2032</v>
      </c>
      <c r="AM6" s="126">
        <f>god+7</f>
        <v>2033</v>
      </c>
      <c r="AN6" s="126">
        <f>god+8</f>
        <v>2034</v>
      </c>
      <c r="AO6" s="126">
        <f>god+9</f>
        <v>2035</v>
      </c>
      <c r="AP6" s="126" cm="1">
        <f t="array" ref="AP6">god</f>
        <v>2026</v>
      </c>
      <c r="AQ6" s="126">
        <f>god+1</f>
        <v>2027</v>
      </c>
      <c r="AR6" s="126">
        <f>god+2</f>
        <v>2028</v>
      </c>
      <c r="AS6" s="126">
        <f>god+3</f>
        <v>2029</v>
      </c>
      <c r="AT6" s="126">
        <f>god+4</f>
        <v>2030</v>
      </c>
      <c r="AU6" s="126">
        <f>god+5</f>
        <v>2031</v>
      </c>
      <c r="AV6" s="126">
        <f>god+6</f>
        <v>2032</v>
      </c>
      <c r="AW6" s="126">
        <f>god+7</f>
        <v>2033</v>
      </c>
      <c r="AX6" s="126">
        <f>god+8</f>
        <v>2034</v>
      </c>
      <c r="AY6" s="126">
        <f>god+9</f>
        <v>2035</v>
      </c>
      <c r="BC6" s="955"/>
    </row>
    <row r="7" spans="1:55" s="775" customFormat="1" ht="12" hidden="1" customHeight="1">
      <c r="A7" s="318"/>
      <c r="B7" s="671"/>
      <c r="C7" s="318"/>
      <c r="D7" s="318"/>
      <c r="E7" s="682"/>
      <c r="S7" s="164"/>
      <c r="T7" s="164"/>
      <c r="U7" s="164"/>
      <c r="V7" s="164"/>
      <c r="W7" s="164"/>
      <c r="X7" s="164"/>
      <c r="Y7" s="164"/>
      <c r="Z7" s="164"/>
      <c r="AE7" s="163" t="str" cm="1">
        <f t="array" ref="AE7">AE25</f>
        <v>Принято органом регулирования</v>
      </c>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AZ7" s="814"/>
      <c r="BC7" s="955"/>
    </row>
    <row r="8" spans="1:55" s="775" customFormat="1" ht="12" hidden="1" customHeight="1">
      <c r="A8" s="318"/>
      <c r="B8" s="671"/>
      <c r="C8" s="318"/>
      <c r="D8" s="318"/>
      <c r="E8" s="682"/>
      <c r="S8" s="164"/>
      <c r="T8" s="164"/>
      <c r="U8" s="164"/>
      <c r="V8" s="164"/>
      <c r="W8" s="164"/>
      <c r="X8" s="164"/>
      <c r="Y8" s="164"/>
      <c r="Z8" s="164"/>
      <c r="AE8" s="163" t="str">
        <f t="shared" ref="AE8:AY8" si="1">AE6&amp;AE7</f>
        <v>2025Принято органом регулирования</v>
      </c>
      <c r="AF8" s="163" t="str">
        <f t="shared" si="1"/>
        <v>2026Предложение организации</v>
      </c>
      <c r="AG8" s="163" t="str">
        <f t="shared" si="1"/>
        <v>2027Предложение организации</v>
      </c>
      <c r="AH8" s="163" t="str">
        <f t="shared" si="1"/>
        <v>2028Предложение организации</v>
      </c>
      <c r="AI8" s="163" t="str">
        <f t="shared" si="1"/>
        <v>2029Предложение организации</v>
      </c>
      <c r="AJ8" s="163" t="str">
        <f t="shared" si="1"/>
        <v>2030Предложение организации</v>
      </c>
      <c r="AK8" s="163" t="str">
        <f t="shared" si="1"/>
        <v>2031Предложение организации</v>
      </c>
      <c r="AL8" s="163" t="str">
        <f t="shared" si="1"/>
        <v>2032Предложение организации</v>
      </c>
      <c r="AM8" s="163" t="str">
        <f t="shared" si="1"/>
        <v>2033Предложение организации</v>
      </c>
      <c r="AN8" s="163" t="str">
        <f t="shared" si="1"/>
        <v>2034Предложение организации</v>
      </c>
      <c r="AO8" s="163" t="str">
        <f t="shared" si="1"/>
        <v>2035Предложение организации</v>
      </c>
      <c r="AP8" s="163" t="str">
        <f t="shared" si="1"/>
        <v>2026Принято органом регулирования</v>
      </c>
      <c r="AQ8" s="163" t="str">
        <f t="shared" si="1"/>
        <v>2027Принято органом регулирования</v>
      </c>
      <c r="AR8" s="163" t="str">
        <f t="shared" si="1"/>
        <v>2028Принято органом регулирования</v>
      </c>
      <c r="AS8" s="163" t="str">
        <f t="shared" si="1"/>
        <v>2029Принято органом регулирования</v>
      </c>
      <c r="AT8" s="163" t="str">
        <f t="shared" si="1"/>
        <v>2030Принято органом регулирования</v>
      </c>
      <c r="AU8" s="163" t="str">
        <f t="shared" si="1"/>
        <v>2031Принято органом регулирования</v>
      </c>
      <c r="AV8" s="163" t="str">
        <f t="shared" si="1"/>
        <v>2032Принято органом регулирования</v>
      </c>
      <c r="AW8" s="163" t="str">
        <f t="shared" si="1"/>
        <v>2033Принято органом регулирования</v>
      </c>
      <c r="AX8" s="163" t="str">
        <f t="shared" si="1"/>
        <v>2034Принято органом регулирования</v>
      </c>
      <c r="AY8" s="163" t="str">
        <f t="shared" si="1"/>
        <v>2035Принято органом регулирования</v>
      </c>
      <c r="BC8" s="955"/>
    </row>
    <row r="9" spans="1:55" s="969" customFormat="1" ht="12" hidden="1" customHeight="1">
      <c r="A9" s="955" t="s">
        <v>472</v>
      </c>
      <c r="B9" s="951"/>
      <c r="E9" s="951"/>
      <c r="AE9" s="949">
        <f>god-1</f>
        <v>2025</v>
      </c>
      <c r="AF9" s="949" cm="1">
        <f t="array" ref="AF9">god</f>
        <v>2026</v>
      </c>
      <c r="AG9" s="949">
        <f>god+1</f>
        <v>2027</v>
      </c>
      <c r="AH9" s="949">
        <f>god+2</f>
        <v>2028</v>
      </c>
      <c r="AI9" s="949">
        <f>god+3</f>
        <v>2029</v>
      </c>
      <c r="AJ9" s="949">
        <f>god+4</f>
        <v>2030</v>
      </c>
      <c r="AK9" s="949">
        <f>god+5</f>
        <v>2031</v>
      </c>
      <c r="AL9" s="949">
        <f>god+6</f>
        <v>2032</v>
      </c>
      <c r="AM9" s="949">
        <f>god+7</f>
        <v>2033</v>
      </c>
      <c r="AN9" s="949">
        <f>god+8</f>
        <v>2034</v>
      </c>
      <c r="AO9" s="949">
        <f>god+9</f>
        <v>2035</v>
      </c>
      <c r="AP9" s="949" cm="1">
        <f t="array" ref="AP9">god</f>
        <v>2026</v>
      </c>
      <c r="AQ9" s="949">
        <f>god+1</f>
        <v>2027</v>
      </c>
      <c r="AR9" s="949">
        <f>god+2</f>
        <v>2028</v>
      </c>
      <c r="AS9" s="949">
        <f>god+3</f>
        <v>2029</v>
      </c>
      <c r="AT9" s="949">
        <f>god+4</f>
        <v>2030</v>
      </c>
      <c r="AU9" s="949">
        <f>god+5</f>
        <v>2031</v>
      </c>
      <c r="AV9" s="949">
        <f>god+6</f>
        <v>2032</v>
      </c>
      <c r="AW9" s="949">
        <f>god+7</f>
        <v>2033</v>
      </c>
      <c r="AX9" s="949">
        <f>god+8</f>
        <v>2034</v>
      </c>
      <c r="AY9" s="949">
        <f>god+9</f>
        <v>2035</v>
      </c>
      <c r="BC9" s="955"/>
    </row>
    <row r="10" spans="1:55" s="969" customFormat="1" ht="12" hidden="1" customHeight="1">
      <c r="A10" s="955" t="s">
        <v>473</v>
      </c>
      <c r="B10" s="951"/>
      <c r="E10" s="951"/>
      <c r="AE10" s="949" t="str" cm="1">
        <f t="array" ref="AE10">AE25</f>
        <v>Принято органом регулирования</v>
      </c>
      <c r="AF10" s="949" t="str" cm="1">
        <f t="array" ref="AF10">AF25</f>
        <v>Предложение организации</v>
      </c>
      <c r="AG10" s="949" t="str" cm="1">
        <f t="array" ref="AG10">AG25</f>
        <v>Предложение организации</v>
      </c>
      <c r="AH10" s="949" t="str" cm="1">
        <f t="array" ref="AH10">AH25</f>
        <v>Предложение организации</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BC10" s="955"/>
    </row>
    <row r="11" spans="1:55" s="950" customFormat="1" ht="12" hidden="1" customHeight="1">
      <c r="A11" s="955" t="s">
        <v>474</v>
      </c>
      <c r="B11" s="952"/>
      <c r="E11" s="952"/>
      <c r="G11" s="953"/>
      <c r="H11" s="953"/>
      <c r="I11" s="953"/>
      <c r="J11" s="953"/>
      <c r="K11" s="953"/>
      <c r="L11" s="953"/>
      <c r="M11" s="953"/>
      <c r="N11" s="953"/>
      <c r="O11" s="953"/>
      <c r="P11" s="953"/>
      <c r="Q11" s="953"/>
      <c r="R11" s="953"/>
      <c r="S11" s="956"/>
      <c r="T11" s="956"/>
      <c r="U11" s="949"/>
      <c r="V11" s="949"/>
      <c r="W11" s="949"/>
      <c r="X11" s="949"/>
      <c r="Y11" s="949"/>
      <c r="Z11" s="949"/>
      <c r="AZ11" s="950" t="str" cm="1">
        <f t="array" ref="AZ11">AZ24</f>
        <v>Комментарии</v>
      </c>
      <c r="BC11" s="955"/>
    </row>
    <row r="12" spans="1:55" s="809" customFormat="1" ht="12" hidden="1" customHeight="1">
      <c r="B12" s="671"/>
      <c r="E12" s="682"/>
      <c r="G12" s="168"/>
      <c r="H12" s="168"/>
      <c r="I12" s="168"/>
      <c r="J12" s="168"/>
      <c r="K12" s="168"/>
      <c r="L12" s="168"/>
      <c r="M12" s="168"/>
      <c r="N12" s="168"/>
      <c r="O12" s="168"/>
      <c r="P12" s="168"/>
      <c r="Q12" s="168"/>
      <c r="R12" s="168"/>
      <c r="S12" s="164"/>
      <c r="T12" s="164"/>
      <c r="U12" s="129"/>
      <c r="V12" s="129"/>
      <c r="W12" s="129"/>
      <c r="X12" s="129"/>
      <c r="Y12" s="129"/>
      <c r="Z12" s="129"/>
      <c r="BC12" s="955"/>
    </row>
    <row r="13" spans="1:55" s="809" customFormat="1" ht="12" hidden="1" customHeight="1">
      <c r="B13" s="671"/>
      <c r="E13" s="682"/>
      <c r="G13" s="168"/>
      <c r="H13" s="168"/>
      <c r="I13" s="168"/>
      <c r="J13" s="168"/>
      <c r="K13" s="168"/>
      <c r="L13" s="168"/>
      <c r="M13" s="168"/>
      <c r="N13" s="168"/>
      <c r="O13" s="168"/>
      <c r="P13" s="168"/>
      <c r="Q13" s="168"/>
      <c r="R13" s="168"/>
      <c r="S13" s="164"/>
      <c r="T13" s="164"/>
      <c r="U13" s="129"/>
      <c r="V13" s="129"/>
      <c r="W13" s="129"/>
      <c r="X13" s="129"/>
      <c r="Y13" s="129"/>
      <c r="Z13" s="129"/>
      <c r="AA13" s="129"/>
      <c r="AB13" s="129"/>
      <c r="BC13" s="955"/>
    </row>
    <row r="14" spans="1:55" s="809" customFormat="1" ht="12" hidden="1" customHeight="1">
      <c r="B14" s="671"/>
      <c r="E14" s="682"/>
      <c r="G14" s="168"/>
      <c r="H14" s="168"/>
      <c r="I14" s="168"/>
      <c r="J14" s="168"/>
      <c r="K14" s="168"/>
      <c r="L14" s="168"/>
      <c r="M14" s="168"/>
      <c r="N14" s="168"/>
      <c r="O14" s="168"/>
      <c r="P14" s="168"/>
      <c r="Q14" s="168"/>
      <c r="R14" s="168"/>
      <c r="S14" s="164"/>
      <c r="T14" s="164"/>
      <c r="U14" s="129"/>
      <c r="V14" s="129"/>
      <c r="W14" s="129"/>
      <c r="X14" s="129"/>
      <c r="Y14" s="129"/>
      <c r="Z14" s="129"/>
      <c r="AA14" s="129"/>
      <c r="AB14" s="129"/>
      <c r="BC14" s="955"/>
    </row>
    <row r="15" spans="1:55" s="809" customFormat="1" ht="12" hidden="1" customHeight="1">
      <c r="B15" s="671"/>
      <c r="E15" s="682"/>
      <c r="G15" s="168"/>
      <c r="H15" s="168"/>
      <c r="I15" s="168"/>
      <c r="J15" s="168"/>
      <c r="K15" s="168"/>
      <c r="L15" s="168"/>
      <c r="M15" s="168"/>
      <c r="N15" s="168"/>
      <c r="O15" s="168"/>
      <c r="P15" s="168"/>
      <c r="Q15" s="168"/>
      <c r="R15" s="168"/>
      <c r="S15" s="164"/>
      <c r="T15" s="164"/>
      <c r="U15" s="129"/>
      <c r="V15" s="129"/>
      <c r="W15" s="129"/>
      <c r="X15" s="129"/>
      <c r="Y15" s="129"/>
      <c r="Z15" s="129"/>
      <c r="AA15" s="129"/>
      <c r="AB15" s="129"/>
      <c r="BC15" s="955"/>
    </row>
    <row r="16" spans="1:55" s="809" customFormat="1" ht="12" hidden="1" customHeight="1">
      <c r="B16" s="671"/>
      <c r="E16" s="682"/>
      <c r="G16" s="168"/>
      <c r="H16" s="168"/>
      <c r="I16" s="168"/>
      <c r="J16" s="168"/>
      <c r="K16" s="168"/>
      <c r="L16" s="168"/>
      <c r="M16" s="168"/>
      <c r="N16" s="168"/>
      <c r="O16" s="168"/>
      <c r="P16" s="168"/>
      <c r="Q16" s="168"/>
      <c r="R16" s="168"/>
      <c r="S16" s="164"/>
      <c r="T16" s="164"/>
      <c r="U16" s="129"/>
      <c r="V16" s="129"/>
      <c r="W16" s="129"/>
      <c r="X16" s="129"/>
      <c r="Y16" s="129"/>
      <c r="Z16" s="129"/>
      <c r="AA16" s="129"/>
      <c r="AB16" s="129"/>
      <c r="BC16" s="955"/>
    </row>
    <row r="17" spans="1:55" s="809" customFormat="1" ht="12" hidden="1" customHeight="1">
      <c r="B17" s="671"/>
      <c r="E17" s="682"/>
      <c r="G17" s="168"/>
      <c r="H17" s="168"/>
      <c r="I17" s="168"/>
      <c r="J17" s="168"/>
      <c r="K17" s="168"/>
      <c r="L17" s="168"/>
      <c r="M17" s="168"/>
      <c r="N17" s="168"/>
      <c r="O17" s="168"/>
      <c r="P17" s="168"/>
      <c r="Q17" s="168"/>
      <c r="R17" s="168"/>
      <c r="S17" s="164"/>
      <c r="T17" s="164"/>
      <c r="U17" s="129"/>
      <c r="V17" s="129"/>
      <c r="W17" s="129"/>
      <c r="X17" s="129"/>
      <c r="Y17" s="129"/>
      <c r="Z17" s="129"/>
      <c r="AA17" s="129"/>
      <c r="AB17" s="129"/>
      <c r="BC17" s="955"/>
    </row>
    <row r="18" spans="1:55" s="809" customFormat="1" ht="12" hidden="1" customHeight="1">
      <c r="B18" s="671"/>
      <c r="E18" s="682"/>
      <c r="G18" s="168"/>
      <c r="H18" s="168"/>
      <c r="I18" s="168"/>
      <c r="J18" s="168"/>
      <c r="K18" s="168"/>
      <c r="L18" s="168"/>
      <c r="M18" s="168"/>
      <c r="N18" s="168"/>
      <c r="O18" s="168"/>
      <c r="P18" s="168"/>
      <c r="Q18" s="168"/>
      <c r="R18" s="168"/>
      <c r="S18" s="164"/>
      <c r="T18" s="164"/>
      <c r="U18" s="129"/>
      <c r="V18" s="129"/>
      <c r="W18" s="129"/>
      <c r="X18" s="129"/>
      <c r="Y18" s="129"/>
      <c r="Z18" s="129"/>
      <c r="AA18" s="129"/>
      <c r="AB18" s="129"/>
      <c r="BC18" s="955"/>
    </row>
    <row r="19" spans="1:55" s="809" customFormat="1" ht="12" hidden="1" customHeight="1">
      <c r="B19" s="671"/>
      <c r="E19" s="682"/>
      <c r="G19" s="168"/>
      <c r="H19" s="168"/>
      <c r="I19" s="168"/>
      <c r="J19" s="168"/>
      <c r="K19" s="168"/>
      <c r="L19" s="168"/>
      <c r="M19" s="168"/>
      <c r="N19" s="168"/>
      <c r="O19" s="168"/>
      <c r="P19" s="168"/>
      <c r="Q19" s="168"/>
      <c r="R19" s="168"/>
      <c r="S19" s="164"/>
      <c r="T19" s="164"/>
      <c r="U19" s="129"/>
      <c r="V19" s="129"/>
      <c r="W19" s="129"/>
      <c r="X19" s="129"/>
      <c r="Y19" s="129"/>
      <c r="Z19" s="129"/>
      <c r="AA19" s="129"/>
      <c r="AB19" s="129"/>
      <c r="BC19" s="955"/>
    </row>
    <row r="20" spans="1:55" s="809" customFormat="1" ht="12" hidden="1" customHeight="1">
      <c r="B20" s="671"/>
      <c r="E20" s="682"/>
      <c r="G20" s="168"/>
      <c r="H20" s="168"/>
      <c r="I20" s="168"/>
      <c r="J20" s="168"/>
      <c r="K20" s="168"/>
      <c r="L20" s="168"/>
      <c r="M20" s="168"/>
      <c r="N20" s="168"/>
      <c r="O20" s="168"/>
      <c r="P20" s="168"/>
      <c r="Q20" s="168"/>
      <c r="R20" s="168"/>
      <c r="S20" s="164"/>
      <c r="T20" s="164"/>
      <c r="U20" s="129"/>
      <c r="V20" s="129"/>
      <c r="W20" s="129"/>
      <c r="X20" s="129"/>
      <c r="Y20" s="129"/>
      <c r="Z20" s="129"/>
      <c r="AA20" s="129"/>
      <c r="AB20" s="129"/>
      <c r="BC20" s="955"/>
    </row>
    <row r="21" spans="1:55" s="775" customFormat="1" ht="14.65" customHeight="1">
      <c r="A21" s="318"/>
      <c r="B21" s="671"/>
      <c r="C21" s="318"/>
      <c r="D21" s="318"/>
      <c r="E21" s="682">
        <v>15</v>
      </c>
      <c r="F21" s="318"/>
      <c r="S21" s="164"/>
      <c r="T21" s="164"/>
      <c r="U21" s="129"/>
      <c r="V21" s="129"/>
      <c r="W21" s="129"/>
      <c r="X21" s="129"/>
      <c r="Y21" s="129"/>
      <c r="Z21" s="129"/>
      <c r="AA21" s="699"/>
      <c r="AC21" s="353" t="str" cm="1">
        <f t="array" ref="AC21">tpl_title</f>
        <v>Кемеровская область / 2026 / ОАО «СКЭК» (ИНН:4205153492, КПП:420501001) / ДПР: 2021-2030</v>
      </c>
      <c r="BC21" s="955"/>
    </row>
    <row r="22" spans="1:55" ht="20.45" customHeight="1">
      <c r="E22" s="682">
        <v>21</v>
      </c>
      <c r="R22" s="164"/>
      <c r="AA22" s="699"/>
      <c r="AB22" s="1719" t="s">
        <v>27</v>
      </c>
      <c r="AC22" s="1720"/>
      <c r="AD22" s="1720"/>
      <c r="AE22" s="1720"/>
      <c r="AF22" s="1720"/>
      <c r="AG22" s="1720"/>
      <c r="AH22" s="1720"/>
      <c r="AI22" s="1720"/>
      <c r="AJ22" s="1720"/>
      <c r="AK22" s="1720"/>
      <c r="AL22" s="1720"/>
      <c r="AM22" s="1720"/>
      <c r="AN22" s="1720"/>
      <c r="AO22" s="1720"/>
      <c r="AP22" s="1720"/>
      <c r="AQ22" s="1720"/>
      <c r="AR22" s="1720"/>
      <c r="AS22" s="1720"/>
      <c r="AT22" s="1720"/>
      <c r="AU22" s="1720"/>
      <c r="AV22" s="1720"/>
      <c r="AW22" s="1720"/>
      <c r="AX22" s="1720"/>
      <c r="AY22" s="1720"/>
      <c r="AZ22" s="1720"/>
    </row>
    <row r="23" spans="1:55" ht="8.85" customHeight="1">
      <c r="E23" s="682">
        <v>9</v>
      </c>
      <c r="AA23" s="773"/>
      <c r="AB23" s="145"/>
      <c r="AC23" s="145"/>
      <c r="AD23" s="145"/>
      <c r="AE23" s="1723"/>
      <c r="AF23" s="1723"/>
      <c r="AG23" s="127"/>
      <c r="AH23" s="127"/>
      <c r="AI23" s="127"/>
      <c r="AJ23" s="127"/>
      <c r="AK23" s="127"/>
      <c r="AL23" s="127"/>
      <c r="AM23" s="127"/>
      <c r="AN23" s="127"/>
      <c r="AO23" s="127"/>
      <c r="AP23" s="127"/>
      <c r="AQ23" s="127"/>
      <c r="AR23" s="127"/>
      <c r="AS23" s="127"/>
      <c r="AT23" s="127"/>
      <c r="AU23" s="127"/>
      <c r="AV23" s="127"/>
      <c r="AW23" s="127"/>
      <c r="AX23" s="127"/>
      <c r="AY23" s="127"/>
      <c r="AZ23" s="127"/>
    </row>
    <row r="24" spans="1:55" ht="20.45" customHeight="1">
      <c r="E24" s="682">
        <v>21</v>
      </c>
      <c r="AA24" s="773"/>
      <c r="AB24" s="1729" t="s">
        <v>396</v>
      </c>
      <c r="AC24" s="1729" t="s">
        <v>475</v>
      </c>
      <c r="AD24" s="1729" t="s">
        <v>476</v>
      </c>
      <c r="AE24" s="121" t="str">
        <f>god-1&amp;" год"</f>
        <v>2025 год</v>
      </c>
      <c r="AF24" s="1141" t="str">
        <f>god&amp;" год"</f>
        <v>2026 год</v>
      </c>
      <c r="AG24" s="1141" t="str">
        <f>god+1&amp;" год"</f>
        <v>2027 год</v>
      </c>
      <c r="AH24" s="1141" t="str">
        <f>god+2&amp;" год"</f>
        <v>2028 год</v>
      </c>
      <c r="AI24" s="1141" t="str">
        <f>god+3&amp;" год"</f>
        <v>2029 год</v>
      </c>
      <c r="AJ24" s="1141" t="str">
        <f>god+4&amp;" год"</f>
        <v>2030 год</v>
      </c>
      <c r="AK24" s="1141" t="str">
        <f>god+5&amp;" год"</f>
        <v>2031 год</v>
      </c>
      <c r="AL24" s="1141" t="str">
        <f>god+6&amp;" год"</f>
        <v>2032 год</v>
      </c>
      <c r="AM24" s="1141" t="str">
        <f>god+7&amp;" год"</f>
        <v>2033 год</v>
      </c>
      <c r="AN24" s="1141" t="str">
        <f>god+8&amp;" год"</f>
        <v>2034 год</v>
      </c>
      <c r="AO24" s="1141" t="str">
        <f>god+9&amp;" год"</f>
        <v>2035 год</v>
      </c>
      <c r="AP24" s="121" t="str">
        <f>god&amp;" год"</f>
        <v>2026 год</v>
      </c>
      <c r="AQ24" s="121" t="str">
        <f>god+1&amp;" год"</f>
        <v>2027 год</v>
      </c>
      <c r="AR24" s="121" t="str">
        <f>god+2&amp;" год"</f>
        <v>2028 год</v>
      </c>
      <c r="AS24" s="121" t="str">
        <f>god+3&amp;" год"</f>
        <v>2029 год</v>
      </c>
      <c r="AT24" s="121" t="str">
        <f>god+4&amp;" год"</f>
        <v>2030 год</v>
      </c>
      <c r="AU24" s="121" t="str">
        <f>god+5&amp;" год"</f>
        <v>2031 год</v>
      </c>
      <c r="AV24" s="121" t="str">
        <f>god+6&amp;" год"</f>
        <v>2032 год</v>
      </c>
      <c r="AW24" s="121" t="str">
        <f>god+7&amp;" год"</f>
        <v>2033 год</v>
      </c>
      <c r="AX24" s="121" t="str">
        <f>god+8&amp;" год"</f>
        <v>2034 год</v>
      </c>
      <c r="AY24" s="121" t="str">
        <f>god+9&amp;" год"</f>
        <v>2035 год</v>
      </c>
      <c r="AZ24" s="1727" t="s">
        <v>477</v>
      </c>
    </row>
    <row r="25" spans="1:55" s="170" customFormat="1" ht="35.1" customHeight="1">
      <c r="A25" s="126"/>
      <c r="B25" s="667"/>
      <c r="C25" s="126"/>
      <c r="D25" s="126"/>
      <c r="E25" s="676">
        <v>36</v>
      </c>
      <c r="F25" s="126"/>
      <c r="G25" s="163"/>
      <c r="H25" s="163"/>
      <c r="I25" s="163"/>
      <c r="J25" s="163"/>
      <c r="K25" s="163"/>
      <c r="L25" s="163"/>
      <c r="M25" s="163"/>
      <c r="N25" s="163"/>
      <c r="O25" s="163"/>
      <c r="P25" s="163"/>
      <c r="Q25" s="163"/>
      <c r="R25" s="163"/>
      <c r="S25" s="163"/>
      <c r="T25" s="163"/>
      <c r="U25" s="126"/>
      <c r="V25" s="126"/>
      <c r="W25" s="126"/>
      <c r="X25" s="126"/>
      <c r="Y25" s="126"/>
      <c r="Z25" s="126"/>
      <c r="AB25" s="1729"/>
      <c r="AC25" s="1729"/>
      <c r="AD25" s="1729"/>
      <c r="AE25" s="121" t="s">
        <v>412</v>
      </c>
      <c r="AF25" s="1141" t="s">
        <v>413</v>
      </c>
      <c r="AG25" s="1142" t="s">
        <v>413</v>
      </c>
      <c r="AH25" s="1142" t="s">
        <v>413</v>
      </c>
      <c r="AI25" s="1142" t="s">
        <v>413</v>
      </c>
      <c r="AJ25" s="1142" t="s">
        <v>413</v>
      </c>
      <c r="AK25" s="1142" t="s">
        <v>413</v>
      </c>
      <c r="AL25" s="1142" t="s">
        <v>413</v>
      </c>
      <c r="AM25" s="1142" t="s">
        <v>413</v>
      </c>
      <c r="AN25" s="1142" t="s">
        <v>413</v>
      </c>
      <c r="AO25" s="1142" t="s">
        <v>413</v>
      </c>
      <c r="AP25" s="121" t="s">
        <v>412</v>
      </c>
      <c r="AQ25" s="121" t="s">
        <v>412</v>
      </c>
      <c r="AR25" s="121" t="s">
        <v>412</v>
      </c>
      <c r="AS25" s="121" t="s">
        <v>412</v>
      </c>
      <c r="AT25" s="121" t="s">
        <v>412</v>
      </c>
      <c r="AU25" s="121" t="s">
        <v>412</v>
      </c>
      <c r="AV25" s="121" t="s">
        <v>412</v>
      </c>
      <c r="AW25" s="121" t="s">
        <v>412</v>
      </c>
      <c r="AX25" s="121" t="s">
        <v>412</v>
      </c>
      <c r="AY25" s="121" t="s">
        <v>412</v>
      </c>
      <c r="AZ25" s="1728"/>
      <c r="BC25" s="958"/>
    </row>
    <row r="26" spans="1:55" s="170" customFormat="1" ht="26.25" hidden="1" customHeight="1">
      <c r="A26" s="126"/>
      <c r="B26" s="667"/>
      <c r="C26" s="126"/>
      <c r="D26" s="126"/>
      <c r="E26" s="676">
        <v>0</v>
      </c>
      <c r="F26" s="126"/>
      <c r="G26" s="163"/>
      <c r="H26" s="163"/>
      <c r="I26" s="163"/>
      <c r="J26" s="163"/>
      <c r="K26" s="163"/>
      <c r="L26" s="163"/>
      <c r="M26" s="163"/>
      <c r="N26" s="163"/>
      <c r="O26" s="163"/>
      <c r="P26" s="163"/>
      <c r="Q26" s="163"/>
      <c r="R26" s="163"/>
      <c r="S26" s="163"/>
      <c r="T26" s="163"/>
      <c r="U26" s="126"/>
      <c r="V26" s="126"/>
      <c r="W26" s="126"/>
      <c r="X26" s="126"/>
      <c r="Y26" s="126"/>
      <c r="Z26" s="126"/>
      <c r="AB26" s="605"/>
      <c r="AC26" s="443"/>
      <c r="AD26" s="443"/>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C26" s="958"/>
    </row>
    <row r="27" spans="1:55" s="170" customFormat="1" ht="11.1" hidden="1" customHeight="1">
      <c r="E27" s="676">
        <v>11.4</v>
      </c>
      <c r="F27" s="779" cm="1">
        <f t="array" ref="F27">Y27</f>
        <v>0</v>
      </c>
      <c r="U27" s="687" t="b">
        <f>Y27&gt;0</f>
        <v>0</v>
      </c>
      <c r="W27" s="126" t="s">
        <v>315</v>
      </c>
      <c r="Y27" s="1726">
        <v>0</v>
      </c>
      <c r="Z27" s="1724"/>
      <c r="AB27" s="276" t="str" cm="1">
        <f t="array" ref="AB27">INDEX('Общие сведения'!$AG$187:$AG$236,MATCH($F27,'Общие сведения'!$Z$187:$Z$236,0))</f>
        <v xml:space="preserve">Тариф 0 (Теплоснабжение) - </v>
      </c>
      <c r="AC27" s="267"/>
      <c r="AD27" s="48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C27" s="958"/>
    </row>
    <row r="28" spans="1:55" s="170" customFormat="1" ht="16.7" hidden="1" customHeight="1">
      <c r="E28" s="676">
        <v>17.100000000000001</v>
      </c>
      <c r="F28" s="779" cm="1">
        <f t="array" aca="1" ref="F28" ca="1">OFFSET(G28,-1,-1)</f>
        <v>0</v>
      </c>
      <c r="G28" s="620" t="s">
        <v>478</v>
      </c>
      <c r="H28" s="163" t="s">
        <v>479</v>
      </c>
      <c r="I28" s="163" t="str">
        <f>AC28&amp;"::"&amp;AD28</f>
        <v>Количество условных единиц для производства::УЕ</v>
      </c>
      <c r="U28" s="687" t="b" cm="1">
        <f t="array" ref="U28">U27</f>
        <v>0</v>
      </c>
      <c r="Y28" s="1724"/>
      <c r="Z28" s="1724"/>
      <c r="AB28" s="429">
        <v>1</v>
      </c>
      <c r="AC28" s="503" t="s">
        <v>480</v>
      </c>
      <c r="AD28" s="412" t="s">
        <v>481</v>
      </c>
      <c r="AE28" s="14" cm="1">
        <f t="array" ref="AE28">AE29</f>
        <v>0</v>
      </c>
      <c r="AF28" s="162" cm="1">
        <f t="array" ref="AF28">AF29</f>
        <v>0</v>
      </c>
      <c r="AG28" s="162" cm="1">
        <f t="array" ref="AG28">AG29</f>
        <v>0</v>
      </c>
      <c r="AH28" s="162" cm="1">
        <f t="array" ref="AH28">AH29</f>
        <v>0</v>
      </c>
      <c r="AI28" s="162" cm="1">
        <f t="array" ref="AI28">AI29</f>
        <v>0</v>
      </c>
      <c r="AJ28" s="162" cm="1">
        <f t="array" ref="AJ28">AJ29</f>
        <v>0</v>
      </c>
      <c r="AK28" s="14" cm="1">
        <f t="array" ref="AK28">AK29</f>
        <v>0</v>
      </c>
      <c r="AL28" s="14" cm="1">
        <f t="array" ref="AL28">AL29</f>
        <v>0</v>
      </c>
      <c r="AM28" s="14" cm="1">
        <f t="array" ref="AM28">AM29</f>
        <v>0</v>
      </c>
      <c r="AN28" s="14" cm="1">
        <f t="array" ref="AN28">AN29</f>
        <v>0</v>
      </c>
      <c r="AO28" s="14" cm="1">
        <f t="array" ref="AO28">AO29</f>
        <v>0</v>
      </c>
      <c r="AP28" s="162" cm="1">
        <f t="array" ref="AP28">AP29</f>
        <v>0</v>
      </c>
      <c r="AQ28" s="162" cm="1">
        <f t="array" ref="AQ28">AQ29</f>
        <v>0</v>
      </c>
      <c r="AR28" s="162" cm="1">
        <f t="array" ref="AR28">AR29</f>
        <v>0</v>
      </c>
      <c r="AS28" s="162" cm="1">
        <f t="array" ref="AS28">AS29</f>
        <v>0</v>
      </c>
      <c r="AT28" s="162" cm="1">
        <f t="array" ref="AT28">AT29</f>
        <v>0</v>
      </c>
      <c r="AU28" s="14" cm="1">
        <f t="array" ref="AU28">AU29</f>
        <v>0</v>
      </c>
      <c r="AV28" s="14" cm="1">
        <f t="array" ref="AV28">AV29</f>
        <v>0</v>
      </c>
      <c r="AW28" s="14" cm="1">
        <f t="array" ref="AW28">AW29</f>
        <v>0</v>
      </c>
      <c r="AX28" s="14" cm="1">
        <f t="array" ref="AX28">AX29</f>
        <v>0</v>
      </c>
      <c r="AY28" s="14" cm="1">
        <f t="array" ref="AY28">AY29</f>
        <v>0</v>
      </c>
      <c r="AZ28" s="15"/>
      <c r="BC28" s="958" t="s">
        <v>482</v>
      </c>
    </row>
    <row r="29" spans="1:55" s="170" customFormat="1" ht="16.7" hidden="1" customHeight="1">
      <c r="E29" s="676">
        <v>17.100000000000001</v>
      </c>
      <c r="F29" s="779" cm="1">
        <f t="array" aca="1" ref="F29" ca="1">OFFSET(G29,-1,-1)</f>
        <v>0</v>
      </c>
      <c r="G29" s="620" t="s">
        <v>483</v>
      </c>
      <c r="H29" s="163" t="s">
        <v>479</v>
      </c>
      <c r="I29" s="163" t="str">
        <f>AC29&amp;"::"&amp;AD29</f>
        <v>Установленная тепловая мощность::Гкал/час</v>
      </c>
      <c r="U29" s="687" t="b" cm="1">
        <f t="array" ref="U29">U28</f>
        <v>0</v>
      </c>
      <c r="Y29" s="1724"/>
      <c r="Z29" s="1724"/>
      <c r="AB29" s="412" t="s">
        <v>484</v>
      </c>
      <c r="AC29" s="428" t="s">
        <v>485</v>
      </c>
      <c r="AD29" s="412" t="s">
        <v>486</v>
      </c>
      <c r="AE29" s="14"/>
      <c r="AF29" s="162"/>
      <c r="AG29" s="162"/>
      <c r="AH29" s="162"/>
      <c r="AI29" s="162"/>
      <c r="AJ29" s="162"/>
      <c r="AK29" s="14"/>
      <c r="AL29" s="14"/>
      <c r="AM29" s="14"/>
      <c r="AN29" s="14"/>
      <c r="AO29" s="14"/>
      <c r="AP29" s="162"/>
      <c r="AQ29" s="162"/>
      <c r="AR29" s="162"/>
      <c r="AS29" s="162"/>
      <c r="AT29" s="162"/>
      <c r="AU29" s="14"/>
      <c r="AV29" s="14"/>
      <c r="AW29" s="14"/>
      <c r="AX29" s="14"/>
      <c r="AY29" s="14"/>
      <c r="AZ29" s="15"/>
      <c r="BC29" s="958" t="s">
        <v>487</v>
      </c>
    </row>
    <row r="30" spans="1:55" s="170" customFormat="1" ht="16.7" hidden="1" customHeight="1">
      <c r="E30" s="676">
        <v>17.100000000000001</v>
      </c>
      <c r="F30" s="779" cm="1">
        <f t="array" aca="1" ref="F30" ca="1">OFFSET(G30,-1,-1)</f>
        <v>0</v>
      </c>
      <c r="G30" s="620" t="s">
        <v>488</v>
      </c>
      <c r="U30" s="687" t="b" cm="1">
        <f t="array" ref="U30">U29</f>
        <v>0</v>
      </c>
      <c r="Y30" s="1724"/>
      <c r="Z30" s="1724"/>
      <c r="AB30" s="475" t="s">
        <v>348</v>
      </c>
      <c r="AC30" s="504" t="s">
        <v>489</v>
      </c>
      <c r="AD30" s="412" t="s">
        <v>481</v>
      </c>
      <c r="AE30" s="14">
        <f t="shared" ref="AE30:AY30" si="2">AE31+5*AE44+25*AE45+0.5*AE46</f>
        <v>0</v>
      </c>
      <c r="AF30" s="162">
        <f t="shared" si="2"/>
        <v>0</v>
      </c>
      <c r="AG30" s="162">
        <f t="shared" si="2"/>
        <v>0</v>
      </c>
      <c r="AH30" s="162">
        <f t="shared" si="2"/>
        <v>0</v>
      </c>
      <c r="AI30" s="162">
        <f t="shared" si="2"/>
        <v>0</v>
      </c>
      <c r="AJ30" s="162">
        <f t="shared" si="2"/>
        <v>0</v>
      </c>
      <c r="AK30" s="14">
        <f t="shared" si="2"/>
        <v>0</v>
      </c>
      <c r="AL30" s="14">
        <f t="shared" si="2"/>
        <v>0</v>
      </c>
      <c r="AM30" s="14">
        <f t="shared" si="2"/>
        <v>0</v>
      </c>
      <c r="AN30" s="14">
        <f t="shared" si="2"/>
        <v>0</v>
      </c>
      <c r="AO30" s="14">
        <f t="shared" si="2"/>
        <v>0</v>
      </c>
      <c r="AP30" s="162">
        <f t="shared" si="2"/>
        <v>0</v>
      </c>
      <c r="AQ30" s="162">
        <f t="shared" si="2"/>
        <v>0</v>
      </c>
      <c r="AR30" s="162">
        <f t="shared" si="2"/>
        <v>0</v>
      </c>
      <c r="AS30" s="162">
        <f t="shared" si="2"/>
        <v>0</v>
      </c>
      <c r="AT30" s="162">
        <f t="shared" si="2"/>
        <v>0</v>
      </c>
      <c r="AU30" s="14">
        <f t="shared" si="2"/>
        <v>0</v>
      </c>
      <c r="AV30" s="14">
        <f t="shared" si="2"/>
        <v>0</v>
      </c>
      <c r="AW30" s="14">
        <f t="shared" si="2"/>
        <v>0</v>
      </c>
      <c r="AX30" s="14">
        <f t="shared" si="2"/>
        <v>0</v>
      </c>
      <c r="AY30" s="14">
        <f t="shared" si="2"/>
        <v>0</v>
      </c>
      <c r="AZ30" s="15"/>
      <c r="BC30" s="958" t="s">
        <v>490</v>
      </c>
    </row>
    <row r="31" spans="1:55" s="170" customFormat="1" ht="16.7" hidden="1" customHeight="1">
      <c r="E31" s="676">
        <v>17.100000000000001</v>
      </c>
      <c r="F31" s="779" cm="1">
        <f t="array" aca="1" ref="F31" ca="1">OFFSET(G31,-1,-1)</f>
        <v>0</v>
      </c>
      <c r="U31" s="687" t="b" cm="1">
        <f t="array" ref="U31">U30</f>
        <v>0</v>
      </c>
      <c r="Y31" s="1724"/>
      <c r="Z31" s="1724"/>
      <c r="AB31" s="424" t="s">
        <v>491</v>
      </c>
      <c r="AC31" s="480" t="s">
        <v>492</v>
      </c>
      <c r="AD31" s="412" t="s">
        <v>481</v>
      </c>
      <c r="AE31" s="216">
        <f t="shared" ref="AE31:AY31" si="3">AE32+AE35+AE38+AE41</f>
        <v>0</v>
      </c>
      <c r="AF31" s="216">
        <f t="shared" si="3"/>
        <v>0</v>
      </c>
      <c r="AG31" s="216">
        <f t="shared" si="3"/>
        <v>0</v>
      </c>
      <c r="AH31" s="216">
        <f t="shared" si="3"/>
        <v>0</v>
      </c>
      <c r="AI31" s="216">
        <f t="shared" si="3"/>
        <v>0</v>
      </c>
      <c r="AJ31" s="216">
        <f t="shared" si="3"/>
        <v>0</v>
      </c>
      <c r="AK31" s="216">
        <f t="shared" si="3"/>
        <v>0</v>
      </c>
      <c r="AL31" s="216">
        <f t="shared" si="3"/>
        <v>0</v>
      </c>
      <c r="AM31" s="216">
        <f t="shared" si="3"/>
        <v>0</v>
      </c>
      <c r="AN31" s="216">
        <f t="shared" si="3"/>
        <v>0</v>
      </c>
      <c r="AO31" s="216">
        <f t="shared" si="3"/>
        <v>0</v>
      </c>
      <c r="AP31" s="216">
        <f t="shared" si="3"/>
        <v>0</v>
      </c>
      <c r="AQ31" s="216">
        <f t="shared" si="3"/>
        <v>0</v>
      </c>
      <c r="AR31" s="216">
        <f t="shared" si="3"/>
        <v>0</v>
      </c>
      <c r="AS31" s="216">
        <f t="shared" si="3"/>
        <v>0</v>
      </c>
      <c r="AT31" s="216">
        <f t="shared" si="3"/>
        <v>0</v>
      </c>
      <c r="AU31" s="216">
        <f t="shared" si="3"/>
        <v>0</v>
      </c>
      <c r="AV31" s="216">
        <f t="shared" si="3"/>
        <v>0</v>
      </c>
      <c r="AW31" s="216">
        <f t="shared" si="3"/>
        <v>0</v>
      </c>
      <c r="AX31" s="216">
        <f t="shared" si="3"/>
        <v>0</v>
      </c>
      <c r="AY31" s="216">
        <f t="shared" si="3"/>
        <v>0</v>
      </c>
      <c r="AZ31" s="15"/>
      <c r="BC31" s="958" t="s">
        <v>493</v>
      </c>
    </row>
    <row r="32" spans="1:55" s="170" customFormat="1" ht="16.7" hidden="1" customHeight="1">
      <c r="E32" s="676">
        <v>17.100000000000001</v>
      </c>
      <c r="F32" s="779" cm="1">
        <f t="array" aca="1" ref="F32" ca="1">OFFSET(G32,-1,-1)</f>
        <v>0</v>
      </c>
      <c r="U32" s="687" t="b" cm="1">
        <f t="array" ref="U32">U31</f>
        <v>0</v>
      </c>
      <c r="Y32" s="1724"/>
      <c r="Z32" s="1724"/>
      <c r="AB32" s="479" t="s">
        <v>494</v>
      </c>
      <c r="AC32" s="489" t="s">
        <v>495</v>
      </c>
      <c r="AD32" s="412" t="s">
        <v>481</v>
      </c>
      <c r="AE32" s="14">
        <f t="shared" ref="AE32:AY32" si="4">0.75*(11*AE34+MAX(0.06*AE34*(AE33-100),0))</f>
        <v>0</v>
      </c>
      <c r="AF32" s="162">
        <f t="shared" si="4"/>
        <v>0</v>
      </c>
      <c r="AG32" s="162">
        <f t="shared" si="4"/>
        <v>0</v>
      </c>
      <c r="AH32" s="162">
        <f t="shared" si="4"/>
        <v>0</v>
      </c>
      <c r="AI32" s="162">
        <f t="shared" si="4"/>
        <v>0</v>
      </c>
      <c r="AJ32" s="162">
        <f t="shared" si="4"/>
        <v>0</v>
      </c>
      <c r="AK32" s="14">
        <f t="shared" si="4"/>
        <v>0</v>
      </c>
      <c r="AL32" s="14">
        <f t="shared" si="4"/>
        <v>0</v>
      </c>
      <c r="AM32" s="14">
        <f t="shared" si="4"/>
        <v>0</v>
      </c>
      <c r="AN32" s="14">
        <f t="shared" si="4"/>
        <v>0</v>
      </c>
      <c r="AO32" s="14">
        <f t="shared" si="4"/>
        <v>0</v>
      </c>
      <c r="AP32" s="162">
        <f t="shared" si="4"/>
        <v>0</v>
      </c>
      <c r="AQ32" s="162">
        <f t="shared" si="4"/>
        <v>0</v>
      </c>
      <c r="AR32" s="162">
        <f t="shared" si="4"/>
        <v>0</v>
      </c>
      <c r="AS32" s="162">
        <f t="shared" si="4"/>
        <v>0</v>
      </c>
      <c r="AT32" s="162">
        <f t="shared" si="4"/>
        <v>0</v>
      </c>
      <c r="AU32" s="14">
        <f t="shared" si="4"/>
        <v>0</v>
      </c>
      <c r="AV32" s="14">
        <f t="shared" si="4"/>
        <v>0</v>
      </c>
      <c r="AW32" s="14">
        <f t="shared" si="4"/>
        <v>0</v>
      </c>
      <c r="AX32" s="14">
        <f t="shared" si="4"/>
        <v>0</v>
      </c>
      <c r="AY32" s="14">
        <f t="shared" si="4"/>
        <v>0</v>
      </c>
      <c r="AZ32" s="15"/>
      <c r="BC32" s="958" t="s">
        <v>496</v>
      </c>
    </row>
    <row r="33" spans="1:55" s="170" customFormat="1" ht="16.7" hidden="1" customHeight="1">
      <c r="E33" s="676">
        <v>17.100000000000001</v>
      </c>
      <c r="F33" s="779" cm="1">
        <f t="array" aca="1" ref="F33" ca="1">OFFSET(G33,-1,-1)</f>
        <v>0</v>
      </c>
      <c r="U33" s="687" t="b" cm="1">
        <f t="array" ref="U33">U32</f>
        <v>0</v>
      </c>
      <c r="Y33" s="1724"/>
      <c r="Z33" s="1724"/>
      <c r="AB33" s="486" t="str">
        <f>AB32&amp;".1"</f>
        <v>2.1.1.1</v>
      </c>
      <c r="AC33" s="488" t="s">
        <v>497</v>
      </c>
      <c r="AD33" s="124" t="s">
        <v>498</v>
      </c>
      <c r="AE33" s="16"/>
      <c r="AF33" s="490"/>
      <c r="AG33" s="490"/>
      <c r="AH33" s="490"/>
      <c r="AI33" s="490"/>
      <c r="AJ33" s="490"/>
      <c r="AK33" s="16"/>
      <c r="AL33" s="16"/>
      <c r="AM33" s="16"/>
      <c r="AN33" s="16"/>
      <c r="AO33" s="16"/>
      <c r="AP33" s="490"/>
      <c r="AQ33" s="490"/>
      <c r="AR33" s="490"/>
      <c r="AS33" s="490"/>
      <c r="AT33" s="490"/>
      <c r="AU33" s="16"/>
      <c r="AV33" s="16"/>
      <c r="AW33" s="16"/>
      <c r="AX33" s="16"/>
      <c r="AY33" s="16"/>
      <c r="AZ33" s="15"/>
      <c r="BC33" s="958" t="s">
        <v>499</v>
      </c>
    </row>
    <row r="34" spans="1:55" s="170" customFormat="1" ht="16.7" hidden="1" customHeight="1">
      <c r="E34" s="676">
        <v>17.100000000000001</v>
      </c>
      <c r="F34" s="779" cm="1">
        <f t="array" aca="1" ref="F34" ca="1">OFFSET(G34,-1,-1)</f>
        <v>0</v>
      </c>
      <c r="U34" s="687" t="b" cm="1">
        <f t="array" ref="U34">U33</f>
        <v>0</v>
      </c>
      <c r="Y34" s="1724"/>
      <c r="Z34" s="1724"/>
      <c r="AB34" s="486" t="str">
        <f>AB32&amp;".2"</f>
        <v>2.1.1.2</v>
      </c>
      <c r="AC34" s="488" t="s">
        <v>500</v>
      </c>
      <c r="AD34" s="487" t="s">
        <v>501</v>
      </c>
      <c r="AE34" s="17"/>
      <c r="AF34" s="230"/>
      <c r="AG34" s="230"/>
      <c r="AH34" s="230"/>
      <c r="AI34" s="230"/>
      <c r="AJ34" s="230"/>
      <c r="AK34" s="17"/>
      <c r="AL34" s="17"/>
      <c r="AM34" s="17"/>
      <c r="AN34" s="17"/>
      <c r="AO34" s="17"/>
      <c r="AP34" s="230"/>
      <c r="AQ34" s="230"/>
      <c r="AR34" s="230"/>
      <c r="AS34" s="230"/>
      <c r="AT34" s="230"/>
      <c r="AU34" s="17"/>
      <c r="AV34" s="17"/>
      <c r="AW34" s="17"/>
      <c r="AX34" s="17"/>
      <c r="AY34" s="17"/>
      <c r="AZ34" s="15"/>
      <c r="BC34" s="958" t="s">
        <v>502</v>
      </c>
    </row>
    <row r="35" spans="1:55" s="170" customFormat="1" ht="16.7" hidden="1" customHeight="1">
      <c r="E35" s="676">
        <v>17.100000000000001</v>
      </c>
      <c r="F35" s="779" cm="1">
        <f t="array" aca="1" ref="F35" ca="1">OFFSET(G35,-1,-1)</f>
        <v>0</v>
      </c>
      <c r="U35" s="687" t="b" cm="1">
        <f t="array" ref="U35">U34</f>
        <v>0</v>
      </c>
      <c r="Y35" s="1724"/>
      <c r="Z35" s="1724"/>
      <c r="AB35" s="485" t="s">
        <v>503</v>
      </c>
      <c r="AC35" s="471" t="s">
        <v>504</v>
      </c>
      <c r="AD35" s="412" t="s">
        <v>481</v>
      </c>
      <c r="AE35" s="14">
        <f t="shared" ref="AE35:AY35" si="5">(11*AE37+MAX(0.06*AE37*(AE36-100),0))</f>
        <v>0</v>
      </c>
      <c r="AF35" s="162">
        <f t="shared" si="5"/>
        <v>0</v>
      </c>
      <c r="AG35" s="162">
        <f t="shared" si="5"/>
        <v>0</v>
      </c>
      <c r="AH35" s="162">
        <f t="shared" si="5"/>
        <v>0</v>
      </c>
      <c r="AI35" s="162">
        <f t="shared" si="5"/>
        <v>0</v>
      </c>
      <c r="AJ35" s="162">
        <f t="shared" si="5"/>
        <v>0</v>
      </c>
      <c r="AK35" s="14">
        <f t="shared" si="5"/>
        <v>0</v>
      </c>
      <c r="AL35" s="14">
        <f t="shared" si="5"/>
        <v>0</v>
      </c>
      <c r="AM35" s="14">
        <f t="shared" si="5"/>
        <v>0</v>
      </c>
      <c r="AN35" s="14">
        <f t="shared" si="5"/>
        <v>0</v>
      </c>
      <c r="AO35" s="14">
        <f t="shared" si="5"/>
        <v>0</v>
      </c>
      <c r="AP35" s="162">
        <f t="shared" si="5"/>
        <v>0</v>
      </c>
      <c r="AQ35" s="162">
        <f t="shared" si="5"/>
        <v>0</v>
      </c>
      <c r="AR35" s="162">
        <f t="shared" si="5"/>
        <v>0</v>
      </c>
      <c r="AS35" s="162">
        <f t="shared" si="5"/>
        <v>0</v>
      </c>
      <c r="AT35" s="162">
        <f t="shared" si="5"/>
        <v>0</v>
      </c>
      <c r="AU35" s="14">
        <f t="shared" si="5"/>
        <v>0</v>
      </c>
      <c r="AV35" s="14">
        <f t="shared" si="5"/>
        <v>0</v>
      </c>
      <c r="AW35" s="14">
        <f t="shared" si="5"/>
        <v>0</v>
      </c>
      <c r="AX35" s="14">
        <f t="shared" si="5"/>
        <v>0</v>
      </c>
      <c r="AY35" s="14">
        <f t="shared" si="5"/>
        <v>0</v>
      </c>
      <c r="AZ35" s="15"/>
      <c r="BC35" s="958" t="s">
        <v>505</v>
      </c>
    </row>
    <row r="36" spans="1:55" s="170" customFormat="1" ht="16.7" hidden="1" customHeight="1">
      <c r="E36" s="676">
        <v>17.100000000000001</v>
      </c>
      <c r="F36" s="779" cm="1">
        <f t="array" aca="1" ref="F36" ca="1">OFFSET(G36,-1,-1)</f>
        <v>0</v>
      </c>
      <c r="U36" s="687" t="b" cm="1">
        <f t="array" ref="U36">U35</f>
        <v>0</v>
      </c>
      <c r="Y36" s="1724"/>
      <c r="Z36" s="1724"/>
      <c r="AB36" s="486" t="str">
        <f>AB35&amp;".1"</f>
        <v>2.1.2.1</v>
      </c>
      <c r="AC36" s="488" t="s">
        <v>497</v>
      </c>
      <c r="AD36" s="562" t="s">
        <v>498</v>
      </c>
      <c r="AE36" s="18"/>
      <c r="AF36" s="230"/>
      <c r="AG36" s="230"/>
      <c r="AH36" s="230"/>
      <c r="AI36" s="230"/>
      <c r="AJ36" s="230"/>
      <c r="AK36" s="17"/>
      <c r="AL36" s="17"/>
      <c r="AM36" s="17"/>
      <c r="AN36" s="17"/>
      <c r="AO36" s="17"/>
      <c r="AP36" s="230"/>
      <c r="AQ36" s="230"/>
      <c r="AR36" s="230"/>
      <c r="AS36" s="230"/>
      <c r="AT36" s="230"/>
      <c r="AU36" s="17"/>
      <c r="AV36" s="17"/>
      <c r="AW36" s="17"/>
      <c r="AX36" s="17"/>
      <c r="AY36" s="17"/>
      <c r="AZ36" s="15"/>
      <c r="BC36" s="958" t="s">
        <v>506</v>
      </c>
    </row>
    <row r="37" spans="1:55" s="170" customFormat="1" ht="16.7" hidden="1" customHeight="1">
      <c r="E37" s="676">
        <v>17.100000000000001</v>
      </c>
      <c r="F37" s="779" cm="1">
        <f t="array" aca="1" ref="F37" ca="1">OFFSET(G37,-1,-1)</f>
        <v>0</v>
      </c>
      <c r="U37" s="687" t="b" cm="1">
        <f t="array" ref="U37">U36</f>
        <v>0</v>
      </c>
      <c r="Y37" s="1724"/>
      <c r="Z37" s="1724"/>
      <c r="AB37" s="486" t="str">
        <f>AB35&amp;".2"</f>
        <v>2.1.2.2</v>
      </c>
      <c r="AC37" s="606" t="s">
        <v>500</v>
      </c>
      <c r="AD37" s="124" t="s">
        <v>501</v>
      </c>
      <c r="AE37" s="17"/>
      <c r="AF37" s="492"/>
      <c r="AG37" s="230"/>
      <c r="AH37" s="230"/>
      <c r="AI37" s="230"/>
      <c r="AJ37" s="230"/>
      <c r="AK37" s="17"/>
      <c r="AL37" s="17"/>
      <c r="AM37" s="17"/>
      <c r="AN37" s="17"/>
      <c r="AO37" s="17"/>
      <c r="AP37" s="230"/>
      <c r="AQ37" s="230"/>
      <c r="AR37" s="230"/>
      <c r="AS37" s="230"/>
      <c r="AT37" s="230"/>
      <c r="AU37" s="17"/>
      <c r="AV37" s="17"/>
      <c r="AW37" s="17"/>
      <c r="AX37" s="17"/>
      <c r="AY37" s="17"/>
      <c r="AZ37" s="15"/>
      <c r="BC37" s="958" t="s">
        <v>507</v>
      </c>
    </row>
    <row r="38" spans="1:55" s="170" customFormat="1" ht="16.7" hidden="1" customHeight="1">
      <c r="E38" s="676">
        <v>17.100000000000001</v>
      </c>
      <c r="F38" s="779" cm="1">
        <f t="array" aca="1" ref="F38" ca="1">OFFSET(G38,-1,-1)</f>
        <v>0</v>
      </c>
      <c r="U38" s="687" t="b" cm="1">
        <f t="array" ref="U38">U37</f>
        <v>0</v>
      </c>
      <c r="Y38" s="1724"/>
      <c r="Z38" s="1724"/>
      <c r="AB38" s="235" t="s">
        <v>508</v>
      </c>
      <c r="AC38" s="607" t="s">
        <v>509</v>
      </c>
      <c r="AD38" s="235" t="s">
        <v>481</v>
      </c>
      <c r="AE38" s="17">
        <f t="shared" ref="AE38:AY38" si="6">1.25*(11*AE40+MAX(0.06*AE40*(AE39-100),0))</f>
        <v>0</v>
      </c>
      <c r="AF38" s="610">
        <f t="shared" si="6"/>
        <v>0</v>
      </c>
      <c r="AG38" s="162">
        <f t="shared" si="6"/>
        <v>0</v>
      </c>
      <c r="AH38" s="162">
        <f t="shared" si="6"/>
        <v>0</v>
      </c>
      <c r="AI38" s="162">
        <f t="shared" si="6"/>
        <v>0</v>
      </c>
      <c r="AJ38" s="162">
        <f t="shared" si="6"/>
        <v>0</v>
      </c>
      <c r="AK38" s="14">
        <f t="shared" si="6"/>
        <v>0</v>
      </c>
      <c r="AL38" s="14">
        <f t="shared" si="6"/>
        <v>0</v>
      </c>
      <c r="AM38" s="14">
        <f t="shared" si="6"/>
        <v>0</v>
      </c>
      <c r="AN38" s="14">
        <f t="shared" si="6"/>
        <v>0</v>
      </c>
      <c r="AO38" s="14">
        <f t="shared" si="6"/>
        <v>0</v>
      </c>
      <c r="AP38" s="162">
        <f t="shared" si="6"/>
        <v>0</v>
      </c>
      <c r="AQ38" s="162">
        <f t="shared" si="6"/>
        <v>0</v>
      </c>
      <c r="AR38" s="162">
        <f t="shared" si="6"/>
        <v>0</v>
      </c>
      <c r="AS38" s="162">
        <f t="shared" si="6"/>
        <v>0</v>
      </c>
      <c r="AT38" s="162">
        <f t="shared" si="6"/>
        <v>0</v>
      </c>
      <c r="AU38" s="14">
        <f t="shared" si="6"/>
        <v>0</v>
      </c>
      <c r="AV38" s="14">
        <f t="shared" si="6"/>
        <v>0</v>
      </c>
      <c r="AW38" s="14">
        <f t="shared" si="6"/>
        <v>0</v>
      </c>
      <c r="AX38" s="14">
        <f t="shared" si="6"/>
        <v>0</v>
      </c>
      <c r="AY38" s="14">
        <f t="shared" si="6"/>
        <v>0</v>
      </c>
      <c r="AZ38" s="15"/>
      <c r="BC38" s="958" t="s">
        <v>510</v>
      </c>
    </row>
    <row r="39" spans="1:55" s="170" customFormat="1" ht="16.7" hidden="1" customHeight="1">
      <c r="E39" s="676">
        <v>17.100000000000001</v>
      </c>
      <c r="F39" s="779" cm="1">
        <f t="array" aca="1" ref="F39" ca="1">OFFSET(G39,-1,-1)</f>
        <v>0</v>
      </c>
      <c r="U39" s="687" t="b" cm="1">
        <f t="array" ref="U39">U38</f>
        <v>0</v>
      </c>
      <c r="Y39" s="1724"/>
      <c r="Z39" s="1724"/>
      <c r="AB39" s="486" t="str">
        <f>AB38&amp;".1"</f>
        <v>2.1.3.1</v>
      </c>
      <c r="AC39" s="606" t="s">
        <v>497</v>
      </c>
      <c r="AD39" s="124" t="s">
        <v>498</v>
      </c>
      <c r="AE39" s="17"/>
      <c r="AF39" s="491"/>
      <c r="AG39" s="491"/>
      <c r="AH39" s="491"/>
      <c r="AI39" s="491"/>
      <c r="AJ39" s="491"/>
      <c r="AK39" s="19"/>
      <c r="AL39" s="19"/>
      <c r="AM39" s="19"/>
      <c r="AN39" s="19"/>
      <c r="AO39" s="19"/>
      <c r="AP39" s="491"/>
      <c r="AQ39" s="491"/>
      <c r="AR39" s="491"/>
      <c r="AS39" s="491"/>
      <c r="AT39" s="491"/>
      <c r="AU39" s="19"/>
      <c r="AV39" s="19"/>
      <c r="AW39" s="19"/>
      <c r="AX39" s="19"/>
      <c r="AY39" s="19"/>
      <c r="AZ39" s="15"/>
      <c r="BC39" s="958" t="s">
        <v>511</v>
      </c>
    </row>
    <row r="40" spans="1:55" s="170" customFormat="1" ht="16.7" hidden="1" customHeight="1">
      <c r="E40" s="676">
        <v>17.100000000000001</v>
      </c>
      <c r="F40" s="779" cm="1">
        <f t="array" aca="1" ref="F40" ca="1">OFFSET(G40,-1,-1)</f>
        <v>0</v>
      </c>
      <c r="U40" s="687" t="b" cm="1">
        <f t="array" ref="U40">U39</f>
        <v>0</v>
      </c>
      <c r="Y40" s="1724"/>
      <c r="Z40" s="1724"/>
      <c r="AB40" s="486" t="str">
        <f>AB38&amp;".2"</f>
        <v>2.1.3.2</v>
      </c>
      <c r="AC40" s="606" t="s">
        <v>500</v>
      </c>
      <c r="AD40" s="124" t="s">
        <v>501</v>
      </c>
      <c r="AE40" s="17"/>
      <c r="AF40" s="492"/>
      <c r="AG40" s="492"/>
      <c r="AH40" s="492"/>
      <c r="AI40" s="492"/>
      <c r="AJ40" s="492"/>
      <c r="AK40" s="20"/>
      <c r="AL40" s="20"/>
      <c r="AM40" s="20"/>
      <c r="AN40" s="20"/>
      <c r="AO40" s="20"/>
      <c r="AP40" s="492"/>
      <c r="AQ40" s="492"/>
      <c r="AR40" s="492"/>
      <c r="AS40" s="492"/>
      <c r="AT40" s="492"/>
      <c r="AU40" s="20"/>
      <c r="AV40" s="20"/>
      <c r="AW40" s="20"/>
      <c r="AX40" s="20"/>
      <c r="AY40" s="20"/>
      <c r="AZ40" s="15"/>
      <c r="BC40" s="958" t="s">
        <v>512</v>
      </c>
    </row>
    <row r="41" spans="1:55" s="170" customFormat="1" ht="16.7" hidden="1" customHeight="1">
      <c r="E41" s="676">
        <v>17.100000000000001</v>
      </c>
      <c r="F41" s="779" cm="1">
        <f t="array" aca="1" ref="F41" ca="1">OFFSET(G41,-1,-1)</f>
        <v>0</v>
      </c>
      <c r="H41" s="163" t="s">
        <v>479</v>
      </c>
      <c r="I41" s="163" t="str">
        <f>AC41&amp;"::"&amp;AD41</f>
        <v>Четырехтрубные::УЕ</v>
      </c>
      <c r="U41" s="687" t="b" cm="1">
        <f t="array" ref="U41">U40</f>
        <v>0</v>
      </c>
      <c r="Y41" s="1724"/>
      <c r="Z41" s="1724"/>
      <c r="AB41" s="235" t="s">
        <v>513</v>
      </c>
      <c r="AC41" s="607" t="s">
        <v>514</v>
      </c>
      <c r="AD41" s="235" t="s">
        <v>481</v>
      </c>
      <c r="AE41" s="17">
        <f t="shared" ref="AE41:AY41" si="7">1.5*(11*AE43+MAX(0.06*AE43*(AE42-100),0))</f>
        <v>0</v>
      </c>
      <c r="AF41" s="610">
        <f t="shared" si="7"/>
        <v>0</v>
      </c>
      <c r="AG41" s="162">
        <f t="shared" si="7"/>
        <v>0</v>
      </c>
      <c r="AH41" s="162">
        <f t="shared" si="7"/>
        <v>0</v>
      </c>
      <c r="AI41" s="162">
        <f t="shared" si="7"/>
        <v>0</v>
      </c>
      <c r="AJ41" s="162">
        <f t="shared" si="7"/>
        <v>0</v>
      </c>
      <c r="AK41" s="14">
        <f t="shared" si="7"/>
        <v>0</v>
      </c>
      <c r="AL41" s="14">
        <f t="shared" si="7"/>
        <v>0</v>
      </c>
      <c r="AM41" s="14">
        <f t="shared" si="7"/>
        <v>0</v>
      </c>
      <c r="AN41" s="14">
        <f t="shared" si="7"/>
        <v>0</v>
      </c>
      <c r="AO41" s="14">
        <f t="shared" si="7"/>
        <v>0</v>
      </c>
      <c r="AP41" s="162">
        <f t="shared" si="7"/>
        <v>0</v>
      </c>
      <c r="AQ41" s="162">
        <f t="shared" si="7"/>
        <v>0</v>
      </c>
      <c r="AR41" s="162">
        <f t="shared" si="7"/>
        <v>0</v>
      </c>
      <c r="AS41" s="162">
        <f t="shared" si="7"/>
        <v>0</v>
      </c>
      <c r="AT41" s="162">
        <f t="shared" si="7"/>
        <v>0</v>
      </c>
      <c r="AU41" s="14">
        <f t="shared" si="7"/>
        <v>0</v>
      </c>
      <c r="AV41" s="14">
        <f t="shared" si="7"/>
        <v>0</v>
      </c>
      <c r="AW41" s="14">
        <f t="shared" si="7"/>
        <v>0</v>
      </c>
      <c r="AX41" s="14">
        <f t="shared" si="7"/>
        <v>0</v>
      </c>
      <c r="AY41" s="14">
        <f t="shared" si="7"/>
        <v>0</v>
      </c>
      <c r="AZ41" s="15"/>
      <c r="BC41" s="958" t="s">
        <v>515</v>
      </c>
    </row>
    <row r="42" spans="1:55" s="170" customFormat="1" ht="16.7" hidden="1" customHeight="1">
      <c r="E42" s="676">
        <v>17.100000000000001</v>
      </c>
      <c r="F42" s="779" cm="1">
        <f t="array" aca="1" ref="F42" ca="1">OFFSET(G42,-1,-1)</f>
        <v>0</v>
      </c>
      <c r="U42" s="687" t="b" cm="1">
        <f t="array" ref="U42">U41</f>
        <v>0</v>
      </c>
      <c r="Y42" s="1724"/>
      <c r="Z42" s="1724"/>
      <c r="AB42" s="486" t="str">
        <f>AB41&amp;".1"</f>
        <v>2.1.4.1</v>
      </c>
      <c r="AC42" s="606" t="s">
        <v>497</v>
      </c>
      <c r="AD42" s="124" t="s">
        <v>498</v>
      </c>
      <c r="AE42" s="17"/>
      <c r="AF42" s="492"/>
      <c r="AG42" s="492"/>
      <c r="AH42" s="492"/>
      <c r="AI42" s="492"/>
      <c r="AJ42" s="492"/>
      <c r="AK42" s="20"/>
      <c r="AL42" s="20"/>
      <c r="AM42" s="20"/>
      <c r="AN42" s="20"/>
      <c r="AO42" s="20"/>
      <c r="AP42" s="492"/>
      <c r="AQ42" s="492"/>
      <c r="AR42" s="492"/>
      <c r="AS42" s="492"/>
      <c r="AT42" s="492"/>
      <c r="AU42" s="20"/>
      <c r="AV42" s="20"/>
      <c r="AW42" s="20"/>
      <c r="AX42" s="20"/>
      <c r="AY42" s="20"/>
      <c r="AZ42" s="15"/>
      <c r="BC42" s="958" t="s">
        <v>516</v>
      </c>
    </row>
    <row r="43" spans="1:55" s="170" customFormat="1" ht="16.7" hidden="1" customHeight="1">
      <c r="E43" s="676">
        <v>17.100000000000001</v>
      </c>
      <c r="F43" s="779" cm="1">
        <f t="array" aca="1" ref="F43" ca="1">OFFSET(G43,-1,-1)</f>
        <v>0</v>
      </c>
      <c r="U43" s="687" t="b" cm="1">
        <f t="array" ref="U43">U42</f>
        <v>0</v>
      </c>
      <c r="Y43" s="1724"/>
      <c r="Z43" s="1724"/>
      <c r="AB43" s="486" t="str">
        <f>AB41&amp;".2"</f>
        <v>2.1.4.2</v>
      </c>
      <c r="AC43" s="606" t="s">
        <v>500</v>
      </c>
      <c r="AD43" s="124" t="s">
        <v>501</v>
      </c>
      <c r="AE43" s="17"/>
      <c r="AF43" s="492"/>
      <c r="AG43" s="492"/>
      <c r="AH43" s="492"/>
      <c r="AI43" s="492"/>
      <c r="AJ43" s="492"/>
      <c r="AK43" s="20"/>
      <c r="AL43" s="20"/>
      <c r="AM43" s="20"/>
      <c r="AN43" s="20"/>
      <c r="AO43" s="20"/>
      <c r="AP43" s="492"/>
      <c r="AQ43" s="492"/>
      <c r="AR43" s="492"/>
      <c r="AS43" s="492"/>
      <c r="AT43" s="492"/>
      <c r="AU43" s="20"/>
      <c r="AV43" s="20"/>
      <c r="AW43" s="20"/>
      <c r="AX43" s="20"/>
      <c r="AY43" s="20"/>
      <c r="AZ43" s="15"/>
      <c r="BC43" s="958" t="s">
        <v>517</v>
      </c>
    </row>
    <row r="44" spans="1:55" s="170" customFormat="1" ht="30" hidden="1" customHeight="1">
      <c r="E44" s="676">
        <v>30.8</v>
      </c>
      <c r="F44" s="779" cm="1">
        <f t="array" aca="1" ref="F44" ca="1">OFFSET(G44,-1,-1)</f>
        <v>0</v>
      </c>
      <c r="U44" s="687" t="b" cm="1">
        <f t="array" ref="U44">U43</f>
        <v>0</v>
      </c>
      <c r="Y44" s="1724"/>
      <c r="Z44" s="1724"/>
      <c r="AB44" s="481" t="s">
        <v>518</v>
      </c>
      <c r="AC44" s="608" t="s">
        <v>519</v>
      </c>
      <c r="AD44" s="124" t="s">
        <v>520</v>
      </c>
      <c r="AE44" s="17"/>
      <c r="AF44" s="492"/>
      <c r="AG44" s="230"/>
      <c r="AH44" s="230"/>
      <c r="AI44" s="230"/>
      <c r="AJ44" s="230"/>
      <c r="AK44" s="17"/>
      <c r="AL44" s="17"/>
      <c r="AM44" s="17"/>
      <c r="AN44" s="17"/>
      <c r="AO44" s="17"/>
      <c r="AP44" s="230"/>
      <c r="AQ44" s="230"/>
      <c r="AR44" s="230"/>
      <c r="AS44" s="230"/>
      <c r="AT44" s="230"/>
      <c r="AU44" s="17"/>
      <c r="AV44" s="17"/>
      <c r="AW44" s="17"/>
      <c r="AX44" s="17"/>
      <c r="AY44" s="17"/>
      <c r="AZ44" s="15"/>
      <c r="BC44" s="958" t="s">
        <v>521</v>
      </c>
    </row>
    <row r="45" spans="1:55" s="170" customFormat="1" ht="38.85" hidden="1" customHeight="1">
      <c r="E45" s="676">
        <v>39.799999999999997</v>
      </c>
      <c r="F45" s="779" cm="1">
        <f t="array" aca="1" ref="F45" ca="1">OFFSET(G45,-1,-1)</f>
        <v>0</v>
      </c>
      <c r="U45" s="687" t="b" cm="1">
        <f t="array" ref="U45">U44</f>
        <v>0</v>
      </c>
      <c r="Y45" s="1724"/>
      <c r="Z45" s="1724"/>
      <c r="AB45" s="482" t="s">
        <v>522</v>
      </c>
      <c r="AC45" s="609" t="s">
        <v>523</v>
      </c>
      <c r="AD45" s="124" t="s">
        <v>524</v>
      </c>
      <c r="AE45" s="17"/>
      <c r="AF45" s="492"/>
      <c r="AG45" s="230"/>
      <c r="AH45" s="230"/>
      <c r="AI45" s="230"/>
      <c r="AJ45" s="230"/>
      <c r="AK45" s="17"/>
      <c r="AL45" s="17"/>
      <c r="AM45" s="17"/>
      <c r="AN45" s="17"/>
      <c r="AO45" s="17"/>
      <c r="AP45" s="230"/>
      <c r="AQ45" s="230"/>
      <c r="AR45" s="230"/>
      <c r="AS45" s="230"/>
      <c r="AT45" s="230"/>
      <c r="AU45" s="17"/>
      <c r="AV45" s="17"/>
      <c r="AW45" s="17"/>
      <c r="AX45" s="17"/>
      <c r="AY45" s="17"/>
      <c r="AZ45" s="15"/>
      <c r="BC45" s="958" t="s">
        <v>525</v>
      </c>
    </row>
    <row r="46" spans="1:55" s="170" customFormat="1" ht="48.2" hidden="1" customHeight="1">
      <c r="E46" s="676">
        <v>49.5</v>
      </c>
      <c r="F46" s="779" cm="1">
        <f t="array" aca="1" ref="F46" ca="1">OFFSET(G46,-1,-1)</f>
        <v>0</v>
      </c>
      <c r="H46" s="163" t="s">
        <v>479</v>
      </c>
      <c r="I46" s="16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7" t="b" cm="1">
        <f t="array" ref="U46">U45</f>
        <v>0</v>
      </c>
      <c r="Y46" s="1724"/>
      <c r="Z46" s="1724"/>
      <c r="AB46" s="482" t="s">
        <v>526</v>
      </c>
      <c r="AC46" s="115" t="s">
        <v>527</v>
      </c>
      <c r="AD46" s="468" t="s">
        <v>486</v>
      </c>
      <c r="AE46" s="21"/>
      <c r="AF46" s="230"/>
      <c r="AG46" s="230"/>
      <c r="AH46" s="230"/>
      <c r="AI46" s="230"/>
      <c r="AJ46" s="230"/>
      <c r="AK46" s="17"/>
      <c r="AL46" s="17"/>
      <c r="AM46" s="17"/>
      <c r="AN46" s="17"/>
      <c r="AO46" s="17"/>
      <c r="AP46" s="230"/>
      <c r="AQ46" s="230"/>
      <c r="AR46" s="230"/>
      <c r="AS46" s="230"/>
      <c r="AT46" s="230"/>
      <c r="AU46" s="17"/>
      <c r="AV46" s="17"/>
      <c r="AW46" s="17"/>
      <c r="AX46" s="17"/>
      <c r="AY46" s="17"/>
      <c r="AZ46" s="15"/>
      <c r="BC46" s="958" t="s">
        <v>528</v>
      </c>
    </row>
    <row r="47" spans="1:55" s="1238" customFormat="1" ht="10.5" customHeight="1">
      <c r="A47" s="170"/>
      <c r="B47" s="170"/>
      <c r="C47" s="170"/>
      <c r="D47" s="170"/>
      <c r="E47" s="676">
        <v>11.4</v>
      </c>
      <c r="F47" s="779" t="str" cm="1">
        <f t="array" ref="F47">Y47</f>
        <v>1</v>
      </c>
      <c r="G47" s="170"/>
      <c r="H47" s="170"/>
      <c r="I47" s="170"/>
      <c r="J47" s="170"/>
      <c r="K47" s="170"/>
      <c r="L47" s="170"/>
      <c r="M47" s="170"/>
      <c r="N47" s="170"/>
      <c r="O47" s="170"/>
      <c r="P47" s="170"/>
      <c r="Q47" s="170"/>
      <c r="R47" s="170"/>
      <c r="S47" s="170"/>
      <c r="T47" s="170"/>
      <c r="U47" s="687" t="b">
        <f>Y47&gt;0</f>
        <v>1</v>
      </c>
      <c r="V47" s="170"/>
      <c r="W47" s="126" t="str" cm="1">
        <f t="array" ref="W47">'Список объектов'!$AB$30</f>
        <v>Тариф 1 (Теплоснабжение) - Тариф на тепловую энергию (мощность), поставляемую потребителям (Не определено)</v>
      </c>
      <c r="X47" s="170"/>
      <c r="Y47" s="1726" t="s">
        <v>341</v>
      </c>
      <c r="Z47" s="1724"/>
      <c r="AA47" s="170"/>
      <c r="AB47" s="276"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7"/>
      <c r="AD47" s="48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170"/>
      <c r="BB47" s="170"/>
      <c r="BC47" s="958"/>
    </row>
    <row r="48" spans="1:55" s="1239" customFormat="1" ht="16.5" customHeight="1">
      <c r="A48" s="170"/>
      <c r="B48" s="170"/>
      <c r="C48" s="170"/>
      <c r="D48" s="170"/>
      <c r="E48" s="676">
        <v>17.100000000000001</v>
      </c>
      <c r="F48" s="779" t="str" cm="1">
        <f t="array" aca="1" ref="F48" ca="1">OFFSET(G48,-1,-1)</f>
        <v>1</v>
      </c>
      <c r="G48" s="620" t="s">
        <v>478</v>
      </c>
      <c r="H48" s="163" t="s">
        <v>479</v>
      </c>
      <c r="I48" s="163" t="str">
        <f>AC48&amp;"::"&amp;AD48</f>
        <v>Количество условных единиц для производства::УЕ</v>
      </c>
      <c r="J48" s="170"/>
      <c r="K48" s="170"/>
      <c r="L48" s="170"/>
      <c r="M48" s="170"/>
      <c r="N48" s="170"/>
      <c r="O48" s="170"/>
      <c r="P48" s="170"/>
      <c r="Q48" s="170"/>
      <c r="R48" s="170"/>
      <c r="S48" s="170"/>
      <c r="T48" s="170"/>
      <c r="U48" s="687" t="b" cm="1">
        <f t="array" ref="U48">U47</f>
        <v>1</v>
      </c>
      <c r="V48" s="170"/>
      <c r="W48" s="170"/>
      <c r="X48" s="170"/>
      <c r="Y48" s="1724"/>
      <c r="Z48" s="1724"/>
      <c r="AA48" s="170"/>
      <c r="AB48" s="429">
        <v>1</v>
      </c>
      <c r="AC48" s="503" t="s">
        <v>480</v>
      </c>
      <c r="AD48" s="412" t="s">
        <v>481</v>
      </c>
      <c r="AE48" s="1240" cm="1">
        <f t="array" ref="AE48">AE49</f>
        <v>102.69</v>
      </c>
      <c r="AF48" s="162" cm="1">
        <f t="array" ref="AF48">AF49</f>
        <v>0</v>
      </c>
      <c r="AG48" s="162" cm="1">
        <f t="array" ref="AG48">AG49</f>
        <v>0</v>
      </c>
      <c r="AH48" s="162" cm="1">
        <f t="array" ref="AH48">AH49</f>
        <v>0</v>
      </c>
      <c r="AI48" s="162" cm="1">
        <f t="array" ref="AI48">AI49</f>
        <v>0</v>
      </c>
      <c r="AJ48" s="162" cm="1">
        <f t="array" ref="AJ48">AJ49</f>
        <v>0</v>
      </c>
      <c r="AK48" s="1240" cm="1">
        <f t="array" ref="AK48">AK49</f>
        <v>0</v>
      </c>
      <c r="AL48" s="1240" cm="1">
        <f t="array" ref="AL48">AL49</f>
        <v>0</v>
      </c>
      <c r="AM48" s="1240" cm="1">
        <f t="array" ref="AM48">AM49</f>
        <v>0</v>
      </c>
      <c r="AN48" s="1240" cm="1">
        <f t="array" ref="AN48">AN49</f>
        <v>0</v>
      </c>
      <c r="AO48" s="1240" cm="1">
        <f t="array" ref="AO48">AO49</f>
        <v>0</v>
      </c>
      <c r="AP48" s="162" cm="1">
        <f t="array" ref="AP48">AP49</f>
        <v>103.42</v>
      </c>
      <c r="AQ48" s="162" cm="1">
        <f t="array" ref="AQ48">AQ49</f>
        <v>0</v>
      </c>
      <c r="AR48" s="162" cm="1">
        <f t="array" ref="AR48">AR49</f>
        <v>0</v>
      </c>
      <c r="AS48" s="162" cm="1">
        <f t="array" ref="AS48">AS49</f>
        <v>0</v>
      </c>
      <c r="AT48" s="162" cm="1">
        <f t="array" ref="AT48">AT49</f>
        <v>0</v>
      </c>
      <c r="AU48" s="1240" cm="1">
        <f t="array" ref="AU48">AU49</f>
        <v>0</v>
      </c>
      <c r="AV48" s="1240" cm="1">
        <f t="array" ref="AV48">AV49</f>
        <v>0</v>
      </c>
      <c r="AW48" s="1240" cm="1">
        <f t="array" ref="AW48">AW49</f>
        <v>0</v>
      </c>
      <c r="AX48" s="1240" cm="1">
        <f t="array" ref="AX48">AX49</f>
        <v>0</v>
      </c>
      <c r="AY48" s="1240" cm="1">
        <f t="array" ref="AY48">AY49</f>
        <v>0</v>
      </c>
      <c r="AZ48" s="1241"/>
      <c r="BA48" s="170"/>
      <c r="BB48" s="170"/>
      <c r="BC48" s="958" t="s">
        <v>482</v>
      </c>
    </row>
    <row r="49" spans="1:55" s="1242" customFormat="1" ht="16.5" customHeight="1">
      <c r="A49" s="170"/>
      <c r="B49" s="170"/>
      <c r="C49" s="170"/>
      <c r="D49" s="170"/>
      <c r="E49" s="676">
        <v>17.100000000000001</v>
      </c>
      <c r="F49" s="779" t="str" cm="1">
        <f t="array" aca="1" ref="F49" ca="1">OFFSET(G49,-1,-1)</f>
        <v>1</v>
      </c>
      <c r="G49" s="620" t="s">
        <v>483</v>
      </c>
      <c r="H49" s="163" t="s">
        <v>479</v>
      </c>
      <c r="I49" s="163" t="str">
        <f>AC49&amp;"::"&amp;AD49</f>
        <v>Установленная тепловая мощность::Гкал/час</v>
      </c>
      <c r="J49" s="170"/>
      <c r="K49" s="170"/>
      <c r="L49" s="170"/>
      <c r="M49" s="170"/>
      <c r="N49" s="170"/>
      <c r="O49" s="170"/>
      <c r="P49" s="170"/>
      <c r="Q49" s="170"/>
      <c r="R49" s="170"/>
      <c r="S49" s="170"/>
      <c r="T49" s="170"/>
      <c r="U49" s="687" t="b" cm="1">
        <f t="array" ref="U49">U48</f>
        <v>1</v>
      </c>
      <c r="V49" s="170"/>
      <c r="W49" s="170"/>
      <c r="X49" s="170"/>
      <c r="Y49" s="1724"/>
      <c r="Z49" s="1724"/>
      <c r="AA49" s="170"/>
      <c r="AB49" s="412" t="s">
        <v>484</v>
      </c>
      <c r="AC49" s="428" t="s">
        <v>485</v>
      </c>
      <c r="AD49" s="412" t="s">
        <v>486</v>
      </c>
      <c r="AE49" s="1240">
        <v>102.69</v>
      </c>
      <c r="AF49" s="162"/>
      <c r="AG49" s="162"/>
      <c r="AH49" s="162"/>
      <c r="AI49" s="162"/>
      <c r="AJ49" s="162"/>
      <c r="AK49" s="1240"/>
      <c r="AL49" s="1240"/>
      <c r="AM49" s="1240"/>
      <c r="AN49" s="1240"/>
      <c r="AO49" s="1240"/>
      <c r="AP49" s="162">
        <v>103.42</v>
      </c>
      <c r="AQ49" s="162"/>
      <c r="AR49" s="162"/>
      <c r="AS49" s="162"/>
      <c r="AT49" s="162"/>
      <c r="AU49" s="1240"/>
      <c r="AV49" s="1240"/>
      <c r="AW49" s="1240"/>
      <c r="AX49" s="1240"/>
      <c r="AY49" s="1240"/>
      <c r="AZ49" s="1241"/>
      <c r="BA49" s="170"/>
      <c r="BB49" s="170"/>
      <c r="BC49" s="958" t="s">
        <v>487</v>
      </c>
    </row>
    <row r="50" spans="1:55" s="1243" customFormat="1" ht="16.5" customHeight="1">
      <c r="A50" s="170"/>
      <c r="B50" s="170"/>
      <c r="C50" s="170"/>
      <c r="D50" s="170"/>
      <c r="E50" s="676">
        <v>17.100000000000001</v>
      </c>
      <c r="F50" s="779" t="str" cm="1">
        <f t="array" aca="1" ref="F50" ca="1">OFFSET(G50,-1,-1)</f>
        <v>1</v>
      </c>
      <c r="G50" s="620" t="s">
        <v>488</v>
      </c>
      <c r="H50" s="170"/>
      <c r="I50" s="170"/>
      <c r="J50" s="170"/>
      <c r="K50" s="170"/>
      <c r="L50" s="170"/>
      <c r="M50" s="170"/>
      <c r="N50" s="170"/>
      <c r="O50" s="170"/>
      <c r="P50" s="170"/>
      <c r="Q50" s="170"/>
      <c r="R50" s="170"/>
      <c r="S50" s="170"/>
      <c r="T50" s="170"/>
      <c r="U50" s="687" t="b" cm="1">
        <f t="array" ref="U50">U49</f>
        <v>1</v>
      </c>
      <c r="V50" s="170"/>
      <c r="W50" s="170"/>
      <c r="X50" s="170"/>
      <c r="Y50" s="1724"/>
      <c r="Z50" s="1724"/>
      <c r="AA50" s="170"/>
      <c r="AB50" s="475" t="s">
        <v>348</v>
      </c>
      <c r="AC50" s="504" t="s">
        <v>489</v>
      </c>
      <c r="AD50" s="412" t="s">
        <v>481</v>
      </c>
      <c r="AE50" s="1240">
        <v>550.96</v>
      </c>
      <c r="AF50" s="162">
        <f t="shared" ref="AF50:AO50" si="8">AF51+5*AF64+25*AF65+0.5*AF66</f>
        <v>0</v>
      </c>
      <c r="AG50" s="162">
        <f t="shared" si="8"/>
        <v>0</v>
      </c>
      <c r="AH50" s="162">
        <f t="shared" si="8"/>
        <v>0</v>
      </c>
      <c r="AI50" s="162">
        <f t="shared" si="8"/>
        <v>0</v>
      </c>
      <c r="AJ50" s="162">
        <f t="shared" si="8"/>
        <v>0</v>
      </c>
      <c r="AK50" s="1240">
        <f t="shared" si="8"/>
        <v>0</v>
      </c>
      <c r="AL50" s="1240">
        <f t="shared" si="8"/>
        <v>0</v>
      </c>
      <c r="AM50" s="1240">
        <f t="shared" si="8"/>
        <v>0</v>
      </c>
      <c r="AN50" s="1240">
        <f t="shared" si="8"/>
        <v>0</v>
      </c>
      <c r="AO50" s="1240">
        <f t="shared" si="8"/>
        <v>0</v>
      </c>
      <c r="AP50" s="162">
        <v>553.44000000000005</v>
      </c>
      <c r="AQ50" s="162">
        <f t="shared" ref="AQ50:AY50" si="9">AQ51+5*AQ64+25*AQ65+0.5*AQ66</f>
        <v>0</v>
      </c>
      <c r="AR50" s="162">
        <f t="shared" si="9"/>
        <v>0</v>
      </c>
      <c r="AS50" s="162">
        <f t="shared" si="9"/>
        <v>0</v>
      </c>
      <c r="AT50" s="162">
        <f t="shared" si="9"/>
        <v>0</v>
      </c>
      <c r="AU50" s="1240">
        <f t="shared" si="9"/>
        <v>0</v>
      </c>
      <c r="AV50" s="1240">
        <f t="shared" si="9"/>
        <v>0</v>
      </c>
      <c r="AW50" s="1240">
        <f t="shared" si="9"/>
        <v>0</v>
      </c>
      <c r="AX50" s="1240">
        <f t="shared" si="9"/>
        <v>0</v>
      </c>
      <c r="AY50" s="1240">
        <f t="shared" si="9"/>
        <v>0</v>
      </c>
      <c r="AZ50" s="1241"/>
      <c r="BA50" s="170"/>
      <c r="BB50" s="170"/>
      <c r="BC50" s="958" t="s">
        <v>490</v>
      </c>
    </row>
    <row r="51" spans="1:55" s="1244" customFormat="1" ht="16.5" customHeight="1">
      <c r="A51" s="170"/>
      <c r="B51" s="170"/>
      <c r="C51" s="170"/>
      <c r="D51" s="170"/>
      <c r="E51" s="676">
        <v>17.100000000000001</v>
      </c>
      <c r="F51" s="779" t="str" cm="1">
        <f t="array" aca="1" ref="F51" ca="1">OFFSET(G51,-1,-1)</f>
        <v>1</v>
      </c>
      <c r="G51" s="170"/>
      <c r="H51" s="170"/>
      <c r="I51" s="170"/>
      <c r="J51" s="170"/>
      <c r="K51" s="170"/>
      <c r="L51" s="170"/>
      <c r="M51" s="170"/>
      <c r="N51" s="170"/>
      <c r="O51" s="170"/>
      <c r="P51" s="170"/>
      <c r="Q51" s="170"/>
      <c r="R51" s="170"/>
      <c r="S51" s="170"/>
      <c r="T51" s="170"/>
      <c r="U51" s="687" t="b" cm="1">
        <f t="array" ref="U51">U50</f>
        <v>1</v>
      </c>
      <c r="V51" s="170"/>
      <c r="W51" s="170"/>
      <c r="X51" s="170"/>
      <c r="Y51" s="1724"/>
      <c r="Z51" s="1724"/>
      <c r="AA51" s="170"/>
      <c r="AB51" s="424" t="s">
        <v>491</v>
      </c>
      <c r="AC51" s="480" t="s">
        <v>492</v>
      </c>
      <c r="AD51" s="412" t="s">
        <v>481</v>
      </c>
      <c r="AE51" s="216">
        <f t="shared" ref="AE51:AY51" si="10">AE52+AE55+AE58+AE61</f>
        <v>0</v>
      </c>
      <c r="AF51" s="216">
        <f t="shared" si="10"/>
        <v>0</v>
      </c>
      <c r="AG51" s="216">
        <f t="shared" si="10"/>
        <v>0</v>
      </c>
      <c r="AH51" s="216">
        <f t="shared" si="10"/>
        <v>0</v>
      </c>
      <c r="AI51" s="216">
        <f t="shared" si="10"/>
        <v>0</v>
      </c>
      <c r="AJ51" s="216">
        <f t="shared" si="10"/>
        <v>0</v>
      </c>
      <c r="AK51" s="216">
        <f t="shared" si="10"/>
        <v>0</v>
      </c>
      <c r="AL51" s="216">
        <f t="shared" si="10"/>
        <v>0</v>
      </c>
      <c r="AM51" s="216">
        <f t="shared" si="10"/>
        <v>0</v>
      </c>
      <c r="AN51" s="216">
        <f t="shared" si="10"/>
        <v>0</v>
      </c>
      <c r="AO51" s="216">
        <f t="shared" si="10"/>
        <v>0</v>
      </c>
      <c r="AP51" s="216">
        <f t="shared" si="10"/>
        <v>0</v>
      </c>
      <c r="AQ51" s="216">
        <f t="shared" si="10"/>
        <v>0</v>
      </c>
      <c r="AR51" s="216">
        <f t="shared" si="10"/>
        <v>0</v>
      </c>
      <c r="AS51" s="216">
        <f t="shared" si="10"/>
        <v>0</v>
      </c>
      <c r="AT51" s="216">
        <f t="shared" si="10"/>
        <v>0</v>
      </c>
      <c r="AU51" s="216">
        <f t="shared" si="10"/>
        <v>0</v>
      </c>
      <c r="AV51" s="216">
        <f t="shared" si="10"/>
        <v>0</v>
      </c>
      <c r="AW51" s="216">
        <f t="shared" si="10"/>
        <v>0</v>
      </c>
      <c r="AX51" s="216">
        <f t="shared" si="10"/>
        <v>0</v>
      </c>
      <c r="AY51" s="216">
        <f t="shared" si="10"/>
        <v>0</v>
      </c>
      <c r="AZ51" s="1241"/>
      <c r="BA51" s="170"/>
      <c r="BB51" s="170"/>
      <c r="BC51" s="958" t="s">
        <v>493</v>
      </c>
    </row>
    <row r="52" spans="1:55" s="1245" customFormat="1" ht="16.5" customHeight="1">
      <c r="A52" s="170"/>
      <c r="B52" s="170"/>
      <c r="C52" s="170"/>
      <c r="D52" s="170"/>
      <c r="E52" s="676">
        <v>17.100000000000001</v>
      </c>
      <c r="F52" s="779" t="str" cm="1">
        <f t="array" aca="1" ref="F52" ca="1">OFFSET(G52,-1,-1)</f>
        <v>1</v>
      </c>
      <c r="G52" s="170"/>
      <c r="H52" s="170"/>
      <c r="I52" s="170"/>
      <c r="J52" s="170"/>
      <c r="K52" s="170"/>
      <c r="L52" s="170"/>
      <c r="M52" s="170"/>
      <c r="N52" s="170"/>
      <c r="O52" s="170"/>
      <c r="P52" s="170"/>
      <c r="Q52" s="170"/>
      <c r="R52" s="170"/>
      <c r="S52" s="170"/>
      <c r="T52" s="170"/>
      <c r="U52" s="687" t="b" cm="1">
        <f t="array" ref="U52">U51</f>
        <v>1</v>
      </c>
      <c r="V52" s="170"/>
      <c r="W52" s="170"/>
      <c r="X52" s="170"/>
      <c r="Y52" s="1724"/>
      <c r="Z52" s="1724"/>
      <c r="AA52" s="170"/>
      <c r="AB52" s="479" t="s">
        <v>494</v>
      </c>
      <c r="AC52" s="489" t="s">
        <v>495</v>
      </c>
      <c r="AD52" s="412" t="s">
        <v>481</v>
      </c>
      <c r="AE52" s="1240">
        <f t="shared" ref="AE52:AY52" si="11">0.75*(11*AE54+MAX(0.06*AE54*(AE53-100),0))</f>
        <v>0</v>
      </c>
      <c r="AF52" s="162">
        <f t="shared" si="11"/>
        <v>0</v>
      </c>
      <c r="AG52" s="162">
        <f t="shared" si="11"/>
        <v>0</v>
      </c>
      <c r="AH52" s="162">
        <f t="shared" si="11"/>
        <v>0</v>
      </c>
      <c r="AI52" s="162">
        <f t="shared" si="11"/>
        <v>0</v>
      </c>
      <c r="AJ52" s="162">
        <f t="shared" si="11"/>
        <v>0</v>
      </c>
      <c r="AK52" s="1240">
        <f t="shared" si="11"/>
        <v>0</v>
      </c>
      <c r="AL52" s="1240">
        <f t="shared" si="11"/>
        <v>0</v>
      </c>
      <c r="AM52" s="1240">
        <f t="shared" si="11"/>
        <v>0</v>
      </c>
      <c r="AN52" s="1240">
        <f t="shared" si="11"/>
        <v>0</v>
      </c>
      <c r="AO52" s="1240">
        <f t="shared" si="11"/>
        <v>0</v>
      </c>
      <c r="AP52" s="162">
        <f t="shared" si="11"/>
        <v>0</v>
      </c>
      <c r="AQ52" s="162">
        <f t="shared" si="11"/>
        <v>0</v>
      </c>
      <c r="AR52" s="162">
        <f t="shared" si="11"/>
        <v>0</v>
      </c>
      <c r="AS52" s="162">
        <f t="shared" si="11"/>
        <v>0</v>
      </c>
      <c r="AT52" s="162">
        <f t="shared" si="11"/>
        <v>0</v>
      </c>
      <c r="AU52" s="1240">
        <f t="shared" si="11"/>
        <v>0</v>
      </c>
      <c r="AV52" s="1240">
        <f t="shared" si="11"/>
        <v>0</v>
      </c>
      <c r="AW52" s="1240">
        <f t="shared" si="11"/>
        <v>0</v>
      </c>
      <c r="AX52" s="1240">
        <f t="shared" si="11"/>
        <v>0</v>
      </c>
      <c r="AY52" s="1240">
        <f t="shared" si="11"/>
        <v>0</v>
      </c>
      <c r="AZ52" s="1241"/>
      <c r="BA52" s="170"/>
      <c r="BB52" s="170"/>
      <c r="BC52" s="958" t="s">
        <v>496</v>
      </c>
    </row>
    <row r="53" spans="1:55" s="1246" customFormat="1" ht="16.5" customHeight="1">
      <c r="A53" s="170"/>
      <c r="B53" s="170"/>
      <c r="C53" s="170"/>
      <c r="D53" s="170"/>
      <c r="E53" s="676">
        <v>17.100000000000001</v>
      </c>
      <c r="F53" s="779" t="str" cm="1">
        <f t="array" aca="1" ref="F53" ca="1">OFFSET(G53,-1,-1)</f>
        <v>1</v>
      </c>
      <c r="G53" s="170"/>
      <c r="H53" s="170"/>
      <c r="I53" s="170"/>
      <c r="J53" s="170"/>
      <c r="K53" s="170"/>
      <c r="L53" s="170"/>
      <c r="M53" s="170"/>
      <c r="N53" s="170"/>
      <c r="O53" s="170"/>
      <c r="P53" s="170"/>
      <c r="Q53" s="170"/>
      <c r="R53" s="170"/>
      <c r="S53" s="170"/>
      <c r="T53" s="170"/>
      <c r="U53" s="687" t="b" cm="1">
        <f t="array" ref="U53">U52</f>
        <v>1</v>
      </c>
      <c r="V53" s="170"/>
      <c r="W53" s="170"/>
      <c r="X53" s="170"/>
      <c r="Y53" s="1724"/>
      <c r="Z53" s="1724"/>
      <c r="AA53" s="170"/>
      <c r="AB53" s="486" t="str">
        <f>AB52&amp;".1"</f>
        <v>2.1.1.1</v>
      </c>
      <c r="AC53" s="488" t="s">
        <v>497</v>
      </c>
      <c r="AD53" s="124" t="s">
        <v>498</v>
      </c>
      <c r="AE53" s="1247"/>
      <c r="AF53" s="490"/>
      <c r="AG53" s="490"/>
      <c r="AH53" s="490"/>
      <c r="AI53" s="490"/>
      <c r="AJ53" s="490"/>
      <c r="AK53" s="1247"/>
      <c r="AL53" s="1247"/>
      <c r="AM53" s="1247"/>
      <c r="AN53" s="1247"/>
      <c r="AO53" s="1247"/>
      <c r="AP53" s="490"/>
      <c r="AQ53" s="490"/>
      <c r="AR53" s="490"/>
      <c r="AS53" s="490"/>
      <c r="AT53" s="490"/>
      <c r="AU53" s="1247"/>
      <c r="AV53" s="1247"/>
      <c r="AW53" s="1247"/>
      <c r="AX53" s="1247"/>
      <c r="AY53" s="1247"/>
      <c r="AZ53" s="1241"/>
      <c r="BA53" s="170"/>
      <c r="BB53" s="170"/>
      <c r="BC53" s="958" t="s">
        <v>499</v>
      </c>
    </row>
    <row r="54" spans="1:55" s="1248" customFormat="1" ht="16.5" customHeight="1">
      <c r="A54" s="170"/>
      <c r="B54" s="170"/>
      <c r="C54" s="170"/>
      <c r="D54" s="170"/>
      <c r="E54" s="676">
        <v>17.100000000000001</v>
      </c>
      <c r="F54" s="779" t="str" cm="1">
        <f t="array" aca="1" ref="F54" ca="1">OFFSET(G54,-1,-1)</f>
        <v>1</v>
      </c>
      <c r="G54" s="170"/>
      <c r="H54" s="170"/>
      <c r="I54" s="170"/>
      <c r="J54" s="170"/>
      <c r="K54" s="170"/>
      <c r="L54" s="170"/>
      <c r="M54" s="170"/>
      <c r="N54" s="170"/>
      <c r="O54" s="170"/>
      <c r="P54" s="170"/>
      <c r="Q54" s="170"/>
      <c r="R54" s="170"/>
      <c r="S54" s="170"/>
      <c r="T54" s="170"/>
      <c r="U54" s="687" t="b" cm="1">
        <f t="array" ref="U54">U53</f>
        <v>1</v>
      </c>
      <c r="V54" s="170"/>
      <c r="W54" s="170"/>
      <c r="X54" s="170"/>
      <c r="Y54" s="1724"/>
      <c r="Z54" s="1724"/>
      <c r="AA54" s="170"/>
      <c r="AB54" s="486" t="str">
        <f>AB52&amp;".2"</f>
        <v>2.1.1.2</v>
      </c>
      <c r="AC54" s="488" t="s">
        <v>500</v>
      </c>
      <c r="AD54" s="487" t="s">
        <v>501</v>
      </c>
      <c r="AE54" s="1249"/>
      <c r="AF54" s="230"/>
      <c r="AG54" s="230"/>
      <c r="AH54" s="230"/>
      <c r="AI54" s="230"/>
      <c r="AJ54" s="230"/>
      <c r="AK54" s="1249"/>
      <c r="AL54" s="1249"/>
      <c r="AM54" s="1249"/>
      <c r="AN54" s="1249"/>
      <c r="AO54" s="1249"/>
      <c r="AP54" s="230"/>
      <c r="AQ54" s="230"/>
      <c r="AR54" s="230"/>
      <c r="AS54" s="230"/>
      <c r="AT54" s="230"/>
      <c r="AU54" s="1249"/>
      <c r="AV54" s="1249"/>
      <c r="AW54" s="1249"/>
      <c r="AX54" s="1249"/>
      <c r="AY54" s="1249"/>
      <c r="AZ54" s="1241"/>
      <c r="BA54" s="170"/>
      <c r="BB54" s="170"/>
      <c r="BC54" s="958" t="s">
        <v>502</v>
      </c>
    </row>
    <row r="55" spans="1:55" s="1250" customFormat="1" ht="16.5" customHeight="1">
      <c r="A55" s="170"/>
      <c r="B55" s="170"/>
      <c r="C55" s="170"/>
      <c r="D55" s="170"/>
      <c r="E55" s="676">
        <v>17.100000000000001</v>
      </c>
      <c r="F55" s="779" t="str" cm="1">
        <f t="array" aca="1" ref="F55" ca="1">OFFSET(G55,-1,-1)</f>
        <v>1</v>
      </c>
      <c r="G55" s="170"/>
      <c r="H55" s="170"/>
      <c r="I55" s="170"/>
      <c r="J55" s="170"/>
      <c r="K55" s="170"/>
      <c r="L55" s="170"/>
      <c r="M55" s="170"/>
      <c r="N55" s="170"/>
      <c r="O55" s="170"/>
      <c r="P55" s="170"/>
      <c r="Q55" s="170"/>
      <c r="R55" s="170"/>
      <c r="S55" s="170"/>
      <c r="T55" s="170"/>
      <c r="U55" s="687" t="b" cm="1">
        <f t="array" ref="U55">U54</f>
        <v>1</v>
      </c>
      <c r="V55" s="170"/>
      <c r="W55" s="170"/>
      <c r="X55" s="170"/>
      <c r="Y55" s="1724"/>
      <c r="Z55" s="1724"/>
      <c r="AA55" s="170"/>
      <c r="AB55" s="485" t="s">
        <v>503</v>
      </c>
      <c r="AC55" s="471" t="s">
        <v>504</v>
      </c>
      <c r="AD55" s="412" t="s">
        <v>481</v>
      </c>
      <c r="AE55" s="1240">
        <f t="shared" ref="AE55:AY55" si="12">(11*AE57+MAX(0.06*AE57*(AE56-100),0))</f>
        <v>0</v>
      </c>
      <c r="AF55" s="162">
        <f t="shared" si="12"/>
        <v>0</v>
      </c>
      <c r="AG55" s="162">
        <f t="shared" si="12"/>
        <v>0</v>
      </c>
      <c r="AH55" s="162">
        <f t="shared" si="12"/>
        <v>0</v>
      </c>
      <c r="AI55" s="162">
        <f t="shared" si="12"/>
        <v>0</v>
      </c>
      <c r="AJ55" s="162">
        <f t="shared" si="12"/>
        <v>0</v>
      </c>
      <c r="AK55" s="1240">
        <f t="shared" si="12"/>
        <v>0</v>
      </c>
      <c r="AL55" s="1240">
        <f t="shared" si="12"/>
        <v>0</v>
      </c>
      <c r="AM55" s="1240">
        <f t="shared" si="12"/>
        <v>0</v>
      </c>
      <c r="AN55" s="1240">
        <f t="shared" si="12"/>
        <v>0</v>
      </c>
      <c r="AO55" s="1240">
        <f t="shared" si="12"/>
        <v>0</v>
      </c>
      <c r="AP55" s="162">
        <f t="shared" si="12"/>
        <v>0</v>
      </c>
      <c r="AQ55" s="162">
        <f t="shared" si="12"/>
        <v>0</v>
      </c>
      <c r="AR55" s="162">
        <f t="shared" si="12"/>
        <v>0</v>
      </c>
      <c r="AS55" s="162">
        <f t="shared" si="12"/>
        <v>0</v>
      </c>
      <c r="AT55" s="162">
        <f t="shared" si="12"/>
        <v>0</v>
      </c>
      <c r="AU55" s="1240">
        <f t="shared" si="12"/>
        <v>0</v>
      </c>
      <c r="AV55" s="1240">
        <f t="shared" si="12"/>
        <v>0</v>
      </c>
      <c r="AW55" s="1240">
        <f t="shared" si="12"/>
        <v>0</v>
      </c>
      <c r="AX55" s="1240">
        <f t="shared" si="12"/>
        <v>0</v>
      </c>
      <c r="AY55" s="1240">
        <f t="shared" si="12"/>
        <v>0</v>
      </c>
      <c r="AZ55" s="1241"/>
      <c r="BA55" s="170"/>
      <c r="BB55" s="170"/>
      <c r="BC55" s="958" t="s">
        <v>505</v>
      </c>
    </row>
    <row r="56" spans="1:55" s="1251" customFormat="1" ht="16.5" customHeight="1">
      <c r="A56" s="170"/>
      <c r="B56" s="170"/>
      <c r="C56" s="170"/>
      <c r="D56" s="170"/>
      <c r="E56" s="676">
        <v>17.100000000000001</v>
      </c>
      <c r="F56" s="779" t="str" cm="1">
        <f t="array" aca="1" ref="F56" ca="1">OFFSET(G56,-1,-1)</f>
        <v>1</v>
      </c>
      <c r="G56" s="170"/>
      <c r="H56" s="170"/>
      <c r="I56" s="170"/>
      <c r="J56" s="170"/>
      <c r="K56" s="170"/>
      <c r="L56" s="170"/>
      <c r="M56" s="170"/>
      <c r="N56" s="170"/>
      <c r="O56" s="170"/>
      <c r="P56" s="170"/>
      <c r="Q56" s="170"/>
      <c r="R56" s="170"/>
      <c r="S56" s="170"/>
      <c r="T56" s="170"/>
      <c r="U56" s="687" t="b" cm="1">
        <f t="array" ref="U56">U55</f>
        <v>1</v>
      </c>
      <c r="V56" s="170"/>
      <c r="W56" s="170"/>
      <c r="X56" s="170"/>
      <c r="Y56" s="1724"/>
      <c r="Z56" s="1724"/>
      <c r="AA56" s="170"/>
      <c r="AB56" s="486" t="str">
        <f>AB55&amp;".1"</f>
        <v>2.1.2.1</v>
      </c>
      <c r="AC56" s="488" t="s">
        <v>497</v>
      </c>
      <c r="AD56" s="562" t="s">
        <v>498</v>
      </c>
      <c r="AE56" s="1252"/>
      <c r="AF56" s="230"/>
      <c r="AG56" s="230"/>
      <c r="AH56" s="230"/>
      <c r="AI56" s="230"/>
      <c r="AJ56" s="230"/>
      <c r="AK56" s="1249"/>
      <c r="AL56" s="1249"/>
      <c r="AM56" s="1249"/>
      <c r="AN56" s="1249"/>
      <c r="AO56" s="1249"/>
      <c r="AP56" s="230"/>
      <c r="AQ56" s="230"/>
      <c r="AR56" s="230"/>
      <c r="AS56" s="230"/>
      <c r="AT56" s="230"/>
      <c r="AU56" s="1249"/>
      <c r="AV56" s="1249"/>
      <c r="AW56" s="1249"/>
      <c r="AX56" s="1249"/>
      <c r="AY56" s="1249"/>
      <c r="AZ56" s="1241"/>
      <c r="BA56" s="170"/>
      <c r="BB56" s="170"/>
      <c r="BC56" s="958" t="s">
        <v>506</v>
      </c>
    </row>
    <row r="57" spans="1:55" s="1253" customFormat="1" ht="16.5" customHeight="1">
      <c r="A57" s="170"/>
      <c r="B57" s="170"/>
      <c r="C57" s="170"/>
      <c r="D57" s="170"/>
      <c r="E57" s="676">
        <v>17.100000000000001</v>
      </c>
      <c r="F57" s="779" t="str" cm="1">
        <f t="array" aca="1" ref="F57" ca="1">OFFSET(G57,-1,-1)</f>
        <v>1</v>
      </c>
      <c r="G57" s="170"/>
      <c r="H57" s="170"/>
      <c r="I57" s="170"/>
      <c r="J57" s="170"/>
      <c r="K57" s="170"/>
      <c r="L57" s="170"/>
      <c r="M57" s="170"/>
      <c r="N57" s="170"/>
      <c r="O57" s="170"/>
      <c r="P57" s="170"/>
      <c r="Q57" s="170"/>
      <c r="R57" s="170"/>
      <c r="S57" s="170"/>
      <c r="T57" s="170"/>
      <c r="U57" s="687" t="b" cm="1">
        <f t="array" ref="U57">U56</f>
        <v>1</v>
      </c>
      <c r="V57" s="170"/>
      <c r="W57" s="170"/>
      <c r="X57" s="170"/>
      <c r="Y57" s="1724"/>
      <c r="Z57" s="1724"/>
      <c r="AA57" s="170"/>
      <c r="AB57" s="486" t="str">
        <f>AB55&amp;".2"</f>
        <v>2.1.2.2</v>
      </c>
      <c r="AC57" s="606" t="s">
        <v>500</v>
      </c>
      <c r="AD57" s="124" t="s">
        <v>501</v>
      </c>
      <c r="AE57" s="1249"/>
      <c r="AF57" s="492"/>
      <c r="AG57" s="230"/>
      <c r="AH57" s="230"/>
      <c r="AI57" s="230"/>
      <c r="AJ57" s="230"/>
      <c r="AK57" s="1249"/>
      <c r="AL57" s="1249"/>
      <c r="AM57" s="1249"/>
      <c r="AN57" s="1249"/>
      <c r="AO57" s="1249"/>
      <c r="AP57" s="230"/>
      <c r="AQ57" s="230"/>
      <c r="AR57" s="230"/>
      <c r="AS57" s="230"/>
      <c r="AT57" s="230"/>
      <c r="AU57" s="1249"/>
      <c r="AV57" s="1249"/>
      <c r="AW57" s="1249"/>
      <c r="AX57" s="1249"/>
      <c r="AY57" s="1249"/>
      <c r="AZ57" s="1241"/>
      <c r="BA57" s="170"/>
      <c r="BB57" s="170"/>
      <c r="BC57" s="958" t="s">
        <v>507</v>
      </c>
    </row>
    <row r="58" spans="1:55" s="1254" customFormat="1" ht="16.5" customHeight="1">
      <c r="A58" s="170"/>
      <c r="B58" s="170"/>
      <c r="C58" s="170"/>
      <c r="D58" s="170"/>
      <c r="E58" s="676">
        <v>17.100000000000001</v>
      </c>
      <c r="F58" s="779" t="str" cm="1">
        <f t="array" aca="1" ref="F58" ca="1">OFFSET(G58,-1,-1)</f>
        <v>1</v>
      </c>
      <c r="G58" s="170"/>
      <c r="H58" s="170"/>
      <c r="I58" s="170"/>
      <c r="J58" s="170"/>
      <c r="K58" s="170"/>
      <c r="L58" s="170"/>
      <c r="M58" s="170"/>
      <c r="N58" s="170"/>
      <c r="O58" s="170"/>
      <c r="P58" s="170"/>
      <c r="Q58" s="170"/>
      <c r="R58" s="170"/>
      <c r="S58" s="170"/>
      <c r="T58" s="170"/>
      <c r="U58" s="687" t="b" cm="1">
        <f t="array" ref="U58">U57</f>
        <v>1</v>
      </c>
      <c r="V58" s="170"/>
      <c r="W58" s="170"/>
      <c r="X58" s="170"/>
      <c r="Y58" s="1724"/>
      <c r="Z58" s="1724"/>
      <c r="AA58" s="170"/>
      <c r="AB58" s="235" t="s">
        <v>508</v>
      </c>
      <c r="AC58" s="607" t="s">
        <v>509</v>
      </c>
      <c r="AD58" s="235" t="s">
        <v>481</v>
      </c>
      <c r="AE58" s="1249">
        <f t="shared" ref="AE58:AY58" si="13">1.25*(11*AE60+MAX(0.06*AE60*(AE59-100),0))</f>
        <v>0</v>
      </c>
      <c r="AF58" s="610">
        <f t="shared" si="13"/>
        <v>0</v>
      </c>
      <c r="AG58" s="162">
        <f t="shared" si="13"/>
        <v>0</v>
      </c>
      <c r="AH58" s="162">
        <f t="shared" si="13"/>
        <v>0</v>
      </c>
      <c r="AI58" s="162">
        <f t="shared" si="13"/>
        <v>0</v>
      </c>
      <c r="AJ58" s="162">
        <f t="shared" si="13"/>
        <v>0</v>
      </c>
      <c r="AK58" s="1240">
        <f t="shared" si="13"/>
        <v>0</v>
      </c>
      <c r="AL58" s="1240">
        <f t="shared" si="13"/>
        <v>0</v>
      </c>
      <c r="AM58" s="1240">
        <f t="shared" si="13"/>
        <v>0</v>
      </c>
      <c r="AN58" s="1240">
        <f t="shared" si="13"/>
        <v>0</v>
      </c>
      <c r="AO58" s="1240">
        <f t="shared" si="13"/>
        <v>0</v>
      </c>
      <c r="AP58" s="162">
        <f t="shared" si="13"/>
        <v>0</v>
      </c>
      <c r="AQ58" s="162">
        <f t="shared" si="13"/>
        <v>0</v>
      </c>
      <c r="AR58" s="162">
        <f t="shared" si="13"/>
        <v>0</v>
      </c>
      <c r="AS58" s="162">
        <f t="shared" si="13"/>
        <v>0</v>
      </c>
      <c r="AT58" s="162">
        <f t="shared" si="13"/>
        <v>0</v>
      </c>
      <c r="AU58" s="1240">
        <f t="shared" si="13"/>
        <v>0</v>
      </c>
      <c r="AV58" s="1240">
        <f t="shared" si="13"/>
        <v>0</v>
      </c>
      <c r="AW58" s="1240">
        <f t="shared" si="13"/>
        <v>0</v>
      </c>
      <c r="AX58" s="1240">
        <f t="shared" si="13"/>
        <v>0</v>
      </c>
      <c r="AY58" s="1240">
        <f t="shared" si="13"/>
        <v>0</v>
      </c>
      <c r="AZ58" s="1241"/>
      <c r="BA58" s="170"/>
      <c r="BB58" s="170"/>
      <c r="BC58" s="958" t="s">
        <v>510</v>
      </c>
    </row>
    <row r="59" spans="1:55" s="1255" customFormat="1" ht="16.5" customHeight="1">
      <c r="A59" s="170"/>
      <c r="B59" s="170"/>
      <c r="C59" s="170"/>
      <c r="D59" s="170"/>
      <c r="E59" s="676">
        <v>17.100000000000001</v>
      </c>
      <c r="F59" s="779" t="str" cm="1">
        <f t="array" aca="1" ref="F59" ca="1">OFFSET(G59,-1,-1)</f>
        <v>1</v>
      </c>
      <c r="G59" s="170"/>
      <c r="H59" s="170"/>
      <c r="I59" s="170"/>
      <c r="J59" s="170"/>
      <c r="K59" s="170"/>
      <c r="L59" s="170"/>
      <c r="M59" s="170"/>
      <c r="N59" s="170"/>
      <c r="O59" s="170"/>
      <c r="P59" s="170"/>
      <c r="Q59" s="170"/>
      <c r="R59" s="170"/>
      <c r="S59" s="170"/>
      <c r="T59" s="170"/>
      <c r="U59" s="687" t="b" cm="1">
        <f t="array" ref="U59">U58</f>
        <v>1</v>
      </c>
      <c r="V59" s="170"/>
      <c r="W59" s="170"/>
      <c r="X59" s="170"/>
      <c r="Y59" s="1724"/>
      <c r="Z59" s="1724"/>
      <c r="AA59" s="170"/>
      <c r="AB59" s="486" t="str">
        <f>AB58&amp;".1"</f>
        <v>2.1.3.1</v>
      </c>
      <c r="AC59" s="606" t="s">
        <v>497</v>
      </c>
      <c r="AD59" s="124" t="s">
        <v>498</v>
      </c>
      <c r="AE59" s="1249"/>
      <c r="AF59" s="491"/>
      <c r="AG59" s="491"/>
      <c r="AH59" s="491"/>
      <c r="AI59" s="491"/>
      <c r="AJ59" s="491"/>
      <c r="AK59" s="1256"/>
      <c r="AL59" s="1256"/>
      <c r="AM59" s="1256"/>
      <c r="AN59" s="1256"/>
      <c r="AO59" s="1256"/>
      <c r="AP59" s="491"/>
      <c r="AQ59" s="491"/>
      <c r="AR59" s="491"/>
      <c r="AS59" s="491"/>
      <c r="AT59" s="491"/>
      <c r="AU59" s="1256"/>
      <c r="AV59" s="1256"/>
      <c r="AW59" s="1256"/>
      <c r="AX59" s="1256"/>
      <c r="AY59" s="1256"/>
      <c r="AZ59" s="1241"/>
      <c r="BA59" s="170"/>
      <c r="BB59" s="170"/>
      <c r="BC59" s="958" t="s">
        <v>511</v>
      </c>
    </row>
    <row r="60" spans="1:55" s="1257" customFormat="1" ht="16.5" customHeight="1">
      <c r="A60" s="170"/>
      <c r="B60" s="170"/>
      <c r="C60" s="170"/>
      <c r="D60" s="170"/>
      <c r="E60" s="676">
        <v>17.100000000000001</v>
      </c>
      <c r="F60" s="779" t="str" cm="1">
        <f t="array" aca="1" ref="F60" ca="1">OFFSET(G60,-1,-1)</f>
        <v>1</v>
      </c>
      <c r="G60" s="170"/>
      <c r="H60" s="170"/>
      <c r="I60" s="170"/>
      <c r="J60" s="170"/>
      <c r="K60" s="170"/>
      <c r="L60" s="170"/>
      <c r="M60" s="170"/>
      <c r="N60" s="170"/>
      <c r="O60" s="170"/>
      <c r="P60" s="170"/>
      <c r="Q60" s="170"/>
      <c r="R60" s="170"/>
      <c r="S60" s="170"/>
      <c r="T60" s="170"/>
      <c r="U60" s="687" t="b" cm="1">
        <f t="array" ref="U60">U59</f>
        <v>1</v>
      </c>
      <c r="V60" s="170"/>
      <c r="W60" s="170"/>
      <c r="X60" s="170"/>
      <c r="Y60" s="1724"/>
      <c r="Z60" s="1724"/>
      <c r="AA60" s="170"/>
      <c r="AB60" s="486" t="str">
        <f>AB58&amp;".2"</f>
        <v>2.1.3.2</v>
      </c>
      <c r="AC60" s="606" t="s">
        <v>500</v>
      </c>
      <c r="AD60" s="124" t="s">
        <v>501</v>
      </c>
      <c r="AE60" s="1249"/>
      <c r="AF60" s="492"/>
      <c r="AG60" s="492"/>
      <c r="AH60" s="492"/>
      <c r="AI60" s="492"/>
      <c r="AJ60" s="492"/>
      <c r="AK60" s="1258"/>
      <c r="AL60" s="1258"/>
      <c r="AM60" s="1258"/>
      <c r="AN60" s="1258"/>
      <c r="AO60" s="1258"/>
      <c r="AP60" s="492"/>
      <c r="AQ60" s="492"/>
      <c r="AR60" s="492"/>
      <c r="AS60" s="492"/>
      <c r="AT60" s="492"/>
      <c r="AU60" s="1258"/>
      <c r="AV60" s="1258"/>
      <c r="AW60" s="1258"/>
      <c r="AX60" s="1258"/>
      <c r="AY60" s="1258"/>
      <c r="AZ60" s="1241"/>
      <c r="BA60" s="170"/>
      <c r="BB60" s="170"/>
      <c r="BC60" s="958" t="s">
        <v>512</v>
      </c>
    </row>
    <row r="61" spans="1:55" s="1259" customFormat="1" ht="16.5" customHeight="1">
      <c r="A61" s="170"/>
      <c r="B61" s="170"/>
      <c r="C61" s="170"/>
      <c r="D61" s="170"/>
      <c r="E61" s="676">
        <v>17.100000000000001</v>
      </c>
      <c r="F61" s="779" t="str" cm="1">
        <f t="array" aca="1" ref="F61" ca="1">OFFSET(G61,-1,-1)</f>
        <v>1</v>
      </c>
      <c r="G61" s="170"/>
      <c r="H61" s="163" t="s">
        <v>479</v>
      </c>
      <c r="I61" s="163" t="str">
        <f>AC61&amp;"::"&amp;AD61</f>
        <v>Четырехтрубные::УЕ</v>
      </c>
      <c r="J61" s="170"/>
      <c r="K61" s="170"/>
      <c r="L61" s="170"/>
      <c r="M61" s="170"/>
      <c r="N61" s="170"/>
      <c r="O61" s="170"/>
      <c r="P61" s="170"/>
      <c r="Q61" s="170"/>
      <c r="R61" s="170"/>
      <c r="S61" s="170"/>
      <c r="T61" s="170"/>
      <c r="U61" s="687" t="b" cm="1">
        <f t="array" ref="U61">U60</f>
        <v>1</v>
      </c>
      <c r="V61" s="170"/>
      <c r="W61" s="170"/>
      <c r="X61" s="170"/>
      <c r="Y61" s="1724"/>
      <c r="Z61" s="1724"/>
      <c r="AA61" s="170"/>
      <c r="AB61" s="235" t="s">
        <v>513</v>
      </c>
      <c r="AC61" s="607" t="s">
        <v>514</v>
      </c>
      <c r="AD61" s="235" t="s">
        <v>481</v>
      </c>
      <c r="AE61" s="1249">
        <f t="shared" ref="AE61:AY61" si="14">1.5*(11*AE63+MAX(0.06*AE63*(AE62-100),0))</f>
        <v>0</v>
      </c>
      <c r="AF61" s="610">
        <f t="shared" si="14"/>
        <v>0</v>
      </c>
      <c r="AG61" s="162">
        <f t="shared" si="14"/>
        <v>0</v>
      </c>
      <c r="AH61" s="162">
        <f t="shared" si="14"/>
        <v>0</v>
      </c>
      <c r="AI61" s="162">
        <f t="shared" si="14"/>
        <v>0</v>
      </c>
      <c r="AJ61" s="162">
        <f t="shared" si="14"/>
        <v>0</v>
      </c>
      <c r="AK61" s="1240">
        <f t="shared" si="14"/>
        <v>0</v>
      </c>
      <c r="AL61" s="1240">
        <f t="shared" si="14"/>
        <v>0</v>
      </c>
      <c r="AM61" s="1240">
        <f t="shared" si="14"/>
        <v>0</v>
      </c>
      <c r="AN61" s="1240">
        <f t="shared" si="14"/>
        <v>0</v>
      </c>
      <c r="AO61" s="1240">
        <f t="shared" si="14"/>
        <v>0</v>
      </c>
      <c r="AP61" s="162">
        <f t="shared" si="14"/>
        <v>0</v>
      </c>
      <c r="AQ61" s="162">
        <f t="shared" si="14"/>
        <v>0</v>
      </c>
      <c r="AR61" s="162">
        <f t="shared" si="14"/>
        <v>0</v>
      </c>
      <c r="AS61" s="162">
        <f t="shared" si="14"/>
        <v>0</v>
      </c>
      <c r="AT61" s="162">
        <f t="shared" si="14"/>
        <v>0</v>
      </c>
      <c r="AU61" s="1240">
        <f t="shared" si="14"/>
        <v>0</v>
      </c>
      <c r="AV61" s="1240">
        <f t="shared" si="14"/>
        <v>0</v>
      </c>
      <c r="AW61" s="1240">
        <f t="shared" si="14"/>
        <v>0</v>
      </c>
      <c r="AX61" s="1240">
        <f t="shared" si="14"/>
        <v>0</v>
      </c>
      <c r="AY61" s="1240">
        <f t="shared" si="14"/>
        <v>0</v>
      </c>
      <c r="AZ61" s="1241"/>
      <c r="BA61" s="170"/>
      <c r="BB61" s="170"/>
      <c r="BC61" s="958" t="s">
        <v>515</v>
      </c>
    </row>
    <row r="62" spans="1:55" s="1260" customFormat="1" ht="16.5" customHeight="1">
      <c r="A62" s="170"/>
      <c r="B62" s="170"/>
      <c r="C62" s="170"/>
      <c r="D62" s="170"/>
      <c r="E62" s="676">
        <v>17.100000000000001</v>
      </c>
      <c r="F62" s="779" t="str" cm="1">
        <f t="array" aca="1" ref="F62" ca="1">OFFSET(G62,-1,-1)</f>
        <v>1</v>
      </c>
      <c r="G62" s="170"/>
      <c r="H62" s="170"/>
      <c r="I62" s="170"/>
      <c r="J62" s="170"/>
      <c r="K62" s="170"/>
      <c r="L62" s="170"/>
      <c r="M62" s="170"/>
      <c r="N62" s="170"/>
      <c r="O62" s="170"/>
      <c r="P62" s="170"/>
      <c r="Q62" s="170"/>
      <c r="R62" s="170"/>
      <c r="S62" s="170"/>
      <c r="T62" s="170"/>
      <c r="U62" s="687" t="b" cm="1">
        <f t="array" ref="U62">U61</f>
        <v>1</v>
      </c>
      <c r="V62" s="170"/>
      <c r="W62" s="170"/>
      <c r="X62" s="170"/>
      <c r="Y62" s="1724"/>
      <c r="Z62" s="1724"/>
      <c r="AA62" s="170"/>
      <c r="AB62" s="486" t="str">
        <f>AB61&amp;".1"</f>
        <v>2.1.4.1</v>
      </c>
      <c r="AC62" s="606" t="s">
        <v>497</v>
      </c>
      <c r="AD62" s="124" t="s">
        <v>498</v>
      </c>
      <c r="AE62" s="1249"/>
      <c r="AF62" s="492"/>
      <c r="AG62" s="492"/>
      <c r="AH62" s="492"/>
      <c r="AI62" s="492"/>
      <c r="AJ62" s="492"/>
      <c r="AK62" s="1258"/>
      <c r="AL62" s="1258"/>
      <c r="AM62" s="1258"/>
      <c r="AN62" s="1258"/>
      <c r="AO62" s="1258"/>
      <c r="AP62" s="492"/>
      <c r="AQ62" s="492"/>
      <c r="AR62" s="492"/>
      <c r="AS62" s="492"/>
      <c r="AT62" s="492"/>
      <c r="AU62" s="1258"/>
      <c r="AV62" s="1258"/>
      <c r="AW62" s="1258"/>
      <c r="AX62" s="1258"/>
      <c r="AY62" s="1258"/>
      <c r="AZ62" s="1241"/>
      <c r="BA62" s="170"/>
      <c r="BB62" s="170"/>
      <c r="BC62" s="958" t="s">
        <v>516</v>
      </c>
    </row>
    <row r="63" spans="1:55" s="1261" customFormat="1" ht="16.5" customHeight="1">
      <c r="A63" s="170"/>
      <c r="B63" s="170"/>
      <c r="C63" s="170"/>
      <c r="D63" s="170"/>
      <c r="E63" s="676">
        <v>17.100000000000001</v>
      </c>
      <c r="F63" s="779" t="str" cm="1">
        <f t="array" aca="1" ref="F63" ca="1">OFFSET(G63,-1,-1)</f>
        <v>1</v>
      </c>
      <c r="G63" s="170"/>
      <c r="H63" s="170"/>
      <c r="I63" s="170"/>
      <c r="J63" s="170"/>
      <c r="K63" s="170"/>
      <c r="L63" s="170"/>
      <c r="M63" s="170"/>
      <c r="N63" s="170"/>
      <c r="O63" s="170"/>
      <c r="P63" s="170"/>
      <c r="Q63" s="170"/>
      <c r="R63" s="170"/>
      <c r="S63" s="170"/>
      <c r="T63" s="170"/>
      <c r="U63" s="687" t="b" cm="1">
        <f t="array" ref="U63">U62</f>
        <v>1</v>
      </c>
      <c r="V63" s="170"/>
      <c r="W63" s="170"/>
      <c r="X63" s="170"/>
      <c r="Y63" s="1724"/>
      <c r="Z63" s="1724"/>
      <c r="AA63" s="170"/>
      <c r="AB63" s="486" t="str">
        <f>AB61&amp;".2"</f>
        <v>2.1.4.2</v>
      </c>
      <c r="AC63" s="606" t="s">
        <v>500</v>
      </c>
      <c r="AD63" s="124" t="s">
        <v>501</v>
      </c>
      <c r="AE63" s="1249"/>
      <c r="AF63" s="492"/>
      <c r="AG63" s="492"/>
      <c r="AH63" s="492"/>
      <c r="AI63" s="492"/>
      <c r="AJ63" s="492"/>
      <c r="AK63" s="1258"/>
      <c r="AL63" s="1258"/>
      <c r="AM63" s="1258"/>
      <c r="AN63" s="1258"/>
      <c r="AO63" s="1258"/>
      <c r="AP63" s="492"/>
      <c r="AQ63" s="492"/>
      <c r="AR63" s="492"/>
      <c r="AS63" s="492"/>
      <c r="AT63" s="492"/>
      <c r="AU63" s="1258"/>
      <c r="AV63" s="1258"/>
      <c r="AW63" s="1258"/>
      <c r="AX63" s="1258"/>
      <c r="AY63" s="1258"/>
      <c r="AZ63" s="1241"/>
      <c r="BA63" s="170"/>
      <c r="BB63" s="170"/>
      <c r="BC63" s="958" t="s">
        <v>517</v>
      </c>
    </row>
    <row r="64" spans="1:55" s="1262" customFormat="1" ht="30" customHeight="1">
      <c r="A64" s="170"/>
      <c r="B64" s="170"/>
      <c r="C64" s="170"/>
      <c r="D64" s="170"/>
      <c r="E64" s="676">
        <v>30.8</v>
      </c>
      <c r="F64" s="779" t="str" cm="1">
        <f t="array" aca="1" ref="F64" ca="1">OFFSET(G64,-1,-1)</f>
        <v>1</v>
      </c>
      <c r="G64" s="170"/>
      <c r="H64" s="170"/>
      <c r="I64" s="170"/>
      <c r="J64" s="170"/>
      <c r="K64" s="170"/>
      <c r="L64" s="170"/>
      <c r="M64" s="170"/>
      <c r="N64" s="170"/>
      <c r="O64" s="170"/>
      <c r="P64" s="170"/>
      <c r="Q64" s="170"/>
      <c r="R64" s="170"/>
      <c r="S64" s="170"/>
      <c r="T64" s="170"/>
      <c r="U64" s="687" t="b" cm="1">
        <f t="array" ref="U64">U63</f>
        <v>1</v>
      </c>
      <c r="V64" s="170"/>
      <c r="W64" s="170"/>
      <c r="X64" s="170"/>
      <c r="Y64" s="1724"/>
      <c r="Z64" s="1724"/>
      <c r="AA64" s="170"/>
      <c r="AB64" s="481" t="s">
        <v>518</v>
      </c>
      <c r="AC64" s="608" t="s">
        <v>519</v>
      </c>
      <c r="AD64" s="124" t="s">
        <v>520</v>
      </c>
      <c r="AE64" s="1249"/>
      <c r="AF64" s="492"/>
      <c r="AG64" s="230"/>
      <c r="AH64" s="230"/>
      <c r="AI64" s="230"/>
      <c r="AJ64" s="230"/>
      <c r="AK64" s="1249"/>
      <c r="AL64" s="1249"/>
      <c r="AM64" s="1249"/>
      <c r="AN64" s="1249"/>
      <c r="AO64" s="1249"/>
      <c r="AP64" s="230"/>
      <c r="AQ64" s="230"/>
      <c r="AR64" s="230"/>
      <c r="AS64" s="230"/>
      <c r="AT64" s="230"/>
      <c r="AU64" s="1249"/>
      <c r="AV64" s="1249"/>
      <c r="AW64" s="1249"/>
      <c r="AX64" s="1249"/>
      <c r="AY64" s="1249"/>
      <c r="AZ64" s="1241"/>
      <c r="BA64" s="170"/>
      <c r="BB64" s="170"/>
      <c r="BC64" s="958" t="s">
        <v>521</v>
      </c>
    </row>
    <row r="65" spans="1:55" s="1263" customFormat="1" ht="38.25" customHeight="1">
      <c r="A65" s="170"/>
      <c r="B65" s="170"/>
      <c r="C65" s="170"/>
      <c r="D65" s="170"/>
      <c r="E65" s="676">
        <v>39.799999999999997</v>
      </c>
      <c r="F65" s="779" t="str" cm="1">
        <f t="array" aca="1" ref="F65" ca="1">OFFSET(G65,-1,-1)</f>
        <v>1</v>
      </c>
      <c r="G65" s="170"/>
      <c r="H65" s="170"/>
      <c r="I65" s="170"/>
      <c r="J65" s="170"/>
      <c r="K65" s="170"/>
      <c r="L65" s="170"/>
      <c r="M65" s="170"/>
      <c r="N65" s="170"/>
      <c r="O65" s="170"/>
      <c r="P65" s="170"/>
      <c r="Q65" s="170"/>
      <c r="R65" s="170"/>
      <c r="S65" s="170"/>
      <c r="T65" s="170"/>
      <c r="U65" s="687" t="b" cm="1">
        <f t="array" ref="U65">U64</f>
        <v>1</v>
      </c>
      <c r="V65" s="170"/>
      <c r="W65" s="170"/>
      <c r="X65" s="170"/>
      <c r="Y65" s="1724"/>
      <c r="Z65" s="1724"/>
      <c r="AA65" s="170"/>
      <c r="AB65" s="482" t="s">
        <v>522</v>
      </c>
      <c r="AC65" s="609" t="s">
        <v>523</v>
      </c>
      <c r="AD65" s="124" t="s">
        <v>524</v>
      </c>
      <c r="AE65" s="1249"/>
      <c r="AF65" s="492"/>
      <c r="AG65" s="230"/>
      <c r="AH65" s="230"/>
      <c r="AI65" s="230"/>
      <c r="AJ65" s="230"/>
      <c r="AK65" s="1249"/>
      <c r="AL65" s="1249"/>
      <c r="AM65" s="1249"/>
      <c r="AN65" s="1249"/>
      <c r="AO65" s="1249"/>
      <c r="AP65" s="230"/>
      <c r="AQ65" s="230"/>
      <c r="AR65" s="230"/>
      <c r="AS65" s="230"/>
      <c r="AT65" s="230"/>
      <c r="AU65" s="1249"/>
      <c r="AV65" s="1249"/>
      <c r="AW65" s="1249"/>
      <c r="AX65" s="1249"/>
      <c r="AY65" s="1249"/>
      <c r="AZ65" s="1241"/>
      <c r="BA65" s="170"/>
      <c r="BB65" s="170"/>
      <c r="BC65" s="958" t="s">
        <v>525</v>
      </c>
    </row>
    <row r="66" spans="1:55" s="1264" customFormat="1" ht="48" customHeight="1">
      <c r="A66" s="170"/>
      <c r="B66" s="170"/>
      <c r="C66" s="170"/>
      <c r="D66" s="170"/>
      <c r="E66" s="676">
        <v>49.5</v>
      </c>
      <c r="F66" s="779" t="str" cm="1">
        <f t="array" aca="1" ref="F66" ca="1">OFFSET(G66,-1,-1)</f>
        <v>1</v>
      </c>
      <c r="G66" s="170"/>
      <c r="H66" s="163" t="s">
        <v>479</v>
      </c>
      <c r="I66" s="16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70"/>
      <c r="K66" s="170"/>
      <c r="L66" s="170"/>
      <c r="M66" s="170"/>
      <c r="N66" s="170"/>
      <c r="O66" s="170"/>
      <c r="P66" s="170"/>
      <c r="Q66" s="170"/>
      <c r="R66" s="170"/>
      <c r="S66" s="170"/>
      <c r="T66" s="170"/>
      <c r="U66" s="687" t="b" cm="1">
        <f t="array" ref="U66">U65</f>
        <v>1</v>
      </c>
      <c r="V66" s="170"/>
      <c r="W66" s="170"/>
      <c r="X66" s="170"/>
      <c r="Y66" s="1724"/>
      <c r="Z66" s="1724"/>
      <c r="AA66" s="170"/>
      <c r="AB66" s="482" t="s">
        <v>526</v>
      </c>
      <c r="AC66" s="115" t="s">
        <v>527</v>
      </c>
      <c r="AD66" s="468" t="s">
        <v>486</v>
      </c>
      <c r="AE66" s="1265"/>
      <c r="AF66" s="230"/>
      <c r="AG66" s="230"/>
      <c r="AH66" s="230"/>
      <c r="AI66" s="230"/>
      <c r="AJ66" s="230"/>
      <c r="AK66" s="1249"/>
      <c r="AL66" s="1249"/>
      <c r="AM66" s="1249"/>
      <c r="AN66" s="1249"/>
      <c r="AO66" s="1249"/>
      <c r="AP66" s="230"/>
      <c r="AQ66" s="230"/>
      <c r="AR66" s="230"/>
      <c r="AS66" s="230"/>
      <c r="AT66" s="230"/>
      <c r="AU66" s="1249"/>
      <c r="AV66" s="1249"/>
      <c r="AW66" s="1249"/>
      <c r="AX66" s="1249"/>
      <c r="AY66" s="1249"/>
      <c r="AZ66" s="1241"/>
      <c r="BA66" s="170"/>
      <c r="BB66" s="170"/>
      <c r="BC66" s="958" t="s">
        <v>528</v>
      </c>
    </row>
    <row r="67" spans="1:55" s="1266" customFormat="1" ht="10.5" customHeight="1">
      <c r="A67" s="170"/>
      <c r="B67" s="170"/>
      <c r="C67" s="170"/>
      <c r="D67" s="170"/>
      <c r="E67" s="676">
        <v>11.4</v>
      </c>
      <c r="F67" s="779" t="str" cm="1">
        <f t="array" ref="F67">Y67</f>
        <v>2</v>
      </c>
      <c r="G67" s="170"/>
      <c r="H67" s="170"/>
      <c r="I67" s="170"/>
      <c r="J67" s="170"/>
      <c r="K67" s="170"/>
      <c r="L67" s="170"/>
      <c r="M67" s="170"/>
      <c r="N67" s="170"/>
      <c r="O67" s="170"/>
      <c r="P67" s="170"/>
      <c r="Q67" s="170"/>
      <c r="R67" s="170"/>
      <c r="S67" s="170"/>
      <c r="T67" s="170"/>
      <c r="U67" s="687" t="b">
        <f>Y67&gt;0</f>
        <v>1</v>
      </c>
      <c r="V67" s="170"/>
      <c r="W67" s="126" t="str" cm="1">
        <f t="array" ref="W67">'Список объектов'!$AB$47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67" s="170"/>
      <c r="Y67" s="1726" t="s">
        <v>348</v>
      </c>
      <c r="Z67" s="1724"/>
      <c r="AA67" s="170"/>
      <c r="AB67" s="276" t="str" cm="1">
        <f t="array" ref="AB67">IF(ISBLANK('Список объектов'!$AB$47),"",'Список объектов'!$AB$47)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7" s="267"/>
      <c r="AD67" s="48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170"/>
      <c r="BB67" s="170"/>
      <c r="BC67" s="958"/>
    </row>
    <row r="68" spans="1:55" s="1267" customFormat="1" ht="16.5" customHeight="1">
      <c r="A68" s="170"/>
      <c r="B68" s="170"/>
      <c r="C68" s="170"/>
      <c r="D68" s="170"/>
      <c r="E68" s="676">
        <v>17.100000000000001</v>
      </c>
      <c r="F68" s="779" t="str" cm="1">
        <f t="array" aca="1" ref="F68" ca="1">OFFSET(G68,-1,-1)</f>
        <v>2</v>
      </c>
      <c r="G68" s="620" t="s">
        <v>478</v>
      </c>
      <c r="H68" s="163" t="s">
        <v>479</v>
      </c>
      <c r="I68" s="163" t="str">
        <f>AC68&amp;"::"&amp;AD68</f>
        <v>Количество условных единиц для производства::УЕ</v>
      </c>
      <c r="J68" s="170"/>
      <c r="K68" s="170"/>
      <c r="L68" s="170"/>
      <c r="M68" s="170"/>
      <c r="N68" s="170"/>
      <c r="O68" s="170"/>
      <c r="P68" s="170"/>
      <c r="Q68" s="170"/>
      <c r="R68" s="170"/>
      <c r="S68" s="170"/>
      <c r="T68" s="170"/>
      <c r="U68" s="687" t="b" cm="1">
        <f t="array" ref="U68">U67</f>
        <v>1</v>
      </c>
      <c r="V68" s="170"/>
      <c r="W68" s="170"/>
      <c r="X68" s="170"/>
      <c r="Y68" s="1724"/>
      <c r="Z68" s="1724"/>
      <c r="AA68" s="170"/>
      <c r="AB68" s="429">
        <v>1</v>
      </c>
      <c r="AC68" s="503" t="s">
        <v>480</v>
      </c>
      <c r="AD68" s="412" t="s">
        <v>481</v>
      </c>
      <c r="AE68" s="1240" cm="1">
        <f t="array" ref="AE68">AE69</f>
        <v>84</v>
      </c>
      <c r="AF68" s="162" cm="1">
        <f t="array" ref="AF68">AF69</f>
        <v>0</v>
      </c>
      <c r="AG68" s="162" cm="1">
        <f t="array" ref="AG68">AG69</f>
        <v>0</v>
      </c>
      <c r="AH68" s="162" cm="1">
        <f t="array" ref="AH68">AH69</f>
        <v>0</v>
      </c>
      <c r="AI68" s="162" cm="1">
        <f t="array" ref="AI68">AI69</f>
        <v>0</v>
      </c>
      <c r="AJ68" s="162" cm="1">
        <f t="array" ref="AJ68">AJ69</f>
        <v>0</v>
      </c>
      <c r="AK68" s="1240" cm="1">
        <f t="array" ref="AK68">AK69</f>
        <v>0</v>
      </c>
      <c r="AL68" s="1240" cm="1">
        <f t="array" ref="AL68">AL69</f>
        <v>0</v>
      </c>
      <c r="AM68" s="1240" cm="1">
        <f t="array" ref="AM68">AM69</f>
        <v>0</v>
      </c>
      <c r="AN68" s="1240" cm="1">
        <f t="array" ref="AN68">AN69</f>
        <v>0</v>
      </c>
      <c r="AO68" s="1240" cm="1">
        <f t="array" ref="AO68">AO69</f>
        <v>0</v>
      </c>
      <c r="AP68" s="162" cm="1">
        <f t="array" ref="AP68">AP69</f>
        <v>84</v>
      </c>
      <c r="AQ68" s="162" cm="1">
        <f t="array" ref="AQ68">AQ69</f>
        <v>0</v>
      </c>
      <c r="AR68" s="162" cm="1">
        <f t="array" ref="AR68">AR69</f>
        <v>0</v>
      </c>
      <c r="AS68" s="162" cm="1">
        <f t="array" ref="AS68">AS69</f>
        <v>0</v>
      </c>
      <c r="AT68" s="162" cm="1">
        <f t="array" ref="AT68">AT69</f>
        <v>0</v>
      </c>
      <c r="AU68" s="1240" cm="1">
        <f t="array" ref="AU68">AU69</f>
        <v>0</v>
      </c>
      <c r="AV68" s="1240" cm="1">
        <f t="array" ref="AV68">AV69</f>
        <v>0</v>
      </c>
      <c r="AW68" s="1240" cm="1">
        <f t="array" ref="AW68">AW69</f>
        <v>0</v>
      </c>
      <c r="AX68" s="1240" cm="1">
        <f t="array" ref="AX68">AX69</f>
        <v>0</v>
      </c>
      <c r="AY68" s="1240" cm="1">
        <f t="array" ref="AY68">AY69</f>
        <v>0</v>
      </c>
      <c r="AZ68" s="1241"/>
      <c r="BA68" s="170"/>
      <c r="BB68" s="170"/>
      <c r="BC68" s="958" t="s">
        <v>482</v>
      </c>
    </row>
    <row r="69" spans="1:55" s="1268" customFormat="1" ht="16.5" customHeight="1">
      <c r="A69" s="170"/>
      <c r="B69" s="170"/>
      <c r="C69" s="170"/>
      <c r="D69" s="170"/>
      <c r="E69" s="676">
        <v>17.100000000000001</v>
      </c>
      <c r="F69" s="779" t="str" cm="1">
        <f t="array" aca="1" ref="F69" ca="1">OFFSET(G69,-1,-1)</f>
        <v>2</v>
      </c>
      <c r="G69" s="620" t="s">
        <v>483</v>
      </c>
      <c r="H69" s="163" t="s">
        <v>479</v>
      </c>
      <c r="I69" s="163" t="str">
        <f>AC69&amp;"::"&amp;AD69</f>
        <v>Установленная тепловая мощность::Гкал/час</v>
      </c>
      <c r="J69" s="170"/>
      <c r="K69" s="170"/>
      <c r="L69" s="170"/>
      <c r="M69" s="170"/>
      <c r="N69" s="170"/>
      <c r="O69" s="170"/>
      <c r="P69" s="170"/>
      <c r="Q69" s="170"/>
      <c r="R69" s="170"/>
      <c r="S69" s="170"/>
      <c r="T69" s="170"/>
      <c r="U69" s="687" t="b" cm="1">
        <f t="array" ref="U69">U68</f>
        <v>1</v>
      </c>
      <c r="V69" s="170"/>
      <c r="W69" s="170"/>
      <c r="X69" s="170"/>
      <c r="Y69" s="1724"/>
      <c r="Z69" s="1724"/>
      <c r="AA69" s="170"/>
      <c r="AB69" s="412" t="s">
        <v>484</v>
      </c>
      <c r="AC69" s="428" t="s">
        <v>485</v>
      </c>
      <c r="AD69" s="412" t="s">
        <v>486</v>
      </c>
      <c r="AE69" s="1240">
        <v>84</v>
      </c>
      <c r="AF69" s="162"/>
      <c r="AG69" s="162"/>
      <c r="AH69" s="162"/>
      <c r="AI69" s="162"/>
      <c r="AJ69" s="162"/>
      <c r="AK69" s="1240"/>
      <c r="AL69" s="1240"/>
      <c r="AM69" s="1240"/>
      <c r="AN69" s="1240"/>
      <c r="AO69" s="1240"/>
      <c r="AP69" s="162">
        <v>84</v>
      </c>
      <c r="AQ69" s="162"/>
      <c r="AR69" s="162"/>
      <c r="AS69" s="162"/>
      <c r="AT69" s="162"/>
      <c r="AU69" s="1240"/>
      <c r="AV69" s="1240"/>
      <c r="AW69" s="1240"/>
      <c r="AX69" s="1240"/>
      <c r="AY69" s="1240"/>
      <c r="AZ69" s="1241"/>
      <c r="BA69" s="170"/>
      <c r="BB69" s="170"/>
      <c r="BC69" s="958" t="s">
        <v>487</v>
      </c>
    </row>
    <row r="70" spans="1:55" s="1269" customFormat="1" ht="16.5" customHeight="1">
      <c r="A70" s="170"/>
      <c r="B70" s="170"/>
      <c r="C70" s="170"/>
      <c r="D70" s="170"/>
      <c r="E70" s="676">
        <v>17.100000000000001</v>
      </c>
      <c r="F70" s="779" t="str" cm="1">
        <f t="array" aca="1" ref="F70" ca="1">OFFSET(G70,-1,-1)</f>
        <v>2</v>
      </c>
      <c r="G70" s="620" t="s">
        <v>488</v>
      </c>
      <c r="H70" s="170"/>
      <c r="I70" s="170"/>
      <c r="J70" s="170"/>
      <c r="K70" s="170"/>
      <c r="L70" s="170"/>
      <c r="M70" s="170"/>
      <c r="N70" s="170"/>
      <c r="O70" s="170"/>
      <c r="P70" s="170"/>
      <c r="Q70" s="170"/>
      <c r="R70" s="170"/>
      <c r="S70" s="170"/>
      <c r="T70" s="170"/>
      <c r="U70" s="687" t="b" cm="1">
        <f t="array" ref="U70">U69</f>
        <v>1</v>
      </c>
      <c r="V70" s="170"/>
      <c r="W70" s="170"/>
      <c r="X70" s="170"/>
      <c r="Y70" s="1724"/>
      <c r="Z70" s="1724"/>
      <c r="AA70" s="170"/>
      <c r="AB70" s="475" t="s">
        <v>348</v>
      </c>
      <c r="AC70" s="504" t="s">
        <v>489</v>
      </c>
      <c r="AD70" s="412" t="s">
        <v>481</v>
      </c>
      <c r="AE70" s="1240">
        <f t="shared" ref="AE70:AY70" si="15">AE71+5*AE84+25*AE85+0.5*AE86</f>
        <v>488.37459199999995</v>
      </c>
      <c r="AF70" s="162">
        <f t="shared" si="15"/>
        <v>0</v>
      </c>
      <c r="AG70" s="162">
        <f t="shared" si="15"/>
        <v>0</v>
      </c>
      <c r="AH70" s="162">
        <f t="shared" si="15"/>
        <v>0</v>
      </c>
      <c r="AI70" s="162">
        <f t="shared" si="15"/>
        <v>0</v>
      </c>
      <c r="AJ70" s="162">
        <f t="shared" si="15"/>
        <v>0</v>
      </c>
      <c r="AK70" s="1240">
        <f t="shared" si="15"/>
        <v>0</v>
      </c>
      <c r="AL70" s="1240">
        <f t="shared" si="15"/>
        <v>0</v>
      </c>
      <c r="AM70" s="1240">
        <f t="shared" si="15"/>
        <v>0</v>
      </c>
      <c r="AN70" s="1240">
        <f t="shared" si="15"/>
        <v>0</v>
      </c>
      <c r="AO70" s="1240">
        <f t="shared" si="15"/>
        <v>0</v>
      </c>
      <c r="AP70" s="162">
        <f t="shared" si="15"/>
        <v>490.14803029119992</v>
      </c>
      <c r="AQ70" s="162">
        <f t="shared" si="15"/>
        <v>0</v>
      </c>
      <c r="AR70" s="162">
        <f t="shared" si="15"/>
        <v>0</v>
      </c>
      <c r="AS70" s="162">
        <f t="shared" si="15"/>
        <v>0</v>
      </c>
      <c r="AT70" s="162">
        <f t="shared" si="15"/>
        <v>0</v>
      </c>
      <c r="AU70" s="1240">
        <f t="shared" si="15"/>
        <v>0</v>
      </c>
      <c r="AV70" s="1240">
        <f t="shared" si="15"/>
        <v>0</v>
      </c>
      <c r="AW70" s="1240">
        <f t="shared" si="15"/>
        <v>0</v>
      </c>
      <c r="AX70" s="1240">
        <f t="shared" si="15"/>
        <v>0</v>
      </c>
      <c r="AY70" s="1240">
        <f t="shared" si="15"/>
        <v>0</v>
      </c>
      <c r="AZ70" s="1241"/>
      <c r="BA70" s="170"/>
      <c r="BB70" s="170"/>
      <c r="BC70" s="958" t="s">
        <v>490</v>
      </c>
    </row>
    <row r="71" spans="1:55" s="1270" customFormat="1" ht="16.5" customHeight="1">
      <c r="A71" s="170"/>
      <c r="B71" s="170"/>
      <c r="C71" s="170"/>
      <c r="D71" s="170"/>
      <c r="E71" s="676">
        <v>17.100000000000001</v>
      </c>
      <c r="F71" s="779" t="str" cm="1">
        <f t="array" aca="1" ref="F71" ca="1">OFFSET(G71,-1,-1)</f>
        <v>2</v>
      </c>
      <c r="G71" s="170"/>
      <c r="H71" s="170"/>
      <c r="I71" s="170"/>
      <c r="J71" s="170"/>
      <c r="K71" s="170"/>
      <c r="L71" s="170"/>
      <c r="M71" s="170"/>
      <c r="N71" s="170"/>
      <c r="O71" s="170"/>
      <c r="P71" s="170"/>
      <c r="Q71" s="170"/>
      <c r="R71" s="170"/>
      <c r="S71" s="170"/>
      <c r="T71" s="170"/>
      <c r="U71" s="687" t="b" cm="1">
        <f t="array" ref="U71">U70</f>
        <v>1</v>
      </c>
      <c r="V71" s="170"/>
      <c r="W71" s="170"/>
      <c r="X71" s="170"/>
      <c r="Y71" s="1724"/>
      <c r="Z71" s="1724"/>
      <c r="AA71" s="170"/>
      <c r="AB71" s="424" t="s">
        <v>491</v>
      </c>
      <c r="AC71" s="480" t="s">
        <v>492</v>
      </c>
      <c r="AD71" s="412" t="s">
        <v>481</v>
      </c>
      <c r="AE71" s="216">
        <f t="shared" ref="AE71:AY71" si="16">AE72+AE75+AE78+AE81</f>
        <v>422.47459199999997</v>
      </c>
      <c r="AF71" s="216">
        <f t="shared" si="16"/>
        <v>0</v>
      </c>
      <c r="AG71" s="216">
        <f t="shared" si="16"/>
        <v>0</v>
      </c>
      <c r="AH71" s="216">
        <f t="shared" si="16"/>
        <v>0</v>
      </c>
      <c r="AI71" s="216">
        <f t="shared" si="16"/>
        <v>0</v>
      </c>
      <c r="AJ71" s="216">
        <f t="shared" si="16"/>
        <v>0</v>
      </c>
      <c r="AK71" s="216">
        <f t="shared" si="16"/>
        <v>0</v>
      </c>
      <c r="AL71" s="216">
        <f t="shared" si="16"/>
        <v>0</v>
      </c>
      <c r="AM71" s="216">
        <f t="shared" si="16"/>
        <v>0</v>
      </c>
      <c r="AN71" s="216">
        <f t="shared" si="16"/>
        <v>0</v>
      </c>
      <c r="AO71" s="216">
        <f t="shared" si="16"/>
        <v>0</v>
      </c>
      <c r="AP71" s="216">
        <f t="shared" si="16"/>
        <v>423.88753029119994</v>
      </c>
      <c r="AQ71" s="216">
        <f t="shared" si="16"/>
        <v>0</v>
      </c>
      <c r="AR71" s="216">
        <f t="shared" si="16"/>
        <v>0</v>
      </c>
      <c r="AS71" s="216">
        <f t="shared" si="16"/>
        <v>0</v>
      </c>
      <c r="AT71" s="216">
        <f t="shared" si="16"/>
        <v>0</v>
      </c>
      <c r="AU71" s="216">
        <f t="shared" si="16"/>
        <v>0</v>
      </c>
      <c r="AV71" s="216">
        <f t="shared" si="16"/>
        <v>0</v>
      </c>
      <c r="AW71" s="216">
        <f t="shared" si="16"/>
        <v>0</v>
      </c>
      <c r="AX71" s="216">
        <f t="shared" si="16"/>
        <v>0</v>
      </c>
      <c r="AY71" s="216">
        <f t="shared" si="16"/>
        <v>0</v>
      </c>
      <c r="AZ71" s="1241"/>
      <c r="BA71" s="170"/>
      <c r="BB71" s="170"/>
      <c r="BC71" s="958" t="s">
        <v>493</v>
      </c>
    </row>
    <row r="72" spans="1:55" s="1271" customFormat="1" ht="16.5" customHeight="1">
      <c r="A72" s="170"/>
      <c r="B72" s="170"/>
      <c r="C72" s="170"/>
      <c r="D72" s="170"/>
      <c r="E72" s="676">
        <v>17.100000000000001</v>
      </c>
      <c r="F72" s="779" t="str" cm="1">
        <f t="array" aca="1" ref="F72" ca="1">OFFSET(G72,-1,-1)</f>
        <v>2</v>
      </c>
      <c r="G72" s="170"/>
      <c r="H72" s="170"/>
      <c r="I72" s="170"/>
      <c r="J72" s="170"/>
      <c r="K72" s="170"/>
      <c r="L72" s="170"/>
      <c r="M72" s="170"/>
      <c r="N72" s="170"/>
      <c r="O72" s="170"/>
      <c r="P72" s="170"/>
      <c r="Q72" s="170"/>
      <c r="R72" s="170"/>
      <c r="S72" s="170"/>
      <c r="T72" s="170"/>
      <c r="U72" s="687" t="b" cm="1">
        <f t="array" ref="U72">U71</f>
        <v>1</v>
      </c>
      <c r="V72" s="170"/>
      <c r="W72" s="170"/>
      <c r="X72" s="170"/>
      <c r="Y72" s="1724"/>
      <c r="Z72" s="1724"/>
      <c r="AA72" s="170"/>
      <c r="AB72" s="479" t="s">
        <v>494</v>
      </c>
      <c r="AC72" s="489" t="s">
        <v>495</v>
      </c>
      <c r="AD72" s="412" t="s">
        <v>481</v>
      </c>
      <c r="AE72" s="1240">
        <f t="shared" ref="AE72:AY72" si="17">0.75*(11*AE74+MAX(0.06*AE74*(AE73-100),0))</f>
        <v>0</v>
      </c>
      <c r="AF72" s="162">
        <f t="shared" si="17"/>
        <v>0</v>
      </c>
      <c r="AG72" s="162">
        <f t="shared" si="17"/>
        <v>0</v>
      </c>
      <c r="AH72" s="162">
        <f t="shared" si="17"/>
        <v>0</v>
      </c>
      <c r="AI72" s="162">
        <f t="shared" si="17"/>
        <v>0</v>
      </c>
      <c r="AJ72" s="162">
        <f t="shared" si="17"/>
        <v>0</v>
      </c>
      <c r="AK72" s="1240">
        <f t="shared" si="17"/>
        <v>0</v>
      </c>
      <c r="AL72" s="1240">
        <f t="shared" si="17"/>
        <v>0</v>
      </c>
      <c r="AM72" s="1240">
        <f t="shared" si="17"/>
        <v>0</v>
      </c>
      <c r="AN72" s="1240">
        <f t="shared" si="17"/>
        <v>0</v>
      </c>
      <c r="AO72" s="1240">
        <f t="shared" si="17"/>
        <v>0</v>
      </c>
      <c r="AP72" s="162">
        <f t="shared" si="17"/>
        <v>0</v>
      </c>
      <c r="AQ72" s="162">
        <f t="shared" si="17"/>
        <v>0</v>
      </c>
      <c r="AR72" s="162">
        <f t="shared" si="17"/>
        <v>0</v>
      </c>
      <c r="AS72" s="162">
        <f t="shared" si="17"/>
        <v>0</v>
      </c>
      <c r="AT72" s="162">
        <f t="shared" si="17"/>
        <v>0</v>
      </c>
      <c r="AU72" s="1240">
        <f t="shared" si="17"/>
        <v>0</v>
      </c>
      <c r="AV72" s="1240">
        <f t="shared" si="17"/>
        <v>0</v>
      </c>
      <c r="AW72" s="1240">
        <f t="shared" si="17"/>
        <v>0</v>
      </c>
      <c r="AX72" s="1240">
        <f t="shared" si="17"/>
        <v>0</v>
      </c>
      <c r="AY72" s="1240">
        <f t="shared" si="17"/>
        <v>0</v>
      </c>
      <c r="AZ72" s="1241"/>
      <c r="BA72" s="170"/>
      <c r="BB72" s="170"/>
      <c r="BC72" s="958" t="s">
        <v>496</v>
      </c>
    </row>
    <row r="73" spans="1:55" s="1272" customFormat="1" ht="16.5" customHeight="1">
      <c r="A73" s="170"/>
      <c r="B73" s="170"/>
      <c r="C73" s="170"/>
      <c r="D73" s="170"/>
      <c r="E73" s="676">
        <v>17.100000000000001</v>
      </c>
      <c r="F73" s="779" t="str" cm="1">
        <f t="array" aca="1" ref="F73" ca="1">OFFSET(G73,-1,-1)</f>
        <v>2</v>
      </c>
      <c r="G73" s="170"/>
      <c r="H73" s="170"/>
      <c r="I73" s="170"/>
      <c r="J73" s="170"/>
      <c r="K73" s="170"/>
      <c r="L73" s="170"/>
      <c r="M73" s="170"/>
      <c r="N73" s="170"/>
      <c r="O73" s="170"/>
      <c r="P73" s="170"/>
      <c r="Q73" s="170"/>
      <c r="R73" s="170"/>
      <c r="S73" s="170"/>
      <c r="T73" s="170"/>
      <c r="U73" s="687" t="b" cm="1">
        <f t="array" ref="U73">U72</f>
        <v>1</v>
      </c>
      <c r="V73" s="170"/>
      <c r="W73" s="170"/>
      <c r="X73" s="170"/>
      <c r="Y73" s="1724"/>
      <c r="Z73" s="1724"/>
      <c r="AA73" s="170"/>
      <c r="AB73" s="486" t="str">
        <f>AB72&amp;".1"</f>
        <v>2.1.1.1</v>
      </c>
      <c r="AC73" s="488" t="s">
        <v>497</v>
      </c>
      <c r="AD73" s="124" t="s">
        <v>498</v>
      </c>
      <c r="AE73" s="1247"/>
      <c r="AF73" s="490"/>
      <c r="AG73" s="490"/>
      <c r="AH73" s="490"/>
      <c r="AI73" s="490"/>
      <c r="AJ73" s="490"/>
      <c r="AK73" s="1247"/>
      <c r="AL73" s="1247"/>
      <c r="AM73" s="1247"/>
      <c r="AN73" s="1247"/>
      <c r="AO73" s="1247"/>
      <c r="AP73" s="490"/>
      <c r="AQ73" s="490"/>
      <c r="AR73" s="490"/>
      <c r="AS73" s="490"/>
      <c r="AT73" s="490"/>
      <c r="AU73" s="1247"/>
      <c r="AV73" s="1247"/>
      <c r="AW73" s="1247"/>
      <c r="AX73" s="1247"/>
      <c r="AY73" s="1247"/>
      <c r="AZ73" s="1241"/>
      <c r="BA73" s="170"/>
      <c r="BB73" s="170"/>
      <c r="BC73" s="958" t="s">
        <v>499</v>
      </c>
    </row>
    <row r="74" spans="1:55" s="1273" customFormat="1" ht="16.5" customHeight="1">
      <c r="A74" s="170"/>
      <c r="B74" s="170"/>
      <c r="C74" s="170"/>
      <c r="D74" s="170"/>
      <c r="E74" s="676">
        <v>17.100000000000001</v>
      </c>
      <c r="F74" s="779" t="str" cm="1">
        <f t="array" aca="1" ref="F74" ca="1">OFFSET(G74,-1,-1)</f>
        <v>2</v>
      </c>
      <c r="G74" s="170"/>
      <c r="H74" s="170"/>
      <c r="I74" s="170"/>
      <c r="J74" s="170"/>
      <c r="K74" s="170"/>
      <c r="L74" s="170"/>
      <c r="M74" s="170"/>
      <c r="N74" s="170"/>
      <c r="O74" s="170"/>
      <c r="P74" s="170"/>
      <c r="Q74" s="170"/>
      <c r="R74" s="170"/>
      <c r="S74" s="170"/>
      <c r="T74" s="170"/>
      <c r="U74" s="687" t="b" cm="1">
        <f t="array" ref="U74">U73</f>
        <v>1</v>
      </c>
      <c r="V74" s="170"/>
      <c r="W74" s="170"/>
      <c r="X74" s="170"/>
      <c r="Y74" s="1724"/>
      <c r="Z74" s="1724"/>
      <c r="AA74" s="170"/>
      <c r="AB74" s="486" t="str">
        <f>AB72&amp;".2"</f>
        <v>2.1.1.2</v>
      </c>
      <c r="AC74" s="488" t="s">
        <v>500</v>
      </c>
      <c r="AD74" s="487" t="s">
        <v>501</v>
      </c>
      <c r="AE74" s="1249"/>
      <c r="AF74" s="230"/>
      <c r="AG74" s="230"/>
      <c r="AH74" s="230"/>
      <c r="AI74" s="230"/>
      <c r="AJ74" s="230"/>
      <c r="AK74" s="1249"/>
      <c r="AL74" s="1249"/>
      <c r="AM74" s="1249"/>
      <c r="AN74" s="1249"/>
      <c r="AO74" s="1249"/>
      <c r="AP74" s="230"/>
      <c r="AQ74" s="230"/>
      <c r="AR74" s="230"/>
      <c r="AS74" s="230"/>
      <c r="AT74" s="230"/>
      <c r="AU74" s="1249"/>
      <c r="AV74" s="1249"/>
      <c r="AW74" s="1249"/>
      <c r="AX74" s="1249"/>
      <c r="AY74" s="1249"/>
      <c r="AZ74" s="1241"/>
      <c r="BA74" s="170"/>
      <c r="BB74" s="170"/>
      <c r="BC74" s="958" t="s">
        <v>502</v>
      </c>
    </row>
    <row r="75" spans="1:55" s="1274" customFormat="1" ht="16.5" customHeight="1">
      <c r="A75" s="170"/>
      <c r="B75" s="170"/>
      <c r="C75" s="170"/>
      <c r="D75" s="170"/>
      <c r="E75" s="676">
        <v>17.100000000000001</v>
      </c>
      <c r="F75" s="779" t="str" cm="1">
        <f t="array" aca="1" ref="F75" ca="1">OFFSET(G75,-1,-1)</f>
        <v>2</v>
      </c>
      <c r="G75" s="170"/>
      <c r="H75" s="170"/>
      <c r="I75" s="170"/>
      <c r="J75" s="170"/>
      <c r="K75" s="170"/>
      <c r="L75" s="170"/>
      <c r="M75" s="170"/>
      <c r="N75" s="170"/>
      <c r="O75" s="170"/>
      <c r="P75" s="170"/>
      <c r="Q75" s="170"/>
      <c r="R75" s="170"/>
      <c r="S75" s="170"/>
      <c r="T75" s="170"/>
      <c r="U75" s="687" t="b" cm="1">
        <f t="array" ref="U75">U74</f>
        <v>1</v>
      </c>
      <c r="V75" s="170"/>
      <c r="W75" s="170"/>
      <c r="X75" s="170"/>
      <c r="Y75" s="1724"/>
      <c r="Z75" s="1724"/>
      <c r="AA75" s="170"/>
      <c r="AB75" s="485" t="s">
        <v>503</v>
      </c>
      <c r="AC75" s="471" t="s">
        <v>504</v>
      </c>
      <c r="AD75" s="412" t="s">
        <v>481</v>
      </c>
      <c r="AE75" s="1240">
        <f t="shared" ref="AE75:AY75" si="18">(11*AE77+MAX(0.06*AE77*(AE76-100),0))</f>
        <v>110.74318199999999</v>
      </c>
      <c r="AF75" s="162">
        <f t="shared" si="18"/>
        <v>0</v>
      </c>
      <c r="AG75" s="162">
        <f t="shared" si="18"/>
        <v>0</v>
      </c>
      <c r="AH75" s="162">
        <f t="shared" si="18"/>
        <v>0</v>
      </c>
      <c r="AI75" s="162">
        <f t="shared" si="18"/>
        <v>0</v>
      </c>
      <c r="AJ75" s="162">
        <f t="shared" si="18"/>
        <v>0</v>
      </c>
      <c r="AK75" s="1240">
        <f t="shared" si="18"/>
        <v>0</v>
      </c>
      <c r="AL75" s="1240">
        <f t="shared" si="18"/>
        <v>0</v>
      </c>
      <c r="AM75" s="1240">
        <f t="shared" si="18"/>
        <v>0</v>
      </c>
      <c r="AN75" s="1240">
        <f t="shared" si="18"/>
        <v>0</v>
      </c>
      <c r="AO75" s="1240">
        <f t="shared" si="18"/>
        <v>0</v>
      </c>
      <c r="AP75" s="162">
        <f t="shared" si="18"/>
        <v>110.82117149999999</v>
      </c>
      <c r="AQ75" s="162">
        <f t="shared" si="18"/>
        <v>0</v>
      </c>
      <c r="AR75" s="162">
        <f t="shared" si="18"/>
        <v>0</v>
      </c>
      <c r="AS75" s="162">
        <f t="shared" si="18"/>
        <v>0</v>
      </c>
      <c r="AT75" s="162">
        <f t="shared" si="18"/>
        <v>0</v>
      </c>
      <c r="AU75" s="1240">
        <f t="shared" si="18"/>
        <v>0</v>
      </c>
      <c r="AV75" s="1240">
        <f t="shared" si="18"/>
        <v>0</v>
      </c>
      <c r="AW75" s="1240">
        <f t="shared" si="18"/>
        <v>0</v>
      </c>
      <c r="AX75" s="1240">
        <f t="shared" si="18"/>
        <v>0</v>
      </c>
      <c r="AY75" s="1240">
        <f t="shared" si="18"/>
        <v>0</v>
      </c>
      <c r="AZ75" s="1241"/>
      <c r="BA75" s="170"/>
      <c r="BB75" s="170"/>
      <c r="BC75" s="958" t="s">
        <v>505</v>
      </c>
    </row>
    <row r="76" spans="1:55" s="1275" customFormat="1" ht="16.5" customHeight="1">
      <c r="A76" s="170"/>
      <c r="B76" s="170"/>
      <c r="C76" s="170"/>
      <c r="D76" s="170"/>
      <c r="E76" s="676">
        <v>17.100000000000001</v>
      </c>
      <c r="F76" s="779" t="str" cm="1">
        <f t="array" aca="1" ref="F76" ca="1">OFFSET(G76,-1,-1)</f>
        <v>2</v>
      </c>
      <c r="G76" s="170"/>
      <c r="H76" s="170"/>
      <c r="I76" s="170"/>
      <c r="J76" s="170"/>
      <c r="K76" s="170"/>
      <c r="L76" s="170"/>
      <c r="M76" s="170"/>
      <c r="N76" s="170"/>
      <c r="O76" s="170"/>
      <c r="P76" s="170"/>
      <c r="Q76" s="170"/>
      <c r="R76" s="170"/>
      <c r="S76" s="170"/>
      <c r="T76" s="170"/>
      <c r="U76" s="687" t="b" cm="1">
        <f t="array" ref="U76">U75</f>
        <v>1</v>
      </c>
      <c r="V76" s="170"/>
      <c r="W76" s="170"/>
      <c r="X76" s="170"/>
      <c r="Y76" s="1724"/>
      <c r="Z76" s="1724"/>
      <c r="AA76" s="170"/>
      <c r="AB76" s="486" t="str">
        <f>AB75&amp;".1"</f>
        <v>2.1.2.1</v>
      </c>
      <c r="AC76" s="488" t="s">
        <v>497</v>
      </c>
      <c r="AD76" s="562" t="s">
        <v>498</v>
      </c>
      <c r="AE76" s="1252">
        <v>303.61</v>
      </c>
      <c r="AF76" s="230"/>
      <c r="AG76" s="230"/>
      <c r="AH76" s="230"/>
      <c r="AI76" s="230"/>
      <c r="AJ76" s="230"/>
      <c r="AK76" s="1249"/>
      <c r="AL76" s="1249"/>
      <c r="AM76" s="1249"/>
      <c r="AN76" s="1249"/>
      <c r="AO76" s="1249"/>
      <c r="AP76" s="230">
        <v>303.88249999999999</v>
      </c>
      <c r="AQ76" s="230"/>
      <c r="AR76" s="230"/>
      <c r="AS76" s="230"/>
      <c r="AT76" s="230"/>
      <c r="AU76" s="1249"/>
      <c r="AV76" s="1249"/>
      <c r="AW76" s="1249"/>
      <c r="AX76" s="1249"/>
      <c r="AY76" s="1249"/>
      <c r="AZ76" s="1241"/>
      <c r="BA76" s="170"/>
      <c r="BB76" s="170"/>
      <c r="BC76" s="958" t="s">
        <v>506</v>
      </c>
    </row>
    <row r="77" spans="1:55" s="1276" customFormat="1" ht="16.5" customHeight="1">
      <c r="A77" s="170"/>
      <c r="B77" s="170"/>
      <c r="C77" s="170"/>
      <c r="D77" s="170"/>
      <c r="E77" s="676">
        <v>17.100000000000001</v>
      </c>
      <c r="F77" s="779" t="str" cm="1">
        <f t="array" aca="1" ref="F77" ca="1">OFFSET(G77,-1,-1)</f>
        <v>2</v>
      </c>
      <c r="G77" s="170"/>
      <c r="H77" s="170"/>
      <c r="I77" s="170"/>
      <c r="J77" s="170"/>
      <c r="K77" s="170"/>
      <c r="L77" s="170"/>
      <c r="M77" s="170"/>
      <c r="N77" s="170"/>
      <c r="O77" s="170"/>
      <c r="P77" s="170"/>
      <c r="Q77" s="170"/>
      <c r="R77" s="170"/>
      <c r="S77" s="170"/>
      <c r="T77" s="170"/>
      <c r="U77" s="687" t="b" cm="1">
        <f t="array" ref="U77">U76</f>
        <v>1</v>
      </c>
      <c r="V77" s="170"/>
      <c r="W77" s="170"/>
      <c r="X77" s="170"/>
      <c r="Y77" s="1724"/>
      <c r="Z77" s="1724"/>
      <c r="AA77" s="170"/>
      <c r="AB77" s="486" t="str">
        <f>AB75&amp;".2"</f>
        <v>2.1.2.2</v>
      </c>
      <c r="AC77" s="606" t="s">
        <v>500</v>
      </c>
      <c r="AD77" s="124" t="s">
        <v>501</v>
      </c>
      <c r="AE77" s="1249">
        <v>4.7699999999999996</v>
      </c>
      <c r="AF77" s="492"/>
      <c r="AG77" s="230"/>
      <c r="AH77" s="230"/>
      <c r="AI77" s="230"/>
      <c r="AJ77" s="230"/>
      <c r="AK77" s="1249"/>
      <c r="AL77" s="1249"/>
      <c r="AM77" s="1249"/>
      <c r="AN77" s="1249"/>
      <c r="AO77" s="1249"/>
      <c r="AP77" s="230">
        <v>4.7699999999999996</v>
      </c>
      <c r="AQ77" s="230"/>
      <c r="AR77" s="230"/>
      <c r="AS77" s="230"/>
      <c r="AT77" s="230"/>
      <c r="AU77" s="1249"/>
      <c r="AV77" s="1249"/>
      <c r="AW77" s="1249"/>
      <c r="AX77" s="1249"/>
      <c r="AY77" s="1249"/>
      <c r="AZ77" s="1241"/>
      <c r="BA77" s="170"/>
      <c r="BB77" s="170"/>
      <c r="BC77" s="958" t="s">
        <v>507</v>
      </c>
    </row>
    <row r="78" spans="1:55" s="1277" customFormat="1" ht="16.5" customHeight="1">
      <c r="A78" s="170"/>
      <c r="B78" s="170"/>
      <c r="C78" s="170"/>
      <c r="D78" s="170"/>
      <c r="E78" s="676">
        <v>17.100000000000001</v>
      </c>
      <c r="F78" s="779" t="str" cm="1">
        <f t="array" aca="1" ref="F78" ca="1">OFFSET(G78,-1,-1)</f>
        <v>2</v>
      </c>
      <c r="G78" s="170"/>
      <c r="H78" s="170"/>
      <c r="I78" s="170"/>
      <c r="J78" s="170"/>
      <c r="K78" s="170"/>
      <c r="L78" s="170"/>
      <c r="M78" s="170"/>
      <c r="N78" s="170"/>
      <c r="O78" s="170"/>
      <c r="P78" s="170"/>
      <c r="Q78" s="170"/>
      <c r="R78" s="170"/>
      <c r="S78" s="170"/>
      <c r="T78" s="170"/>
      <c r="U78" s="687" t="b" cm="1">
        <f t="array" ref="U78">U77</f>
        <v>1</v>
      </c>
      <c r="V78" s="170"/>
      <c r="W78" s="170"/>
      <c r="X78" s="170"/>
      <c r="Y78" s="1724"/>
      <c r="Z78" s="1724"/>
      <c r="AA78" s="170"/>
      <c r="AB78" s="235" t="s">
        <v>508</v>
      </c>
      <c r="AC78" s="607" t="s">
        <v>509</v>
      </c>
      <c r="AD78" s="235" t="s">
        <v>481</v>
      </c>
      <c r="AE78" s="1249">
        <f t="shared" ref="AE78:AY78" si="19">1.25*(11*AE80+MAX(0.06*AE80*(AE79-100),0))</f>
        <v>0</v>
      </c>
      <c r="AF78" s="610">
        <f t="shared" si="19"/>
        <v>0</v>
      </c>
      <c r="AG78" s="162">
        <f t="shared" si="19"/>
        <v>0</v>
      </c>
      <c r="AH78" s="162">
        <f t="shared" si="19"/>
        <v>0</v>
      </c>
      <c r="AI78" s="162">
        <f t="shared" si="19"/>
        <v>0</v>
      </c>
      <c r="AJ78" s="162">
        <f t="shared" si="19"/>
        <v>0</v>
      </c>
      <c r="AK78" s="1240">
        <f t="shared" si="19"/>
        <v>0</v>
      </c>
      <c r="AL78" s="1240">
        <f t="shared" si="19"/>
        <v>0</v>
      </c>
      <c r="AM78" s="1240">
        <f t="shared" si="19"/>
        <v>0</v>
      </c>
      <c r="AN78" s="1240">
        <f t="shared" si="19"/>
        <v>0</v>
      </c>
      <c r="AO78" s="1240">
        <f t="shared" si="19"/>
        <v>0</v>
      </c>
      <c r="AP78" s="162">
        <f t="shared" si="19"/>
        <v>0</v>
      </c>
      <c r="AQ78" s="162">
        <f t="shared" si="19"/>
        <v>0</v>
      </c>
      <c r="AR78" s="162">
        <f t="shared" si="19"/>
        <v>0</v>
      </c>
      <c r="AS78" s="162">
        <f t="shared" si="19"/>
        <v>0</v>
      </c>
      <c r="AT78" s="162">
        <f t="shared" si="19"/>
        <v>0</v>
      </c>
      <c r="AU78" s="1240">
        <f t="shared" si="19"/>
        <v>0</v>
      </c>
      <c r="AV78" s="1240">
        <f t="shared" si="19"/>
        <v>0</v>
      </c>
      <c r="AW78" s="1240">
        <f t="shared" si="19"/>
        <v>0</v>
      </c>
      <c r="AX78" s="1240">
        <f t="shared" si="19"/>
        <v>0</v>
      </c>
      <c r="AY78" s="1240">
        <f t="shared" si="19"/>
        <v>0</v>
      </c>
      <c r="AZ78" s="1241"/>
      <c r="BA78" s="170"/>
      <c r="BB78" s="170"/>
      <c r="BC78" s="958" t="s">
        <v>510</v>
      </c>
    </row>
    <row r="79" spans="1:55" s="1278" customFormat="1" ht="16.5" customHeight="1">
      <c r="A79" s="170"/>
      <c r="B79" s="170"/>
      <c r="C79" s="170"/>
      <c r="D79" s="170"/>
      <c r="E79" s="676">
        <v>17.100000000000001</v>
      </c>
      <c r="F79" s="779" t="str" cm="1">
        <f t="array" aca="1" ref="F79" ca="1">OFFSET(G79,-1,-1)</f>
        <v>2</v>
      </c>
      <c r="G79" s="170"/>
      <c r="H79" s="170"/>
      <c r="I79" s="170"/>
      <c r="J79" s="170"/>
      <c r="K79" s="170"/>
      <c r="L79" s="170"/>
      <c r="M79" s="170"/>
      <c r="N79" s="170"/>
      <c r="O79" s="170"/>
      <c r="P79" s="170"/>
      <c r="Q79" s="170"/>
      <c r="R79" s="170"/>
      <c r="S79" s="170"/>
      <c r="T79" s="170"/>
      <c r="U79" s="687" t="b" cm="1">
        <f t="array" ref="U79">U78</f>
        <v>1</v>
      </c>
      <c r="V79" s="170"/>
      <c r="W79" s="170"/>
      <c r="X79" s="170"/>
      <c r="Y79" s="1724"/>
      <c r="Z79" s="1724"/>
      <c r="AA79" s="170"/>
      <c r="AB79" s="486" t="str">
        <f>AB78&amp;".1"</f>
        <v>2.1.3.1</v>
      </c>
      <c r="AC79" s="606" t="s">
        <v>497</v>
      </c>
      <c r="AD79" s="124" t="s">
        <v>498</v>
      </c>
      <c r="AE79" s="1249"/>
      <c r="AF79" s="491"/>
      <c r="AG79" s="491"/>
      <c r="AH79" s="491"/>
      <c r="AI79" s="491"/>
      <c r="AJ79" s="491"/>
      <c r="AK79" s="1256"/>
      <c r="AL79" s="1256"/>
      <c r="AM79" s="1256"/>
      <c r="AN79" s="1256"/>
      <c r="AO79" s="1256"/>
      <c r="AP79" s="491"/>
      <c r="AQ79" s="491"/>
      <c r="AR79" s="491"/>
      <c r="AS79" s="491"/>
      <c r="AT79" s="491"/>
      <c r="AU79" s="1256"/>
      <c r="AV79" s="1256"/>
      <c r="AW79" s="1256"/>
      <c r="AX79" s="1256"/>
      <c r="AY79" s="1256"/>
      <c r="AZ79" s="1241"/>
      <c r="BA79" s="170"/>
      <c r="BB79" s="170"/>
      <c r="BC79" s="958" t="s">
        <v>511</v>
      </c>
    </row>
    <row r="80" spans="1:55" s="1279" customFormat="1" ht="16.5" customHeight="1">
      <c r="A80" s="170"/>
      <c r="B80" s="170"/>
      <c r="C80" s="170"/>
      <c r="D80" s="170"/>
      <c r="E80" s="676">
        <v>17.100000000000001</v>
      </c>
      <c r="F80" s="779" t="str" cm="1">
        <f t="array" aca="1" ref="F80" ca="1">OFFSET(G80,-1,-1)</f>
        <v>2</v>
      </c>
      <c r="G80" s="170"/>
      <c r="H80" s="170"/>
      <c r="I80" s="170"/>
      <c r="J80" s="170"/>
      <c r="K80" s="170"/>
      <c r="L80" s="170"/>
      <c r="M80" s="170"/>
      <c r="N80" s="170"/>
      <c r="O80" s="170"/>
      <c r="P80" s="170"/>
      <c r="Q80" s="170"/>
      <c r="R80" s="170"/>
      <c r="S80" s="170"/>
      <c r="T80" s="170"/>
      <c r="U80" s="687" t="b" cm="1">
        <f t="array" ref="U80">U79</f>
        <v>1</v>
      </c>
      <c r="V80" s="170"/>
      <c r="W80" s="170"/>
      <c r="X80" s="170"/>
      <c r="Y80" s="1724"/>
      <c r="Z80" s="1724"/>
      <c r="AA80" s="170"/>
      <c r="AB80" s="486" t="str">
        <f>AB78&amp;".2"</f>
        <v>2.1.3.2</v>
      </c>
      <c r="AC80" s="606" t="s">
        <v>500</v>
      </c>
      <c r="AD80" s="124" t="s">
        <v>501</v>
      </c>
      <c r="AE80" s="1249"/>
      <c r="AF80" s="492"/>
      <c r="AG80" s="492"/>
      <c r="AH80" s="492"/>
      <c r="AI80" s="492"/>
      <c r="AJ80" s="492"/>
      <c r="AK80" s="1258"/>
      <c r="AL80" s="1258"/>
      <c r="AM80" s="1258"/>
      <c r="AN80" s="1258"/>
      <c r="AO80" s="1258"/>
      <c r="AP80" s="492"/>
      <c r="AQ80" s="492"/>
      <c r="AR80" s="492"/>
      <c r="AS80" s="492"/>
      <c r="AT80" s="492"/>
      <c r="AU80" s="1258"/>
      <c r="AV80" s="1258"/>
      <c r="AW80" s="1258"/>
      <c r="AX80" s="1258"/>
      <c r="AY80" s="1258"/>
      <c r="AZ80" s="1241"/>
      <c r="BA80" s="170"/>
      <c r="BB80" s="170"/>
      <c r="BC80" s="958" t="s">
        <v>512</v>
      </c>
    </row>
    <row r="81" spans="1:55" s="1280" customFormat="1" ht="16.5" customHeight="1">
      <c r="A81" s="170"/>
      <c r="B81" s="170"/>
      <c r="C81" s="170"/>
      <c r="D81" s="170"/>
      <c r="E81" s="676">
        <v>17.100000000000001</v>
      </c>
      <c r="F81" s="779" t="str" cm="1">
        <f t="array" aca="1" ref="F81" ca="1">OFFSET(G81,-1,-1)</f>
        <v>2</v>
      </c>
      <c r="G81" s="170"/>
      <c r="H81" s="163" t="s">
        <v>479</v>
      </c>
      <c r="I81" s="163" t="str">
        <f>AC81&amp;"::"&amp;AD81</f>
        <v>Четырехтрубные::УЕ</v>
      </c>
      <c r="J81" s="170"/>
      <c r="K81" s="170"/>
      <c r="L81" s="170"/>
      <c r="M81" s="170"/>
      <c r="N81" s="170"/>
      <c r="O81" s="170"/>
      <c r="P81" s="170"/>
      <c r="Q81" s="170"/>
      <c r="R81" s="170"/>
      <c r="S81" s="170"/>
      <c r="T81" s="170"/>
      <c r="U81" s="687" t="b" cm="1">
        <f t="array" ref="U81">U80</f>
        <v>1</v>
      </c>
      <c r="V81" s="170"/>
      <c r="W81" s="170"/>
      <c r="X81" s="170"/>
      <c r="Y81" s="1724"/>
      <c r="Z81" s="1724"/>
      <c r="AA81" s="170"/>
      <c r="AB81" s="235" t="s">
        <v>513</v>
      </c>
      <c r="AC81" s="607" t="s">
        <v>514</v>
      </c>
      <c r="AD81" s="235" t="s">
        <v>481</v>
      </c>
      <c r="AE81" s="1249">
        <f t="shared" ref="AE81:AY81" si="20">1.5*(11*AE83+MAX(0.06*AE83*(AE82-100),0))</f>
        <v>311.73140999999998</v>
      </c>
      <c r="AF81" s="610">
        <f t="shared" si="20"/>
        <v>0</v>
      </c>
      <c r="AG81" s="162">
        <f t="shared" si="20"/>
        <v>0</v>
      </c>
      <c r="AH81" s="162">
        <f t="shared" si="20"/>
        <v>0</v>
      </c>
      <c r="AI81" s="162">
        <f t="shared" si="20"/>
        <v>0</v>
      </c>
      <c r="AJ81" s="162">
        <f t="shared" si="20"/>
        <v>0</v>
      </c>
      <c r="AK81" s="1240">
        <f t="shared" si="20"/>
        <v>0</v>
      </c>
      <c r="AL81" s="1240">
        <f t="shared" si="20"/>
        <v>0</v>
      </c>
      <c r="AM81" s="1240">
        <f t="shared" si="20"/>
        <v>0</v>
      </c>
      <c r="AN81" s="1240">
        <f t="shared" si="20"/>
        <v>0</v>
      </c>
      <c r="AO81" s="1240">
        <f t="shared" si="20"/>
        <v>0</v>
      </c>
      <c r="AP81" s="162">
        <f t="shared" si="20"/>
        <v>313.06635879119995</v>
      </c>
      <c r="AQ81" s="162">
        <f t="shared" si="20"/>
        <v>0</v>
      </c>
      <c r="AR81" s="162">
        <f t="shared" si="20"/>
        <v>0</v>
      </c>
      <c r="AS81" s="162">
        <f t="shared" si="20"/>
        <v>0</v>
      </c>
      <c r="AT81" s="162">
        <f t="shared" si="20"/>
        <v>0</v>
      </c>
      <c r="AU81" s="1240">
        <f t="shared" si="20"/>
        <v>0</v>
      </c>
      <c r="AV81" s="1240">
        <f t="shared" si="20"/>
        <v>0</v>
      </c>
      <c r="AW81" s="1240">
        <f t="shared" si="20"/>
        <v>0</v>
      </c>
      <c r="AX81" s="1240">
        <f t="shared" si="20"/>
        <v>0</v>
      </c>
      <c r="AY81" s="1240">
        <f t="shared" si="20"/>
        <v>0</v>
      </c>
      <c r="AZ81" s="1241"/>
      <c r="BA81" s="170"/>
      <c r="BB81" s="170"/>
      <c r="BC81" s="958" t="s">
        <v>515</v>
      </c>
    </row>
    <row r="82" spans="1:55" s="1281" customFormat="1" ht="16.5" customHeight="1">
      <c r="A82" s="170"/>
      <c r="B82" s="170"/>
      <c r="C82" s="170"/>
      <c r="D82" s="170"/>
      <c r="E82" s="676">
        <v>17.100000000000001</v>
      </c>
      <c r="F82" s="779" t="str" cm="1">
        <f t="array" aca="1" ref="F82" ca="1">OFFSET(G82,-1,-1)</f>
        <v>2</v>
      </c>
      <c r="G82" s="170"/>
      <c r="H82" s="170"/>
      <c r="I82" s="170"/>
      <c r="J82" s="170"/>
      <c r="K82" s="170"/>
      <c r="L82" s="170"/>
      <c r="M82" s="170"/>
      <c r="N82" s="170"/>
      <c r="O82" s="170"/>
      <c r="P82" s="170"/>
      <c r="Q82" s="170"/>
      <c r="R82" s="170"/>
      <c r="S82" s="170"/>
      <c r="T82" s="170"/>
      <c r="U82" s="687" t="b" cm="1">
        <f t="array" ref="U82">U81</f>
        <v>1</v>
      </c>
      <c r="V82" s="170"/>
      <c r="W82" s="170"/>
      <c r="X82" s="170"/>
      <c r="Y82" s="1724"/>
      <c r="Z82" s="1724"/>
      <c r="AA82" s="170"/>
      <c r="AB82" s="486" t="str">
        <f>AB81&amp;".1"</f>
        <v>2.1.4.1</v>
      </c>
      <c r="AC82" s="606" t="s">
        <v>497</v>
      </c>
      <c r="AD82" s="124" t="s">
        <v>498</v>
      </c>
      <c r="AE82" s="1249">
        <v>125.7</v>
      </c>
      <c r="AF82" s="492"/>
      <c r="AG82" s="492"/>
      <c r="AH82" s="492"/>
      <c r="AI82" s="492"/>
      <c r="AJ82" s="492"/>
      <c r="AK82" s="1258"/>
      <c r="AL82" s="1258"/>
      <c r="AM82" s="1258"/>
      <c r="AN82" s="1258"/>
      <c r="AO82" s="1258"/>
      <c r="AP82" s="492">
        <v>125.5752</v>
      </c>
      <c r="AQ82" s="492"/>
      <c r="AR82" s="492"/>
      <c r="AS82" s="492"/>
      <c r="AT82" s="492"/>
      <c r="AU82" s="1258"/>
      <c r="AV82" s="1258"/>
      <c r="AW82" s="1258"/>
      <c r="AX82" s="1258"/>
      <c r="AY82" s="1258"/>
      <c r="AZ82" s="1241"/>
      <c r="BA82" s="170"/>
      <c r="BB82" s="170"/>
      <c r="BC82" s="958" t="s">
        <v>516</v>
      </c>
    </row>
    <row r="83" spans="1:55" s="1282" customFormat="1" ht="16.5" customHeight="1">
      <c r="A83" s="170"/>
      <c r="B83" s="170"/>
      <c r="C83" s="170"/>
      <c r="D83" s="170"/>
      <c r="E83" s="676">
        <v>17.100000000000001</v>
      </c>
      <c r="F83" s="779" t="str" cm="1">
        <f t="array" aca="1" ref="F83" ca="1">OFFSET(G83,-1,-1)</f>
        <v>2</v>
      </c>
      <c r="G83" s="170"/>
      <c r="H83" s="170"/>
      <c r="I83" s="170"/>
      <c r="J83" s="170"/>
      <c r="K83" s="170"/>
      <c r="L83" s="170"/>
      <c r="M83" s="170"/>
      <c r="N83" s="170"/>
      <c r="O83" s="170"/>
      <c r="P83" s="170"/>
      <c r="Q83" s="170"/>
      <c r="R83" s="170"/>
      <c r="S83" s="170"/>
      <c r="T83" s="170"/>
      <c r="U83" s="687" t="b" cm="1">
        <f t="array" ref="U83">U82</f>
        <v>1</v>
      </c>
      <c r="V83" s="170"/>
      <c r="W83" s="170"/>
      <c r="X83" s="170"/>
      <c r="Y83" s="1724"/>
      <c r="Z83" s="1724"/>
      <c r="AA83" s="170"/>
      <c r="AB83" s="486" t="str">
        <f>AB81&amp;".2"</f>
        <v>2.1.4.2</v>
      </c>
      <c r="AC83" s="606" t="s">
        <v>500</v>
      </c>
      <c r="AD83" s="124" t="s">
        <v>501</v>
      </c>
      <c r="AE83" s="1249">
        <v>16.57</v>
      </c>
      <c r="AF83" s="492"/>
      <c r="AG83" s="492"/>
      <c r="AH83" s="492"/>
      <c r="AI83" s="492"/>
      <c r="AJ83" s="492"/>
      <c r="AK83" s="1258"/>
      <c r="AL83" s="1258"/>
      <c r="AM83" s="1258"/>
      <c r="AN83" s="1258"/>
      <c r="AO83" s="1258"/>
      <c r="AP83" s="492">
        <v>16.6509</v>
      </c>
      <c r="AQ83" s="492"/>
      <c r="AR83" s="492"/>
      <c r="AS83" s="492"/>
      <c r="AT83" s="492"/>
      <c r="AU83" s="1258"/>
      <c r="AV83" s="1258"/>
      <c r="AW83" s="1258"/>
      <c r="AX83" s="1258"/>
      <c r="AY83" s="1258"/>
      <c r="AZ83" s="1241"/>
      <c r="BA83" s="170"/>
      <c r="BB83" s="170"/>
      <c r="BC83" s="958" t="s">
        <v>517</v>
      </c>
    </row>
    <row r="84" spans="1:55" s="1283" customFormat="1" ht="30" customHeight="1">
      <c r="A84" s="170"/>
      <c r="B84" s="170"/>
      <c r="C84" s="170"/>
      <c r="D84" s="170"/>
      <c r="E84" s="676">
        <v>30.8</v>
      </c>
      <c r="F84" s="779" t="str" cm="1">
        <f t="array" aca="1" ref="F84" ca="1">OFFSET(G84,-1,-1)</f>
        <v>2</v>
      </c>
      <c r="G84" s="170"/>
      <c r="H84" s="170"/>
      <c r="I84" s="170"/>
      <c r="J84" s="170"/>
      <c r="K84" s="170"/>
      <c r="L84" s="170"/>
      <c r="M84" s="170"/>
      <c r="N84" s="170"/>
      <c r="O84" s="170"/>
      <c r="P84" s="170"/>
      <c r="Q84" s="170"/>
      <c r="R84" s="170"/>
      <c r="S84" s="170"/>
      <c r="T84" s="170"/>
      <c r="U84" s="687" t="b" cm="1">
        <f t="array" ref="U84">U83</f>
        <v>1</v>
      </c>
      <c r="V84" s="170"/>
      <c r="W84" s="170"/>
      <c r="X84" s="170"/>
      <c r="Y84" s="1724"/>
      <c r="Z84" s="1724"/>
      <c r="AA84" s="170"/>
      <c r="AB84" s="481" t="s">
        <v>518</v>
      </c>
      <c r="AC84" s="608" t="s">
        <v>519</v>
      </c>
      <c r="AD84" s="124" t="s">
        <v>520</v>
      </c>
      <c r="AE84" s="1249">
        <v>7</v>
      </c>
      <c r="AF84" s="492"/>
      <c r="AG84" s="230"/>
      <c r="AH84" s="230"/>
      <c r="AI84" s="230"/>
      <c r="AJ84" s="230"/>
      <c r="AK84" s="1249"/>
      <c r="AL84" s="1249"/>
      <c r="AM84" s="1249"/>
      <c r="AN84" s="1249"/>
      <c r="AO84" s="1249"/>
      <c r="AP84" s="230">
        <v>7</v>
      </c>
      <c r="AQ84" s="230"/>
      <c r="AR84" s="230"/>
      <c r="AS84" s="230"/>
      <c r="AT84" s="230"/>
      <c r="AU84" s="1249"/>
      <c r="AV84" s="1249"/>
      <c r="AW84" s="1249"/>
      <c r="AX84" s="1249"/>
      <c r="AY84" s="1249"/>
      <c r="AZ84" s="1241"/>
      <c r="BA84" s="170"/>
      <c r="BB84" s="170"/>
      <c r="BC84" s="958" t="s">
        <v>521</v>
      </c>
    </row>
    <row r="85" spans="1:55" s="1284" customFormat="1" ht="38.25" customHeight="1">
      <c r="A85" s="170"/>
      <c r="B85" s="170"/>
      <c r="C85" s="170"/>
      <c r="D85" s="170"/>
      <c r="E85" s="676">
        <v>39.799999999999997</v>
      </c>
      <c r="F85" s="779" t="str" cm="1">
        <f t="array" aca="1" ref="F85" ca="1">OFFSET(G85,-1,-1)</f>
        <v>2</v>
      </c>
      <c r="G85" s="170"/>
      <c r="H85" s="170"/>
      <c r="I85" s="170"/>
      <c r="J85" s="170"/>
      <c r="K85" s="170"/>
      <c r="L85" s="170"/>
      <c r="M85" s="170"/>
      <c r="N85" s="170"/>
      <c r="O85" s="170"/>
      <c r="P85" s="170"/>
      <c r="Q85" s="170"/>
      <c r="R85" s="170"/>
      <c r="S85" s="170"/>
      <c r="T85" s="170"/>
      <c r="U85" s="687" t="b" cm="1">
        <f t="array" ref="U85">U84</f>
        <v>1</v>
      </c>
      <c r="V85" s="170"/>
      <c r="W85" s="170"/>
      <c r="X85" s="170"/>
      <c r="Y85" s="1724"/>
      <c r="Z85" s="1724"/>
      <c r="AA85" s="170"/>
      <c r="AB85" s="482" t="s">
        <v>522</v>
      </c>
      <c r="AC85" s="609" t="s">
        <v>523</v>
      </c>
      <c r="AD85" s="124" t="s">
        <v>524</v>
      </c>
      <c r="AE85" s="1249"/>
      <c r="AF85" s="492"/>
      <c r="AG85" s="230"/>
      <c r="AH85" s="230"/>
      <c r="AI85" s="230"/>
      <c r="AJ85" s="230"/>
      <c r="AK85" s="1249"/>
      <c r="AL85" s="1249"/>
      <c r="AM85" s="1249"/>
      <c r="AN85" s="1249"/>
      <c r="AO85" s="1249"/>
      <c r="AP85" s="230"/>
      <c r="AQ85" s="230"/>
      <c r="AR85" s="230"/>
      <c r="AS85" s="230"/>
      <c r="AT85" s="230"/>
      <c r="AU85" s="1249"/>
      <c r="AV85" s="1249"/>
      <c r="AW85" s="1249"/>
      <c r="AX85" s="1249"/>
      <c r="AY85" s="1249"/>
      <c r="AZ85" s="1241"/>
      <c r="BA85" s="170"/>
      <c r="BB85" s="170"/>
      <c r="BC85" s="958" t="s">
        <v>525</v>
      </c>
    </row>
    <row r="86" spans="1:55" s="1285" customFormat="1" ht="48" customHeight="1">
      <c r="A86" s="170"/>
      <c r="B86" s="170"/>
      <c r="C86" s="170"/>
      <c r="D86" s="170"/>
      <c r="E86" s="676">
        <v>49.5</v>
      </c>
      <c r="F86" s="779" t="str" cm="1">
        <f t="array" aca="1" ref="F86" ca="1">OFFSET(G86,-1,-1)</f>
        <v>2</v>
      </c>
      <c r="G86" s="170"/>
      <c r="H86" s="163" t="s">
        <v>479</v>
      </c>
      <c r="I86" s="163"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170"/>
      <c r="K86" s="170"/>
      <c r="L86" s="170"/>
      <c r="M86" s="170"/>
      <c r="N86" s="170"/>
      <c r="O86" s="170"/>
      <c r="P86" s="170"/>
      <c r="Q86" s="170"/>
      <c r="R86" s="170"/>
      <c r="S86" s="170"/>
      <c r="T86" s="170"/>
      <c r="U86" s="687" t="b" cm="1">
        <f t="array" ref="U86">U85</f>
        <v>1</v>
      </c>
      <c r="V86" s="170"/>
      <c r="W86" s="170"/>
      <c r="X86" s="170"/>
      <c r="Y86" s="1724"/>
      <c r="Z86" s="1724"/>
      <c r="AA86" s="170"/>
      <c r="AB86" s="482" t="s">
        <v>526</v>
      </c>
      <c r="AC86" s="115" t="s">
        <v>527</v>
      </c>
      <c r="AD86" s="468" t="s">
        <v>486</v>
      </c>
      <c r="AE86" s="1265">
        <v>61.8</v>
      </c>
      <c r="AF86" s="230"/>
      <c r="AG86" s="230"/>
      <c r="AH86" s="230"/>
      <c r="AI86" s="230"/>
      <c r="AJ86" s="230"/>
      <c r="AK86" s="1249"/>
      <c r="AL86" s="1249"/>
      <c r="AM86" s="1249"/>
      <c r="AN86" s="1249"/>
      <c r="AO86" s="1249"/>
      <c r="AP86" s="230">
        <v>62.521000000000001</v>
      </c>
      <c r="AQ86" s="230"/>
      <c r="AR86" s="230"/>
      <c r="AS86" s="230"/>
      <c r="AT86" s="230"/>
      <c r="AU86" s="1249"/>
      <c r="AV86" s="1249"/>
      <c r="AW86" s="1249"/>
      <c r="AX86" s="1249"/>
      <c r="AY86" s="1249"/>
      <c r="AZ86" s="1241"/>
      <c r="BA86" s="170"/>
      <c r="BB86" s="170"/>
      <c r="BC86" s="958" t="s">
        <v>528</v>
      </c>
    </row>
    <row r="87" spans="1:55" s="170" customFormat="1" ht="11.1" customHeight="1">
      <c r="A87" s="126"/>
      <c r="B87" s="667"/>
      <c r="C87" s="126"/>
      <c r="D87" s="126"/>
      <c r="E87" s="676">
        <v>11.4</v>
      </c>
      <c r="F87" s="779"/>
      <c r="G87" s="163"/>
      <c r="H87" s="163"/>
      <c r="I87" s="163"/>
      <c r="J87" s="163"/>
      <c r="K87" s="163"/>
      <c r="L87" s="163"/>
      <c r="M87" s="163"/>
      <c r="N87" s="163"/>
      <c r="O87" s="163"/>
      <c r="P87" s="163"/>
      <c r="Q87" s="163"/>
      <c r="R87" s="163"/>
      <c r="S87" s="163"/>
      <c r="T87" s="163"/>
      <c r="U87" s="126"/>
      <c r="V87" s="126" t="s">
        <v>238</v>
      </c>
      <c r="W87" s="122" t="s">
        <v>529</v>
      </c>
      <c r="X87" s="126"/>
      <c r="Y87" s="126"/>
      <c r="Z87" s="126"/>
      <c r="AB87" s="144"/>
      <c r="AC87" s="144"/>
      <c r="AD87" s="144"/>
      <c r="AE87" s="150"/>
      <c r="AF87" s="144"/>
      <c r="AG87" s="144"/>
      <c r="AH87" s="144"/>
      <c r="AI87" s="144"/>
      <c r="AJ87" s="144"/>
      <c r="AK87" s="144"/>
      <c r="AL87" s="144"/>
      <c r="AM87" s="144"/>
      <c r="AN87" s="144"/>
      <c r="AO87" s="144"/>
      <c r="AP87" s="144"/>
      <c r="AQ87" s="144"/>
      <c r="AR87" s="144"/>
      <c r="AS87" s="144"/>
      <c r="AT87" s="144"/>
      <c r="AU87" s="144"/>
      <c r="AV87" s="144"/>
      <c r="AW87" s="144"/>
      <c r="AX87" s="144"/>
      <c r="AY87" s="144"/>
      <c r="AZ87" s="150"/>
      <c r="BA87" s="151"/>
      <c r="BC87" s="958"/>
    </row>
  </sheetData>
  <sheetProtection formatColumns="0" formatRows="0" insertRows="0" deleteColumns="0" deleteRows="0" sort="0" autoFilter="0"/>
  <mergeCells count="12">
    <mergeCell ref="Z47:Z66"/>
    <mergeCell ref="Y47:Y66"/>
    <mergeCell ref="Z67:Z86"/>
    <mergeCell ref="Y67:Y8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8FB8-7B6D-EBD8-06F5-75340E415288}">
  <sheetPr>
    <tabColor theme="3" tint="0.59999389629810485"/>
    <outlinePr summaryBelow="0" summaryRight="0"/>
    <pageSetUpPr fitToPage="1"/>
  </sheetPr>
  <dimension ref="A1:BE110"/>
  <sheetViews>
    <sheetView showGridLines="0" workbookViewId="0">
      <pane xSplit="30" ySplit="25" topLeftCell="AF26" activePane="bottomRight" state="frozen"/>
      <selection pane="topRight" activeCell="AE1" sqref="AE1"/>
      <selection pane="bottomLeft" activeCell="A26" sqref="A26"/>
      <selection pane="bottomRight" activeCell="AO24" sqref="AO24"/>
    </sheetView>
  </sheetViews>
  <sheetFormatPr defaultColWidth="9.140625" defaultRowHeight="11.25" customHeight="1"/>
  <cols>
    <col min="1" max="1" width="3.5703125" style="98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1153" hidden="1" customWidth="1"/>
    <col min="17" max="18" width="3.5703125" style="779" hidden="1" customWidth="1"/>
    <col min="19" max="19" width="5.85546875" style="1153" hidden="1" customWidth="1"/>
    <col min="20" max="20" width="3.5703125" style="1153" hidden="1" customWidth="1"/>
    <col min="21" max="21" width="6.7109375" style="1153" hidden="1" customWidth="1"/>
    <col min="22" max="22" width="6" style="1153" hidden="1" customWidth="1"/>
    <col min="23" max="23" width="6.28515625" style="1153" hidden="1" customWidth="1"/>
    <col min="24" max="24" width="6.42578125" style="1153" hidden="1" customWidth="1"/>
    <col min="25" max="25" width="5.85546875" style="1153" hidden="1" customWidth="1"/>
    <col min="26" max="26" width="5.42578125" style="1153" hidden="1" customWidth="1"/>
    <col min="27" max="27" width="3" style="170" customWidth="1"/>
    <col min="28" max="28" width="6.140625" style="791" customWidth="1"/>
    <col min="29" max="29" width="52" style="161" customWidth="1"/>
    <col min="30" max="30" width="13.5703125" style="170" customWidth="1"/>
    <col min="31" max="35" width="15.140625" style="170" customWidth="1"/>
    <col min="36" max="40" width="15.140625" style="170" hidden="1" customWidth="1"/>
    <col min="41" max="45" width="15.140625" style="170" customWidth="1"/>
    <col min="46" max="50" width="15.140625" style="170" hidden="1" customWidth="1"/>
    <col min="51" max="51" width="3" style="170" customWidth="1"/>
    <col min="52" max="52" width="9.140625" style="170" hidden="1"/>
    <col min="53" max="55" width="9.140625" style="1011" hidden="1"/>
    <col min="56" max="57" width="9.140625" style="962" hidden="1"/>
  </cols>
  <sheetData>
    <row r="1" spans="1:57" s="1153" customFormat="1" ht="12" hidden="1" customHeight="1">
      <c r="A1" s="983"/>
      <c r="B1" s="667"/>
      <c r="E1" s="667"/>
      <c r="F1" s="698" t="s">
        <v>83</v>
      </c>
      <c r="Q1" s="779"/>
      <c r="R1" s="779"/>
      <c r="U1" s="687" t="s">
        <v>86</v>
      </c>
      <c r="V1" s="687" t="s">
        <v>91</v>
      </c>
      <c r="W1" s="687" t="s">
        <v>87</v>
      </c>
      <c r="X1" s="687" t="s">
        <v>88</v>
      </c>
      <c r="Y1" s="687" t="s">
        <v>89</v>
      </c>
      <c r="Z1" s="687" t="s">
        <v>93</v>
      </c>
      <c r="AA1" s="687" t="s">
        <v>90</v>
      </c>
      <c r="AB1" s="687" t="s">
        <v>382</v>
      </c>
      <c r="AC1" s="687" t="s">
        <v>92</v>
      </c>
      <c r="BA1" s="958" t="s">
        <v>383</v>
      </c>
      <c r="BB1" s="958" t="s">
        <v>384</v>
      </c>
      <c r="BC1" s="958" t="s">
        <v>385</v>
      </c>
      <c r="BD1" s="962" t="s">
        <v>388</v>
      </c>
      <c r="BE1" s="962" t="s">
        <v>389</v>
      </c>
    </row>
    <row r="2" spans="1:57" s="783" customFormat="1" ht="12" hidden="1" customHeight="1">
      <c r="A2" s="991"/>
      <c r="B2" s="768" t="s">
        <v>15</v>
      </c>
      <c r="AC2" s="671"/>
      <c r="AF2" s="688" t="b">
        <f t="shared" ref="AF2:AX2" si="0">AF6&lt;=last_year_vis</f>
        <v>1</v>
      </c>
      <c r="AG2" s="688" t="b">
        <f t="shared" si="0"/>
        <v>1</v>
      </c>
      <c r="AH2" s="688" t="b">
        <f t="shared" si="0"/>
        <v>1</v>
      </c>
      <c r="AI2" s="688" t="b">
        <f t="shared" si="0"/>
        <v>1</v>
      </c>
      <c r="AJ2" s="688" t="b">
        <f t="shared" si="0"/>
        <v>0</v>
      </c>
      <c r="AK2" s="688" t="b">
        <f t="shared" si="0"/>
        <v>0</v>
      </c>
      <c r="AL2" s="688" t="b">
        <f t="shared" si="0"/>
        <v>0</v>
      </c>
      <c r="AM2" s="688" t="b">
        <f t="shared" si="0"/>
        <v>0</v>
      </c>
      <c r="AN2" s="688" t="b">
        <f t="shared" si="0"/>
        <v>0</v>
      </c>
      <c r="AO2" s="688" t="b">
        <f t="shared" si="0"/>
        <v>1</v>
      </c>
      <c r="AP2" s="688" t="b">
        <f t="shared" si="0"/>
        <v>1</v>
      </c>
      <c r="AQ2" s="688" t="b">
        <f t="shared" si="0"/>
        <v>1</v>
      </c>
      <c r="AR2" s="688" t="b">
        <f t="shared" si="0"/>
        <v>1</v>
      </c>
      <c r="AS2" s="688" t="b">
        <f t="shared" si="0"/>
        <v>1</v>
      </c>
      <c r="AT2" s="688" t="b">
        <f t="shared" si="0"/>
        <v>0</v>
      </c>
      <c r="AU2" s="688" t="b">
        <f t="shared" si="0"/>
        <v>0</v>
      </c>
      <c r="AV2" s="688" t="b">
        <f t="shared" si="0"/>
        <v>0</v>
      </c>
      <c r="AW2" s="688" t="b">
        <f t="shared" si="0"/>
        <v>0</v>
      </c>
      <c r="AX2" s="688" t="b">
        <f t="shared" si="0"/>
        <v>0</v>
      </c>
      <c r="BA2" s="957"/>
      <c r="BB2" s="957"/>
      <c r="BC2" s="957"/>
      <c r="BD2" s="963"/>
      <c r="BE2" s="963"/>
    </row>
    <row r="3" spans="1:57" s="1153" customFormat="1" ht="12" hidden="1" customHeight="1">
      <c r="A3" s="983"/>
      <c r="B3" s="667"/>
      <c r="E3" s="667"/>
      <c r="Q3" s="779"/>
      <c r="R3" s="779"/>
      <c r="AB3" s="129"/>
      <c r="AC3" s="122"/>
      <c r="BA3" s="958"/>
      <c r="BB3" s="958"/>
      <c r="BC3" s="958"/>
      <c r="BD3" s="962"/>
      <c r="BE3" s="962"/>
    </row>
    <row r="4" spans="1:57" s="1153" customFormat="1" ht="12" hidden="1" customHeight="1">
      <c r="A4" s="983"/>
      <c r="B4" s="667"/>
      <c r="E4" s="667"/>
      <c r="Q4" s="779"/>
      <c r="R4" s="779"/>
      <c r="AB4" s="129"/>
      <c r="AC4" s="122"/>
      <c r="BA4" s="958"/>
      <c r="BB4" s="958"/>
      <c r="BC4" s="958"/>
      <c r="BD4" s="962"/>
      <c r="BE4" s="962"/>
    </row>
    <row r="5" spans="1:57" s="782" customFormat="1" ht="12" hidden="1" customHeight="1">
      <c r="A5" s="991"/>
      <c r="B5" s="667"/>
      <c r="C5" s="667"/>
      <c r="D5" s="667"/>
      <c r="E5" s="676" t="s">
        <v>16</v>
      </c>
      <c r="AA5" s="682">
        <v>3</v>
      </c>
      <c r="AB5" s="676">
        <v>6.13</v>
      </c>
      <c r="AC5" s="682">
        <v>52</v>
      </c>
      <c r="AD5" s="676">
        <v>13.63</v>
      </c>
      <c r="AE5" s="676">
        <v>15.13</v>
      </c>
      <c r="AF5" s="676">
        <v>15.13</v>
      </c>
      <c r="AG5" s="676">
        <v>15.13</v>
      </c>
      <c r="AH5" s="676">
        <v>15.13</v>
      </c>
      <c r="AI5" s="676">
        <v>15.13</v>
      </c>
      <c r="AJ5" s="676">
        <v>15.13</v>
      </c>
      <c r="AK5" s="676">
        <v>15.13</v>
      </c>
      <c r="AL5" s="676">
        <v>15.13</v>
      </c>
      <c r="AM5" s="676">
        <v>15.13</v>
      </c>
      <c r="AN5" s="676">
        <v>15.13</v>
      </c>
      <c r="AO5" s="676">
        <v>15.13</v>
      </c>
      <c r="AP5" s="676">
        <v>15.13</v>
      </c>
      <c r="AQ5" s="676">
        <v>15.13</v>
      </c>
      <c r="AR5" s="676">
        <v>15.13</v>
      </c>
      <c r="AS5" s="676">
        <v>15.13</v>
      </c>
      <c r="AT5" s="676">
        <v>15.13</v>
      </c>
      <c r="AU5" s="676">
        <v>15.13</v>
      </c>
      <c r="AV5" s="676">
        <v>15.13</v>
      </c>
      <c r="AW5" s="676">
        <v>15.13</v>
      </c>
      <c r="AX5" s="676">
        <v>15.13</v>
      </c>
      <c r="AY5" s="676">
        <v>3</v>
      </c>
      <c r="BA5" s="957"/>
      <c r="BB5" s="957"/>
      <c r="BC5" s="957"/>
      <c r="BD5" s="963"/>
      <c r="BE5" s="963"/>
    </row>
    <row r="6" spans="1:57" s="1153" customFormat="1" ht="12" hidden="1" customHeight="1">
      <c r="A6" s="983"/>
      <c r="B6" s="667"/>
      <c r="E6" s="676"/>
      <c r="Q6" s="779"/>
      <c r="R6" s="779"/>
      <c r="AB6" s="129"/>
      <c r="AC6" s="122"/>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A6" s="958"/>
      <c r="BB6" s="958"/>
      <c r="BC6" s="958"/>
      <c r="BD6" s="962"/>
      <c r="BE6" s="962"/>
    </row>
    <row r="7" spans="1:57" s="425" customFormat="1" ht="12" hidden="1" customHeight="1">
      <c r="A7" s="983"/>
      <c r="B7" s="667"/>
      <c r="C7" s="126"/>
      <c r="D7" s="126"/>
      <c r="E7" s="676"/>
      <c r="G7" s="126"/>
      <c r="H7" s="126"/>
      <c r="I7" s="126"/>
      <c r="J7" s="126"/>
      <c r="K7" s="126"/>
      <c r="L7" s="126"/>
      <c r="M7" s="126"/>
      <c r="N7" s="126"/>
      <c r="O7" s="126"/>
      <c r="P7" s="126"/>
      <c r="Q7" s="779"/>
      <c r="R7" s="779"/>
      <c r="S7" s="126"/>
      <c r="T7" s="126"/>
      <c r="AB7" s="164"/>
      <c r="AC7" s="165"/>
      <c r="AE7" s="163" t="str" cm="1">
        <f t="array" ref="AE7">AE25</f>
        <v>Предложение организации</v>
      </c>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Принято органом регулирования</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BA7" s="958"/>
      <c r="BB7" s="958"/>
      <c r="BC7" s="958"/>
      <c r="BD7" s="962"/>
      <c r="BE7" s="962"/>
    </row>
    <row r="8" spans="1:57" s="425" customFormat="1" ht="12" hidden="1" customHeight="1">
      <c r="A8" s="983"/>
      <c r="B8" s="667"/>
      <c r="C8" s="126"/>
      <c r="D8" s="126"/>
      <c r="E8" s="676"/>
      <c r="G8" s="126"/>
      <c r="H8" s="126"/>
      <c r="I8" s="126"/>
      <c r="J8" s="126"/>
      <c r="K8" s="126"/>
      <c r="L8" s="126"/>
      <c r="M8" s="126"/>
      <c r="N8" s="126"/>
      <c r="O8" s="126"/>
      <c r="P8" s="126"/>
      <c r="Q8" s="779"/>
      <c r="R8" s="779"/>
      <c r="S8" s="126"/>
      <c r="T8" s="126"/>
      <c r="AB8" s="164"/>
      <c r="AC8" s="165"/>
      <c r="AE8" s="163" t="str">
        <f t="shared" ref="AE8:AX8" si="1">AE6&amp;AE7</f>
        <v>2026Предложение организации</v>
      </c>
      <c r="AF8" s="163" t="str">
        <f t="shared" si="1"/>
        <v>2027Предложение организации</v>
      </c>
      <c r="AG8" s="163" t="str">
        <f t="shared" si="1"/>
        <v>2028Предложение организации</v>
      </c>
      <c r="AH8" s="163" t="str">
        <f t="shared" si="1"/>
        <v>2029Предложение организации</v>
      </c>
      <c r="AI8" s="163" t="str">
        <f t="shared" si="1"/>
        <v>2030Предложение организации</v>
      </c>
      <c r="AJ8" s="163" t="str">
        <f t="shared" si="1"/>
        <v>2031Предложение организации</v>
      </c>
      <c r="AK8" s="163" t="str">
        <f t="shared" si="1"/>
        <v>2032Предложение организации</v>
      </c>
      <c r="AL8" s="163" t="str">
        <f t="shared" si="1"/>
        <v>2033Предложение организации</v>
      </c>
      <c r="AM8" s="163" t="str">
        <f t="shared" si="1"/>
        <v>2034Предложение организации</v>
      </c>
      <c r="AN8" s="163" t="str">
        <f t="shared" si="1"/>
        <v>2035Предложение организации</v>
      </c>
      <c r="AO8" s="163" t="str">
        <f t="shared" si="1"/>
        <v>2026Принято органом регулирования</v>
      </c>
      <c r="AP8" s="163" t="str">
        <f t="shared" si="1"/>
        <v>2027Принято органом регулирования</v>
      </c>
      <c r="AQ8" s="163" t="str">
        <f t="shared" si="1"/>
        <v>2028Принято органом регулирования</v>
      </c>
      <c r="AR8" s="163" t="str">
        <f t="shared" si="1"/>
        <v>2029Принято органом регулирования</v>
      </c>
      <c r="AS8" s="163" t="str">
        <f t="shared" si="1"/>
        <v>2030Принято органом регулирования</v>
      </c>
      <c r="AT8" s="163" t="str">
        <f t="shared" si="1"/>
        <v>2031Принято органом регулирования</v>
      </c>
      <c r="AU8" s="163" t="str">
        <f t="shared" si="1"/>
        <v>2032Принято органом регулирования</v>
      </c>
      <c r="AV8" s="163" t="str">
        <f t="shared" si="1"/>
        <v>2033Принято органом регулирования</v>
      </c>
      <c r="AW8" s="163" t="str">
        <f t="shared" si="1"/>
        <v>2034Принято органом регулирования</v>
      </c>
      <c r="AX8" s="163" t="str">
        <f t="shared" si="1"/>
        <v>2035Принято органом регулирования</v>
      </c>
      <c r="BA8" s="958"/>
      <c r="BB8" s="958"/>
      <c r="BC8" s="958"/>
      <c r="BD8" s="962"/>
      <c r="BE8" s="962"/>
    </row>
    <row r="9" spans="1:57" s="1013" customFormat="1" ht="12" hidden="1" customHeight="1">
      <c r="A9" s="958" t="s">
        <v>472</v>
      </c>
      <c r="B9" s="951"/>
      <c r="E9" s="951"/>
      <c r="Q9" s="960"/>
      <c r="R9" s="960"/>
      <c r="AB9" s="949"/>
      <c r="AE9" s="959" cm="1">
        <f t="array" ref="AE9">god</f>
        <v>2026</v>
      </c>
      <c r="AF9" s="959">
        <f>god+1</f>
        <v>2027</v>
      </c>
      <c r="AG9" s="959">
        <f>god+2</f>
        <v>2028</v>
      </c>
      <c r="AH9" s="959">
        <f>god+3</f>
        <v>2029</v>
      </c>
      <c r="AI9" s="959">
        <f>god+4</f>
        <v>2030</v>
      </c>
      <c r="AJ9" s="959">
        <f>god+5</f>
        <v>2031</v>
      </c>
      <c r="AK9" s="959">
        <f>god+6</f>
        <v>2032</v>
      </c>
      <c r="AL9" s="959">
        <f>god+7</f>
        <v>2033</v>
      </c>
      <c r="AM9" s="959">
        <f>god+8</f>
        <v>2034</v>
      </c>
      <c r="AN9" s="959">
        <f>god+9</f>
        <v>2035</v>
      </c>
      <c r="AO9" s="959" cm="1">
        <f t="array" ref="AO9">god</f>
        <v>2026</v>
      </c>
      <c r="AP9" s="959">
        <f>god+1</f>
        <v>2027</v>
      </c>
      <c r="AQ9" s="959">
        <f>god+2</f>
        <v>2028</v>
      </c>
      <c r="AR9" s="959">
        <f>god+3</f>
        <v>2029</v>
      </c>
      <c r="AS9" s="959">
        <f>god+4</f>
        <v>2030</v>
      </c>
      <c r="AT9" s="959">
        <f>god+5</f>
        <v>2031</v>
      </c>
      <c r="AU9" s="959">
        <f>god+6</f>
        <v>2032</v>
      </c>
      <c r="AV9" s="959">
        <f>god+7</f>
        <v>2033</v>
      </c>
      <c r="AW9" s="959">
        <f>god+8</f>
        <v>2034</v>
      </c>
      <c r="AX9" s="959">
        <f>god+9</f>
        <v>2035</v>
      </c>
      <c r="BA9" s="958"/>
      <c r="BB9" s="958"/>
      <c r="BC9" s="958"/>
      <c r="BD9" s="958"/>
      <c r="BE9" s="958"/>
    </row>
    <row r="10" spans="1:57" s="1013" customFormat="1" ht="12" hidden="1" customHeight="1">
      <c r="A10" s="958" t="s">
        <v>473</v>
      </c>
      <c r="B10" s="951"/>
      <c r="E10" s="951"/>
      <c r="Q10" s="960"/>
      <c r="R10" s="960"/>
      <c r="AB10" s="949"/>
      <c r="AE10" s="959" t="str" cm="1">
        <f t="array" ref="AE10">AE25</f>
        <v>Предложение организации</v>
      </c>
      <c r="AF10" s="959" t="str" cm="1">
        <f t="array" ref="AF10">AF25</f>
        <v>Предложение организации</v>
      </c>
      <c r="AG10" s="959" t="str" cm="1">
        <f t="array" ref="AG10">AG25</f>
        <v>Предложение организации</v>
      </c>
      <c r="AH10" s="959" t="str" cm="1">
        <f t="array" ref="AH10">AH25</f>
        <v>Предложение организации</v>
      </c>
      <c r="AI10" s="959" t="str" cm="1">
        <f t="array" ref="AI10">AI25</f>
        <v>Предложение организации</v>
      </c>
      <c r="AJ10" s="959" t="str" cm="1">
        <f t="array" ref="AJ10">AJ25</f>
        <v>Предложение организации</v>
      </c>
      <c r="AK10" s="959" t="str" cm="1">
        <f t="array" ref="AK10">AK25</f>
        <v>Предложение организации</v>
      </c>
      <c r="AL10" s="959" t="str" cm="1">
        <f t="array" ref="AL10">AL25</f>
        <v>Предложение организации</v>
      </c>
      <c r="AM10" s="959" t="str" cm="1">
        <f t="array" ref="AM10">AM25</f>
        <v>Предложение организации</v>
      </c>
      <c r="AN10" s="959" t="str" cm="1">
        <f t="array" ref="AN10">AN25</f>
        <v>Предложение организации</v>
      </c>
      <c r="AO10" s="959" t="str" cm="1">
        <f t="array" ref="AO10">AO25</f>
        <v>Принято органом регулирования</v>
      </c>
      <c r="AP10" s="959" t="str" cm="1">
        <f t="array" ref="AP10">AP25</f>
        <v>Принято органом регулирования</v>
      </c>
      <c r="AQ10" s="959" t="str" cm="1">
        <f t="array" ref="AQ10">AQ25</f>
        <v>Принято органом регулирования</v>
      </c>
      <c r="AR10" s="959" t="str" cm="1">
        <f t="array" ref="AR10">AR25</f>
        <v>Принято органом регулирования</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BA10" s="958"/>
      <c r="BB10" s="958"/>
      <c r="BC10" s="958"/>
      <c r="BD10" s="958"/>
      <c r="BE10" s="958"/>
    </row>
    <row r="11" spans="1:57" s="1013" customFormat="1" ht="12" hidden="1" customHeight="1">
      <c r="A11" s="958" t="s">
        <v>394</v>
      </c>
      <c r="B11" s="951"/>
      <c r="E11" s="951"/>
      <c r="Q11" s="960"/>
      <c r="R11" s="960"/>
      <c r="AB11" s="949"/>
      <c r="AC11" s="961" t="s">
        <v>385</v>
      </c>
      <c r="BA11" s="958"/>
      <c r="BB11" s="958"/>
      <c r="BC11" s="958"/>
      <c r="BD11" s="958"/>
      <c r="BE11" s="958"/>
    </row>
    <row r="12" spans="1:57" s="1153" customFormat="1" ht="12" hidden="1" customHeight="1">
      <c r="A12" s="983"/>
      <c r="B12" s="667"/>
      <c r="E12" s="676"/>
      <c r="Q12" s="779"/>
      <c r="R12" s="779"/>
      <c r="AB12" s="129"/>
      <c r="AC12" s="122"/>
      <c r="BA12" s="958"/>
      <c r="BB12" s="958"/>
      <c r="BC12" s="958"/>
      <c r="BD12" s="962"/>
      <c r="BE12" s="962"/>
    </row>
    <row r="13" spans="1:57" s="1153" customFormat="1" ht="12" hidden="1" customHeight="1">
      <c r="A13" s="983"/>
      <c r="B13" s="667"/>
      <c r="E13" s="676"/>
      <c r="Q13" s="779"/>
      <c r="R13" s="779"/>
      <c r="AB13" s="129"/>
      <c r="AC13" s="122"/>
      <c r="BA13" s="958"/>
      <c r="BB13" s="958"/>
      <c r="BC13" s="958"/>
      <c r="BD13" s="962"/>
      <c r="BE13" s="962"/>
    </row>
    <row r="14" spans="1:57" s="1153" customFormat="1" ht="12" hidden="1" customHeight="1">
      <c r="A14" s="983"/>
      <c r="B14" s="667"/>
      <c r="E14" s="676"/>
      <c r="Q14" s="779"/>
      <c r="R14" s="779"/>
      <c r="AB14" s="129"/>
      <c r="AC14" s="122"/>
      <c r="BA14" s="958"/>
      <c r="BB14" s="958"/>
      <c r="BC14" s="958"/>
      <c r="BD14" s="962"/>
      <c r="BE14" s="962"/>
    </row>
    <row r="15" spans="1:57" s="1153" customFormat="1" ht="12" hidden="1" customHeight="1">
      <c r="A15" s="983"/>
      <c r="B15" s="667"/>
      <c r="E15" s="676"/>
      <c r="Q15" s="779"/>
      <c r="R15" s="779"/>
      <c r="AB15" s="129"/>
      <c r="AC15" s="122"/>
      <c r="BA15" s="958"/>
      <c r="BB15" s="958"/>
      <c r="BC15" s="958"/>
      <c r="BD15" s="962"/>
      <c r="BE15" s="962"/>
    </row>
    <row r="16" spans="1:57" s="1153" customFormat="1" ht="12" hidden="1" customHeight="1">
      <c r="A16" s="983"/>
      <c r="B16" s="667"/>
      <c r="E16" s="676"/>
      <c r="Q16" s="779"/>
      <c r="R16" s="779"/>
      <c r="AB16" s="129"/>
      <c r="AC16" s="122"/>
      <c r="BA16" s="958"/>
      <c r="BB16" s="958"/>
      <c r="BC16" s="958"/>
      <c r="BD16" s="962"/>
      <c r="BE16" s="962"/>
    </row>
    <row r="17" spans="1:57" s="1153" customFormat="1" ht="12" hidden="1" customHeight="1">
      <c r="A17" s="983"/>
      <c r="B17" s="667"/>
      <c r="E17" s="676"/>
      <c r="Q17" s="779"/>
      <c r="R17" s="779"/>
      <c r="AB17" s="129"/>
      <c r="AC17" s="122"/>
      <c r="BA17" s="958"/>
      <c r="BB17" s="958"/>
      <c r="BC17" s="958"/>
      <c r="BD17" s="962"/>
      <c r="BE17" s="962"/>
    </row>
    <row r="18" spans="1:57" s="1153" customFormat="1" ht="12" hidden="1" customHeight="1">
      <c r="A18" s="927" t="s">
        <v>530</v>
      </c>
      <c r="B18" s="667"/>
      <c r="E18" s="676"/>
      <c r="Q18" s="779"/>
      <c r="R18" s="779"/>
      <c r="AB18" s="129"/>
      <c r="AC18" s="122" t="s">
        <v>531</v>
      </c>
      <c r="BA18" s="958"/>
      <c r="BB18" s="958"/>
      <c r="BC18" s="958"/>
      <c r="BD18" s="962"/>
      <c r="BE18" s="962"/>
    </row>
    <row r="19" spans="1:57" s="1153" customFormat="1" ht="12" hidden="1" customHeight="1">
      <c r="A19" s="983"/>
      <c r="B19" s="667"/>
      <c r="E19" s="676"/>
      <c r="Q19" s="779"/>
      <c r="R19" s="779"/>
      <c r="AB19" s="129"/>
      <c r="AC19" s="122"/>
      <c r="BA19" s="958"/>
      <c r="BB19" s="958"/>
      <c r="BC19" s="958"/>
      <c r="BD19" s="962"/>
      <c r="BE19" s="962"/>
    </row>
    <row r="20" spans="1:57" s="1153" customFormat="1" ht="12" hidden="1" customHeight="1">
      <c r="A20" s="983"/>
      <c r="B20" s="667"/>
      <c r="E20" s="676"/>
      <c r="Q20" s="779"/>
      <c r="R20" s="779"/>
      <c r="AB20" s="129"/>
      <c r="AC20" s="122"/>
      <c r="BA20" s="958"/>
      <c r="BB20" s="958"/>
      <c r="BC20" s="958"/>
      <c r="BD20" s="962"/>
      <c r="BE20" s="962"/>
    </row>
    <row r="21" spans="1:57" ht="14.65" customHeight="1">
      <c r="E21" s="676">
        <v>15</v>
      </c>
      <c r="AA21" s="699"/>
      <c r="AC21" s="343" t="str" cm="1">
        <f t="array" ref="AC21">tpl_title</f>
        <v>Кемеровская область / 2026 / ОАО «СКЭК» (ИНН:4205153492, КПП:420501001) / ДПР: 2021-2030</v>
      </c>
      <c r="AD21" s="796"/>
    </row>
    <row r="22" spans="1:57" ht="21.95" customHeight="1">
      <c r="E22" s="676">
        <v>22.5</v>
      </c>
      <c r="AB22" s="331" t="s">
        <v>29</v>
      </c>
      <c r="AC22" s="217"/>
      <c r="AD22" s="217"/>
      <c r="AE22" s="218"/>
      <c r="AF22" s="218"/>
      <c r="AG22" s="218"/>
      <c r="AH22" s="218"/>
      <c r="AI22" s="218"/>
      <c r="AJ22" s="218"/>
      <c r="AK22" s="218"/>
      <c r="AL22" s="218"/>
      <c r="AM22" s="218"/>
      <c r="AN22" s="218"/>
      <c r="AO22" s="218"/>
      <c r="AP22" s="218"/>
      <c r="AQ22" s="218"/>
      <c r="AR22" s="218"/>
      <c r="AS22" s="218"/>
      <c r="AT22" s="218"/>
      <c r="AU22" s="218"/>
      <c r="AV22" s="218"/>
      <c r="AW22" s="218"/>
      <c r="AX22" s="218"/>
    </row>
    <row r="23" spans="1:57" s="171" customFormat="1" ht="11.1" customHeight="1">
      <c r="A23" s="983"/>
      <c r="B23" s="667"/>
      <c r="C23" s="126"/>
      <c r="D23" s="126"/>
      <c r="E23" s="676">
        <v>11.4</v>
      </c>
      <c r="F23" s="126"/>
      <c r="G23" s="126"/>
      <c r="H23" s="126"/>
      <c r="I23" s="126"/>
      <c r="J23" s="126"/>
      <c r="K23" s="126"/>
      <c r="L23" s="126"/>
      <c r="M23" s="126"/>
      <c r="N23" s="126"/>
      <c r="O23" s="126"/>
      <c r="P23" s="126"/>
      <c r="Q23" s="779"/>
      <c r="R23" s="779"/>
      <c r="S23" s="126"/>
      <c r="T23" s="126"/>
      <c r="U23" s="126"/>
      <c r="V23" s="126"/>
      <c r="W23" s="126"/>
      <c r="X23" s="126"/>
      <c r="Y23" s="126"/>
      <c r="Z23" s="126"/>
      <c r="AA23" s="776"/>
      <c r="AB23" s="152"/>
      <c r="AC23" s="153"/>
      <c r="AD23" s="154"/>
      <c r="BA23" s="958"/>
      <c r="BB23" s="958"/>
      <c r="BC23" s="958"/>
      <c r="BD23" s="962"/>
      <c r="BE23" s="962"/>
    </row>
    <row r="24" spans="1:57" ht="14.65" customHeight="1">
      <c r="E24" s="676">
        <v>15</v>
      </c>
      <c r="AB24" s="1730" t="s">
        <v>396</v>
      </c>
      <c r="AC24" s="1730" t="s">
        <v>531</v>
      </c>
      <c r="AD24" s="1732" t="s">
        <v>476</v>
      </c>
      <c r="AE24" s="1143" t="str">
        <f>god&amp;" год"</f>
        <v>2026 год</v>
      </c>
      <c r="AF24" s="1144" t="str">
        <f>god+1&amp;" год"</f>
        <v>2027 год</v>
      </c>
      <c r="AG24" s="1143" t="str">
        <f>god+2&amp;" год"</f>
        <v>2028 год</v>
      </c>
      <c r="AH24" s="1143" t="str">
        <f>god+3&amp;" год"</f>
        <v>2029 год</v>
      </c>
      <c r="AI24" s="1143" t="str">
        <f>god+4&amp;" год"</f>
        <v>2030 год</v>
      </c>
      <c r="AJ24" s="1143" t="str">
        <f>god+5&amp;" год"</f>
        <v>2031 год</v>
      </c>
      <c r="AK24" s="1143" t="str">
        <f>god+6&amp;" год"</f>
        <v>2032 год</v>
      </c>
      <c r="AL24" s="1143" t="str">
        <f>god+7&amp;" год"</f>
        <v>2033 год</v>
      </c>
      <c r="AM24" s="1143" t="str">
        <f>god+8&amp;" год"</f>
        <v>2034 год</v>
      </c>
      <c r="AN24" s="1143" t="str">
        <f>god+9&amp;" год"</f>
        <v>2035 год</v>
      </c>
      <c r="AO24" s="120" t="str">
        <f>god&amp;" год"</f>
        <v>2026 год</v>
      </c>
      <c r="AP24" s="120" t="str">
        <f>god+1&amp;" год"</f>
        <v>2027 год</v>
      </c>
      <c r="AQ24" s="120" t="str">
        <f>god+2&amp;" год"</f>
        <v>2028 год</v>
      </c>
      <c r="AR24" s="120" t="str">
        <f>god+3&amp;" год"</f>
        <v>2029 год</v>
      </c>
      <c r="AS24" s="120" t="str">
        <f>god+4&amp;" год"</f>
        <v>2030 год</v>
      </c>
      <c r="AT24" s="120" t="str">
        <f>god+5&amp;" год"</f>
        <v>2031 год</v>
      </c>
      <c r="AU24" s="120" t="str">
        <f>god+6&amp;" год"</f>
        <v>2032 год</v>
      </c>
      <c r="AV24" s="120" t="str">
        <f>god+7&amp;" год"</f>
        <v>2033 год</v>
      </c>
      <c r="AW24" s="120" t="str">
        <f>god+8&amp;" год"</f>
        <v>2034 год</v>
      </c>
      <c r="AX24" s="120" t="str">
        <f>god+9&amp;" год"</f>
        <v>2035 год</v>
      </c>
    </row>
    <row r="25" spans="1:57" ht="67.349999999999994" customHeight="1">
      <c r="E25" s="676">
        <v>69</v>
      </c>
      <c r="AB25" s="1731"/>
      <c r="AC25" s="1730"/>
      <c r="AD25" s="1732"/>
      <c r="AE25" s="1143" t="s">
        <v>413</v>
      </c>
      <c r="AF25" s="1144" t="s">
        <v>413</v>
      </c>
      <c r="AG25" s="1143" t="s">
        <v>413</v>
      </c>
      <c r="AH25" s="1143" t="s">
        <v>413</v>
      </c>
      <c r="AI25" s="1143" t="s">
        <v>413</v>
      </c>
      <c r="AJ25" s="1143" t="s">
        <v>413</v>
      </c>
      <c r="AK25" s="1143" t="s">
        <v>413</v>
      </c>
      <c r="AL25" s="1143" t="s">
        <v>413</v>
      </c>
      <c r="AM25" s="1143" t="s">
        <v>413</v>
      </c>
      <c r="AN25" s="1143" t="s">
        <v>413</v>
      </c>
      <c r="AO25" s="120" t="s">
        <v>412</v>
      </c>
      <c r="AP25" s="120" t="s">
        <v>412</v>
      </c>
      <c r="AQ25" s="120" t="s">
        <v>412</v>
      </c>
      <c r="AR25" s="120" t="s">
        <v>412</v>
      </c>
      <c r="AS25" s="120" t="s">
        <v>412</v>
      </c>
      <c r="AT25" s="120" t="s">
        <v>412</v>
      </c>
      <c r="AU25" s="120" t="s">
        <v>412</v>
      </c>
      <c r="AV25" s="120" t="s">
        <v>412</v>
      </c>
      <c r="AW25" s="120" t="s">
        <v>412</v>
      </c>
      <c r="AX25" s="120" t="s">
        <v>412</v>
      </c>
    </row>
    <row r="26" spans="1:57" ht="23.45" customHeight="1">
      <c r="E26" s="676">
        <v>24</v>
      </c>
      <c r="AB26" s="108"/>
      <c r="AC26" s="712" t="s">
        <v>532</v>
      </c>
      <c r="AD26" s="159" t="s">
        <v>533</v>
      </c>
      <c r="AE26" s="928"/>
      <c r="AF26" s="928"/>
      <c r="AG26" s="928"/>
      <c r="AH26" s="928"/>
      <c r="AI26" s="928"/>
      <c r="AJ26" s="1286"/>
      <c r="AK26" s="1286"/>
      <c r="AL26" s="1286"/>
      <c r="AM26" s="1286"/>
      <c r="AN26" s="1286"/>
      <c r="AO26" s="928">
        <v>22</v>
      </c>
      <c r="AP26" s="928"/>
      <c r="AQ26" s="928"/>
      <c r="AR26" s="928"/>
      <c r="AS26" s="928"/>
      <c r="AT26" s="1286"/>
      <c r="AU26" s="1286"/>
      <c r="AV26" s="1286"/>
      <c r="AW26" s="1286"/>
      <c r="AX26" s="1286"/>
    </row>
    <row r="27" spans="1:57" ht="23.25" hidden="1" customHeight="1">
      <c r="E27" s="676">
        <v>0</v>
      </c>
      <c r="AB27" s="318"/>
      <c r="AC27" s="318"/>
      <c r="AD27" s="318"/>
      <c r="AE27" s="122"/>
      <c r="AF27" s="122"/>
      <c r="AG27" s="122"/>
      <c r="AH27" s="122"/>
      <c r="AI27" s="122"/>
      <c r="AJ27" s="122"/>
      <c r="AK27" s="122"/>
      <c r="AL27" s="122"/>
      <c r="AM27" s="122"/>
      <c r="AN27" s="122"/>
      <c r="AO27" s="122"/>
      <c r="AP27" s="122"/>
      <c r="AQ27" s="122"/>
      <c r="AR27" s="122"/>
      <c r="AS27" s="122"/>
      <c r="AT27" s="122"/>
      <c r="AU27" s="122"/>
      <c r="AV27" s="122"/>
      <c r="AW27" s="122"/>
      <c r="AX27" s="122"/>
    </row>
    <row r="28" spans="1:57" s="165" customFormat="1" ht="11.1" hidden="1" customHeight="1">
      <c r="E28" s="682">
        <v>11.4</v>
      </c>
      <c r="F28" s="779" cm="1">
        <f t="array" ref="F28">Y28</f>
        <v>0</v>
      </c>
      <c r="U28" s="780" t="b">
        <f>F28&gt;0</f>
        <v>0</v>
      </c>
      <c r="W28" s="122" t="s">
        <v>315</v>
      </c>
      <c r="Y28" s="1721">
        <v>0</v>
      </c>
      <c r="Z28" s="1733"/>
      <c r="AB28" s="213" t="str" cm="1">
        <f t="array" ref="AB28">INDEX('Общие сведения'!$AG$187:$AG$236,MATCH($F28,'Общие сведения'!$Z$187:$Z$236,0))</f>
        <v xml:space="preserve">Тариф 0 (Теплоснабжение) - </v>
      </c>
      <c r="AC28" s="210"/>
      <c r="AD28" s="204"/>
      <c r="AE28" s="204"/>
      <c r="AF28" s="204"/>
      <c r="AG28" s="204"/>
      <c r="AH28" s="204"/>
      <c r="AI28" s="204"/>
      <c r="AJ28" s="204"/>
      <c r="AK28" s="204"/>
      <c r="AL28" s="204"/>
      <c r="AM28" s="204"/>
      <c r="AN28" s="204"/>
      <c r="AO28" s="204"/>
      <c r="AP28" s="204"/>
      <c r="AQ28" s="204"/>
      <c r="AR28" s="204"/>
      <c r="AS28" s="204"/>
      <c r="AT28" s="204"/>
      <c r="AU28" s="204"/>
      <c r="AV28" s="204"/>
      <c r="AW28" s="204"/>
      <c r="AX28" s="204"/>
      <c r="BA28" s="958"/>
      <c r="BB28" s="964"/>
      <c r="BC28" s="964"/>
      <c r="BD28" s="965"/>
      <c r="BE28" s="965"/>
    </row>
    <row r="29" spans="1:57" ht="11.1" hidden="1" customHeight="1">
      <c r="E29" s="676">
        <v>11.4</v>
      </c>
      <c r="F29" s="779" cm="1">
        <f t="array" aca="1" ref="F29" ca="1">OFFSET(G29,-1,-1)</f>
        <v>0</v>
      </c>
      <c r="U29" s="780" t="b">
        <f ca="1">F29&gt;0</f>
        <v>0</v>
      </c>
      <c r="Y29" s="1726"/>
      <c r="Z29" s="1726"/>
      <c r="AB29" s="291"/>
      <c r="AC29" s="292" t="s">
        <v>534</v>
      </c>
      <c r="AD29" s="293"/>
      <c r="AE29" s="320"/>
      <c r="AF29" s="320"/>
      <c r="AG29" s="320"/>
      <c r="AH29" s="320"/>
      <c r="AI29" s="320"/>
      <c r="AJ29" s="320"/>
      <c r="AK29" s="320"/>
      <c r="AL29" s="320"/>
      <c r="AM29" s="320"/>
      <c r="AN29" s="320"/>
      <c r="AO29" s="320"/>
      <c r="AP29" s="320"/>
      <c r="AQ29" s="320"/>
      <c r="AR29" s="320"/>
      <c r="AS29" s="320"/>
      <c r="AT29" s="320"/>
      <c r="AU29" s="320"/>
      <c r="AV29" s="320"/>
      <c r="AW29" s="320"/>
      <c r="AX29" s="320"/>
    </row>
    <row r="30" spans="1:57" ht="16.7" hidden="1" customHeight="1">
      <c r="E30" s="676">
        <v>17.100000000000001</v>
      </c>
      <c r="F30" s="779" cm="1">
        <f t="array" aca="1" ref="F30" ca="1">OFFSET(G30,-1,-1)</f>
        <v>0</v>
      </c>
      <c r="G30" s="779" t="s">
        <v>535</v>
      </c>
      <c r="H30" s="126" t="s">
        <v>536</v>
      </c>
      <c r="U30" s="886" t="b">
        <f ca="1">AND(F30&gt;0,method_reg&lt;&gt;"Метод экономически обоснованных расходов")</f>
        <v>0</v>
      </c>
      <c r="Y30" s="1726"/>
      <c r="Z30" s="1726"/>
      <c r="AB30" s="156">
        <v>1</v>
      </c>
      <c r="AC30" s="157" t="s">
        <v>537</v>
      </c>
      <c r="AD30" s="159" t="s">
        <v>533</v>
      </c>
      <c r="AE30" s="22">
        <v>1</v>
      </c>
      <c r="AF30" s="313">
        <v>1</v>
      </c>
      <c r="AG30" s="313">
        <v>1</v>
      </c>
      <c r="AH30" s="313">
        <v>1</v>
      </c>
      <c r="AI30" s="313">
        <v>1</v>
      </c>
      <c r="AJ30" s="22">
        <v>1</v>
      </c>
      <c r="AK30" s="22">
        <v>1</v>
      </c>
      <c r="AL30" s="22">
        <v>1</v>
      </c>
      <c r="AM30" s="22">
        <v>1</v>
      </c>
      <c r="AN30" s="22">
        <v>1</v>
      </c>
      <c r="AO30" s="313">
        <v>1</v>
      </c>
      <c r="AP30" s="313">
        <v>1</v>
      </c>
      <c r="AQ30" s="313">
        <v>1</v>
      </c>
      <c r="AR30" s="313">
        <v>1</v>
      </c>
      <c r="AS30" s="313">
        <v>1</v>
      </c>
      <c r="AT30" s="22">
        <v>1</v>
      </c>
      <c r="AU30" s="22">
        <v>1</v>
      </c>
      <c r="AV30" s="22">
        <v>1</v>
      </c>
      <c r="AW30" s="22">
        <v>1</v>
      </c>
      <c r="AX30" s="22">
        <v>1</v>
      </c>
      <c r="BA30" s="958" t="s">
        <v>538</v>
      </c>
    </row>
    <row r="31" spans="1:57" ht="29.25" hidden="1" customHeight="1">
      <c r="E31" s="676">
        <v>30</v>
      </c>
      <c r="F31" s="779" cm="1">
        <f t="array" aca="1" ref="F31" ca="1">OFFSET(G31,-1,-1)</f>
        <v>0</v>
      </c>
      <c r="H31" s="126" t="s">
        <v>539</v>
      </c>
      <c r="U31" s="886" t="b">
        <f ca="1">AND(F31&gt;0,method_reg&lt;&gt;"Метод экономически обоснованных расходов")</f>
        <v>0</v>
      </c>
      <c r="Y31" s="1726"/>
      <c r="Z31" s="1726"/>
      <c r="AB31" s="715" t="s">
        <v>348</v>
      </c>
      <c r="AC31" s="716" t="s">
        <v>540</v>
      </c>
      <c r="AD31" s="717"/>
      <c r="AE31" s="23"/>
      <c r="AF31" s="23"/>
      <c r="AG31" s="23"/>
      <c r="AH31" s="23"/>
      <c r="AI31" s="23"/>
      <c r="AJ31" s="23"/>
      <c r="AK31" s="23"/>
      <c r="AL31" s="23"/>
      <c r="AM31" s="23"/>
      <c r="AN31" s="23"/>
      <c r="AO31" s="23"/>
      <c r="AP31" s="23"/>
      <c r="AQ31" s="23"/>
      <c r="AR31" s="23"/>
      <c r="AS31" s="23"/>
      <c r="AT31" s="23"/>
      <c r="AU31" s="23"/>
      <c r="AV31" s="23"/>
      <c r="AW31" s="23"/>
      <c r="AX31" s="23"/>
    </row>
    <row r="32" spans="1:57" ht="17.25" hidden="1" customHeight="1">
      <c r="E32" s="676">
        <v>0</v>
      </c>
      <c r="F32" s="779" cm="1">
        <f t="array" aca="1" ref="F32" ca="1">OFFSET(G32,-1,-1)</f>
        <v>0</v>
      </c>
      <c r="U32" s="886" t="b">
        <f ca="1">AND(F32&gt;0,method_reg&lt;&gt;"Метод экономически обоснованных расходов")</f>
        <v>0</v>
      </c>
      <c r="Y32" s="1726"/>
      <c r="Z32" s="1726"/>
      <c r="AB32" s="718"/>
      <c r="AC32" s="716"/>
      <c r="AD32" s="717"/>
      <c r="AE32" s="23"/>
      <c r="AF32" s="23"/>
      <c r="AG32" s="23"/>
      <c r="AH32" s="23"/>
      <c r="AI32" s="23"/>
      <c r="AJ32" s="23"/>
      <c r="AK32" s="23"/>
      <c r="AL32" s="23"/>
      <c r="AM32" s="23"/>
      <c r="AN32" s="23"/>
      <c r="AO32" s="23"/>
      <c r="AP32" s="23"/>
      <c r="AQ32" s="23"/>
      <c r="AR32" s="23"/>
      <c r="AS32" s="23"/>
      <c r="AT32" s="23"/>
      <c r="AU32" s="23"/>
      <c r="AV32" s="23"/>
      <c r="AW32" s="23"/>
      <c r="AX32" s="23"/>
    </row>
    <row r="33" spans="5:57" ht="16.7" hidden="1" customHeight="1">
      <c r="E33" s="676">
        <v>17.100000000000001</v>
      </c>
      <c r="F33" s="779" cm="1">
        <f t="array" aca="1" ref="F33" ca="1">OFFSET(G33,-1,-1)</f>
        <v>0</v>
      </c>
      <c r="U33" s="886" t="b">
        <f ca="1">AND(F33&gt;0,AB33&lt;&gt;"2.0",method_reg&lt;&gt;"Метод экономически обоснованных расходов")</f>
        <v>0</v>
      </c>
      <c r="X33" s="126" t="s">
        <v>236</v>
      </c>
      <c r="Y33" s="1726"/>
      <c r="Z33" s="1726"/>
      <c r="AA33" s="11" t="s">
        <v>218</v>
      </c>
      <c r="AB33" s="755" t="s">
        <v>541</v>
      </c>
      <c r="AC33" s="24"/>
      <c r="AD33" s="756" t="s">
        <v>533</v>
      </c>
      <c r="AE33" s="25"/>
      <c r="AF33" s="929"/>
      <c r="AG33" s="929"/>
      <c r="AH33" s="929"/>
      <c r="AI33" s="929"/>
      <c r="AJ33" s="25"/>
      <c r="AK33" s="25"/>
      <c r="AL33" s="25"/>
      <c r="AM33" s="25"/>
      <c r="AN33" s="25"/>
      <c r="AO33" s="929"/>
      <c r="AP33" s="929"/>
      <c r="AQ33" s="929"/>
      <c r="AR33" s="929"/>
      <c r="AS33" s="929"/>
      <c r="AT33" s="25"/>
      <c r="AU33" s="25"/>
      <c r="AV33" s="25"/>
      <c r="AW33" s="25"/>
      <c r="AX33" s="25"/>
      <c r="BA33" s="958" t="s">
        <v>542</v>
      </c>
      <c r="BB33" s="958" t="s">
        <v>543</v>
      </c>
      <c r="BC33" s="958" cm="1">
        <f t="array" ref="BC33">AC33</f>
        <v>0</v>
      </c>
      <c r="BE33" s="962" t="b">
        <v>1</v>
      </c>
    </row>
    <row r="34" spans="5:57" ht="16.7" hidden="1" customHeight="1">
      <c r="E34" s="676">
        <v>17.100000000000001</v>
      </c>
      <c r="F34" s="779" cm="1">
        <f t="array" aca="1" ref="F34" ca="1">OFFSET(G34,-1,-1)</f>
        <v>0</v>
      </c>
      <c r="U34" s="886" t="b">
        <f ca="1">AND(F34&gt;0,method_reg&lt;&gt;"Метод экономически обоснованных расходов")</f>
        <v>0</v>
      </c>
      <c r="X34" s="820" t="s">
        <v>544</v>
      </c>
      <c r="Y34" s="1726"/>
      <c r="Z34" s="1726"/>
      <c r="AB34" s="249"/>
      <c r="AC34" s="616" t="s">
        <v>238</v>
      </c>
      <c r="AD34" s="250"/>
      <c r="AE34" s="250"/>
      <c r="AF34" s="250"/>
      <c r="AG34" s="250"/>
      <c r="AH34" s="250"/>
      <c r="AI34" s="250"/>
      <c r="AJ34" s="250"/>
      <c r="AK34" s="250"/>
      <c r="AL34" s="250"/>
      <c r="AM34" s="250"/>
      <c r="AN34" s="250"/>
      <c r="AO34" s="250"/>
      <c r="AP34" s="250"/>
      <c r="AQ34" s="250"/>
      <c r="AR34" s="250"/>
      <c r="AS34" s="250"/>
      <c r="AT34" s="250"/>
      <c r="AU34" s="250"/>
      <c r="AV34" s="250"/>
      <c r="AW34" s="250"/>
      <c r="AX34" s="251"/>
      <c r="BD34" s="962" t="s">
        <v>543</v>
      </c>
    </row>
    <row r="35" spans="5:57" ht="16.7" hidden="1" customHeight="1">
      <c r="E35" s="676">
        <v>17.100000000000001</v>
      </c>
      <c r="F35" s="779" cm="1">
        <f t="array" aca="1" ref="F35" ca="1">OFFSET(G35,-1,-1)</f>
        <v>0</v>
      </c>
      <c r="G35" s="779" t="s">
        <v>545</v>
      </c>
      <c r="H35" s="126" t="s">
        <v>546</v>
      </c>
      <c r="U35" s="780" t="b">
        <f t="shared" ref="U35:U47" ca="1" si="2">F35&gt;0</f>
        <v>0</v>
      </c>
      <c r="Y35" s="1726"/>
      <c r="Z35" s="1726"/>
      <c r="AB35" s="757">
        <v>3</v>
      </c>
      <c r="AC35" s="758" t="s">
        <v>547</v>
      </c>
      <c r="AD35" s="759" t="s">
        <v>533</v>
      </c>
      <c r="AE35" s="26"/>
      <c r="AF35" s="928"/>
      <c r="AG35" s="928"/>
      <c r="AH35" s="928"/>
      <c r="AI35" s="928"/>
      <c r="AJ35" s="26"/>
      <c r="AK35" s="26"/>
      <c r="AL35" s="26"/>
      <c r="AM35" s="26"/>
      <c r="AN35" s="26"/>
      <c r="AO35" s="928"/>
      <c r="AP35" s="928"/>
      <c r="AQ35" s="928"/>
      <c r="AR35" s="928"/>
      <c r="AS35" s="928"/>
      <c r="AT35" s="26"/>
      <c r="AU35" s="26"/>
      <c r="AV35" s="26"/>
      <c r="AW35" s="26"/>
      <c r="AX35" s="26"/>
      <c r="BA35" s="958" t="s">
        <v>548</v>
      </c>
    </row>
    <row r="36" spans="5:57" ht="16.7" hidden="1" customHeight="1">
      <c r="E36" s="676">
        <v>17.100000000000001</v>
      </c>
      <c r="F36" s="779" cm="1">
        <f t="array" aca="1" ref="F36" ca="1">OFFSET(G36,-1,-1)</f>
        <v>0</v>
      </c>
      <c r="H36" s="126" t="s">
        <v>549</v>
      </c>
      <c r="U36" s="780" t="b">
        <f t="shared" ca="1" si="2"/>
        <v>0</v>
      </c>
      <c r="Y36" s="1726"/>
      <c r="Z36" s="1726"/>
      <c r="AB36" s="713">
        <v>4</v>
      </c>
      <c r="AC36" s="719" t="s">
        <v>550</v>
      </c>
      <c r="AD36" s="720" t="s">
        <v>533</v>
      </c>
      <c r="AE36" s="22"/>
      <c r="AF36" s="313"/>
      <c r="AG36" s="313"/>
      <c r="AH36" s="313"/>
      <c r="AI36" s="313"/>
      <c r="AJ36" s="22"/>
      <c r="AK36" s="22"/>
      <c r="AL36" s="22"/>
      <c r="AM36" s="22"/>
      <c r="AN36" s="22"/>
      <c r="AO36" s="313"/>
      <c r="AP36" s="313"/>
      <c r="AQ36" s="313"/>
      <c r="AR36" s="313"/>
      <c r="AS36" s="313"/>
      <c r="AT36" s="22"/>
      <c r="AU36" s="22"/>
      <c r="AV36" s="22"/>
      <c r="AW36" s="22"/>
      <c r="AX36" s="22"/>
      <c r="BA36" s="958" t="s">
        <v>551</v>
      </c>
    </row>
    <row r="37" spans="5:57" ht="29.25" hidden="1" customHeight="1">
      <c r="E37" s="676">
        <v>30</v>
      </c>
      <c r="F37" s="779" cm="1">
        <f t="array" aca="1" ref="F37" ca="1">OFFSET(G37,-1,-1)</f>
        <v>0</v>
      </c>
      <c r="H37" s="126" t="s">
        <v>552</v>
      </c>
      <c r="U37" s="780" t="b">
        <f t="shared" ca="1" si="2"/>
        <v>0</v>
      </c>
      <c r="Y37" s="1726"/>
      <c r="Z37" s="1726"/>
      <c r="AB37" s="713">
        <v>5</v>
      </c>
      <c r="AC37" s="721" t="s">
        <v>553</v>
      </c>
      <c r="AD37" s="720" t="s">
        <v>533</v>
      </c>
      <c r="AE37" s="22"/>
      <c r="AF37" s="313"/>
      <c r="AG37" s="313"/>
      <c r="AH37" s="313"/>
      <c r="AI37" s="313"/>
      <c r="AJ37" s="22"/>
      <c r="AK37" s="22"/>
      <c r="AL37" s="22"/>
      <c r="AM37" s="22"/>
      <c r="AN37" s="22"/>
      <c r="AO37" s="313"/>
      <c r="AP37" s="313"/>
      <c r="AQ37" s="313"/>
      <c r="AR37" s="313"/>
      <c r="AS37" s="313"/>
      <c r="AT37" s="22"/>
      <c r="AU37" s="22"/>
      <c r="AV37" s="22"/>
      <c r="AW37" s="22"/>
      <c r="AX37" s="22"/>
      <c r="BA37" s="958" t="s">
        <v>554</v>
      </c>
    </row>
    <row r="38" spans="5:57" ht="16.7" hidden="1" customHeight="1">
      <c r="E38" s="676">
        <v>17.100000000000001</v>
      </c>
      <c r="F38" s="779" cm="1">
        <f t="array" aca="1" ref="F38" ca="1">OFFSET(G38,-1,-1)</f>
        <v>0</v>
      </c>
      <c r="H38" s="126" t="s">
        <v>555</v>
      </c>
      <c r="U38" s="780" t="b">
        <f t="shared" ca="1" si="2"/>
        <v>0</v>
      </c>
      <c r="Y38" s="1726"/>
      <c r="Z38" s="1726"/>
      <c r="AB38" s="713">
        <v>6</v>
      </c>
      <c r="AC38" s="721" t="s">
        <v>556</v>
      </c>
      <c r="AD38" s="720" t="s">
        <v>533</v>
      </c>
      <c r="AE38" s="22"/>
      <c r="AF38" s="313"/>
      <c r="AG38" s="313"/>
      <c r="AH38" s="313"/>
      <c r="AI38" s="313"/>
      <c r="AJ38" s="22"/>
      <c r="AK38" s="22"/>
      <c r="AL38" s="22"/>
      <c r="AM38" s="22"/>
      <c r="AN38" s="22"/>
      <c r="AO38" s="313"/>
      <c r="AP38" s="313"/>
      <c r="AQ38" s="313"/>
      <c r="AR38" s="313"/>
      <c r="AS38" s="313"/>
      <c r="AT38" s="22"/>
      <c r="AU38" s="22"/>
      <c r="AV38" s="22"/>
      <c r="AW38" s="22"/>
      <c r="AX38" s="22"/>
      <c r="BA38" s="958" t="s">
        <v>557</v>
      </c>
    </row>
    <row r="39" spans="5:57" ht="16.7" hidden="1" customHeight="1">
      <c r="E39" s="676">
        <v>17.100000000000001</v>
      </c>
      <c r="F39" s="779" cm="1">
        <f t="array" aca="1" ref="F39" ca="1">OFFSET(G39,-1,-1)</f>
        <v>0</v>
      </c>
      <c r="H39" s="126" t="s">
        <v>558</v>
      </c>
      <c r="U39" s="780" t="b">
        <f t="shared" ca="1" si="2"/>
        <v>0</v>
      </c>
      <c r="Y39" s="1726"/>
      <c r="Z39" s="1726"/>
      <c r="AB39" s="713">
        <v>7</v>
      </c>
      <c r="AC39" s="721" t="s">
        <v>559</v>
      </c>
      <c r="AD39" s="720" t="s">
        <v>533</v>
      </c>
      <c r="AE39" s="22"/>
      <c r="AF39" s="313"/>
      <c r="AG39" s="313"/>
      <c r="AH39" s="313"/>
      <c r="AI39" s="313"/>
      <c r="AJ39" s="22"/>
      <c r="AK39" s="22"/>
      <c r="AL39" s="22"/>
      <c r="AM39" s="22"/>
      <c r="AN39" s="22"/>
      <c r="AO39" s="313"/>
      <c r="AP39" s="313"/>
      <c r="AQ39" s="313"/>
      <c r="AR39" s="313"/>
      <c r="AS39" s="313"/>
      <c r="AT39" s="22"/>
      <c r="AU39" s="22"/>
      <c r="AV39" s="22"/>
      <c r="AW39" s="22"/>
      <c r="AX39" s="22"/>
      <c r="BA39" s="958" t="s">
        <v>560</v>
      </c>
    </row>
    <row r="40" spans="5:57" ht="16.7" hidden="1" customHeight="1">
      <c r="E40" s="676">
        <v>17.100000000000001</v>
      </c>
      <c r="F40" s="779" cm="1">
        <f t="array" aca="1" ref="F40" ca="1">OFFSET(G40,-1,-1)</f>
        <v>0</v>
      </c>
      <c r="H40" s="126" t="s">
        <v>561</v>
      </c>
      <c r="U40" s="780" t="b">
        <f t="shared" ca="1" si="2"/>
        <v>0</v>
      </c>
      <c r="Y40" s="1726"/>
      <c r="Z40" s="1726"/>
      <c r="AB40" s="713">
        <v>8</v>
      </c>
      <c r="AC40" s="721" t="s">
        <v>562</v>
      </c>
      <c r="AD40" s="720" t="s">
        <v>533</v>
      </c>
      <c r="AE40" s="22"/>
      <c r="AF40" s="313"/>
      <c r="AG40" s="313"/>
      <c r="AH40" s="313"/>
      <c r="AI40" s="313"/>
      <c r="AJ40" s="22"/>
      <c r="AK40" s="22"/>
      <c r="AL40" s="22"/>
      <c r="AM40" s="22"/>
      <c r="AN40" s="22"/>
      <c r="AO40" s="313"/>
      <c r="AP40" s="313"/>
      <c r="AQ40" s="313"/>
      <c r="AR40" s="313"/>
      <c r="AS40" s="313"/>
      <c r="AT40" s="22"/>
      <c r="AU40" s="22"/>
      <c r="AV40" s="22"/>
      <c r="AW40" s="22"/>
      <c r="AX40" s="22"/>
      <c r="BA40" s="958" t="s">
        <v>563</v>
      </c>
    </row>
    <row r="41" spans="5:57" ht="16.7" hidden="1" customHeight="1">
      <c r="E41" s="676">
        <v>17.100000000000001</v>
      </c>
      <c r="F41" s="779" cm="1">
        <f t="array" aca="1" ref="F41" ca="1">OFFSET(G41,-1,-1)</f>
        <v>0</v>
      </c>
      <c r="H41" s="126" t="s">
        <v>564</v>
      </c>
      <c r="U41" s="780" t="b">
        <f t="shared" ca="1" si="2"/>
        <v>0</v>
      </c>
      <c r="Y41" s="1726"/>
      <c r="Z41" s="1726"/>
      <c r="AB41" s="713">
        <v>9</v>
      </c>
      <c r="AC41" s="721" t="s">
        <v>565</v>
      </c>
      <c r="AD41" s="123" t="s">
        <v>566</v>
      </c>
      <c r="AE41" s="22">
        <f>7900</f>
        <v>7900</v>
      </c>
      <c r="AF41" s="313">
        <f>7900</f>
        <v>7900</v>
      </c>
      <c r="AG41" s="313">
        <f>7900</f>
        <v>7900</v>
      </c>
      <c r="AH41" s="313">
        <f>7900</f>
        <v>7900</v>
      </c>
      <c r="AI41" s="313">
        <f>7900</f>
        <v>7900</v>
      </c>
      <c r="AJ41" s="22">
        <f>7900</f>
        <v>7900</v>
      </c>
      <c r="AK41" s="22">
        <f>7900</f>
        <v>7900</v>
      </c>
      <c r="AL41" s="22">
        <f>7900</f>
        <v>7900</v>
      </c>
      <c r="AM41" s="22">
        <f>7900</f>
        <v>7900</v>
      </c>
      <c r="AN41" s="22">
        <f>7900</f>
        <v>7900</v>
      </c>
      <c r="AO41" s="313">
        <f>7900</f>
        <v>7900</v>
      </c>
      <c r="AP41" s="313">
        <f>7900</f>
        <v>7900</v>
      </c>
      <c r="AQ41" s="313">
        <f>7900</f>
        <v>7900</v>
      </c>
      <c r="AR41" s="313">
        <f>7900</f>
        <v>7900</v>
      </c>
      <c r="AS41" s="313">
        <f>7900</f>
        <v>7900</v>
      </c>
      <c r="AT41" s="22">
        <f>7900</f>
        <v>7900</v>
      </c>
      <c r="AU41" s="22">
        <f>7900</f>
        <v>7900</v>
      </c>
      <c r="AV41" s="22">
        <f>7900</f>
        <v>7900</v>
      </c>
      <c r="AW41" s="22">
        <f>7900</f>
        <v>7900</v>
      </c>
      <c r="AX41" s="22">
        <f>7900</f>
        <v>7900</v>
      </c>
      <c r="BA41" s="958" t="s">
        <v>567</v>
      </c>
    </row>
    <row r="42" spans="5:57" ht="16.7" hidden="1" customHeight="1">
      <c r="E42" s="676">
        <v>17.100000000000001</v>
      </c>
      <c r="F42" s="779" cm="1">
        <f t="array" aca="1" ref="F42" ca="1">OFFSET(G42,-1,-1)</f>
        <v>0</v>
      </c>
      <c r="H42" s="126" t="s">
        <v>568</v>
      </c>
      <c r="U42" s="780" t="b">
        <f t="shared" ca="1" si="2"/>
        <v>0</v>
      </c>
      <c r="Y42" s="1726"/>
      <c r="Z42" s="1726"/>
      <c r="AB42" s="713">
        <v>10</v>
      </c>
      <c r="AC42" s="721" t="s">
        <v>569</v>
      </c>
      <c r="AD42" s="123" t="s">
        <v>570</v>
      </c>
      <c r="AE42" s="22"/>
      <c r="AF42" s="313"/>
      <c r="AG42" s="313"/>
      <c r="AH42" s="313"/>
      <c r="AI42" s="313"/>
      <c r="AJ42" s="22"/>
      <c r="AK42" s="22"/>
      <c r="AL42" s="22"/>
      <c r="AM42" s="22"/>
      <c r="AN42" s="22"/>
      <c r="AO42" s="313"/>
      <c r="AP42" s="313"/>
      <c r="AQ42" s="313"/>
      <c r="AR42" s="313"/>
      <c r="AS42" s="313"/>
      <c r="AT42" s="22"/>
      <c r="AU42" s="22"/>
      <c r="AV42" s="22"/>
      <c r="AW42" s="22"/>
      <c r="AX42" s="22"/>
      <c r="BA42" s="958" t="s">
        <v>571</v>
      </c>
    </row>
    <row r="43" spans="5:57" ht="16.7" hidden="1" customHeight="1">
      <c r="E43" s="676">
        <v>17.100000000000001</v>
      </c>
      <c r="F43" s="779" cm="1">
        <f t="array" aca="1" ref="F43" ca="1">OFFSET(G43,-1,-1)</f>
        <v>0</v>
      </c>
      <c r="H43" s="126" t="s">
        <v>572</v>
      </c>
      <c r="U43" s="780" t="b">
        <f t="shared" ca="1" si="2"/>
        <v>0</v>
      </c>
      <c r="Y43" s="1726"/>
      <c r="Z43" s="1726"/>
      <c r="AB43" s="713">
        <v>11</v>
      </c>
      <c r="AC43" s="721" t="s">
        <v>573</v>
      </c>
      <c r="AD43" s="123" t="s">
        <v>574</v>
      </c>
      <c r="AE43" s="22">
        <f>7000</f>
        <v>7000</v>
      </c>
      <c r="AF43" s="313">
        <f>7000</f>
        <v>7000</v>
      </c>
      <c r="AG43" s="313">
        <f>7000</f>
        <v>7000</v>
      </c>
      <c r="AH43" s="313">
        <f>7000</f>
        <v>7000</v>
      </c>
      <c r="AI43" s="313">
        <f>7000</f>
        <v>7000</v>
      </c>
      <c r="AJ43" s="22">
        <f>7000</f>
        <v>7000</v>
      </c>
      <c r="AK43" s="22">
        <f>7000</f>
        <v>7000</v>
      </c>
      <c r="AL43" s="22">
        <f>7000</f>
        <v>7000</v>
      </c>
      <c r="AM43" s="22">
        <f>7000</f>
        <v>7000</v>
      </c>
      <c r="AN43" s="22">
        <f>7000</f>
        <v>7000</v>
      </c>
      <c r="AO43" s="313">
        <f>7000</f>
        <v>7000</v>
      </c>
      <c r="AP43" s="313">
        <f>7000</f>
        <v>7000</v>
      </c>
      <c r="AQ43" s="313">
        <f>7000</f>
        <v>7000</v>
      </c>
      <c r="AR43" s="313">
        <f>7000</f>
        <v>7000</v>
      </c>
      <c r="AS43" s="313">
        <f>7000</f>
        <v>7000</v>
      </c>
      <c r="AT43" s="22">
        <f>7000</f>
        <v>7000</v>
      </c>
      <c r="AU43" s="22">
        <f>7000</f>
        <v>7000</v>
      </c>
      <c r="AV43" s="22">
        <f>7000</f>
        <v>7000</v>
      </c>
      <c r="AW43" s="22">
        <f>7000</f>
        <v>7000</v>
      </c>
      <c r="AX43" s="22">
        <f>7000</f>
        <v>7000</v>
      </c>
      <c r="BA43" s="958" t="s">
        <v>575</v>
      </c>
    </row>
    <row r="44" spans="5:57" ht="16.7" hidden="1" customHeight="1">
      <c r="E44" s="676">
        <v>17.100000000000001</v>
      </c>
      <c r="F44" s="779" cm="1">
        <f t="array" aca="1" ref="F44" ca="1">OFFSET(G44,-1,-1)</f>
        <v>0</v>
      </c>
      <c r="H44" s="126" t="s">
        <v>576</v>
      </c>
      <c r="U44" s="780" t="b">
        <f t="shared" ca="1" si="2"/>
        <v>0</v>
      </c>
      <c r="Y44" s="1726"/>
      <c r="Z44" s="1726"/>
      <c r="AB44" s="713">
        <v>12</v>
      </c>
      <c r="AC44" s="721" t="s">
        <v>577</v>
      </c>
      <c r="AD44" s="720" t="s">
        <v>533</v>
      </c>
      <c r="AE44" s="22"/>
      <c r="AF44" s="313"/>
      <c r="AG44" s="313"/>
      <c r="AH44" s="313"/>
      <c r="AI44" s="313"/>
      <c r="AJ44" s="22"/>
      <c r="AK44" s="22"/>
      <c r="AL44" s="22"/>
      <c r="AM44" s="22"/>
      <c r="AN44" s="22"/>
      <c r="AO44" s="313"/>
      <c r="AP44" s="313"/>
      <c r="AQ44" s="313"/>
      <c r="AR44" s="313"/>
      <c r="AS44" s="313"/>
      <c r="AT44" s="22"/>
      <c r="AU44" s="22"/>
      <c r="AV44" s="22"/>
      <c r="AW44" s="22"/>
      <c r="AX44" s="22"/>
      <c r="BA44" s="958" t="s">
        <v>578</v>
      </c>
    </row>
    <row r="45" spans="5:57" ht="16.7" hidden="1" customHeight="1">
      <c r="E45" s="676">
        <v>17.100000000000001</v>
      </c>
      <c r="F45" s="779" cm="1">
        <f t="array" aca="1" ref="F45" ca="1">OFFSET(G45,-1,-1)</f>
        <v>0</v>
      </c>
      <c r="H45" s="126" t="s">
        <v>579</v>
      </c>
      <c r="U45" s="780" t="b">
        <f t="shared" ca="1" si="2"/>
        <v>0</v>
      </c>
      <c r="Y45" s="1726"/>
      <c r="Z45" s="1726"/>
      <c r="AB45" s="713">
        <v>13</v>
      </c>
      <c r="AC45" s="721" t="s">
        <v>580</v>
      </c>
      <c r="AD45" s="720" t="s">
        <v>533</v>
      </c>
      <c r="AE45" s="22"/>
      <c r="AF45" s="313"/>
      <c r="AG45" s="313"/>
      <c r="AH45" s="313"/>
      <c r="AI45" s="313"/>
      <c r="AJ45" s="22"/>
      <c r="AK45" s="22"/>
      <c r="AL45" s="22"/>
      <c r="AM45" s="22"/>
      <c r="AN45" s="22"/>
      <c r="AO45" s="313"/>
      <c r="AP45" s="313"/>
      <c r="AQ45" s="313"/>
      <c r="AR45" s="313"/>
      <c r="AS45" s="313"/>
      <c r="AT45" s="22"/>
      <c r="AU45" s="22"/>
      <c r="AV45" s="22"/>
      <c r="AW45" s="22"/>
      <c r="AX45" s="22"/>
      <c r="BA45" s="958" t="s">
        <v>581</v>
      </c>
    </row>
    <row r="46" spans="5:57" ht="16.7" hidden="1" customHeight="1">
      <c r="E46" s="676">
        <v>17.100000000000001</v>
      </c>
      <c r="F46" s="779" cm="1">
        <f t="array" aca="1" ref="F46" ca="1">OFFSET(G46,-1,-1)</f>
        <v>0</v>
      </c>
      <c r="H46" s="126" t="s">
        <v>582</v>
      </c>
      <c r="U46" s="780" t="b">
        <f t="shared" ca="1" si="2"/>
        <v>0</v>
      </c>
      <c r="Y46" s="1726"/>
      <c r="Z46" s="1726"/>
      <c r="AB46" s="713">
        <v>14</v>
      </c>
      <c r="AC46" s="721" t="s">
        <v>583</v>
      </c>
      <c r="AD46" s="720" t="s">
        <v>533</v>
      </c>
      <c r="AE46" s="22"/>
      <c r="AF46" s="313"/>
      <c r="AG46" s="313"/>
      <c r="AH46" s="313"/>
      <c r="AI46" s="313"/>
      <c r="AJ46" s="22"/>
      <c r="AK46" s="22"/>
      <c r="AL46" s="22"/>
      <c r="AM46" s="22"/>
      <c r="AN46" s="22"/>
      <c r="AO46" s="313"/>
      <c r="AP46" s="313"/>
      <c r="AQ46" s="313"/>
      <c r="AR46" s="313"/>
      <c r="AS46" s="313"/>
      <c r="AT46" s="22"/>
      <c r="AU46" s="22"/>
      <c r="AV46" s="22"/>
      <c r="AW46" s="22"/>
      <c r="AX46" s="22"/>
      <c r="BA46" s="958" t="s">
        <v>584</v>
      </c>
    </row>
    <row r="47" spans="5:57" ht="16.7" hidden="1" customHeight="1">
      <c r="E47" s="676">
        <v>17.100000000000001</v>
      </c>
      <c r="F47" s="779" cm="1">
        <f t="array" aca="1" ref="F47" ca="1">OFFSET(G47,-1,-1)</f>
        <v>0</v>
      </c>
      <c r="H47" s="126" t="s">
        <v>585</v>
      </c>
      <c r="U47" s="780" t="b">
        <f t="shared" ca="1" si="2"/>
        <v>0</v>
      </c>
      <c r="Y47" s="1726"/>
      <c r="Z47" s="1726"/>
      <c r="AB47" s="713">
        <v>15</v>
      </c>
      <c r="AC47" s="721" t="s">
        <v>586</v>
      </c>
      <c r="AD47" s="720" t="s">
        <v>533</v>
      </c>
      <c r="AE47" s="22"/>
      <c r="AF47" s="313"/>
      <c r="AG47" s="313"/>
      <c r="AH47" s="313"/>
      <c r="AI47" s="313"/>
      <c r="AJ47" s="22"/>
      <c r="AK47" s="22"/>
      <c r="AL47" s="22"/>
      <c r="AM47" s="22"/>
      <c r="AN47" s="22"/>
      <c r="AO47" s="313"/>
      <c r="AP47" s="313"/>
      <c r="AQ47" s="313"/>
      <c r="AR47" s="313"/>
      <c r="AS47" s="313"/>
      <c r="AT47" s="22"/>
      <c r="AU47" s="22"/>
      <c r="AV47" s="22"/>
      <c r="AW47" s="22"/>
      <c r="AX47" s="22"/>
      <c r="BA47" s="958" t="s">
        <v>587</v>
      </c>
    </row>
    <row r="48" spans="5:57" ht="16.7" hidden="1" customHeight="1">
      <c r="E48" s="676">
        <v>17.100000000000001</v>
      </c>
      <c r="F48" s="779" cm="1">
        <f t="array" aca="1" ref="F48" ca="1">OFFSET(G48,-1,-1)</f>
        <v>0</v>
      </c>
      <c r="G48" s="779" t="s">
        <v>588</v>
      </c>
      <c r="H48" s="126" t="s">
        <v>589</v>
      </c>
      <c r="U48" s="886" t="b">
        <f ca="1">AND(F48&gt;0,method_reg&lt;&gt;"Метод экономически обоснованных расходов")</f>
        <v>0</v>
      </c>
      <c r="Y48" s="1726"/>
      <c r="Z48" s="1726"/>
      <c r="AB48" s="713">
        <v>16</v>
      </c>
      <c r="AC48" s="723" t="s">
        <v>590</v>
      </c>
      <c r="AD48" s="159"/>
      <c r="AE48" s="22"/>
      <c r="AF48" s="313"/>
      <c r="AG48" s="313"/>
      <c r="AH48" s="313"/>
      <c r="AI48" s="313"/>
      <c r="AJ48" s="22"/>
      <c r="AK48" s="22"/>
      <c r="AL48" s="22"/>
      <c r="AM48" s="22"/>
      <c r="AN48" s="22"/>
      <c r="AO48" s="313"/>
      <c r="AP48" s="313"/>
      <c r="AQ48" s="313"/>
      <c r="AR48" s="313"/>
      <c r="AS48" s="313"/>
      <c r="AT48" s="22"/>
      <c r="AU48" s="22"/>
      <c r="AV48" s="22"/>
      <c r="AW48" s="22"/>
      <c r="AX48" s="22"/>
      <c r="BA48" s="958" t="s">
        <v>591</v>
      </c>
    </row>
    <row r="49" spans="1:57" ht="29.25" hidden="1" customHeight="1">
      <c r="E49" s="676">
        <v>30</v>
      </c>
      <c r="F49" s="779" cm="1">
        <f t="array" aca="1" ref="F49" ca="1">OFFSET(G49,-1,-1)</f>
        <v>0</v>
      </c>
      <c r="G49" s="779" t="s">
        <v>592</v>
      </c>
      <c r="H49" s="126" t="s">
        <v>593</v>
      </c>
      <c r="U49" s="886" t="b">
        <f ca="1">AND(F49&gt;0,method_reg&lt;&gt;"Метод экономически обоснованных расходов")</f>
        <v>0</v>
      </c>
      <c r="Y49" s="1726"/>
      <c r="Z49" s="1726"/>
      <c r="AB49" s="713">
        <v>17</v>
      </c>
      <c r="AC49" s="160" t="s">
        <v>594</v>
      </c>
      <c r="AD49" s="714"/>
      <c r="AE49" s="22">
        <f t="shared" ref="AE49:AX49" si="3">0.75</f>
        <v>0.75</v>
      </c>
      <c r="AF49" s="313">
        <f t="shared" si="3"/>
        <v>0.75</v>
      </c>
      <c r="AG49" s="313">
        <f t="shared" si="3"/>
        <v>0.75</v>
      </c>
      <c r="AH49" s="313">
        <f t="shared" si="3"/>
        <v>0.75</v>
      </c>
      <c r="AI49" s="313">
        <f t="shared" si="3"/>
        <v>0.75</v>
      </c>
      <c r="AJ49" s="22">
        <f t="shared" si="3"/>
        <v>0.75</v>
      </c>
      <c r="AK49" s="22">
        <f t="shared" si="3"/>
        <v>0.75</v>
      </c>
      <c r="AL49" s="22">
        <f t="shared" si="3"/>
        <v>0.75</v>
      </c>
      <c r="AM49" s="22">
        <f t="shared" si="3"/>
        <v>0.75</v>
      </c>
      <c r="AN49" s="22">
        <f t="shared" si="3"/>
        <v>0.75</v>
      </c>
      <c r="AO49" s="313">
        <f t="shared" si="3"/>
        <v>0.75</v>
      </c>
      <c r="AP49" s="313">
        <f t="shared" si="3"/>
        <v>0.75</v>
      </c>
      <c r="AQ49" s="313">
        <f t="shared" si="3"/>
        <v>0.75</v>
      </c>
      <c r="AR49" s="313">
        <f t="shared" si="3"/>
        <v>0.75</v>
      </c>
      <c r="AS49" s="313">
        <f t="shared" si="3"/>
        <v>0.75</v>
      </c>
      <c r="AT49" s="22">
        <f t="shared" si="3"/>
        <v>0.75</v>
      </c>
      <c r="AU49" s="22">
        <f t="shared" si="3"/>
        <v>0.75</v>
      </c>
      <c r="AV49" s="22">
        <f t="shared" si="3"/>
        <v>0.75</v>
      </c>
      <c r="AW49" s="22">
        <f t="shared" si="3"/>
        <v>0.75</v>
      </c>
      <c r="AX49" s="22">
        <f t="shared" si="3"/>
        <v>0.75</v>
      </c>
      <c r="BA49" s="958" t="s">
        <v>595</v>
      </c>
    </row>
    <row r="50" spans="1:57" ht="16.7" hidden="1" customHeight="1">
      <c r="E50" s="676">
        <v>17.100000000000001</v>
      </c>
      <c r="F50" s="779" cm="1">
        <f t="array" aca="1" ref="F50" ca="1">OFFSET(G50,-1,-1)</f>
        <v>0</v>
      </c>
      <c r="U50" s="780" t="b">
        <f t="shared" ref="U50:U56" ca="1" si="4">F50&gt;0</f>
        <v>0</v>
      </c>
      <c r="Y50" s="1726"/>
      <c r="Z50" s="1726"/>
      <c r="AB50" s="880" t="s">
        <v>596</v>
      </c>
      <c r="AC50" s="292" t="s">
        <v>597</v>
      </c>
      <c r="AD50" s="293"/>
      <c r="AE50" s="295"/>
      <c r="AF50" s="295"/>
      <c r="AG50" s="295"/>
      <c r="AH50" s="295"/>
      <c r="AI50" s="295"/>
      <c r="AJ50" s="295"/>
      <c r="AK50" s="295"/>
      <c r="AL50" s="295"/>
      <c r="AM50" s="295"/>
      <c r="AN50" s="295"/>
      <c r="AO50" s="295"/>
      <c r="AP50" s="295"/>
      <c r="AQ50" s="295"/>
      <c r="AR50" s="295"/>
      <c r="AS50" s="295"/>
      <c r="AT50" s="295"/>
      <c r="AU50" s="295"/>
      <c r="AV50" s="295"/>
      <c r="AW50" s="295"/>
      <c r="AX50" s="295"/>
    </row>
    <row r="51" spans="1:57" ht="16.7" hidden="1" customHeight="1">
      <c r="E51" s="676">
        <v>17.100000000000001</v>
      </c>
      <c r="F51" s="779" cm="1">
        <f t="array" aca="1" ref="F51" ca="1">OFFSET(G51,-1,-1)</f>
        <v>0</v>
      </c>
      <c r="G51" s="779" t="s">
        <v>598</v>
      </c>
      <c r="H51" s="126" t="s">
        <v>599</v>
      </c>
      <c r="U51" s="780" t="b">
        <f t="shared" ca="1" si="4"/>
        <v>0</v>
      </c>
      <c r="Y51" s="1726"/>
      <c r="Z51" s="1726"/>
      <c r="AB51" s="412" t="s">
        <v>600</v>
      </c>
      <c r="AC51" s="158" t="s">
        <v>601</v>
      </c>
      <c r="AD51" s="159" t="s">
        <v>533</v>
      </c>
      <c r="AE51" s="22"/>
      <c r="AF51" s="313"/>
      <c r="AG51" s="313"/>
      <c r="AH51" s="313"/>
      <c r="AI51" s="313"/>
      <c r="AJ51" s="22"/>
      <c r="AK51" s="22"/>
      <c r="AL51" s="22"/>
      <c r="AM51" s="22"/>
      <c r="AN51" s="22"/>
      <c r="AO51" s="313"/>
      <c r="AP51" s="313"/>
      <c r="AQ51" s="313"/>
      <c r="AR51" s="313"/>
      <c r="AS51" s="313"/>
      <c r="AT51" s="22"/>
      <c r="AU51" s="22"/>
      <c r="AV51" s="22"/>
      <c r="AW51" s="22"/>
      <c r="AX51" s="22"/>
      <c r="BA51" s="958" t="s">
        <v>602</v>
      </c>
    </row>
    <row r="52" spans="1:57" ht="16.7" hidden="1" customHeight="1">
      <c r="E52" s="676">
        <v>17.100000000000001</v>
      </c>
      <c r="F52" s="779" cm="1">
        <f t="array" aca="1" ref="F52" ca="1">OFFSET(G52,-1,-1)</f>
        <v>0</v>
      </c>
      <c r="H52" s="126" t="s">
        <v>603</v>
      </c>
      <c r="U52" s="780" t="b">
        <f t="shared" ca="1" si="4"/>
        <v>0</v>
      </c>
      <c r="Y52" s="1726"/>
      <c r="Z52" s="1726"/>
      <c r="AB52" s="412" t="s">
        <v>604</v>
      </c>
      <c r="AC52" s="160" t="s">
        <v>605</v>
      </c>
      <c r="AD52" s="159" t="s">
        <v>533</v>
      </c>
      <c r="AE52" s="22"/>
      <c r="AF52" s="313"/>
      <c r="AG52" s="313"/>
      <c r="AH52" s="313"/>
      <c r="AI52" s="313"/>
      <c r="AJ52" s="22"/>
      <c r="AK52" s="22"/>
      <c r="AL52" s="22"/>
      <c r="AM52" s="22"/>
      <c r="AN52" s="22"/>
      <c r="AO52" s="313"/>
      <c r="AP52" s="313"/>
      <c r="AQ52" s="313"/>
      <c r="AR52" s="313"/>
      <c r="AS52" s="313"/>
      <c r="AT52" s="22"/>
      <c r="AU52" s="22"/>
      <c r="AV52" s="22"/>
      <c r="AW52" s="22"/>
      <c r="AX52" s="22"/>
      <c r="BA52" s="958" t="s">
        <v>606</v>
      </c>
    </row>
    <row r="53" spans="1:57" ht="16.7" hidden="1" customHeight="1">
      <c r="E53" s="676">
        <v>17.100000000000001</v>
      </c>
      <c r="F53" s="779" cm="1">
        <f t="array" aca="1" ref="F53" ca="1">OFFSET(G53,-1,-1)</f>
        <v>0</v>
      </c>
      <c r="H53" s="126" t="s">
        <v>607</v>
      </c>
      <c r="U53" s="780" t="b">
        <f t="shared" ca="1" si="4"/>
        <v>0</v>
      </c>
      <c r="Y53" s="1726"/>
      <c r="Z53" s="1726"/>
      <c r="AB53" s="412" t="s">
        <v>608</v>
      </c>
      <c r="AC53" s="160" t="s">
        <v>609</v>
      </c>
      <c r="AD53" s="159" t="s">
        <v>533</v>
      </c>
      <c r="AE53" s="22"/>
      <c r="AF53" s="313"/>
      <c r="AG53" s="313"/>
      <c r="AH53" s="313"/>
      <c r="AI53" s="313"/>
      <c r="AJ53" s="22"/>
      <c r="AK53" s="22"/>
      <c r="AL53" s="22"/>
      <c r="AM53" s="22"/>
      <c r="AN53" s="22"/>
      <c r="AO53" s="313"/>
      <c r="AP53" s="313"/>
      <c r="AQ53" s="313"/>
      <c r="AR53" s="313"/>
      <c r="AS53" s="313"/>
      <c r="AT53" s="22"/>
      <c r="AU53" s="22"/>
      <c r="AV53" s="22"/>
      <c r="AW53" s="22"/>
      <c r="AX53" s="22"/>
      <c r="BA53" s="958" t="s">
        <v>610</v>
      </c>
    </row>
    <row r="54" spans="1:57" ht="16.7" hidden="1" customHeight="1">
      <c r="E54" s="676">
        <v>17.100000000000001</v>
      </c>
      <c r="F54" s="779" cm="1">
        <f t="array" aca="1" ref="F54" ca="1">OFFSET(G54,-1,-1)</f>
        <v>0</v>
      </c>
      <c r="H54" s="126" t="s">
        <v>611</v>
      </c>
      <c r="U54" s="780" t="b">
        <f t="shared" ca="1" si="4"/>
        <v>0</v>
      </c>
      <c r="Y54" s="1726"/>
      <c r="Z54" s="1726"/>
      <c r="AB54" s="412" t="s">
        <v>612</v>
      </c>
      <c r="AC54" s="160" t="s">
        <v>613</v>
      </c>
      <c r="AD54" s="159" t="s">
        <v>533</v>
      </c>
      <c r="AE54" s="22"/>
      <c r="AF54" s="313"/>
      <c r="AG54" s="313"/>
      <c r="AH54" s="313"/>
      <c r="AI54" s="313"/>
      <c r="AJ54" s="22"/>
      <c r="AK54" s="22"/>
      <c r="AL54" s="22"/>
      <c r="AM54" s="22"/>
      <c r="AN54" s="22"/>
      <c r="AO54" s="313"/>
      <c r="AP54" s="313"/>
      <c r="AQ54" s="313"/>
      <c r="AR54" s="313"/>
      <c r="AS54" s="313"/>
      <c r="AT54" s="22"/>
      <c r="AU54" s="22"/>
      <c r="AV54" s="22"/>
      <c r="AW54" s="22"/>
      <c r="AX54" s="22"/>
      <c r="BA54" s="958" t="s">
        <v>614</v>
      </c>
    </row>
    <row r="55" spans="1:57" s="815" customFormat="1" ht="10.5" customHeight="1">
      <c r="A55" s="165"/>
      <c r="B55" s="165"/>
      <c r="C55" s="165"/>
      <c r="D55" s="165"/>
      <c r="E55" s="682">
        <v>11.4</v>
      </c>
      <c r="F55" s="779" t="str" cm="1">
        <f t="array" ref="F55">Y55</f>
        <v>1</v>
      </c>
      <c r="G55" s="165"/>
      <c r="H55" s="165"/>
      <c r="I55" s="165"/>
      <c r="J55" s="165"/>
      <c r="K55" s="165"/>
      <c r="L55" s="165"/>
      <c r="M55" s="165"/>
      <c r="N55" s="165"/>
      <c r="O55" s="165"/>
      <c r="P55" s="165"/>
      <c r="Q55" s="165"/>
      <c r="R55" s="165"/>
      <c r="S55" s="165"/>
      <c r="T55" s="165"/>
      <c r="U55" s="780" t="b">
        <f t="shared" si="4"/>
        <v>1</v>
      </c>
      <c r="V55" s="165"/>
      <c r="W55" s="122" t="str" cm="1">
        <f t="array" ref="W55">'Расчет УЕ'!$AB$47</f>
        <v>Тариф 1 (Теплоснабжение) - Тариф на тепловую энергию (мощность), поставляемую потребителям (Не определено)</v>
      </c>
      <c r="X55" s="165"/>
      <c r="Y55" s="1721" t="s">
        <v>341</v>
      </c>
      <c r="Z55" s="1733"/>
      <c r="AA55" s="165"/>
      <c r="AB55" s="213" t="str" cm="1">
        <f t="array" ref="AB55">IF(ISBLANK('Расчет УЕ'!$AB$47),"",'Расчет УЕ'!$AB$47)</f>
        <v>Тариф 1 (Теплоснабжение) - Тариф на тепловую энергию (мощность), поставляемую потребителям (Не определено)</v>
      </c>
      <c r="AC55" s="210"/>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165"/>
      <c r="AZ55" s="165"/>
      <c r="BA55" s="958"/>
      <c r="BB55" s="964"/>
      <c r="BC55" s="964"/>
      <c r="BD55" s="965"/>
      <c r="BE55" s="965"/>
    </row>
    <row r="56" spans="1:57" s="1229" customFormat="1" ht="10.5" customHeight="1">
      <c r="A56" s="983"/>
      <c r="B56" s="783"/>
      <c r="C56" s="1153"/>
      <c r="D56" s="1153"/>
      <c r="E56" s="676">
        <v>11.4</v>
      </c>
      <c r="F56" s="779" t="str" cm="1">
        <f t="array" aca="1" ref="F56" ca="1">OFFSET(G56,-1,-1)</f>
        <v>1</v>
      </c>
      <c r="G56" s="1153"/>
      <c r="H56" s="1153"/>
      <c r="I56" s="1153"/>
      <c r="J56" s="1153"/>
      <c r="K56" s="1153"/>
      <c r="L56" s="1153"/>
      <c r="M56" s="1153"/>
      <c r="N56" s="1153"/>
      <c r="O56" s="1153"/>
      <c r="P56" s="1153"/>
      <c r="Q56" s="779"/>
      <c r="R56" s="779"/>
      <c r="S56" s="1153"/>
      <c r="T56" s="1153"/>
      <c r="U56" s="780" t="b">
        <f t="shared" ca="1" si="4"/>
        <v>1</v>
      </c>
      <c r="V56" s="1153"/>
      <c r="W56" s="1153"/>
      <c r="X56" s="1153"/>
      <c r="Y56" s="1726"/>
      <c r="Z56" s="1726"/>
      <c r="AA56" s="170"/>
      <c r="AB56" s="291"/>
      <c r="AC56" s="292" t="s">
        <v>534</v>
      </c>
      <c r="AD56" s="293"/>
      <c r="AE56" s="320"/>
      <c r="AF56" s="320"/>
      <c r="AG56" s="320"/>
      <c r="AH56" s="320"/>
      <c r="AI56" s="320"/>
      <c r="AJ56" s="320"/>
      <c r="AK56" s="320"/>
      <c r="AL56" s="320"/>
      <c r="AM56" s="320"/>
      <c r="AN56" s="320"/>
      <c r="AO56" s="320"/>
      <c r="AP56" s="320"/>
      <c r="AQ56" s="320"/>
      <c r="AR56" s="320"/>
      <c r="AS56" s="320"/>
      <c r="AT56" s="320"/>
      <c r="AU56" s="320"/>
      <c r="AV56" s="320"/>
      <c r="AW56" s="320"/>
      <c r="AX56" s="320"/>
      <c r="AY56" s="170"/>
      <c r="AZ56" s="170"/>
      <c r="BA56" s="1011"/>
      <c r="BB56" s="1011"/>
      <c r="BC56" s="1011"/>
      <c r="BD56" s="962"/>
      <c r="BE56" s="962"/>
    </row>
    <row r="57" spans="1:57" s="1229" customFormat="1" ht="16.5" customHeight="1">
      <c r="A57" s="983"/>
      <c r="B57" s="783"/>
      <c r="C57" s="1153"/>
      <c r="D57" s="1153"/>
      <c r="E57" s="676">
        <v>17.100000000000001</v>
      </c>
      <c r="F57" s="779" t="str" cm="1">
        <f t="array" aca="1" ref="F57" ca="1">OFFSET(G57,-1,-1)</f>
        <v>1</v>
      </c>
      <c r="G57" s="779" t="s">
        <v>535</v>
      </c>
      <c r="H57" s="126" t="s">
        <v>536</v>
      </c>
      <c r="I57" s="1153"/>
      <c r="J57" s="1153"/>
      <c r="K57" s="1153"/>
      <c r="L57" s="1153"/>
      <c r="M57" s="1153"/>
      <c r="N57" s="1153"/>
      <c r="O57" s="1153"/>
      <c r="P57" s="1153"/>
      <c r="Q57" s="779"/>
      <c r="R57" s="779"/>
      <c r="S57" s="1153"/>
      <c r="T57" s="1153"/>
      <c r="U57" s="886" t="b">
        <f ca="1">AND(F57&gt;0,method_reg&lt;&gt;"Метод экономически обоснованных расходов")</f>
        <v>1</v>
      </c>
      <c r="V57" s="1153"/>
      <c r="W57" s="1153"/>
      <c r="X57" s="1153"/>
      <c r="Y57" s="1726"/>
      <c r="Z57" s="1726"/>
      <c r="AA57" s="170"/>
      <c r="AB57" s="156">
        <v>1</v>
      </c>
      <c r="AC57" s="157" t="s">
        <v>537</v>
      </c>
      <c r="AD57" s="159" t="s">
        <v>533</v>
      </c>
      <c r="AE57" s="1287">
        <v>1</v>
      </c>
      <c r="AF57" s="313">
        <v>1</v>
      </c>
      <c r="AG57" s="313">
        <v>1</v>
      </c>
      <c r="AH57" s="313">
        <v>1</v>
      </c>
      <c r="AI57" s="313">
        <v>1</v>
      </c>
      <c r="AJ57" s="1287">
        <v>1</v>
      </c>
      <c r="AK57" s="1287">
        <v>1</v>
      </c>
      <c r="AL57" s="1287">
        <v>1</v>
      </c>
      <c r="AM57" s="1287">
        <v>1</v>
      </c>
      <c r="AN57" s="1287">
        <v>1</v>
      </c>
      <c r="AO57" s="313">
        <v>1</v>
      </c>
      <c r="AP57" s="313">
        <v>1</v>
      </c>
      <c r="AQ57" s="313">
        <v>1</v>
      </c>
      <c r="AR57" s="313">
        <v>1</v>
      </c>
      <c r="AS57" s="313">
        <v>1</v>
      </c>
      <c r="AT57" s="1287">
        <v>1</v>
      </c>
      <c r="AU57" s="1287">
        <v>1</v>
      </c>
      <c r="AV57" s="1287">
        <v>1</v>
      </c>
      <c r="AW57" s="1287">
        <v>1</v>
      </c>
      <c r="AX57" s="1287">
        <v>1</v>
      </c>
      <c r="AY57" s="170"/>
      <c r="AZ57" s="170"/>
      <c r="BA57" s="958" t="s">
        <v>538</v>
      </c>
      <c r="BB57" s="1011"/>
      <c r="BC57" s="1011"/>
      <c r="BD57" s="962"/>
      <c r="BE57" s="962"/>
    </row>
    <row r="58" spans="1:57" s="1229" customFormat="1" ht="29.25" customHeight="1">
      <c r="A58" s="983"/>
      <c r="B58" s="783"/>
      <c r="C58" s="1153"/>
      <c r="D58" s="1153"/>
      <c r="E58" s="676">
        <v>30</v>
      </c>
      <c r="F58" s="779" t="str" cm="1">
        <f t="array" aca="1" ref="F58" ca="1">OFFSET(G58,-1,-1)</f>
        <v>1</v>
      </c>
      <c r="G58" s="1153"/>
      <c r="H58" s="126" t="s">
        <v>539</v>
      </c>
      <c r="I58" s="1153"/>
      <c r="J58" s="1153"/>
      <c r="K58" s="1153"/>
      <c r="L58" s="1153"/>
      <c r="M58" s="1153"/>
      <c r="N58" s="1153"/>
      <c r="O58" s="1153"/>
      <c r="P58" s="1153"/>
      <c r="Q58" s="779"/>
      <c r="R58" s="779"/>
      <c r="S58" s="1153"/>
      <c r="T58" s="1153"/>
      <c r="U58" s="886" t="b">
        <f ca="1">AND(F58&gt;0,method_reg&lt;&gt;"Метод экономически обоснованных расходов")</f>
        <v>1</v>
      </c>
      <c r="V58" s="1153"/>
      <c r="W58" s="1153"/>
      <c r="X58" s="1153"/>
      <c r="Y58" s="1726"/>
      <c r="Z58" s="1726"/>
      <c r="AA58" s="170"/>
      <c r="AB58" s="715" t="s">
        <v>348</v>
      </c>
      <c r="AC58" s="716" t="s">
        <v>540</v>
      </c>
      <c r="AD58" s="717"/>
      <c r="AE58" s="23"/>
      <c r="AF58" s="23"/>
      <c r="AG58" s="23"/>
      <c r="AH58" s="23"/>
      <c r="AI58" s="23"/>
      <c r="AJ58" s="23"/>
      <c r="AK58" s="23"/>
      <c r="AL58" s="23"/>
      <c r="AM58" s="23"/>
      <c r="AN58" s="23"/>
      <c r="AO58" s="23"/>
      <c r="AP58" s="23"/>
      <c r="AQ58" s="23"/>
      <c r="AR58" s="23"/>
      <c r="AS58" s="23"/>
      <c r="AT58" s="23"/>
      <c r="AU58" s="23"/>
      <c r="AV58" s="23"/>
      <c r="AW58" s="23"/>
      <c r="AX58" s="23"/>
      <c r="AY58" s="170"/>
      <c r="AZ58" s="170"/>
      <c r="BA58" s="1011"/>
      <c r="BB58" s="1011"/>
      <c r="BC58" s="1011"/>
      <c r="BD58" s="962"/>
      <c r="BE58" s="962"/>
    </row>
    <row r="59" spans="1:57" s="1229" customFormat="1" ht="17.25" hidden="1" customHeight="1">
      <c r="A59" s="983"/>
      <c r="B59" s="783"/>
      <c r="C59" s="1153"/>
      <c r="D59" s="1153"/>
      <c r="E59" s="676">
        <v>0</v>
      </c>
      <c r="F59" s="779" t="str" cm="1">
        <f t="array" aca="1" ref="F59" ca="1">OFFSET(G59,-1,-1)</f>
        <v>1</v>
      </c>
      <c r="G59" s="1153"/>
      <c r="H59" s="1153"/>
      <c r="I59" s="1153"/>
      <c r="J59" s="1153"/>
      <c r="K59" s="1153"/>
      <c r="L59" s="1153"/>
      <c r="M59" s="1153"/>
      <c r="N59" s="1153"/>
      <c r="O59" s="1153"/>
      <c r="P59" s="1153"/>
      <c r="Q59" s="779"/>
      <c r="R59" s="779"/>
      <c r="S59" s="1153"/>
      <c r="T59" s="1153"/>
      <c r="U59" s="886" t="b">
        <f ca="1">AND(F59&gt;0,method_reg&lt;&gt;"Метод экономически обоснованных расходов")</f>
        <v>1</v>
      </c>
      <c r="V59" s="1153"/>
      <c r="W59" s="1153"/>
      <c r="X59" s="1153"/>
      <c r="Y59" s="1726"/>
      <c r="Z59" s="1726"/>
      <c r="AA59" s="170"/>
      <c r="AB59" s="718"/>
      <c r="AC59" s="716"/>
      <c r="AD59" s="717"/>
      <c r="AE59" s="23"/>
      <c r="AF59" s="23"/>
      <c r="AG59" s="23"/>
      <c r="AH59" s="23"/>
      <c r="AI59" s="23"/>
      <c r="AJ59" s="23"/>
      <c r="AK59" s="23"/>
      <c r="AL59" s="23"/>
      <c r="AM59" s="23"/>
      <c r="AN59" s="23"/>
      <c r="AO59" s="23"/>
      <c r="AP59" s="23"/>
      <c r="AQ59" s="23"/>
      <c r="AR59" s="23"/>
      <c r="AS59" s="23"/>
      <c r="AT59" s="23"/>
      <c r="AU59" s="23"/>
      <c r="AV59" s="23"/>
      <c r="AW59" s="23"/>
      <c r="AX59" s="23"/>
      <c r="AY59" s="170"/>
      <c r="AZ59" s="170"/>
      <c r="BA59" s="1011"/>
      <c r="BB59" s="1011"/>
      <c r="BC59" s="1011"/>
      <c r="BD59" s="962"/>
      <c r="BE59" s="962"/>
    </row>
    <row r="60" spans="1:57" s="1229" customFormat="1" ht="16.5" hidden="1" customHeight="1">
      <c r="A60" s="983"/>
      <c r="B60" s="783"/>
      <c r="C60" s="1153"/>
      <c r="D60" s="1153"/>
      <c r="E60" s="676">
        <v>17.100000000000001</v>
      </c>
      <c r="F60" s="779" t="str" cm="1">
        <f t="array" aca="1" ref="F60" ca="1">OFFSET(G60,-1,-1)</f>
        <v>1</v>
      </c>
      <c r="G60" s="1153"/>
      <c r="H60" s="1153"/>
      <c r="I60" s="1153"/>
      <c r="J60" s="1153"/>
      <c r="K60" s="1153"/>
      <c r="L60" s="1153"/>
      <c r="M60" s="1153"/>
      <c r="N60" s="1153"/>
      <c r="O60" s="1153"/>
      <c r="P60" s="1153"/>
      <c r="Q60" s="779"/>
      <c r="R60" s="779"/>
      <c r="S60" s="1153"/>
      <c r="T60" s="1153"/>
      <c r="U60" s="886" t="b">
        <f ca="1">AND(F60&gt;0,AB60&lt;&gt;"2.0",method_reg&lt;&gt;"Метод экономически обоснованных расходов")</f>
        <v>0</v>
      </c>
      <c r="V60" s="1153"/>
      <c r="W60" s="1153"/>
      <c r="X60" s="126" t="s">
        <v>236</v>
      </c>
      <c r="Y60" s="1726"/>
      <c r="Z60" s="1726"/>
      <c r="AA60" s="11" t="s">
        <v>218</v>
      </c>
      <c r="AB60" s="755" t="s">
        <v>541</v>
      </c>
      <c r="AC60" s="24"/>
      <c r="AD60" s="756" t="s">
        <v>533</v>
      </c>
      <c r="AE60" s="25"/>
      <c r="AF60" s="929"/>
      <c r="AG60" s="929"/>
      <c r="AH60" s="929"/>
      <c r="AI60" s="929"/>
      <c r="AJ60" s="25"/>
      <c r="AK60" s="25"/>
      <c r="AL60" s="25"/>
      <c r="AM60" s="25"/>
      <c r="AN60" s="25"/>
      <c r="AO60" s="929"/>
      <c r="AP60" s="929"/>
      <c r="AQ60" s="929"/>
      <c r="AR60" s="929"/>
      <c r="AS60" s="929"/>
      <c r="AT60" s="25"/>
      <c r="AU60" s="25"/>
      <c r="AV60" s="25"/>
      <c r="AW60" s="25"/>
      <c r="AX60" s="25"/>
      <c r="AY60" s="170"/>
      <c r="AZ60" s="170"/>
      <c r="BA60" s="958" t="s">
        <v>542</v>
      </c>
      <c r="BB60" s="958" t="s">
        <v>543</v>
      </c>
      <c r="BC60" s="958" cm="1">
        <f t="array" ref="BC60">AC60</f>
        <v>0</v>
      </c>
      <c r="BD60" s="962"/>
      <c r="BE60" s="962" t="b">
        <v>1</v>
      </c>
    </row>
    <row r="61" spans="1:57" s="1229" customFormat="1" ht="16.5" customHeight="1">
      <c r="A61" s="983"/>
      <c r="B61" s="783"/>
      <c r="C61" s="1153"/>
      <c r="D61" s="1153"/>
      <c r="E61" s="676">
        <v>17.100000000000001</v>
      </c>
      <c r="F61" s="779" t="str" cm="1">
        <f t="array" aca="1" ref="F61" ca="1">OFFSET(G61,-1,-1)</f>
        <v>1</v>
      </c>
      <c r="G61" s="1153"/>
      <c r="H61" s="1153"/>
      <c r="I61" s="1153"/>
      <c r="J61" s="1153"/>
      <c r="K61" s="1153"/>
      <c r="L61" s="1153"/>
      <c r="M61" s="1153"/>
      <c r="N61" s="1153"/>
      <c r="O61" s="1153"/>
      <c r="P61" s="1153"/>
      <c r="Q61" s="779"/>
      <c r="R61" s="779"/>
      <c r="S61" s="1153"/>
      <c r="T61" s="1153"/>
      <c r="U61" s="886" t="b">
        <f ca="1">AND(F61&gt;0,method_reg&lt;&gt;"Метод экономически обоснованных расходов")</f>
        <v>1</v>
      </c>
      <c r="V61" s="1153"/>
      <c r="W61" s="1153"/>
      <c r="X61" s="820" t="s">
        <v>544</v>
      </c>
      <c r="Y61" s="1726"/>
      <c r="Z61" s="1726"/>
      <c r="AA61" s="170"/>
      <c r="AB61" s="249"/>
      <c r="AC61" s="616" t="s">
        <v>238</v>
      </c>
      <c r="AD61" s="250"/>
      <c r="AE61" s="250"/>
      <c r="AF61" s="250"/>
      <c r="AG61" s="250"/>
      <c r="AH61" s="250"/>
      <c r="AI61" s="250"/>
      <c r="AJ61" s="250"/>
      <c r="AK61" s="250"/>
      <c r="AL61" s="250"/>
      <c r="AM61" s="250"/>
      <c r="AN61" s="250"/>
      <c r="AO61" s="250"/>
      <c r="AP61" s="250"/>
      <c r="AQ61" s="250"/>
      <c r="AR61" s="250"/>
      <c r="AS61" s="250"/>
      <c r="AT61" s="250"/>
      <c r="AU61" s="250"/>
      <c r="AV61" s="250"/>
      <c r="AW61" s="250"/>
      <c r="AX61" s="251"/>
      <c r="AY61" s="170"/>
      <c r="AZ61" s="170"/>
      <c r="BA61" s="1011"/>
      <c r="BB61" s="1011"/>
      <c r="BC61" s="1011"/>
      <c r="BD61" s="962" t="s">
        <v>543</v>
      </c>
      <c r="BE61" s="962"/>
    </row>
    <row r="62" spans="1:57" s="1229" customFormat="1" ht="16.5" customHeight="1">
      <c r="A62" s="983"/>
      <c r="B62" s="783"/>
      <c r="C62" s="1153"/>
      <c r="D62" s="1153"/>
      <c r="E62" s="676">
        <v>17.100000000000001</v>
      </c>
      <c r="F62" s="779" t="str" cm="1">
        <f t="array" aca="1" ref="F62" ca="1">OFFSET(G62,-1,-1)</f>
        <v>1</v>
      </c>
      <c r="G62" s="779" t="s">
        <v>545</v>
      </c>
      <c r="H62" s="126" t="s">
        <v>546</v>
      </c>
      <c r="I62" s="1153"/>
      <c r="J62" s="1153"/>
      <c r="K62" s="1153"/>
      <c r="L62" s="1153"/>
      <c r="M62" s="1153"/>
      <c r="N62" s="1153"/>
      <c r="O62" s="1153"/>
      <c r="P62" s="1153"/>
      <c r="Q62" s="779"/>
      <c r="R62" s="779"/>
      <c r="S62" s="1153"/>
      <c r="T62" s="1153"/>
      <c r="U62" s="780" t="b">
        <f t="shared" ref="U62:U74" ca="1" si="5">F62&gt;0</f>
        <v>1</v>
      </c>
      <c r="V62" s="1153"/>
      <c r="W62" s="1153"/>
      <c r="X62" s="1153"/>
      <c r="Y62" s="1726"/>
      <c r="Z62" s="1726"/>
      <c r="AA62" s="170"/>
      <c r="AB62" s="757">
        <v>3</v>
      </c>
      <c r="AC62" s="758" t="s">
        <v>547</v>
      </c>
      <c r="AD62" s="759" t="s">
        <v>533</v>
      </c>
      <c r="AE62" s="1288"/>
      <c r="AF62" s="928"/>
      <c r="AG62" s="928"/>
      <c r="AH62" s="928"/>
      <c r="AI62" s="928"/>
      <c r="AJ62" s="1288"/>
      <c r="AK62" s="1288"/>
      <c r="AL62" s="1288"/>
      <c r="AM62" s="1288"/>
      <c r="AN62" s="1288"/>
      <c r="AO62" s="928">
        <v>5.0999999999999996</v>
      </c>
      <c r="AP62" s="928"/>
      <c r="AQ62" s="928"/>
      <c r="AR62" s="928"/>
      <c r="AS62" s="928"/>
      <c r="AT62" s="1288"/>
      <c r="AU62" s="1288"/>
      <c r="AV62" s="1288"/>
      <c r="AW62" s="1288"/>
      <c r="AX62" s="1288"/>
      <c r="AY62" s="170"/>
      <c r="AZ62" s="170"/>
      <c r="BA62" s="958" t="s">
        <v>548</v>
      </c>
      <c r="BB62" s="1011"/>
      <c r="BC62" s="1011"/>
      <c r="BD62" s="962"/>
      <c r="BE62" s="962"/>
    </row>
    <row r="63" spans="1:57" s="1229" customFormat="1" ht="16.5" customHeight="1">
      <c r="A63" s="983"/>
      <c r="B63" s="783"/>
      <c r="C63" s="1153"/>
      <c r="D63" s="1153"/>
      <c r="E63" s="676">
        <v>17.100000000000001</v>
      </c>
      <c r="F63" s="779" t="str" cm="1">
        <f t="array" aca="1" ref="F63" ca="1">OFFSET(G63,-1,-1)</f>
        <v>1</v>
      </c>
      <c r="G63" s="1153"/>
      <c r="H63" s="126" t="s">
        <v>549</v>
      </c>
      <c r="I63" s="1153"/>
      <c r="J63" s="1153"/>
      <c r="K63" s="1153"/>
      <c r="L63" s="1153"/>
      <c r="M63" s="1153"/>
      <c r="N63" s="1153"/>
      <c r="O63" s="1153"/>
      <c r="P63" s="1153"/>
      <c r="Q63" s="779"/>
      <c r="R63" s="779"/>
      <c r="S63" s="1153"/>
      <c r="T63" s="1153"/>
      <c r="U63" s="780" t="b">
        <f t="shared" ca="1" si="5"/>
        <v>1</v>
      </c>
      <c r="V63" s="1153"/>
      <c r="W63" s="1153"/>
      <c r="X63" s="1153"/>
      <c r="Y63" s="1726"/>
      <c r="Z63" s="1726"/>
      <c r="AA63" s="170"/>
      <c r="AB63" s="713">
        <v>4</v>
      </c>
      <c r="AC63" s="719" t="s">
        <v>550</v>
      </c>
      <c r="AD63" s="720" t="s">
        <v>533</v>
      </c>
      <c r="AE63" s="1287"/>
      <c r="AF63" s="313"/>
      <c r="AG63" s="313"/>
      <c r="AH63" s="313"/>
      <c r="AI63" s="313"/>
      <c r="AJ63" s="1287"/>
      <c r="AK63" s="1287"/>
      <c r="AL63" s="1287"/>
      <c r="AM63" s="1287"/>
      <c r="AN63" s="1287"/>
      <c r="AO63" s="313">
        <v>13.2</v>
      </c>
      <c r="AP63" s="313"/>
      <c r="AQ63" s="313"/>
      <c r="AR63" s="313"/>
      <c r="AS63" s="313"/>
      <c r="AT63" s="1287"/>
      <c r="AU63" s="1287"/>
      <c r="AV63" s="1287"/>
      <c r="AW63" s="1287"/>
      <c r="AX63" s="1287"/>
      <c r="AY63" s="170"/>
      <c r="AZ63" s="170"/>
      <c r="BA63" s="958" t="s">
        <v>551</v>
      </c>
      <c r="BB63" s="1011"/>
      <c r="BC63" s="1011"/>
      <c r="BD63" s="962"/>
      <c r="BE63" s="962"/>
    </row>
    <row r="64" spans="1:57" s="1229" customFormat="1" ht="29.25" customHeight="1">
      <c r="A64" s="983"/>
      <c r="B64" s="783"/>
      <c r="C64" s="1153"/>
      <c r="D64" s="1153"/>
      <c r="E64" s="676">
        <v>30</v>
      </c>
      <c r="F64" s="779" t="str" cm="1">
        <f t="array" aca="1" ref="F64" ca="1">OFFSET(G64,-1,-1)</f>
        <v>1</v>
      </c>
      <c r="G64" s="1153"/>
      <c r="H64" s="126" t="s">
        <v>552</v>
      </c>
      <c r="I64" s="1153"/>
      <c r="J64" s="1153"/>
      <c r="K64" s="1153"/>
      <c r="L64" s="1153"/>
      <c r="M64" s="1153"/>
      <c r="N64" s="1153"/>
      <c r="O64" s="1153"/>
      <c r="P64" s="1153"/>
      <c r="Q64" s="779"/>
      <c r="R64" s="779"/>
      <c r="S64" s="1153"/>
      <c r="T64" s="1153"/>
      <c r="U64" s="780" t="b">
        <f t="shared" ca="1" si="5"/>
        <v>1</v>
      </c>
      <c r="V64" s="1153"/>
      <c r="W64" s="1153"/>
      <c r="X64" s="1153"/>
      <c r="Y64" s="1726"/>
      <c r="Z64" s="1726"/>
      <c r="AA64" s="170"/>
      <c r="AB64" s="713">
        <v>5</v>
      </c>
      <c r="AC64" s="721" t="s">
        <v>553</v>
      </c>
      <c r="AD64" s="720" t="s">
        <v>533</v>
      </c>
      <c r="AE64" s="1287"/>
      <c r="AF64" s="313"/>
      <c r="AG64" s="313"/>
      <c r="AH64" s="313"/>
      <c r="AI64" s="313"/>
      <c r="AJ64" s="1287"/>
      <c r="AK64" s="1287"/>
      <c r="AL64" s="1287"/>
      <c r="AM64" s="1287"/>
      <c r="AN64" s="1287"/>
      <c r="AO64" s="313">
        <v>9.9</v>
      </c>
      <c r="AP64" s="313"/>
      <c r="AQ64" s="313"/>
      <c r="AR64" s="313"/>
      <c r="AS64" s="313"/>
      <c r="AT64" s="1287"/>
      <c r="AU64" s="1287"/>
      <c r="AV64" s="1287"/>
      <c r="AW64" s="1287"/>
      <c r="AX64" s="1287"/>
      <c r="AY64" s="170"/>
      <c r="AZ64" s="170"/>
      <c r="BA64" s="958" t="s">
        <v>554</v>
      </c>
      <c r="BB64" s="1011"/>
      <c r="BC64" s="1011"/>
      <c r="BD64" s="962"/>
      <c r="BE64" s="962"/>
    </row>
    <row r="65" spans="1:57" s="1229" customFormat="1" ht="16.5" customHeight="1">
      <c r="A65" s="983"/>
      <c r="B65" s="783"/>
      <c r="C65" s="1153"/>
      <c r="D65" s="1153"/>
      <c r="E65" s="676">
        <v>17.100000000000001</v>
      </c>
      <c r="F65" s="779" t="str" cm="1">
        <f t="array" aca="1" ref="F65" ca="1">OFFSET(G65,-1,-1)</f>
        <v>1</v>
      </c>
      <c r="G65" s="1153"/>
      <c r="H65" s="126" t="s">
        <v>555</v>
      </c>
      <c r="I65" s="1153"/>
      <c r="J65" s="1153"/>
      <c r="K65" s="1153"/>
      <c r="L65" s="1153"/>
      <c r="M65" s="1153"/>
      <c r="N65" s="1153"/>
      <c r="O65" s="1153"/>
      <c r="P65" s="1153"/>
      <c r="Q65" s="779"/>
      <c r="R65" s="779"/>
      <c r="S65" s="1153"/>
      <c r="T65" s="1153"/>
      <c r="U65" s="780" t="b">
        <f t="shared" ca="1" si="5"/>
        <v>1</v>
      </c>
      <c r="V65" s="1153"/>
      <c r="W65" s="1153"/>
      <c r="X65" s="1153"/>
      <c r="Y65" s="1726"/>
      <c r="Z65" s="1726"/>
      <c r="AA65" s="170"/>
      <c r="AB65" s="713">
        <v>6</v>
      </c>
      <c r="AC65" s="721" t="s">
        <v>556</v>
      </c>
      <c r="AD65" s="720" t="s">
        <v>533</v>
      </c>
      <c r="AE65" s="1287"/>
      <c r="AF65" s="313"/>
      <c r="AG65" s="313"/>
      <c r="AH65" s="313"/>
      <c r="AI65" s="313"/>
      <c r="AJ65" s="1287"/>
      <c r="AK65" s="1287"/>
      <c r="AL65" s="1287"/>
      <c r="AM65" s="1287"/>
      <c r="AN65" s="1287"/>
      <c r="AO65" s="313"/>
      <c r="AP65" s="313"/>
      <c r="AQ65" s="313"/>
      <c r="AR65" s="313"/>
      <c r="AS65" s="313"/>
      <c r="AT65" s="1287"/>
      <c r="AU65" s="1287"/>
      <c r="AV65" s="1287"/>
      <c r="AW65" s="1287"/>
      <c r="AX65" s="1287"/>
      <c r="AY65" s="170"/>
      <c r="AZ65" s="170"/>
      <c r="BA65" s="958" t="s">
        <v>557</v>
      </c>
      <c r="BB65" s="1011"/>
      <c r="BC65" s="1011"/>
      <c r="BD65" s="962"/>
      <c r="BE65" s="962"/>
    </row>
    <row r="66" spans="1:57" s="1229" customFormat="1" ht="16.5" customHeight="1">
      <c r="A66" s="983"/>
      <c r="B66" s="783"/>
      <c r="C66" s="1153"/>
      <c r="D66" s="1153"/>
      <c r="E66" s="676">
        <v>17.100000000000001</v>
      </c>
      <c r="F66" s="779" t="str" cm="1">
        <f t="array" aca="1" ref="F66" ca="1">OFFSET(G66,-1,-1)</f>
        <v>1</v>
      </c>
      <c r="G66" s="1153"/>
      <c r="H66" s="126" t="s">
        <v>558</v>
      </c>
      <c r="I66" s="1153"/>
      <c r="J66" s="1153"/>
      <c r="K66" s="1153"/>
      <c r="L66" s="1153"/>
      <c r="M66" s="1153"/>
      <c r="N66" s="1153"/>
      <c r="O66" s="1153"/>
      <c r="P66" s="1153"/>
      <c r="Q66" s="779"/>
      <c r="R66" s="779"/>
      <c r="S66" s="1153"/>
      <c r="T66" s="1153"/>
      <c r="U66" s="780" t="b">
        <f t="shared" ca="1" si="5"/>
        <v>1</v>
      </c>
      <c r="V66" s="1153"/>
      <c r="W66" s="1153"/>
      <c r="X66" s="1153"/>
      <c r="Y66" s="1726"/>
      <c r="Z66" s="1726"/>
      <c r="AA66" s="170"/>
      <c r="AB66" s="713">
        <v>7</v>
      </c>
      <c r="AC66" s="721" t="s">
        <v>559</v>
      </c>
      <c r="AD66" s="720" t="s">
        <v>533</v>
      </c>
      <c r="AE66" s="1287"/>
      <c r="AF66" s="313"/>
      <c r="AG66" s="313"/>
      <c r="AH66" s="313"/>
      <c r="AI66" s="313"/>
      <c r="AJ66" s="1287"/>
      <c r="AK66" s="1287"/>
      <c r="AL66" s="1287"/>
      <c r="AM66" s="1287"/>
      <c r="AN66" s="1287"/>
      <c r="AO66" s="313"/>
      <c r="AP66" s="313"/>
      <c r="AQ66" s="313"/>
      <c r="AR66" s="313"/>
      <c r="AS66" s="313"/>
      <c r="AT66" s="1287"/>
      <c r="AU66" s="1287"/>
      <c r="AV66" s="1287"/>
      <c r="AW66" s="1287"/>
      <c r="AX66" s="1287"/>
      <c r="AY66" s="170"/>
      <c r="AZ66" s="170"/>
      <c r="BA66" s="958" t="s">
        <v>560</v>
      </c>
      <c r="BB66" s="1011"/>
      <c r="BC66" s="1011"/>
      <c r="BD66" s="962"/>
      <c r="BE66" s="962"/>
    </row>
    <row r="67" spans="1:57" s="1229" customFormat="1" ht="16.5" customHeight="1">
      <c r="A67" s="983"/>
      <c r="B67" s="783"/>
      <c r="C67" s="1153"/>
      <c r="D67" s="1153"/>
      <c r="E67" s="676">
        <v>17.100000000000001</v>
      </c>
      <c r="F67" s="779" t="str" cm="1">
        <f t="array" aca="1" ref="F67" ca="1">OFFSET(G67,-1,-1)</f>
        <v>1</v>
      </c>
      <c r="G67" s="1153"/>
      <c r="H67" s="126" t="s">
        <v>561</v>
      </c>
      <c r="I67" s="1153"/>
      <c r="J67" s="1153"/>
      <c r="K67" s="1153"/>
      <c r="L67" s="1153"/>
      <c r="M67" s="1153"/>
      <c r="N67" s="1153"/>
      <c r="O67" s="1153"/>
      <c r="P67" s="1153"/>
      <c r="Q67" s="779"/>
      <c r="R67" s="779"/>
      <c r="S67" s="1153"/>
      <c r="T67" s="1153"/>
      <c r="U67" s="780" t="b">
        <f t="shared" ca="1" si="5"/>
        <v>1</v>
      </c>
      <c r="V67" s="1153"/>
      <c r="W67" s="1153"/>
      <c r="X67" s="1153"/>
      <c r="Y67" s="1726"/>
      <c r="Z67" s="1726"/>
      <c r="AA67" s="170"/>
      <c r="AB67" s="713">
        <v>8</v>
      </c>
      <c r="AC67" s="721" t="s">
        <v>562</v>
      </c>
      <c r="AD67" s="720" t="s">
        <v>533</v>
      </c>
      <c r="AE67" s="1287"/>
      <c r="AF67" s="313"/>
      <c r="AG67" s="313"/>
      <c r="AH67" s="313"/>
      <c r="AI67" s="313"/>
      <c r="AJ67" s="1287"/>
      <c r="AK67" s="1287"/>
      <c r="AL67" s="1287"/>
      <c r="AM67" s="1287"/>
      <c r="AN67" s="1287"/>
      <c r="AO67" s="313"/>
      <c r="AP67" s="313"/>
      <c r="AQ67" s="313"/>
      <c r="AR67" s="313"/>
      <c r="AS67" s="313"/>
      <c r="AT67" s="1287"/>
      <c r="AU67" s="1287"/>
      <c r="AV67" s="1287"/>
      <c r="AW67" s="1287"/>
      <c r="AX67" s="1287"/>
      <c r="AY67" s="170"/>
      <c r="AZ67" s="170"/>
      <c r="BA67" s="958" t="s">
        <v>563</v>
      </c>
      <c r="BB67" s="1011"/>
      <c r="BC67" s="1011"/>
      <c r="BD67" s="962"/>
      <c r="BE67" s="962"/>
    </row>
    <row r="68" spans="1:57" s="1229" customFormat="1" ht="16.5" customHeight="1">
      <c r="A68" s="983"/>
      <c r="B68" s="783"/>
      <c r="C68" s="1153"/>
      <c r="D68" s="1153"/>
      <c r="E68" s="676">
        <v>17.100000000000001</v>
      </c>
      <c r="F68" s="779" t="str" cm="1">
        <f t="array" aca="1" ref="F68" ca="1">OFFSET(G68,-1,-1)</f>
        <v>1</v>
      </c>
      <c r="G68" s="1153"/>
      <c r="H68" s="126" t="s">
        <v>564</v>
      </c>
      <c r="I68" s="1153"/>
      <c r="J68" s="1153"/>
      <c r="K68" s="1153"/>
      <c r="L68" s="1153"/>
      <c r="M68" s="1153"/>
      <c r="N68" s="1153"/>
      <c r="O68" s="1153"/>
      <c r="P68" s="1153"/>
      <c r="Q68" s="779"/>
      <c r="R68" s="779"/>
      <c r="S68" s="1153"/>
      <c r="T68" s="1153"/>
      <c r="U68" s="780" t="b">
        <f t="shared" ca="1" si="5"/>
        <v>1</v>
      </c>
      <c r="V68" s="1153"/>
      <c r="W68" s="1153"/>
      <c r="X68" s="1153"/>
      <c r="Y68" s="1726"/>
      <c r="Z68" s="1726"/>
      <c r="AA68" s="170"/>
      <c r="AB68" s="713">
        <v>9</v>
      </c>
      <c r="AC68" s="721" t="s">
        <v>565</v>
      </c>
      <c r="AD68" s="123" t="s">
        <v>566</v>
      </c>
      <c r="AE68" s="1287">
        <f>7900</f>
        <v>7900</v>
      </c>
      <c r="AF68" s="313">
        <f>7900</f>
        <v>7900</v>
      </c>
      <c r="AG68" s="313">
        <f>7900</f>
        <v>7900</v>
      </c>
      <c r="AH68" s="313">
        <f>7900</f>
        <v>7900</v>
      </c>
      <c r="AI68" s="313">
        <f>7900</f>
        <v>7900</v>
      </c>
      <c r="AJ68" s="1287">
        <f>7900</f>
        <v>7900</v>
      </c>
      <c r="AK68" s="1287">
        <f>7900</f>
        <v>7900</v>
      </c>
      <c r="AL68" s="1287">
        <f>7900</f>
        <v>7900</v>
      </c>
      <c r="AM68" s="1287">
        <f>7900</f>
        <v>7900</v>
      </c>
      <c r="AN68" s="1287">
        <f>7900</f>
        <v>7900</v>
      </c>
      <c r="AO68" s="313">
        <f>7900</f>
        <v>7900</v>
      </c>
      <c r="AP68" s="313">
        <f>7900</f>
        <v>7900</v>
      </c>
      <c r="AQ68" s="313">
        <f>7900</f>
        <v>7900</v>
      </c>
      <c r="AR68" s="313">
        <f>7900</f>
        <v>7900</v>
      </c>
      <c r="AS68" s="313">
        <f>7900</f>
        <v>7900</v>
      </c>
      <c r="AT68" s="1287">
        <f>7900</f>
        <v>7900</v>
      </c>
      <c r="AU68" s="1287">
        <f>7900</f>
        <v>7900</v>
      </c>
      <c r="AV68" s="1287">
        <f>7900</f>
        <v>7900</v>
      </c>
      <c r="AW68" s="1287">
        <f>7900</f>
        <v>7900</v>
      </c>
      <c r="AX68" s="1287">
        <f>7900</f>
        <v>7900</v>
      </c>
      <c r="AY68" s="170"/>
      <c r="AZ68" s="170"/>
      <c r="BA68" s="958" t="s">
        <v>567</v>
      </c>
      <c r="BB68" s="1011"/>
      <c r="BC68" s="1011"/>
      <c r="BD68" s="962"/>
      <c r="BE68" s="962"/>
    </row>
    <row r="69" spans="1:57" s="1229" customFormat="1" ht="16.5" customHeight="1">
      <c r="A69" s="983"/>
      <c r="B69" s="783"/>
      <c r="C69" s="1153"/>
      <c r="D69" s="1153"/>
      <c r="E69" s="676">
        <v>17.100000000000001</v>
      </c>
      <c r="F69" s="779" t="str" cm="1">
        <f t="array" aca="1" ref="F69" ca="1">OFFSET(G69,-1,-1)</f>
        <v>1</v>
      </c>
      <c r="G69" s="1153"/>
      <c r="H69" s="126" t="s">
        <v>568</v>
      </c>
      <c r="I69" s="1153"/>
      <c r="J69" s="1153"/>
      <c r="K69" s="1153"/>
      <c r="L69" s="1153"/>
      <c r="M69" s="1153"/>
      <c r="N69" s="1153"/>
      <c r="O69" s="1153"/>
      <c r="P69" s="1153"/>
      <c r="Q69" s="779"/>
      <c r="R69" s="779"/>
      <c r="S69" s="1153"/>
      <c r="T69" s="1153"/>
      <c r="U69" s="780" t="b">
        <f t="shared" ca="1" si="5"/>
        <v>1</v>
      </c>
      <c r="V69" s="1153"/>
      <c r="W69" s="1153"/>
      <c r="X69" s="1153"/>
      <c r="Y69" s="1726"/>
      <c r="Z69" s="1726"/>
      <c r="AA69" s="170"/>
      <c r="AB69" s="713">
        <v>10</v>
      </c>
      <c r="AC69" s="721" t="s">
        <v>569</v>
      </c>
      <c r="AD69" s="123" t="s">
        <v>570</v>
      </c>
      <c r="AE69" s="1287"/>
      <c r="AF69" s="313"/>
      <c r="AG69" s="313"/>
      <c r="AH69" s="313"/>
      <c r="AI69" s="313"/>
      <c r="AJ69" s="1287"/>
      <c r="AK69" s="1287"/>
      <c r="AL69" s="1287"/>
      <c r="AM69" s="1287"/>
      <c r="AN69" s="1287"/>
      <c r="AO69" s="313"/>
      <c r="AP69" s="313"/>
      <c r="AQ69" s="313"/>
      <c r="AR69" s="313"/>
      <c r="AS69" s="313"/>
      <c r="AT69" s="1287"/>
      <c r="AU69" s="1287"/>
      <c r="AV69" s="1287"/>
      <c r="AW69" s="1287"/>
      <c r="AX69" s="1287"/>
      <c r="AY69" s="170"/>
      <c r="AZ69" s="170"/>
      <c r="BA69" s="958" t="s">
        <v>571</v>
      </c>
      <c r="BB69" s="1011"/>
      <c r="BC69" s="1011"/>
      <c r="BD69" s="962"/>
      <c r="BE69" s="962"/>
    </row>
    <row r="70" spans="1:57" s="1229" customFormat="1" ht="16.5" customHeight="1">
      <c r="A70" s="983"/>
      <c r="B70" s="783"/>
      <c r="C70" s="1153"/>
      <c r="D70" s="1153"/>
      <c r="E70" s="676">
        <v>17.100000000000001</v>
      </c>
      <c r="F70" s="779" t="str" cm="1">
        <f t="array" aca="1" ref="F70" ca="1">OFFSET(G70,-1,-1)</f>
        <v>1</v>
      </c>
      <c r="G70" s="1153"/>
      <c r="H70" s="126" t="s">
        <v>572</v>
      </c>
      <c r="I70" s="1153"/>
      <c r="J70" s="1153"/>
      <c r="K70" s="1153"/>
      <c r="L70" s="1153"/>
      <c r="M70" s="1153"/>
      <c r="N70" s="1153"/>
      <c r="O70" s="1153"/>
      <c r="P70" s="1153"/>
      <c r="Q70" s="779"/>
      <c r="R70" s="779"/>
      <c r="S70" s="1153"/>
      <c r="T70" s="1153"/>
      <c r="U70" s="780" t="b">
        <f t="shared" ca="1" si="5"/>
        <v>1</v>
      </c>
      <c r="V70" s="1153"/>
      <c r="W70" s="1153"/>
      <c r="X70" s="1153"/>
      <c r="Y70" s="1726"/>
      <c r="Z70" s="1726"/>
      <c r="AA70" s="170"/>
      <c r="AB70" s="713">
        <v>11</v>
      </c>
      <c r="AC70" s="721" t="s">
        <v>573</v>
      </c>
      <c r="AD70" s="123" t="s">
        <v>574</v>
      </c>
      <c r="AE70" s="1287">
        <f>7000</f>
        <v>7000</v>
      </c>
      <c r="AF70" s="313">
        <f>7000</f>
        <v>7000</v>
      </c>
      <c r="AG70" s="313">
        <f>7000</f>
        <v>7000</v>
      </c>
      <c r="AH70" s="313">
        <f>7000</f>
        <v>7000</v>
      </c>
      <c r="AI70" s="313">
        <f>7000</f>
        <v>7000</v>
      </c>
      <c r="AJ70" s="1287">
        <f>7000</f>
        <v>7000</v>
      </c>
      <c r="AK70" s="1287">
        <f>7000</f>
        <v>7000</v>
      </c>
      <c r="AL70" s="1287">
        <f>7000</f>
        <v>7000</v>
      </c>
      <c r="AM70" s="1287">
        <f>7000</f>
        <v>7000</v>
      </c>
      <c r="AN70" s="1287">
        <f>7000</f>
        <v>7000</v>
      </c>
      <c r="AO70" s="313">
        <f>7000</f>
        <v>7000</v>
      </c>
      <c r="AP70" s="313">
        <f>7000</f>
        <v>7000</v>
      </c>
      <c r="AQ70" s="313">
        <f>7000</f>
        <v>7000</v>
      </c>
      <c r="AR70" s="313">
        <f>7000</f>
        <v>7000</v>
      </c>
      <c r="AS70" s="313">
        <f>7000</f>
        <v>7000</v>
      </c>
      <c r="AT70" s="1287">
        <f>7000</f>
        <v>7000</v>
      </c>
      <c r="AU70" s="1287">
        <f>7000</f>
        <v>7000</v>
      </c>
      <c r="AV70" s="1287">
        <f>7000</f>
        <v>7000</v>
      </c>
      <c r="AW70" s="1287">
        <f>7000</f>
        <v>7000</v>
      </c>
      <c r="AX70" s="1287">
        <f>7000</f>
        <v>7000</v>
      </c>
      <c r="AY70" s="170"/>
      <c r="AZ70" s="170"/>
      <c r="BA70" s="958" t="s">
        <v>575</v>
      </c>
      <c r="BB70" s="1011"/>
      <c r="BC70" s="1011"/>
      <c r="BD70" s="962"/>
      <c r="BE70" s="962"/>
    </row>
    <row r="71" spans="1:57" s="1229" customFormat="1" ht="16.5" customHeight="1">
      <c r="A71" s="983"/>
      <c r="B71" s="783"/>
      <c r="C71" s="1153"/>
      <c r="D71" s="1153"/>
      <c r="E71" s="676">
        <v>17.100000000000001</v>
      </c>
      <c r="F71" s="779" t="str" cm="1">
        <f t="array" aca="1" ref="F71" ca="1">OFFSET(G71,-1,-1)</f>
        <v>1</v>
      </c>
      <c r="G71" s="1153"/>
      <c r="H71" s="126" t="s">
        <v>576</v>
      </c>
      <c r="I71" s="1153"/>
      <c r="J71" s="1153"/>
      <c r="K71" s="1153"/>
      <c r="L71" s="1153"/>
      <c r="M71" s="1153"/>
      <c r="N71" s="1153"/>
      <c r="O71" s="1153"/>
      <c r="P71" s="1153"/>
      <c r="Q71" s="779"/>
      <c r="R71" s="779"/>
      <c r="S71" s="1153"/>
      <c r="T71" s="1153"/>
      <c r="U71" s="780" t="b">
        <f t="shared" ca="1" si="5"/>
        <v>1</v>
      </c>
      <c r="V71" s="1153"/>
      <c r="W71" s="1153"/>
      <c r="X71" s="1153"/>
      <c r="Y71" s="1726"/>
      <c r="Z71" s="1726"/>
      <c r="AA71" s="170"/>
      <c r="AB71" s="713">
        <v>12</v>
      </c>
      <c r="AC71" s="721" t="s">
        <v>577</v>
      </c>
      <c r="AD71" s="720" t="s">
        <v>533</v>
      </c>
      <c r="AE71" s="1287"/>
      <c r="AF71" s="313"/>
      <c r="AG71" s="313"/>
      <c r="AH71" s="313"/>
      <c r="AI71" s="313"/>
      <c r="AJ71" s="1287"/>
      <c r="AK71" s="1287"/>
      <c r="AL71" s="1287"/>
      <c r="AM71" s="1287"/>
      <c r="AN71" s="1287"/>
      <c r="AO71" s="313"/>
      <c r="AP71" s="313"/>
      <c r="AQ71" s="313"/>
      <c r="AR71" s="313"/>
      <c r="AS71" s="313"/>
      <c r="AT71" s="1287"/>
      <c r="AU71" s="1287"/>
      <c r="AV71" s="1287"/>
      <c r="AW71" s="1287"/>
      <c r="AX71" s="1287"/>
      <c r="AY71" s="170"/>
      <c r="AZ71" s="170"/>
      <c r="BA71" s="958" t="s">
        <v>578</v>
      </c>
      <c r="BB71" s="1011"/>
      <c r="BC71" s="1011"/>
      <c r="BD71" s="962"/>
      <c r="BE71" s="962"/>
    </row>
    <row r="72" spans="1:57" s="1229" customFormat="1" ht="16.5" customHeight="1">
      <c r="A72" s="983"/>
      <c r="B72" s="783"/>
      <c r="C72" s="1153"/>
      <c r="D72" s="1153"/>
      <c r="E72" s="676">
        <v>17.100000000000001</v>
      </c>
      <c r="F72" s="779" t="str" cm="1">
        <f t="array" aca="1" ref="F72" ca="1">OFFSET(G72,-1,-1)</f>
        <v>1</v>
      </c>
      <c r="G72" s="1153"/>
      <c r="H72" s="126" t="s">
        <v>579</v>
      </c>
      <c r="I72" s="1153"/>
      <c r="J72" s="1153"/>
      <c r="K72" s="1153"/>
      <c r="L72" s="1153"/>
      <c r="M72" s="1153"/>
      <c r="N72" s="1153"/>
      <c r="O72" s="1153"/>
      <c r="P72" s="1153"/>
      <c r="Q72" s="779"/>
      <c r="R72" s="779"/>
      <c r="S72" s="1153"/>
      <c r="T72" s="1153"/>
      <c r="U72" s="780" t="b">
        <f t="shared" ca="1" si="5"/>
        <v>1</v>
      </c>
      <c r="V72" s="1153"/>
      <c r="W72" s="1153"/>
      <c r="X72" s="1153"/>
      <c r="Y72" s="1726"/>
      <c r="Z72" s="1726"/>
      <c r="AA72" s="170"/>
      <c r="AB72" s="713">
        <v>13</v>
      </c>
      <c r="AC72" s="721" t="s">
        <v>580</v>
      </c>
      <c r="AD72" s="720" t="s">
        <v>533</v>
      </c>
      <c r="AE72" s="1287"/>
      <c r="AF72" s="313"/>
      <c r="AG72" s="313"/>
      <c r="AH72" s="313"/>
      <c r="AI72" s="313"/>
      <c r="AJ72" s="1287"/>
      <c r="AK72" s="1287"/>
      <c r="AL72" s="1287"/>
      <c r="AM72" s="1287"/>
      <c r="AN72" s="1287"/>
      <c r="AO72" s="313"/>
      <c r="AP72" s="313"/>
      <c r="AQ72" s="313"/>
      <c r="AR72" s="313"/>
      <c r="AS72" s="313"/>
      <c r="AT72" s="1287"/>
      <c r="AU72" s="1287"/>
      <c r="AV72" s="1287"/>
      <c r="AW72" s="1287"/>
      <c r="AX72" s="1287"/>
      <c r="AY72" s="170"/>
      <c r="AZ72" s="170"/>
      <c r="BA72" s="958" t="s">
        <v>581</v>
      </c>
      <c r="BB72" s="1011"/>
      <c r="BC72" s="1011"/>
      <c r="BD72" s="962"/>
      <c r="BE72" s="962"/>
    </row>
    <row r="73" spans="1:57" s="1229" customFormat="1" ht="16.5" customHeight="1">
      <c r="A73" s="983"/>
      <c r="B73" s="783"/>
      <c r="C73" s="1153"/>
      <c r="D73" s="1153"/>
      <c r="E73" s="676">
        <v>17.100000000000001</v>
      </c>
      <c r="F73" s="779" t="str" cm="1">
        <f t="array" aca="1" ref="F73" ca="1">OFFSET(G73,-1,-1)</f>
        <v>1</v>
      </c>
      <c r="G73" s="1153"/>
      <c r="H73" s="126" t="s">
        <v>582</v>
      </c>
      <c r="I73" s="1153"/>
      <c r="J73" s="1153"/>
      <c r="K73" s="1153"/>
      <c r="L73" s="1153"/>
      <c r="M73" s="1153"/>
      <c r="N73" s="1153"/>
      <c r="O73" s="1153"/>
      <c r="P73" s="1153"/>
      <c r="Q73" s="779"/>
      <c r="R73" s="779"/>
      <c r="S73" s="1153"/>
      <c r="T73" s="1153"/>
      <c r="U73" s="780" t="b">
        <f t="shared" ca="1" si="5"/>
        <v>1</v>
      </c>
      <c r="V73" s="1153"/>
      <c r="W73" s="1153"/>
      <c r="X73" s="1153"/>
      <c r="Y73" s="1726"/>
      <c r="Z73" s="1726"/>
      <c r="AA73" s="170"/>
      <c r="AB73" s="713">
        <v>14</v>
      </c>
      <c r="AC73" s="721" t="s">
        <v>583</v>
      </c>
      <c r="AD73" s="720" t="s">
        <v>533</v>
      </c>
      <c r="AE73" s="1287"/>
      <c r="AF73" s="313"/>
      <c r="AG73" s="313"/>
      <c r="AH73" s="313"/>
      <c r="AI73" s="313"/>
      <c r="AJ73" s="1287"/>
      <c r="AK73" s="1287"/>
      <c r="AL73" s="1287"/>
      <c r="AM73" s="1287"/>
      <c r="AN73" s="1287"/>
      <c r="AO73" s="313"/>
      <c r="AP73" s="313"/>
      <c r="AQ73" s="313"/>
      <c r="AR73" s="313"/>
      <c r="AS73" s="313"/>
      <c r="AT73" s="1287"/>
      <c r="AU73" s="1287"/>
      <c r="AV73" s="1287"/>
      <c r="AW73" s="1287"/>
      <c r="AX73" s="1287"/>
      <c r="AY73" s="170"/>
      <c r="AZ73" s="170"/>
      <c r="BA73" s="958" t="s">
        <v>584</v>
      </c>
      <c r="BB73" s="1011"/>
      <c r="BC73" s="1011"/>
      <c r="BD73" s="962"/>
      <c r="BE73" s="962"/>
    </row>
    <row r="74" spans="1:57" s="1229" customFormat="1" ht="16.5" customHeight="1">
      <c r="A74" s="983"/>
      <c r="B74" s="783"/>
      <c r="C74" s="1153"/>
      <c r="D74" s="1153"/>
      <c r="E74" s="676">
        <v>17.100000000000001</v>
      </c>
      <c r="F74" s="779" t="str" cm="1">
        <f t="array" aca="1" ref="F74" ca="1">OFFSET(G74,-1,-1)</f>
        <v>1</v>
      </c>
      <c r="G74" s="1153"/>
      <c r="H74" s="126" t="s">
        <v>585</v>
      </c>
      <c r="I74" s="1153"/>
      <c r="J74" s="1153"/>
      <c r="K74" s="1153"/>
      <c r="L74" s="1153"/>
      <c r="M74" s="1153"/>
      <c r="N74" s="1153"/>
      <c r="O74" s="1153"/>
      <c r="P74" s="1153"/>
      <c r="Q74" s="779"/>
      <c r="R74" s="779"/>
      <c r="S74" s="1153"/>
      <c r="T74" s="1153"/>
      <c r="U74" s="780" t="b">
        <f t="shared" ca="1" si="5"/>
        <v>1</v>
      </c>
      <c r="V74" s="1153"/>
      <c r="W74" s="1153"/>
      <c r="X74" s="1153"/>
      <c r="Y74" s="1726"/>
      <c r="Z74" s="1726"/>
      <c r="AA74" s="170"/>
      <c r="AB74" s="713">
        <v>15</v>
      </c>
      <c r="AC74" s="721" t="s">
        <v>586</v>
      </c>
      <c r="AD74" s="720" t="s">
        <v>533</v>
      </c>
      <c r="AE74" s="1287"/>
      <c r="AF74" s="313"/>
      <c r="AG74" s="313"/>
      <c r="AH74" s="313"/>
      <c r="AI74" s="313"/>
      <c r="AJ74" s="1287"/>
      <c r="AK74" s="1287"/>
      <c r="AL74" s="1287"/>
      <c r="AM74" s="1287"/>
      <c r="AN74" s="1287"/>
      <c r="AO74" s="313"/>
      <c r="AP74" s="313"/>
      <c r="AQ74" s="313"/>
      <c r="AR74" s="313"/>
      <c r="AS74" s="313"/>
      <c r="AT74" s="1287"/>
      <c r="AU74" s="1287"/>
      <c r="AV74" s="1287"/>
      <c r="AW74" s="1287"/>
      <c r="AX74" s="1287"/>
      <c r="AY74" s="170"/>
      <c r="AZ74" s="170"/>
      <c r="BA74" s="958" t="s">
        <v>587</v>
      </c>
      <c r="BB74" s="1011"/>
      <c r="BC74" s="1011"/>
      <c r="BD74" s="962"/>
      <c r="BE74" s="962"/>
    </row>
    <row r="75" spans="1:57" s="1229" customFormat="1" ht="16.5" customHeight="1">
      <c r="A75" s="983"/>
      <c r="B75" s="783"/>
      <c r="C75" s="1153"/>
      <c r="D75" s="1153"/>
      <c r="E75" s="676">
        <v>17.100000000000001</v>
      </c>
      <c r="F75" s="779" t="str" cm="1">
        <f t="array" aca="1" ref="F75" ca="1">OFFSET(G75,-1,-1)</f>
        <v>1</v>
      </c>
      <c r="G75" s="779" t="s">
        <v>588</v>
      </c>
      <c r="H75" s="126" t="s">
        <v>589</v>
      </c>
      <c r="I75" s="1153"/>
      <c r="J75" s="1153"/>
      <c r="K75" s="1153"/>
      <c r="L75" s="1153"/>
      <c r="M75" s="1153"/>
      <c r="N75" s="1153"/>
      <c r="O75" s="1153"/>
      <c r="P75" s="1153"/>
      <c r="Q75" s="779"/>
      <c r="R75" s="779"/>
      <c r="S75" s="1153"/>
      <c r="T75" s="1153"/>
      <c r="U75" s="886" t="b">
        <f ca="1">AND(F75&gt;0,method_reg&lt;&gt;"Метод экономически обоснованных расходов")</f>
        <v>1</v>
      </c>
      <c r="V75" s="1153"/>
      <c r="W75" s="1153"/>
      <c r="X75" s="1153"/>
      <c r="Y75" s="1726"/>
      <c r="Z75" s="1726"/>
      <c r="AA75" s="170"/>
      <c r="AB75" s="713">
        <v>16</v>
      </c>
      <c r="AC75" s="723" t="s">
        <v>590</v>
      </c>
      <c r="AD75" s="159"/>
      <c r="AE75" s="1287"/>
      <c r="AF75" s="313"/>
      <c r="AG75" s="313"/>
      <c r="AH75" s="313"/>
      <c r="AI75" s="313"/>
      <c r="AJ75" s="1287"/>
      <c r="AK75" s="1287"/>
      <c r="AL75" s="1287"/>
      <c r="AM75" s="1287"/>
      <c r="AN75" s="1287"/>
      <c r="AO75" s="313"/>
      <c r="AP75" s="313"/>
      <c r="AQ75" s="313"/>
      <c r="AR75" s="313"/>
      <c r="AS75" s="313"/>
      <c r="AT75" s="1287"/>
      <c r="AU75" s="1287"/>
      <c r="AV75" s="1287"/>
      <c r="AW75" s="1287"/>
      <c r="AX75" s="1287"/>
      <c r="AY75" s="170"/>
      <c r="AZ75" s="170"/>
      <c r="BA75" s="958" t="s">
        <v>591</v>
      </c>
      <c r="BB75" s="1011"/>
      <c r="BC75" s="1011"/>
      <c r="BD75" s="962"/>
      <c r="BE75" s="962"/>
    </row>
    <row r="76" spans="1:57" s="1229" customFormat="1" ht="29.25" customHeight="1">
      <c r="A76" s="983"/>
      <c r="B76" s="783"/>
      <c r="C76" s="1153"/>
      <c r="D76" s="1153"/>
      <c r="E76" s="676">
        <v>30</v>
      </c>
      <c r="F76" s="779" t="str" cm="1">
        <f t="array" aca="1" ref="F76" ca="1">OFFSET(G76,-1,-1)</f>
        <v>1</v>
      </c>
      <c r="G76" s="779" t="s">
        <v>592</v>
      </c>
      <c r="H76" s="126" t="s">
        <v>593</v>
      </c>
      <c r="I76" s="1153"/>
      <c r="J76" s="1153"/>
      <c r="K76" s="1153"/>
      <c r="L76" s="1153"/>
      <c r="M76" s="1153"/>
      <c r="N76" s="1153"/>
      <c r="O76" s="1153"/>
      <c r="P76" s="1153"/>
      <c r="Q76" s="779"/>
      <c r="R76" s="779"/>
      <c r="S76" s="1153"/>
      <c r="T76" s="1153"/>
      <c r="U76" s="886" t="b">
        <f ca="1">AND(F76&gt;0,method_reg&lt;&gt;"Метод экономически обоснованных расходов")</f>
        <v>1</v>
      </c>
      <c r="V76" s="1153"/>
      <c r="W76" s="1153"/>
      <c r="X76" s="1153"/>
      <c r="Y76" s="1726"/>
      <c r="Z76" s="1726"/>
      <c r="AA76" s="170"/>
      <c r="AB76" s="713">
        <v>17</v>
      </c>
      <c r="AC76" s="160" t="s">
        <v>594</v>
      </c>
      <c r="AD76" s="714"/>
      <c r="AE76" s="1287">
        <f t="shared" ref="AE76:AX76" si="6">0.75</f>
        <v>0.75</v>
      </c>
      <c r="AF76" s="313">
        <f t="shared" si="6"/>
        <v>0.75</v>
      </c>
      <c r="AG76" s="313">
        <f t="shared" si="6"/>
        <v>0.75</v>
      </c>
      <c r="AH76" s="313">
        <f t="shared" si="6"/>
        <v>0.75</v>
      </c>
      <c r="AI76" s="313">
        <f t="shared" si="6"/>
        <v>0.75</v>
      </c>
      <c r="AJ76" s="1287">
        <f t="shared" si="6"/>
        <v>0.75</v>
      </c>
      <c r="AK76" s="1287">
        <f t="shared" si="6"/>
        <v>0.75</v>
      </c>
      <c r="AL76" s="1287">
        <f t="shared" si="6"/>
        <v>0.75</v>
      </c>
      <c r="AM76" s="1287">
        <f t="shared" si="6"/>
        <v>0.75</v>
      </c>
      <c r="AN76" s="1287">
        <f t="shared" si="6"/>
        <v>0.75</v>
      </c>
      <c r="AO76" s="313">
        <f t="shared" si="6"/>
        <v>0.75</v>
      </c>
      <c r="AP76" s="313">
        <f t="shared" si="6"/>
        <v>0.75</v>
      </c>
      <c r="AQ76" s="313">
        <f t="shared" si="6"/>
        <v>0.75</v>
      </c>
      <c r="AR76" s="313">
        <f t="shared" si="6"/>
        <v>0.75</v>
      </c>
      <c r="AS76" s="313">
        <f t="shared" si="6"/>
        <v>0.75</v>
      </c>
      <c r="AT76" s="1287">
        <f t="shared" si="6"/>
        <v>0.75</v>
      </c>
      <c r="AU76" s="1287">
        <f t="shared" si="6"/>
        <v>0.75</v>
      </c>
      <c r="AV76" s="1287">
        <f t="shared" si="6"/>
        <v>0.75</v>
      </c>
      <c r="AW76" s="1287">
        <f t="shared" si="6"/>
        <v>0.75</v>
      </c>
      <c r="AX76" s="1287">
        <f t="shared" si="6"/>
        <v>0.75</v>
      </c>
      <c r="AY76" s="170"/>
      <c r="AZ76" s="170"/>
      <c r="BA76" s="958" t="s">
        <v>595</v>
      </c>
      <c r="BB76" s="1011"/>
      <c r="BC76" s="1011"/>
      <c r="BD76" s="962"/>
      <c r="BE76" s="962"/>
    </row>
    <row r="77" spans="1:57" s="1229" customFormat="1" ht="16.5" customHeight="1">
      <c r="A77" s="983"/>
      <c r="B77" s="783"/>
      <c r="C77" s="1153"/>
      <c r="D77" s="1153"/>
      <c r="E77" s="676">
        <v>17.100000000000001</v>
      </c>
      <c r="F77" s="779" t="str" cm="1">
        <f t="array" aca="1" ref="F77" ca="1">OFFSET(G77,-1,-1)</f>
        <v>1</v>
      </c>
      <c r="G77" s="1153"/>
      <c r="H77" s="1153"/>
      <c r="I77" s="1153"/>
      <c r="J77" s="1153"/>
      <c r="K77" s="1153"/>
      <c r="L77" s="1153"/>
      <c r="M77" s="1153"/>
      <c r="N77" s="1153"/>
      <c r="O77" s="1153"/>
      <c r="P77" s="1153"/>
      <c r="Q77" s="779"/>
      <c r="R77" s="779"/>
      <c r="S77" s="1153"/>
      <c r="T77" s="1153"/>
      <c r="U77" s="780" t="b">
        <f t="shared" ref="U77:U83" ca="1" si="7">F77&gt;0</f>
        <v>1</v>
      </c>
      <c r="V77" s="1153"/>
      <c r="W77" s="1153"/>
      <c r="X77" s="1153"/>
      <c r="Y77" s="1726"/>
      <c r="Z77" s="1726"/>
      <c r="AA77" s="170"/>
      <c r="AB77" s="880" t="s">
        <v>596</v>
      </c>
      <c r="AC77" s="292" t="s">
        <v>597</v>
      </c>
      <c r="AD77" s="293"/>
      <c r="AE77" s="295"/>
      <c r="AF77" s="295"/>
      <c r="AG77" s="295"/>
      <c r="AH77" s="295"/>
      <c r="AI77" s="295"/>
      <c r="AJ77" s="295"/>
      <c r="AK77" s="295"/>
      <c r="AL77" s="295"/>
      <c r="AM77" s="295"/>
      <c r="AN77" s="295"/>
      <c r="AO77" s="295"/>
      <c r="AP77" s="295"/>
      <c r="AQ77" s="295"/>
      <c r="AR77" s="295"/>
      <c r="AS77" s="295"/>
      <c r="AT77" s="295"/>
      <c r="AU77" s="295"/>
      <c r="AV77" s="295"/>
      <c r="AW77" s="295"/>
      <c r="AX77" s="295"/>
      <c r="AY77" s="170"/>
      <c r="AZ77" s="170"/>
      <c r="BA77" s="1011"/>
      <c r="BB77" s="1011"/>
      <c r="BC77" s="1011"/>
      <c r="BD77" s="962"/>
      <c r="BE77" s="962"/>
    </row>
    <row r="78" spans="1:57" s="1229" customFormat="1" ht="16.5" customHeight="1">
      <c r="A78" s="983"/>
      <c r="B78" s="783"/>
      <c r="C78" s="1153"/>
      <c r="D78" s="1153"/>
      <c r="E78" s="676">
        <v>17.100000000000001</v>
      </c>
      <c r="F78" s="779" t="str" cm="1">
        <f t="array" aca="1" ref="F78" ca="1">OFFSET(G78,-1,-1)</f>
        <v>1</v>
      </c>
      <c r="G78" s="779" t="s">
        <v>598</v>
      </c>
      <c r="H78" s="126" t="s">
        <v>599</v>
      </c>
      <c r="I78" s="1153"/>
      <c r="J78" s="1153"/>
      <c r="K78" s="1153"/>
      <c r="L78" s="1153"/>
      <c r="M78" s="1153"/>
      <c r="N78" s="1153"/>
      <c r="O78" s="1153"/>
      <c r="P78" s="1153"/>
      <c r="Q78" s="779"/>
      <c r="R78" s="779"/>
      <c r="S78" s="1153"/>
      <c r="T78" s="1153"/>
      <c r="U78" s="780" t="b">
        <f t="shared" ca="1" si="7"/>
        <v>1</v>
      </c>
      <c r="V78" s="1153"/>
      <c r="W78" s="1153"/>
      <c r="X78" s="1153"/>
      <c r="Y78" s="1726"/>
      <c r="Z78" s="1726"/>
      <c r="AA78" s="170"/>
      <c r="AB78" s="412" t="s">
        <v>600</v>
      </c>
      <c r="AC78" s="158" t="s">
        <v>601</v>
      </c>
      <c r="AD78" s="159" t="s">
        <v>533</v>
      </c>
      <c r="AE78" s="1287">
        <v>30.18</v>
      </c>
      <c r="AF78" s="313"/>
      <c r="AG78" s="313"/>
      <c r="AH78" s="313"/>
      <c r="AI78" s="313"/>
      <c r="AJ78" s="1287"/>
      <c r="AK78" s="1287"/>
      <c r="AL78" s="1287"/>
      <c r="AM78" s="1287"/>
      <c r="AN78" s="1287"/>
      <c r="AO78" s="313">
        <v>30.18</v>
      </c>
      <c r="AP78" s="313"/>
      <c r="AQ78" s="313"/>
      <c r="AR78" s="313"/>
      <c r="AS78" s="313"/>
      <c r="AT78" s="1287"/>
      <c r="AU78" s="1287"/>
      <c r="AV78" s="1287"/>
      <c r="AW78" s="1287"/>
      <c r="AX78" s="1287"/>
      <c r="AY78" s="170"/>
      <c r="AZ78" s="170"/>
      <c r="BA78" s="958" t="s">
        <v>602</v>
      </c>
      <c r="BB78" s="1011"/>
      <c r="BC78" s="1011"/>
      <c r="BD78" s="962"/>
      <c r="BE78" s="962"/>
    </row>
    <row r="79" spans="1:57" s="1229" customFormat="1" ht="16.5" customHeight="1">
      <c r="A79" s="983"/>
      <c r="B79" s="783"/>
      <c r="C79" s="1153"/>
      <c r="D79" s="1153"/>
      <c r="E79" s="676">
        <v>17.100000000000001</v>
      </c>
      <c r="F79" s="779" t="str" cm="1">
        <f t="array" aca="1" ref="F79" ca="1">OFFSET(G79,-1,-1)</f>
        <v>1</v>
      </c>
      <c r="G79" s="1153"/>
      <c r="H79" s="126" t="s">
        <v>603</v>
      </c>
      <c r="I79" s="1153"/>
      <c r="J79" s="1153"/>
      <c r="K79" s="1153"/>
      <c r="L79" s="1153"/>
      <c r="M79" s="1153"/>
      <c r="N79" s="1153"/>
      <c r="O79" s="1153"/>
      <c r="P79" s="1153"/>
      <c r="Q79" s="779"/>
      <c r="R79" s="779"/>
      <c r="S79" s="1153"/>
      <c r="T79" s="1153"/>
      <c r="U79" s="780" t="b">
        <f t="shared" ca="1" si="7"/>
        <v>1</v>
      </c>
      <c r="V79" s="1153"/>
      <c r="W79" s="1153"/>
      <c r="X79" s="1153"/>
      <c r="Y79" s="1726"/>
      <c r="Z79" s="1726"/>
      <c r="AA79" s="170"/>
      <c r="AB79" s="412" t="s">
        <v>604</v>
      </c>
      <c r="AC79" s="160" t="s">
        <v>605</v>
      </c>
      <c r="AD79" s="159" t="s">
        <v>533</v>
      </c>
      <c r="AE79" s="1287">
        <v>2.2000000000000002</v>
      </c>
      <c r="AF79" s="313"/>
      <c r="AG79" s="313"/>
      <c r="AH79" s="313"/>
      <c r="AI79" s="313"/>
      <c r="AJ79" s="1287"/>
      <c r="AK79" s="1287"/>
      <c r="AL79" s="1287"/>
      <c r="AM79" s="1287"/>
      <c r="AN79" s="1287"/>
      <c r="AO79" s="313">
        <v>2.2000000000000002</v>
      </c>
      <c r="AP79" s="313"/>
      <c r="AQ79" s="313"/>
      <c r="AR79" s="313"/>
      <c r="AS79" s="313"/>
      <c r="AT79" s="1287"/>
      <c r="AU79" s="1287"/>
      <c r="AV79" s="1287"/>
      <c r="AW79" s="1287"/>
      <c r="AX79" s="1287"/>
      <c r="AY79" s="170"/>
      <c r="AZ79" s="170"/>
      <c r="BA79" s="958" t="s">
        <v>606</v>
      </c>
      <c r="BB79" s="1011"/>
      <c r="BC79" s="1011"/>
      <c r="BD79" s="962"/>
      <c r="BE79" s="962"/>
    </row>
    <row r="80" spans="1:57" s="1229" customFormat="1" ht="16.5" customHeight="1">
      <c r="A80" s="983"/>
      <c r="B80" s="783"/>
      <c r="C80" s="1153"/>
      <c r="D80" s="1153"/>
      <c r="E80" s="676">
        <v>17.100000000000001</v>
      </c>
      <c r="F80" s="779" t="str" cm="1">
        <f t="array" aca="1" ref="F80" ca="1">OFFSET(G80,-1,-1)</f>
        <v>1</v>
      </c>
      <c r="G80" s="1153"/>
      <c r="H80" s="126" t="s">
        <v>607</v>
      </c>
      <c r="I80" s="1153"/>
      <c r="J80" s="1153"/>
      <c r="K80" s="1153"/>
      <c r="L80" s="1153"/>
      <c r="M80" s="1153"/>
      <c r="N80" s="1153"/>
      <c r="O80" s="1153"/>
      <c r="P80" s="1153"/>
      <c r="Q80" s="779"/>
      <c r="R80" s="779"/>
      <c r="S80" s="1153"/>
      <c r="T80" s="1153"/>
      <c r="U80" s="780" t="b">
        <f t="shared" ca="1" si="7"/>
        <v>1</v>
      </c>
      <c r="V80" s="1153"/>
      <c r="W80" s="1153"/>
      <c r="X80" s="1153"/>
      <c r="Y80" s="1726"/>
      <c r="Z80" s="1726"/>
      <c r="AA80" s="170"/>
      <c r="AB80" s="412" t="s">
        <v>608</v>
      </c>
      <c r="AC80" s="160" t="s">
        <v>609</v>
      </c>
      <c r="AD80" s="159" t="s">
        <v>533</v>
      </c>
      <c r="AE80" s="1287"/>
      <c r="AF80" s="313"/>
      <c r="AG80" s="313"/>
      <c r="AH80" s="313"/>
      <c r="AI80" s="313"/>
      <c r="AJ80" s="1287"/>
      <c r="AK80" s="1287"/>
      <c r="AL80" s="1287"/>
      <c r="AM80" s="1287"/>
      <c r="AN80" s="1287"/>
      <c r="AO80" s="313"/>
      <c r="AP80" s="313"/>
      <c r="AQ80" s="313"/>
      <c r="AR80" s="313"/>
      <c r="AS80" s="313"/>
      <c r="AT80" s="1287"/>
      <c r="AU80" s="1287"/>
      <c r="AV80" s="1287"/>
      <c r="AW80" s="1287"/>
      <c r="AX80" s="1287"/>
      <c r="AY80" s="170"/>
      <c r="AZ80" s="170"/>
      <c r="BA80" s="958" t="s">
        <v>610</v>
      </c>
      <c r="BB80" s="1011"/>
      <c r="BC80" s="1011"/>
      <c r="BD80" s="962"/>
      <c r="BE80" s="962"/>
    </row>
    <row r="81" spans="1:57" s="1229" customFormat="1" ht="16.5" customHeight="1">
      <c r="A81" s="983"/>
      <c r="B81" s="783"/>
      <c r="C81" s="1153"/>
      <c r="D81" s="1153"/>
      <c r="E81" s="676">
        <v>17.100000000000001</v>
      </c>
      <c r="F81" s="779" t="str" cm="1">
        <f t="array" aca="1" ref="F81" ca="1">OFFSET(G81,-1,-1)</f>
        <v>1</v>
      </c>
      <c r="G81" s="1153"/>
      <c r="H81" s="126" t="s">
        <v>611</v>
      </c>
      <c r="I81" s="1153"/>
      <c r="J81" s="1153"/>
      <c r="K81" s="1153"/>
      <c r="L81" s="1153"/>
      <c r="M81" s="1153"/>
      <c r="N81" s="1153"/>
      <c r="O81" s="1153"/>
      <c r="P81" s="1153"/>
      <c r="Q81" s="779"/>
      <c r="R81" s="779"/>
      <c r="S81" s="1153"/>
      <c r="T81" s="1153"/>
      <c r="U81" s="780" t="b">
        <f t="shared" ca="1" si="7"/>
        <v>1</v>
      </c>
      <c r="V81" s="1153"/>
      <c r="W81" s="1153"/>
      <c r="X81" s="1153"/>
      <c r="Y81" s="1726"/>
      <c r="Z81" s="1726"/>
      <c r="AA81" s="170"/>
      <c r="AB81" s="412" t="s">
        <v>612</v>
      </c>
      <c r="AC81" s="160" t="s">
        <v>613</v>
      </c>
      <c r="AD81" s="159" t="s">
        <v>533</v>
      </c>
      <c r="AE81" s="1287">
        <v>25</v>
      </c>
      <c r="AF81" s="313"/>
      <c r="AG81" s="313"/>
      <c r="AH81" s="313"/>
      <c r="AI81" s="313"/>
      <c r="AJ81" s="1287"/>
      <c r="AK81" s="1287"/>
      <c r="AL81" s="1287"/>
      <c r="AM81" s="1287"/>
      <c r="AN81" s="1287"/>
      <c r="AO81" s="313">
        <v>25</v>
      </c>
      <c r="AP81" s="313"/>
      <c r="AQ81" s="313"/>
      <c r="AR81" s="313"/>
      <c r="AS81" s="313"/>
      <c r="AT81" s="1287"/>
      <c r="AU81" s="1287"/>
      <c r="AV81" s="1287"/>
      <c r="AW81" s="1287"/>
      <c r="AX81" s="1287"/>
      <c r="AY81" s="170"/>
      <c r="AZ81" s="170"/>
      <c r="BA81" s="958" t="s">
        <v>614</v>
      </c>
      <c r="BB81" s="1011"/>
      <c r="BC81" s="1011"/>
      <c r="BD81" s="962"/>
      <c r="BE81" s="962"/>
    </row>
    <row r="82" spans="1:57" s="815" customFormat="1" ht="10.5" customHeight="1">
      <c r="A82" s="165"/>
      <c r="B82" s="165"/>
      <c r="C82" s="165"/>
      <c r="D82" s="165"/>
      <c r="E82" s="682">
        <v>11.4</v>
      </c>
      <c r="F82" s="779" t="str" cm="1">
        <f t="array" ref="F82">Y82</f>
        <v>2</v>
      </c>
      <c r="G82" s="165"/>
      <c r="H82" s="165"/>
      <c r="I82" s="165"/>
      <c r="J82" s="165"/>
      <c r="K82" s="165"/>
      <c r="L82" s="165"/>
      <c r="M82" s="165"/>
      <c r="N82" s="165"/>
      <c r="O82" s="165"/>
      <c r="P82" s="165"/>
      <c r="Q82" s="165"/>
      <c r="R82" s="165"/>
      <c r="S82" s="165"/>
      <c r="T82" s="165"/>
      <c r="U82" s="780" t="b">
        <f t="shared" si="7"/>
        <v>1</v>
      </c>
      <c r="V82" s="165"/>
      <c r="W82" s="122" t="str" cm="1">
        <f t="array" ref="W82">'Расчет УЕ'!$AB$67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82" s="165"/>
      <c r="Y82" s="1721" t="s">
        <v>348</v>
      </c>
      <c r="Z82" s="1733"/>
      <c r="AA82" s="165"/>
      <c r="AB82" s="213" t="str" cm="1">
        <f t="array" ref="AB82">IF(ISBLANK('Расчет УЕ'!$AB$67),"",'Расчет УЕ'!$AB$67)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2" s="210"/>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165"/>
      <c r="AZ82" s="165"/>
      <c r="BA82" s="958"/>
      <c r="BB82" s="964"/>
      <c r="BC82" s="964"/>
      <c r="BD82" s="965"/>
      <c r="BE82" s="965"/>
    </row>
    <row r="83" spans="1:57" s="1229" customFormat="1" ht="10.5" customHeight="1">
      <c r="A83" s="983"/>
      <c r="B83" s="783"/>
      <c r="C83" s="1153"/>
      <c r="D83" s="1153"/>
      <c r="E83" s="676">
        <v>11.4</v>
      </c>
      <c r="F83" s="779" t="str" cm="1">
        <f t="array" aca="1" ref="F83" ca="1">OFFSET(G83,-1,-1)</f>
        <v>2</v>
      </c>
      <c r="G83" s="1153"/>
      <c r="H83" s="1153"/>
      <c r="I83" s="1153"/>
      <c r="J83" s="1153"/>
      <c r="K83" s="1153"/>
      <c r="L83" s="1153"/>
      <c r="M83" s="1153"/>
      <c r="N83" s="1153"/>
      <c r="O83" s="1153"/>
      <c r="P83" s="1153"/>
      <c r="Q83" s="779"/>
      <c r="R83" s="779"/>
      <c r="S83" s="1153"/>
      <c r="T83" s="1153"/>
      <c r="U83" s="780" t="b">
        <f t="shared" ca="1" si="7"/>
        <v>1</v>
      </c>
      <c r="V83" s="1153"/>
      <c r="W83" s="1153"/>
      <c r="X83" s="1153"/>
      <c r="Y83" s="1726"/>
      <c r="Z83" s="1726"/>
      <c r="AA83" s="170"/>
      <c r="AB83" s="291"/>
      <c r="AC83" s="292" t="s">
        <v>534</v>
      </c>
      <c r="AD83" s="293"/>
      <c r="AE83" s="320"/>
      <c r="AF83" s="320"/>
      <c r="AG83" s="320"/>
      <c r="AH83" s="320"/>
      <c r="AI83" s="320"/>
      <c r="AJ83" s="320"/>
      <c r="AK83" s="320"/>
      <c r="AL83" s="320"/>
      <c r="AM83" s="320"/>
      <c r="AN83" s="320"/>
      <c r="AO83" s="320"/>
      <c r="AP83" s="320"/>
      <c r="AQ83" s="320"/>
      <c r="AR83" s="320"/>
      <c r="AS83" s="320"/>
      <c r="AT83" s="320"/>
      <c r="AU83" s="320"/>
      <c r="AV83" s="320"/>
      <c r="AW83" s="320"/>
      <c r="AX83" s="320"/>
      <c r="AY83" s="170"/>
      <c r="AZ83" s="170"/>
      <c r="BA83" s="1011"/>
      <c r="BB83" s="1011"/>
      <c r="BC83" s="1011"/>
      <c r="BD83" s="962"/>
      <c r="BE83" s="962"/>
    </row>
    <row r="84" spans="1:57" s="1229" customFormat="1" ht="16.5" customHeight="1">
      <c r="A84" s="983"/>
      <c r="B84" s="783"/>
      <c r="C84" s="1153"/>
      <c r="D84" s="1153"/>
      <c r="E84" s="676">
        <v>17.100000000000001</v>
      </c>
      <c r="F84" s="779" t="str" cm="1">
        <f t="array" aca="1" ref="F84" ca="1">OFFSET(G84,-1,-1)</f>
        <v>2</v>
      </c>
      <c r="G84" s="779" t="s">
        <v>535</v>
      </c>
      <c r="H84" s="126" t="s">
        <v>536</v>
      </c>
      <c r="I84" s="1153"/>
      <c r="J84" s="1153"/>
      <c r="K84" s="1153"/>
      <c r="L84" s="1153"/>
      <c r="M84" s="1153"/>
      <c r="N84" s="1153"/>
      <c r="O84" s="1153"/>
      <c r="P84" s="1153"/>
      <c r="Q84" s="779"/>
      <c r="R84" s="779"/>
      <c r="S84" s="1153"/>
      <c r="T84" s="1153"/>
      <c r="U84" s="886" t="b">
        <f ca="1">AND(F84&gt;0,method_reg&lt;&gt;"Метод экономически обоснованных расходов")</f>
        <v>1</v>
      </c>
      <c r="V84" s="1153"/>
      <c r="W84" s="1153"/>
      <c r="X84" s="1153"/>
      <c r="Y84" s="1726"/>
      <c r="Z84" s="1726"/>
      <c r="AA84" s="170"/>
      <c r="AB84" s="156">
        <v>1</v>
      </c>
      <c r="AC84" s="157" t="s">
        <v>537</v>
      </c>
      <c r="AD84" s="159" t="s">
        <v>533</v>
      </c>
      <c r="AE84" s="1287">
        <v>1</v>
      </c>
      <c r="AF84" s="313">
        <v>1</v>
      </c>
      <c r="AG84" s="313">
        <v>1</v>
      </c>
      <c r="AH84" s="313">
        <v>1</v>
      </c>
      <c r="AI84" s="313">
        <v>1</v>
      </c>
      <c r="AJ84" s="1287">
        <v>1</v>
      </c>
      <c r="AK84" s="1287">
        <v>1</v>
      </c>
      <c r="AL84" s="1287">
        <v>1</v>
      </c>
      <c r="AM84" s="1287">
        <v>1</v>
      </c>
      <c r="AN84" s="1287">
        <v>1</v>
      </c>
      <c r="AO84" s="313">
        <v>1</v>
      </c>
      <c r="AP84" s="313">
        <v>1</v>
      </c>
      <c r="AQ84" s="313">
        <v>1</v>
      </c>
      <c r="AR84" s="313">
        <v>1</v>
      </c>
      <c r="AS84" s="313">
        <v>1</v>
      </c>
      <c r="AT84" s="1287">
        <v>1</v>
      </c>
      <c r="AU84" s="1287">
        <v>1</v>
      </c>
      <c r="AV84" s="1287">
        <v>1</v>
      </c>
      <c r="AW84" s="1287">
        <v>1</v>
      </c>
      <c r="AX84" s="1287">
        <v>1</v>
      </c>
      <c r="AY84" s="170"/>
      <c r="AZ84" s="170"/>
      <c r="BA84" s="958" t="s">
        <v>538</v>
      </c>
      <c r="BB84" s="1011"/>
      <c r="BC84" s="1011"/>
      <c r="BD84" s="962"/>
      <c r="BE84" s="962"/>
    </row>
    <row r="85" spans="1:57" s="1229" customFormat="1" ht="29.25" customHeight="1">
      <c r="A85" s="983"/>
      <c r="B85" s="783"/>
      <c r="C85" s="1153"/>
      <c r="D85" s="1153"/>
      <c r="E85" s="676">
        <v>30</v>
      </c>
      <c r="F85" s="779" t="str" cm="1">
        <f t="array" aca="1" ref="F85" ca="1">OFFSET(G85,-1,-1)</f>
        <v>2</v>
      </c>
      <c r="G85" s="1153"/>
      <c r="H85" s="126" t="s">
        <v>539</v>
      </c>
      <c r="I85" s="1153"/>
      <c r="J85" s="1153"/>
      <c r="K85" s="1153"/>
      <c r="L85" s="1153"/>
      <c r="M85" s="1153"/>
      <c r="N85" s="1153"/>
      <c r="O85" s="1153"/>
      <c r="P85" s="1153"/>
      <c r="Q85" s="779"/>
      <c r="R85" s="779"/>
      <c r="S85" s="1153"/>
      <c r="T85" s="1153"/>
      <c r="U85" s="886" t="b">
        <f ca="1">AND(F85&gt;0,method_reg&lt;&gt;"Метод экономически обоснованных расходов")</f>
        <v>1</v>
      </c>
      <c r="V85" s="1153"/>
      <c r="W85" s="1153"/>
      <c r="X85" s="1153"/>
      <c r="Y85" s="1726"/>
      <c r="Z85" s="1726"/>
      <c r="AA85" s="170"/>
      <c r="AB85" s="715" t="s">
        <v>348</v>
      </c>
      <c r="AC85" s="716" t="s">
        <v>540</v>
      </c>
      <c r="AD85" s="717"/>
      <c r="AE85" s="23"/>
      <c r="AF85" s="23"/>
      <c r="AG85" s="23"/>
      <c r="AH85" s="23"/>
      <c r="AI85" s="23"/>
      <c r="AJ85" s="23"/>
      <c r="AK85" s="23"/>
      <c r="AL85" s="23"/>
      <c r="AM85" s="23"/>
      <c r="AN85" s="23"/>
      <c r="AO85" s="23"/>
      <c r="AP85" s="23"/>
      <c r="AQ85" s="23"/>
      <c r="AR85" s="23"/>
      <c r="AS85" s="23"/>
      <c r="AT85" s="23"/>
      <c r="AU85" s="23"/>
      <c r="AV85" s="23"/>
      <c r="AW85" s="23"/>
      <c r="AX85" s="23"/>
      <c r="AY85" s="170"/>
      <c r="AZ85" s="170"/>
      <c r="BA85" s="1011"/>
      <c r="BB85" s="1011"/>
      <c r="BC85" s="1011"/>
      <c r="BD85" s="962"/>
      <c r="BE85" s="962"/>
    </row>
    <row r="86" spans="1:57" s="1229" customFormat="1" ht="17.25" hidden="1" customHeight="1">
      <c r="A86" s="983"/>
      <c r="B86" s="783"/>
      <c r="C86" s="1153"/>
      <c r="D86" s="1153"/>
      <c r="E86" s="676">
        <v>0</v>
      </c>
      <c r="F86" s="779" t="str" cm="1">
        <f t="array" aca="1" ref="F86" ca="1">OFFSET(G86,-1,-1)</f>
        <v>2</v>
      </c>
      <c r="G86" s="1153"/>
      <c r="H86" s="1153"/>
      <c r="I86" s="1153"/>
      <c r="J86" s="1153"/>
      <c r="K86" s="1153"/>
      <c r="L86" s="1153"/>
      <c r="M86" s="1153"/>
      <c r="N86" s="1153"/>
      <c r="O86" s="1153"/>
      <c r="P86" s="1153"/>
      <c r="Q86" s="779"/>
      <c r="R86" s="779"/>
      <c r="S86" s="1153"/>
      <c r="T86" s="1153"/>
      <c r="U86" s="886" t="b">
        <f ca="1">AND(F86&gt;0,method_reg&lt;&gt;"Метод экономически обоснованных расходов")</f>
        <v>1</v>
      </c>
      <c r="V86" s="1153"/>
      <c r="W86" s="1153"/>
      <c r="X86" s="1153"/>
      <c r="Y86" s="1726"/>
      <c r="Z86" s="1726"/>
      <c r="AA86" s="170"/>
      <c r="AB86" s="718"/>
      <c r="AC86" s="716"/>
      <c r="AD86" s="717"/>
      <c r="AE86" s="23"/>
      <c r="AF86" s="23"/>
      <c r="AG86" s="23"/>
      <c r="AH86" s="23"/>
      <c r="AI86" s="23"/>
      <c r="AJ86" s="23"/>
      <c r="AK86" s="23"/>
      <c r="AL86" s="23"/>
      <c r="AM86" s="23"/>
      <c r="AN86" s="23"/>
      <c r="AO86" s="23"/>
      <c r="AP86" s="23"/>
      <c r="AQ86" s="23"/>
      <c r="AR86" s="23"/>
      <c r="AS86" s="23"/>
      <c r="AT86" s="23"/>
      <c r="AU86" s="23"/>
      <c r="AV86" s="23"/>
      <c r="AW86" s="23"/>
      <c r="AX86" s="23"/>
      <c r="AY86" s="170"/>
      <c r="AZ86" s="170"/>
      <c r="BA86" s="1011"/>
      <c r="BB86" s="1011"/>
      <c r="BC86" s="1011"/>
      <c r="BD86" s="962"/>
      <c r="BE86" s="962"/>
    </row>
    <row r="87" spans="1:57" s="1229" customFormat="1" ht="16.5" hidden="1" customHeight="1">
      <c r="A87" s="983"/>
      <c r="B87" s="783"/>
      <c r="C87" s="1153"/>
      <c r="D87" s="1153"/>
      <c r="E87" s="676">
        <v>17.100000000000001</v>
      </c>
      <c r="F87" s="779" t="str" cm="1">
        <f t="array" aca="1" ref="F87" ca="1">OFFSET(G87,-1,-1)</f>
        <v>2</v>
      </c>
      <c r="G87" s="1153"/>
      <c r="H87" s="1153"/>
      <c r="I87" s="1153"/>
      <c r="J87" s="1153"/>
      <c r="K87" s="1153"/>
      <c r="L87" s="1153"/>
      <c r="M87" s="1153"/>
      <c r="N87" s="1153"/>
      <c r="O87" s="1153"/>
      <c r="P87" s="1153"/>
      <c r="Q87" s="779"/>
      <c r="R87" s="779"/>
      <c r="S87" s="1153"/>
      <c r="T87" s="1153"/>
      <c r="U87" s="886" t="b">
        <f ca="1">AND(F87&gt;0,AB87&lt;&gt;"2.0",method_reg&lt;&gt;"Метод экономически обоснованных расходов")</f>
        <v>0</v>
      </c>
      <c r="V87" s="1153"/>
      <c r="W87" s="1153"/>
      <c r="X87" s="126" t="s">
        <v>236</v>
      </c>
      <c r="Y87" s="1726"/>
      <c r="Z87" s="1726"/>
      <c r="AA87" s="11" t="s">
        <v>218</v>
      </c>
      <c r="AB87" s="755" t="s">
        <v>541</v>
      </c>
      <c r="AC87" s="24"/>
      <c r="AD87" s="756" t="s">
        <v>533</v>
      </c>
      <c r="AE87" s="25"/>
      <c r="AF87" s="929"/>
      <c r="AG87" s="929"/>
      <c r="AH87" s="929"/>
      <c r="AI87" s="929"/>
      <c r="AJ87" s="25"/>
      <c r="AK87" s="25"/>
      <c r="AL87" s="25"/>
      <c r="AM87" s="25"/>
      <c r="AN87" s="25"/>
      <c r="AO87" s="929"/>
      <c r="AP87" s="929"/>
      <c r="AQ87" s="929"/>
      <c r="AR87" s="929"/>
      <c r="AS87" s="929"/>
      <c r="AT87" s="25"/>
      <c r="AU87" s="25"/>
      <c r="AV87" s="25"/>
      <c r="AW87" s="25"/>
      <c r="AX87" s="25"/>
      <c r="AY87" s="170"/>
      <c r="AZ87" s="170"/>
      <c r="BA87" s="958" t="s">
        <v>542</v>
      </c>
      <c r="BB87" s="958" t="s">
        <v>543</v>
      </c>
      <c r="BC87" s="958" cm="1">
        <f t="array" ref="BC87">AC87</f>
        <v>0</v>
      </c>
      <c r="BD87" s="962"/>
      <c r="BE87" s="962" t="b">
        <v>1</v>
      </c>
    </row>
    <row r="88" spans="1:57" s="1229" customFormat="1" ht="16.5" customHeight="1">
      <c r="A88" s="983"/>
      <c r="B88" s="783"/>
      <c r="C88" s="1153"/>
      <c r="D88" s="1153"/>
      <c r="E88" s="676">
        <v>17.100000000000001</v>
      </c>
      <c r="F88" s="779" t="str" cm="1">
        <f t="array" aca="1" ref="F88" ca="1">OFFSET(G88,-1,-1)</f>
        <v>2</v>
      </c>
      <c r="G88" s="1153"/>
      <c r="H88" s="1153"/>
      <c r="I88" s="1153"/>
      <c r="J88" s="1153"/>
      <c r="K88" s="1153"/>
      <c r="L88" s="1153"/>
      <c r="M88" s="1153"/>
      <c r="N88" s="1153"/>
      <c r="O88" s="1153"/>
      <c r="P88" s="1153"/>
      <c r="Q88" s="779"/>
      <c r="R88" s="779"/>
      <c r="S88" s="1153"/>
      <c r="T88" s="1153"/>
      <c r="U88" s="886" t="b">
        <f ca="1">AND(F88&gt;0,method_reg&lt;&gt;"Метод экономически обоснованных расходов")</f>
        <v>1</v>
      </c>
      <c r="V88" s="1153"/>
      <c r="W88" s="1153"/>
      <c r="X88" s="820" t="s">
        <v>544</v>
      </c>
      <c r="Y88" s="1726"/>
      <c r="Z88" s="1726"/>
      <c r="AA88" s="170"/>
      <c r="AB88" s="249"/>
      <c r="AC88" s="616" t="s">
        <v>238</v>
      </c>
      <c r="AD88" s="250"/>
      <c r="AE88" s="250"/>
      <c r="AF88" s="250"/>
      <c r="AG88" s="250"/>
      <c r="AH88" s="250"/>
      <c r="AI88" s="250"/>
      <c r="AJ88" s="250"/>
      <c r="AK88" s="250"/>
      <c r="AL88" s="250"/>
      <c r="AM88" s="250"/>
      <c r="AN88" s="250"/>
      <c r="AO88" s="250"/>
      <c r="AP88" s="250"/>
      <c r="AQ88" s="250"/>
      <c r="AR88" s="250"/>
      <c r="AS88" s="250"/>
      <c r="AT88" s="250"/>
      <c r="AU88" s="250"/>
      <c r="AV88" s="250"/>
      <c r="AW88" s="250"/>
      <c r="AX88" s="251"/>
      <c r="AY88" s="170"/>
      <c r="AZ88" s="170"/>
      <c r="BA88" s="1011"/>
      <c r="BB88" s="1011"/>
      <c r="BC88" s="1011"/>
      <c r="BD88" s="962" t="s">
        <v>543</v>
      </c>
      <c r="BE88" s="962"/>
    </row>
    <row r="89" spans="1:57" s="1229" customFormat="1" ht="16.5" customHeight="1">
      <c r="A89" s="983"/>
      <c r="B89" s="783"/>
      <c r="C89" s="1153"/>
      <c r="D89" s="1153"/>
      <c r="E89" s="676">
        <v>17.100000000000001</v>
      </c>
      <c r="F89" s="779" t="str" cm="1">
        <f t="array" aca="1" ref="F89" ca="1">OFFSET(G89,-1,-1)</f>
        <v>2</v>
      </c>
      <c r="G89" s="779" t="s">
        <v>545</v>
      </c>
      <c r="H89" s="126" t="s">
        <v>546</v>
      </c>
      <c r="I89" s="1153"/>
      <c r="J89" s="1153"/>
      <c r="K89" s="1153"/>
      <c r="L89" s="1153"/>
      <c r="M89" s="1153"/>
      <c r="N89" s="1153"/>
      <c r="O89" s="1153"/>
      <c r="P89" s="1153"/>
      <c r="Q89" s="779"/>
      <c r="R89" s="779"/>
      <c r="S89" s="1153"/>
      <c r="T89" s="1153"/>
      <c r="U89" s="780" t="b">
        <f t="shared" ref="U89:U101" ca="1" si="8">F89&gt;0</f>
        <v>1</v>
      </c>
      <c r="V89" s="1153"/>
      <c r="W89" s="1153"/>
      <c r="X89" s="1153"/>
      <c r="Y89" s="1726"/>
      <c r="Z89" s="1726"/>
      <c r="AA89" s="170"/>
      <c r="AB89" s="757">
        <v>3</v>
      </c>
      <c r="AC89" s="758" t="s">
        <v>547</v>
      </c>
      <c r="AD89" s="759" t="s">
        <v>533</v>
      </c>
      <c r="AE89" s="1288"/>
      <c r="AF89" s="928"/>
      <c r="AG89" s="928"/>
      <c r="AH89" s="928"/>
      <c r="AI89" s="928"/>
      <c r="AJ89" s="1288"/>
      <c r="AK89" s="1288"/>
      <c r="AL89" s="1288"/>
      <c r="AM89" s="1288"/>
      <c r="AN89" s="1288"/>
      <c r="AO89" s="928"/>
      <c r="AP89" s="928"/>
      <c r="AQ89" s="928"/>
      <c r="AR89" s="928"/>
      <c r="AS89" s="928"/>
      <c r="AT89" s="1288"/>
      <c r="AU89" s="1288"/>
      <c r="AV89" s="1288"/>
      <c r="AW89" s="1288"/>
      <c r="AX89" s="1288"/>
      <c r="AY89" s="170"/>
      <c r="AZ89" s="170"/>
      <c r="BA89" s="958" t="s">
        <v>548</v>
      </c>
      <c r="BB89" s="1011"/>
      <c r="BC89" s="1011"/>
      <c r="BD89" s="962"/>
      <c r="BE89" s="962"/>
    </row>
    <row r="90" spans="1:57" s="1229" customFormat="1" ht="16.5" customHeight="1">
      <c r="A90" s="983"/>
      <c r="B90" s="783"/>
      <c r="C90" s="1153"/>
      <c r="D90" s="1153"/>
      <c r="E90" s="676">
        <v>17.100000000000001</v>
      </c>
      <c r="F90" s="779" t="str" cm="1">
        <f t="array" aca="1" ref="F90" ca="1">OFFSET(G90,-1,-1)</f>
        <v>2</v>
      </c>
      <c r="G90" s="1153"/>
      <c r="H90" s="126" t="s">
        <v>549</v>
      </c>
      <c r="I90" s="1153"/>
      <c r="J90" s="1153"/>
      <c r="K90" s="1153"/>
      <c r="L90" s="1153"/>
      <c r="M90" s="1153"/>
      <c r="N90" s="1153"/>
      <c r="O90" s="1153"/>
      <c r="P90" s="1153"/>
      <c r="Q90" s="779"/>
      <c r="R90" s="779"/>
      <c r="S90" s="1153"/>
      <c r="T90" s="1153"/>
      <c r="U90" s="780" t="b">
        <f t="shared" ca="1" si="8"/>
        <v>1</v>
      </c>
      <c r="V90" s="1153"/>
      <c r="W90" s="1153"/>
      <c r="X90" s="1153"/>
      <c r="Y90" s="1726"/>
      <c r="Z90" s="1726"/>
      <c r="AA90" s="170"/>
      <c r="AB90" s="713">
        <v>4</v>
      </c>
      <c r="AC90" s="719" t="s">
        <v>550</v>
      </c>
      <c r="AD90" s="720" t="s">
        <v>533</v>
      </c>
      <c r="AE90" s="1287"/>
      <c r="AF90" s="313"/>
      <c r="AG90" s="313"/>
      <c r="AH90" s="313"/>
      <c r="AI90" s="313"/>
      <c r="AJ90" s="1287"/>
      <c r="AK90" s="1287"/>
      <c r="AL90" s="1287"/>
      <c r="AM90" s="1287"/>
      <c r="AN90" s="1287"/>
      <c r="AO90" s="313"/>
      <c r="AP90" s="313"/>
      <c r="AQ90" s="313"/>
      <c r="AR90" s="313"/>
      <c r="AS90" s="313"/>
      <c r="AT90" s="1287"/>
      <c r="AU90" s="1287"/>
      <c r="AV90" s="1287"/>
      <c r="AW90" s="1287"/>
      <c r="AX90" s="1287"/>
      <c r="AY90" s="170"/>
      <c r="AZ90" s="170"/>
      <c r="BA90" s="958" t="s">
        <v>551</v>
      </c>
      <c r="BB90" s="1011"/>
      <c r="BC90" s="1011"/>
      <c r="BD90" s="962"/>
      <c r="BE90" s="962"/>
    </row>
    <row r="91" spans="1:57" s="1229" customFormat="1" ht="29.25" customHeight="1">
      <c r="A91" s="983"/>
      <c r="B91" s="783"/>
      <c r="C91" s="1153"/>
      <c r="D91" s="1153"/>
      <c r="E91" s="676">
        <v>30</v>
      </c>
      <c r="F91" s="779" t="str" cm="1">
        <f t="array" aca="1" ref="F91" ca="1">OFFSET(G91,-1,-1)</f>
        <v>2</v>
      </c>
      <c r="G91" s="1153"/>
      <c r="H91" s="126" t="s">
        <v>552</v>
      </c>
      <c r="I91" s="1153"/>
      <c r="J91" s="1153"/>
      <c r="K91" s="1153"/>
      <c r="L91" s="1153"/>
      <c r="M91" s="1153"/>
      <c r="N91" s="1153"/>
      <c r="O91" s="1153"/>
      <c r="P91" s="1153"/>
      <c r="Q91" s="779"/>
      <c r="R91" s="779"/>
      <c r="S91" s="1153"/>
      <c r="T91" s="1153"/>
      <c r="U91" s="780" t="b">
        <f t="shared" ca="1" si="8"/>
        <v>1</v>
      </c>
      <c r="V91" s="1153"/>
      <c r="W91" s="1153"/>
      <c r="X91" s="1153"/>
      <c r="Y91" s="1726"/>
      <c r="Z91" s="1726"/>
      <c r="AA91" s="170"/>
      <c r="AB91" s="713">
        <v>5</v>
      </c>
      <c r="AC91" s="721" t="s">
        <v>553</v>
      </c>
      <c r="AD91" s="720" t="s">
        <v>533</v>
      </c>
      <c r="AE91" s="1287"/>
      <c r="AF91" s="313"/>
      <c r="AG91" s="313"/>
      <c r="AH91" s="313"/>
      <c r="AI91" s="313"/>
      <c r="AJ91" s="1287"/>
      <c r="AK91" s="1287"/>
      <c r="AL91" s="1287"/>
      <c r="AM91" s="1287"/>
      <c r="AN91" s="1287"/>
      <c r="AO91" s="313"/>
      <c r="AP91" s="313"/>
      <c r="AQ91" s="313"/>
      <c r="AR91" s="313"/>
      <c r="AS91" s="313"/>
      <c r="AT91" s="1287"/>
      <c r="AU91" s="1287"/>
      <c r="AV91" s="1287"/>
      <c r="AW91" s="1287"/>
      <c r="AX91" s="1287"/>
      <c r="AY91" s="170"/>
      <c r="AZ91" s="170"/>
      <c r="BA91" s="958" t="s">
        <v>554</v>
      </c>
      <c r="BB91" s="1011"/>
      <c r="BC91" s="1011"/>
      <c r="BD91" s="962"/>
      <c r="BE91" s="962"/>
    </row>
    <row r="92" spans="1:57" s="1229" customFormat="1" ht="16.5" customHeight="1">
      <c r="A92" s="983"/>
      <c r="B92" s="783"/>
      <c r="C92" s="1153"/>
      <c r="D92" s="1153"/>
      <c r="E92" s="676">
        <v>17.100000000000001</v>
      </c>
      <c r="F92" s="779" t="str" cm="1">
        <f t="array" aca="1" ref="F92" ca="1">OFFSET(G92,-1,-1)</f>
        <v>2</v>
      </c>
      <c r="G92" s="1153"/>
      <c r="H92" s="126" t="s">
        <v>555</v>
      </c>
      <c r="I92" s="1153"/>
      <c r="J92" s="1153"/>
      <c r="K92" s="1153"/>
      <c r="L92" s="1153"/>
      <c r="M92" s="1153"/>
      <c r="N92" s="1153"/>
      <c r="O92" s="1153"/>
      <c r="P92" s="1153"/>
      <c r="Q92" s="779"/>
      <c r="R92" s="779"/>
      <c r="S92" s="1153"/>
      <c r="T92" s="1153"/>
      <c r="U92" s="780" t="b">
        <f t="shared" ca="1" si="8"/>
        <v>1</v>
      </c>
      <c r="V92" s="1153"/>
      <c r="W92" s="1153"/>
      <c r="X92" s="1153"/>
      <c r="Y92" s="1726"/>
      <c r="Z92" s="1726"/>
      <c r="AA92" s="170"/>
      <c r="AB92" s="713">
        <v>6</v>
      </c>
      <c r="AC92" s="721" t="s">
        <v>556</v>
      </c>
      <c r="AD92" s="720" t="s">
        <v>533</v>
      </c>
      <c r="AE92" s="1287"/>
      <c r="AF92" s="313"/>
      <c r="AG92" s="313"/>
      <c r="AH92" s="313"/>
      <c r="AI92" s="313"/>
      <c r="AJ92" s="1287"/>
      <c r="AK92" s="1287"/>
      <c r="AL92" s="1287"/>
      <c r="AM92" s="1287"/>
      <c r="AN92" s="1287"/>
      <c r="AO92" s="313"/>
      <c r="AP92" s="313"/>
      <c r="AQ92" s="313"/>
      <c r="AR92" s="313"/>
      <c r="AS92" s="313"/>
      <c r="AT92" s="1287"/>
      <c r="AU92" s="1287"/>
      <c r="AV92" s="1287"/>
      <c r="AW92" s="1287"/>
      <c r="AX92" s="1287"/>
      <c r="AY92" s="170"/>
      <c r="AZ92" s="170"/>
      <c r="BA92" s="958" t="s">
        <v>557</v>
      </c>
      <c r="BB92" s="1011"/>
      <c r="BC92" s="1011"/>
      <c r="BD92" s="962"/>
      <c r="BE92" s="962"/>
    </row>
    <row r="93" spans="1:57" s="1229" customFormat="1" ht="16.5" customHeight="1">
      <c r="A93" s="983"/>
      <c r="B93" s="783"/>
      <c r="C93" s="1153"/>
      <c r="D93" s="1153"/>
      <c r="E93" s="676">
        <v>17.100000000000001</v>
      </c>
      <c r="F93" s="779" t="str" cm="1">
        <f t="array" aca="1" ref="F93" ca="1">OFFSET(G93,-1,-1)</f>
        <v>2</v>
      </c>
      <c r="G93" s="1153"/>
      <c r="H93" s="126" t="s">
        <v>558</v>
      </c>
      <c r="I93" s="1153"/>
      <c r="J93" s="1153"/>
      <c r="K93" s="1153"/>
      <c r="L93" s="1153"/>
      <c r="M93" s="1153"/>
      <c r="N93" s="1153"/>
      <c r="O93" s="1153"/>
      <c r="P93" s="1153"/>
      <c r="Q93" s="779"/>
      <c r="R93" s="779"/>
      <c r="S93" s="1153"/>
      <c r="T93" s="1153"/>
      <c r="U93" s="780" t="b">
        <f t="shared" ca="1" si="8"/>
        <v>1</v>
      </c>
      <c r="V93" s="1153"/>
      <c r="W93" s="1153"/>
      <c r="X93" s="1153"/>
      <c r="Y93" s="1726"/>
      <c r="Z93" s="1726"/>
      <c r="AA93" s="170"/>
      <c r="AB93" s="713">
        <v>7</v>
      </c>
      <c r="AC93" s="721" t="s">
        <v>559</v>
      </c>
      <c r="AD93" s="720" t="s">
        <v>533</v>
      </c>
      <c r="AE93" s="1287"/>
      <c r="AF93" s="313"/>
      <c r="AG93" s="313"/>
      <c r="AH93" s="313"/>
      <c r="AI93" s="313"/>
      <c r="AJ93" s="1287"/>
      <c r="AK93" s="1287"/>
      <c r="AL93" s="1287"/>
      <c r="AM93" s="1287"/>
      <c r="AN93" s="1287"/>
      <c r="AO93" s="313"/>
      <c r="AP93" s="313"/>
      <c r="AQ93" s="313"/>
      <c r="AR93" s="313"/>
      <c r="AS93" s="313"/>
      <c r="AT93" s="1287"/>
      <c r="AU93" s="1287"/>
      <c r="AV93" s="1287"/>
      <c r="AW93" s="1287"/>
      <c r="AX93" s="1287"/>
      <c r="AY93" s="170"/>
      <c r="AZ93" s="170"/>
      <c r="BA93" s="958" t="s">
        <v>560</v>
      </c>
      <c r="BB93" s="1011"/>
      <c r="BC93" s="1011"/>
      <c r="BD93" s="962"/>
      <c r="BE93" s="962"/>
    </row>
    <row r="94" spans="1:57" s="1229" customFormat="1" ht="16.5" customHeight="1">
      <c r="A94" s="983"/>
      <c r="B94" s="783"/>
      <c r="C94" s="1153"/>
      <c r="D94" s="1153"/>
      <c r="E94" s="676">
        <v>17.100000000000001</v>
      </c>
      <c r="F94" s="779" t="str" cm="1">
        <f t="array" aca="1" ref="F94" ca="1">OFFSET(G94,-1,-1)</f>
        <v>2</v>
      </c>
      <c r="G94" s="1153"/>
      <c r="H94" s="126" t="s">
        <v>561</v>
      </c>
      <c r="I94" s="1153"/>
      <c r="J94" s="1153"/>
      <c r="K94" s="1153"/>
      <c r="L94" s="1153"/>
      <c r="M94" s="1153"/>
      <c r="N94" s="1153"/>
      <c r="O94" s="1153"/>
      <c r="P94" s="1153"/>
      <c r="Q94" s="779"/>
      <c r="R94" s="779"/>
      <c r="S94" s="1153"/>
      <c r="T94" s="1153"/>
      <c r="U94" s="780" t="b">
        <f t="shared" ca="1" si="8"/>
        <v>1</v>
      </c>
      <c r="V94" s="1153"/>
      <c r="W94" s="1153"/>
      <c r="X94" s="1153"/>
      <c r="Y94" s="1726"/>
      <c r="Z94" s="1726"/>
      <c r="AA94" s="170"/>
      <c r="AB94" s="713">
        <v>8</v>
      </c>
      <c r="AC94" s="721" t="s">
        <v>562</v>
      </c>
      <c r="AD94" s="720" t="s">
        <v>533</v>
      </c>
      <c r="AE94" s="1287"/>
      <c r="AF94" s="313"/>
      <c r="AG94" s="313"/>
      <c r="AH94" s="313"/>
      <c r="AI94" s="313"/>
      <c r="AJ94" s="1287"/>
      <c r="AK94" s="1287"/>
      <c r="AL94" s="1287"/>
      <c r="AM94" s="1287"/>
      <c r="AN94" s="1287"/>
      <c r="AO94" s="313"/>
      <c r="AP94" s="313"/>
      <c r="AQ94" s="313"/>
      <c r="AR94" s="313"/>
      <c r="AS94" s="313"/>
      <c r="AT94" s="1287"/>
      <c r="AU94" s="1287"/>
      <c r="AV94" s="1287"/>
      <c r="AW94" s="1287"/>
      <c r="AX94" s="1287"/>
      <c r="AY94" s="170"/>
      <c r="AZ94" s="170"/>
      <c r="BA94" s="958" t="s">
        <v>563</v>
      </c>
      <c r="BB94" s="1011"/>
      <c r="BC94" s="1011"/>
      <c r="BD94" s="962"/>
      <c r="BE94" s="962"/>
    </row>
    <row r="95" spans="1:57" s="1229" customFormat="1" ht="16.5" customHeight="1">
      <c r="A95" s="983"/>
      <c r="B95" s="783"/>
      <c r="C95" s="1153"/>
      <c r="D95" s="1153"/>
      <c r="E95" s="676">
        <v>17.100000000000001</v>
      </c>
      <c r="F95" s="779" t="str" cm="1">
        <f t="array" aca="1" ref="F95" ca="1">OFFSET(G95,-1,-1)</f>
        <v>2</v>
      </c>
      <c r="G95" s="1153"/>
      <c r="H95" s="126" t="s">
        <v>564</v>
      </c>
      <c r="I95" s="1153"/>
      <c r="J95" s="1153"/>
      <c r="K95" s="1153"/>
      <c r="L95" s="1153"/>
      <c r="M95" s="1153"/>
      <c r="N95" s="1153"/>
      <c r="O95" s="1153"/>
      <c r="P95" s="1153"/>
      <c r="Q95" s="779"/>
      <c r="R95" s="779"/>
      <c r="S95" s="1153"/>
      <c r="T95" s="1153"/>
      <c r="U95" s="780" t="b">
        <f t="shared" ca="1" si="8"/>
        <v>1</v>
      </c>
      <c r="V95" s="1153"/>
      <c r="W95" s="1153"/>
      <c r="X95" s="1153"/>
      <c r="Y95" s="1726"/>
      <c r="Z95" s="1726"/>
      <c r="AA95" s="170"/>
      <c r="AB95" s="713">
        <v>9</v>
      </c>
      <c r="AC95" s="721" t="s">
        <v>565</v>
      </c>
      <c r="AD95" s="123" t="s">
        <v>566</v>
      </c>
      <c r="AE95" s="1287">
        <f>7900</f>
        <v>7900</v>
      </c>
      <c r="AF95" s="313">
        <f>7900</f>
        <v>7900</v>
      </c>
      <c r="AG95" s="313">
        <f>7900</f>
        <v>7900</v>
      </c>
      <c r="AH95" s="313">
        <f>7900</f>
        <v>7900</v>
      </c>
      <c r="AI95" s="313">
        <f>7900</f>
        <v>7900</v>
      </c>
      <c r="AJ95" s="1287">
        <f>7900</f>
        <v>7900</v>
      </c>
      <c r="AK95" s="1287">
        <f>7900</f>
        <v>7900</v>
      </c>
      <c r="AL95" s="1287">
        <f>7900</f>
        <v>7900</v>
      </c>
      <c r="AM95" s="1287">
        <f>7900</f>
        <v>7900</v>
      </c>
      <c r="AN95" s="1287">
        <f>7900</f>
        <v>7900</v>
      </c>
      <c r="AO95" s="313">
        <f>7900</f>
        <v>7900</v>
      </c>
      <c r="AP95" s="313">
        <f>7900</f>
        <v>7900</v>
      </c>
      <c r="AQ95" s="313">
        <f>7900</f>
        <v>7900</v>
      </c>
      <c r="AR95" s="313">
        <f>7900</f>
        <v>7900</v>
      </c>
      <c r="AS95" s="313">
        <f>7900</f>
        <v>7900</v>
      </c>
      <c r="AT95" s="1287">
        <f>7900</f>
        <v>7900</v>
      </c>
      <c r="AU95" s="1287">
        <f>7900</f>
        <v>7900</v>
      </c>
      <c r="AV95" s="1287">
        <f>7900</f>
        <v>7900</v>
      </c>
      <c r="AW95" s="1287">
        <f>7900</f>
        <v>7900</v>
      </c>
      <c r="AX95" s="1287">
        <f>7900</f>
        <v>7900</v>
      </c>
      <c r="AY95" s="170"/>
      <c r="AZ95" s="170"/>
      <c r="BA95" s="958" t="s">
        <v>567</v>
      </c>
      <c r="BB95" s="1011"/>
      <c r="BC95" s="1011"/>
      <c r="BD95" s="962"/>
      <c r="BE95" s="962"/>
    </row>
    <row r="96" spans="1:57" s="1229" customFormat="1" ht="16.5" customHeight="1">
      <c r="A96" s="983"/>
      <c r="B96" s="783"/>
      <c r="C96" s="1153"/>
      <c r="D96" s="1153"/>
      <c r="E96" s="676">
        <v>17.100000000000001</v>
      </c>
      <c r="F96" s="779" t="str" cm="1">
        <f t="array" aca="1" ref="F96" ca="1">OFFSET(G96,-1,-1)</f>
        <v>2</v>
      </c>
      <c r="G96" s="1153"/>
      <c r="H96" s="126" t="s">
        <v>568</v>
      </c>
      <c r="I96" s="1153"/>
      <c r="J96" s="1153"/>
      <c r="K96" s="1153"/>
      <c r="L96" s="1153"/>
      <c r="M96" s="1153"/>
      <c r="N96" s="1153"/>
      <c r="O96" s="1153"/>
      <c r="P96" s="1153"/>
      <c r="Q96" s="779"/>
      <c r="R96" s="779"/>
      <c r="S96" s="1153"/>
      <c r="T96" s="1153"/>
      <c r="U96" s="780" t="b">
        <f t="shared" ca="1" si="8"/>
        <v>1</v>
      </c>
      <c r="V96" s="1153"/>
      <c r="W96" s="1153"/>
      <c r="X96" s="1153"/>
      <c r="Y96" s="1726"/>
      <c r="Z96" s="1726"/>
      <c r="AA96" s="170"/>
      <c r="AB96" s="713">
        <v>10</v>
      </c>
      <c r="AC96" s="721" t="s">
        <v>569</v>
      </c>
      <c r="AD96" s="123" t="s">
        <v>570</v>
      </c>
      <c r="AE96" s="1287"/>
      <c r="AF96" s="313"/>
      <c r="AG96" s="313"/>
      <c r="AH96" s="313"/>
      <c r="AI96" s="313"/>
      <c r="AJ96" s="1287"/>
      <c r="AK96" s="1287"/>
      <c r="AL96" s="1287"/>
      <c r="AM96" s="1287"/>
      <c r="AN96" s="1287"/>
      <c r="AO96" s="313"/>
      <c r="AP96" s="313"/>
      <c r="AQ96" s="313"/>
      <c r="AR96" s="313"/>
      <c r="AS96" s="313"/>
      <c r="AT96" s="1287"/>
      <c r="AU96" s="1287"/>
      <c r="AV96" s="1287"/>
      <c r="AW96" s="1287"/>
      <c r="AX96" s="1287"/>
      <c r="AY96" s="170"/>
      <c r="AZ96" s="170"/>
      <c r="BA96" s="958" t="s">
        <v>571</v>
      </c>
      <c r="BB96" s="1011"/>
      <c r="BC96" s="1011"/>
      <c r="BD96" s="962"/>
      <c r="BE96" s="962"/>
    </row>
    <row r="97" spans="1:57" s="1229" customFormat="1" ht="16.5" customHeight="1">
      <c r="A97" s="983"/>
      <c r="B97" s="783"/>
      <c r="C97" s="1153"/>
      <c r="D97" s="1153"/>
      <c r="E97" s="676">
        <v>17.100000000000001</v>
      </c>
      <c r="F97" s="779" t="str" cm="1">
        <f t="array" aca="1" ref="F97" ca="1">OFFSET(G97,-1,-1)</f>
        <v>2</v>
      </c>
      <c r="G97" s="1153"/>
      <c r="H97" s="126" t="s">
        <v>572</v>
      </c>
      <c r="I97" s="1153"/>
      <c r="J97" s="1153"/>
      <c r="K97" s="1153"/>
      <c r="L97" s="1153"/>
      <c r="M97" s="1153"/>
      <c r="N97" s="1153"/>
      <c r="O97" s="1153"/>
      <c r="P97" s="1153"/>
      <c r="Q97" s="779"/>
      <c r="R97" s="779"/>
      <c r="S97" s="1153"/>
      <c r="T97" s="1153"/>
      <c r="U97" s="780" t="b">
        <f t="shared" ca="1" si="8"/>
        <v>1</v>
      </c>
      <c r="V97" s="1153"/>
      <c r="W97" s="1153"/>
      <c r="X97" s="1153"/>
      <c r="Y97" s="1726"/>
      <c r="Z97" s="1726"/>
      <c r="AA97" s="170"/>
      <c r="AB97" s="713">
        <v>11</v>
      </c>
      <c r="AC97" s="721" t="s">
        <v>573</v>
      </c>
      <c r="AD97" s="123" t="s">
        <v>574</v>
      </c>
      <c r="AE97" s="1287">
        <f>7000</f>
        <v>7000</v>
      </c>
      <c r="AF97" s="313">
        <f>7000</f>
        <v>7000</v>
      </c>
      <c r="AG97" s="313">
        <f>7000</f>
        <v>7000</v>
      </c>
      <c r="AH97" s="313">
        <f>7000</f>
        <v>7000</v>
      </c>
      <c r="AI97" s="313">
        <f>7000</f>
        <v>7000</v>
      </c>
      <c r="AJ97" s="1287">
        <f>7000</f>
        <v>7000</v>
      </c>
      <c r="AK97" s="1287">
        <f>7000</f>
        <v>7000</v>
      </c>
      <c r="AL97" s="1287">
        <f>7000</f>
        <v>7000</v>
      </c>
      <c r="AM97" s="1287">
        <f>7000</f>
        <v>7000</v>
      </c>
      <c r="AN97" s="1287">
        <f>7000</f>
        <v>7000</v>
      </c>
      <c r="AO97" s="313">
        <f>7000</f>
        <v>7000</v>
      </c>
      <c r="AP97" s="313">
        <f>7000</f>
        <v>7000</v>
      </c>
      <c r="AQ97" s="313">
        <f>7000</f>
        <v>7000</v>
      </c>
      <c r="AR97" s="313">
        <f>7000</f>
        <v>7000</v>
      </c>
      <c r="AS97" s="313">
        <f>7000</f>
        <v>7000</v>
      </c>
      <c r="AT97" s="1287">
        <f>7000</f>
        <v>7000</v>
      </c>
      <c r="AU97" s="1287">
        <f>7000</f>
        <v>7000</v>
      </c>
      <c r="AV97" s="1287">
        <f>7000</f>
        <v>7000</v>
      </c>
      <c r="AW97" s="1287">
        <f>7000</f>
        <v>7000</v>
      </c>
      <c r="AX97" s="1287">
        <f>7000</f>
        <v>7000</v>
      </c>
      <c r="AY97" s="170"/>
      <c r="AZ97" s="170"/>
      <c r="BA97" s="958" t="s">
        <v>575</v>
      </c>
      <c r="BB97" s="1011"/>
      <c r="BC97" s="1011"/>
      <c r="BD97" s="962"/>
      <c r="BE97" s="962"/>
    </row>
    <row r="98" spans="1:57" s="1229" customFormat="1" ht="16.5" customHeight="1">
      <c r="A98" s="983"/>
      <c r="B98" s="783"/>
      <c r="C98" s="1153"/>
      <c r="D98" s="1153"/>
      <c r="E98" s="676">
        <v>17.100000000000001</v>
      </c>
      <c r="F98" s="779" t="str" cm="1">
        <f t="array" aca="1" ref="F98" ca="1">OFFSET(G98,-1,-1)</f>
        <v>2</v>
      </c>
      <c r="G98" s="1153"/>
      <c r="H98" s="126" t="s">
        <v>576</v>
      </c>
      <c r="I98" s="1153"/>
      <c r="J98" s="1153"/>
      <c r="K98" s="1153"/>
      <c r="L98" s="1153"/>
      <c r="M98" s="1153"/>
      <c r="N98" s="1153"/>
      <c r="O98" s="1153"/>
      <c r="P98" s="1153"/>
      <c r="Q98" s="779"/>
      <c r="R98" s="779"/>
      <c r="S98" s="1153"/>
      <c r="T98" s="1153"/>
      <c r="U98" s="780" t="b">
        <f t="shared" ca="1" si="8"/>
        <v>1</v>
      </c>
      <c r="V98" s="1153"/>
      <c r="W98" s="1153"/>
      <c r="X98" s="1153"/>
      <c r="Y98" s="1726"/>
      <c r="Z98" s="1726"/>
      <c r="AA98" s="170"/>
      <c r="AB98" s="713">
        <v>12</v>
      </c>
      <c r="AC98" s="721" t="s">
        <v>577</v>
      </c>
      <c r="AD98" s="720" t="s">
        <v>533</v>
      </c>
      <c r="AE98" s="1287"/>
      <c r="AF98" s="313"/>
      <c r="AG98" s="313"/>
      <c r="AH98" s="313"/>
      <c r="AI98" s="313"/>
      <c r="AJ98" s="1287"/>
      <c r="AK98" s="1287"/>
      <c r="AL98" s="1287"/>
      <c r="AM98" s="1287"/>
      <c r="AN98" s="1287"/>
      <c r="AO98" s="313"/>
      <c r="AP98" s="313"/>
      <c r="AQ98" s="313"/>
      <c r="AR98" s="313"/>
      <c r="AS98" s="313"/>
      <c r="AT98" s="1287"/>
      <c r="AU98" s="1287"/>
      <c r="AV98" s="1287"/>
      <c r="AW98" s="1287"/>
      <c r="AX98" s="1287"/>
      <c r="AY98" s="170"/>
      <c r="AZ98" s="170"/>
      <c r="BA98" s="958" t="s">
        <v>578</v>
      </c>
      <c r="BB98" s="1011"/>
      <c r="BC98" s="1011"/>
      <c r="BD98" s="962"/>
      <c r="BE98" s="962"/>
    </row>
    <row r="99" spans="1:57" s="1229" customFormat="1" ht="16.5" customHeight="1">
      <c r="A99" s="983"/>
      <c r="B99" s="783"/>
      <c r="C99" s="1153"/>
      <c r="D99" s="1153"/>
      <c r="E99" s="676">
        <v>17.100000000000001</v>
      </c>
      <c r="F99" s="779" t="str" cm="1">
        <f t="array" aca="1" ref="F99" ca="1">OFFSET(G99,-1,-1)</f>
        <v>2</v>
      </c>
      <c r="G99" s="1153"/>
      <c r="H99" s="126" t="s">
        <v>579</v>
      </c>
      <c r="I99" s="1153"/>
      <c r="J99" s="1153"/>
      <c r="K99" s="1153"/>
      <c r="L99" s="1153"/>
      <c r="M99" s="1153"/>
      <c r="N99" s="1153"/>
      <c r="O99" s="1153"/>
      <c r="P99" s="1153"/>
      <c r="Q99" s="779"/>
      <c r="R99" s="779"/>
      <c r="S99" s="1153"/>
      <c r="T99" s="1153"/>
      <c r="U99" s="780" t="b">
        <f t="shared" ca="1" si="8"/>
        <v>1</v>
      </c>
      <c r="V99" s="1153"/>
      <c r="W99" s="1153"/>
      <c r="X99" s="1153"/>
      <c r="Y99" s="1726"/>
      <c r="Z99" s="1726"/>
      <c r="AA99" s="170"/>
      <c r="AB99" s="713">
        <v>13</v>
      </c>
      <c r="AC99" s="721" t="s">
        <v>580</v>
      </c>
      <c r="AD99" s="720" t="s">
        <v>533</v>
      </c>
      <c r="AE99" s="1287"/>
      <c r="AF99" s="313"/>
      <c r="AG99" s="313"/>
      <c r="AH99" s="313"/>
      <c r="AI99" s="313"/>
      <c r="AJ99" s="1287"/>
      <c r="AK99" s="1287"/>
      <c r="AL99" s="1287"/>
      <c r="AM99" s="1287"/>
      <c r="AN99" s="1287"/>
      <c r="AO99" s="313"/>
      <c r="AP99" s="313"/>
      <c r="AQ99" s="313"/>
      <c r="AR99" s="313"/>
      <c r="AS99" s="313"/>
      <c r="AT99" s="1287"/>
      <c r="AU99" s="1287"/>
      <c r="AV99" s="1287"/>
      <c r="AW99" s="1287"/>
      <c r="AX99" s="1287"/>
      <c r="AY99" s="170"/>
      <c r="AZ99" s="170"/>
      <c r="BA99" s="958" t="s">
        <v>581</v>
      </c>
      <c r="BB99" s="1011"/>
      <c r="BC99" s="1011"/>
      <c r="BD99" s="962"/>
      <c r="BE99" s="962"/>
    </row>
    <row r="100" spans="1:57" s="1229" customFormat="1" ht="16.5" customHeight="1">
      <c r="A100" s="983"/>
      <c r="B100" s="783"/>
      <c r="C100" s="1153"/>
      <c r="D100" s="1153"/>
      <c r="E100" s="676">
        <v>17.100000000000001</v>
      </c>
      <c r="F100" s="779" t="str" cm="1">
        <f t="array" aca="1" ref="F100" ca="1">OFFSET(G100,-1,-1)</f>
        <v>2</v>
      </c>
      <c r="G100" s="1153"/>
      <c r="H100" s="126" t="s">
        <v>582</v>
      </c>
      <c r="I100" s="1153"/>
      <c r="J100" s="1153"/>
      <c r="K100" s="1153"/>
      <c r="L100" s="1153"/>
      <c r="M100" s="1153"/>
      <c r="N100" s="1153"/>
      <c r="O100" s="1153"/>
      <c r="P100" s="1153"/>
      <c r="Q100" s="779"/>
      <c r="R100" s="779"/>
      <c r="S100" s="1153"/>
      <c r="T100" s="1153"/>
      <c r="U100" s="780" t="b">
        <f t="shared" ca="1" si="8"/>
        <v>1</v>
      </c>
      <c r="V100" s="1153"/>
      <c r="W100" s="1153"/>
      <c r="X100" s="1153"/>
      <c r="Y100" s="1726"/>
      <c r="Z100" s="1726"/>
      <c r="AA100" s="170"/>
      <c r="AB100" s="713">
        <v>14</v>
      </c>
      <c r="AC100" s="721" t="s">
        <v>583</v>
      </c>
      <c r="AD100" s="720" t="s">
        <v>533</v>
      </c>
      <c r="AE100" s="1287"/>
      <c r="AF100" s="313"/>
      <c r="AG100" s="313"/>
      <c r="AH100" s="313"/>
      <c r="AI100" s="313"/>
      <c r="AJ100" s="1287"/>
      <c r="AK100" s="1287"/>
      <c r="AL100" s="1287"/>
      <c r="AM100" s="1287"/>
      <c r="AN100" s="1287"/>
      <c r="AO100" s="313"/>
      <c r="AP100" s="313"/>
      <c r="AQ100" s="313"/>
      <c r="AR100" s="313"/>
      <c r="AS100" s="313"/>
      <c r="AT100" s="1287"/>
      <c r="AU100" s="1287"/>
      <c r="AV100" s="1287"/>
      <c r="AW100" s="1287"/>
      <c r="AX100" s="1287"/>
      <c r="AY100" s="170"/>
      <c r="AZ100" s="170"/>
      <c r="BA100" s="958" t="s">
        <v>584</v>
      </c>
      <c r="BB100" s="1011"/>
      <c r="BC100" s="1011"/>
      <c r="BD100" s="962"/>
      <c r="BE100" s="962"/>
    </row>
    <row r="101" spans="1:57" s="1229" customFormat="1" ht="16.5" customHeight="1">
      <c r="A101" s="983"/>
      <c r="B101" s="783"/>
      <c r="C101" s="1153"/>
      <c r="D101" s="1153"/>
      <c r="E101" s="676">
        <v>17.100000000000001</v>
      </c>
      <c r="F101" s="779" t="str" cm="1">
        <f t="array" aca="1" ref="F101" ca="1">OFFSET(G101,-1,-1)</f>
        <v>2</v>
      </c>
      <c r="G101" s="1153"/>
      <c r="H101" s="126" t="s">
        <v>585</v>
      </c>
      <c r="I101" s="1153"/>
      <c r="J101" s="1153"/>
      <c r="K101" s="1153"/>
      <c r="L101" s="1153"/>
      <c r="M101" s="1153"/>
      <c r="N101" s="1153"/>
      <c r="O101" s="1153"/>
      <c r="P101" s="1153"/>
      <c r="Q101" s="779"/>
      <c r="R101" s="779"/>
      <c r="S101" s="1153"/>
      <c r="T101" s="1153"/>
      <c r="U101" s="780" t="b">
        <f t="shared" ca="1" si="8"/>
        <v>1</v>
      </c>
      <c r="V101" s="1153"/>
      <c r="W101" s="1153"/>
      <c r="X101" s="1153"/>
      <c r="Y101" s="1726"/>
      <c r="Z101" s="1726"/>
      <c r="AA101" s="170"/>
      <c r="AB101" s="713">
        <v>15</v>
      </c>
      <c r="AC101" s="721" t="s">
        <v>586</v>
      </c>
      <c r="AD101" s="720" t="s">
        <v>533</v>
      </c>
      <c r="AE101" s="1287"/>
      <c r="AF101" s="313"/>
      <c r="AG101" s="313"/>
      <c r="AH101" s="313"/>
      <c r="AI101" s="313"/>
      <c r="AJ101" s="1287"/>
      <c r="AK101" s="1287"/>
      <c r="AL101" s="1287"/>
      <c r="AM101" s="1287"/>
      <c r="AN101" s="1287"/>
      <c r="AO101" s="313"/>
      <c r="AP101" s="313"/>
      <c r="AQ101" s="313"/>
      <c r="AR101" s="313"/>
      <c r="AS101" s="313"/>
      <c r="AT101" s="1287"/>
      <c r="AU101" s="1287"/>
      <c r="AV101" s="1287"/>
      <c r="AW101" s="1287"/>
      <c r="AX101" s="1287"/>
      <c r="AY101" s="170"/>
      <c r="AZ101" s="170"/>
      <c r="BA101" s="958" t="s">
        <v>587</v>
      </c>
      <c r="BB101" s="1011"/>
      <c r="BC101" s="1011"/>
      <c r="BD101" s="962"/>
      <c r="BE101" s="962"/>
    </row>
    <row r="102" spans="1:57" s="1229" customFormat="1" ht="16.5" customHeight="1">
      <c r="A102" s="983"/>
      <c r="B102" s="783"/>
      <c r="C102" s="1153"/>
      <c r="D102" s="1153"/>
      <c r="E102" s="676">
        <v>17.100000000000001</v>
      </c>
      <c r="F102" s="779" t="str" cm="1">
        <f t="array" aca="1" ref="F102" ca="1">OFFSET(G102,-1,-1)</f>
        <v>2</v>
      </c>
      <c r="G102" s="779" t="s">
        <v>588</v>
      </c>
      <c r="H102" s="126" t="s">
        <v>589</v>
      </c>
      <c r="I102" s="1153"/>
      <c r="J102" s="1153"/>
      <c r="K102" s="1153"/>
      <c r="L102" s="1153"/>
      <c r="M102" s="1153"/>
      <c r="N102" s="1153"/>
      <c r="O102" s="1153"/>
      <c r="P102" s="1153"/>
      <c r="Q102" s="779"/>
      <c r="R102" s="779"/>
      <c r="S102" s="1153"/>
      <c r="T102" s="1153"/>
      <c r="U102" s="886" t="b">
        <f ca="1">AND(F102&gt;0,method_reg&lt;&gt;"Метод экономически обоснованных расходов")</f>
        <v>1</v>
      </c>
      <c r="V102" s="1153"/>
      <c r="W102" s="1153"/>
      <c r="X102" s="1153"/>
      <c r="Y102" s="1726"/>
      <c r="Z102" s="1726"/>
      <c r="AA102" s="170"/>
      <c r="AB102" s="713">
        <v>16</v>
      </c>
      <c r="AC102" s="723" t="s">
        <v>590</v>
      </c>
      <c r="AD102" s="159"/>
      <c r="AE102" s="1287"/>
      <c r="AF102" s="313"/>
      <c r="AG102" s="313"/>
      <c r="AH102" s="313"/>
      <c r="AI102" s="313"/>
      <c r="AJ102" s="1287"/>
      <c r="AK102" s="1287"/>
      <c r="AL102" s="1287"/>
      <c r="AM102" s="1287"/>
      <c r="AN102" s="1287"/>
      <c r="AO102" s="313"/>
      <c r="AP102" s="313"/>
      <c r="AQ102" s="313"/>
      <c r="AR102" s="313"/>
      <c r="AS102" s="313"/>
      <c r="AT102" s="1287"/>
      <c r="AU102" s="1287"/>
      <c r="AV102" s="1287"/>
      <c r="AW102" s="1287"/>
      <c r="AX102" s="1287"/>
      <c r="AY102" s="170"/>
      <c r="AZ102" s="170"/>
      <c r="BA102" s="958" t="s">
        <v>591</v>
      </c>
      <c r="BB102" s="1011"/>
      <c r="BC102" s="1011"/>
      <c r="BD102" s="962"/>
      <c r="BE102" s="962"/>
    </row>
    <row r="103" spans="1:57" s="1229" customFormat="1" ht="29.25" customHeight="1">
      <c r="A103" s="983"/>
      <c r="B103" s="783"/>
      <c r="C103" s="1153"/>
      <c r="D103" s="1153"/>
      <c r="E103" s="676">
        <v>30</v>
      </c>
      <c r="F103" s="779" t="str" cm="1">
        <f t="array" aca="1" ref="F103" ca="1">OFFSET(G103,-1,-1)</f>
        <v>2</v>
      </c>
      <c r="G103" s="779" t="s">
        <v>592</v>
      </c>
      <c r="H103" s="126" t="s">
        <v>593</v>
      </c>
      <c r="I103" s="1153"/>
      <c r="J103" s="1153"/>
      <c r="K103" s="1153"/>
      <c r="L103" s="1153"/>
      <c r="M103" s="1153"/>
      <c r="N103" s="1153"/>
      <c r="O103" s="1153"/>
      <c r="P103" s="1153"/>
      <c r="Q103" s="779"/>
      <c r="R103" s="779"/>
      <c r="S103" s="1153"/>
      <c r="T103" s="1153"/>
      <c r="U103" s="886" t="b">
        <f ca="1">AND(F103&gt;0,method_reg&lt;&gt;"Метод экономически обоснованных расходов")</f>
        <v>1</v>
      </c>
      <c r="V103" s="1153"/>
      <c r="W103" s="1153"/>
      <c r="X103" s="1153"/>
      <c r="Y103" s="1726"/>
      <c r="Z103" s="1726"/>
      <c r="AA103" s="170"/>
      <c r="AB103" s="713">
        <v>17</v>
      </c>
      <c r="AC103" s="160" t="s">
        <v>594</v>
      </c>
      <c r="AD103" s="714"/>
      <c r="AE103" s="1287">
        <f t="shared" ref="AE103:AX103" si="9">0.75</f>
        <v>0.75</v>
      </c>
      <c r="AF103" s="313">
        <f t="shared" si="9"/>
        <v>0.75</v>
      </c>
      <c r="AG103" s="313">
        <f t="shared" si="9"/>
        <v>0.75</v>
      </c>
      <c r="AH103" s="313">
        <f t="shared" si="9"/>
        <v>0.75</v>
      </c>
      <c r="AI103" s="313">
        <f t="shared" si="9"/>
        <v>0.75</v>
      </c>
      <c r="AJ103" s="1287">
        <f t="shared" si="9"/>
        <v>0.75</v>
      </c>
      <c r="AK103" s="1287">
        <f t="shared" si="9"/>
        <v>0.75</v>
      </c>
      <c r="AL103" s="1287">
        <f t="shared" si="9"/>
        <v>0.75</v>
      </c>
      <c r="AM103" s="1287">
        <f t="shared" si="9"/>
        <v>0.75</v>
      </c>
      <c r="AN103" s="1287">
        <f t="shared" si="9"/>
        <v>0.75</v>
      </c>
      <c r="AO103" s="313">
        <f t="shared" si="9"/>
        <v>0.75</v>
      </c>
      <c r="AP103" s="313">
        <f t="shared" si="9"/>
        <v>0.75</v>
      </c>
      <c r="AQ103" s="313">
        <f t="shared" si="9"/>
        <v>0.75</v>
      </c>
      <c r="AR103" s="313">
        <f t="shared" si="9"/>
        <v>0.75</v>
      </c>
      <c r="AS103" s="313">
        <f t="shared" si="9"/>
        <v>0.75</v>
      </c>
      <c r="AT103" s="1287">
        <f t="shared" si="9"/>
        <v>0.75</v>
      </c>
      <c r="AU103" s="1287">
        <f t="shared" si="9"/>
        <v>0.75</v>
      </c>
      <c r="AV103" s="1287">
        <f t="shared" si="9"/>
        <v>0.75</v>
      </c>
      <c r="AW103" s="1287">
        <f t="shared" si="9"/>
        <v>0.75</v>
      </c>
      <c r="AX103" s="1287">
        <f t="shared" si="9"/>
        <v>0.75</v>
      </c>
      <c r="AY103" s="170"/>
      <c r="AZ103" s="170"/>
      <c r="BA103" s="958" t="s">
        <v>595</v>
      </c>
      <c r="BB103" s="1011"/>
      <c r="BC103" s="1011"/>
      <c r="BD103" s="962"/>
      <c r="BE103" s="962"/>
    </row>
    <row r="104" spans="1:57" s="1229" customFormat="1" ht="16.5" customHeight="1">
      <c r="A104" s="983"/>
      <c r="B104" s="783"/>
      <c r="C104" s="1153"/>
      <c r="D104" s="1153"/>
      <c r="E104" s="676">
        <v>17.100000000000001</v>
      </c>
      <c r="F104" s="779" t="str" cm="1">
        <f t="array" aca="1" ref="F104" ca="1">OFFSET(G104,-1,-1)</f>
        <v>2</v>
      </c>
      <c r="G104" s="1153"/>
      <c r="H104" s="1153"/>
      <c r="I104" s="1153"/>
      <c r="J104" s="1153"/>
      <c r="K104" s="1153"/>
      <c r="L104" s="1153"/>
      <c r="M104" s="1153"/>
      <c r="N104" s="1153"/>
      <c r="O104" s="1153"/>
      <c r="P104" s="1153"/>
      <c r="Q104" s="779"/>
      <c r="R104" s="779"/>
      <c r="S104" s="1153"/>
      <c r="T104" s="1153"/>
      <c r="U104" s="780" t="b">
        <f ca="1">F104&gt;0</f>
        <v>1</v>
      </c>
      <c r="V104" s="1153"/>
      <c r="W104" s="1153"/>
      <c r="X104" s="1153"/>
      <c r="Y104" s="1726"/>
      <c r="Z104" s="1726"/>
      <c r="AA104" s="170"/>
      <c r="AB104" s="880" t="s">
        <v>596</v>
      </c>
      <c r="AC104" s="292" t="s">
        <v>597</v>
      </c>
      <c r="AD104" s="293"/>
      <c r="AE104" s="295"/>
      <c r="AF104" s="295"/>
      <c r="AG104" s="295"/>
      <c r="AH104" s="295"/>
      <c r="AI104" s="295"/>
      <c r="AJ104" s="295"/>
      <c r="AK104" s="295"/>
      <c r="AL104" s="295"/>
      <c r="AM104" s="295"/>
      <c r="AN104" s="295"/>
      <c r="AO104" s="295"/>
      <c r="AP104" s="295"/>
      <c r="AQ104" s="295"/>
      <c r="AR104" s="295"/>
      <c r="AS104" s="295"/>
      <c r="AT104" s="295"/>
      <c r="AU104" s="295"/>
      <c r="AV104" s="295"/>
      <c r="AW104" s="295"/>
      <c r="AX104" s="295"/>
      <c r="AY104" s="170"/>
      <c r="AZ104" s="170"/>
      <c r="BA104" s="1011"/>
      <c r="BB104" s="1011"/>
      <c r="BC104" s="1011"/>
      <c r="BD104" s="962"/>
      <c r="BE104" s="962"/>
    </row>
    <row r="105" spans="1:57" s="1229" customFormat="1" ht="16.5" customHeight="1">
      <c r="A105" s="983"/>
      <c r="B105" s="783"/>
      <c r="C105" s="1153"/>
      <c r="D105" s="1153"/>
      <c r="E105" s="676">
        <v>17.100000000000001</v>
      </c>
      <c r="F105" s="779" t="str" cm="1">
        <f t="array" aca="1" ref="F105" ca="1">OFFSET(G105,-1,-1)</f>
        <v>2</v>
      </c>
      <c r="G105" s="779" t="s">
        <v>598</v>
      </c>
      <c r="H105" s="126" t="s">
        <v>599</v>
      </c>
      <c r="I105" s="1153"/>
      <c r="J105" s="1153"/>
      <c r="K105" s="1153"/>
      <c r="L105" s="1153"/>
      <c r="M105" s="1153"/>
      <c r="N105" s="1153"/>
      <c r="O105" s="1153"/>
      <c r="P105" s="1153"/>
      <c r="Q105" s="779"/>
      <c r="R105" s="779"/>
      <c r="S105" s="1153"/>
      <c r="T105" s="1153"/>
      <c r="U105" s="780" t="b">
        <f ca="1">F105&gt;0</f>
        <v>1</v>
      </c>
      <c r="V105" s="1153"/>
      <c r="W105" s="1153"/>
      <c r="X105" s="1153"/>
      <c r="Y105" s="1726"/>
      <c r="Z105" s="1726"/>
      <c r="AA105" s="170"/>
      <c r="AB105" s="412" t="s">
        <v>600</v>
      </c>
      <c r="AC105" s="158" t="s">
        <v>601</v>
      </c>
      <c r="AD105" s="159" t="s">
        <v>533</v>
      </c>
      <c r="AE105" s="1287">
        <v>30.18</v>
      </c>
      <c r="AF105" s="313"/>
      <c r="AG105" s="313"/>
      <c r="AH105" s="313"/>
      <c r="AI105" s="313"/>
      <c r="AJ105" s="1287"/>
      <c r="AK105" s="1287"/>
      <c r="AL105" s="1287"/>
      <c r="AM105" s="1287"/>
      <c r="AN105" s="1287"/>
      <c r="AO105" s="313">
        <v>30.18</v>
      </c>
      <c r="AP105" s="313"/>
      <c r="AQ105" s="313"/>
      <c r="AR105" s="313"/>
      <c r="AS105" s="313"/>
      <c r="AT105" s="1287"/>
      <c r="AU105" s="1287"/>
      <c r="AV105" s="1287"/>
      <c r="AW105" s="1287"/>
      <c r="AX105" s="1287"/>
      <c r="AY105" s="170"/>
      <c r="AZ105" s="170"/>
      <c r="BA105" s="958" t="s">
        <v>602</v>
      </c>
      <c r="BB105" s="1011"/>
      <c r="BC105" s="1011"/>
      <c r="BD105" s="962"/>
      <c r="BE105" s="962"/>
    </row>
    <row r="106" spans="1:57" s="1229" customFormat="1" ht="16.5" customHeight="1">
      <c r="A106" s="983"/>
      <c r="B106" s="783"/>
      <c r="C106" s="1153"/>
      <c r="D106" s="1153"/>
      <c r="E106" s="676">
        <v>17.100000000000001</v>
      </c>
      <c r="F106" s="779" t="str" cm="1">
        <f t="array" aca="1" ref="F106" ca="1">OFFSET(G106,-1,-1)</f>
        <v>2</v>
      </c>
      <c r="G106" s="1153"/>
      <c r="H106" s="126" t="s">
        <v>603</v>
      </c>
      <c r="I106" s="1153"/>
      <c r="J106" s="1153"/>
      <c r="K106" s="1153"/>
      <c r="L106" s="1153"/>
      <c r="M106" s="1153"/>
      <c r="N106" s="1153"/>
      <c r="O106" s="1153"/>
      <c r="P106" s="1153"/>
      <c r="Q106" s="779"/>
      <c r="R106" s="779"/>
      <c r="S106" s="1153"/>
      <c r="T106" s="1153"/>
      <c r="U106" s="780" t="b">
        <f ca="1">F106&gt;0</f>
        <v>1</v>
      </c>
      <c r="V106" s="1153"/>
      <c r="W106" s="1153"/>
      <c r="X106" s="1153"/>
      <c r="Y106" s="1726"/>
      <c r="Z106" s="1726"/>
      <c r="AA106" s="170"/>
      <c r="AB106" s="412" t="s">
        <v>604</v>
      </c>
      <c r="AC106" s="160" t="s">
        <v>605</v>
      </c>
      <c r="AD106" s="159" t="s">
        <v>533</v>
      </c>
      <c r="AE106" s="1287"/>
      <c r="AF106" s="313"/>
      <c r="AG106" s="313"/>
      <c r="AH106" s="313"/>
      <c r="AI106" s="313"/>
      <c r="AJ106" s="1287"/>
      <c r="AK106" s="1287"/>
      <c r="AL106" s="1287"/>
      <c r="AM106" s="1287"/>
      <c r="AN106" s="1287"/>
      <c r="AO106" s="313"/>
      <c r="AP106" s="313"/>
      <c r="AQ106" s="313"/>
      <c r="AR106" s="313"/>
      <c r="AS106" s="313"/>
      <c r="AT106" s="1287"/>
      <c r="AU106" s="1287"/>
      <c r="AV106" s="1287"/>
      <c r="AW106" s="1287"/>
      <c r="AX106" s="1287"/>
      <c r="AY106" s="170"/>
      <c r="AZ106" s="170"/>
      <c r="BA106" s="958" t="s">
        <v>606</v>
      </c>
      <c r="BB106" s="1011"/>
      <c r="BC106" s="1011"/>
      <c r="BD106" s="962"/>
      <c r="BE106" s="962"/>
    </row>
    <row r="107" spans="1:57" s="1229" customFormat="1" ht="16.5" customHeight="1">
      <c r="A107" s="983"/>
      <c r="B107" s="783"/>
      <c r="C107" s="1153"/>
      <c r="D107" s="1153"/>
      <c r="E107" s="676">
        <v>17.100000000000001</v>
      </c>
      <c r="F107" s="779" t="str" cm="1">
        <f t="array" aca="1" ref="F107" ca="1">OFFSET(G107,-1,-1)</f>
        <v>2</v>
      </c>
      <c r="G107" s="1153"/>
      <c r="H107" s="126" t="s">
        <v>607</v>
      </c>
      <c r="I107" s="1153"/>
      <c r="J107" s="1153"/>
      <c r="K107" s="1153"/>
      <c r="L107" s="1153"/>
      <c r="M107" s="1153"/>
      <c r="N107" s="1153"/>
      <c r="O107" s="1153"/>
      <c r="P107" s="1153"/>
      <c r="Q107" s="779"/>
      <c r="R107" s="779"/>
      <c r="S107" s="1153"/>
      <c r="T107" s="1153"/>
      <c r="U107" s="780" t="b">
        <f ca="1">F107&gt;0</f>
        <v>1</v>
      </c>
      <c r="V107" s="1153"/>
      <c r="W107" s="1153"/>
      <c r="X107" s="1153"/>
      <c r="Y107" s="1726"/>
      <c r="Z107" s="1726"/>
      <c r="AA107" s="170"/>
      <c r="AB107" s="412" t="s">
        <v>608</v>
      </c>
      <c r="AC107" s="160" t="s">
        <v>609</v>
      </c>
      <c r="AD107" s="159" t="s">
        <v>533</v>
      </c>
      <c r="AE107" s="1287"/>
      <c r="AF107" s="313"/>
      <c r="AG107" s="313"/>
      <c r="AH107" s="313"/>
      <c r="AI107" s="313"/>
      <c r="AJ107" s="1287"/>
      <c r="AK107" s="1287"/>
      <c r="AL107" s="1287"/>
      <c r="AM107" s="1287"/>
      <c r="AN107" s="1287"/>
      <c r="AO107" s="313"/>
      <c r="AP107" s="313"/>
      <c r="AQ107" s="313"/>
      <c r="AR107" s="313"/>
      <c r="AS107" s="313"/>
      <c r="AT107" s="1287"/>
      <c r="AU107" s="1287"/>
      <c r="AV107" s="1287"/>
      <c r="AW107" s="1287"/>
      <c r="AX107" s="1287"/>
      <c r="AY107" s="170"/>
      <c r="AZ107" s="170"/>
      <c r="BA107" s="958" t="s">
        <v>610</v>
      </c>
      <c r="BB107" s="1011"/>
      <c r="BC107" s="1011"/>
      <c r="BD107" s="962"/>
      <c r="BE107" s="962"/>
    </row>
    <row r="108" spans="1:57" s="1229" customFormat="1" ht="16.5" customHeight="1">
      <c r="A108" s="983"/>
      <c r="B108" s="783"/>
      <c r="C108" s="1153"/>
      <c r="D108" s="1153"/>
      <c r="E108" s="676">
        <v>17.100000000000001</v>
      </c>
      <c r="F108" s="779" t="str" cm="1">
        <f t="array" aca="1" ref="F108" ca="1">OFFSET(G108,-1,-1)</f>
        <v>2</v>
      </c>
      <c r="G108" s="1153"/>
      <c r="H108" s="126" t="s">
        <v>611</v>
      </c>
      <c r="I108" s="1153"/>
      <c r="J108" s="1153"/>
      <c r="K108" s="1153"/>
      <c r="L108" s="1153"/>
      <c r="M108" s="1153"/>
      <c r="N108" s="1153"/>
      <c r="O108" s="1153"/>
      <c r="P108" s="1153"/>
      <c r="Q108" s="779"/>
      <c r="R108" s="779"/>
      <c r="S108" s="1153"/>
      <c r="T108" s="1153"/>
      <c r="U108" s="780" t="b">
        <f ca="1">F108&gt;0</f>
        <v>1</v>
      </c>
      <c r="V108" s="1153"/>
      <c r="W108" s="1153"/>
      <c r="X108" s="1153"/>
      <c r="Y108" s="1726"/>
      <c r="Z108" s="1726"/>
      <c r="AA108" s="170"/>
      <c r="AB108" s="412" t="s">
        <v>612</v>
      </c>
      <c r="AC108" s="160" t="s">
        <v>613</v>
      </c>
      <c r="AD108" s="159" t="s">
        <v>533</v>
      </c>
      <c r="AE108" s="1287"/>
      <c r="AF108" s="313"/>
      <c r="AG108" s="313"/>
      <c r="AH108" s="313"/>
      <c r="AI108" s="313"/>
      <c r="AJ108" s="1287"/>
      <c r="AK108" s="1287"/>
      <c r="AL108" s="1287"/>
      <c r="AM108" s="1287"/>
      <c r="AN108" s="1287"/>
      <c r="AO108" s="313"/>
      <c r="AP108" s="313"/>
      <c r="AQ108" s="313"/>
      <c r="AR108" s="313"/>
      <c r="AS108" s="313"/>
      <c r="AT108" s="1287"/>
      <c r="AU108" s="1287"/>
      <c r="AV108" s="1287"/>
      <c r="AW108" s="1287"/>
      <c r="AX108" s="1287"/>
      <c r="AY108" s="170"/>
      <c r="AZ108" s="170"/>
      <c r="BA108" s="958" t="s">
        <v>614</v>
      </c>
      <c r="BB108" s="1011"/>
      <c r="BC108" s="1011"/>
      <c r="BD108" s="962"/>
      <c r="BE108" s="962"/>
    </row>
    <row r="109" spans="1:57" ht="11.1" customHeight="1">
      <c r="E109" s="676">
        <v>11.4</v>
      </c>
      <c r="V109" s="126" t="s">
        <v>238</v>
      </c>
      <c r="W109" s="122" t="s">
        <v>615</v>
      </c>
      <c r="AC109" s="151"/>
      <c r="AY109" s="151"/>
    </row>
    <row r="110" spans="1:57" ht="11.1" hidden="1" customHeight="1">
      <c r="E110" s="676">
        <v>11.4</v>
      </c>
      <c r="AC110" s="151"/>
    </row>
  </sheetData>
  <sheetProtection formatColumns="0" formatRows="0" insertRows="0" deleteColumns="0" deleteRows="0" sort="0" autoFilter="0"/>
  <mergeCells count="9">
    <mergeCell ref="Z55:Z81"/>
    <mergeCell ref="Y55:Y81"/>
    <mergeCell ref="Z82:Z108"/>
    <mergeCell ref="Y82:Y108"/>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18A19-F678-2C7D-5F58-2F8EB04EBEE2}">
  <sheetPr>
    <tabColor theme="3" tint="0.59999389629810485"/>
    <outlinePr summaryBelow="0" summaryRight="0"/>
    <pageSetUpPr fitToPage="1"/>
  </sheetPr>
  <dimension ref="A1:BB50"/>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53" hidden="1" customWidth="1"/>
    <col min="2" max="2" width="8.5703125" style="783" hidden="1" customWidth="1"/>
    <col min="3" max="4" width="3.5703125" style="1153" hidden="1" customWidth="1"/>
    <col min="5" max="5" width="8.42578125" style="782" hidden="1" customWidth="1"/>
    <col min="6" max="6" width="6.42578125" style="1153" hidden="1" customWidth="1"/>
    <col min="7" max="16" width="3.5703125" style="1153" hidden="1" customWidth="1"/>
    <col min="17" max="18" width="3.5703125" style="779" hidden="1" customWidth="1"/>
    <col min="19" max="19" width="5.85546875" style="1153" hidden="1" customWidth="1"/>
    <col min="20" max="20" width="3.5703125" style="1153" hidden="1" customWidth="1"/>
    <col min="21" max="21" width="6.7109375" style="1153" hidden="1" customWidth="1"/>
    <col min="22" max="22" width="6" style="1153" hidden="1" customWidth="1"/>
    <col min="23" max="23" width="6.28515625" style="1153" hidden="1" customWidth="1"/>
    <col min="24" max="24" width="6.42578125" style="1153" hidden="1" customWidth="1"/>
    <col min="25" max="25" width="5.85546875" style="1153" hidden="1" customWidth="1"/>
    <col min="26" max="26" width="5.42578125" style="1153" hidden="1" customWidth="1"/>
    <col min="27" max="27" width="3" style="170" customWidth="1"/>
    <col min="28" max="28" width="6.140625" style="791" customWidth="1"/>
    <col min="29" max="29" width="52" style="161" customWidth="1"/>
    <col min="30" max="30" width="28" style="161" customWidth="1"/>
    <col min="31" max="31" width="13.5703125" style="170" customWidth="1"/>
    <col min="32" max="51" width="15.140625" style="170" customWidth="1"/>
    <col min="52" max="52" width="3" style="170" customWidth="1"/>
    <col min="53" max="53" width="9.140625" style="170" hidden="1"/>
    <col min="54" max="54" width="9.140625" style="995" hidden="1"/>
  </cols>
  <sheetData>
    <row r="1" spans="1:54" s="1153" customFormat="1" ht="12" hidden="1" customHeight="1">
      <c r="B1" s="667"/>
      <c r="E1" s="667"/>
      <c r="F1" s="698" t="s">
        <v>83</v>
      </c>
      <c r="Q1" s="779"/>
      <c r="R1" s="779"/>
      <c r="U1" s="687" t="s">
        <v>86</v>
      </c>
      <c r="V1" s="687" t="s">
        <v>91</v>
      </c>
      <c r="W1" s="687" t="s">
        <v>87</v>
      </c>
      <c r="X1" s="667"/>
      <c r="Y1" s="687" t="s">
        <v>89</v>
      </c>
      <c r="Z1" s="687" t="s">
        <v>93</v>
      </c>
      <c r="AA1" s="667"/>
      <c r="AB1" s="667"/>
      <c r="AC1" s="671"/>
      <c r="AD1" s="671"/>
      <c r="BB1" s="946" t="s">
        <v>383</v>
      </c>
    </row>
    <row r="2" spans="1:54" s="783" customFormat="1" ht="12" hidden="1" customHeight="1">
      <c r="B2" s="768" t="s">
        <v>15</v>
      </c>
      <c r="AC2" s="671"/>
      <c r="AD2" s="671"/>
      <c r="AG2" s="688" t="b">
        <f t="shared" ref="AG2:AY2" si="0">AG6&lt;=last_year_vis</f>
        <v>1</v>
      </c>
      <c r="AH2" s="688" t="b">
        <f t="shared" si="0"/>
        <v>1</v>
      </c>
      <c r="AI2" s="688" t="b">
        <f t="shared" si="0"/>
        <v>1</v>
      </c>
      <c r="AJ2" s="688" t="b">
        <f t="shared" si="0"/>
        <v>1</v>
      </c>
      <c r="AK2" s="688" t="b">
        <f t="shared" si="0"/>
        <v>1</v>
      </c>
      <c r="AL2" s="688" t="b">
        <f t="shared" si="0"/>
        <v>1</v>
      </c>
      <c r="AM2" s="688" t="b">
        <f t="shared" si="0"/>
        <v>1</v>
      </c>
      <c r="AN2" s="688" t="b">
        <f t="shared" si="0"/>
        <v>1</v>
      </c>
      <c r="AO2" s="688" t="b">
        <f t="shared" si="0"/>
        <v>1</v>
      </c>
      <c r="AP2" s="688" t="b">
        <f t="shared" si="0"/>
        <v>1</v>
      </c>
      <c r="AQ2" s="688" t="b">
        <f t="shared" si="0"/>
        <v>1</v>
      </c>
      <c r="AR2" s="688" t="b">
        <f t="shared" si="0"/>
        <v>1</v>
      </c>
      <c r="AS2" s="688" t="b">
        <f t="shared" si="0"/>
        <v>1</v>
      </c>
      <c r="AT2" s="688" t="b">
        <f t="shared" si="0"/>
        <v>1</v>
      </c>
      <c r="AU2" s="688" t="b">
        <f t="shared" si="0"/>
        <v>1</v>
      </c>
      <c r="AV2" s="688" t="b">
        <f t="shared" si="0"/>
        <v>1</v>
      </c>
      <c r="AW2" s="688" t="b">
        <f t="shared" si="0"/>
        <v>1</v>
      </c>
      <c r="AX2" s="688" t="b">
        <f t="shared" si="0"/>
        <v>1</v>
      </c>
      <c r="AY2" s="688" t="b">
        <f t="shared" si="0"/>
        <v>1</v>
      </c>
      <c r="BB2" s="992"/>
    </row>
    <row r="3" spans="1:54" s="1153" customFormat="1" ht="12" hidden="1" customHeight="1">
      <c r="B3" s="667"/>
      <c r="E3" s="667"/>
      <c r="Q3" s="779"/>
      <c r="R3" s="779"/>
      <c r="AB3" s="129"/>
      <c r="AC3" s="122"/>
      <c r="AD3" s="122"/>
      <c r="BB3" s="945"/>
    </row>
    <row r="4" spans="1:54" s="1153" customFormat="1" ht="12" hidden="1" customHeight="1">
      <c r="B4" s="667"/>
      <c r="E4" s="667"/>
      <c r="Q4" s="779"/>
      <c r="R4" s="779"/>
      <c r="AB4" s="129"/>
      <c r="AC4" s="122"/>
      <c r="AD4" s="122"/>
      <c r="BB4" s="945"/>
    </row>
    <row r="5" spans="1:54" s="782" customFormat="1" ht="12" hidden="1" customHeight="1">
      <c r="A5" s="667"/>
      <c r="B5" s="667"/>
      <c r="C5" s="667"/>
      <c r="D5" s="667"/>
      <c r="E5" s="676" t="s">
        <v>16</v>
      </c>
      <c r="AA5" s="682">
        <v>3</v>
      </c>
      <c r="AB5" s="676">
        <v>6.13</v>
      </c>
      <c r="AC5" s="682">
        <v>52</v>
      </c>
      <c r="AD5" s="682">
        <v>28</v>
      </c>
      <c r="AE5" s="676">
        <v>13.63</v>
      </c>
      <c r="AF5" s="676">
        <v>15.13</v>
      </c>
      <c r="AG5" s="676">
        <v>15.13</v>
      </c>
      <c r="AH5" s="676">
        <v>15.13</v>
      </c>
      <c r="AI5" s="676">
        <v>15.13</v>
      </c>
      <c r="AJ5" s="676">
        <v>15.13</v>
      </c>
      <c r="AK5" s="676">
        <v>15.13</v>
      </c>
      <c r="AL5" s="676">
        <v>15.13</v>
      </c>
      <c r="AM5" s="676">
        <v>15.13</v>
      </c>
      <c r="AN5" s="676">
        <v>15.13</v>
      </c>
      <c r="AO5" s="676">
        <v>15.13</v>
      </c>
      <c r="AP5" s="676">
        <v>15.13</v>
      </c>
      <c r="AQ5" s="676">
        <v>15.13</v>
      </c>
      <c r="AR5" s="676">
        <v>15.13</v>
      </c>
      <c r="AS5" s="676">
        <v>15.13</v>
      </c>
      <c r="AT5" s="676">
        <v>15.13</v>
      </c>
      <c r="AU5" s="676">
        <v>15.13</v>
      </c>
      <c r="AV5" s="676">
        <v>15.13</v>
      </c>
      <c r="AW5" s="676">
        <v>15.13</v>
      </c>
      <c r="AX5" s="676">
        <v>15.13</v>
      </c>
      <c r="AY5" s="676">
        <v>15.13</v>
      </c>
      <c r="AZ5" s="676">
        <v>3</v>
      </c>
      <c r="BB5" s="992"/>
    </row>
    <row r="6" spans="1:54" s="1153" customFormat="1" ht="12" hidden="1" customHeight="1">
      <c r="B6" s="667"/>
      <c r="E6" s="676"/>
      <c r="Q6" s="779"/>
      <c r="R6" s="779"/>
      <c r="AB6" s="129"/>
      <c r="AC6" s="122"/>
      <c r="AD6" s="122"/>
      <c r="AF6" s="126" cm="1">
        <f t="array" ref="AF6">first_year</f>
        <v>2021</v>
      </c>
      <c r="AG6" s="126">
        <f>first_year+1</f>
        <v>2022</v>
      </c>
      <c r="AH6" s="126">
        <f>first_year+2</f>
        <v>2023</v>
      </c>
      <c r="AI6" s="126">
        <f>first_year+3</f>
        <v>2024</v>
      </c>
      <c r="AJ6" s="126">
        <f>first_year+4</f>
        <v>2025</v>
      </c>
      <c r="AK6" s="126">
        <f>first_year+5</f>
        <v>2026</v>
      </c>
      <c r="AL6" s="126">
        <f>first_year+6</f>
        <v>2027</v>
      </c>
      <c r="AM6" s="126">
        <f>first_year+7</f>
        <v>2028</v>
      </c>
      <c r="AN6" s="126">
        <f>first_year+8</f>
        <v>2029</v>
      </c>
      <c r="AO6" s="126">
        <f>first_year+9</f>
        <v>2030</v>
      </c>
      <c r="AP6" s="126" cm="1">
        <f t="array" ref="AP6">first_year</f>
        <v>2021</v>
      </c>
      <c r="AQ6" s="126">
        <f>first_year+1</f>
        <v>2022</v>
      </c>
      <c r="AR6" s="126">
        <f>first_year+2</f>
        <v>2023</v>
      </c>
      <c r="AS6" s="126">
        <f>first_year+3</f>
        <v>2024</v>
      </c>
      <c r="AT6" s="126">
        <f>first_year+4</f>
        <v>2025</v>
      </c>
      <c r="AU6" s="126">
        <f>first_year+5</f>
        <v>2026</v>
      </c>
      <c r="AV6" s="126">
        <f>first_year+6</f>
        <v>2027</v>
      </c>
      <c r="AW6" s="126">
        <f>first_year+7</f>
        <v>2028</v>
      </c>
      <c r="AX6" s="126">
        <f>first_year+8</f>
        <v>2029</v>
      </c>
      <c r="AY6" s="126">
        <f>first_year+9</f>
        <v>2030</v>
      </c>
      <c r="BB6" s="945"/>
    </row>
    <row r="7" spans="1:54" s="425" customFormat="1" ht="12" hidden="1" customHeight="1">
      <c r="A7" s="126"/>
      <c r="B7" s="667"/>
      <c r="C7" s="126"/>
      <c r="D7" s="126"/>
      <c r="E7" s="676"/>
      <c r="G7" s="126"/>
      <c r="H7" s="126"/>
      <c r="I7" s="126"/>
      <c r="J7" s="126"/>
      <c r="K7" s="126"/>
      <c r="L7" s="126"/>
      <c r="M7" s="126"/>
      <c r="N7" s="126"/>
      <c r="O7" s="126"/>
      <c r="P7" s="126"/>
      <c r="Q7" s="779"/>
      <c r="R7" s="779"/>
      <c r="S7" s="126"/>
      <c r="T7" s="126"/>
      <c r="AB7" s="164"/>
      <c r="AC7" s="165"/>
      <c r="AD7" s="165"/>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BB7" s="945"/>
    </row>
    <row r="8" spans="1:54" s="425" customFormat="1" ht="12" hidden="1" customHeight="1">
      <c r="A8" s="126"/>
      <c r="B8" s="667"/>
      <c r="C8" s="126"/>
      <c r="D8" s="126"/>
      <c r="E8" s="676"/>
      <c r="G8" s="126"/>
      <c r="H8" s="126"/>
      <c r="I8" s="126"/>
      <c r="J8" s="126"/>
      <c r="K8" s="126"/>
      <c r="L8" s="126"/>
      <c r="M8" s="126"/>
      <c r="N8" s="126"/>
      <c r="O8" s="126"/>
      <c r="P8" s="126"/>
      <c r="Q8" s="779"/>
      <c r="R8" s="779"/>
      <c r="S8" s="126"/>
      <c r="T8" s="126"/>
      <c r="AB8" s="164"/>
      <c r="AC8" s="165"/>
      <c r="AD8" s="165"/>
      <c r="AF8" s="163" t="str">
        <f t="shared" ref="AF8:AY8" si="1">AF6&amp;AF7</f>
        <v>2021Предложение организации</v>
      </c>
      <c r="AG8" s="163" t="str">
        <f t="shared" si="1"/>
        <v>2022Предложение организации</v>
      </c>
      <c r="AH8" s="163" t="str">
        <f t="shared" si="1"/>
        <v>2023Предложение организации</v>
      </c>
      <c r="AI8" s="163" t="str">
        <f t="shared" si="1"/>
        <v>2024Предложение организации</v>
      </c>
      <c r="AJ8" s="163" t="str">
        <f t="shared" si="1"/>
        <v>2025Предложение организации</v>
      </c>
      <c r="AK8" s="163" t="str">
        <f t="shared" si="1"/>
        <v>2026Предложение организации</v>
      </c>
      <c r="AL8" s="163" t="str">
        <f t="shared" si="1"/>
        <v>2027Предложение организации</v>
      </c>
      <c r="AM8" s="163" t="str">
        <f t="shared" si="1"/>
        <v>2028Предложение организации</v>
      </c>
      <c r="AN8" s="163" t="str">
        <f t="shared" si="1"/>
        <v>2029Предложение организации</v>
      </c>
      <c r="AO8" s="163" t="str">
        <f t="shared" si="1"/>
        <v>2030Предложение организации</v>
      </c>
      <c r="AP8" s="163" t="str">
        <f t="shared" si="1"/>
        <v>2021Принято органом регулирования</v>
      </c>
      <c r="AQ8" s="163" t="str">
        <f t="shared" si="1"/>
        <v>2022Принято органом регулирования</v>
      </c>
      <c r="AR8" s="163" t="str">
        <f t="shared" si="1"/>
        <v>2023Принято органом регулирования</v>
      </c>
      <c r="AS8" s="163" t="str">
        <f t="shared" si="1"/>
        <v>2024Принято органом регулирования</v>
      </c>
      <c r="AT8" s="163" t="str">
        <f t="shared" si="1"/>
        <v>2025Принято органом регулирования</v>
      </c>
      <c r="AU8" s="163" t="str">
        <f t="shared" si="1"/>
        <v>2026Принято органом регулирования</v>
      </c>
      <c r="AV8" s="163" t="str">
        <f t="shared" si="1"/>
        <v>2027Принято органом регулирования</v>
      </c>
      <c r="AW8" s="163" t="str">
        <f t="shared" si="1"/>
        <v>2028Принято органом регулирования</v>
      </c>
      <c r="AX8" s="163" t="str">
        <f t="shared" si="1"/>
        <v>2029Принято органом регулирования</v>
      </c>
      <c r="AY8" s="163" t="str">
        <f t="shared" si="1"/>
        <v>2030Принято органом регулирования</v>
      </c>
      <c r="BB8" s="945"/>
    </row>
    <row r="9" spans="1:54" s="946" customFormat="1" ht="12" hidden="1" customHeight="1">
      <c r="A9" s="945" t="s">
        <v>472</v>
      </c>
      <c r="B9" s="948"/>
      <c r="E9" s="948"/>
      <c r="Q9" s="966"/>
      <c r="R9" s="966"/>
      <c r="AB9" s="947"/>
      <c r="AF9" s="946" cm="1">
        <f t="array" ref="AF9">first_year</f>
        <v>2021</v>
      </c>
      <c r="AG9" s="946">
        <f>first_year+1</f>
        <v>2022</v>
      </c>
      <c r="AH9" s="946">
        <f>first_year+2</f>
        <v>2023</v>
      </c>
      <c r="AI9" s="946">
        <f>first_year+3</f>
        <v>2024</v>
      </c>
      <c r="AJ9" s="946">
        <f>first_year+4</f>
        <v>2025</v>
      </c>
      <c r="AK9" s="946">
        <f>first_year+5</f>
        <v>2026</v>
      </c>
      <c r="AL9" s="946">
        <f>first_year+6</f>
        <v>2027</v>
      </c>
      <c r="AM9" s="946">
        <f>first_year+7</f>
        <v>2028</v>
      </c>
      <c r="AN9" s="946">
        <f>first_year+8</f>
        <v>2029</v>
      </c>
      <c r="AO9" s="946">
        <f>first_year+9</f>
        <v>2030</v>
      </c>
      <c r="AP9" s="946" cm="1">
        <f t="array" ref="AP9">first_year</f>
        <v>2021</v>
      </c>
      <c r="AQ9" s="946">
        <f>first_year+1</f>
        <v>2022</v>
      </c>
      <c r="AR9" s="946">
        <f>first_year+2</f>
        <v>2023</v>
      </c>
      <c r="AS9" s="946">
        <f>first_year+3</f>
        <v>2024</v>
      </c>
      <c r="AT9" s="946">
        <f>first_year+4</f>
        <v>2025</v>
      </c>
      <c r="AU9" s="946">
        <f>first_year+5</f>
        <v>2026</v>
      </c>
      <c r="AV9" s="946">
        <f>first_year+6</f>
        <v>2027</v>
      </c>
      <c r="AW9" s="946">
        <f>first_year+7</f>
        <v>2028</v>
      </c>
      <c r="AX9" s="946">
        <f>first_year+8</f>
        <v>2029</v>
      </c>
      <c r="AY9" s="946">
        <f>first_year+9</f>
        <v>2030</v>
      </c>
      <c r="BB9" s="945"/>
    </row>
    <row r="10" spans="1:54" s="946" customFormat="1" ht="12" hidden="1" customHeight="1">
      <c r="A10" s="945" t="s">
        <v>473</v>
      </c>
      <c r="B10" s="948"/>
      <c r="E10" s="948"/>
      <c r="Q10" s="966"/>
      <c r="R10" s="966"/>
      <c r="AB10" s="947"/>
      <c r="AF10" s="946" t="str" cm="1">
        <f t="array" ref="AF10">AF25</f>
        <v>Предложение организации</v>
      </c>
      <c r="AG10" s="946" t="str" cm="1">
        <f t="array" ref="AG10">AG25</f>
        <v>Предложение организации</v>
      </c>
      <c r="AH10" s="946" t="str" cm="1">
        <f t="array" ref="AH10">AH25</f>
        <v>Предложение организации</v>
      </c>
      <c r="AI10" s="946" t="str" cm="1">
        <f t="array" ref="AI10">AI25</f>
        <v>Предложение организации</v>
      </c>
      <c r="AJ10" s="946" t="str" cm="1">
        <f t="array" ref="AJ10">AJ25</f>
        <v>Предложение организации</v>
      </c>
      <c r="AK10" s="946" t="str" cm="1">
        <f t="array" ref="AK10">AK25</f>
        <v>Предложение организации</v>
      </c>
      <c r="AL10" s="946" t="str" cm="1">
        <f t="array" ref="AL10">AL25</f>
        <v>Предложение организации</v>
      </c>
      <c r="AM10" s="946" t="str" cm="1">
        <f t="array" ref="AM10">AM25</f>
        <v>Предложение организации</v>
      </c>
      <c r="AN10" s="946" t="str" cm="1">
        <f t="array" ref="AN10">AN25</f>
        <v>Предложение организации</v>
      </c>
      <c r="AO10" s="946" t="str" cm="1">
        <f t="array" ref="AO10">AO25</f>
        <v>Предложение организации</v>
      </c>
      <c r="AP10" s="946" t="str" cm="1">
        <f t="array" ref="AP10">AP25</f>
        <v>Принято органом регулирования</v>
      </c>
      <c r="AQ10" s="946" t="str" cm="1">
        <f t="array" ref="AQ10">AQ25</f>
        <v>Принято органом регулирования</v>
      </c>
      <c r="AR10" s="946" t="str" cm="1">
        <f t="array" ref="AR10">AR25</f>
        <v>Принято органом регулирования</v>
      </c>
      <c r="AS10" s="946" t="str" cm="1">
        <f t="array" ref="AS10">AS25</f>
        <v>Принято органом регулирования</v>
      </c>
      <c r="AT10" s="946" t="str" cm="1">
        <f t="array" ref="AT10">AT25</f>
        <v>Принято органом регулирования</v>
      </c>
      <c r="AU10" s="946" t="str" cm="1">
        <f t="array" ref="AU10">AU25</f>
        <v>Принято органом регулирования</v>
      </c>
      <c r="AV10" s="946" t="str" cm="1">
        <f t="array" ref="AV10">AV25</f>
        <v>Принято органом регулирования</v>
      </c>
      <c r="AW10" s="946" t="str" cm="1">
        <f t="array" ref="AW10">AW25</f>
        <v>Принято органом регулирования</v>
      </c>
      <c r="AX10" s="946" t="str" cm="1">
        <f t="array" ref="AX10">AX25</f>
        <v>Принято органом регулирования</v>
      </c>
      <c r="AY10" s="946" t="str" cm="1">
        <f t="array" ref="AY10">AY25</f>
        <v>Принято органом регулирования</v>
      </c>
      <c r="BB10" s="945"/>
    </row>
    <row r="11" spans="1:54" s="1153" customFormat="1" ht="12" hidden="1" customHeight="1">
      <c r="B11" s="667"/>
      <c r="E11" s="676"/>
      <c r="Q11" s="779"/>
      <c r="R11" s="779"/>
      <c r="AB11" s="129"/>
      <c r="AC11" s="122"/>
      <c r="AD11" s="122"/>
      <c r="BB11" s="945"/>
    </row>
    <row r="12" spans="1:54" s="1153" customFormat="1" ht="12" hidden="1" customHeight="1">
      <c r="B12" s="667"/>
      <c r="E12" s="676"/>
      <c r="Q12" s="779"/>
      <c r="R12" s="779"/>
      <c r="AB12" s="129"/>
      <c r="AC12" s="122"/>
      <c r="AD12" s="122"/>
      <c r="BB12" s="945"/>
    </row>
    <row r="13" spans="1:54" s="1153" customFormat="1" ht="12" hidden="1" customHeight="1">
      <c r="B13" s="667"/>
      <c r="E13" s="676"/>
      <c r="Q13" s="779"/>
      <c r="R13" s="779"/>
      <c r="AB13" s="129"/>
      <c r="AC13" s="122"/>
      <c r="AD13" s="122"/>
      <c r="BB13" s="945"/>
    </row>
    <row r="14" spans="1:54" s="1153" customFormat="1" ht="12" hidden="1" customHeight="1">
      <c r="B14" s="667"/>
      <c r="E14" s="676"/>
      <c r="Q14" s="779"/>
      <c r="R14" s="779"/>
      <c r="AB14" s="129"/>
      <c r="AC14" s="122"/>
      <c r="AD14" s="122"/>
      <c r="BB14" s="945"/>
    </row>
    <row r="15" spans="1:54" s="1153" customFormat="1" ht="12" hidden="1" customHeight="1">
      <c r="B15" s="667"/>
      <c r="E15" s="676"/>
      <c r="Q15" s="779"/>
      <c r="R15" s="779"/>
      <c r="AB15" s="129"/>
      <c r="AC15" s="122"/>
      <c r="AD15" s="122"/>
      <c r="BB15" s="945"/>
    </row>
    <row r="16" spans="1:54" s="1153" customFormat="1" ht="12" hidden="1" customHeight="1">
      <c r="B16" s="667"/>
      <c r="E16" s="676"/>
      <c r="Q16" s="779"/>
      <c r="R16" s="779"/>
      <c r="AB16" s="129"/>
      <c r="AC16" s="122"/>
      <c r="AD16" s="122"/>
      <c r="BB16" s="945"/>
    </row>
    <row r="17" spans="1:54" s="1153" customFormat="1" ht="12" hidden="1" customHeight="1">
      <c r="B17" s="667"/>
      <c r="E17" s="676"/>
      <c r="Q17" s="779"/>
      <c r="R17" s="779"/>
      <c r="AB17" s="129"/>
      <c r="AC17" s="122"/>
      <c r="AD17" s="122"/>
      <c r="BB17" s="945"/>
    </row>
    <row r="18" spans="1:54" s="1153" customFormat="1" ht="12" hidden="1" customHeight="1">
      <c r="B18" s="667"/>
      <c r="E18" s="676"/>
      <c r="Q18" s="779"/>
      <c r="R18" s="779"/>
      <c r="AB18" s="129"/>
      <c r="AC18" s="122"/>
      <c r="AD18" s="122"/>
      <c r="BB18" s="945"/>
    </row>
    <row r="19" spans="1:54" s="1153" customFormat="1" ht="12" hidden="1" customHeight="1">
      <c r="B19" s="667"/>
      <c r="E19" s="676"/>
      <c r="Q19" s="779"/>
      <c r="R19" s="779"/>
      <c r="AB19" s="129"/>
      <c r="AC19" s="122"/>
      <c r="AD19" s="122"/>
      <c r="BB19" s="945"/>
    </row>
    <row r="20" spans="1:54" s="1153" customFormat="1" ht="12" hidden="1" customHeight="1">
      <c r="B20" s="667"/>
      <c r="E20" s="676"/>
      <c r="Q20" s="779"/>
      <c r="R20" s="779"/>
      <c r="AB20" s="129"/>
      <c r="AC20" s="122"/>
      <c r="AD20" s="122"/>
      <c r="BB20" s="945"/>
    </row>
    <row r="21" spans="1:54" ht="14.65" customHeight="1">
      <c r="E21" s="676">
        <v>15</v>
      </c>
      <c r="AA21" s="699"/>
      <c r="AC21" s="343" t="str" cm="1">
        <f t="array" ref="AC21">tpl_title</f>
        <v>Кемеровская область / 2026 / ОАО «СКЭК» (ИНН:4205153492, КПП:420501001) / ДПР: 2021-2030</v>
      </c>
      <c r="AD21" s="343"/>
      <c r="AE21" s="796"/>
    </row>
    <row r="22" spans="1:54" ht="21.95" customHeight="1">
      <c r="E22" s="676">
        <v>22.5</v>
      </c>
      <c r="AB22" s="331" t="s">
        <v>29</v>
      </c>
      <c r="AC22" s="217"/>
      <c r="AD22" s="217"/>
      <c r="AE22" s="217"/>
      <c r="AF22" s="218"/>
      <c r="AG22" s="218"/>
      <c r="AH22" s="218"/>
      <c r="AI22" s="218"/>
      <c r="AJ22" s="218"/>
      <c r="AK22" s="218"/>
      <c r="AL22" s="218"/>
      <c r="AM22" s="218"/>
      <c r="AN22" s="218"/>
      <c r="AO22" s="218"/>
      <c r="AP22" s="218"/>
      <c r="AQ22" s="218"/>
      <c r="AR22" s="218"/>
      <c r="AS22" s="218"/>
      <c r="AT22" s="218"/>
      <c r="AU22" s="218"/>
      <c r="AV22" s="218"/>
      <c r="AW22" s="218"/>
      <c r="AX22" s="218"/>
      <c r="AY22" s="218"/>
    </row>
    <row r="23" spans="1:54" s="171" customFormat="1" ht="11.1" customHeight="1">
      <c r="A23" s="126"/>
      <c r="B23" s="667"/>
      <c r="C23" s="126"/>
      <c r="D23" s="126"/>
      <c r="E23" s="676">
        <v>11.4</v>
      </c>
      <c r="F23" s="126"/>
      <c r="G23" s="126"/>
      <c r="H23" s="126"/>
      <c r="I23" s="126"/>
      <c r="J23" s="126"/>
      <c r="K23" s="126"/>
      <c r="L23" s="126"/>
      <c r="M23" s="126"/>
      <c r="N23" s="126"/>
      <c r="O23" s="126"/>
      <c r="P23" s="126"/>
      <c r="Q23" s="779"/>
      <c r="R23" s="779"/>
      <c r="S23" s="126"/>
      <c r="T23" s="126"/>
      <c r="U23" s="126"/>
      <c r="V23" s="126"/>
      <c r="W23" s="126"/>
      <c r="X23" s="126"/>
      <c r="Y23" s="126"/>
      <c r="Z23" s="126"/>
      <c r="AA23" s="776"/>
      <c r="AB23" s="152"/>
      <c r="AC23" s="153"/>
      <c r="AD23" s="153"/>
      <c r="AE23" s="154"/>
      <c r="BB23" s="995"/>
    </row>
    <row r="24" spans="1:54" ht="14.65" customHeight="1">
      <c r="E24" s="676">
        <v>15</v>
      </c>
      <c r="AB24" s="1730" t="s">
        <v>396</v>
      </c>
      <c r="AC24" s="1730" t="s">
        <v>531</v>
      </c>
      <c r="AD24" s="1731" t="s">
        <v>616</v>
      </c>
      <c r="AE24" s="1730" t="s">
        <v>476</v>
      </c>
      <c r="AF24" s="1145" t="str">
        <f>first_year&amp;" год"</f>
        <v>2021 год</v>
      </c>
      <c r="AG24" s="1145" t="str">
        <f>first_year+1&amp;" год"</f>
        <v>2022 год</v>
      </c>
      <c r="AH24" s="1145" t="str">
        <f>first_year+2&amp;" год"</f>
        <v>2023 год</v>
      </c>
      <c r="AI24" s="1145" t="str">
        <f>first_year+3&amp;" год"</f>
        <v>2024 год</v>
      </c>
      <c r="AJ24" s="1145" t="str">
        <f>first_year+4&amp;" год"</f>
        <v>2025 год</v>
      </c>
      <c r="AK24" s="1141" t="str">
        <f>first_year+5&amp;" год"</f>
        <v>2026 год</v>
      </c>
      <c r="AL24" s="1141" t="str">
        <f>first_year+6&amp;" год"</f>
        <v>2027 год</v>
      </c>
      <c r="AM24" s="1141" t="str">
        <f>first_year+7&amp;" год"</f>
        <v>2028 год</v>
      </c>
      <c r="AN24" s="1141" t="str">
        <f>first_year+8&amp;" год"</f>
        <v>2029 год</v>
      </c>
      <c r="AO24" s="1141" t="str">
        <f>first_year+9&amp;" год"</f>
        <v>2030 год</v>
      </c>
      <c r="AP24" s="121" t="str">
        <f>first_year&amp;" год"</f>
        <v>2021 год</v>
      </c>
      <c r="AQ24" s="121" t="str">
        <f>first_year+1&amp;" год"</f>
        <v>2022 год</v>
      </c>
      <c r="AR24" s="121" t="str">
        <f>first_year+2&amp;" год"</f>
        <v>2023 год</v>
      </c>
      <c r="AS24" s="121" t="str">
        <f>first_year+3&amp;" год"</f>
        <v>2024 год</v>
      </c>
      <c r="AT24" s="121" t="str">
        <f>first_year+4&amp;" год"</f>
        <v>2025 год</v>
      </c>
      <c r="AU24" s="121" t="str">
        <f>first_year+5&amp;" год"</f>
        <v>2026 год</v>
      </c>
      <c r="AV24" s="121" t="str">
        <f>first_year+6&amp;" год"</f>
        <v>2027 год</v>
      </c>
      <c r="AW24" s="121" t="str">
        <f>first_year+7&amp;" год"</f>
        <v>2028 год</v>
      </c>
      <c r="AX24" s="121" t="str">
        <f>first_year+8&amp;" год"</f>
        <v>2029 год</v>
      </c>
      <c r="AY24" s="125" t="str">
        <f>first_year+9&amp;" год"</f>
        <v>2030 год</v>
      </c>
    </row>
    <row r="25" spans="1:54" ht="67.349999999999994" customHeight="1">
      <c r="E25" s="676">
        <v>69</v>
      </c>
      <c r="AB25" s="1731"/>
      <c r="AC25" s="1730"/>
      <c r="AD25" s="1735"/>
      <c r="AE25" s="1730"/>
      <c r="AF25" s="1142" t="s">
        <v>413</v>
      </c>
      <c r="AG25" s="1142" t="s">
        <v>413</v>
      </c>
      <c r="AH25" s="1142" t="s">
        <v>413</v>
      </c>
      <c r="AI25" s="1142" t="s">
        <v>413</v>
      </c>
      <c r="AJ25" s="1142" t="s">
        <v>413</v>
      </c>
      <c r="AK25" s="1142" t="s">
        <v>413</v>
      </c>
      <c r="AL25" s="1142" t="s">
        <v>413</v>
      </c>
      <c r="AM25" s="1142" t="s">
        <v>413</v>
      </c>
      <c r="AN25" s="1142" t="s">
        <v>413</v>
      </c>
      <c r="AO25" s="1142" t="s">
        <v>413</v>
      </c>
      <c r="AP25" s="351" t="s">
        <v>412</v>
      </c>
      <c r="AQ25" s="351" t="s">
        <v>412</v>
      </c>
      <c r="AR25" s="351" t="s">
        <v>412</v>
      </c>
      <c r="AS25" s="351" t="s">
        <v>412</v>
      </c>
      <c r="AT25" s="351" t="s">
        <v>412</v>
      </c>
      <c r="AU25" s="351" t="s">
        <v>412</v>
      </c>
      <c r="AV25" s="351" t="s">
        <v>412</v>
      </c>
      <c r="AW25" s="351" t="s">
        <v>412</v>
      </c>
      <c r="AX25" s="351" t="s">
        <v>412</v>
      </c>
      <c r="AY25" s="120" t="s">
        <v>412</v>
      </c>
    </row>
    <row r="26" spans="1:54" ht="23.45" customHeight="1">
      <c r="E26" s="676">
        <v>24</v>
      </c>
      <c r="AB26" s="108"/>
      <c r="AC26" s="712" t="s">
        <v>532</v>
      </c>
      <c r="AD26" s="712"/>
      <c r="AE26" s="159" t="s">
        <v>533</v>
      </c>
      <c r="AF26" s="722"/>
      <c r="AG26" s="722"/>
      <c r="AH26" s="722"/>
      <c r="AI26" s="722"/>
      <c r="AJ26" s="722"/>
      <c r="AK26" s="722"/>
      <c r="AL26" s="722"/>
      <c r="AM26" s="722"/>
      <c r="AN26" s="722"/>
      <c r="AO26" s="722"/>
      <c r="AP26" s="722"/>
      <c r="AQ26" s="722"/>
      <c r="AR26" s="722"/>
      <c r="AS26" s="722"/>
      <c r="AT26" s="722"/>
      <c r="AU26" s="722"/>
      <c r="AV26" s="722"/>
      <c r="AW26" s="722"/>
      <c r="AX26" s="722"/>
      <c r="AY26" s="930"/>
    </row>
    <row r="27" spans="1:54" ht="23.25" hidden="1" customHeight="1">
      <c r="E27" s="676">
        <v>0</v>
      </c>
      <c r="AB27" s="318"/>
      <c r="AC27" s="318"/>
      <c r="AD27" s="318"/>
      <c r="AE27" s="318"/>
      <c r="AF27" s="122"/>
      <c r="AG27" s="122"/>
      <c r="AH27" s="122"/>
      <c r="AI27" s="122"/>
      <c r="AJ27" s="122"/>
      <c r="AK27" s="122"/>
      <c r="AL27" s="122"/>
      <c r="AM27" s="122"/>
      <c r="AN27" s="122"/>
      <c r="AO27" s="122"/>
      <c r="AP27" s="122"/>
      <c r="AQ27" s="122"/>
      <c r="AR27" s="122"/>
      <c r="AS27" s="122"/>
      <c r="AT27" s="122"/>
      <c r="AU27" s="122"/>
      <c r="AV27" s="122"/>
      <c r="AW27" s="122"/>
      <c r="AX27" s="122"/>
      <c r="AY27" s="122"/>
    </row>
    <row r="28" spans="1:54" s="165" customFormat="1" ht="11.1" hidden="1" customHeight="1">
      <c r="E28" s="682">
        <v>11.4</v>
      </c>
      <c r="F28" s="779" cm="1">
        <f t="array" ref="F28">Y28</f>
        <v>0</v>
      </c>
      <c r="U28" s="780" t="b">
        <f t="shared" ref="U28:U48" si="2">F28&gt;0</f>
        <v>0</v>
      </c>
      <c r="W28" s="122" t="s">
        <v>315</v>
      </c>
      <c r="Y28" s="1721">
        <v>0</v>
      </c>
      <c r="Z28" s="1733"/>
      <c r="AB28" s="213" t="str" cm="1">
        <f t="array" ref="AB28">INDEX('Общие сведения'!$AG$187:$AG$236,MATCH($F28,'Общие сведения'!$Z$187:$Z$236,0))</f>
        <v xml:space="preserve">Тариф 0 (Теплоснабжение) - </v>
      </c>
      <c r="AC28" s="210"/>
      <c r="AD28" s="210"/>
      <c r="AE28" s="204"/>
      <c r="AF28" s="204"/>
      <c r="AG28" s="204"/>
      <c r="AH28" s="204"/>
      <c r="AI28" s="204"/>
      <c r="AJ28" s="204"/>
      <c r="AK28" s="204"/>
      <c r="AL28" s="204"/>
      <c r="AM28" s="204"/>
      <c r="AN28" s="204"/>
      <c r="AO28" s="204"/>
      <c r="AP28" s="204"/>
      <c r="AQ28" s="204"/>
      <c r="AR28" s="204"/>
      <c r="AS28" s="204"/>
      <c r="AT28" s="204"/>
      <c r="AU28" s="204"/>
      <c r="AV28" s="204"/>
      <c r="AW28" s="204"/>
      <c r="AX28" s="204"/>
      <c r="AY28" s="204"/>
      <c r="BB28" s="945"/>
    </row>
    <row r="29" spans="1:54" ht="11.1" hidden="1" customHeight="1">
      <c r="E29" s="676">
        <v>11.4</v>
      </c>
      <c r="F29" s="779" cm="1">
        <f t="array" aca="1" ref="F29" ca="1">OFFSET(G29,-1,-1)</f>
        <v>0</v>
      </c>
      <c r="U29" s="780" t="b">
        <f t="shared" ca="1" si="2"/>
        <v>0</v>
      </c>
      <c r="Y29" s="1726"/>
      <c r="Z29" s="1726"/>
      <c r="AB29" s="291"/>
      <c r="AC29" s="292" t="s">
        <v>534</v>
      </c>
      <c r="AD29" s="292"/>
      <c r="AE29" s="293"/>
      <c r="AF29" s="320"/>
      <c r="AG29" s="320"/>
      <c r="AH29" s="320"/>
      <c r="AI29" s="320"/>
      <c r="AJ29" s="320"/>
      <c r="AK29" s="320"/>
      <c r="AL29" s="320"/>
      <c r="AM29" s="320"/>
      <c r="AN29" s="320"/>
      <c r="AO29" s="320"/>
      <c r="AP29" s="320"/>
      <c r="AQ29" s="320"/>
      <c r="AR29" s="320"/>
      <c r="AS29" s="320"/>
      <c r="AT29" s="320"/>
      <c r="AU29" s="320"/>
      <c r="AV29" s="320"/>
      <c r="AW29" s="320"/>
      <c r="AX29" s="320"/>
      <c r="AY29" s="320"/>
    </row>
    <row r="30" spans="1:54" ht="16.7" hidden="1" customHeight="1">
      <c r="E30" s="676">
        <v>17.100000000000001</v>
      </c>
      <c r="F30" s="779" cm="1">
        <f t="array" aca="1" ref="F30" ca="1">OFFSET(G30,-1,-1)</f>
        <v>0</v>
      </c>
      <c r="H30" s="126" t="s">
        <v>536</v>
      </c>
      <c r="U30" s="780" t="b">
        <f t="shared" ca="1" si="2"/>
        <v>0</v>
      </c>
      <c r="Y30" s="1726"/>
      <c r="Z30" s="1726"/>
      <c r="AB30" s="105">
        <v>1</v>
      </c>
      <c r="AC30" s="1734" t="s">
        <v>617</v>
      </c>
      <c r="AD30" s="124" t="s">
        <v>618</v>
      </c>
      <c r="AE30" s="159" t="s">
        <v>533</v>
      </c>
      <c r="AF30" s="27"/>
      <c r="AG30" s="722"/>
      <c r="AH30" s="722"/>
      <c r="AI30" s="722"/>
      <c r="AJ30" s="722"/>
      <c r="AK30" s="722"/>
      <c r="AL30" s="722"/>
      <c r="AM30" s="722"/>
      <c r="AN30" s="722"/>
      <c r="AO30" s="722"/>
      <c r="AP30" s="722"/>
      <c r="AQ30" s="722"/>
      <c r="AR30" s="722"/>
      <c r="AS30" s="722"/>
      <c r="AT30" s="722"/>
      <c r="AU30" s="722"/>
      <c r="AV30" s="722"/>
      <c r="AW30" s="722"/>
      <c r="AX30" s="722"/>
      <c r="AY30" s="722"/>
      <c r="BB30" s="995" t="s">
        <v>619</v>
      </c>
    </row>
    <row r="31" spans="1:54" ht="16.7" hidden="1" customHeight="1">
      <c r="E31" s="676">
        <v>17.100000000000001</v>
      </c>
      <c r="F31" s="779" cm="1">
        <f t="array" aca="1" ref="F31" ca="1">OFFSET(G31,-1,-1)</f>
        <v>0</v>
      </c>
      <c r="H31" s="126" t="s">
        <v>549</v>
      </c>
      <c r="U31" s="780" t="b">
        <f t="shared" ca="1" si="2"/>
        <v>0</v>
      </c>
      <c r="Y31" s="1726"/>
      <c r="Z31" s="1726"/>
      <c r="AB31" s="105">
        <v>2</v>
      </c>
      <c r="AC31" s="1734"/>
      <c r="AD31" s="124" t="s">
        <v>620</v>
      </c>
      <c r="AE31" s="159" t="s">
        <v>533</v>
      </c>
      <c r="AF31" s="931"/>
      <c r="AG31" s="722" cm="1">
        <f t="array" ref="AG31">AG30</f>
        <v>0</v>
      </c>
      <c r="AH31" s="932">
        <f t="shared" ref="AH31:AO31" si="3">(1+AG31)*(1+AH30)-1</f>
        <v>0</v>
      </c>
      <c r="AI31" s="932">
        <f t="shared" si="3"/>
        <v>0</v>
      </c>
      <c r="AJ31" s="932">
        <f t="shared" si="3"/>
        <v>0</v>
      </c>
      <c r="AK31" s="932">
        <f t="shared" si="3"/>
        <v>0</v>
      </c>
      <c r="AL31" s="932">
        <f t="shared" si="3"/>
        <v>0</v>
      </c>
      <c r="AM31" s="932">
        <f t="shared" si="3"/>
        <v>0</v>
      </c>
      <c r="AN31" s="932">
        <f t="shared" si="3"/>
        <v>0</v>
      </c>
      <c r="AO31" s="932">
        <f t="shared" si="3"/>
        <v>0</v>
      </c>
      <c r="AP31" s="931"/>
      <c r="AQ31" s="722" cm="1">
        <f t="array" ref="AQ31">AQ30</f>
        <v>0</v>
      </c>
      <c r="AR31" s="932">
        <f t="shared" ref="AR31:AY31" si="4">(1+AQ31)*(1+AR30)-1</f>
        <v>0</v>
      </c>
      <c r="AS31" s="932">
        <f t="shared" si="4"/>
        <v>0</v>
      </c>
      <c r="AT31" s="932">
        <f t="shared" si="4"/>
        <v>0</v>
      </c>
      <c r="AU31" s="932">
        <f t="shared" si="4"/>
        <v>0</v>
      </c>
      <c r="AV31" s="932">
        <f t="shared" si="4"/>
        <v>0</v>
      </c>
      <c r="AW31" s="932">
        <f t="shared" si="4"/>
        <v>0</v>
      </c>
      <c r="AX31" s="932">
        <f t="shared" si="4"/>
        <v>0</v>
      </c>
      <c r="AY31" s="932">
        <f t="shared" si="4"/>
        <v>0</v>
      </c>
      <c r="BB31" s="995" t="s">
        <v>621</v>
      </c>
    </row>
    <row r="32" spans="1:54" ht="16.7" hidden="1" customHeight="1">
      <c r="E32" s="676">
        <v>17.100000000000001</v>
      </c>
      <c r="F32" s="779" cm="1">
        <f t="array" aca="1" ref="F32" ca="1">OFFSET(G32,-1,-1)</f>
        <v>0</v>
      </c>
      <c r="H32" s="126" t="s">
        <v>552</v>
      </c>
      <c r="U32" s="780" t="b">
        <f t="shared" ca="1" si="2"/>
        <v>0</v>
      </c>
      <c r="Y32" s="1726"/>
      <c r="Z32" s="1726"/>
      <c r="AB32" s="105">
        <v>3</v>
      </c>
      <c r="AC32" s="1734" t="s">
        <v>622</v>
      </c>
      <c r="AD32" s="124" t="s">
        <v>618</v>
      </c>
      <c r="AE32" s="159" t="s">
        <v>533</v>
      </c>
      <c r="AF32" s="27"/>
      <c r="AG32" s="722"/>
      <c r="AH32" s="722"/>
      <c r="AI32" s="722"/>
      <c r="AJ32" s="722"/>
      <c r="AK32" s="722"/>
      <c r="AL32" s="722"/>
      <c r="AM32" s="722"/>
      <c r="AN32" s="722"/>
      <c r="AO32" s="722"/>
      <c r="AP32" s="722"/>
      <c r="AQ32" s="722"/>
      <c r="AR32" s="722"/>
      <c r="AS32" s="722"/>
      <c r="AT32" s="722"/>
      <c r="AU32" s="722"/>
      <c r="AV32" s="722"/>
      <c r="AW32" s="722"/>
      <c r="AX32" s="722"/>
      <c r="AY32" s="722"/>
      <c r="BB32" s="995" t="s">
        <v>623</v>
      </c>
    </row>
    <row r="33" spans="1:54" ht="16.7" hidden="1" customHeight="1">
      <c r="E33" s="676">
        <v>17.100000000000001</v>
      </c>
      <c r="F33" s="779" cm="1">
        <f t="array" aca="1" ref="F33" ca="1">OFFSET(G33,-1,-1)</f>
        <v>0</v>
      </c>
      <c r="H33" s="126" t="s">
        <v>555</v>
      </c>
      <c r="U33" s="780" t="b">
        <f t="shared" ca="1" si="2"/>
        <v>0</v>
      </c>
      <c r="Y33" s="1726"/>
      <c r="Z33" s="1726"/>
      <c r="AB33" s="105">
        <v>4</v>
      </c>
      <c r="AC33" s="1734"/>
      <c r="AD33" s="124" t="s">
        <v>620</v>
      </c>
      <c r="AE33" s="159" t="s">
        <v>533</v>
      </c>
      <c r="AF33" s="931"/>
      <c r="AG33" s="722" cm="1">
        <f t="array" ref="AG33">AG32</f>
        <v>0</v>
      </c>
      <c r="AH33" s="932">
        <f t="shared" ref="AH33:AO33" si="5">(1+AG33)*(1+AH32)-1</f>
        <v>0</v>
      </c>
      <c r="AI33" s="932">
        <f t="shared" si="5"/>
        <v>0</v>
      </c>
      <c r="AJ33" s="932">
        <f t="shared" si="5"/>
        <v>0</v>
      </c>
      <c r="AK33" s="932">
        <f t="shared" si="5"/>
        <v>0</v>
      </c>
      <c r="AL33" s="932">
        <f t="shared" si="5"/>
        <v>0</v>
      </c>
      <c r="AM33" s="932">
        <f t="shared" si="5"/>
        <v>0</v>
      </c>
      <c r="AN33" s="932">
        <f t="shared" si="5"/>
        <v>0</v>
      </c>
      <c r="AO33" s="932">
        <f t="shared" si="5"/>
        <v>0</v>
      </c>
      <c r="AP33" s="931"/>
      <c r="AQ33" s="722" cm="1">
        <f t="array" ref="AQ33">AQ32</f>
        <v>0</v>
      </c>
      <c r="AR33" s="932">
        <f t="shared" ref="AR33:AY33" si="6">(1+AQ33)*(1+AR32)-1</f>
        <v>0</v>
      </c>
      <c r="AS33" s="932">
        <f t="shared" si="6"/>
        <v>0</v>
      </c>
      <c r="AT33" s="932">
        <f t="shared" si="6"/>
        <v>0</v>
      </c>
      <c r="AU33" s="932">
        <f t="shared" si="6"/>
        <v>0</v>
      </c>
      <c r="AV33" s="932">
        <f t="shared" si="6"/>
        <v>0</v>
      </c>
      <c r="AW33" s="932">
        <f t="shared" si="6"/>
        <v>0</v>
      </c>
      <c r="AX33" s="932">
        <f t="shared" si="6"/>
        <v>0</v>
      </c>
      <c r="AY33" s="932">
        <f t="shared" si="6"/>
        <v>0</v>
      </c>
      <c r="BB33" s="995" t="s">
        <v>624</v>
      </c>
    </row>
    <row r="34" spans="1:54" ht="16.7" hidden="1" customHeight="1">
      <c r="E34" s="676">
        <v>17.100000000000001</v>
      </c>
      <c r="F34" s="779" cm="1">
        <f t="array" aca="1" ref="F34" ca="1">OFFSET(G34,-1,-1)</f>
        <v>0</v>
      </c>
      <c r="H34" s="126" t="s">
        <v>558</v>
      </c>
      <c r="U34" s="780" t="b">
        <f t="shared" ca="1" si="2"/>
        <v>0</v>
      </c>
      <c r="Y34" s="1726"/>
      <c r="Z34" s="1726"/>
      <c r="AB34" s="105">
        <v>5</v>
      </c>
      <c r="AC34" s="1734" t="s">
        <v>625</v>
      </c>
      <c r="AD34" s="1734"/>
      <c r="AE34" s="159" t="s">
        <v>533</v>
      </c>
      <c r="AF34" s="27"/>
      <c r="AG34" s="722"/>
      <c r="AH34" s="722"/>
      <c r="AI34" s="722"/>
      <c r="AJ34" s="722"/>
      <c r="AK34" s="722"/>
      <c r="AL34" s="722"/>
      <c r="AM34" s="722"/>
      <c r="AN34" s="722"/>
      <c r="AO34" s="722"/>
      <c r="AP34" s="722"/>
      <c r="AQ34" s="722"/>
      <c r="AR34" s="722"/>
      <c r="AS34" s="722"/>
      <c r="AT34" s="722"/>
      <c r="AU34" s="722"/>
      <c r="AV34" s="722"/>
      <c r="AW34" s="722"/>
      <c r="AX34" s="722"/>
      <c r="AY34" s="722"/>
      <c r="BB34" s="995" t="s">
        <v>626</v>
      </c>
    </row>
    <row r="35" spans="1:54" s="815" customFormat="1" ht="10.5" customHeight="1">
      <c r="A35" s="165"/>
      <c r="B35" s="165"/>
      <c r="C35" s="165"/>
      <c r="D35" s="165"/>
      <c r="E35" s="682">
        <v>11.4</v>
      </c>
      <c r="F35" s="779" t="str" cm="1">
        <f t="array" ref="F35">Y35</f>
        <v>1</v>
      </c>
      <c r="G35" s="165"/>
      <c r="H35" s="165"/>
      <c r="I35" s="165"/>
      <c r="J35" s="165"/>
      <c r="K35" s="165"/>
      <c r="L35" s="165"/>
      <c r="M35" s="165"/>
      <c r="N35" s="165"/>
      <c r="O35" s="165"/>
      <c r="P35" s="165"/>
      <c r="Q35" s="165"/>
      <c r="R35" s="165"/>
      <c r="S35" s="165"/>
      <c r="T35" s="165"/>
      <c r="U35" s="780" t="b">
        <f t="shared" si="2"/>
        <v>1</v>
      </c>
      <c r="V35" s="165"/>
      <c r="W35" s="122" t="str" cm="1">
        <f t="array" ref="W35">Сценарии!$AB$55</f>
        <v>Тариф 1 (Теплоснабжение) - Тариф на тепловую энергию (мощность), поставляемую потребителям (Не определено)</v>
      </c>
      <c r="X35" s="165"/>
      <c r="Y35" s="1721" t="s">
        <v>341</v>
      </c>
      <c r="Z35" s="1733"/>
      <c r="AA35" s="165"/>
      <c r="AB35" s="213" t="str" cm="1">
        <f t="array" ref="AB35">IF(ISBLANK(Сценарии!$AB$55),"",Сценарии!$AB$55)</f>
        <v>Тариф 1 (Теплоснабжение) - Тариф на тепловую энергию (мощность), поставляемую потребителям (Не определено)</v>
      </c>
      <c r="AC35" s="210"/>
      <c r="AD35" s="210"/>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165"/>
      <c r="BA35" s="165"/>
      <c r="BB35" s="945"/>
    </row>
    <row r="36" spans="1:54" s="1229" customFormat="1" ht="10.5" customHeight="1">
      <c r="A36" s="1153"/>
      <c r="B36" s="783"/>
      <c r="C36" s="1153"/>
      <c r="D36" s="1153"/>
      <c r="E36" s="676">
        <v>11.4</v>
      </c>
      <c r="F36" s="779" t="str" cm="1">
        <f t="array" aca="1" ref="F36" ca="1">OFFSET(G36,-1,-1)</f>
        <v>1</v>
      </c>
      <c r="G36" s="1153"/>
      <c r="H36" s="1153"/>
      <c r="I36" s="1153"/>
      <c r="J36" s="1153"/>
      <c r="K36" s="1153"/>
      <c r="L36" s="1153"/>
      <c r="M36" s="1153"/>
      <c r="N36" s="1153"/>
      <c r="O36" s="1153"/>
      <c r="P36" s="1153"/>
      <c r="Q36" s="779"/>
      <c r="R36" s="779"/>
      <c r="S36" s="1153"/>
      <c r="T36" s="1153"/>
      <c r="U36" s="780" t="b">
        <f t="shared" ca="1" si="2"/>
        <v>1</v>
      </c>
      <c r="V36" s="1153"/>
      <c r="W36" s="1153"/>
      <c r="X36" s="1153"/>
      <c r="Y36" s="1726"/>
      <c r="Z36" s="1726"/>
      <c r="AA36" s="170"/>
      <c r="AB36" s="291"/>
      <c r="AC36" s="292" t="s">
        <v>534</v>
      </c>
      <c r="AD36" s="292"/>
      <c r="AE36" s="293"/>
      <c r="AF36" s="320"/>
      <c r="AG36" s="320"/>
      <c r="AH36" s="320"/>
      <c r="AI36" s="320"/>
      <c r="AJ36" s="320"/>
      <c r="AK36" s="320"/>
      <c r="AL36" s="320"/>
      <c r="AM36" s="320"/>
      <c r="AN36" s="320"/>
      <c r="AO36" s="320"/>
      <c r="AP36" s="320"/>
      <c r="AQ36" s="320"/>
      <c r="AR36" s="320"/>
      <c r="AS36" s="320"/>
      <c r="AT36" s="320"/>
      <c r="AU36" s="320"/>
      <c r="AV36" s="320"/>
      <c r="AW36" s="320"/>
      <c r="AX36" s="320"/>
      <c r="AY36" s="320"/>
      <c r="AZ36" s="170"/>
      <c r="BA36" s="170"/>
      <c r="BB36" s="995"/>
    </row>
    <row r="37" spans="1:54" s="1229" customFormat="1" ht="16.5" customHeight="1">
      <c r="A37" s="1153"/>
      <c r="B37" s="783"/>
      <c r="C37" s="1153"/>
      <c r="D37" s="1153"/>
      <c r="E37" s="676">
        <v>17.100000000000001</v>
      </c>
      <c r="F37" s="779" t="str" cm="1">
        <f t="array" aca="1" ref="F37" ca="1">OFFSET(G37,-1,-1)</f>
        <v>1</v>
      </c>
      <c r="G37" s="1153"/>
      <c r="H37" s="126" t="s">
        <v>536</v>
      </c>
      <c r="I37" s="1153"/>
      <c r="J37" s="1153"/>
      <c r="K37" s="1153"/>
      <c r="L37" s="1153"/>
      <c r="M37" s="1153"/>
      <c r="N37" s="1153"/>
      <c r="O37" s="1153"/>
      <c r="P37" s="1153"/>
      <c r="Q37" s="779"/>
      <c r="R37" s="779"/>
      <c r="S37" s="1153"/>
      <c r="T37" s="1153"/>
      <c r="U37" s="780" t="b">
        <f t="shared" ca="1" si="2"/>
        <v>1</v>
      </c>
      <c r="V37" s="1153"/>
      <c r="W37" s="1153"/>
      <c r="X37" s="1153"/>
      <c r="Y37" s="1726"/>
      <c r="Z37" s="1726"/>
      <c r="AA37" s="170"/>
      <c r="AB37" s="105">
        <v>1</v>
      </c>
      <c r="AC37" s="1734" t="s">
        <v>627</v>
      </c>
      <c r="AD37" s="124" t="s">
        <v>618</v>
      </c>
      <c r="AE37" s="159" t="s">
        <v>533</v>
      </c>
      <c r="AF37" s="1289"/>
      <c r="AG37" s="722"/>
      <c r="AH37" s="722"/>
      <c r="AI37" s="722"/>
      <c r="AJ37" s="722"/>
      <c r="AK37" s="722"/>
      <c r="AL37" s="722"/>
      <c r="AM37" s="722"/>
      <c r="AN37" s="722"/>
      <c r="AO37" s="722"/>
      <c r="AP37" s="722"/>
      <c r="AQ37" s="722"/>
      <c r="AR37" s="722"/>
      <c r="AS37" s="722"/>
      <c r="AT37" s="722"/>
      <c r="AU37" s="722"/>
      <c r="AV37" s="722"/>
      <c r="AW37" s="722"/>
      <c r="AX37" s="722"/>
      <c r="AY37" s="722"/>
      <c r="AZ37" s="170"/>
      <c r="BA37" s="170"/>
      <c r="BB37" s="995" t="s">
        <v>619</v>
      </c>
    </row>
    <row r="38" spans="1:54" s="1229" customFormat="1" ht="16.5" customHeight="1">
      <c r="A38" s="1153"/>
      <c r="B38" s="783"/>
      <c r="C38" s="1153"/>
      <c r="D38" s="1153"/>
      <c r="E38" s="676">
        <v>17.100000000000001</v>
      </c>
      <c r="F38" s="779" t="str" cm="1">
        <f t="array" aca="1" ref="F38" ca="1">OFFSET(G38,-1,-1)</f>
        <v>1</v>
      </c>
      <c r="G38" s="1153"/>
      <c r="H38" s="126" t="s">
        <v>549</v>
      </c>
      <c r="I38" s="1153"/>
      <c r="J38" s="1153"/>
      <c r="K38" s="1153"/>
      <c r="L38" s="1153"/>
      <c r="M38" s="1153"/>
      <c r="N38" s="1153"/>
      <c r="O38" s="1153"/>
      <c r="P38" s="1153"/>
      <c r="Q38" s="779"/>
      <c r="R38" s="779"/>
      <c r="S38" s="1153"/>
      <c r="T38" s="1153"/>
      <c r="U38" s="780" t="b">
        <f t="shared" ca="1" si="2"/>
        <v>1</v>
      </c>
      <c r="V38" s="1153"/>
      <c r="W38" s="1153"/>
      <c r="X38" s="1153"/>
      <c r="Y38" s="1726"/>
      <c r="Z38" s="1726"/>
      <c r="AA38" s="170"/>
      <c r="AB38" s="105">
        <v>2</v>
      </c>
      <c r="AC38" s="1734"/>
      <c r="AD38" s="124" t="s">
        <v>620</v>
      </c>
      <c r="AE38" s="159" t="s">
        <v>533</v>
      </c>
      <c r="AF38" s="931"/>
      <c r="AG38" s="722" cm="1">
        <f t="array" ref="AG38">AG37</f>
        <v>0</v>
      </c>
      <c r="AH38" s="932">
        <f t="shared" ref="AH38:AO38" si="7">(1+AG38)*(1+AH37)-1</f>
        <v>0</v>
      </c>
      <c r="AI38" s="932">
        <f t="shared" si="7"/>
        <v>0</v>
      </c>
      <c r="AJ38" s="932">
        <f t="shared" si="7"/>
        <v>0</v>
      </c>
      <c r="AK38" s="932">
        <f t="shared" si="7"/>
        <v>0</v>
      </c>
      <c r="AL38" s="932">
        <f t="shared" si="7"/>
        <v>0</v>
      </c>
      <c r="AM38" s="932">
        <f t="shared" si="7"/>
        <v>0</v>
      </c>
      <c r="AN38" s="932">
        <f t="shared" si="7"/>
        <v>0</v>
      </c>
      <c r="AO38" s="932">
        <f t="shared" si="7"/>
        <v>0</v>
      </c>
      <c r="AP38" s="931"/>
      <c r="AQ38" s="722" cm="1">
        <f t="array" ref="AQ38">AQ37</f>
        <v>0</v>
      </c>
      <c r="AR38" s="932">
        <f t="shared" ref="AR38:AY38" si="8">(1+AQ38)*(1+AR37)-1</f>
        <v>0</v>
      </c>
      <c r="AS38" s="932">
        <f t="shared" si="8"/>
        <v>0</v>
      </c>
      <c r="AT38" s="932">
        <f t="shared" si="8"/>
        <v>0</v>
      </c>
      <c r="AU38" s="932">
        <f t="shared" si="8"/>
        <v>0</v>
      </c>
      <c r="AV38" s="932">
        <f t="shared" si="8"/>
        <v>0</v>
      </c>
      <c r="AW38" s="932">
        <f t="shared" si="8"/>
        <v>0</v>
      </c>
      <c r="AX38" s="932">
        <f t="shared" si="8"/>
        <v>0</v>
      </c>
      <c r="AY38" s="932">
        <f t="shared" si="8"/>
        <v>0</v>
      </c>
      <c r="AZ38" s="170"/>
      <c r="BA38" s="170"/>
      <c r="BB38" s="995" t="s">
        <v>621</v>
      </c>
    </row>
    <row r="39" spans="1:54" s="1229" customFormat="1" ht="16.5" customHeight="1">
      <c r="A39" s="1153"/>
      <c r="B39" s="783"/>
      <c r="C39" s="1153"/>
      <c r="D39" s="1153"/>
      <c r="E39" s="676">
        <v>17.100000000000001</v>
      </c>
      <c r="F39" s="779" t="str" cm="1">
        <f t="array" aca="1" ref="F39" ca="1">OFFSET(G39,-1,-1)</f>
        <v>1</v>
      </c>
      <c r="G39" s="1153"/>
      <c r="H39" s="126" t="s">
        <v>552</v>
      </c>
      <c r="I39" s="1153"/>
      <c r="J39" s="1153"/>
      <c r="K39" s="1153"/>
      <c r="L39" s="1153"/>
      <c r="M39" s="1153"/>
      <c r="N39" s="1153"/>
      <c r="O39" s="1153"/>
      <c r="P39" s="1153"/>
      <c r="Q39" s="779"/>
      <c r="R39" s="779"/>
      <c r="S39" s="1153"/>
      <c r="T39" s="1153"/>
      <c r="U39" s="780" t="b">
        <f t="shared" ca="1" si="2"/>
        <v>1</v>
      </c>
      <c r="V39" s="1153"/>
      <c r="W39" s="1153"/>
      <c r="X39" s="1153"/>
      <c r="Y39" s="1726"/>
      <c r="Z39" s="1726"/>
      <c r="AA39" s="170"/>
      <c r="AB39" s="105">
        <v>3</v>
      </c>
      <c r="AC39" s="1734" t="s">
        <v>622</v>
      </c>
      <c r="AD39" s="124" t="s">
        <v>618</v>
      </c>
      <c r="AE39" s="159" t="s">
        <v>533</v>
      </c>
      <c r="AF39" s="1289"/>
      <c r="AG39" s="722"/>
      <c r="AH39" s="722"/>
      <c r="AI39" s="722"/>
      <c r="AJ39" s="722"/>
      <c r="AK39" s="722"/>
      <c r="AL39" s="722"/>
      <c r="AM39" s="722"/>
      <c r="AN39" s="722"/>
      <c r="AO39" s="722"/>
      <c r="AP39" s="722"/>
      <c r="AQ39" s="722"/>
      <c r="AR39" s="722"/>
      <c r="AS39" s="722"/>
      <c r="AT39" s="722"/>
      <c r="AU39" s="722"/>
      <c r="AV39" s="722"/>
      <c r="AW39" s="722"/>
      <c r="AX39" s="722"/>
      <c r="AY39" s="722"/>
      <c r="AZ39" s="170"/>
      <c r="BA39" s="170"/>
      <c r="BB39" s="995" t="s">
        <v>623</v>
      </c>
    </row>
    <row r="40" spans="1:54" s="1229" customFormat="1" ht="16.5" customHeight="1">
      <c r="A40" s="1153"/>
      <c r="B40" s="783"/>
      <c r="C40" s="1153"/>
      <c r="D40" s="1153"/>
      <c r="E40" s="676">
        <v>17.100000000000001</v>
      </c>
      <c r="F40" s="779" t="str" cm="1">
        <f t="array" aca="1" ref="F40" ca="1">OFFSET(G40,-1,-1)</f>
        <v>1</v>
      </c>
      <c r="G40" s="1153"/>
      <c r="H40" s="126" t="s">
        <v>555</v>
      </c>
      <c r="I40" s="1153"/>
      <c r="J40" s="1153"/>
      <c r="K40" s="1153"/>
      <c r="L40" s="1153"/>
      <c r="M40" s="1153"/>
      <c r="N40" s="1153"/>
      <c r="O40" s="1153"/>
      <c r="P40" s="1153"/>
      <c r="Q40" s="779"/>
      <c r="R40" s="779"/>
      <c r="S40" s="1153"/>
      <c r="T40" s="1153"/>
      <c r="U40" s="780" t="b">
        <f t="shared" ca="1" si="2"/>
        <v>1</v>
      </c>
      <c r="V40" s="1153"/>
      <c r="W40" s="1153"/>
      <c r="X40" s="1153"/>
      <c r="Y40" s="1726"/>
      <c r="Z40" s="1726"/>
      <c r="AA40" s="170"/>
      <c r="AB40" s="105">
        <v>4</v>
      </c>
      <c r="AC40" s="1734"/>
      <c r="AD40" s="124" t="s">
        <v>620</v>
      </c>
      <c r="AE40" s="159" t="s">
        <v>533</v>
      </c>
      <c r="AF40" s="931"/>
      <c r="AG40" s="722" cm="1">
        <f t="array" ref="AG40">AG39</f>
        <v>0</v>
      </c>
      <c r="AH40" s="932">
        <f t="shared" ref="AH40:AO40" si="9">(1+AG40)*(1+AH39)-1</f>
        <v>0</v>
      </c>
      <c r="AI40" s="932">
        <f t="shared" si="9"/>
        <v>0</v>
      </c>
      <c r="AJ40" s="932">
        <f t="shared" si="9"/>
        <v>0</v>
      </c>
      <c r="AK40" s="932">
        <f t="shared" si="9"/>
        <v>0</v>
      </c>
      <c r="AL40" s="932">
        <f t="shared" si="9"/>
        <v>0</v>
      </c>
      <c r="AM40" s="932">
        <f t="shared" si="9"/>
        <v>0</v>
      </c>
      <c r="AN40" s="932">
        <f t="shared" si="9"/>
        <v>0</v>
      </c>
      <c r="AO40" s="932">
        <f t="shared" si="9"/>
        <v>0</v>
      </c>
      <c r="AP40" s="931"/>
      <c r="AQ40" s="722" cm="1">
        <f t="array" ref="AQ40">AQ39</f>
        <v>0</v>
      </c>
      <c r="AR40" s="932">
        <f t="shared" ref="AR40:AY40" si="10">(1+AQ40)*(1+AR39)-1</f>
        <v>0</v>
      </c>
      <c r="AS40" s="932">
        <f t="shared" si="10"/>
        <v>0</v>
      </c>
      <c r="AT40" s="932">
        <f t="shared" si="10"/>
        <v>0</v>
      </c>
      <c r="AU40" s="932">
        <f t="shared" si="10"/>
        <v>0</v>
      </c>
      <c r="AV40" s="932">
        <f t="shared" si="10"/>
        <v>0</v>
      </c>
      <c r="AW40" s="932">
        <f t="shared" si="10"/>
        <v>0</v>
      </c>
      <c r="AX40" s="932">
        <f t="shared" si="10"/>
        <v>0</v>
      </c>
      <c r="AY40" s="932">
        <f t="shared" si="10"/>
        <v>0</v>
      </c>
      <c r="AZ40" s="170"/>
      <c r="BA40" s="170"/>
      <c r="BB40" s="995" t="s">
        <v>624</v>
      </c>
    </row>
    <row r="41" spans="1:54" s="1229" customFormat="1" ht="16.5" customHeight="1">
      <c r="A41" s="1153"/>
      <c r="B41" s="783"/>
      <c r="C41" s="1153"/>
      <c r="D41" s="1153"/>
      <c r="E41" s="676">
        <v>17.100000000000001</v>
      </c>
      <c r="F41" s="779" t="str" cm="1">
        <f t="array" aca="1" ref="F41" ca="1">OFFSET(G41,-1,-1)</f>
        <v>1</v>
      </c>
      <c r="G41" s="1153"/>
      <c r="H41" s="126" t="s">
        <v>558</v>
      </c>
      <c r="I41" s="1153"/>
      <c r="J41" s="1153"/>
      <c r="K41" s="1153"/>
      <c r="L41" s="1153"/>
      <c r="M41" s="1153"/>
      <c r="N41" s="1153"/>
      <c r="O41" s="1153"/>
      <c r="P41" s="1153"/>
      <c r="Q41" s="779"/>
      <c r="R41" s="779"/>
      <c r="S41" s="1153"/>
      <c r="T41" s="1153"/>
      <c r="U41" s="780" t="b">
        <f t="shared" ca="1" si="2"/>
        <v>1</v>
      </c>
      <c r="V41" s="1153"/>
      <c r="W41" s="1153"/>
      <c r="X41" s="1153"/>
      <c r="Y41" s="1726"/>
      <c r="Z41" s="1726"/>
      <c r="AA41" s="170"/>
      <c r="AB41" s="105">
        <v>5</v>
      </c>
      <c r="AC41" s="1734" t="s">
        <v>625</v>
      </c>
      <c r="AD41" s="1734"/>
      <c r="AE41" s="159" t="s">
        <v>533</v>
      </c>
      <c r="AF41" s="1289"/>
      <c r="AG41" s="722"/>
      <c r="AH41" s="722"/>
      <c r="AI41" s="722"/>
      <c r="AJ41" s="722"/>
      <c r="AK41" s="722"/>
      <c r="AL41" s="722"/>
      <c r="AM41" s="722"/>
      <c r="AN41" s="722"/>
      <c r="AO41" s="722"/>
      <c r="AP41" s="722"/>
      <c r="AQ41" s="722"/>
      <c r="AR41" s="722"/>
      <c r="AS41" s="722"/>
      <c r="AT41" s="722"/>
      <c r="AU41" s="722"/>
      <c r="AV41" s="722"/>
      <c r="AW41" s="722"/>
      <c r="AX41" s="722"/>
      <c r="AY41" s="722"/>
      <c r="AZ41" s="170"/>
      <c r="BA41" s="170"/>
      <c r="BB41" s="995" t="s">
        <v>626</v>
      </c>
    </row>
    <row r="42" spans="1:54" s="815" customFormat="1" ht="10.5" customHeight="1">
      <c r="A42" s="165"/>
      <c r="B42" s="165"/>
      <c r="C42" s="165"/>
      <c r="D42" s="165"/>
      <c r="E42" s="682">
        <v>11.4</v>
      </c>
      <c r="F42" s="779" t="str" cm="1">
        <f t="array" ref="F42">Y42</f>
        <v>2</v>
      </c>
      <c r="G42" s="165"/>
      <c r="H42" s="165"/>
      <c r="I42" s="165"/>
      <c r="J42" s="165"/>
      <c r="K42" s="165"/>
      <c r="L42" s="165"/>
      <c r="M42" s="165"/>
      <c r="N42" s="165"/>
      <c r="O42" s="165"/>
      <c r="P42" s="165"/>
      <c r="Q42" s="165"/>
      <c r="R42" s="165"/>
      <c r="S42" s="165"/>
      <c r="T42" s="165"/>
      <c r="U42" s="780" t="b">
        <f t="shared" si="2"/>
        <v>1</v>
      </c>
      <c r="V42" s="165"/>
      <c r="W42" s="122" t="str" cm="1">
        <f t="array" ref="W42">Сценарии!$AB$82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2" s="165"/>
      <c r="Y42" s="1721" t="s">
        <v>348</v>
      </c>
      <c r="Z42" s="1733"/>
      <c r="AA42" s="165"/>
      <c r="AB42" s="213" t="str" cm="1">
        <f t="array" ref="AB42">IF(ISBLANK(Сценарии!$AB$82),"",Сценарии!$AB$82)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2" s="210"/>
      <c r="AD42" s="210"/>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165"/>
      <c r="BA42" s="165"/>
      <c r="BB42" s="945"/>
    </row>
    <row r="43" spans="1:54" s="1229" customFormat="1" ht="10.5" customHeight="1">
      <c r="A43" s="1153"/>
      <c r="B43" s="783"/>
      <c r="C43" s="1153"/>
      <c r="D43" s="1153"/>
      <c r="E43" s="676">
        <v>11.4</v>
      </c>
      <c r="F43" s="779" t="str" cm="1">
        <f t="array" aca="1" ref="F43" ca="1">OFFSET(G43,-1,-1)</f>
        <v>2</v>
      </c>
      <c r="G43" s="1153"/>
      <c r="H43" s="1153"/>
      <c r="I43" s="1153"/>
      <c r="J43" s="1153"/>
      <c r="K43" s="1153"/>
      <c r="L43" s="1153"/>
      <c r="M43" s="1153"/>
      <c r="N43" s="1153"/>
      <c r="O43" s="1153"/>
      <c r="P43" s="1153"/>
      <c r="Q43" s="779"/>
      <c r="R43" s="779"/>
      <c r="S43" s="1153"/>
      <c r="T43" s="1153"/>
      <c r="U43" s="780" t="b">
        <f t="shared" ca="1" si="2"/>
        <v>1</v>
      </c>
      <c r="V43" s="1153"/>
      <c r="W43" s="1153"/>
      <c r="X43" s="1153"/>
      <c r="Y43" s="1726"/>
      <c r="Z43" s="1726"/>
      <c r="AA43" s="170"/>
      <c r="AB43" s="291"/>
      <c r="AC43" s="292" t="s">
        <v>534</v>
      </c>
      <c r="AD43" s="292"/>
      <c r="AE43" s="293"/>
      <c r="AF43" s="320"/>
      <c r="AG43" s="320"/>
      <c r="AH43" s="320"/>
      <c r="AI43" s="320"/>
      <c r="AJ43" s="320"/>
      <c r="AK43" s="320"/>
      <c r="AL43" s="320"/>
      <c r="AM43" s="320"/>
      <c r="AN43" s="320"/>
      <c r="AO43" s="320"/>
      <c r="AP43" s="320"/>
      <c r="AQ43" s="320"/>
      <c r="AR43" s="320"/>
      <c r="AS43" s="320"/>
      <c r="AT43" s="320"/>
      <c r="AU43" s="320"/>
      <c r="AV43" s="320"/>
      <c r="AW43" s="320"/>
      <c r="AX43" s="320"/>
      <c r="AY43" s="320"/>
      <c r="AZ43" s="170"/>
      <c r="BA43" s="170"/>
      <c r="BB43" s="995"/>
    </row>
    <row r="44" spans="1:54" s="1229" customFormat="1" ht="16.5" customHeight="1">
      <c r="A44" s="1153"/>
      <c r="B44" s="783"/>
      <c r="C44" s="1153"/>
      <c r="D44" s="1153"/>
      <c r="E44" s="676">
        <v>17.100000000000001</v>
      </c>
      <c r="F44" s="779" t="str" cm="1">
        <f t="array" aca="1" ref="F44" ca="1">OFFSET(G44,-1,-1)</f>
        <v>2</v>
      </c>
      <c r="G44" s="1153"/>
      <c r="H44" s="126" t="s">
        <v>536</v>
      </c>
      <c r="I44" s="1153"/>
      <c r="J44" s="1153"/>
      <c r="K44" s="1153"/>
      <c r="L44" s="1153"/>
      <c r="M44" s="1153"/>
      <c r="N44" s="1153"/>
      <c r="O44" s="1153"/>
      <c r="P44" s="1153"/>
      <c r="Q44" s="779"/>
      <c r="R44" s="779"/>
      <c r="S44" s="1153"/>
      <c r="T44" s="1153"/>
      <c r="U44" s="780" t="b">
        <f t="shared" ca="1" si="2"/>
        <v>1</v>
      </c>
      <c r="V44" s="1153"/>
      <c r="W44" s="1153"/>
      <c r="X44" s="1153"/>
      <c r="Y44" s="1726"/>
      <c r="Z44" s="1726"/>
      <c r="AA44" s="170"/>
      <c r="AB44" s="105">
        <v>1</v>
      </c>
      <c r="AC44" s="1734" t="s">
        <v>627</v>
      </c>
      <c r="AD44" s="124" t="s">
        <v>618</v>
      </c>
      <c r="AE44" s="159" t="s">
        <v>533</v>
      </c>
      <c r="AF44" s="1289"/>
      <c r="AG44" s="722"/>
      <c r="AH44" s="722"/>
      <c r="AI44" s="722"/>
      <c r="AJ44" s="722"/>
      <c r="AK44" s="722"/>
      <c r="AL44" s="722"/>
      <c r="AM44" s="722"/>
      <c r="AN44" s="722"/>
      <c r="AO44" s="722"/>
      <c r="AP44" s="722"/>
      <c r="AQ44" s="722"/>
      <c r="AR44" s="722"/>
      <c r="AS44" s="722"/>
      <c r="AT44" s="722"/>
      <c r="AU44" s="722"/>
      <c r="AV44" s="722"/>
      <c r="AW44" s="722"/>
      <c r="AX44" s="722"/>
      <c r="AY44" s="722"/>
      <c r="AZ44" s="170"/>
      <c r="BA44" s="170"/>
      <c r="BB44" s="995" t="s">
        <v>619</v>
      </c>
    </row>
    <row r="45" spans="1:54" s="1229" customFormat="1" ht="16.5" customHeight="1">
      <c r="A45" s="1153"/>
      <c r="B45" s="783"/>
      <c r="C45" s="1153"/>
      <c r="D45" s="1153"/>
      <c r="E45" s="676">
        <v>17.100000000000001</v>
      </c>
      <c r="F45" s="779" t="str" cm="1">
        <f t="array" aca="1" ref="F45" ca="1">OFFSET(G45,-1,-1)</f>
        <v>2</v>
      </c>
      <c r="G45" s="1153"/>
      <c r="H45" s="126" t="s">
        <v>549</v>
      </c>
      <c r="I45" s="1153"/>
      <c r="J45" s="1153"/>
      <c r="K45" s="1153"/>
      <c r="L45" s="1153"/>
      <c r="M45" s="1153"/>
      <c r="N45" s="1153"/>
      <c r="O45" s="1153"/>
      <c r="P45" s="1153"/>
      <c r="Q45" s="779"/>
      <c r="R45" s="779"/>
      <c r="S45" s="1153"/>
      <c r="T45" s="1153"/>
      <c r="U45" s="780" t="b">
        <f t="shared" ca="1" si="2"/>
        <v>1</v>
      </c>
      <c r="V45" s="1153"/>
      <c r="W45" s="1153"/>
      <c r="X45" s="1153"/>
      <c r="Y45" s="1726"/>
      <c r="Z45" s="1726"/>
      <c r="AA45" s="170"/>
      <c r="AB45" s="105">
        <v>2</v>
      </c>
      <c r="AC45" s="1734"/>
      <c r="AD45" s="124" t="s">
        <v>620</v>
      </c>
      <c r="AE45" s="159" t="s">
        <v>533</v>
      </c>
      <c r="AF45" s="931"/>
      <c r="AG45" s="722" cm="1">
        <f t="array" ref="AG45">AG44</f>
        <v>0</v>
      </c>
      <c r="AH45" s="932">
        <f t="shared" ref="AH45:AO45" si="11">(1+AG45)*(1+AH44)-1</f>
        <v>0</v>
      </c>
      <c r="AI45" s="932">
        <f t="shared" si="11"/>
        <v>0</v>
      </c>
      <c r="AJ45" s="932">
        <f t="shared" si="11"/>
        <v>0</v>
      </c>
      <c r="AK45" s="932">
        <f t="shared" si="11"/>
        <v>0</v>
      </c>
      <c r="AL45" s="932">
        <f t="shared" si="11"/>
        <v>0</v>
      </c>
      <c r="AM45" s="932">
        <f t="shared" si="11"/>
        <v>0</v>
      </c>
      <c r="AN45" s="932">
        <f t="shared" si="11"/>
        <v>0</v>
      </c>
      <c r="AO45" s="932">
        <f t="shared" si="11"/>
        <v>0</v>
      </c>
      <c r="AP45" s="931"/>
      <c r="AQ45" s="722" cm="1">
        <f t="array" ref="AQ45">AQ44</f>
        <v>0</v>
      </c>
      <c r="AR45" s="932">
        <f t="shared" ref="AR45:AY45" si="12">(1+AQ45)*(1+AR44)-1</f>
        <v>0</v>
      </c>
      <c r="AS45" s="932">
        <f t="shared" si="12"/>
        <v>0</v>
      </c>
      <c r="AT45" s="932">
        <f t="shared" si="12"/>
        <v>0</v>
      </c>
      <c r="AU45" s="932">
        <f t="shared" si="12"/>
        <v>0</v>
      </c>
      <c r="AV45" s="932">
        <f t="shared" si="12"/>
        <v>0</v>
      </c>
      <c r="AW45" s="932">
        <f t="shared" si="12"/>
        <v>0</v>
      </c>
      <c r="AX45" s="932">
        <f t="shared" si="12"/>
        <v>0</v>
      </c>
      <c r="AY45" s="932">
        <f t="shared" si="12"/>
        <v>0</v>
      </c>
      <c r="AZ45" s="170"/>
      <c r="BA45" s="170"/>
      <c r="BB45" s="995" t="s">
        <v>621</v>
      </c>
    </row>
    <row r="46" spans="1:54" s="1229" customFormat="1" ht="16.5" customHeight="1">
      <c r="A46" s="1153"/>
      <c r="B46" s="783"/>
      <c r="C46" s="1153"/>
      <c r="D46" s="1153"/>
      <c r="E46" s="676">
        <v>17.100000000000001</v>
      </c>
      <c r="F46" s="779" t="str" cm="1">
        <f t="array" aca="1" ref="F46" ca="1">OFFSET(G46,-1,-1)</f>
        <v>2</v>
      </c>
      <c r="G46" s="1153"/>
      <c r="H46" s="126" t="s">
        <v>552</v>
      </c>
      <c r="I46" s="1153"/>
      <c r="J46" s="1153"/>
      <c r="K46" s="1153"/>
      <c r="L46" s="1153"/>
      <c r="M46" s="1153"/>
      <c r="N46" s="1153"/>
      <c r="O46" s="1153"/>
      <c r="P46" s="1153"/>
      <c r="Q46" s="779"/>
      <c r="R46" s="779"/>
      <c r="S46" s="1153"/>
      <c r="T46" s="1153"/>
      <c r="U46" s="780" t="b">
        <f t="shared" ca="1" si="2"/>
        <v>1</v>
      </c>
      <c r="V46" s="1153"/>
      <c r="W46" s="1153"/>
      <c r="X46" s="1153"/>
      <c r="Y46" s="1726"/>
      <c r="Z46" s="1726"/>
      <c r="AA46" s="170"/>
      <c r="AB46" s="105">
        <v>3</v>
      </c>
      <c r="AC46" s="1734" t="s">
        <v>622</v>
      </c>
      <c r="AD46" s="124" t="s">
        <v>618</v>
      </c>
      <c r="AE46" s="159" t="s">
        <v>533</v>
      </c>
      <c r="AF46" s="1289"/>
      <c r="AG46" s="722"/>
      <c r="AH46" s="722"/>
      <c r="AI46" s="722"/>
      <c r="AJ46" s="722"/>
      <c r="AK46" s="722"/>
      <c r="AL46" s="722"/>
      <c r="AM46" s="722"/>
      <c r="AN46" s="722"/>
      <c r="AO46" s="722"/>
      <c r="AP46" s="722"/>
      <c r="AQ46" s="722"/>
      <c r="AR46" s="722"/>
      <c r="AS46" s="722"/>
      <c r="AT46" s="722"/>
      <c r="AU46" s="722"/>
      <c r="AV46" s="722"/>
      <c r="AW46" s="722"/>
      <c r="AX46" s="722"/>
      <c r="AY46" s="722"/>
      <c r="AZ46" s="170"/>
      <c r="BA46" s="170"/>
      <c r="BB46" s="995" t="s">
        <v>623</v>
      </c>
    </row>
    <row r="47" spans="1:54" s="1229" customFormat="1" ht="16.5" customHeight="1">
      <c r="A47" s="1153"/>
      <c r="B47" s="783"/>
      <c r="C47" s="1153"/>
      <c r="D47" s="1153"/>
      <c r="E47" s="676">
        <v>17.100000000000001</v>
      </c>
      <c r="F47" s="779" t="str" cm="1">
        <f t="array" aca="1" ref="F47" ca="1">OFFSET(G47,-1,-1)</f>
        <v>2</v>
      </c>
      <c r="G47" s="1153"/>
      <c r="H47" s="126" t="s">
        <v>555</v>
      </c>
      <c r="I47" s="1153"/>
      <c r="J47" s="1153"/>
      <c r="K47" s="1153"/>
      <c r="L47" s="1153"/>
      <c r="M47" s="1153"/>
      <c r="N47" s="1153"/>
      <c r="O47" s="1153"/>
      <c r="P47" s="1153"/>
      <c r="Q47" s="779"/>
      <c r="R47" s="779"/>
      <c r="S47" s="1153"/>
      <c r="T47" s="1153"/>
      <c r="U47" s="780" t="b">
        <f t="shared" ca="1" si="2"/>
        <v>1</v>
      </c>
      <c r="V47" s="1153"/>
      <c r="W47" s="1153"/>
      <c r="X47" s="1153"/>
      <c r="Y47" s="1726"/>
      <c r="Z47" s="1726"/>
      <c r="AA47" s="170"/>
      <c r="AB47" s="105">
        <v>4</v>
      </c>
      <c r="AC47" s="1734"/>
      <c r="AD47" s="124" t="s">
        <v>620</v>
      </c>
      <c r="AE47" s="159" t="s">
        <v>533</v>
      </c>
      <c r="AF47" s="931"/>
      <c r="AG47" s="722" cm="1">
        <f t="array" ref="AG47">AG46</f>
        <v>0</v>
      </c>
      <c r="AH47" s="932">
        <f t="shared" ref="AH47:AO47" si="13">(1+AG47)*(1+AH46)-1</f>
        <v>0</v>
      </c>
      <c r="AI47" s="932">
        <f t="shared" si="13"/>
        <v>0</v>
      </c>
      <c r="AJ47" s="932">
        <f t="shared" si="13"/>
        <v>0</v>
      </c>
      <c r="AK47" s="932">
        <f t="shared" si="13"/>
        <v>0</v>
      </c>
      <c r="AL47" s="932">
        <f t="shared" si="13"/>
        <v>0</v>
      </c>
      <c r="AM47" s="932">
        <f t="shared" si="13"/>
        <v>0</v>
      </c>
      <c r="AN47" s="932">
        <f t="shared" si="13"/>
        <v>0</v>
      </c>
      <c r="AO47" s="932">
        <f t="shared" si="13"/>
        <v>0</v>
      </c>
      <c r="AP47" s="931"/>
      <c r="AQ47" s="722" cm="1">
        <f t="array" ref="AQ47">AQ46</f>
        <v>0</v>
      </c>
      <c r="AR47" s="932">
        <f t="shared" ref="AR47:AY47" si="14">(1+AQ47)*(1+AR46)-1</f>
        <v>0</v>
      </c>
      <c r="AS47" s="932">
        <f t="shared" si="14"/>
        <v>0</v>
      </c>
      <c r="AT47" s="932">
        <f t="shared" si="14"/>
        <v>0</v>
      </c>
      <c r="AU47" s="932">
        <f t="shared" si="14"/>
        <v>0</v>
      </c>
      <c r="AV47" s="932">
        <f t="shared" si="14"/>
        <v>0</v>
      </c>
      <c r="AW47" s="932">
        <f t="shared" si="14"/>
        <v>0</v>
      </c>
      <c r="AX47" s="932">
        <f t="shared" si="14"/>
        <v>0</v>
      </c>
      <c r="AY47" s="932">
        <f t="shared" si="14"/>
        <v>0</v>
      </c>
      <c r="AZ47" s="170"/>
      <c r="BA47" s="170"/>
      <c r="BB47" s="995" t="s">
        <v>624</v>
      </c>
    </row>
    <row r="48" spans="1:54" s="1229" customFormat="1" ht="16.5" customHeight="1">
      <c r="A48" s="1153"/>
      <c r="B48" s="783"/>
      <c r="C48" s="1153"/>
      <c r="D48" s="1153"/>
      <c r="E48" s="676">
        <v>17.100000000000001</v>
      </c>
      <c r="F48" s="779" t="str" cm="1">
        <f t="array" aca="1" ref="F48" ca="1">OFFSET(G48,-1,-1)</f>
        <v>2</v>
      </c>
      <c r="G48" s="1153"/>
      <c r="H48" s="126" t="s">
        <v>558</v>
      </c>
      <c r="I48" s="1153"/>
      <c r="J48" s="1153"/>
      <c r="K48" s="1153"/>
      <c r="L48" s="1153"/>
      <c r="M48" s="1153"/>
      <c r="N48" s="1153"/>
      <c r="O48" s="1153"/>
      <c r="P48" s="1153"/>
      <c r="Q48" s="779"/>
      <c r="R48" s="779"/>
      <c r="S48" s="1153"/>
      <c r="T48" s="1153"/>
      <c r="U48" s="780" t="b">
        <f t="shared" ca="1" si="2"/>
        <v>1</v>
      </c>
      <c r="V48" s="1153"/>
      <c r="W48" s="1153"/>
      <c r="X48" s="1153"/>
      <c r="Y48" s="1726"/>
      <c r="Z48" s="1726"/>
      <c r="AA48" s="170"/>
      <c r="AB48" s="105">
        <v>5</v>
      </c>
      <c r="AC48" s="1734" t="s">
        <v>625</v>
      </c>
      <c r="AD48" s="1734"/>
      <c r="AE48" s="159" t="s">
        <v>533</v>
      </c>
      <c r="AF48" s="1289"/>
      <c r="AG48" s="722"/>
      <c r="AH48" s="722"/>
      <c r="AI48" s="722"/>
      <c r="AJ48" s="722"/>
      <c r="AK48" s="722"/>
      <c r="AL48" s="722"/>
      <c r="AM48" s="722"/>
      <c r="AN48" s="722"/>
      <c r="AO48" s="722"/>
      <c r="AP48" s="722"/>
      <c r="AQ48" s="722"/>
      <c r="AR48" s="722"/>
      <c r="AS48" s="722"/>
      <c r="AT48" s="722"/>
      <c r="AU48" s="722"/>
      <c r="AV48" s="722"/>
      <c r="AW48" s="722"/>
      <c r="AX48" s="722"/>
      <c r="AY48" s="722"/>
      <c r="AZ48" s="170"/>
      <c r="BA48" s="170"/>
      <c r="BB48" s="995" t="s">
        <v>626</v>
      </c>
    </row>
    <row r="49" spans="5:52" ht="11.1" customHeight="1">
      <c r="E49" s="676">
        <v>11.4</v>
      </c>
      <c r="V49" s="126" t="s">
        <v>238</v>
      </c>
      <c r="W49" s="122" t="s">
        <v>628</v>
      </c>
      <c r="AC49" s="151"/>
      <c r="AD49" s="151"/>
      <c r="AZ49" s="151"/>
    </row>
    <row r="50" spans="5:52" ht="11.1" hidden="1" customHeight="1">
      <c r="E50" s="676">
        <v>11.4</v>
      </c>
      <c r="AC50" s="151"/>
      <c r="AD50" s="151"/>
    </row>
  </sheetData>
  <sheetProtection formatColumns="0" formatRows="0" insertRows="0" deleteColumns="0" deleteRows="0" sort="0" autoFilter="0"/>
  <mergeCells count="19">
    <mergeCell ref="Y42:Y48"/>
    <mergeCell ref="Z42:Z48"/>
    <mergeCell ref="AC44:AC45"/>
    <mergeCell ref="AC46:AC47"/>
    <mergeCell ref="AC48:AD48"/>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AF45 AP45 AF47 AP47"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414</vt:i4>
      </vt:variant>
    </vt:vector>
  </HeadingPairs>
  <TitlesOfParts>
    <vt:vector size="456"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lpstr>'Баланс Пр'!Заголовки_для_печати</vt:lpstr>
      <vt:lpstr>'Список объектов'!Заголовки_для_печати</vt:lpstr>
      <vt:lpstr>'Баланс Пр'!Область_печати</vt:lpstr>
      <vt:lpstr>'Список объектов'!Область_печати</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Инна Мотовилова</cp:lastModifiedBy>
  <cp:lastPrinted>2010-03-18T14:38:46Z</cp:lastPrinted>
  <dcterms:created xsi:type="dcterms:W3CDTF">2004-05-21T07:18:45Z</dcterms:created>
  <dcterms:modified xsi:type="dcterms:W3CDTF">2026-01-26T09:36:58Z</dcterms:modified>
</cp:coreProperties>
</file>